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omments3.xml" ContentType="application/vnd.openxmlformats-officedocument.spreadsheetml.comments+xml"/>
  <Override PartName="/xl/threadedComments/threadedComment3.xml" ContentType="application/vnd.ms-excel.threadedcomments+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4.xml" ContentType="application/vnd.openxmlformats-officedocument.drawing+xml"/>
  <Override PartName="/xl/comments4.xml" ContentType="application/vnd.openxmlformats-officedocument.spreadsheetml.comments+xml"/>
  <Override PartName="/xl/threadedComments/threadedComment4.xml" ContentType="application/vnd.ms-excel.threadedcomments+xml"/>
  <Override PartName="/xl/drawings/drawing5.xml" ContentType="application/vnd.openxmlformats-officedocument.drawing+xml"/>
  <Override PartName="/xl/drawings/drawing6.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charts/chart14.xml" ContentType="application/vnd.openxmlformats-officedocument.drawingml.chart+xml"/>
  <Override PartName="/xl/charts/style13.xml" ContentType="application/vnd.ms-office.chartstyle+xml"/>
  <Override PartName="/xl/charts/colors13.xml" ContentType="application/vnd.ms-office.chartcolorstyle+xml"/>
  <Override PartName="/xl/charts/chart15.xml" ContentType="application/vnd.openxmlformats-officedocument.drawingml.chart+xml"/>
  <Override PartName="/xl/charts/style14.xml" ContentType="application/vnd.ms-office.chartstyle+xml"/>
  <Override PartName="/xl/charts/colors14.xml" ContentType="application/vnd.ms-office.chartcolorstyle+xml"/>
  <Override PartName="/xl/charts/chart16.xml" ContentType="application/vnd.openxmlformats-officedocument.drawingml.chart+xml"/>
  <Override PartName="/xl/charts/style15.xml" ContentType="application/vnd.ms-office.chartstyle+xml"/>
  <Override PartName="/xl/charts/colors15.xml" ContentType="application/vnd.ms-office.chartcolorstyle+xml"/>
  <Override PartName="/xl/charts/chart17.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7.xml" ContentType="application/vnd.openxmlformats-officedocument.drawingml.chartshapes+xml"/>
  <Override PartName="/xl/charts/chart18.xml" ContentType="application/vnd.openxmlformats-officedocument.drawingml.chart+xml"/>
  <Override PartName="/xl/charts/style17.xml" ContentType="application/vnd.ms-office.chartstyle+xml"/>
  <Override PartName="/xl/charts/colors17.xml" ContentType="application/vnd.ms-office.chartcolorstyle+xml"/>
  <Override PartName="/xl/charts/chart19.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8.xml" ContentType="application/vnd.openxmlformats-officedocument.drawingml.chartshapes+xml"/>
  <Override PartName="/xl/charts/chart20.xml" ContentType="application/vnd.openxmlformats-officedocument.drawingml.chart+xml"/>
  <Override PartName="/xl/charts/style19.xml" ContentType="application/vnd.ms-office.chartstyle+xml"/>
  <Override PartName="/xl/charts/colors19.xml" ContentType="application/vnd.ms-office.chartcolorstyle+xml"/>
  <Override PartName="/xl/charts/chart21.xml" ContentType="application/vnd.openxmlformats-officedocument.drawingml.chart+xml"/>
  <Override PartName="/xl/charts/style20.xml" ContentType="application/vnd.ms-office.chartstyle+xml"/>
  <Override PartName="/xl/charts/colors20.xml" ContentType="application/vnd.ms-office.chartcolorstyle+xml"/>
  <Override PartName="/xl/charts/chart22.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9.xml" ContentType="application/vnd.openxmlformats-officedocument.drawingml.chartshapes+xml"/>
  <Override PartName="/xl/charts/chart23.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10.xml" ContentType="application/vnd.openxmlformats-officedocument.drawingml.chartshapes+xml"/>
  <Override PartName="/xl/charts/chart24.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11.xml" ContentType="application/vnd.openxmlformats-officedocument.drawingml.chartshapes+xml"/>
  <Override PartName="/xl/charts/chart25.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1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charts/chart26.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13.xml" ContentType="application/vnd.openxmlformats-officedocument.drawingml.chartshapes+xml"/>
  <Override PartName="/xl/drawings/drawing14.xml" ContentType="application/vnd.openxmlformats-officedocument.drawing+xml"/>
  <Override PartName="/xl/charts/chart27.xml" ContentType="application/vnd.openxmlformats-officedocument.drawingml.chart+xml"/>
  <Override PartName="/xl/charts/style26.xml" ContentType="application/vnd.ms-office.chartstyle+xml"/>
  <Override PartName="/xl/charts/colors26.xml" ContentType="application/vnd.ms-office.chartcolorstyle+xml"/>
  <Override PartName="/xl/charts/chart28.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15.xml" ContentType="application/vnd.openxmlformats-officedocument.drawingml.chartshapes+xml"/>
  <Override PartName="/xl/charts/chart29.xml" ContentType="application/vnd.openxmlformats-officedocument.drawingml.chart+xml"/>
  <Override PartName="/xl/charts/style28.xml" ContentType="application/vnd.ms-office.chartstyle+xml"/>
  <Override PartName="/xl/charts/colors28.xml" ContentType="application/vnd.ms-office.chartcolorstyle+xml"/>
  <Override PartName="/xl/charts/chart30.xml" ContentType="application/vnd.openxmlformats-officedocument.drawingml.chart+xml"/>
  <Override PartName="/xl/charts/style29.xml" ContentType="application/vnd.ms-office.chartstyle+xml"/>
  <Override PartName="/xl/charts/colors29.xml" ContentType="application/vnd.ms-office.chartcolorstyle+xml"/>
  <Override PartName="/xl/charts/chart31.xml" ContentType="application/vnd.openxmlformats-officedocument.drawingml.chart+xml"/>
  <Override PartName="/xl/charts/style30.xml" ContentType="application/vnd.ms-office.chartstyle+xml"/>
  <Override PartName="/xl/charts/colors30.xml" ContentType="application/vnd.ms-office.chartcolorstyle+xml"/>
  <Override PartName="/xl/drawings/drawing16.xml" ContentType="application/vnd.openxmlformats-officedocument.drawingml.chartshapes+xml"/>
  <Override PartName="/xl/charts/chart32.xml" ContentType="application/vnd.openxmlformats-officedocument.drawingml.chart+xml"/>
  <Override PartName="/xl/charts/style31.xml" ContentType="application/vnd.ms-office.chartstyle+xml"/>
  <Override PartName="/xl/charts/colors31.xml" ContentType="application/vnd.ms-office.chartcolorstyle+xml"/>
  <Override PartName="/xl/charts/chart33.xml" ContentType="application/vnd.openxmlformats-officedocument.drawingml.chart+xml"/>
  <Override PartName="/xl/charts/style32.xml" ContentType="application/vnd.ms-office.chartstyle+xml"/>
  <Override PartName="/xl/charts/colors32.xml" ContentType="application/vnd.ms-office.chartcolorstyle+xml"/>
  <Override PartName="/xl/charts/chartEx1.xml" ContentType="application/vnd.ms-office.chartex+xml"/>
  <Override PartName="/xl/charts/style33.xml" ContentType="application/vnd.ms-office.chartstyle+xml"/>
  <Override PartName="/xl/charts/colors33.xml" ContentType="application/vnd.ms-office.chartcolorstyle+xml"/>
  <Override PartName="/xl/charts/chartEx2.xml" ContentType="application/vnd.ms-office.chartex+xml"/>
  <Override PartName="/xl/charts/style34.xml" ContentType="application/vnd.ms-office.chartstyle+xml"/>
  <Override PartName="/xl/charts/colors34.xml" ContentType="application/vnd.ms-office.chartcolorstyle+xml"/>
  <Override PartName="/xl/charts/chart34.xml" ContentType="application/vnd.openxmlformats-officedocument.drawingml.chart+xml"/>
  <Override PartName="/xl/charts/style35.xml" ContentType="application/vnd.ms-office.chartstyle+xml"/>
  <Override PartName="/xl/charts/colors35.xml" ContentType="application/vnd.ms-office.chartcolorstyle+xml"/>
  <Override PartName="/xl/drawings/drawing17.xml" ContentType="application/vnd.openxmlformats-officedocument.drawingml.chartshapes+xml"/>
  <Override PartName="/xl/charts/chartEx3.xml" ContentType="application/vnd.ms-office.chartex+xml"/>
  <Override PartName="/xl/charts/style36.xml" ContentType="application/vnd.ms-office.chartstyle+xml"/>
  <Override PartName="/xl/charts/colors36.xml" ContentType="application/vnd.ms-office.chartcolorstyle+xml"/>
  <Override PartName="/xl/charts/chart35.xml" ContentType="application/vnd.openxmlformats-officedocument.drawingml.chart+xml"/>
  <Override PartName="/xl/charts/style37.xml" ContentType="application/vnd.ms-office.chartstyle+xml"/>
  <Override PartName="/xl/charts/colors37.xml" ContentType="application/vnd.ms-office.chartcolorstyle+xml"/>
  <Override PartName="/xl/charts/chart36.xml" ContentType="application/vnd.openxmlformats-officedocument.drawingml.chart+xml"/>
  <Override PartName="/xl/charts/style38.xml" ContentType="application/vnd.ms-office.chartstyle+xml"/>
  <Override PartName="/xl/charts/colors38.xml" ContentType="application/vnd.ms-office.chartcolorstyle+xml"/>
  <Override PartName="/xl/drawings/drawing18.xml" ContentType="application/vnd.openxmlformats-officedocument.drawingml.chartshapes+xml"/>
  <Override PartName="/xl/charts/chart37.xml" ContentType="application/vnd.openxmlformats-officedocument.drawingml.chart+xml"/>
  <Override PartName="/xl/charts/style39.xml" ContentType="application/vnd.ms-office.chartstyle+xml"/>
  <Override PartName="/xl/charts/colors39.xml" ContentType="application/vnd.ms-office.chartcolorstyle+xml"/>
  <Override PartName="/xl/drawings/drawing19.xml" ContentType="application/vnd.openxmlformats-officedocument.drawingml.chartshapes+xml"/>
  <Override PartName="/xl/charts/chartEx4.xml" ContentType="application/vnd.ms-office.chartex+xml"/>
  <Override PartName="/xl/charts/style40.xml" ContentType="application/vnd.ms-office.chartstyle+xml"/>
  <Override PartName="/xl/charts/colors40.xml" ContentType="application/vnd.ms-office.chartcolorstyle+xml"/>
  <Override PartName="/xl/charts/chart38.xml" ContentType="application/vnd.openxmlformats-officedocument.drawingml.chart+xml"/>
  <Override PartName="/xl/charts/style41.xml" ContentType="application/vnd.ms-office.chartstyle+xml"/>
  <Override PartName="/xl/charts/colors41.xml" ContentType="application/vnd.ms-office.chartcolorstyle+xml"/>
  <Override PartName="/xl/theme/themeOverride1.xml" ContentType="application/vnd.openxmlformats-officedocument.themeOverride+xml"/>
  <Override PartName="/xl/charts/chartEx5.xml" ContentType="application/vnd.ms-office.chartex+xml"/>
  <Override PartName="/xl/charts/style42.xml" ContentType="application/vnd.ms-office.chartstyle+xml"/>
  <Override PartName="/xl/charts/colors42.xml" ContentType="application/vnd.ms-office.chartcolorstyle+xml"/>
  <Override PartName="/xl/charts/chart39.xml" ContentType="application/vnd.openxmlformats-officedocument.drawingml.chart+xml"/>
  <Override PartName="/xl/charts/style43.xml" ContentType="application/vnd.ms-office.chartstyle+xml"/>
  <Override PartName="/xl/charts/colors43.xml" ContentType="application/vnd.ms-office.chartcolorstyle+xml"/>
  <Override PartName="/xl/charts/chart40.xml" ContentType="application/vnd.openxmlformats-officedocument.drawingml.chart+xml"/>
  <Override PartName="/xl/charts/style44.xml" ContentType="application/vnd.ms-office.chartstyle+xml"/>
  <Override PartName="/xl/charts/colors44.xml" ContentType="application/vnd.ms-office.chartcolorstyle+xml"/>
  <Override PartName="/xl/charts/chartEx6.xml" ContentType="application/vnd.ms-office.chartex+xml"/>
  <Override PartName="/xl/charts/style45.xml" ContentType="application/vnd.ms-office.chartstyle+xml"/>
  <Override PartName="/xl/charts/colors45.xml" ContentType="application/vnd.ms-office.chartcolorstyle+xml"/>
  <Override PartName="/xl/drawings/drawing20.xml" ContentType="application/vnd.openxmlformats-officedocument.drawing+xml"/>
  <Override PartName="/xl/comments7.xml" ContentType="application/vnd.openxmlformats-officedocument.spreadsheetml.comments+xml"/>
  <Override PartName="/xl/threadedComments/threadedComment7.xml" ContentType="application/vnd.ms-excel.threadedcomments+xml"/>
  <Override PartName="/xl/drawings/drawing21.xml" ContentType="application/vnd.openxmlformats-officedocument.drawing+xml"/>
  <Override PartName="/xl/charts/chart41.xml" ContentType="application/vnd.openxmlformats-officedocument.drawingml.chart+xml"/>
  <Override PartName="/xl/charts/style46.xml" ContentType="application/vnd.ms-office.chartstyle+xml"/>
  <Override PartName="/xl/charts/colors46.xml" ContentType="application/vnd.ms-office.chartcolorstyle+xml"/>
  <Override PartName="/xl/drawings/drawing22.xml" ContentType="application/vnd.openxmlformats-officedocument.drawingml.chartshapes+xml"/>
  <Override PartName="/xl/charts/chart42.xml" ContentType="application/vnd.openxmlformats-officedocument.drawingml.chart+xml"/>
  <Override PartName="/xl/charts/style47.xml" ContentType="application/vnd.ms-office.chartstyle+xml"/>
  <Override PartName="/xl/charts/colors47.xml" ContentType="application/vnd.ms-office.chartcolorstyle+xml"/>
  <Override PartName="/xl/charts/chart43.xml" ContentType="application/vnd.openxmlformats-officedocument.drawingml.chart+xml"/>
  <Override PartName="/xl/charts/style48.xml" ContentType="application/vnd.ms-office.chartstyle+xml"/>
  <Override PartName="/xl/charts/colors48.xml" ContentType="application/vnd.ms-office.chartcolorstyle+xml"/>
  <Override PartName="/xl/charts/chart44.xml" ContentType="application/vnd.openxmlformats-officedocument.drawingml.chart+xml"/>
  <Override PartName="/xl/charts/style49.xml" ContentType="application/vnd.ms-office.chartstyle+xml"/>
  <Override PartName="/xl/charts/colors49.xml" ContentType="application/vnd.ms-office.chartcolorstyle+xml"/>
  <Override PartName="/xl/charts/chart45.xml" ContentType="application/vnd.openxmlformats-officedocument.drawingml.chart+xml"/>
  <Override PartName="/xl/charts/style50.xml" ContentType="application/vnd.ms-office.chartstyle+xml"/>
  <Override PartName="/xl/charts/colors50.xml" ContentType="application/vnd.ms-office.chartcolorstyle+xml"/>
  <Override PartName="/xl/charts/chart46.xml" ContentType="application/vnd.openxmlformats-officedocument.drawingml.chart+xml"/>
  <Override PartName="/xl/charts/style51.xml" ContentType="application/vnd.ms-office.chartstyle+xml"/>
  <Override PartName="/xl/charts/colors51.xml" ContentType="application/vnd.ms-office.chartcolorstyle+xml"/>
  <Override PartName="/xl/drawings/drawing23.xml" ContentType="application/vnd.openxmlformats-officedocument.drawingml.chartshapes+xml"/>
  <Override PartName="/xl/drawings/drawing24.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charts/chart47.xml" ContentType="application/vnd.openxmlformats-officedocument.drawingml.chart+xml"/>
  <Override PartName="/xl/charts/style52.xml" ContentType="application/vnd.ms-office.chartstyle+xml"/>
  <Override PartName="/xl/charts/colors52.xml" ContentType="application/vnd.ms-office.chartcolorstyle+xml"/>
  <Override PartName="/xl/charts/chart48.xml" ContentType="application/vnd.openxmlformats-officedocument.drawingml.chart+xml"/>
  <Override PartName="/xl/charts/style53.xml" ContentType="application/vnd.ms-office.chartstyle+xml"/>
  <Override PartName="/xl/charts/colors53.xml" ContentType="application/vnd.ms-office.chartcolorstyle+xml"/>
  <Override PartName="/xl/drawings/drawing25.xml" ContentType="application/vnd.openxmlformats-officedocument.drawing+xml"/>
  <Override PartName="/xl/charts/chart49.xml" ContentType="application/vnd.openxmlformats-officedocument.drawingml.chart+xml"/>
  <Override PartName="/xl/charts/style54.xml" ContentType="application/vnd.ms-office.chartstyle+xml"/>
  <Override PartName="/xl/charts/colors54.xml" ContentType="application/vnd.ms-office.chartcolorstyle+xml"/>
  <Override PartName="/xl/drawings/drawing26.xml" ContentType="application/vnd.openxmlformats-officedocument.drawingml.chartshapes+xml"/>
  <Override PartName="/xl/drawings/drawing27.xml" ContentType="application/vnd.openxmlformats-officedocument.drawing+xml"/>
  <Override PartName="/xl/charts/chart50.xml" ContentType="application/vnd.openxmlformats-officedocument.drawingml.chart+xml"/>
  <Override PartName="/xl/charts/style55.xml" ContentType="application/vnd.ms-office.chartstyle+xml"/>
  <Override PartName="/xl/charts/colors55.xml" ContentType="application/vnd.ms-office.chartcolorstyle+xml"/>
  <Override PartName="/xl/charts/chartEx7.xml" ContentType="application/vnd.ms-office.chartex+xml"/>
  <Override PartName="/xl/charts/style56.xml" ContentType="application/vnd.ms-office.chartstyle+xml"/>
  <Override PartName="/xl/charts/colors56.xml" ContentType="application/vnd.ms-office.chartcolorstyle+xml"/>
  <Override PartName="/xl/charts/chartEx8.xml" ContentType="application/vnd.ms-office.chartex+xml"/>
  <Override PartName="/xl/charts/style57.xml" ContentType="application/vnd.ms-office.chartstyle+xml"/>
  <Override PartName="/xl/charts/colors57.xml" ContentType="application/vnd.ms-office.chartcolorstyle+xml"/>
  <Override PartName="/xl/drawings/drawing28.xml" ContentType="application/vnd.openxmlformats-officedocument.drawing+xml"/>
  <Override PartName="/xl/drawings/drawing29.xml" ContentType="application/vnd.openxmlformats-officedocument.drawing+xml"/>
  <Override PartName="/xl/tables/table2.xml" ContentType="application/vnd.openxmlformats-officedocument.spreadsheetml.table+xml"/>
  <Override PartName="/xl/queryTables/queryTable2.xml" ContentType="application/vnd.openxmlformats-officedocument.spreadsheetml.queryTable+xml"/>
  <Override PartName="/xl/charts/chart51.xml" ContentType="application/vnd.openxmlformats-officedocument.drawingml.chart+xml"/>
  <Override PartName="/xl/charts/style58.xml" ContentType="application/vnd.ms-office.chartstyle+xml"/>
  <Override PartName="/xl/charts/colors58.xml" ContentType="application/vnd.ms-office.chartcolorstyle+xml"/>
  <Override PartName="/xl/charts/chart52.xml" ContentType="application/vnd.openxmlformats-officedocument.drawingml.chart+xml"/>
  <Override PartName="/xl/charts/style59.xml" ContentType="application/vnd.ms-office.chartstyle+xml"/>
  <Override PartName="/xl/charts/colors59.xml" ContentType="application/vnd.ms-office.chartcolorstyle+xml"/>
  <Override PartName="/xl/charts/chart53.xml" ContentType="application/vnd.openxmlformats-officedocument.drawingml.chart+xml"/>
  <Override PartName="/xl/charts/style60.xml" ContentType="application/vnd.ms-office.chartstyle+xml"/>
  <Override PartName="/xl/charts/colors60.xml" ContentType="application/vnd.ms-office.chartcolorstyle+xml"/>
  <Override PartName="/xl/charts/chart54.xml" ContentType="application/vnd.openxmlformats-officedocument.drawingml.chart+xml"/>
  <Override PartName="/xl/charts/style61.xml" ContentType="application/vnd.ms-office.chartstyle+xml"/>
  <Override PartName="/xl/charts/colors61.xml" ContentType="application/vnd.ms-office.chartcolorstyle+xml"/>
  <Override PartName="/xl/charts/chart55.xml" ContentType="application/vnd.openxmlformats-officedocument.drawingml.chart+xml"/>
  <Override PartName="/xl/charts/style62.xml" ContentType="application/vnd.ms-office.chartstyle+xml"/>
  <Override PartName="/xl/charts/colors62.xml" ContentType="application/vnd.ms-office.chartcolorstyle+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comments8.xml" ContentType="application/vnd.openxmlformats-officedocument.spreadsheetml.comments+xml"/>
  <Override PartName="/xl/threadedComments/threadedComment8.xml" ContentType="application/vnd.ms-excel.threadedcomments+xml"/>
  <Override PartName="/xl/charts/chart56.xml" ContentType="application/vnd.openxmlformats-officedocument.drawingml.chart+xml"/>
  <Override PartName="/xl/charts/style63.xml" ContentType="application/vnd.ms-office.chartstyle+xml"/>
  <Override PartName="/xl/charts/colors63.xml" ContentType="application/vnd.ms-office.chartcolorstyle+xml"/>
  <Override PartName="/xl/charts/chart57.xml" ContentType="application/vnd.openxmlformats-officedocument.drawingml.chart+xml"/>
  <Override PartName="/xl/charts/style64.xml" ContentType="application/vnd.ms-office.chartstyle+xml"/>
  <Override PartName="/xl/charts/colors64.xml" ContentType="application/vnd.ms-office.chartcolorstyle+xml"/>
  <Override PartName="/xl/charts/chart58.xml" ContentType="application/vnd.openxmlformats-officedocument.drawingml.chart+xml"/>
  <Override PartName="/xl/charts/style65.xml" ContentType="application/vnd.ms-office.chartstyle+xml"/>
  <Override PartName="/xl/charts/colors65.xml" ContentType="application/vnd.ms-office.chartcolorstyle+xml"/>
  <Override PartName="/xl/charts/chart59.xml" ContentType="application/vnd.openxmlformats-officedocument.drawingml.chart+xml"/>
  <Override PartName="/xl/charts/style66.xml" ContentType="application/vnd.ms-office.chartstyle+xml"/>
  <Override PartName="/xl/charts/colors66.xml" ContentType="application/vnd.ms-office.chartcolorstyle+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charts/chart60.xml" ContentType="application/vnd.openxmlformats-officedocument.drawingml.chart+xml"/>
  <Override PartName="/xl/charts/style67.xml" ContentType="application/vnd.ms-office.chartstyle+xml"/>
  <Override PartName="/xl/charts/colors67.xml" ContentType="application/vnd.ms-office.chartcolorstyle+xml"/>
  <Override PartName="/xl/charts/chart61.xml" ContentType="application/vnd.openxmlformats-officedocument.drawingml.chart+xml"/>
  <Override PartName="/xl/charts/style68.xml" ContentType="application/vnd.ms-office.chartstyle+xml"/>
  <Override PartName="/xl/charts/colors68.xml" ContentType="application/vnd.ms-office.chartcolorstyle+xml"/>
  <Override PartName="/xl/charts/chart62.xml" ContentType="application/vnd.openxmlformats-officedocument.drawingml.chart+xml"/>
  <Override PartName="/xl/charts/style69.xml" ContentType="application/vnd.ms-office.chartstyle+xml"/>
  <Override PartName="/xl/charts/colors69.xml" ContentType="application/vnd.ms-office.chartcolorstyle+xml"/>
  <Override PartName="/xl/charts/chart63.xml" ContentType="application/vnd.openxmlformats-officedocument.drawingml.chart+xml"/>
  <Override PartName="/xl/charts/style70.xml" ContentType="application/vnd.ms-office.chartstyle+xml"/>
  <Override PartName="/xl/charts/colors70.xml" ContentType="application/vnd.ms-office.chartcolorstyle+xml"/>
  <Override PartName="/xl/charts/chart64.xml" ContentType="application/vnd.openxmlformats-officedocument.drawingml.chart+xml"/>
  <Override PartName="/xl/charts/style71.xml" ContentType="application/vnd.ms-office.chartstyle+xml"/>
  <Override PartName="/xl/charts/colors71.xml" ContentType="application/vnd.ms-office.chartcolorstyle+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rawings/drawing34.xml" ContentType="application/vnd.openxmlformats-officedocument.drawing+xml"/>
  <Override PartName="/xl/comments9.xml" ContentType="application/vnd.openxmlformats-officedocument.spreadsheetml.comments+xml"/>
  <Override PartName="/xl/threadedComments/threadedComment9.xml" ContentType="application/vnd.ms-excel.threadedcomments+xml"/>
  <Override PartName="/xl/charts/chart65.xml" ContentType="application/vnd.openxmlformats-officedocument.drawingml.chart+xml"/>
  <Override PartName="/xl/charts/style72.xml" ContentType="application/vnd.ms-office.chartstyle+xml"/>
  <Override PartName="/xl/charts/colors72.xml" ContentType="application/vnd.ms-office.chartcolorstyle+xml"/>
  <Override PartName="/xl/charts/chart66.xml" ContentType="application/vnd.openxmlformats-officedocument.drawingml.chart+xml"/>
  <Override PartName="/xl/charts/style73.xml" ContentType="application/vnd.ms-office.chartstyle+xml"/>
  <Override PartName="/xl/charts/colors73.xml" ContentType="application/vnd.ms-office.chartcolorstyle+xml"/>
  <Override PartName="/xl/drawings/drawing35.xml" ContentType="application/vnd.openxmlformats-officedocument.drawingml.chartshapes+xml"/>
  <Override PartName="/xl/charts/chart67.xml" ContentType="application/vnd.openxmlformats-officedocument.drawingml.chart+xml"/>
  <Override PartName="/xl/charts/style74.xml" ContentType="application/vnd.ms-office.chartstyle+xml"/>
  <Override PartName="/xl/charts/colors74.xml" ContentType="application/vnd.ms-office.chartcolorstyle+xml"/>
  <Override PartName="/xl/drawings/drawing36.xml" ContentType="application/vnd.openxmlformats-officedocument.drawing+xml"/>
  <Override PartName="/xl/charts/chart68.xml" ContentType="application/vnd.openxmlformats-officedocument.drawingml.chart+xml"/>
  <Override PartName="/xl/charts/style75.xml" ContentType="application/vnd.ms-office.chartstyle+xml"/>
  <Override PartName="/xl/charts/colors75.xml" ContentType="application/vnd.ms-office.chartcolorstyle+xml"/>
  <Override PartName="/xl/drawings/drawing37.xml" ContentType="application/vnd.openxmlformats-officedocument.drawingml.chartshapes+xml"/>
  <Override PartName="/xl/charts/chartEx9.xml" ContentType="application/vnd.ms-office.chartex+xml"/>
  <Override PartName="/xl/charts/style76.xml" ContentType="application/vnd.ms-office.chartstyle+xml"/>
  <Override PartName="/xl/charts/colors76.xml" ContentType="application/vnd.ms-office.chartcolorstyle+xml"/>
  <Override PartName="/xl/charts/chart69.xml" ContentType="application/vnd.openxmlformats-officedocument.drawingml.chart+xml"/>
  <Override PartName="/xl/charts/style77.xml" ContentType="application/vnd.ms-office.chartstyle+xml"/>
  <Override PartName="/xl/charts/colors77.xml" ContentType="application/vnd.ms-office.chartcolorstyle+xml"/>
  <Override PartName="/xl/drawings/drawing38.xml" ContentType="application/vnd.openxmlformats-officedocument.drawingml.chartshapes+xml"/>
  <Override PartName="/xl/charts/chart70.xml" ContentType="application/vnd.openxmlformats-officedocument.drawingml.chart+xml"/>
  <Override PartName="/xl/charts/style78.xml" ContentType="application/vnd.ms-office.chartstyle+xml"/>
  <Override PartName="/xl/charts/colors78.xml" ContentType="application/vnd.ms-office.chartcolorstyle+xml"/>
  <Override PartName="/xl/charts/chart71.xml" ContentType="application/vnd.openxmlformats-officedocument.drawingml.chart+xml"/>
  <Override PartName="/xl/charts/style79.xml" ContentType="application/vnd.ms-office.chartstyle+xml"/>
  <Override PartName="/xl/charts/colors79.xml" ContentType="application/vnd.ms-office.chartcolorstyle+xml"/>
  <Override PartName="/xl/drawings/drawing39.xml" ContentType="application/vnd.openxmlformats-officedocument.drawingml.chartshapes+xml"/>
  <Override PartName="/xl/charts/chart72.xml" ContentType="application/vnd.openxmlformats-officedocument.drawingml.chart+xml"/>
  <Override PartName="/xl/charts/style80.xml" ContentType="application/vnd.ms-office.chartstyle+xml"/>
  <Override PartName="/xl/charts/colors80.xml" ContentType="application/vnd.ms-office.chartcolorstyle+xml"/>
  <Override PartName="/xl/charts/chartEx10.xml" ContentType="application/vnd.ms-office.chartex+xml"/>
  <Override PartName="/xl/charts/style81.xml" ContentType="application/vnd.ms-office.chartstyle+xml"/>
  <Override PartName="/xl/charts/colors81.xml" ContentType="application/vnd.ms-office.chartcolorstyle+xml"/>
  <Override PartName="/xl/charts/chart73.xml" ContentType="application/vnd.openxmlformats-officedocument.drawingml.chart+xml"/>
  <Override PartName="/xl/charts/style82.xml" ContentType="application/vnd.ms-office.chartstyle+xml"/>
  <Override PartName="/xl/charts/colors82.xml" ContentType="application/vnd.ms-office.chartcolorstyle+xml"/>
  <Override PartName="/xl/drawings/drawing40.xml" ContentType="application/vnd.openxmlformats-officedocument.drawingml.chartshapes+xml"/>
  <Override PartName="/xl/charts/chart74.xml" ContentType="application/vnd.openxmlformats-officedocument.drawingml.chart+xml"/>
  <Override PartName="/xl/charts/style83.xml" ContentType="application/vnd.ms-office.chartstyle+xml"/>
  <Override PartName="/xl/charts/colors83.xml" ContentType="application/vnd.ms-office.chartcolorstyle+xml"/>
  <Override PartName="/xl/drawings/drawing41.xml" ContentType="application/vnd.openxmlformats-officedocument.drawingml.chartshapes+xml"/>
  <Override PartName="/xl/charts/chart75.xml" ContentType="application/vnd.openxmlformats-officedocument.drawingml.chart+xml"/>
  <Override PartName="/xl/charts/style84.xml" ContentType="application/vnd.ms-office.chartstyle+xml"/>
  <Override PartName="/xl/charts/colors84.xml" ContentType="application/vnd.ms-office.chartcolorstyle+xml"/>
  <Override PartName="/xl/drawings/drawing42.xml" ContentType="application/vnd.openxmlformats-officedocument.drawingml.chartshapes+xml"/>
  <Override PartName="/xl/charts/chart76.xml" ContentType="application/vnd.openxmlformats-officedocument.drawingml.chart+xml"/>
  <Override PartName="/xl/charts/style85.xml" ContentType="application/vnd.ms-office.chartstyle+xml"/>
  <Override PartName="/xl/charts/colors85.xml" ContentType="application/vnd.ms-office.chartcolorstyle+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rawings/drawing43.xml" ContentType="application/vnd.openxmlformats-officedocument.drawing+xml"/>
  <Override PartName="/xl/drawings/drawing44.xml" ContentType="application/vnd.openxmlformats-officedocument.drawing+xml"/>
  <Override PartName="/xl/comments10.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02"/>
  <workbookPr showInkAnnotation="0" codeName="ThisWorkbook"/>
  <mc:AlternateContent xmlns:mc="http://schemas.openxmlformats.org/markup-compatibility/2006">
    <mc:Choice Requires="x15">
      <x15ac:absPath xmlns:x15ac="http://schemas.microsoft.com/office/spreadsheetml/2010/11/ac" url="/Users/buuphan/Dev/Vietnam_dashboard/BSC_masterfile/"/>
    </mc:Choice>
  </mc:AlternateContent>
  <xr:revisionPtr revIDLastSave="0" documentId="8_{5C82015E-4BB3-B24F-A7F6-0A68A7C4BDC7}" xr6:coauthVersionLast="47" xr6:coauthVersionMax="47" xr10:uidLastSave="{00000000-0000-0000-0000-000000000000}"/>
  <bookViews>
    <workbookView xWindow="0" yWindow="680" windowWidth="30240" windowHeight="18960" tabRatio="914" xr2:uid="{00000000-000D-0000-FFFF-FFFF00000000}"/>
  </bookViews>
  <sheets>
    <sheet name="Read_python" sheetId="101" r:id="rId1"/>
    <sheet name="Rev_Month" sheetId="63" r:id="rId2"/>
    <sheet name="Rev_Year" sheetId="62" r:id="rId3"/>
    <sheet name="Appendix" sheetId="54" r:id="rId4"/>
    <sheet name="FS" sheetId="4" r:id="rId5"/>
    <sheet name="IPO" sheetId="100" r:id="rId6"/>
    <sheet name="FS Year" sheetId="39" state="hidden" r:id="rId7"/>
    <sheet name="FS Quarter" sheetId="38" state="hidden" r:id="rId8"/>
    <sheet name="2024_Q" sheetId="93" r:id="rId9"/>
    <sheet name="Valuation_Senario" sheetId="69" r:id="rId10"/>
    <sheet name="bhx_monthly_tracking" sheetId="102" r:id="rId11"/>
    <sheet name="Valuation" sheetId="19" state="hidden" r:id="rId12"/>
    <sheet name="Report's chart" sheetId="94" state="hidden" r:id="rId13"/>
    <sheet name="Khấu hao" sheetId="98" state="hidden" r:id="rId14"/>
    <sheet name="Fixed Asset &amp; Interest" sheetId="64" state="hidden" r:id="rId15"/>
    <sheet name="Diamond" sheetId="95" state="hidden" r:id="rId16"/>
    <sheet name="edit" sheetId="57" state="hidden" r:id="rId17"/>
    <sheet name="SLCH TGDĐ+ĐMX" sheetId="80" state="hidden" r:id="rId18"/>
    <sheet name="LS T3.23" sheetId="84" state="hidden" r:id="rId19"/>
    <sheet name="PE Grocery" sheetId="91" state="hidden" r:id="rId20"/>
    <sheet name="2023_quater" sheetId="77" state="hidden" r:id="rId21"/>
    <sheet name="REV CE" sheetId="79" state="hidden" r:id="rId22"/>
    <sheet name="Inputs" sheetId="2" state="hidden" r:id="rId23"/>
    <sheet name="ExportData" sheetId="71" state="hidden" r:id="rId24"/>
    <sheet name="data DN cùng ngành" sheetId="70" state="hidden" r:id="rId25"/>
    <sheet name="Guideline" sheetId="68" state="hidden" r:id="rId26"/>
    <sheet name="biểu đồ" sheetId="76" state="hidden" r:id="rId27"/>
    <sheet name="PEER" sheetId="82" state="hidden" r:id="rId28"/>
    <sheet name="bhx" sheetId="66" state="hidden" r:id="rId29"/>
    <sheet name="Tổng hợp chart" sheetId="83" state="hidden" r:id="rId30"/>
    <sheet name="Sensitivity_Analysis" sheetId="67" state="hidden" r:id="rId31"/>
    <sheet name="quý 1.22" sheetId="60" state="hidden" r:id="rId32"/>
    <sheet name="WACC" sheetId="18" state="hidden" r:id="rId33"/>
  </sheets>
  <externalReferences>
    <externalReference r:id="rId34"/>
  </externalReferences>
  <definedNames>
    <definedName name="__123Graph_C" hidden="1">#REF!</definedName>
    <definedName name="__123Graph_E" hidden="1">#REF!</definedName>
    <definedName name="__a1" hidden="1">{"'Sheet1'!$L$16"}</definedName>
    <definedName name="__f5" hidden="1">{"'Sheet1'!$L$16"}</definedName>
    <definedName name="__FDS_HYPERLINK_TOGGLE_STATE__" hidden="1">"ON"</definedName>
    <definedName name="__IntlFixup" hidden="1">TRUE</definedName>
    <definedName name="__IntlFixupTable" hidden="1">#REF!</definedName>
    <definedName name="__NSO2" hidden="1">{"'Sheet1'!$L$16"}</definedName>
    <definedName name="_1">#REF!</definedName>
    <definedName name="_1_0_Pr">#REF!</definedName>
    <definedName name="_10">#REF!</definedName>
    <definedName name="_11">#REF!</definedName>
    <definedName name="_12">#REF!</definedName>
    <definedName name="_13">#REF!</definedName>
    <definedName name="_14">#REF!</definedName>
    <definedName name="_1900_Minority_Interest">#REF!</definedName>
    <definedName name="_1995_Asset_Sales">#REF!</definedName>
    <definedName name="_1995_Capex">#REF!</definedName>
    <definedName name="_1995_Capitalized_Interest">#REF!</definedName>
    <definedName name="_1995_Cash_Flow">#REF!</definedName>
    <definedName name="_2">#REF!</definedName>
    <definedName name="_2_0_m">#REF!</definedName>
    <definedName name="_2000E_Capitalized_Interest">#REF!</definedName>
    <definedName name="_2000E_Cash_Flow">#REF!</definedName>
    <definedName name="_2000E_Current_Income_Tax">#REF!</definedName>
    <definedName name="_2000E_DD_A">#REF!</definedName>
    <definedName name="_2000E_Deferred_Income_Tax">#REF!</definedName>
    <definedName name="_2000E_EBIT">#REF!</definedName>
    <definedName name="_2000E_EBITDAX">#REF!</definedName>
    <definedName name="_2000E_Exploration_Expense">#REF!</definedName>
    <definedName name="_2000E_Interest_Expense">#REF!</definedName>
    <definedName name="_2000E_Minority_Interest">#REF!</definedName>
    <definedName name="_2000E_Net_Income">#REF!</definedName>
    <definedName name="_2000E_Other_Income">#REF!</definedName>
    <definedName name="_2000E_Other_Non_Cash_Items">#REF!</definedName>
    <definedName name="_2000E_Revenue">#REF!</definedName>
    <definedName name="_2000E_Weighted_Average_Shares_Outstanding">#REF!</definedName>
    <definedName name="_3">#REF!</definedName>
    <definedName name="_3_0_DPS">#REF!</definedName>
    <definedName name="_3353">#REF!</definedName>
    <definedName name="_3728">#REF!</definedName>
    <definedName name="_4">#REF!</definedName>
    <definedName name="_4_0ACwvu.Pag" hidden="1">#REF!</definedName>
    <definedName name="_4533">#REF!</definedName>
    <definedName name="_5">#REF!</definedName>
    <definedName name="_5_0Swvu.Pag" hidden="1">#REF!</definedName>
    <definedName name="_5751">#REF!</definedName>
    <definedName name="_5752">#REF!</definedName>
    <definedName name="_5753">#REF!</definedName>
    <definedName name="_5755">#REF!</definedName>
    <definedName name="_6">#REF!</definedName>
    <definedName name="_6_0_DPS">#REF!</definedName>
    <definedName name="_7">#REF!</definedName>
    <definedName name="_7_0Rwvu.Pag" hidden="1">#REF!</definedName>
    <definedName name="_8">#REF!</definedName>
    <definedName name="_8_0_YIELD_">#REF!</definedName>
    <definedName name="_8355">#REF!</definedName>
    <definedName name="_8532">#REF!</definedName>
    <definedName name="_9">#REF!</definedName>
    <definedName name="_9_0_YIELD_COV">#REF!</definedName>
    <definedName name="_9_30_95_Asset_Sales">#REF!</definedName>
    <definedName name="_9_30_95_Capex">#REF!</definedName>
    <definedName name="_9_30_95_Capitalized_Interest">#REF!</definedName>
    <definedName name="_9_30_95_Cash_Flow">#REF!</definedName>
    <definedName name="_9_30_95_Current_Income_Tax">#REF!</definedName>
    <definedName name="_9_30_95_DD_A">#REF!</definedName>
    <definedName name="_9_30_95_Deferred_Income_Tax">#REF!</definedName>
    <definedName name="_9_30_95_EBIT">#REF!</definedName>
    <definedName name="_9_30_95_EBITDAX">#REF!</definedName>
    <definedName name="_9_30_95_Exploration_Expense">#REF!</definedName>
    <definedName name="_9_30_95_Interest_Expense">#REF!</definedName>
    <definedName name="_9_30_95_Minority_Interest">#REF!</definedName>
    <definedName name="_9_30_95_Net_Income">#REF!</definedName>
    <definedName name="_9_30_95_Other_Income">#REF!</definedName>
    <definedName name="_9_30_95_Other_Non_Cash_Items">#REF!</definedName>
    <definedName name="_9_30_95_Revenue">#REF!</definedName>
    <definedName name="_9_30_95_Weighted_Average_Shares_Outstanding">#REF!</definedName>
    <definedName name="_9_30_96_Asset_Sales">#REF!</definedName>
    <definedName name="_9_30_96_Capex">#REF!</definedName>
    <definedName name="_9_30_96_Capitalized_Interest">#REF!</definedName>
    <definedName name="_9_30_96_Cash_Flow">#REF!</definedName>
    <definedName name="_9_30_96_Current_Income_Tax">#REF!</definedName>
    <definedName name="_9_30_96_DD_A">#REF!</definedName>
    <definedName name="_9_30_96_Deferred_Income_Tax">#REF!</definedName>
    <definedName name="_9_30_96_EBIT">#REF!</definedName>
    <definedName name="_9_30_96_EBITDAX">#REF!</definedName>
    <definedName name="_9_30_96_Exploration_Expense">#REF!</definedName>
    <definedName name="_9_30_96_Interest_Expense">#REF!</definedName>
    <definedName name="_9_30_96_Minority_Interest">#REF!</definedName>
    <definedName name="_9_30_96_Net_Income">#REF!</definedName>
    <definedName name="_9_30_96_Other_Income">#REF!</definedName>
    <definedName name="_9_30_96_Other_Non_Cash_Items">#REF!</definedName>
    <definedName name="_9_30_96_Revenue">#REF!</definedName>
    <definedName name="_9_30_96_Weighted_Average_Shares_Outstanding">#REF!</definedName>
    <definedName name="_Builtin155" hidden="1">#N/A</definedName>
    <definedName name="_DCF2">#REF!</definedName>
    <definedName name="_EPS1">#REF!</definedName>
    <definedName name="_EPS2">#REF!</definedName>
    <definedName name="_EPS3">#REF!</definedName>
    <definedName name="_EXX88">#REF!</definedName>
    <definedName name="_EXX89">#REF!</definedName>
    <definedName name="_EXX90">#REF!</definedName>
    <definedName name="_Fill" hidden="1">#REF!</definedName>
    <definedName name="_xlnm._FilterDatabase" localSheetId="26" hidden="1">'biểu đồ'!$A$1:$A$44</definedName>
    <definedName name="_Key1" hidden="1">#REF!</definedName>
    <definedName name="_Low1">#REF!</definedName>
    <definedName name="_Low2">#REF!</definedName>
    <definedName name="_Low3">#REF!</definedName>
    <definedName name="_Low4">#REF!</definedName>
    <definedName name="_Low5">#REF!</definedName>
    <definedName name="_Low6">#REF!</definedName>
    <definedName name="_Low7">#REF!</definedName>
    <definedName name="_Low8">#REF!</definedName>
    <definedName name="_Low9">#REF!</definedName>
    <definedName name="_MatMult_B" hidden="1">#REF!</definedName>
    <definedName name="_Order1" hidden="1">0</definedName>
    <definedName name="_Order2" hidden="1">255</definedName>
    <definedName name="_PE1">#REF!</definedName>
    <definedName name="_PE2">#REF!</definedName>
    <definedName name="_PE3">#REF!</definedName>
    <definedName name="_PFY1">#REF!</definedName>
    <definedName name="_PFY2">#REF!</definedName>
    <definedName name="_PFY3">#REF!</definedName>
    <definedName name="_PFY4">#REF!</definedName>
    <definedName name="_T01" hidden="1">#REF!</definedName>
    <definedName name="_xlchart.v1.10" hidden="1">'Report''s chart'!$B$109:$B$115</definedName>
    <definedName name="_xlchart.v1.11" hidden="1">'Report''s chart'!$C$109:$C$115</definedName>
    <definedName name="_xlchart.v1.12" hidden="1">'Report''s chart'!$B$117:$B$122</definedName>
    <definedName name="_xlchart.v1.13" hidden="1">'Report''s chart'!$C$117:$C$122</definedName>
    <definedName name="_xlchart.v1.18" hidden="1">'PE Grocery'!$B$103:$B$1251</definedName>
    <definedName name="_xlchart.v1.19" hidden="1">'PE Grocery'!$B$103:$B$973</definedName>
    <definedName name="_xlchart.v1.20" hidden="1">'biểu đồ'!$A$103:$A$111</definedName>
    <definedName name="_xlchart.v1.21" hidden="1">'biểu đồ'!$B$103:$B$111</definedName>
    <definedName name="_xlchart.v1.22" hidden="1">Valuation_Senario!$A$141:$A$149</definedName>
    <definedName name="_xlchart.v1.23" hidden="1">Valuation_Senario!$B$140</definedName>
    <definedName name="_xlchart.v1.24" hidden="1">Valuation_Senario!$B$141:$B$149</definedName>
    <definedName name="_xlchart.v5.0" hidden="1">'Report''s chart'!$AY$1</definedName>
    <definedName name="_xlchart.v5.1" hidden="1">'Report''s chart'!$AY$2:$AY$38</definedName>
    <definedName name="_xlchart.v5.14" hidden="1">'Report''s chart'!$BA$1</definedName>
    <definedName name="_xlchart.v5.15" hidden="1">'Report''s chart'!$BA$2:$BA$38</definedName>
    <definedName name="_xlchart.v5.16" hidden="1">'Report''s chart'!$BB$1</definedName>
    <definedName name="_xlchart.v5.17" hidden="1">'Report''s chart'!$BB$2:$BB$38</definedName>
    <definedName name="_xlchart.v5.2" hidden="1">'Report''s chart'!$AZ$1</definedName>
    <definedName name="_xlchart.v5.3" hidden="1">'Report''s chart'!$AZ$2:$AZ$38</definedName>
    <definedName name="_xlchart.v5.4" hidden="1">'Report''s chart'!$B$30:$B$35</definedName>
    <definedName name="_xlchart.v5.5" hidden="1">'Report''s chart'!$C$30:$C$35</definedName>
    <definedName name="_xlchart.v5.6" hidden="1">'Report''s chart'!$AU$1</definedName>
    <definedName name="_xlchart.v5.7" hidden="1">'Report''s chart'!$AU$2:$AU$26</definedName>
    <definedName name="_xlchart.v5.8" hidden="1">'Report''s chart'!$AV$1</definedName>
    <definedName name="_xlchart.v5.9" hidden="1">'Report''s chart'!$AV$2:$AV$26</definedName>
    <definedName name="\R">#REF!</definedName>
    <definedName name="a">{"Graphic",#N/A,TRUE,"Graphic"}</definedName>
    <definedName name="aaa" hidden="1">{"mult96",#N/A,FALSE,"PETCOMP";"est96",#N/A,FALSE,"PETCOMP";"mult95",#N/A,FALSE,"PETCOMP";"est95",#N/A,FALSE,"PETCOMP";"multltm",#N/A,FALSE,"PETCOMP";"resultltm",#N/A,FALSE,"PETCOMP"}</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AB_GSPPG" hidden="1">"AAB_Goldman Sachs PPG Chart Utilities 1.0g"</definedName>
    <definedName name="abc" hidden="1">{"Cover",#N/A,FALSE,"Cover";"Summary",#N/A,FALSE,"Summarpage";"Assumptions",#N/A,FALSE,"Assumptions";"Earnings",#N/A,FALSE,"Earnings";"CF Oper.",#N/A,FALSE,"Earnings";"Balance Sheet",#N/A,FALSE,"balance";"Cash Flow",#N/A,FALSE,"cash flow";"Paper Production",#N/A,FALSE,"Paper";"Paper Earnings",#N/A,FALSE,"Paper";"Wood Production",#N/A,FALSE,"Wood Products";"Wood Earnings",#N/A,FALSE,"Wood Products";"Pulp Production",#N/A,FALSE,"Pulp";"Pulp Earnings",#N/A,FALSE,"Pulp"}</definedName>
    <definedName name="AccPay">#REF!</definedName>
    <definedName name="ACwvu.Page4." hidden="1">#REF!</definedName>
    <definedName name="Adjusted_Market_Value">#REF!</definedName>
    <definedName name="After_Tax_SEC_PV_10">#REF!</definedName>
    <definedName name="agag" hidden="1">{"adj95mult",#N/A,FALSE,"COMPCO";"adj95est",#N/A,FALSE,"COMPCO"}</definedName>
    <definedName name="ai">#REF!</definedName>
    <definedName name="AMV____Net_PP_E">#REF!</definedName>
    <definedName name="AMV___1997E_EBITDAX">#REF!</definedName>
    <definedName name="AMV___1998E_EBITDAX">#REF!</definedName>
    <definedName name="AMV___After_Tax_SEC_10_Value">#REF!</definedName>
    <definedName name="AMV___LTM_EBITDAX">#REF!</definedName>
    <definedName name="AMV___Proved_BOE">#REF!</definedName>
    <definedName name="AQP">#REF!</definedName>
    <definedName name="as" hidden="1">{"adj95mult",#N/A,FALSE,"COMPCO";"adj95est",#N/A,FALSE,"COMPCO"}</definedName>
    <definedName name="av">'FS Quarter'!$FG$1</definedName>
    <definedName name="average_FX">#REF!</definedName>
    <definedName name="avgint">#REF!</definedName>
    <definedName name="AvIntRate">#REF!</definedName>
    <definedName name="b" hidden="1">{"Graphic",#N/A,TRUE,"Graphic"}</definedName>
    <definedName name="ba">#REF!</definedName>
    <definedName name="BaltEq">#REF!</definedName>
    <definedName name="BaseTick">#REF!</definedName>
    <definedName name="bd">#REF!</definedName>
    <definedName name="BDB_IBM_Overview">#REF!</definedName>
    <definedName name="BDB_TearSheet">#REF!</definedName>
    <definedName name="be">#REF!</definedName>
    <definedName name="benjaminayan" hidden="1">{"Acq_matrix",#N/A,FALSE,"Acquisition Matrix"}</definedName>
    <definedName name="Beta">#REF!</definedName>
    <definedName name="BetaInc">#REF!</definedName>
    <definedName name="BLEND">#REF!</definedName>
    <definedName name="BLPB1" hidden="1">#REF!</definedName>
    <definedName name="BLPH1" hidden="1">#REF!</definedName>
    <definedName name="BLPH10" hidden="1">#REF!</definedName>
    <definedName name="BLPH11" hidden="1">#REF!</definedName>
    <definedName name="BLPH12" hidden="1">#REF!</definedName>
    <definedName name="BLPH13" hidden="1">#REF!</definedName>
    <definedName name="BLPH14" hidden="1">#REF!</definedName>
    <definedName name="BLPH15" hidden="1">#REF!</definedName>
    <definedName name="BLPH16" hidden="1">#REF!</definedName>
    <definedName name="BLPH17" hidden="1">#REF!</definedName>
    <definedName name="BLPH18" hidden="1">#REF!</definedName>
    <definedName name="BLPH19" hidden="1">#REF!</definedName>
    <definedName name="BLPH2" hidden="1">#REF!</definedName>
    <definedName name="BLPH20" hidden="1">#REF!</definedName>
    <definedName name="BLPH21" hidden="1">#REF!</definedName>
    <definedName name="BLPH22" hidden="1">#REF!</definedName>
    <definedName name="BLPH23" hidden="1">#REF!</definedName>
    <definedName name="BLPH24" hidden="1">#REF!</definedName>
    <definedName name="BLPH25" hidden="1">#REF!</definedName>
    <definedName name="BLPH26" hidden="1">#REF!</definedName>
    <definedName name="BLPH27" hidden="1">#REF!</definedName>
    <definedName name="BLPH28" hidden="1">#REF!</definedName>
    <definedName name="BLPH29" hidden="1">#REF!</definedName>
    <definedName name="BLPH3" hidden="1">#REF!</definedName>
    <definedName name="BLPH30" hidden="1">#REF!</definedName>
    <definedName name="BLPH31" hidden="1">#REF!</definedName>
    <definedName name="BLPH32" hidden="1">#REF!</definedName>
    <definedName name="BLPH33" hidden="1">#REF!</definedName>
    <definedName name="BLPH34" hidden="1">#REF!</definedName>
    <definedName name="BLPH4" hidden="1">#REF!</definedName>
    <definedName name="BLPH5" hidden="1">#REF!</definedName>
    <definedName name="BLPH6" hidden="1">#REF!</definedName>
    <definedName name="BLPH7" hidden="1">#REF!</definedName>
    <definedName name="BLPH8" hidden="1">#REF!</definedName>
    <definedName name="BLPH9" hidden="1">#REF!</definedName>
    <definedName name="BLPR10020040303143550017" hidden="1">#REF!</definedName>
    <definedName name="BLPR10020040303143550017_1_1" hidden="1">#REF!</definedName>
    <definedName name="BLPR10120040303143550017" hidden="1">#REF!</definedName>
    <definedName name="BLPR10120040303143550017_1_1" hidden="1">#REF!</definedName>
    <definedName name="BLPR1020040303143540803" hidden="1">#REF!</definedName>
    <definedName name="BLPR1020040303143540803_1_3" hidden="1">#REF!</definedName>
    <definedName name="BLPR1020040303143540803_2_3" hidden="1">#REF!</definedName>
    <definedName name="BLPR1020040303143540803_3_3" hidden="1">#REF!</definedName>
    <definedName name="BLPR10220040303143550017" hidden="1">#REF!</definedName>
    <definedName name="BLPR10220040303143550017_1_1" hidden="1">#REF!</definedName>
    <definedName name="BLPR10320040303143550017" hidden="1">#REF!</definedName>
    <definedName name="BLPR10320040303143550017_1_1" hidden="1">#REF!</definedName>
    <definedName name="BLPR10420040303143550027" hidden="1">#REF!</definedName>
    <definedName name="BLPR10420040303143550027_1_1" hidden="1">#REF!</definedName>
    <definedName name="BLPR10520040303143550027" hidden="1">#REF!</definedName>
    <definedName name="BLPR10520040303143550027_1_1" hidden="1">#REF!</definedName>
    <definedName name="BLPR10620040303143550027" hidden="1">#REF!</definedName>
    <definedName name="BLPR10620040303143550027_1_1" hidden="1">#REF!</definedName>
    <definedName name="BLPR10720040303143550027" hidden="1">#REF!</definedName>
    <definedName name="BLPR10720040303143550027_1_1" hidden="1">#REF!</definedName>
    <definedName name="BLPR10820040303143550027" hidden="1">#REF!</definedName>
    <definedName name="BLPR10820040303143550027_1_1" hidden="1">#REF!</definedName>
    <definedName name="BLPR10920040303143550027" hidden="1">#REF!</definedName>
    <definedName name="BLPR10920040303143550027_1_1" hidden="1">#REF!</definedName>
    <definedName name="BLPR11020040303143550027" hidden="1">#REF!</definedName>
    <definedName name="BLPR11020040303143550027_1_1" hidden="1">#REF!</definedName>
    <definedName name="BLPR11120040303143550037" hidden="1">#REF!</definedName>
    <definedName name="BLPR11120040303143550037_1_1" hidden="1">#REF!</definedName>
    <definedName name="BLPR1120040303143540803" hidden="1">#REF!</definedName>
    <definedName name="BLPR1120040303143540803_1_3" hidden="1">#REF!</definedName>
    <definedName name="BLPR1120040303143540803_2_3" hidden="1">#REF!</definedName>
    <definedName name="BLPR1120040303143540803_3_3" hidden="1">#REF!</definedName>
    <definedName name="BLPR11220040303143550037" hidden="1">#REF!</definedName>
    <definedName name="BLPR11220040303143550037_1_1" hidden="1">#REF!</definedName>
    <definedName name="BLPR11320040303143550037" hidden="1">#REF!</definedName>
    <definedName name="BLPR11320040303143550037_1_1" hidden="1">#REF!</definedName>
    <definedName name="BLPR11420040303143550037" hidden="1">#REF!</definedName>
    <definedName name="BLPR11420040303143550037_1_1" hidden="1">#REF!</definedName>
    <definedName name="BLPR11520040303143550037" hidden="1">#REF!</definedName>
    <definedName name="BLPR11520040303143550037_1_1" hidden="1">#REF!</definedName>
    <definedName name="BLPR11620040303143550037" hidden="1">#REF!</definedName>
    <definedName name="BLPR11620040303143550037_1_1" hidden="1">#REF!</definedName>
    <definedName name="BLPR11720040303143550047" hidden="1">#REF!</definedName>
    <definedName name="BLPR11720040303143550047_1_1" hidden="1">#REF!</definedName>
    <definedName name="BLPR11820040303143550047" hidden="1">#REF!</definedName>
    <definedName name="BLPR11820040303143550047_1_1" hidden="1">#REF!</definedName>
    <definedName name="BLPR11920040303143550047" hidden="1">#REF!</definedName>
    <definedName name="BLPR11920040303143550047_1_1" hidden="1">#REF!</definedName>
    <definedName name="BLPR120040303143540763" hidden="1">#REF!</definedName>
    <definedName name="BLPR120040303143540763_1_3" hidden="1">#REF!</definedName>
    <definedName name="BLPR120040303143540763_2_3" hidden="1">#REF!</definedName>
    <definedName name="BLPR120040303143540763_3_3" hidden="1">#REF!</definedName>
    <definedName name="BLPR12020040303143550047" hidden="1">#REF!</definedName>
    <definedName name="BLPR12020040303143550047_1_1" hidden="1">#REF!</definedName>
    <definedName name="BLPR12120040303143550047" hidden="1">#REF!</definedName>
    <definedName name="BLPR12120040303143550047_1_1" hidden="1">#REF!</definedName>
    <definedName name="BLPR1220040303143540803" hidden="1">#REF!</definedName>
    <definedName name="BLPR1220040303143540803_1_3" hidden="1">#REF!</definedName>
    <definedName name="BLPR1220040303143540803_2_3" hidden="1">#REF!</definedName>
    <definedName name="BLPR1220040303143540803_3_3" hidden="1">#REF!</definedName>
    <definedName name="BLPR12220040303143550047" hidden="1">#REF!</definedName>
    <definedName name="BLPR12220040303143550047_1_1" hidden="1">#REF!</definedName>
    <definedName name="BLPR12320040303143550047" hidden="1">#REF!</definedName>
    <definedName name="BLPR12320040303143550047_1_1" hidden="1">#REF!</definedName>
    <definedName name="BLPR12420040303143550057" hidden="1">#REF!</definedName>
    <definedName name="BLPR12420040303143550057_1_1" hidden="1">#REF!</definedName>
    <definedName name="BLPR12520040303143550057" hidden="1">#REF!</definedName>
    <definedName name="BLPR12520040303143550057_1_1" hidden="1">#REF!</definedName>
    <definedName name="BLPR12620040303143550057" hidden="1">#REF!</definedName>
    <definedName name="BLPR12620040303143550057_1_1" hidden="1">#REF!</definedName>
    <definedName name="BLPR12720040303143550057" hidden="1">#REF!</definedName>
    <definedName name="BLPR12720040303143550057_1_1" hidden="1">#REF!</definedName>
    <definedName name="BLPR12820040303143550057" hidden="1">#REF!</definedName>
    <definedName name="BLPR12820040303143550057_1_1" hidden="1">#REF!</definedName>
    <definedName name="BLPR12920040303143550057" hidden="1">#REF!</definedName>
    <definedName name="BLPR12920040303143550057_1_1" hidden="1">#REF!</definedName>
    <definedName name="BLPR13020040303143550067" hidden="1">#REF!</definedName>
    <definedName name="BLPR13020040303143550067_1_1" hidden="1">#REF!</definedName>
    <definedName name="BLPR13120040303143550067" hidden="1">#REF!</definedName>
    <definedName name="BLPR13120040303143550067_1_1" hidden="1">#REF!</definedName>
    <definedName name="BLPR1320040303143540813" hidden="1">#REF!</definedName>
    <definedName name="BLPR1320040303143540813_1_3" hidden="1">#REF!</definedName>
    <definedName name="BLPR1320040303143540813_2_3" hidden="1">#REF!</definedName>
    <definedName name="BLPR1320040303143540813_3_3" hidden="1">#REF!</definedName>
    <definedName name="BLPR13220040303143550067" hidden="1">#REF!</definedName>
    <definedName name="BLPR13220040303143550067_1_1" hidden="1">#REF!</definedName>
    <definedName name="BLPR13320040303143550067" hidden="1">#REF!</definedName>
    <definedName name="BLPR13320040303143550067_1_1" hidden="1">#REF!</definedName>
    <definedName name="BLPR13420040303143550067" hidden="1">#REF!</definedName>
    <definedName name="BLPR13420040303143550067_1_1" hidden="1">#REF!</definedName>
    <definedName name="BLPR13520040303143550067" hidden="1">#REF!</definedName>
    <definedName name="BLPR13520040303143550067_1_1" hidden="1">#REF!</definedName>
    <definedName name="BLPR13620040303143550077" hidden="1">#REF!</definedName>
    <definedName name="BLPR13620040303143550077_1_1" hidden="1">#REF!</definedName>
    <definedName name="BLPR13720040303143550077" hidden="1">#REF!</definedName>
    <definedName name="BLPR13720040303143550077_1_1" hidden="1">#REF!</definedName>
    <definedName name="BLPR13820040303143550077" hidden="1">#REF!</definedName>
    <definedName name="BLPR13820040303143550077_1_1" hidden="1">#REF!</definedName>
    <definedName name="BLPR13920040303143550077" hidden="1">#REF!</definedName>
    <definedName name="BLPR13920040303143550077_1_1" hidden="1">#REF!</definedName>
    <definedName name="BLPR14020040303143550077" hidden="1">#REF!</definedName>
    <definedName name="BLPR14020040303143550077_1_1" hidden="1">#REF!</definedName>
    <definedName name="BLPR14120040303143550077" hidden="1">#REF!</definedName>
    <definedName name="BLPR14120040303143550077_1_1" hidden="1">#REF!</definedName>
    <definedName name="BLPR1420040303143540813" hidden="1">#REF!</definedName>
    <definedName name="BLPR1420040303143540813_1_3" hidden="1">#REF!</definedName>
    <definedName name="BLPR1420040303143540813_2_3" hidden="1">#REF!</definedName>
    <definedName name="BLPR1420040303143540813_3_3" hidden="1">#REF!</definedName>
    <definedName name="BLPR14220040303143550077" hidden="1">#REF!</definedName>
    <definedName name="BLPR14220040303143550077_1_1" hidden="1">#REF!</definedName>
    <definedName name="BLPR14320040303143550077" hidden="1">#REF!</definedName>
    <definedName name="BLPR14320040303143550077_1_1" hidden="1">#REF!</definedName>
    <definedName name="BLPR14420040303143550077" hidden="1">#REF!</definedName>
    <definedName name="BLPR14420040303143550077_1_1" hidden="1">#REF!</definedName>
    <definedName name="BLPR14520040303143550077" hidden="1">#REF!</definedName>
    <definedName name="BLPR14520040303143550077_1_1" hidden="1">#REF!</definedName>
    <definedName name="BLPR14620040303143550077" hidden="1">#REF!</definedName>
    <definedName name="BLPR14620040303143550077_1_1" hidden="1">#REF!</definedName>
    <definedName name="BLPR14720040303143550077" hidden="1">#REF!</definedName>
    <definedName name="BLPR14720040303143550077_1_1" hidden="1">#REF!</definedName>
    <definedName name="BLPR14820040303143550077" hidden="1">#REF!</definedName>
    <definedName name="BLPR14820040303143550077_1_1" hidden="1">#REF!</definedName>
    <definedName name="BLPR14920040303143550077" hidden="1">#REF!</definedName>
    <definedName name="BLPR14920040303143550077_1_1" hidden="1">#REF!</definedName>
    <definedName name="BLPR15020040303143550087" hidden="1">#REF!</definedName>
    <definedName name="BLPR15020040303143550087_1_1" hidden="1">#REF!</definedName>
    <definedName name="BLPR15120040303143550087" hidden="1">#REF!</definedName>
    <definedName name="BLPR15120040303143550087_1_1" hidden="1">#REF!</definedName>
    <definedName name="BLPR1520040303143540813" hidden="1">#REF!</definedName>
    <definedName name="BLPR1520040303143540813_1_3" hidden="1">#REF!</definedName>
    <definedName name="BLPR1520040303143540813_2_3" hidden="1">#REF!</definedName>
    <definedName name="BLPR1520040303143540813_3_3" hidden="1">#REF!</definedName>
    <definedName name="BLPR15220040303143550087" hidden="1">#REF!</definedName>
    <definedName name="BLPR15220040303143550087_1_1" hidden="1">#REF!</definedName>
    <definedName name="BLPR15320040303143550087" hidden="1">#REF!</definedName>
    <definedName name="BLPR15320040303143550087_1_1" hidden="1">#REF!</definedName>
    <definedName name="BLPR15420040303143550087" hidden="1">#REF!</definedName>
    <definedName name="BLPR15420040303143550087_1_1" hidden="1">#REF!</definedName>
    <definedName name="BLPR15520040303143550207" hidden="1">#REF!</definedName>
    <definedName name="BLPR15520040303143550207_1_2" hidden="1">#REF!</definedName>
    <definedName name="BLPR15520040303143550207_2_2" hidden="1">#REF!</definedName>
    <definedName name="BLPR15620040303143550227" hidden="1">#REF!</definedName>
    <definedName name="BLPR15620040303143550227_1_2" hidden="1">#REF!</definedName>
    <definedName name="BLPR15620040303143550227_2_2" hidden="1">#REF!</definedName>
    <definedName name="BLPR15720040303143550237" hidden="1">#REF!</definedName>
    <definedName name="BLPR15720040303143550237_1_2" hidden="1">#REF!</definedName>
    <definedName name="BLPR15720040303143550237_2_2" hidden="1">#REF!</definedName>
    <definedName name="BLPR15820040303143550257" hidden="1">#REF!</definedName>
    <definedName name="BLPR15820040303143550257_1_2" hidden="1">#REF!</definedName>
    <definedName name="BLPR15820040303143550257_2_2" hidden="1">#REF!</definedName>
    <definedName name="BLPR15920040303143550267" hidden="1">#REF!</definedName>
    <definedName name="BLPR15920040303143550267_1_2" hidden="1">#REF!</definedName>
    <definedName name="BLPR15920040303143550267_2_2" hidden="1">#REF!</definedName>
    <definedName name="BLPR16020040303143550287" hidden="1">#REF!</definedName>
    <definedName name="BLPR16020040303143550287_1_2" hidden="1">#REF!</definedName>
    <definedName name="BLPR16020040303143550287_2_2" hidden="1">#REF!</definedName>
    <definedName name="BLPR16120040303143550297" hidden="1">#REF!</definedName>
    <definedName name="BLPR16120040303143550297_1_2" hidden="1">#REF!</definedName>
    <definedName name="BLPR16120040303143550297_2_2" hidden="1">#REF!</definedName>
    <definedName name="BLPR1620040303143540813" hidden="1">#REF!</definedName>
    <definedName name="BLPR1620040303143540813_1_3" hidden="1">#REF!</definedName>
    <definedName name="BLPR1620040303143540813_2_3" hidden="1">#REF!</definedName>
    <definedName name="BLPR1620040303143540813_3_3" hidden="1">#REF!</definedName>
    <definedName name="BLPR16220040303143550317" hidden="1">#REF!</definedName>
    <definedName name="BLPR16220040303143550317_1_2" hidden="1">#REF!</definedName>
    <definedName name="BLPR16220040303143550317_2_2" hidden="1">#REF!</definedName>
    <definedName name="BLPR16320040303143550327" hidden="1">#REF!</definedName>
    <definedName name="BLPR16320040303143550327_1_2" hidden="1">#REF!</definedName>
    <definedName name="BLPR16320040303143550327_2_2" hidden="1">#REF!</definedName>
    <definedName name="BLPR16420040303143550347" hidden="1">#REF!</definedName>
    <definedName name="BLPR16420040303143550347_1_2" hidden="1">#REF!</definedName>
    <definedName name="BLPR16420040303143550347_2_2" hidden="1">#REF!</definedName>
    <definedName name="BLPR16520040303143550357" hidden="1">#REF!</definedName>
    <definedName name="BLPR16520040303143550357_1_2" hidden="1">#REF!</definedName>
    <definedName name="BLPR16520040303143550357_2_2" hidden="1">#REF!</definedName>
    <definedName name="BLPR16620040303143550377" hidden="1">#REF!</definedName>
    <definedName name="BLPR16620040303143550377_1_2" hidden="1">#REF!</definedName>
    <definedName name="BLPR16620040303143550377_2_2" hidden="1">#REF!</definedName>
    <definedName name="BLPR16720040303143550397" hidden="1">#REF!</definedName>
    <definedName name="BLPR16720040303143550397_1_2" hidden="1">#REF!</definedName>
    <definedName name="BLPR16720040303143550397_2_2" hidden="1">#REF!</definedName>
    <definedName name="BLPR16820040303143550407" hidden="1">#REF!</definedName>
    <definedName name="BLPR16820040303143550407_1_2" hidden="1">#REF!</definedName>
    <definedName name="BLPR16820040303143550407_2_2" hidden="1">#REF!</definedName>
    <definedName name="BLPR16920040303143550427" hidden="1">#REF!</definedName>
    <definedName name="BLPR16920040303143550427_1_2" hidden="1">#REF!</definedName>
    <definedName name="BLPR16920040303143550427_2_2" hidden="1">#REF!</definedName>
    <definedName name="BLPR17020040303143550437" hidden="1">#REF!</definedName>
    <definedName name="BLPR17020040303143550437_1_2" hidden="1">#REF!</definedName>
    <definedName name="BLPR17020040303143550437_2_2" hidden="1">#REF!</definedName>
    <definedName name="BLPR17120040303143550457" hidden="1">#REF!</definedName>
    <definedName name="BLPR17120040303143550457_1_2" hidden="1">#REF!</definedName>
    <definedName name="BLPR17120040303143550457_2_2" hidden="1">#REF!</definedName>
    <definedName name="BLPR1720040303143540823" hidden="1">#REF!</definedName>
    <definedName name="BLPR1720040303143540823_1_3" hidden="1">#REF!</definedName>
    <definedName name="BLPR1720040303143540823_2_3" hidden="1">#REF!</definedName>
    <definedName name="BLPR1720040303143540823_3_3" hidden="1">#REF!</definedName>
    <definedName name="BLPR17220040303143550477" hidden="1">#REF!</definedName>
    <definedName name="BLPR17220040303143550477_1_2" hidden="1">#REF!</definedName>
    <definedName name="BLPR17220040303143550477_2_2" hidden="1">#REF!</definedName>
    <definedName name="BLPR17320040303143550487" hidden="1">#REF!</definedName>
    <definedName name="BLPR17320040303143550487_1_2" hidden="1">#REF!</definedName>
    <definedName name="BLPR17320040303143550487_2_2" hidden="1">#REF!</definedName>
    <definedName name="BLPR17420040303143550507" hidden="1">#REF!</definedName>
    <definedName name="BLPR17420040303143550507_1_2" hidden="1">#REF!</definedName>
    <definedName name="BLPR17420040303143550507_2_2" hidden="1">#REF!</definedName>
    <definedName name="BLPR17520040303143550527" hidden="1">#REF!</definedName>
    <definedName name="BLPR17520040303143550527_1_2" hidden="1">#REF!</definedName>
    <definedName name="BLPR17520040303143550527_2_2" hidden="1">#REF!</definedName>
    <definedName name="BLPR17620040303143550547" hidden="1">#REF!</definedName>
    <definedName name="BLPR17620040303143550547_1_2" hidden="1">#REF!</definedName>
    <definedName name="BLPR17620040303143550547_2_2" hidden="1">#REF!</definedName>
    <definedName name="BLPR17720040303143550557" hidden="1">#REF!</definedName>
    <definedName name="BLPR17720040303143550557_1_2" hidden="1">#REF!</definedName>
    <definedName name="BLPR17720040303143550557_2_2" hidden="1">#REF!</definedName>
    <definedName name="BLPR17820040303143550577" hidden="1">#REF!</definedName>
    <definedName name="BLPR17820040303143550577_1_2" hidden="1">#REF!</definedName>
    <definedName name="BLPR17820040303143550577_2_2" hidden="1">#REF!</definedName>
    <definedName name="BLPR17920040303143550597" hidden="1">#REF!</definedName>
    <definedName name="BLPR17920040303143550597_1_2" hidden="1">#REF!</definedName>
    <definedName name="BLPR17920040303143550597_2_2" hidden="1">#REF!</definedName>
    <definedName name="BLPR18020040303143550617" hidden="1">#REF!</definedName>
    <definedName name="BLPR18020040303143550617_1_2" hidden="1">#REF!</definedName>
    <definedName name="BLPR18020040303143550617_2_2" hidden="1">#REF!</definedName>
    <definedName name="BLPR18120040303143550637" hidden="1">#REF!</definedName>
    <definedName name="BLPR18120040303143550637_1_2" hidden="1">#REF!</definedName>
    <definedName name="BLPR18120040303143550637_2_2" hidden="1">#REF!</definedName>
    <definedName name="BLPR1820040303143540823" hidden="1">#REF!</definedName>
    <definedName name="BLPR1820040303143540823_1_3" hidden="1">#REF!</definedName>
    <definedName name="BLPR1820040303143540823_2_3" hidden="1">#REF!</definedName>
    <definedName name="BLPR1820040303143540823_3_3" hidden="1">#REF!</definedName>
    <definedName name="BLPR18220040303143550657" hidden="1">#REF!</definedName>
    <definedName name="BLPR18220040303143550657_1_2" hidden="1">#REF!</definedName>
    <definedName name="BLPR18220040303143550657_2_2" hidden="1">#REF!</definedName>
    <definedName name="BLPR18320040303143550678" hidden="1">#REF!</definedName>
    <definedName name="BLPR18320040303143550678_1_2" hidden="1">#REF!</definedName>
    <definedName name="BLPR18320040303143550678_2_2" hidden="1">#REF!</definedName>
    <definedName name="BLPR18420040303143550698" hidden="1">#REF!</definedName>
    <definedName name="BLPR18420040303143550698_1_2" hidden="1">#REF!</definedName>
    <definedName name="BLPR18420040303143550698_2_2" hidden="1">#REF!</definedName>
    <definedName name="BLPR18520040303143550718" hidden="1">#REF!</definedName>
    <definedName name="BLPR18520040303143550718_1_2" hidden="1">#REF!</definedName>
    <definedName name="BLPR18520040303143550718_2_2" hidden="1">#REF!</definedName>
    <definedName name="BLPR18620040303143550738" hidden="1">#REF!</definedName>
    <definedName name="BLPR18620040303143550738_1_2" hidden="1">#REF!</definedName>
    <definedName name="BLPR18620040303143550738_2_2" hidden="1">#REF!</definedName>
    <definedName name="BLPR18720040303143550758" hidden="1">#REF!</definedName>
    <definedName name="BLPR18720040303143550758_1_2" hidden="1">#REF!</definedName>
    <definedName name="BLPR18720040303143550758_2_2" hidden="1">#REF!</definedName>
    <definedName name="BLPR18820040303143550778" hidden="1">#REF!</definedName>
    <definedName name="BLPR18820040303143550778_1_2" hidden="1">#REF!</definedName>
    <definedName name="BLPR18820040303143550778_2_2" hidden="1">#REF!</definedName>
    <definedName name="BLPR18920040303143550798" hidden="1">#REF!</definedName>
    <definedName name="BLPR18920040303143550798_1_2" hidden="1">#REF!</definedName>
    <definedName name="BLPR18920040303143550798_2_2" hidden="1">#REF!</definedName>
    <definedName name="BLPR19020040303143550818" hidden="1">#REF!</definedName>
    <definedName name="BLPR19020040303143550818_1_2" hidden="1">#REF!</definedName>
    <definedName name="BLPR19020040303143550818_2_2" hidden="1">#REF!</definedName>
    <definedName name="BLPR19120040303143550838" hidden="1">#REF!</definedName>
    <definedName name="BLPR19120040303143550838_1_2" hidden="1">#REF!</definedName>
    <definedName name="BLPR19120040303143550838_2_2" hidden="1">#REF!</definedName>
    <definedName name="BLPR1920040303143540823" hidden="1">#REF!</definedName>
    <definedName name="BLPR1920040303143540823_1_3" hidden="1">#REF!</definedName>
    <definedName name="BLPR1920040303143540823_2_3" hidden="1">#REF!</definedName>
    <definedName name="BLPR1920040303143540823_3_3" hidden="1">#REF!</definedName>
    <definedName name="BLPR19220040303143550858" hidden="1">#REF!</definedName>
    <definedName name="BLPR19220040303143550858_1_2" hidden="1">#REF!</definedName>
    <definedName name="BLPR19220040303143550858_2_2" hidden="1">#REF!</definedName>
    <definedName name="BLPR19320040303143550878" hidden="1">#REF!</definedName>
    <definedName name="BLPR19320040303143550878_1_2" hidden="1">#REF!</definedName>
    <definedName name="BLPR19320040303143550878_2_2" hidden="1">#REF!</definedName>
    <definedName name="BLPR19420040303143550898" hidden="1">#REF!</definedName>
    <definedName name="BLPR19420040303143550898_1_2" hidden="1">#REF!</definedName>
    <definedName name="BLPR19420040303143550898_2_2" hidden="1">#REF!</definedName>
    <definedName name="BLPR19520040303143550928" hidden="1">#REF!</definedName>
    <definedName name="BLPR19520040303143550928_1_2" hidden="1">#REF!</definedName>
    <definedName name="BLPR19520040303143550928_2_2" hidden="1">#REF!</definedName>
    <definedName name="BLPR19620040303143550948" hidden="1">#REF!</definedName>
    <definedName name="BLPR19620040303143550948_1_2" hidden="1">#REF!</definedName>
    <definedName name="BLPR19620040303143550948_2_2" hidden="1">#REF!</definedName>
    <definedName name="BLPR19720040303143550968" hidden="1">#REF!</definedName>
    <definedName name="BLPR19720040303143550968_1_2" hidden="1">#REF!</definedName>
    <definedName name="BLPR19720040303143550968_2_2" hidden="1">#REF!</definedName>
    <definedName name="BLPR19820040303143550988" hidden="1">#REF!</definedName>
    <definedName name="BLPR19820040303143550988_1_2" hidden="1">#REF!</definedName>
    <definedName name="BLPR19820040303143550988_2_2" hidden="1">#REF!</definedName>
    <definedName name="BLPR19920040303143551999" hidden="1">#REF!</definedName>
    <definedName name="BLPR19920040303143551999_1_1" hidden="1">#REF!</definedName>
    <definedName name="BLPR20020040303143551999" hidden="1">#REF!</definedName>
    <definedName name="BLPR20020040303143551999_1_1" hidden="1">#REF!</definedName>
    <definedName name="BLPR20120040303143551999" hidden="1">#REF!</definedName>
    <definedName name="BLPR20120040303143551999_1_1" hidden="1">#REF!</definedName>
    <definedName name="BLPR2020040303143540823" hidden="1">#REF!</definedName>
    <definedName name="BLPR2020040303143540823_1_3" hidden="1">#REF!</definedName>
    <definedName name="BLPR2020040303143540823_2_3" hidden="1">#REF!</definedName>
    <definedName name="BLPR2020040303143540823_3_3" hidden="1">#REF!</definedName>
    <definedName name="BLPR20220040303143551999" hidden="1">#REF!</definedName>
    <definedName name="BLPR20220040303143551999_1_1" hidden="1">#REF!</definedName>
    <definedName name="BLPR20320040303143552009" hidden="1">#REF!</definedName>
    <definedName name="BLPR20320040303143552009_1_1" hidden="1">#REF!</definedName>
    <definedName name="BLPR20420040303143552009" hidden="1">#REF!</definedName>
    <definedName name="BLPR20420040303143552009_1_1" hidden="1">#REF!</definedName>
    <definedName name="BLPR20520040303143552009" hidden="1">#REF!</definedName>
    <definedName name="BLPR20520040303143552009_1_1" hidden="1">#REF!</definedName>
    <definedName name="BLPR20620040303143552009" hidden="1">#REF!</definedName>
    <definedName name="BLPR20620040303143552009_1_1" hidden="1">#REF!</definedName>
    <definedName name="BLPR20720040303143552009" hidden="1">#REF!</definedName>
    <definedName name="BLPR20720040303143552009_1_1" hidden="1">#REF!</definedName>
    <definedName name="BLPR20820040303143552009" hidden="1">#REF!</definedName>
    <definedName name="BLPR20820040303143552009_1_1" hidden="1">#REF!</definedName>
    <definedName name="BLPR20920040303143552009" hidden="1">#REF!</definedName>
    <definedName name="BLPR20920040303143552009_1_1" hidden="1">#REF!</definedName>
    <definedName name="BLPR21020040303143552009" hidden="1">#REF!</definedName>
    <definedName name="BLPR21020040303143552009_1_1" hidden="1">#REF!</definedName>
    <definedName name="BLPR21120040303143552009" hidden="1">#REF!</definedName>
    <definedName name="BLPR21120040303143552009_1_1" hidden="1">#REF!</definedName>
    <definedName name="BLPR2120040303143540823" hidden="1">#REF!</definedName>
    <definedName name="BLPR2120040303143540823_1_3" hidden="1">#REF!</definedName>
    <definedName name="BLPR2120040303143540823_2_3" hidden="1">#REF!</definedName>
    <definedName name="BLPR2120040303143540823_3_3" hidden="1">#REF!</definedName>
    <definedName name="BLPR21220040303143552009" hidden="1">#REF!</definedName>
    <definedName name="BLPR21220040303143552009_1_1" hidden="1">#REF!</definedName>
    <definedName name="BLPR21320040303143552009" hidden="1">#REF!</definedName>
    <definedName name="BLPR21320040303143552009_1_1" hidden="1">#REF!</definedName>
    <definedName name="BLPR21420040303143552019" hidden="1">#REF!</definedName>
    <definedName name="BLPR21420040303143552019_1_1" hidden="1">#REF!</definedName>
    <definedName name="BLPR21520040303143552080" hidden="1">#REF!</definedName>
    <definedName name="BLPR21520040303143552080_1_2" hidden="1">#REF!</definedName>
    <definedName name="BLPR21520040303143552080_2_2" hidden="1">#REF!</definedName>
    <definedName name="BLPR21620040303143552110" hidden="1">#REF!</definedName>
    <definedName name="BLPR21620040303143552110_1_2" hidden="1">#REF!</definedName>
    <definedName name="BLPR21620040303143552110_2_2" hidden="1">#REF!</definedName>
    <definedName name="BLPR21720040303143552130" hidden="1">#REF!</definedName>
    <definedName name="BLPR21720040303143552130_1_2" hidden="1">#REF!</definedName>
    <definedName name="BLPR21720040303143552130_2_2" hidden="1">#REF!</definedName>
    <definedName name="BLPR21820040303143552160" hidden="1">#REF!</definedName>
    <definedName name="BLPR21820040303143552160_1_2" hidden="1">#REF!</definedName>
    <definedName name="BLPR21820040303143552160_2_2" hidden="1">#REF!</definedName>
    <definedName name="BLPR21920040303143552180" hidden="1">#REF!</definedName>
    <definedName name="BLPR21920040303143552180_1_2" hidden="1">#REF!</definedName>
    <definedName name="BLPR21920040303143552180_2_2" hidden="1">#REF!</definedName>
    <definedName name="BLPR220040303143540773" hidden="1">#REF!</definedName>
    <definedName name="BLPR220040303143540773_1_3" hidden="1">#REF!</definedName>
    <definedName name="BLPR220040303143540773_2_3" hidden="1">#REF!</definedName>
    <definedName name="BLPR220040303143540773_3_3" hidden="1">#REF!</definedName>
    <definedName name="BLPR22020040303143552210" hidden="1">#REF!</definedName>
    <definedName name="BLPR22020040303143552210_1_2" hidden="1">#REF!</definedName>
    <definedName name="BLPR22020040303143552210_2_2" hidden="1">#REF!</definedName>
    <definedName name="BLPR22120040303143552230" hidden="1">#REF!</definedName>
    <definedName name="BLPR22120040303143552230_1_2" hidden="1">#REF!</definedName>
    <definedName name="BLPR22120040303143552230_2_2" hidden="1">#REF!</definedName>
    <definedName name="BLPR2220040303143540833" hidden="1">#REF!</definedName>
    <definedName name="BLPR2220040303143540833_1_3" hidden="1">#REF!</definedName>
    <definedName name="BLPR2220040303143540833_2_3" hidden="1">#REF!</definedName>
    <definedName name="BLPR2220040303143540833_3_3" hidden="1">#REF!</definedName>
    <definedName name="BLPR22220040303143552260" hidden="1">#REF!</definedName>
    <definedName name="BLPR22220040303143552260_1_2" hidden="1">#REF!</definedName>
    <definedName name="BLPR22220040303143552260_2_2" hidden="1">#REF!</definedName>
    <definedName name="BLPR2320040303143540833" hidden="1">#REF!</definedName>
    <definedName name="BLPR2320040303143540833_1_3" hidden="1">#REF!</definedName>
    <definedName name="BLPR2320040303143540833_2_3" hidden="1">#REF!</definedName>
    <definedName name="BLPR2320040303143540833_3_3" hidden="1">#REF!</definedName>
    <definedName name="BLPR2420040303143540833" hidden="1">#REF!</definedName>
    <definedName name="BLPR2420040303143540833_1_3" hidden="1">#REF!</definedName>
    <definedName name="BLPR2420040303143540833_2_3" hidden="1">#REF!</definedName>
    <definedName name="BLPR2420040303143540833_3_3" hidden="1">#REF!</definedName>
    <definedName name="BLPR2520040303143540833" hidden="1">#REF!</definedName>
    <definedName name="BLPR2520040303143540833_1_3" hidden="1">#REF!</definedName>
    <definedName name="BLPR2520040303143540833_2_3" hidden="1">#REF!</definedName>
    <definedName name="BLPR2520040303143540833_3_3" hidden="1">#REF!</definedName>
    <definedName name="BLPR2620040303143540833" hidden="1">#REF!</definedName>
    <definedName name="BLPR2620040303143540833_1_3" hidden="1">#REF!</definedName>
    <definedName name="BLPR2620040303143540833_2_3" hidden="1">#REF!</definedName>
    <definedName name="BLPR2620040303143540833_3_3" hidden="1">#REF!</definedName>
    <definedName name="BLPR2720040303143540843" hidden="1">#REF!</definedName>
    <definedName name="BLPR2720040303143540843_1_3" hidden="1">#REF!</definedName>
    <definedName name="BLPR2720040303143540843_2_3" hidden="1">#REF!</definedName>
    <definedName name="BLPR2720040303143540843_3_3" hidden="1">#REF!</definedName>
    <definedName name="BLPR2820040303143540843" hidden="1">#REF!</definedName>
    <definedName name="BLPR2820040303143540843_1_3" hidden="1">#REF!</definedName>
    <definedName name="BLPR2820040303143540843_2_3" hidden="1">#REF!</definedName>
    <definedName name="BLPR2820040303143540843_3_3" hidden="1">#REF!</definedName>
    <definedName name="BLPR2920040303143540843" hidden="1">#REF!</definedName>
    <definedName name="BLPR2920040303143540843_1_3" hidden="1">#REF!</definedName>
    <definedName name="BLPR2920040303143540843_2_3" hidden="1">#REF!</definedName>
    <definedName name="BLPR2920040303143540843_3_3" hidden="1">#REF!</definedName>
    <definedName name="BLPR3020040303143540843" hidden="1">#REF!</definedName>
    <definedName name="BLPR3020040303143540843_1_3" hidden="1">#REF!</definedName>
    <definedName name="BLPR3020040303143540843_2_3" hidden="1">#REF!</definedName>
    <definedName name="BLPR3020040303143540843_3_3" hidden="1">#REF!</definedName>
    <definedName name="BLPR3120040303143540853" hidden="1">#REF!</definedName>
    <definedName name="BLPR3120040303143540853_1_3" hidden="1">#REF!</definedName>
    <definedName name="BLPR3120040303143540853_2_3" hidden="1">#REF!</definedName>
    <definedName name="BLPR3120040303143540853_3_3" hidden="1">#REF!</definedName>
    <definedName name="BLPR320040303143540773" hidden="1">#REF!</definedName>
    <definedName name="BLPR320040303143540773_1_3" hidden="1">#REF!</definedName>
    <definedName name="BLPR320040303143540773_2_3" hidden="1">#REF!</definedName>
    <definedName name="BLPR320040303143540773_3_3" hidden="1">#REF!</definedName>
    <definedName name="BLPR3220040303143540853" hidden="1">#REF!</definedName>
    <definedName name="BLPR3220040303143540853_1_3" hidden="1">#REF!</definedName>
    <definedName name="BLPR3220040303143540853_2_3" hidden="1">#REF!</definedName>
    <definedName name="BLPR3220040303143540853_3_3" hidden="1">#REF!</definedName>
    <definedName name="BLPR3320040303143540853" hidden="1">#REF!</definedName>
    <definedName name="BLPR3320040303143540853_1_3" hidden="1">#REF!</definedName>
    <definedName name="BLPR3320040303143540853_2_3" hidden="1">#REF!</definedName>
    <definedName name="BLPR3320040303143540853_3_3" hidden="1">#REF!</definedName>
    <definedName name="BLPR3420040303143540853" hidden="1">#REF!</definedName>
    <definedName name="BLPR3420040303143540853_1_3" hidden="1">#REF!</definedName>
    <definedName name="BLPR3420040303143540853_2_3" hidden="1">#REF!</definedName>
    <definedName name="BLPR3420040303143540853_3_3" hidden="1">#REF!</definedName>
    <definedName name="BLPR3520040303143540853" hidden="1">#REF!</definedName>
    <definedName name="BLPR3520040303143540853_1_3" hidden="1">#REF!</definedName>
    <definedName name="BLPR3520040303143540853_2_3" hidden="1">#REF!</definedName>
    <definedName name="BLPR3520040303143540853_3_3" hidden="1">#REF!</definedName>
    <definedName name="BLPR3620040303143540863" hidden="1">#REF!</definedName>
    <definedName name="BLPR3620040303143540863_1_3" hidden="1">#REF!</definedName>
    <definedName name="BLPR3620040303143540863_2_3" hidden="1">#REF!</definedName>
    <definedName name="BLPR3620040303143540863_3_3" hidden="1">#REF!</definedName>
    <definedName name="BLPR3720040303143540863" hidden="1">#REF!</definedName>
    <definedName name="BLPR3720040303143540863_1_3" hidden="1">#REF!</definedName>
    <definedName name="BLPR3720040303143540863_2_3" hidden="1">#REF!</definedName>
    <definedName name="BLPR3720040303143540863_3_3" hidden="1">#REF!</definedName>
    <definedName name="BLPR3820040303143540863" hidden="1">#REF!</definedName>
    <definedName name="BLPR3820040303143540863_1_3" hidden="1">#REF!</definedName>
    <definedName name="BLPR3820040303143540863_2_3" hidden="1">#REF!</definedName>
    <definedName name="BLPR3820040303143540863_3_3" hidden="1">#REF!</definedName>
    <definedName name="BLPR3920040303143540863" hidden="1">#REF!</definedName>
    <definedName name="BLPR3920040303143540863_1_3" hidden="1">#REF!</definedName>
    <definedName name="BLPR3920040303143540863_2_3" hidden="1">#REF!</definedName>
    <definedName name="BLPR3920040303143540863_3_3" hidden="1">#REF!</definedName>
    <definedName name="BLPR4020040303143540873" hidden="1">#REF!</definedName>
    <definedName name="BLPR4020040303143540873_1_3" hidden="1">#REF!</definedName>
    <definedName name="BLPR4020040303143540873_2_3" hidden="1">#REF!</definedName>
    <definedName name="BLPR4020040303143540873_3_3" hidden="1">#REF!</definedName>
    <definedName name="BLPR4120040303143540873" hidden="1">#REF!</definedName>
    <definedName name="BLPR4120040303143540873_1_3" hidden="1">#REF!</definedName>
    <definedName name="BLPR4120040303143540873_2_3" hidden="1">#REF!</definedName>
    <definedName name="BLPR4120040303143540873_3_3" hidden="1">#REF!</definedName>
    <definedName name="BLPR420040303143540783" hidden="1">#REF!</definedName>
    <definedName name="BLPR420040303143540783_1_3" hidden="1">#REF!</definedName>
    <definedName name="BLPR420040303143540783_2_3" hidden="1">#REF!</definedName>
    <definedName name="BLPR420040303143540783_3_3" hidden="1">#REF!</definedName>
    <definedName name="BLPR4220040303143540873" hidden="1">#REF!</definedName>
    <definedName name="BLPR4220040303143540873_1_3" hidden="1">#REF!</definedName>
    <definedName name="BLPR4220040303143540873_2_3" hidden="1">#REF!</definedName>
    <definedName name="BLPR4220040303143540873_3_3" hidden="1">#REF!</definedName>
    <definedName name="BLPR4320040303143540873" hidden="1">#REF!</definedName>
    <definedName name="BLPR4320040303143540873_1_3" hidden="1">#REF!</definedName>
    <definedName name="BLPR4320040303143540873_2_3" hidden="1">#REF!</definedName>
    <definedName name="BLPR4320040303143540873_3_3" hidden="1">#REF!</definedName>
    <definedName name="BLPR4420040303143540883" hidden="1">#REF!</definedName>
    <definedName name="BLPR4420040303143540883_1_3" hidden="1">#REF!</definedName>
    <definedName name="BLPR4420040303143540883_2_3" hidden="1">#REF!</definedName>
    <definedName name="BLPR4420040303143540883_3_3" hidden="1">#REF!</definedName>
    <definedName name="BLPR4520040303143540883" hidden="1">#REF!</definedName>
    <definedName name="BLPR4520040303143540883_1_3" hidden="1">#REF!</definedName>
    <definedName name="BLPR4520040303143540883_2_3" hidden="1">#REF!</definedName>
    <definedName name="BLPR4520040303143540883_3_3" hidden="1">#REF!</definedName>
    <definedName name="BLPR4620040303143540883" hidden="1">#REF!</definedName>
    <definedName name="BLPR4620040303143540883_1_3" hidden="1">#REF!</definedName>
    <definedName name="BLPR4620040303143540883_2_3" hidden="1">#REF!</definedName>
    <definedName name="BLPR4620040303143540883_3_3" hidden="1">#REF!</definedName>
    <definedName name="BLPR4720040303143540893" hidden="1">#REF!</definedName>
    <definedName name="BLPR4720040303143540893_1_3" hidden="1">#REF!</definedName>
    <definedName name="BLPR4720040303143540893_2_3" hidden="1">#REF!</definedName>
    <definedName name="BLPR4720040303143540893_3_3" hidden="1">#REF!</definedName>
    <definedName name="BLPR4820040303143540893" hidden="1">#REF!</definedName>
    <definedName name="BLPR4820040303143540893_1_3" hidden="1">#REF!</definedName>
    <definedName name="BLPR4820040303143540893_2_3" hidden="1">#REF!</definedName>
    <definedName name="BLPR4820040303143540893_3_3" hidden="1">#REF!</definedName>
    <definedName name="BLPR4920040303143542085" hidden="1">#REF!</definedName>
    <definedName name="BLPR4920040303143542085_1_3" hidden="1">#REF!</definedName>
    <definedName name="BLPR4920040303143542085_2_3" hidden="1">#REF!</definedName>
    <definedName name="BLPR4920040303143542085_3_3" hidden="1">#REF!</definedName>
    <definedName name="BLPR5020040303143542085" hidden="1">#REF!</definedName>
    <definedName name="BLPR5020040303143542085_1_3" hidden="1">#REF!</definedName>
    <definedName name="BLPR5020040303143542085_2_3" hidden="1">#REF!</definedName>
    <definedName name="BLPR5020040303143542085_3_3" hidden="1">#REF!</definedName>
    <definedName name="BLPR5120040303143542095" hidden="1">#REF!</definedName>
    <definedName name="BLPR5120040303143542095_1_3" hidden="1">#REF!</definedName>
    <definedName name="BLPR5120040303143542095_2_3" hidden="1">#REF!</definedName>
    <definedName name="BLPR5120040303143542095_3_3" hidden="1">#REF!</definedName>
    <definedName name="BLPR520040303143540783" hidden="1">#REF!</definedName>
    <definedName name="BLPR520040303143540783_1_3" hidden="1">#REF!</definedName>
    <definedName name="BLPR520040303143540783_2_3" hidden="1">#REF!</definedName>
    <definedName name="BLPR520040303143540783_3_3" hidden="1">#REF!</definedName>
    <definedName name="BLPR5220040303143542095" hidden="1">#REF!</definedName>
    <definedName name="BLPR5220040303143542095_1_3" hidden="1">#REF!</definedName>
    <definedName name="BLPR5220040303143542095_2_3" hidden="1">#REF!</definedName>
    <definedName name="BLPR5220040303143542095_3_3" hidden="1">#REF!</definedName>
    <definedName name="BLPR5320040303143542095" hidden="1">#REF!</definedName>
    <definedName name="BLPR5320040303143542095_1_3" hidden="1">#REF!</definedName>
    <definedName name="BLPR5320040303143542095_2_3" hidden="1">#REF!</definedName>
    <definedName name="BLPR5320040303143542095_3_3" hidden="1">#REF!</definedName>
    <definedName name="BLPR5420040303143542095" hidden="1">#REF!</definedName>
    <definedName name="BLPR5420040303143542095_1_3" hidden="1">#REF!</definedName>
    <definedName name="BLPR5420040303143542095_2_3" hidden="1">#REF!</definedName>
    <definedName name="BLPR5420040303143542095_3_3" hidden="1">#REF!</definedName>
    <definedName name="BLPR5520040303143542095" hidden="1">#REF!</definedName>
    <definedName name="BLPR5520040303143542095_1_3" hidden="1">#REF!</definedName>
    <definedName name="BLPR5520040303143542095_2_3" hidden="1">#REF!</definedName>
    <definedName name="BLPR5520040303143542095_3_3" hidden="1">#REF!</definedName>
    <definedName name="BLPR5620040303143542105" hidden="1">#REF!</definedName>
    <definedName name="BLPR5620040303143542105_1_3" hidden="1">#REF!</definedName>
    <definedName name="BLPR5620040303143542105_2_3" hidden="1">#REF!</definedName>
    <definedName name="BLPR5620040303143542105_3_3" hidden="1">#REF!</definedName>
    <definedName name="BLPR5720040303143542105" hidden="1">#REF!</definedName>
    <definedName name="BLPR5720040303143542105_1_3" hidden="1">#REF!</definedName>
    <definedName name="BLPR5720040303143542105_2_3" hidden="1">#REF!</definedName>
    <definedName name="BLPR5720040303143542105_3_3" hidden="1">#REF!</definedName>
    <definedName name="BLPR5820040303143548064" hidden="1">#REF!</definedName>
    <definedName name="BLPR5820040303143548064_1_1" hidden="1">#REF!</definedName>
    <definedName name="BLPR5920040303143548074" hidden="1">#REF!</definedName>
    <definedName name="BLPR5920040303143548074_1_1" hidden="1">#REF!</definedName>
    <definedName name="BLPR6020040303143548074" hidden="1">#REF!</definedName>
    <definedName name="BLPR6020040303143548074_1_1" hidden="1">#REF!</definedName>
    <definedName name="BLPR6120040303143548074" hidden="1">#REF!</definedName>
    <definedName name="BLPR6120040303143548074_1_1" hidden="1">#REF!</definedName>
    <definedName name="BLPR620040303143540783" hidden="1">#REF!</definedName>
    <definedName name="BLPR620040303143540783_1_3" hidden="1">#REF!</definedName>
    <definedName name="BLPR620040303143540783_2_3" hidden="1">#REF!</definedName>
    <definedName name="BLPR620040303143540783_3_3" hidden="1">#REF!</definedName>
    <definedName name="BLPR6220040303143548074" hidden="1">#REF!</definedName>
    <definedName name="BLPR6220040303143548074_1_1" hidden="1">#REF!</definedName>
    <definedName name="BLPR6320040303143548074" hidden="1">#REF!</definedName>
    <definedName name="BLPR6320040303143548074_1_1" hidden="1">#REF!</definedName>
    <definedName name="BLPR6420040303143548104" hidden="1">#REF!</definedName>
    <definedName name="BLPR6420040303143548104_1_2" hidden="1">#REF!</definedName>
    <definedName name="BLPR6420040303143548104_2_2" hidden="1">#REF!</definedName>
    <definedName name="BLPR6520040303143548114" hidden="1">#REF!</definedName>
    <definedName name="BLPR6520040303143548114_1_2" hidden="1">#REF!</definedName>
    <definedName name="BLPR6520040303143548114_2_2" hidden="1">#REF!</definedName>
    <definedName name="BLPR6620040303143548134" hidden="1">#REF!</definedName>
    <definedName name="BLPR6620040303143548134_1_2" hidden="1">#REF!</definedName>
    <definedName name="BLPR6620040303143548134_2_2" hidden="1">#REF!</definedName>
    <definedName name="BLPR6720040303143549966" hidden="1">#REF!</definedName>
    <definedName name="BLPR6720040303143549966_1_1" hidden="1">#REF!</definedName>
    <definedName name="BLPR6820040303143549966" hidden="1">#REF!</definedName>
    <definedName name="BLPR6820040303143549966_1_1" hidden="1">#REF!</definedName>
    <definedName name="BLPR6920040303143549966" hidden="1">#REF!</definedName>
    <definedName name="BLPR6920040303143549966_1_1" hidden="1">#REF!</definedName>
    <definedName name="BLPR7020040303143549966" hidden="1">#REF!</definedName>
    <definedName name="BLPR7020040303143549966_1_1" hidden="1">#REF!</definedName>
    <definedName name="BLPR7120040303143549966" hidden="1">#REF!</definedName>
    <definedName name="BLPR7120040303143549966_1_1" hidden="1">#REF!</definedName>
    <definedName name="BLPR720040303143540783" hidden="1">#REF!</definedName>
    <definedName name="BLPR720040303143540783_1_3" hidden="1">#REF!</definedName>
    <definedName name="BLPR720040303143540783_2_3" hidden="1">#REF!</definedName>
    <definedName name="BLPR720040303143540783_3_3" hidden="1">#REF!</definedName>
    <definedName name="BLPR7220040303143549966" hidden="1">#REF!</definedName>
    <definedName name="BLPR7220040303143549966_1_1" hidden="1">#REF!</definedName>
    <definedName name="BLPR7320040303143549976" hidden="1">#REF!</definedName>
    <definedName name="BLPR7320040303143549976_1_1" hidden="1">#REF!</definedName>
    <definedName name="BLPR7420040303143549976" hidden="1">#REF!</definedName>
    <definedName name="BLPR7420040303143549976_1_1" hidden="1">#REF!</definedName>
    <definedName name="BLPR7520040303143549976" hidden="1">#REF!</definedName>
    <definedName name="BLPR7520040303143549976_1_1" hidden="1">#REF!</definedName>
    <definedName name="BLPR7620040303143549976" hidden="1">#REF!</definedName>
    <definedName name="BLPR7620040303143549976_1_1" hidden="1">#REF!</definedName>
    <definedName name="BLPR7720040303143549976" hidden="1">#REF!</definedName>
    <definedName name="BLPR7720040303143549976_1_1" hidden="1">#REF!</definedName>
    <definedName name="BLPR7820040303143549976" hidden="1">#REF!</definedName>
    <definedName name="BLPR7820040303143549976_1_1" hidden="1">#REF!</definedName>
    <definedName name="BLPR7920040303143549987" hidden="1">#REF!</definedName>
    <definedName name="BLPR7920040303143549987_1_1" hidden="1">#REF!</definedName>
    <definedName name="BLPR8020040303143549987" hidden="1">#REF!</definedName>
    <definedName name="BLPR8020040303143549987_1_1" hidden="1">#REF!</definedName>
    <definedName name="BLPR8120040303143549987" hidden="1">#REF!</definedName>
    <definedName name="BLPR8120040303143549987_1_1" hidden="1">#REF!</definedName>
    <definedName name="BLPR820040303143540793" hidden="1">#REF!</definedName>
    <definedName name="BLPR820040303143540793_1_3" hidden="1">#REF!</definedName>
    <definedName name="BLPR820040303143540793_2_3" hidden="1">#REF!</definedName>
    <definedName name="BLPR820040303143540793_3_3" hidden="1">#REF!</definedName>
    <definedName name="BLPR8220040303143549987" hidden="1">#REF!</definedName>
    <definedName name="BLPR8220040303143549987_1_1" hidden="1">#REF!</definedName>
    <definedName name="BLPR8320040303143549987" hidden="1">#REF!</definedName>
    <definedName name="BLPR8320040303143549987_1_1" hidden="1">#REF!</definedName>
    <definedName name="BLPR8420040303143549987" hidden="1">#REF!</definedName>
    <definedName name="BLPR8420040303143549987_1_1" hidden="1">#REF!</definedName>
    <definedName name="BLPR8520040303143549987" hidden="1">#REF!</definedName>
    <definedName name="BLPR8520040303143549987_1_1" hidden="1">#REF!</definedName>
    <definedName name="BLPR8620040303143549997" hidden="1">#REF!</definedName>
    <definedName name="BLPR8620040303143549997_1_1" hidden="1">#REF!</definedName>
    <definedName name="BLPR8720040303143549997" hidden="1">#REF!</definedName>
    <definedName name="BLPR8720040303143549997_1_1" hidden="1">#REF!</definedName>
    <definedName name="BLPR8820040303143549997" hidden="1">#REF!</definedName>
    <definedName name="BLPR8820040303143549997_1_1" hidden="1">#REF!</definedName>
    <definedName name="BLPR8920040303143549997" hidden="1">#REF!</definedName>
    <definedName name="BLPR8920040303143549997_1_1" hidden="1">#REF!</definedName>
    <definedName name="BLPR9020040303143549997" hidden="1">#REF!</definedName>
    <definedName name="BLPR9020040303143549997_1_1" hidden="1">#REF!</definedName>
    <definedName name="BLPR9120040303143549997" hidden="1">#REF!</definedName>
    <definedName name="BLPR9120040303143549997_1_1" hidden="1">#REF!</definedName>
    <definedName name="BLPR920040303143540803" hidden="1">#REF!</definedName>
    <definedName name="BLPR920040303143540803_1_3" hidden="1">#REF!</definedName>
    <definedName name="BLPR920040303143540803_2_3" hidden="1">#REF!</definedName>
    <definedName name="BLPR920040303143540803_3_3" hidden="1">#REF!</definedName>
    <definedName name="BLPR9220040303143550007" hidden="1">#REF!</definedName>
    <definedName name="BLPR9220040303143550007_1_1" hidden="1">#REF!</definedName>
    <definedName name="BLPR9320040303143550007" hidden="1">#REF!</definedName>
    <definedName name="BLPR9320040303143550007_1_1" hidden="1">#REF!</definedName>
    <definedName name="BLPR9420040303143550007" hidden="1">#REF!</definedName>
    <definedName name="BLPR9420040303143550007_1_1" hidden="1">#REF!</definedName>
    <definedName name="BLPR9520040303143550007" hidden="1">#REF!</definedName>
    <definedName name="BLPR9520040303143550007_1_1" hidden="1">#REF!</definedName>
    <definedName name="BLPR9620040303143550007" hidden="1">#REF!</definedName>
    <definedName name="BLPR9620040303143550007_1_1" hidden="1">#REF!</definedName>
    <definedName name="BLPR9720040303143550007" hidden="1">#REF!</definedName>
    <definedName name="BLPR9720040303143550007_1_1" hidden="1">#REF!</definedName>
    <definedName name="BLPR9820040303143550017" hidden="1">#REF!</definedName>
    <definedName name="BLPR9820040303143550017_1_1" hidden="1">#REF!</definedName>
    <definedName name="BLPR9920040303143550017" hidden="1">#REF!</definedName>
    <definedName name="BLPR9920040303143550017_1_1" hidden="1">#REF!</definedName>
    <definedName name="BSHEET">#REF!</definedName>
    <definedName name="buyoutprice">#REF!</definedName>
    <definedName name="BV">#REF!</definedName>
    <definedName name="CA">#REF!</definedName>
    <definedName name="CAGRTrig">#REF!</definedName>
    <definedName name="CalEPS1">#REF!</definedName>
    <definedName name="CalEPS2">#REF!</definedName>
    <definedName name="CalEPS3">#REF!</definedName>
    <definedName name="CalPE1">#REF!</definedName>
    <definedName name="CalPE2">#REF!</definedName>
    <definedName name="CalPE3">#REF!</definedName>
    <definedName name="CAP">#REF!</definedName>
    <definedName name="capcase">#REF!</definedName>
    <definedName name="Capex">#REF!</definedName>
    <definedName name="CapExMargin">#REF!</definedName>
    <definedName name="CapIntExp">#REF!</definedName>
    <definedName name="Case">#REF!</definedName>
    <definedName name="Case_Cell" localSheetId="3">#REF!</definedName>
    <definedName name="Case_Cell">Inputs!$F$9</definedName>
    <definedName name="Case_Number" localSheetId="3">#REF!</definedName>
    <definedName name="Case_Number">Inputs!$E$9</definedName>
    <definedName name="Cash">#REF!</definedName>
    <definedName name="CashFlow">#REF!</definedName>
    <definedName name="cashinterestrate">#REF!</definedName>
    <definedName name="ccc" hidden="1">{"mult96",#N/A,FALSE,"PETCOMP";"est96",#N/A,FALSE,"PETCOMP";"mult95",#N/A,FALSE,"PETCOMP";"est95",#N/A,FALSE,"PETCOMP";"multltm",#N/A,FALSE,"PETCOMP";"resultltm",#N/A,FALSE,"PETCOMP"}</definedName>
    <definedName name="cd_Start_year">#REF!</definedName>
    <definedName name="Cellular_Sub" hidden="1">{"Outputs",#N/A,TRUE,"North America";"Outputs",#N/A,TRUE,"Europe";"Outputs",#N/A,TRUE,"Asia Pacific";"Outputs",#N/A,TRUE,"Latin America";"Outputs",#N/A,TRUE,"Wireless"}</definedName>
    <definedName name="CEUS">#REF!</definedName>
    <definedName name="CG">#REF!</definedName>
    <definedName name="CGP">#REF!</definedName>
    <definedName name="Changes">#REF!</definedName>
    <definedName name="chartDates">OFFSET(#REF!, 0, 0, COUNTA(#REF!), 1)</definedName>
    <definedName name="chartPrices">OFFSET(#REF!, 0, 0, COUNTA(#REF!), 1)</definedName>
    <definedName name="chartVolume">OFFSET(#REF!, 0, 0, COUNTA(#REF!), 1)</definedName>
    <definedName name="Check1">#REF!</definedName>
    <definedName name="CNG">#REF!</definedName>
    <definedName name="COG">#REF!</definedName>
    <definedName name="COGS">#REF!</definedName>
    <definedName name="ComDivPaid">#REF!</definedName>
    <definedName name="Common_Shareholders__Equity">#REF!</definedName>
    <definedName name="CommonEquity">#REF!</definedName>
    <definedName name="Comp_Data">#REF!</definedName>
    <definedName name="Company">#REF!</definedName>
    <definedName name="Company_Name" localSheetId="3">#REF!</definedName>
    <definedName name="Company_Name">Inputs!$E$4</definedName>
    <definedName name="CompDebtCap">#REF!</definedName>
    <definedName name="CompTaxRate">#REF!</definedName>
    <definedName name="CompTrig">#REF!</definedName>
    <definedName name="CoName">#REF!</definedName>
    <definedName name="ConvDebt1">#REF!</definedName>
    <definedName name="ConvDebt2">#REF!</definedName>
    <definedName name="ConvDebtOut">#REF!</definedName>
    <definedName name="Convertible_Debt">#REF!</definedName>
    <definedName name="ConvPref1">#REF!</definedName>
    <definedName name="ConvPref2">#REF!</definedName>
    <definedName name="ConvPrefLiq1">#REF!</definedName>
    <definedName name="ConvPrefLiq2">#REF!</definedName>
    <definedName name="ConvPrefOut">#REF!</definedName>
    <definedName name="ConvTrig">#REF!</definedName>
    <definedName name="copy">#REF!</definedName>
    <definedName name="Corp_Exec">#REF!</definedName>
    <definedName name="Corp_Others">#REF!</definedName>
    <definedName name="CostOfDebt">#REF!</definedName>
    <definedName name="_xlnm.Criteria">#REF!</definedName>
    <definedName name="CurPx">#REF!</definedName>
    <definedName name="Currency">#REF!</definedName>
    <definedName name="CurrentAssets">#REF!</definedName>
    <definedName name="CurrentLiab">#REF!</definedName>
    <definedName name="CurrentPrice" localSheetId="3">#REF!</definedName>
    <definedName name="CurrentPrice">#REF!</definedName>
    <definedName name="CurrentRatio">#REF!</definedName>
    <definedName name="Cwvu.Page1." hidden="1">#REF!,#REF!,#REF!,#REF!,#REF!,#REF!,#REF!,#REF!,#REF!</definedName>
    <definedName name="Cwvu.Page2." hidden="1">#REF!,#REF!,#REF!,#REF!,#REF!,#REF!,#REF!,#REF!,#REF!</definedName>
    <definedName name="Cwvu.Page3." hidden="1">#REF!,#REF!,#REF!,#REF!,#REF!,#REF!,#REF!,#REF!,#REF!</definedName>
    <definedName name="Cwvu.Page4." hidden="1">#REF!,#REF!,#REF!,#REF!,#REF!,#REF!,#REF!,#REF!,#REF!</definedName>
    <definedName name="d">#REF!</definedName>
    <definedName name="da" hidden="1">#REF!</definedName>
    <definedName name="DATA" localSheetId="24">'data DN cùng ngành'!$A$10:$CP$17</definedName>
    <definedName name="DATA">ExportData!$A$10:$AE$16</definedName>
    <definedName name="DATA_01" hidden="1">#REF!</definedName>
    <definedName name="DATA_02" hidden="1">#REF!</definedName>
    <definedName name="DATA_03" hidden="1">#REF!</definedName>
    <definedName name="DATA_04" hidden="1">#REF!</definedName>
    <definedName name="DATA_05" hidden="1">#REF!</definedName>
    <definedName name="DATA_06" hidden="1">#REF!</definedName>
    <definedName name="DATA_07" hidden="1">#REF!</definedName>
    <definedName name="DATA_08" hidden="1">#REF!</definedName>
    <definedName name="DATA_09" hidden="1">#REF!</definedName>
    <definedName name="data_10" hidden="1">#REF!</definedName>
    <definedName name="DATA_C2R_Input">#REF!</definedName>
    <definedName name="DataThrough">#REF!</definedName>
    <definedName name="DateCell">#REF!</definedName>
    <definedName name="Day">#REF!</definedName>
    <definedName name="Days_in_Year" localSheetId="3">#REF!</definedName>
    <definedName name="Days_in_Year">Inputs!$E$14</definedName>
    <definedName name="DaysInv">#REF!</definedName>
    <definedName name="DaysPay">#REF!</definedName>
    <definedName name="DaysRec">#REF!</definedName>
    <definedName name="DCF">#REF!</definedName>
    <definedName name="DCF_value">Valuation!$R$22</definedName>
    <definedName name="dd" hidden="1">{"EVA",#N/A,FALSE,"EVA";"WACC",#N/A,FALSE,"WACC"}</definedName>
    <definedName name="ddd" hidden="1">{"DCF","UPSIDE CASE",FALSE,"Sheet1";"DCF","BASE CASE",FALSE,"Sheet1";"DCF","DOWNSIDE CASE",FALSE,"Sheet1"}</definedName>
    <definedName name="Debt">#REF!</definedName>
    <definedName name="DebtBeta">#REF!</definedName>
    <definedName name="DebtBook">#REF!</definedName>
    <definedName name="DebtCap">#REF!</definedName>
    <definedName name="DebtEBITDA">#REF!</definedName>
    <definedName name="DebtEnt">#REF!</definedName>
    <definedName name="DebtEntInc">#REF!</definedName>
    <definedName name="DebtPrice1">#REF!</definedName>
    <definedName name="DebtPrice2">#REF!</definedName>
    <definedName name="DebtShares1">#REF!</definedName>
    <definedName name="DebtShares2">#REF!</definedName>
    <definedName name="DeferredTaxes">#REF!</definedName>
    <definedName name="Delete">#REF!</definedName>
    <definedName name="denomination">#REF!</definedName>
    <definedName name="Description">#REF!</definedName>
    <definedName name="Description2">#REF!</definedName>
    <definedName name="dfrg">{"Country",0,"Auto","Auto",""}</definedName>
    <definedName name="DGP">#REF!</definedName>
    <definedName name="dim">#REF!</definedName>
    <definedName name="Div">#REF!</definedName>
    <definedName name="Dividend_Yield">#REF!</definedName>
    <definedName name="DivPayoutRatio">#REF!</definedName>
    <definedName name="DivYield">#REF!</definedName>
    <definedName name="DVT">#REF!</definedName>
    <definedName name="e">#REF!</definedName>
    <definedName name="EBIT">#REF!</definedName>
    <definedName name="EBITDA">#REF!</definedName>
    <definedName name="EBITDACapExInt">#REF!</definedName>
    <definedName name="EBITDAGrowth">#REF!</definedName>
    <definedName name="EBITDAInt">#REF!</definedName>
    <definedName name="EBITDAMargin">#REF!</definedName>
    <definedName name="EBITDAMultiple">#REF!</definedName>
    <definedName name="EBITDAR">#REF!</definedName>
    <definedName name="EBITGrowth">#REF!</definedName>
    <definedName name="EBITInt">#REF!</definedName>
    <definedName name="EBITMargin">#REF!</definedName>
    <definedName name="EBITR">#REF!</definedName>
    <definedName name="eee" hidden="1">{"Graphic",#N/A,TRUE,"Graphic"}</definedName>
    <definedName name="EEX">#REF!</definedName>
    <definedName name="ENE">#REF!</definedName>
    <definedName name="Enterprise">#REF!</definedName>
    <definedName name="EPG">#REF!</definedName>
    <definedName name="EPS">#REF!</definedName>
    <definedName name="EPSDate">#REF!</definedName>
    <definedName name="EPSGrowth">#REF!</definedName>
    <definedName name="EPSLTM">#REF!</definedName>
    <definedName name="EPSSource">#REF!</definedName>
    <definedName name="EQUITY">#REF!</definedName>
    <definedName name="EquityBeta">#REF!</definedName>
    <definedName name="EquityRiskPremium">#REF!</definedName>
    <definedName name="est" hidden="1">{"EVA",#N/A,FALSE,"EVA";"WACC",#N/A,FALSE,"WACC"}</definedName>
    <definedName name="et" hidden="1">{"DCF","UPSIDE CASE",FALSE,"Sheet1";"DCF","BASE CASE",FALSE,"Sheet1";"DCF","DOWNSIDE CASE",FALSE,"Sheet1"}</definedName>
    <definedName name="EV1Other1">#REF!</definedName>
    <definedName name="EV1Other2">#REF!</definedName>
    <definedName name="EV1OtherLTM">#REF!</definedName>
    <definedName name="EV2Other1">#REF!</definedName>
    <definedName name="EV2Other2">#REF!</definedName>
    <definedName name="EV2OtherLTM">#REF!</definedName>
    <definedName name="EV3Other1">#REF!</definedName>
    <definedName name="EV3Other2">#REF!</definedName>
    <definedName name="EV3OtherLTM">#REF!</definedName>
    <definedName name="EVCashFlow1">#REF!</definedName>
    <definedName name="EVCashFlow2">#REF!</definedName>
    <definedName name="EVCashFlowLTM">#REF!</definedName>
    <definedName name="EVEBIT1">#REF!</definedName>
    <definedName name="EVEBIT2">#REF!</definedName>
    <definedName name="EVEBITDA1">#REF!</definedName>
    <definedName name="EVEBITDA2">#REF!</definedName>
    <definedName name="EVEBITDALTM">#REF!</definedName>
    <definedName name="EVEBITLTM">#REF!</definedName>
    <definedName name="EVNetInc1">#REF!</definedName>
    <definedName name="EVNetInc2">#REF!</definedName>
    <definedName name="EVNetIncLTM">#REF!</definedName>
    <definedName name="EVRevenues1">#REF!</definedName>
    <definedName name="EVRevenues2">#REF!</definedName>
    <definedName name="EVRevenuesLTM">#REF!</definedName>
    <definedName name="example" hidden="1">{"Graphic",#N/A,TRUE,"Graphic"}</definedName>
    <definedName name="ExcessCash">#REF!</definedName>
    <definedName name="Exchange">#REF!</definedName>
    <definedName name="Execs">#REF!</definedName>
    <definedName name="exitmult">#REF!</definedName>
    <definedName name="exityear">#REF!</definedName>
    <definedName name="exityr">#REF!</definedName>
    <definedName name="ExternalData_1" localSheetId="17" hidden="1">'SLCH TGDĐ+ĐMX'!$B$1:$B$64</definedName>
    <definedName name="ExternalData_2" localSheetId="21" hidden="1">'REV CE'!$A$1:$A$148</definedName>
    <definedName name="f" hidden="1">{"EVA",#N/A,FALSE,"EVA";"WACC",#N/A,FALSE,"WACC"}</definedName>
    <definedName name="Fassets">#REF!</definedName>
    <definedName name="FDShares">#REF!</definedName>
    <definedName name="ff" hidden="1">{"adj95mult",#N/A,FALSE,"COMPCO";"adj95est",#N/A,FALSE,"COMPCO"}</definedName>
    <definedName name="ffefe" hidden="1">{"adj95mult",#N/A,FALSE,"COMPCO";"adj95est",#N/A,FALSE,"COMPCO"}</definedName>
    <definedName name="fff">{"Country",0,"Auto","Auto",""}</definedName>
    <definedName name="FirstTick">#REF!</definedName>
    <definedName name="Footnote1">#REF!</definedName>
    <definedName name="Footnote2">#REF!</definedName>
    <definedName name="Footnote3">#REF!</definedName>
    <definedName name="Footnote4">#REF!</definedName>
    <definedName name="forecast" hidden="1">{"cover a","1q",FALSE,"Cover";"Op Earn Mgd Q1",#N/A,FALSE,"Op-Earn (Mng)";"Op Earn Rpt Q1",#N/A,FALSE,"Op-Earn (Rpt)";"Loans",#N/A,FALSE,"Loans";"Credit Costs",#N/A,FALSE,"CCosts";"Net Interest Margin",#N/A,FALSE,"Margin";"Nonint Income",#N/A,FALSE,"NonII";"Nonint Exp",#N/A,FALSE,"NonIE";"Valuation",#N/A,FALSE,"Valuation"}</definedName>
    <definedName name="Forex">#REF!</definedName>
    <definedName name="Forward1">#REF!</definedName>
    <definedName name="Forward2">#REF!</definedName>
    <definedName name="fre">#REF!</definedName>
    <definedName name="Fully_Diluted_Shares_Outstanding__Millions">#REF!</definedName>
    <definedName name="fx">#REF!</definedName>
    <definedName name="FYE1CapEx">#REF!</definedName>
    <definedName name="FYE1CashFlow">#REF!</definedName>
    <definedName name="FYE1EBIT">#REF!</definedName>
    <definedName name="FYE1EBITDA">#REF!</definedName>
    <definedName name="FYE1GrossProfit">#REF!</definedName>
    <definedName name="FYE1NetInc">#REF!</definedName>
    <definedName name="FYE1Other1">#REF!</definedName>
    <definedName name="FYE1Other2">#REF!</definedName>
    <definedName name="FYE1Other3">#REF!</definedName>
    <definedName name="FYE1Revenues">#REF!</definedName>
    <definedName name="FYE1Shares">#REF!</definedName>
    <definedName name="FYE2CapEx">#REF!</definedName>
    <definedName name="FYE2CashFlow">#REF!</definedName>
    <definedName name="FYE2EBIT">#REF!</definedName>
    <definedName name="FYE2EBITDA">#REF!</definedName>
    <definedName name="FYE2GrossProfit">#REF!</definedName>
    <definedName name="FYE2NetInc">#REF!</definedName>
    <definedName name="FYE2Other1">#REF!</definedName>
    <definedName name="FYE2Other2">#REF!</definedName>
    <definedName name="FYE2Other3">#REF!</definedName>
    <definedName name="FYE2Revenues">#REF!</definedName>
    <definedName name="FYE2Shares">#REF!</definedName>
    <definedName name="FYEHeader">#REF!</definedName>
    <definedName name="g">Valuation!$R$7</definedName>
    <definedName name="Gas_as_a___of_Total">#REF!</definedName>
    <definedName name="gb" hidden="1">{TRUE,TRUE,-2,-16.25,774,494.25,FALSE,TRUE,TRUE,TRUE,0,1,#N/A,1,#N/A,27.1,63.6451612903226,1,FALSE,FALSE,3,TRUE,1,FALSE,75,"Swvu.Page1.","ACwvu.Page1.",#N/A,FALSE,FALSE,0.236220472440945,0.275590551181102,0.236220472440945,0.275590551181102,2,"","",TRUE,TRUE,FALSE,FALSE,1,83,#N/A,#N/A,"=R4C1:R64C22",FALSE,"Rwvu.Page1.","Cwvu.Page1.",FALSE,FALSE,TRUE,1,#N/A,#N/A,FALSE,FALSE,TRUE,TRUE,TRUE}</definedName>
    <definedName name="GET">#REF!</definedName>
    <definedName name="gf" hidden="1">{TRUE,TRUE,-2,-16.25,774,494.25,FALSE,TRUE,TRUE,TRUE,0,6,#N/A,1,#N/A,33.1333333333333,63.6451612903226,1,FALSE,FALSE,3,TRUE,1,FALSE,75,"Swvu.Page2.","ACwvu.Page2.",#N/A,FALSE,FALSE,0.236220472440945,0.275590551181102,0.236220472440945,0.275590551181102,2,"","",TRUE,TRUE,FALSE,FALSE,1,83,#N/A,#N/A,"=R4C25:R64C47",FALSE,"Rwvu.Page2.","Cwvu.Page2.",FALSE,FALSE,TRUE,1,#N/A,#N/A,FALSE,FALSE,TRUE,TRUE,TRUE}</definedName>
    <definedName name="gfbngfn" hidden="1">{TRUE,TRUE,-2,-16.25,774,494.25,FALSE,TRUE,TRUE,TRUE,0,32,#N/A,1,#N/A,31.0666666666667,63.6451612903226,1,FALSE,FALSE,3,TRUE,1,FALSE,75,"Swvu.Page3.","ACwvu.Page3.",#N/A,FALSE,FALSE,0.236220472440945,0.275590551181102,0.236220472440945,0.275590551181102,2,"","",TRUE,TRUE,FALSE,FALSE,1,83,#N/A,#N/A,"=R4C48:R64C71",FALSE,"Rwvu.Page3.","Cwvu.Page3.",FALSE,FALSE,TRUE,1,#N/A,#N/A,FALSE,FALSE,TRUE,TRUE,TRUE}</definedName>
    <definedName name="ghf" hidden="1">{TRUE,TRUE,-2,-16.25,774,494.25,FALSE,TRUE,TRUE,TRUE,0,32,#N/A,1,#N/A,31.0666666666667,63.6451612903226,1,FALSE,FALSE,3,TRUE,1,FALSE,75,"Swvu.Page3.","ACwvu.Page3.",#N/A,FALSE,FALSE,0.236220472440945,0.275590551181102,0.236220472440945,0.275590551181102,2,"","",TRUE,TRUE,FALSE,FALSE,1,83,#N/A,#N/A,"=R4C48:R64C71",FALSE,"Rwvu.Page3.","Cwvu.Page3.",FALSE,FALSE,TRUE,1,#N/A,#N/A,FALSE,FALSE,TRUE,TRUE,TRUE}</definedName>
    <definedName name="Giá_mục_tiêu">Valuation!$H$124</definedName>
    <definedName name="Giá_vang">#REF!</definedName>
    <definedName name="gre" hidden="1">{TRUE,TRUE,-2,-16.25,774,494.25,FALSE,TRUE,TRUE,TRUE,0,1,#N/A,1,#N/A,27.1,63.6451612903226,1,FALSE,FALSE,3,TRUE,1,FALSE,75,"Swvu.Page1.","ACwvu.Page1.",#N/A,FALSE,FALSE,0.236220472440945,0.275590551181102,0.236220472440945,0.275590551181102,2,"","",TRUE,TRUE,FALSE,FALSE,1,83,#N/A,#N/A,"=R4C1:R64C22",FALSE,"Rwvu.Page1.","Cwvu.Page1.",FALSE,FALSE,TRUE,1,#N/A,#N/A,FALSE,FALSE,TRUE,TRUE,TRUE}</definedName>
    <definedName name="GrossMargin">#REF!</definedName>
    <definedName name="GrossProfit">#REF!</definedName>
    <definedName name="h" hidden="1">{TRUE,TRUE,-2,-16.25,774,494.25,FALSE,TRUE,TRUE,TRUE,0,6,#N/A,1,#N/A,33.1333333333333,63.6451612903226,1,FALSE,FALSE,3,TRUE,1,FALSE,75,"Swvu.Page2.","ACwvu.Page2.",#N/A,FALSE,FALSE,0.236220472440945,0.275590551181102,0.236220472440945,0.275590551181102,2,"","",TRUE,TRUE,FALSE,FALSE,1,83,#N/A,#N/A,"=R4C25:R64C47",FALSE,"Rwvu.Page2.","Cwvu.Page2.",FALSE,FALSE,TRUE,1,#N/A,#N/A,FALSE,FALSE,TRUE,TRUE,TRUE}</definedName>
    <definedName name="HEADER" localSheetId="24">'data DN cùng ngành'!$A$8:$CP$8</definedName>
    <definedName name="HEADER">ExportData!$A$8:$AE$8</definedName>
    <definedName name="High1">#REF!</definedName>
    <definedName name="High2">#REF!</definedName>
    <definedName name="High3">#REF!</definedName>
    <definedName name="High4">#REF!</definedName>
    <definedName name="High5">#REF!</definedName>
    <definedName name="High6">#REF!</definedName>
    <definedName name="High7">#REF!</definedName>
    <definedName name="High8">#REF!</definedName>
    <definedName name="High9">#REF!</definedName>
    <definedName name="HighDate">#REF!</definedName>
    <definedName name="HighPrice">#REF!</definedName>
    <definedName name="Hist_Year" localSheetId="3">#REF!</definedName>
    <definedName name="Hist_Year">Inputs!$E$6</definedName>
    <definedName name="HistDate">#REF!</definedName>
    <definedName name="HISTORICAL">#REF!</definedName>
    <definedName name="HistPrice">#REF!</definedName>
    <definedName name="HistVol">#REF!</definedName>
    <definedName name="HQ">#REF!</definedName>
    <definedName name="HTML_CodePage" hidden="1">950</definedName>
    <definedName name="HTML_Control" hidden="1">{"'Sheet1'!$L$16"}</definedName>
    <definedName name="HTML_Description" hidden="1">""</definedName>
    <definedName name="HTML_Email" hidden="1">""</definedName>
    <definedName name="HTML_Header" hidden="1">"Sheet1"</definedName>
    <definedName name="HTML_LastUpdate" hidden="1">"2000/9/14"</definedName>
    <definedName name="HTML_LineAfter" hidden="1">FALSE</definedName>
    <definedName name="HTML_LineBefore" hidden="1">FALSE</definedName>
    <definedName name="HTML_Name" hidden="1">"J.C.WONG"</definedName>
    <definedName name="HTML_OBDlg2" hidden="1">TRUE</definedName>
    <definedName name="HTML_OBDlg4" hidden="1">TRUE</definedName>
    <definedName name="HTML_OS" hidden="1">0</definedName>
    <definedName name="HTML_PathFile" hidden="1">"C:\2689\Q\國內\00q3961台化龍德PTA3建造\MyHTML.htm"</definedName>
    <definedName name="HTML_Title" hidden="1">"00Q3961-SUM"</definedName>
    <definedName name="huy" hidden="1">{"'Sheet1'!$L$16"}</definedName>
    <definedName name="i" hidden="1">{"Qtr Op Mgd Q3",#N/A,FALSE,"Qtr-Op (Mng)";"Qtr Op Rpt Q3",#N/A,FALSE,"Qtr-Op (Rpt)";"Operating Vs Reported",#N/A,FALSE,"Rpt-Op Inc"}</definedName>
    <definedName name="Indicated_Annual_Dividend">#REF!</definedName>
    <definedName name="Inflation">#REF!</definedName>
    <definedName name="IntangAssets">#REF!</definedName>
    <definedName name="IntExp">#REF!</definedName>
    <definedName name="IntInc">#REF!</definedName>
    <definedName name="IntroPrintArea" hidden="1">#REF!</definedName>
    <definedName name="Inventories">#REF!</definedName>
    <definedName name="InvestBook">#REF!</definedName>
    <definedName name="Investments">#REF!</definedName>
    <definedName name="IPPIF">#REF!</definedName>
    <definedName name="IQ_1_4_FAMILY_JUNIOR_LIENS_CHARGE_OFFS_FDIC" hidden="1">"c6605"</definedName>
    <definedName name="IQ_1_4_FAMILY_JUNIOR_LIENS_NET_CHARGE_OFFS_FDIC" hidden="1">"c6643"</definedName>
    <definedName name="IQ_1_4_FAMILY_JUNIOR_LIENS_RECOVERIES_FDIC" hidden="1">"c6624"</definedName>
    <definedName name="IQ_1_4_FAMILY_SENIOR_LIENS_CHARGE_OFFS_FDIC" hidden="1">"c6604"</definedName>
    <definedName name="IQ_1_4_FAMILY_SENIOR_LIENS_NET_CHARGE_OFFS_FDIC" hidden="1">"c6642"</definedName>
    <definedName name="IQ_1_4_FAMILY_SENIOR_LIENS_RECOVERIES_FDIC" hidden="1">"c6623"</definedName>
    <definedName name="IQ_1_4_HOME_EQUITY_NET_LOANS_FDIC" hidden="1">"c6441"</definedName>
    <definedName name="IQ_1_4_RESIDENTIAL_FIRST_LIENS_NET_LOANS_FDIC" hidden="1">"c6439"</definedName>
    <definedName name="IQ_1_4_RESIDENTIAL_JUNIOR_LIENS_NET_LOANS_FDIC" hidden="1">"c6440"</definedName>
    <definedName name="IQ_1_4_RESIDENTIAL_LOANS_FDIC" hidden="1">"c6310"</definedName>
    <definedName name="IQ_30YR_FIXED_MORTGAGE" hidden="1">"c6811"</definedName>
    <definedName name="IQ_30YR_FIXED_MORTGAGE_FC" hidden="1">"c7691"</definedName>
    <definedName name="IQ_30YR_FIXED_MORTGAGE_POP" hidden="1">"c7031"</definedName>
    <definedName name="IQ_30YR_FIXED_MORTGAGE_POP_FC" hidden="1">"c7911"</definedName>
    <definedName name="IQ_30YR_FIXED_MORTGAGE_YOY" hidden="1">"c7251"</definedName>
    <definedName name="IQ_30YR_FIXED_MORTGAGE_YOY_FC" hidden="1">"c8131"</definedName>
    <definedName name="IQ_ACCOUNT_CHANGE" hidden="1">"c1449"</definedName>
    <definedName name="IQ_ACCOUNTS_PAY" hidden="1">"c1343"</definedName>
    <definedName name="IQ_ACCR_INT_PAY" hidden="1">"c1"</definedName>
    <definedName name="IQ_ACCR_INT_PAY_CF" hidden="1">"c2"</definedName>
    <definedName name="IQ_ACCR_INT_RECEIV" hidden="1">"c3"</definedName>
    <definedName name="IQ_ACCR_INT_RECEIV_CF" hidden="1">"c4"</definedName>
    <definedName name="IQ_ACCRUED_EXP" hidden="1">"c1341"</definedName>
    <definedName name="IQ_ACCT_RECV_10YR_ANN_CAGR" hidden="1">"c6159"</definedName>
    <definedName name="IQ_ACCT_RECV_10YR_ANN_GROWTH" hidden="1">"c1924"</definedName>
    <definedName name="IQ_ACCT_RECV_1YR_ANN_GROWTH" hidden="1">"c1919"</definedName>
    <definedName name="IQ_ACCT_RECV_2YR_ANN_CAGR" hidden="1">"c6155"</definedName>
    <definedName name="IQ_ACCT_RECV_2YR_ANN_GROWTH" hidden="1">"c1920"</definedName>
    <definedName name="IQ_ACCT_RECV_3YR_ANN_CAGR" hidden="1">"c6156"</definedName>
    <definedName name="IQ_ACCT_RECV_3YR_ANN_GROWTH" hidden="1">"c1921"</definedName>
    <definedName name="IQ_ACCT_RECV_5YR_ANN_CAGR" hidden="1">"c6157"</definedName>
    <definedName name="IQ_ACCT_RECV_5YR_ANN_GROWTH" hidden="1">"c1922"</definedName>
    <definedName name="IQ_ACCT_RECV_7YR_ANN_CAGR" hidden="1">"c6158"</definedName>
    <definedName name="IQ_ACCT_RECV_7YR_ANN_GROWTH" hidden="1">"c1923"</definedName>
    <definedName name="IQ_ACCUM_DEP" hidden="1">"c1340"</definedName>
    <definedName name="IQ_ACCUMULATED_PENSION_OBLIGATION" hidden="1">"c2244"</definedName>
    <definedName name="IQ_ACCUMULATED_PENSION_OBLIGATION_DOMESTIC" hidden="1">"c2657"</definedName>
    <definedName name="IQ_ACCUMULATED_PENSION_OBLIGATION_FOREIGN" hidden="1">"c2665"</definedName>
    <definedName name="IQ_ACQ_COST_SUB" hidden="1">"c2125"</definedName>
    <definedName name="IQ_ACQ_COSTS_CAPITALIZED" hidden="1">"c5"</definedName>
    <definedName name="IQ_ACQUIRE_REAL_ESTATE_CF" hidden="1">"c6"</definedName>
    <definedName name="IQ_ACQUIRED_BY_REPORTING_BANK_FDIC" hidden="1">"c6535"</definedName>
    <definedName name="IQ_ACQUISITION_RE_ASSETS" hidden="1">"c1628"</definedName>
    <definedName name="IQ_ACTUAL_PRODUCTION_ALUM" hidden="1">"c9247"</definedName>
    <definedName name="IQ_ACTUAL_PRODUCTION_CATHODE_COP" hidden="1">"c9192"</definedName>
    <definedName name="IQ_ACTUAL_PRODUCTION_COAL" hidden="1">"c9821"</definedName>
    <definedName name="IQ_ACTUAL_PRODUCTION_COP" hidden="1">"c9191"</definedName>
    <definedName name="IQ_ACTUAL_PRODUCTION_DIAM" hidden="1">"c9671"</definedName>
    <definedName name="IQ_ACTUAL_PRODUCTION_GOLD" hidden="1">"c9032"</definedName>
    <definedName name="IQ_ACTUAL_PRODUCTION_IRON" hidden="1">"c9406"</definedName>
    <definedName name="IQ_ACTUAL_PRODUCTION_LEAD" hidden="1">"c9459"</definedName>
    <definedName name="IQ_ACTUAL_PRODUCTION_MANG" hidden="1">"c9512"</definedName>
    <definedName name="IQ_ACTUAL_PRODUCTION_MET_COAL" hidden="1">"c9761"</definedName>
    <definedName name="IQ_ACTUAL_PRODUCTION_MOLYB" hidden="1">"c9724"</definedName>
    <definedName name="IQ_ACTUAL_PRODUCTION_NICK" hidden="1">"c9300"</definedName>
    <definedName name="IQ_ACTUAL_PRODUCTION_PLAT" hidden="1">"c9138"</definedName>
    <definedName name="IQ_ACTUAL_PRODUCTION_SILVER" hidden="1">"c9085"</definedName>
    <definedName name="IQ_ACTUAL_PRODUCTION_STEAM" hidden="1">"c9791"</definedName>
    <definedName name="IQ_ACTUAL_PRODUCTION_TITAN" hidden="1">"c9565"</definedName>
    <definedName name="IQ_ACTUAL_PRODUCTION_URAN" hidden="1">"c9618"</definedName>
    <definedName name="IQ_ACTUAL_PRODUCTION_ZINC" hidden="1">"c9353"</definedName>
    <definedName name="IQ_AD" hidden="1">"c7"</definedName>
    <definedName name="IQ_ADD_PAID_IN" hidden="1">"c1344"</definedName>
    <definedName name="IQ_ADDIN" hidden="1">"AUTO"</definedName>
    <definedName name="IQ_ADDITIONAL_NON_INT_INC_FDIC" hidden="1">"c6574"</definedName>
    <definedName name="IQ_ADJ_AVG_BANK_ASSETS" hidden="1">"c2671"</definedName>
    <definedName name="IQ_ADJUSTABLE_RATE_LOANS_FDIC" hidden="1">"c6375"</definedName>
    <definedName name="IQ_ADJUSTED_NAV_COVERED" hidden="1">"c9963"</definedName>
    <definedName name="IQ_ADJUSTED_NAV_GROUP" hidden="1">"c9949"</definedName>
    <definedName name="IQ_ADMIN_RATIO" hidden="1">"c2784"</definedName>
    <definedName name="IQ_ADVERTISING" hidden="1">"c2246"</definedName>
    <definedName name="IQ_ADVERTISING_MARKETING" hidden="1">"c1566"</definedName>
    <definedName name="IQ_AE" hidden="1">"c8"</definedName>
    <definedName name="IQ_AE_BNK" hidden="1">"c9"</definedName>
    <definedName name="IQ_AE_BR" hidden="1">"c10"</definedName>
    <definedName name="IQ_AE_FIN" hidden="1">"c11"</definedName>
    <definedName name="IQ_AE_INS" hidden="1">"c12"</definedName>
    <definedName name="IQ_AE_RE" hidden="1">"c6195"</definedName>
    <definedName name="IQ_AE_REIT" hidden="1">"c13"</definedName>
    <definedName name="IQ_AE_UTI" hidden="1">"c14"</definedName>
    <definedName name="IQ_AFFO" hidden="1">"c8756"</definedName>
    <definedName name="IQ_AFFO_PER_SHARE_BASIC" hidden="1">"c8869"</definedName>
    <definedName name="IQ_AFFO_PER_SHARE_DILUTED" hidden="1">"c8870"</definedName>
    <definedName name="IQ_AFTER_TAX_INCOME_FDIC" hidden="1">"c6583"</definedName>
    <definedName name="IQ_AGENCY" hidden="1">"c8960"</definedName>
    <definedName name="IQ_AGRICULTURAL_PRODUCTION_CHARGE_OFFS_FDIC" hidden="1">"c6597"</definedName>
    <definedName name="IQ_AGRICULTURAL_PRODUCTION_CHARGE_OFFS_LESS_THAN_300M_FDIC" hidden="1">"c6655"</definedName>
    <definedName name="IQ_AGRICULTURAL_PRODUCTION_NET_CHARGE_OFFS_FDIC" hidden="1">"c6635"</definedName>
    <definedName name="IQ_AGRICULTURAL_PRODUCTION_NET_CHARGE_OFFS_LESS_THAN_300M_FDIC" hidden="1">"c6657"</definedName>
    <definedName name="IQ_AGRICULTURAL_PRODUCTION_RECOVERIES_FDIC" hidden="1">"c6616"</definedName>
    <definedName name="IQ_AGRICULTURAL_PRODUCTION_RECOVERIES_LESS_THAN_300M_FDIC" hidden="1">"c6656"</definedName>
    <definedName name="IQ_AH_EARNED" hidden="1">"c2744"</definedName>
    <definedName name="IQ_AH_POLICY_BENEFITS_EXP" hidden="1">"c2789"</definedName>
    <definedName name="IQ_AIR_AIRPLANES_NOT_IN_SERVICE" hidden="1">"c2842"</definedName>
    <definedName name="IQ_AIR_AIRPLANES_SUBLEASED" hidden="1">"c2841"</definedName>
    <definedName name="IQ_AIR_ASK" hidden="1">"c2813"</definedName>
    <definedName name="IQ_AIR_ASK_INCREASE" hidden="1">"c2826"</definedName>
    <definedName name="IQ_AIR_ASM" hidden="1">"c2812"</definedName>
    <definedName name="IQ_AIR_ASM_INCREASE" hidden="1">"c2825"</definedName>
    <definedName name="IQ_AIR_AVG_AGE" hidden="1">"c2843"</definedName>
    <definedName name="IQ_AIR_AVG_PSGR_FARE" hidden="1">"c10029"</definedName>
    <definedName name="IQ_AIR_BREAK_EVEN_FACTOR" hidden="1">"c2822"</definedName>
    <definedName name="IQ_AIR_CAPITAL_LEASE" hidden="1">"c2833"</definedName>
    <definedName name="IQ_AIR_COMPLETION_FACTOR" hidden="1">"c2824"</definedName>
    <definedName name="IQ_AIR_ENPLANED_PSGRS" hidden="1">"c2809"</definedName>
    <definedName name="IQ_AIR_FUEL_CONSUMED" hidden="1">"c2806"</definedName>
    <definedName name="IQ_AIR_FUEL_CONSUMED_L" hidden="1">"c2807"</definedName>
    <definedName name="IQ_AIR_FUEL_COST" hidden="1">"c2803"</definedName>
    <definedName name="IQ_AIR_FUEL_COST_L" hidden="1">"c2804"</definedName>
    <definedName name="IQ_AIR_FUEL_EXP" hidden="1">"c2802"</definedName>
    <definedName name="IQ_AIR_FUEL_EXP_PERCENT" hidden="1">"c2805"</definedName>
    <definedName name="IQ_AIR_LEASED" hidden="1">"c2835"</definedName>
    <definedName name="IQ_AIR_LOAD_FACTOR" hidden="1">"c2823"</definedName>
    <definedName name="IQ_AIR_NEW_AIRPLANES" hidden="1">"c2839"</definedName>
    <definedName name="IQ_AIR_NUMBER_HRS_FLOWN" hidden="1">"c10037"</definedName>
    <definedName name="IQ_AIR_NUMBER_OPERATING_AIRCRAFT_AVG" hidden="1">"c10035"</definedName>
    <definedName name="IQ_AIR_NUMBER_TRIPS_FLOWN" hidden="1">"c10030"</definedName>
    <definedName name="IQ_AIR_OPER_EXP_ASK" hidden="1">"c2821"</definedName>
    <definedName name="IQ_AIR_OPER_EXP_ASM" hidden="1">"c2820"</definedName>
    <definedName name="IQ_AIR_OPER_LEASE" hidden="1">"c2834"</definedName>
    <definedName name="IQ_AIR_OPER_REV_YIELD_ASK" hidden="1">"c2819"</definedName>
    <definedName name="IQ_AIR_OPER_REV_YIELD_ASM" hidden="1">"c2818"</definedName>
    <definedName name="IQ_AIR_OPEX_PER_ASK_EXCL_FUEL" hidden="1">"c10034"</definedName>
    <definedName name="IQ_AIR_OPEX_PER_ASM_EXCL_FUEL" hidden="1">"c10033"</definedName>
    <definedName name="IQ_AIR_OPTIONS" hidden="1">"c2837"</definedName>
    <definedName name="IQ_AIR_ORDERS" hidden="1">"c2836"</definedName>
    <definedName name="IQ_AIR_OWNED" hidden="1">"c2832"</definedName>
    <definedName name="IQ_AIR_PERCENTAGE_SALES_VIA_INTERNET" hidden="1">"c10036"</definedName>
    <definedName name="IQ_AIR_PSGR_HAUL_AVG_LENGTH_KM" hidden="1">"c10032"</definedName>
    <definedName name="IQ_AIR_PSGR_HAUL_AVG_LENGTH_MILES" hidden="1">"c10031"</definedName>
    <definedName name="IQ_AIR_PSGR_REV_YIELD_ASK" hidden="1">"c2817"</definedName>
    <definedName name="IQ_AIR_PSGR_REV_YIELD_ASM" hidden="1">"c2816"</definedName>
    <definedName name="IQ_AIR_PSGR_REV_YIELD_RPK" hidden="1">"c2815"</definedName>
    <definedName name="IQ_AIR_PSGR_REV_YIELD_RPM" hidden="1">"c2814"</definedName>
    <definedName name="IQ_AIR_PURCHASE_RIGHTS" hidden="1">"c2838"</definedName>
    <definedName name="IQ_AIR_RETIRED_AIRPLANES" hidden="1">"c2840"</definedName>
    <definedName name="IQ_AIR_REV_PSGRS_CARRIED" hidden="1">"c2808"</definedName>
    <definedName name="IQ_AIR_REV_SCHEDULED_SERVICE" hidden="1">"c2830"</definedName>
    <definedName name="IQ_AIR_RPK" hidden="1">"c2811"</definedName>
    <definedName name="IQ_AIR_RPM" hidden="1">"c2810"</definedName>
    <definedName name="IQ_AIR_STAGE_LENGTH" hidden="1">"c2828"</definedName>
    <definedName name="IQ_AIR_STAGE_LENGTH_KM" hidden="1">"c2829"</definedName>
    <definedName name="IQ_AIR_TOTAL" hidden="1">"c2831"</definedName>
    <definedName name="IQ_AIR_UTILIZATION" hidden="1">"c2827"</definedName>
    <definedName name="IQ_ALLOW_BORROW_CONST" hidden="1">"c15"</definedName>
    <definedName name="IQ_ALLOW_CONST" hidden="1">"c1342"</definedName>
    <definedName name="IQ_ALLOW_DOUBT_ACCT" hidden="1">"c2092"</definedName>
    <definedName name="IQ_ALLOW_EQUITY_CONST" hidden="1">"c16"</definedName>
    <definedName name="IQ_ALLOW_LL" hidden="1">"c17"</definedName>
    <definedName name="IQ_ALLOWANCE_10YR_ANN_CAGR" hidden="1">"c6035"</definedName>
    <definedName name="IQ_ALLOWANCE_10YR_ANN_GROWTH" hidden="1">"c18"</definedName>
    <definedName name="IQ_ALLOWANCE_1YR_ANN_GROWTH" hidden="1">"c19"</definedName>
    <definedName name="IQ_ALLOWANCE_2YR_ANN_CAGR" hidden="1">"c6036"</definedName>
    <definedName name="IQ_ALLOWANCE_2YR_ANN_GROWTH" hidden="1">"c20"</definedName>
    <definedName name="IQ_ALLOWANCE_3YR_ANN_CAGR" hidden="1">"c6037"</definedName>
    <definedName name="IQ_ALLOWANCE_3YR_ANN_GROWTH" hidden="1">"c21"</definedName>
    <definedName name="IQ_ALLOWANCE_5YR_ANN_CAGR" hidden="1">"c6038"</definedName>
    <definedName name="IQ_ALLOWANCE_5YR_ANN_GROWTH" hidden="1">"c22"</definedName>
    <definedName name="IQ_ALLOWANCE_7YR_ANN_CAGR" hidden="1">"c6039"</definedName>
    <definedName name="IQ_ALLOWANCE_7YR_ANN_GROWTH" hidden="1">"c23"</definedName>
    <definedName name="IQ_ALLOWANCE_CHARGE_OFFS" hidden="1">"c24"</definedName>
    <definedName name="IQ_ALLOWANCE_NON_PERF_LOANS" hidden="1">"c25"</definedName>
    <definedName name="IQ_ALLOWANCE_TOTAL_LOANS" hidden="1">"c26"</definedName>
    <definedName name="IQ_AMENDED_BALANCE_PREVIOUS_YR_FDIC" hidden="1">"c6499"</definedName>
    <definedName name="IQ_AMORT_EXPENSE_FDIC" hidden="1">"c6677"</definedName>
    <definedName name="IQ_AMORTIZATION" hidden="1">"c1591"</definedName>
    <definedName name="IQ_AMORTIZED_COST_FDIC" hidden="1">"c6426"</definedName>
    <definedName name="IQ_AMT_OUT" hidden="1">"c2145"</definedName>
    <definedName name="IQ_ANNU_DISTRIBUTION_UNIT" hidden="1">"c3004"</definedName>
    <definedName name="IQ_ANNUAL_PREMIUM_EQUIVALENT_NEW_BUSINESS" hidden="1">"c9972"</definedName>
    <definedName name="IQ_ANNUALIZED_DIVIDEND" hidden="1">"c1579"</definedName>
    <definedName name="IQ_ANNUITY_LIAB" hidden="1">"c27"</definedName>
    <definedName name="IQ_ANNUITY_PAY" hidden="1">"c28"</definedName>
    <definedName name="IQ_ANNUITY_POLICY_EXP" hidden="1">"c29"</definedName>
    <definedName name="IQ_ANNUITY_REC" hidden="1">"c30"</definedName>
    <definedName name="IQ_ANNUITY_REV" hidden="1">"c31"</definedName>
    <definedName name="IQ_AP" hidden="1">"c32"</definedName>
    <definedName name="IQ_AP_BNK" hidden="1">"c33"</definedName>
    <definedName name="IQ_AP_BR" hidden="1">"c34"</definedName>
    <definedName name="IQ_AP_FIN" hidden="1">"c35"</definedName>
    <definedName name="IQ_AP_INS" hidden="1">"c36"</definedName>
    <definedName name="IQ_AP_RE" hidden="1">"c6196"</definedName>
    <definedName name="IQ_AP_REIT" hidden="1">"c37"</definedName>
    <definedName name="IQ_AP_UTI" hidden="1">"c38"</definedName>
    <definedName name="IQ_APIC" hidden="1">"c39"</definedName>
    <definedName name="IQ_AR" hidden="1">"c40"</definedName>
    <definedName name="IQ_AR_BR" hidden="1">"c41"</definedName>
    <definedName name="IQ_AR_LT" hidden="1">"c42"</definedName>
    <definedName name="IQ_AR_RE" hidden="1">"c6197"</definedName>
    <definedName name="IQ_AR_REIT" hidden="1">"c43"</definedName>
    <definedName name="IQ_AR_TURNS" hidden="1">"c44"</definedName>
    <definedName name="IQ_AR_UTI" hidden="1">"c45"</definedName>
    <definedName name="IQ_ARPU" hidden="1">"c2126"</definedName>
    <definedName name="IQ_ASSET_BACKED_FDIC" hidden="1">"c6301"</definedName>
    <definedName name="IQ_ASSET_MGMT_FEE" hidden="1">"c46"</definedName>
    <definedName name="IQ_ASSET_TURNS" hidden="1">"c47"</definedName>
    <definedName name="IQ_ASSET_WRITEDOWN" hidden="1">"c48"</definedName>
    <definedName name="IQ_ASSET_WRITEDOWN_BNK" hidden="1">"c49"</definedName>
    <definedName name="IQ_ASSET_WRITEDOWN_BR" hidden="1">"c50"</definedName>
    <definedName name="IQ_ASSET_WRITEDOWN_CF" hidden="1">"c51"</definedName>
    <definedName name="IQ_ASSET_WRITEDOWN_CF_BNK" hidden="1">"c52"</definedName>
    <definedName name="IQ_ASSET_WRITEDOWN_CF_BR" hidden="1">"c53"</definedName>
    <definedName name="IQ_ASSET_WRITEDOWN_CF_FIN" hidden="1">"c54"</definedName>
    <definedName name="IQ_ASSET_WRITEDOWN_CF_INS" hidden="1">"c55"</definedName>
    <definedName name="IQ_ASSET_WRITEDOWN_CF_RE" hidden="1">"c6198"</definedName>
    <definedName name="IQ_ASSET_WRITEDOWN_CF_REIT" hidden="1">"c56"</definedName>
    <definedName name="IQ_ASSET_WRITEDOWN_CF_UTI" hidden="1">"c57"</definedName>
    <definedName name="IQ_ASSET_WRITEDOWN_FIN" hidden="1">"c58"</definedName>
    <definedName name="IQ_ASSET_WRITEDOWN_INS" hidden="1">"c59"</definedName>
    <definedName name="IQ_ASSET_WRITEDOWN_RE" hidden="1">"c6199"</definedName>
    <definedName name="IQ_ASSET_WRITEDOWN_REIT" hidden="1">"c60"</definedName>
    <definedName name="IQ_ASSET_WRITEDOWN_UTI" hidden="1">"c61"</definedName>
    <definedName name="IQ_ASSETS_AP" hidden="1">"c8883"</definedName>
    <definedName name="IQ_ASSETS_AP_ABS" hidden="1">"c8902"</definedName>
    <definedName name="IQ_ASSETS_CAP_LEASE_DEPR" hidden="1">"c2068"</definedName>
    <definedName name="IQ_ASSETS_CAP_LEASE_GROSS" hidden="1">"c2069"</definedName>
    <definedName name="IQ_ASSETS_HELD_FDIC" hidden="1">"c6305"</definedName>
    <definedName name="IQ_ASSETS_NAME_AP" hidden="1">"c8921"</definedName>
    <definedName name="IQ_ASSETS_NAME_AP_ABS" hidden="1">"c8940"</definedName>
    <definedName name="IQ_ASSETS_OPER_LEASE_DEPR" hidden="1">"c2070"</definedName>
    <definedName name="IQ_ASSETS_OPER_LEASE_GROSS" hidden="1">"c2071"</definedName>
    <definedName name="IQ_ASSETS_PER_EMPLOYEE_FDIC" hidden="1">"c6737"</definedName>
    <definedName name="IQ_ASSETS_SOLD_1_4_FAMILY_LOANS_FDIC" hidden="1">"c6686"</definedName>
    <definedName name="IQ_ASSETS_SOLD_AUTO_LOANS_FDIC" hidden="1">"c6680"</definedName>
    <definedName name="IQ_ASSETS_SOLD_CL_LOANS_FDIC" hidden="1">"c6681"</definedName>
    <definedName name="IQ_ASSETS_SOLD_CREDIT_CARDS_RECEIVABLES_FDIC" hidden="1">"c6683"</definedName>
    <definedName name="IQ_ASSETS_SOLD_HOME_EQUITY_LINES_FDIC" hidden="1">"c6684"</definedName>
    <definedName name="IQ_ASSETS_SOLD_OTHER_CONSUMER_LOANS_FDIC" hidden="1">"c6682"</definedName>
    <definedName name="IQ_ASSETS_SOLD_OTHER_LOANS_FDIC" hidden="1">"c6685"</definedName>
    <definedName name="IQ_ASSUMED_AH_EARNED" hidden="1">"c2741"</definedName>
    <definedName name="IQ_ASSUMED_EARNED" hidden="1">"c2731"</definedName>
    <definedName name="IQ_ASSUMED_LIFE_EARNED" hidden="1">"c2736"</definedName>
    <definedName name="IQ_ASSUMED_LIFE_IN_FORCE" hidden="1">"c2766"</definedName>
    <definedName name="IQ_ASSUMED_PC_EARNED" hidden="1">"c2746"</definedName>
    <definedName name="IQ_ASSUMED_WRITTEN" hidden="1">"c2725"</definedName>
    <definedName name="IQ_AUDITOR_NAME" hidden="1">"c1539"</definedName>
    <definedName name="IQ_AUDITOR_OPINION" hidden="1">"c1540"</definedName>
    <definedName name="IQ_AUM" hidden="1">"c10043"</definedName>
    <definedName name="IQ_AUM_EQUITY_FUNDS" hidden="1">"c10039"</definedName>
    <definedName name="IQ_AUM_FIXED_INCOME_FUNDS" hidden="1">"c10040"</definedName>
    <definedName name="IQ_AUM_MONEY_MARKET_FUNDS" hidden="1">"c10041"</definedName>
    <definedName name="IQ_AUM_OTHER" hidden="1">"c10042"</definedName>
    <definedName name="IQ_AUTO_REGIST_NEW" hidden="1">"c6923"</definedName>
    <definedName name="IQ_AUTO_REGIST_NEW_APR" hidden="1">"c7583"</definedName>
    <definedName name="IQ_AUTO_REGIST_NEW_APR_FC" hidden="1">"c8463"</definedName>
    <definedName name="IQ_AUTO_REGIST_NEW_FC" hidden="1">"c7803"</definedName>
    <definedName name="IQ_AUTO_REGIST_NEW_POP" hidden="1">"c7143"</definedName>
    <definedName name="IQ_AUTO_REGIST_NEW_POP_FC" hidden="1">"c8023"</definedName>
    <definedName name="IQ_AUTO_REGIST_NEW_YOY" hidden="1">"c7363"</definedName>
    <definedName name="IQ_AUTO_REGIST_NEW_YOY_FC" hidden="1">"c8243"</definedName>
    <definedName name="IQ_AUTO_SALES_DOM" hidden="1">"c6852"</definedName>
    <definedName name="IQ_AUTO_SALES_DOM_APR" hidden="1">"c7512"</definedName>
    <definedName name="IQ_AUTO_SALES_DOM_APR_FC" hidden="1">"c8392"</definedName>
    <definedName name="IQ_AUTO_SALES_DOM_FC" hidden="1">"c7732"</definedName>
    <definedName name="IQ_AUTO_SALES_DOM_POP" hidden="1">"c7072"</definedName>
    <definedName name="IQ_AUTO_SALES_DOM_POP_FC" hidden="1">"c7952"</definedName>
    <definedName name="IQ_AUTO_SALES_DOM_YOY" hidden="1">"c7292"</definedName>
    <definedName name="IQ_AUTO_SALES_DOM_YOY_FC" hidden="1">"c8172"</definedName>
    <definedName name="IQ_AUTO_SALES_FOREIGN" hidden="1">"c6873"</definedName>
    <definedName name="IQ_AUTO_SALES_FOREIGN_APR" hidden="1">"c7533"</definedName>
    <definedName name="IQ_AUTO_SALES_FOREIGN_APR_FC" hidden="1">"c8413"</definedName>
    <definedName name="IQ_AUTO_SALES_FOREIGN_FC" hidden="1">"c7753"</definedName>
    <definedName name="IQ_AUTO_SALES_FOREIGN_POP" hidden="1">"c7093"</definedName>
    <definedName name="IQ_AUTO_SALES_FOREIGN_POP_FC" hidden="1">"c7973"</definedName>
    <definedName name="IQ_AUTO_SALES_FOREIGN_YOY" hidden="1">"c7313"</definedName>
    <definedName name="IQ_AUTO_SALES_FOREIGN_YOY_FC" hidden="1">"c8193"</definedName>
    <definedName name="IQ_AUTO_WRITTEN" hidden="1">"c62"</definedName>
    <definedName name="IQ_AVAILABLE_FOR_SALE_FDIC" hidden="1">"c6409"</definedName>
    <definedName name="IQ_AVERAGE_ASSETS_FDIC" hidden="1">"c6362"</definedName>
    <definedName name="IQ_AVERAGE_ASSETS_QUART_FDIC" hidden="1">"c6363"</definedName>
    <definedName name="IQ_AVERAGE_EARNING_ASSETS_FDIC" hidden="1">"c6748"</definedName>
    <definedName name="IQ_AVERAGE_EQUITY_FDIC" hidden="1">"c6749"</definedName>
    <definedName name="IQ_AVERAGE_LOANS_FDIC" hidden="1">"c6750"</definedName>
    <definedName name="IQ_AVG_BANK_ASSETS" hidden="1">"c2072"</definedName>
    <definedName name="IQ_AVG_BANK_LOANS" hidden="1">"c2073"</definedName>
    <definedName name="IQ_AVG_BROKER_REC" hidden="1">"c63"</definedName>
    <definedName name="IQ_AVG_BROKER_REC_CIQ" hidden="1">"c3612"</definedName>
    <definedName name="IQ_AVG_BROKER_REC_NO" hidden="1">"c64"</definedName>
    <definedName name="IQ_AVG_BROKER_REC_NO_CIQ" hidden="1">"c4657"</definedName>
    <definedName name="IQ_AVG_BROKER_REC_NO_REUT" hidden="1">"c5315"</definedName>
    <definedName name="IQ_AVG_BROKER_REC_REUT" hidden="1">"c3630"</definedName>
    <definedName name="IQ_AVG_CALORIFIC_VALUE_COAL" hidden="1">"c9828"</definedName>
    <definedName name="IQ_AVG_CALORIFIC_VALUE_MET_COAL" hidden="1">"c9764"</definedName>
    <definedName name="IQ_AVG_CALORIFIC_VALUE_STEAM" hidden="1">"c9794"</definedName>
    <definedName name="IQ_AVG_DAILY_VOL" hidden="1">"c65"</definedName>
    <definedName name="IQ_AVG_EMPLOYEES" hidden="1">"c6019"</definedName>
    <definedName name="IQ_AVG_GRADE_ALUM" hidden="1">"c9254"</definedName>
    <definedName name="IQ_AVG_GRADE_COP" hidden="1">"c9201"</definedName>
    <definedName name="IQ_AVG_GRADE_DIAM" hidden="1">"c9678"</definedName>
    <definedName name="IQ_AVG_GRADE_GOLD" hidden="1">"c9039"</definedName>
    <definedName name="IQ_AVG_GRADE_IRON" hidden="1">"c9413"</definedName>
    <definedName name="IQ_AVG_GRADE_LEAD" hidden="1">"c9466"</definedName>
    <definedName name="IQ_AVG_GRADE_MANG" hidden="1">"c9519"</definedName>
    <definedName name="IQ_AVG_GRADE_MOLYB" hidden="1">"c9731"</definedName>
    <definedName name="IQ_AVG_GRADE_NICK" hidden="1">"c9307"</definedName>
    <definedName name="IQ_AVG_GRADE_PLAT" hidden="1">"c9145"</definedName>
    <definedName name="IQ_AVG_GRADE_SILVER" hidden="1">"c9092"</definedName>
    <definedName name="IQ_AVG_GRADE_TITAN" hidden="1">"c9572"</definedName>
    <definedName name="IQ_AVG_GRADE_URAN" hidden="1">"c9625"</definedName>
    <definedName name="IQ_AVG_GRADE_ZINC" hidden="1">"c9360"</definedName>
    <definedName name="IQ_AVG_INDUSTRY_REC" hidden="1">"c4455"</definedName>
    <definedName name="IQ_AVG_INDUSTRY_REC_CIQ" hidden="1">"c4984"</definedName>
    <definedName name="IQ_AVG_INT_BEAR_LIAB" hidden="1">"c66"</definedName>
    <definedName name="IQ_AVG_INT_BEAR_LIAB_10YR_ANN_CAGR" hidden="1">"c6040"</definedName>
    <definedName name="IQ_AVG_INT_BEAR_LIAB_10YR_ANN_GROWTH" hidden="1">"c67"</definedName>
    <definedName name="IQ_AVG_INT_BEAR_LIAB_1YR_ANN_GROWTH" hidden="1">"c68"</definedName>
    <definedName name="IQ_AVG_INT_BEAR_LIAB_2YR_ANN_CAGR" hidden="1">"c6041"</definedName>
    <definedName name="IQ_AVG_INT_BEAR_LIAB_2YR_ANN_GROWTH" hidden="1">"c69"</definedName>
    <definedName name="IQ_AVG_INT_BEAR_LIAB_3YR_ANN_CAGR" hidden="1">"c6042"</definedName>
    <definedName name="IQ_AVG_INT_BEAR_LIAB_3YR_ANN_GROWTH" hidden="1">"c70"</definedName>
    <definedName name="IQ_AVG_INT_BEAR_LIAB_5YR_ANN_CAGR" hidden="1">"c6043"</definedName>
    <definedName name="IQ_AVG_INT_BEAR_LIAB_5YR_ANN_GROWTH" hidden="1">"c71"</definedName>
    <definedName name="IQ_AVG_INT_BEAR_LIAB_7YR_ANN_CAGR" hidden="1">"c6044"</definedName>
    <definedName name="IQ_AVG_INT_BEAR_LIAB_7YR_ANN_GROWTH" hidden="1">"c72"</definedName>
    <definedName name="IQ_AVG_INT_EARN_ASSETS" hidden="1">"c73"</definedName>
    <definedName name="IQ_AVG_INT_EARN_ASSETS_10YR_ANN_CAGR" hidden="1">"c6045"</definedName>
    <definedName name="IQ_AVG_INT_EARN_ASSETS_10YR_ANN_GROWTH" hidden="1">"c74"</definedName>
    <definedName name="IQ_AVG_INT_EARN_ASSETS_1YR_ANN_GROWTH" hidden="1">"c75"</definedName>
    <definedName name="IQ_AVG_INT_EARN_ASSETS_2YR_ANN_CAGR" hidden="1">"c6046"</definedName>
    <definedName name="IQ_AVG_INT_EARN_ASSETS_2YR_ANN_GROWTH" hidden="1">"c76"</definedName>
    <definedName name="IQ_AVG_INT_EARN_ASSETS_3YR_ANN_CAGR" hidden="1">"c6047"</definedName>
    <definedName name="IQ_AVG_INT_EARN_ASSETS_3YR_ANN_GROWTH" hidden="1">"c77"</definedName>
    <definedName name="IQ_AVG_INT_EARN_ASSETS_5YR_ANN_CAGR" hidden="1">"c6048"</definedName>
    <definedName name="IQ_AVG_INT_EARN_ASSETS_5YR_ANN_GROWTH" hidden="1">"c78"</definedName>
    <definedName name="IQ_AVG_INT_EARN_ASSETS_7YR_ANN_CAGR" hidden="1">"c6049"</definedName>
    <definedName name="IQ_AVG_INT_EARN_ASSETS_7YR_ANN_GROWTH" hidden="1">"c79"</definedName>
    <definedName name="IQ_AVG_MKTCAP" hidden="1">"c80"</definedName>
    <definedName name="IQ_AVG_PRICE" hidden="1">"c81"</definedName>
    <definedName name="IQ_AVG_PRODUCTION_PER_MINE_ALUM" hidden="1">"c9249"</definedName>
    <definedName name="IQ_AVG_PRODUCTION_PER_MINE_COAL" hidden="1">"c9823"</definedName>
    <definedName name="IQ_AVG_PRODUCTION_PER_MINE_COP" hidden="1">"c9194"</definedName>
    <definedName name="IQ_AVG_PRODUCTION_PER_MINE_DIAM" hidden="1">"c9673"</definedName>
    <definedName name="IQ_AVG_PRODUCTION_PER_MINE_GOLD" hidden="1">"c9034"</definedName>
    <definedName name="IQ_AVG_PRODUCTION_PER_MINE_IRON" hidden="1">"c9408"</definedName>
    <definedName name="IQ_AVG_PRODUCTION_PER_MINE_LEAD" hidden="1">"c9461"</definedName>
    <definedName name="IQ_AVG_PRODUCTION_PER_MINE_MANG" hidden="1">"c9514"</definedName>
    <definedName name="IQ_AVG_PRODUCTION_PER_MINE_MOLYB" hidden="1">"c9726"</definedName>
    <definedName name="IQ_AVG_PRODUCTION_PER_MINE_NICK" hidden="1">"c9302"</definedName>
    <definedName name="IQ_AVG_PRODUCTION_PER_MINE_PLAT" hidden="1">"c9140"</definedName>
    <definedName name="IQ_AVG_PRODUCTION_PER_MINE_SILVER" hidden="1">"c9087"</definedName>
    <definedName name="IQ_AVG_PRODUCTION_PER_MINE_TITAN" hidden="1">"c9567"</definedName>
    <definedName name="IQ_AVG_PRODUCTION_PER_MINE_URAN" hidden="1">"c9620"</definedName>
    <definedName name="IQ_AVG_PRODUCTION_PER_MINE_ZINC" hidden="1">"c9355"</definedName>
    <definedName name="IQ_AVG_REAL_PRICE_POST_TREAT_REFINING_ALUM" hidden="1">"c9259"</definedName>
    <definedName name="IQ_AVG_REAL_PRICE_POST_TREAT_REFINING_COP" hidden="1">"c9206"</definedName>
    <definedName name="IQ_AVG_REAL_PRICE_POST_TREAT_REFINING_DIAM" hidden="1">"c9683"</definedName>
    <definedName name="IQ_AVG_REAL_PRICE_POST_TREAT_REFINING_GOLD" hidden="1">"c9044"</definedName>
    <definedName name="IQ_AVG_REAL_PRICE_POST_TREAT_REFINING_IRON" hidden="1">"c9418"</definedName>
    <definedName name="IQ_AVG_REAL_PRICE_POST_TREAT_REFINING_LEAD" hidden="1">"c9471"</definedName>
    <definedName name="IQ_AVG_REAL_PRICE_POST_TREAT_REFINING_MANG" hidden="1">"c9524"</definedName>
    <definedName name="IQ_AVG_REAL_PRICE_POST_TREAT_REFINING_MOLYB" hidden="1">"c9736"</definedName>
    <definedName name="IQ_AVG_REAL_PRICE_POST_TREAT_REFINING_NICK" hidden="1">"c9311"</definedName>
    <definedName name="IQ_AVG_REAL_PRICE_POST_TREAT_REFINING_PLAT" hidden="1">"c9150"</definedName>
    <definedName name="IQ_AVG_REAL_PRICE_POST_TREAT_REFINING_SILVER" hidden="1">"c9097"</definedName>
    <definedName name="IQ_AVG_REAL_PRICE_POST_TREAT_REFINING_TITAN" hidden="1">"c9577"</definedName>
    <definedName name="IQ_AVG_REAL_PRICE_POST_TREAT_REFINING_URAN" hidden="1">"c9630"</definedName>
    <definedName name="IQ_AVG_REAL_PRICE_POST_TREAT_REFINING_ZINC" hidden="1">"c9365"</definedName>
    <definedName name="IQ_AVG_REAL_PRICE_PRE_TREAT_REFINING_ALUM" hidden="1">"c9258"</definedName>
    <definedName name="IQ_AVG_REAL_PRICE_PRE_TREAT_REFINING_COP" hidden="1">"c9205"</definedName>
    <definedName name="IQ_AVG_REAL_PRICE_PRE_TREAT_REFINING_DIAM" hidden="1">"c9682"</definedName>
    <definedName name="IQ_AVG_REAL_PRICE_PRE_TREAT_REFINING_GOLD" hidden="1">"c9043"</definedName>
    <definedName name="IQ_AVG_REAL_PRICE_PRE_TREAT_REFINING_IRON" hidden="1">"c9417"</definedName>
    <definedName name="IQ_AVG_REAL_PRICE_PRE_TREAT_REFINING_LEAD" hidden="1">"c9470"</definedName>
    <definedName name="IQ_AVG_REAL_PRICE_PRE_TREAT_REFINING_MANG" hidden="1">"c9523"</definedName>
    <definedName name="IQ_AVG_REAL_PRICE_PRE_TREAT_REFINING_MOLYB" hidden="1">"c9735"</definedName>
    <definedName name="IQ_AVG_REAL_PRICE_PRE_TREAT_REFINING_NICK" hidden="1">"c9312"</definedName>
    <definedName name="IQ_AVG_REAL_PRICE_PRE_TREAT_REFINING_PLAT" hidden="1">"c9149"</definedName>
    <definedName name="IQ_AVG_REAL_PRICE_PRE_TREAT_REFINING_SILVER" hidden="1">"c9096"</definedName>
    <definedName name="IQ_AVG_REAL_PRICE_PRE_TREAT_REFINING_TITAN" hidden="1">"c9576"</definedName>
    <definedName name="IQ_AVG_REAL_PRICE_PRE_TREAT_REFINING_URAN" hidden="1">"c9629"</definedName>
    <definedName name="IQ_AVG_REAL_PRICE_PRE_TREAT_REFINING_ZINC" hidden="1">"c9364"</definedName>
    <definedName name="IQ_AVG_REALIZED_PRICE_AFTER_HEDGING_ALUM" hidden="1">"c9257"</definedName>
    <definedName name="IQ_AVG_REALIZED_PRICE_AFTER_HEDGING_COAL" hidden="1">"c9830"</definedName>
    <definedName name="IQ_AVG_REALIZED_PRICE_AFTER_HEDGING_COP" hidden="1">"c9204"</definedName>
    <definedName name="IQ_AVG_REALIZED_PRICE_AFTER_HEDGING_DIAM" hidden="1">"c9681"</definedName>
    <definedName name="IQ_AVG_REALIZED_PRICE_AFTER_HEDGING_GOLD" hidden="1">"c9042"</definedName>
    <definedName name="IQ_AVG_REALIZED_PRICE_AFTER_HEDGING_IRON" hidden="1">"c9416"</definedName>
    <definedName name="IQ_AVG_REALIZED_PRICE_AFTER_HEDGING_LEAD" hidden="1">"c9469"</definedName>
    <definedName name="IQ_AVG_REALIZED_PRICE_AFTER_HEDGING_MANG" hidden="1">"c9522"</definedName>
    <definedName name="IQ_AVG_REALIZED_PRICE_AFTER_HEDGING_MET_COAL" hidden="1">"c9766"</definedName>
    <definedName name="IQ_AVG_REALIZED_PRICE_AFTER_HEDGING_MOLYB" hidden="1">"c9734"</definedName>
    <definedName name="IQ_AVG_REALIZED_PRICE_AFTER_HEDGING_NICK" hidden="1">"c9310"</definedName>
    <definedName name="IQ_AVG_REALIZED_PRICE_AFTER_HEDGING_PLAT" hidden="1">"c9148"</definedName>
    <definedName name="IQ_AVG_REALIZED_PRICE_AFTER_HEDGING_SILVER" hidden="1">"c9095"</definedName>
    <definedName name="IQ_AVG_REALIZED_PRICE_AFTER_HEDGING_STEAM" hidden="1">"c9796"</definedName>
    <definedName name="IQ_AVG_REALIZED_PRICE_AFTER_HEDGING_TITAN" hidden="1">"c9575"</definedName>
    <definedName name="IQ_AVG_REALIZED_PRICE_AFTER_HEDGING_URAN" hidden="1">"c9628"</definedName>
    <definedName name="IQ_AVG_REALIZED_PRICE_AFTER_HEDGING_ZINC" hidden="1">"c9363"</definedName>
    <definedName name="IQ_AVG_REALIZED_PRICE_BEFORE_HEDGING_ALUM" hidden="1">"c9256"</definedName>
    <definedName name="IQ_AVG_REALIZED_PRICE_BEFORE_HEDGING_COAL" hidden="1">"c9829"</definedName>
    <definedName name="IQ_AVG_REALIZED_PRICE_BEFORE_HEDGING_COP" hidden="1">"c9203"</definedName>
    <definedName name="IQ_AVG_REALIZED_PRICE_BEFORE_HEDGING_DIAM" hidden="1">"c9680"</definedName>
    <definedName name="IQ_AVG_REALIZED_PRICE_BEFORE_HEDGING_GOLD" hidden="1">"c9041"</definedName>
    <definedName name="IQ_AVG_REALIZED_PRICE_BEFORE_HEDGING_IRON" hidden="1">"c9415"</definedName>
    <definedName name="IQ_AVG_REALIZED_PRICE_BEFORE_HEDGING_LEAD" hidden="1">"c9468"</definedName>
    <definedName name="IQ_AVG_REALIZED_PRICE_BEFORE_HEDGING_MANG" hidden="1">"c9521"</definedName>
    <definedName name="IQ_AVG_REALIZED_PRICE_BEFORE_HEDGING_MET_COAL" hidden="1">"c9765"</definedName>
    <definedName name="IQ_AVG_REALIZED_PRICE_BEFORE_HEDGING_MOLYB" hidden="1">"c9733"</definedName>
    <definedName name="IQ_AVG_REALIZED_PRICE_BEFORE_HEDGING_NICK" hidden="1">"c9309"</definedName>
    <definedName name="IQ_AVG_REALIZED_PRICE_BEFORE_HEDGING_PLAT" hidden="1">"c9147"</definedName>
    <definedName name="IQ_AVG_REALIZED_PRICE_BEFORE_HEDGING_SILVER" hidden="1">"c9094"</definedName>
    <definedName name="IQ_AVG_REALIZED_PRICE_BEFORE_HEDGING_STEAM" hidden="1">"c9795"</definedName>
    <definedName name="IQ_AVG_REALIZED_PRICE_BEFORE_HEDGING_TITAN" hidden="1">"c9574"</definedName>
    <definedName name="IQ_AVG_REALIZED_PRICE_BEFORE_HEDGING_URAN" hidden="1">"c9627"</definedName>
    <definedName name="IQ_AVG_REALIZED_PRICE_BEFORE_HEDGING_ZINC" hidden="1">"c9362"</definedName>
    <definedName name="IQ_AVG_SHAREOUTSTANDING" hidden="1">"c83"</definedName>
    <definedName name="IQ_AVG_TEMP_EMPLOYEES" hidden="1">"c6020"</definedName>
    <definedName name="IQ_AVG_TEV" hidden="1">"c84"</definedName>
    <definedName name="IQ_AVG_VOLUME" hidden="1">"c1346"</definedName>
    <definedName name="IQ_AVG_WAGES" hidden="1">"c6812"</definedName>
    <definedName name="IQ_AVG_WAGES_APR" hidden="1">"c7472"</definedName>
    <definedName name="IQ_AVG_WAGES_APR_FC" hidden="1">"c8352"</definedName>
    <definedName name="IQ_AVG_WAGES_FC" hidden="1">"c7692"</definedName>
    <definedName name="IQ_AVG_WAGES_POP" hidden="1">"c7032"</definedName>
    <definedName name="IQ_AVG_WAGES_POP_FC" hidden="1">"c7912"</definedName>
    <definedName name="IQ_AVG_WAGES_YOY" hidden="1">"c7252"</definedName>
    <definedName name="IQ_AVG_WAGES_YOY_FC" hidden="1">"c8132"</definedName>
    <definedName name="IQ_BALANCE_GOODS_APR_FC_UNUSED_UNUSED_UNUSED" hidden="1">"c8353"</definedName>
    <definedName name="IQ_BALANCE_GOODS_APR_UNUSED_UNUSED_UNUSED" hidden="1">"c7473"</definedName>
    <definedName name="IQ_BALANCE_GOODS_FC_UNUSED_UNUSED_UNUSED" hidden="1">"c7693"</definedName>
    <definedName name="IQ_BALANCE_GOODS_POP_FC_UNUSED_UNUSED_UNUSED" hidden="1">"c7913"</definedName>
    <definedName name="IQ_BALANCE_GOODS_POP_UNUSED_UNUSED_UNUSED" hidden="1">"c7033"</definedName>
    <definedName name="IQ_BALANCE_GOODS_REAL" hidden="1">"c6952"</definedName>
    <definedName name="IQ_BALANCE_GOODS_REAL_APR" hidden="1">"c7612"</definedName>
    <definedName name="IQ_BALANCE_GOODS_REAL_APR_FC" hidden="1">"c8492"</definedName>
    <definedName name="IQ_BALANCE_GOODS_REAL_FC" hidden="1">"c7832"</definedName>
    <definedName name="IQ_BALANCE_GOODS_REAL_POP" hidden="1">"c7172"</definedName>
    <definedName name="IQ_BALANCE_GOODS_REAL_POP_FC" hidden="1">"c8052"</definedName>
    <definedName name="IQ_BALANCE_GOODS_REAL_SAAR" hidden="1">"c6953"</definedName>
    <definedName name="IQ_BALANCE_GOODS_REAL_SAAR_APR" hidden="1">"c7613"</definedName>
    <definedName name="IQ_BALANCE_GOODS_REAL_SAAR_APR_FC" hidden="1">"c8493"</definedName>
    <definedName name="IQ_BALANCE_GOODS_REAL_SAAR_FC" hidden="1">"c7833"</definedName>
    <definedName name="IQ_BALANCE_GOODS_REAL_SAAR_POP" hidden="1">"c7173"</definedName>
    <definedName name="IQ_BALANCE_GOODS_REAL_SAAR_POP_FC" hidden="1">"c8053"</definedName>
    <definedName name="IQ_BALANCE_GOODS_REAL_SAAR_USD_APR_FC" hidden="1">"c11893"</definedName>
    <definedName name="IQ_BALANCE_GOODS_REAL_SAAR_USD_FC" hidden="1">"c11890"</definedName>
    <definedName name="IQ_BALANCE_GOODS_REAL_SAAR_USD_POP_FC" hidden="1">"c11891"</definedName>
    <definedName name="IQ_BALANCE_GOODS_REAL_SAAR_USD_YOY_FC" hidden="1">"c11892"</definedName>
    <definedName name="IQ_BALANCE_GOODS_REAL_SAAR_YOY" hidden="1">"c7393"</definedName>
    <definedName name="IQ_BALANCE_GOODS_REAL_SAAR_YOY_FC" hidden="1">"c8273"</definedName>
    <definedName name="IQ_BALANCE_GOODS_REAL_USD_APR_FC" hidden="1">"c11889"</definedName>
    <definedName name="IQ_BALANCE_GOODS_REAL_USD_FC" hidden="1">"c11886"</definedName>
    <definedName name="IQ_BALANCE_GOODS_REAL_USD_POP_FC" hidden="1">"c11887"</definedName>
    <definedName name="IQ_BALANCE_GOODS_REAL_USD_YOY_FC" hidden="1">"c11888"</definedName>
    <definedName name="IQ_BALANCE_GOODS_REAL_YOY" hidden="1">"c7392"</definedName>
    <definedName name="IQ_BALANCE_GOODS_REAL_YOY_FC" hidden="1">"c8272"</definedName>
    <definedName name="IQ_BALANCE_GOODS_SAAR" hidden="1">"c6814"</definedName>
    <definedName name="IQ_BALANCE_GOODS_SAAR_APR" hidden="1">"c7474"</definedName>
    <definedName name="IQ_BALANCE_GOODS_SAAR_APR_FC" hidden="1">"c8354"</definedName>
    <definedName name="IQ_BALANCE_GOODS_SAAR_FC" hidden="1">"c7694"</definedName>
    <definedName name="IQ_BALANCE_GOODS_SAAR_POP" hidden="1">"c7034"</definedName>
    <definedName name="IQ_BALANCE_GOODS_SAAR_POP_FC" hidden="1">"c7914"</definedName>
    <definedName name="IQ_BALANCE_GOODS_SAAR_USD_APR_FC" hidden="1">"c11762"</definedName>
    <definedName name="IQ_BALANCE_GOODS_SAAR_USD_FC" hidden="1">"c11759"</definedName>
    <definedName name="IQ_BALANCE_GOODS_SAAR_USD_POP_FC" hidden="1">"c11760"</definedName>
    <definedName name="IQ_BALANCE_GOODS_SAAR_USD_YOY_FC" hidden="1">"c11761"</definedName>
    <definedName name="IQ_BALANCE_GOODS_SAAR_YOY" hidden="1">"c7254"</definedName>
    <definedName name="IQ_BALANCE_GOODS_SAAR_YOY_FC" hidden="1">"c8134"</definedName>
    <definedName name="IQ_BALANCE_GOODS_UNUSED_UNUSED_UNUSED" hidden="1">"c6813"</definedName>
    <definedName name="IQ_BALANCE_GOODS_USD_APR_FC" hidden="1">"c11758"</definedName>
    <definedName name="IQ_BALANCE_GOODS_USD_FC" hidden="1">"c11755"</definedName>
    <definedName name="IQ_BALANCE_GOODS_USD_POP_FC" hidden="1">"c11756"</definedName>
    <definedName name="IQ_BALANCE_GOODS_USD_YOY_FC" hidden="1">"c11757"</definedName>
    <definedName name="IQ_BALANCE_GOODS_YOY_FC_UNUSED_UNUSED_UNUSED" hidden="1">"c8133"</definedName>
    <definedName name="IQ_BALANCE_GOODS_YOY_UNUSED_UNUSED_UNUSED" hidden="1">"c7253"</definedName>
    <definedName name="IQ_BALANCE_SERV_APR_FC_UNUSED_UNUSED_UNUSED" hidden="1">"c8355"</definedName>
    <definedName name="IQ_BALANCE_SERV_APR_UNUSED_UNUSED_UNUSED" hidden="1">"c7475"</definedName>
    <definedName name="IQ_BALANCE_SERV_FC_UNUSED_UNUSED_UNUSED" hidden="1">"c7695"</definedName>
    <definedName name="IQ_BALANCE_SERV_POP_FC_UNUSED_UNUSED_UNUSED" hidden="1">"c7915"</definedName>
    <definedName name="IQ_BALANCE_SERV_POP_UNUSED_UNUSED_UNUSED" hidden="1">"c7035"</definedName>
    <definedName name="IQ_BALANCE_SERV_SAAR" hidden="1">"c6816"</definedName>
    <definedName name="IQ_BALANCE_SERV_SAAR_APR" hidden="1">"c7476"</definedName>
    <definedName name="IQ_BALANCE_SERV_SAAR_APR_FC" hidden="1">"c8356"</definedName>
    <definedName name="IQ_BALANCE_SERV_SAAR_FC" hidden="1">"c7696"</definedName>
    <definedName name="IQ_BALANCE_SERV_SAAR_POP" hidden="1">"c7036"</definedName>
    <definedName name="IQ_BALANCE_SERV_SAAR_POP_FC" hidden="1">"c7916"</definedName>
    <definedName name="IQ_BALANCE_SERV_SAAR_YOY" hidden="1">"c7256"</definedName>
    <definedName name="IQ_BALANCE_SERV_SAAR_YOY_FC" hidden="1">"c8136"</definedName>
    <definedName name="IQ_BALANCE_SERV_UNUSED_UNUSED_UNUSED" hidden="1">"c6815"</definedName>
    <definedName name="IQ_BALANCE_SERV_USD_APR_FC" hidden="1">"c11766"</definedName>
    <definedName name="IQ_BALANCE_SERV_USD_FC" hidden="1">"c11763"</definedName>
    <definedName name="IQ_BALANCE_SERV_USD_POP_FC" hidden="1">"c11764"</definedName>
    <definedName name="IQ_BALANCE_SERV_USD_YOY_FC" hidden="1">"c11765"</definedName>
    <definedName name="IQ_BALANCE_SERV_YOY_FC_UNUSED_UNUSED_UNUSED" hidden="1">"c8135"</definedName>
    <definedName name="IQ_BALANCE_SERV_YOY_UNUSED_UNUSED_UNUSED" hidden="1">"c7255"</definedName>
    <definedName name="IQ_BALANCE_SERVICES_REAL" hidden="1">"c6954"</definedName>
    <definedName name="IQ_BALANCE_SERVICES_REAL_APR" hidden="1">"c7614"</definedName>
    <definedName name="IQ_BALANCE_SERVICES_REAL_APR_FC" hidden="1">"c8494"</definedName>
    <definedName name="IQ_BALANCE_SERVICES_REAL_FC" hidden="1">"c7834"</definedName>
    <definedName name="IQ_BALANCE_SERVICES_REAL_POP" hidden="1">"c7174"</definedName>
    <definedName name="IQ_BALANCE_SERVICES_REAL_POP_FC" hidden="1">"c8054"</definedName>
    <definedName name="IQ_BALANCE_SERVICES_REAL_SAAR" hidden="1">"c6955"</definedName>
    <definedName name="IQ_BALANCE_SERVICES_REAL_SAAR_APR" hidden="1">"c7615"</definedName>
    <definedName name="IQ_BALANCE_SERVICES_REAL_SAAR_APR_FC" hidden="1">"c8495"</definedName>
    <definedName name="IQ_BALANCE_SERVICES_REAL_SAAR_FC" hidden="1">"c7835"</definedName>
    <definedName name="IQ_BALANCE_SERVICES_REAL_SAAR_POP" hidden="1">"c7175"</definedName>
    <definedName name="IQ_BALANCE_SERVICES_REAL_SAAR_POP_FC" hidden="1">"c8055"</definedName>
    <definedName name="IQ_BALANCE_SERVICES_REAL_SAAR_YOY" hidden="1">"c7395"</definedName>
    <definedName name="IQ_BALANCE_SERVICES_REAL_SAAR_YOY_FC" hidden="1">"c8275"</definedName>
    <definedName name="IQ_BALANCE_SERVICES_REAL_USD_APR_FC" hidden="1">"c11897"</definedName>
    <definedName name="IQ_BALANCE_SERVICES_REAL_USD_FC" hidden="1">"c11894"</definedName>
    <definedName name="IQ_BALANCE_SERVICES_REAL_USD_POP_FC" hidden="1">"c11895"</definedName>
    <definedName name="IQ_BALANCE_SERVICES_REAL_USD_YOY_FC" hidden="1">"c11896"</definedName>
    <definedName name="IQ_BALANCE_SERVICES_REAL_YOY" hidden="1">"c7394"</definedName>
    <definedName name="IQ_BALANCE_SERVICES_REAL_YOY_FC" hidden="1">"c8274"</definedName>
    <definedName name="IQ_BALANCE_TRADE_APR_FC_UNUSED_UNUSED_UNUSED" hidden="1">"c8357"</definedName>
    <definedName name="IQ_BALANCE_TRADE_APR_UNUSED_UNUSED_UNUSED" hidden="1">"c7477"</definedName>
    <definedName name="IQ_BALANCE_TRADE_FC_UNUSED_UNUSED_UNUSED" hidden="1">"c7697"</definedName>
    <definedName name="IQ_BALANCE_TRADE_POP_FC_UNUSED_UNUSED_UNUSED" hidden="1">"c7917"</definedName>
    <definedName name="IQ_BALANCE_TRADE_POP_UNUSED_UNUSED_UNUSED" hidden="1">"c7037"</definedName>
    <definedName name="IQ_BALANCE_TRADE_REAL" hidden="1">"c6956"</definedName>
    <definedName name="IQ_BALANCE_TRADE_REAL_APR" hidden="1">"c7616"</definedName>
    <definedName name="IQ_BALANCE_TRADE_REAL_APR_FC" hidden="1">"c8496"</definedName>
    <definedName name="IQ_BALANCE_TRADE_REAL_FC" hidden="1">"c7836"</definedName>
    <definedName name="IQ_BALANCE_TRADE_REAL_POP" hidden="1">"c7176"</definedName>
    <definedName name="IQ_BALANCE_TRADE_REAL_POP_FC" hidden="1">"c8056"</definedName>
    <definedName name="IQ_BALANCE_TRADE_REAL_SAAR" hidden="1">"c6957"</definedName>
    <definedName name="IQ_BALANCE_TRADE_REAL_SAAR_APR" hidden="1">"c7617"</definedName>
    <definedName name="IQ_BALANCE_TRADE_REAL_SAAR_APR_FC" hidden="1">"c8497"</definedName>
    <definedName name="IQ_BALANCE_TRADE_REAL_SAAR_FC" hidden="1">"c7837"</definedName>
    <definedName name="IQ_BALANCE_TRADE_REAL_SAAR_POP" hidden="1">"c7177"</definedName>
    <definedName name="IQ_BALANCE_TRADE_REAL_SAAR_POP_FC" hidden="1">"c8057"</definedName>
    <definedName name="IQ_BALANCE_TRADE_REAL_SAAR_USD_APR_FC" hidden="1">"c11905"</definedName>
    <definedName name="IQ_BALANCE_TRADE_REAL_SAAR_USD_FC" hidden="1">"c11902"</definedName>
    <definedName name="IQ_BALANCE_TRADE_REAL_SAAR_USD_POP_FC" hidden="1">"c11903"</definedName>
    <definedName name="IQ_BALANCE_TRADE_REAL_SAAR_USD_YOY_FC" hidden="1">"c11904"</definedName>
    <definedName name="IQ_BALANCE_TRADE_REAL_SAAR_YOY" hidden="1">"c7397"</definedName>
    <definedName name="IQ_BALANCE_TRADE_REAL_SAAR_YOY_FC" hidden="1">"c8277"</definedName>
    <definedName name="IQ_BALANCE_TRADE_REAL_USD_APR_FC" hidden="1">"c11901"</definedName>
    <definedName name="IQ_BALANCE_TRADE_REAL_USD_FC" hidden="1">"c11898"</definedName>
    <definedName name="IQ_BALANCE_TRADE_REAL_USD_POP_FC" hidden="1">"c11899"</definedName>
    <definedName name="IQ_BALANCE_TRADE_REAL_USD_YOY_FC" hidden="1">"c11900"</definedName>
    <definedName name="IQ_BALANCE_TRADE_REAL_YOY" hidden="1">"c7396"</definedName>
    <definedName name="IQ_BALANCE_TRADE_REAL_YOY_FC" hidden="1">"c8276"</definedName>
    <definedName name="IQ_BALANCE_TRADE_SAAR" hidden="1">"c6818"</definedName>
    <definedName name="IQ_BALANCE_TRADE_SAAR_APR" hidden="1">"c7478"</definedName>
    <definedName name="IQ_BALANCE_TRADE_SAAR_APR_FC" hidden="1">"c8358"</definedName>
    <definedName name="IQ_BALANCE_TRADE_SAAR_FC" hidden="1">"c7698"</definedName>
    <definedName name="IQ_BALANCE_TRADE_SAAR_POP" hidden="1">"c7038"</definedName>
    <definedName name="IQ_BALANCE_TRADE_SAAR_POP_FC" hidden="1">"c7918"</definedName>
    <definedName name="IQ_BALANCE_TRADE_SAAR_USD_APR_FC" hidden="1">"c11774"</definedName>
    <definedName name="IQ_BALANCE_TRADE_SAAR_USD_FC" hidden="1">"c11771"</definedName>
    <definedName name="IQ_BALANCE_TRADE_SAAR_USD_POP_FC" hidden="1">"c11772"</definedName>
    <definedName name="IQ_BALANCE_TRADE_SAAR_USD_YOY_FC" hidden="1">"c11773"</definedName>
    <definedName name="IQ_BALANCE_TRADE_SAAR_YOY" hidden="1">"c7258"</definedName>
    <definedName name="IQ_BALANCE_TRADE_SAAR_YOY_FC" hidden="1">"c8138"</definedName>
    <definedName name="IQ_BALANCE_TRADE_UNUSED_UNUSED_UNUSED" hidden="1">"c6817"</definedName>
    <definedName name="IQ_BALANCE_TRADE_USD_APR_FC" hidden="1">"c11770"</definedName>
    <definedName name="IQ_BALANCE_TRADE_USD_FC" hidden="1">"c11767"</definedName>
    <definedName name="IQ_BALANCE_TRADE_USD_POP_FC" hidden="1">"c11768"</definedName>
    <definedName name="IQ_BALANCE_TRADE_USD_YOY_FC" hidden="1">"c11769"</definedName>
    <definedName name="IQ_BALANCE_TRADE_YOY_FC_UNUSED_UNUSED_UNUSED" hidden="1">"c8137"</definedName>
    <definedName name="IQ_BALANCE_TRADE_YOY_UNUSED_UNUSED_UNUSED" hidden="1">"c7257"</definedName>
    <definedName name="IQ_BALANCES_DUE_DEPOSITORY_INSTITUTIONS_FDIC" hidden="1">"c6389"</definedName>
    <definedName name="IQ_BALANCES_DUE_FOREIGN_FDIC" hidden="1">"c6391"</definedName>
    <definedName name="IQ_BALANCES_DUE_FRB_FDIC" hidden="1">"c6393"</definedName>
    <definedName name="IQ_BANK_BENEFICIARY_FDIC" hidden="1">"c6505"</definedName>
    <definedName name="IQ_BANK_DEBT" hidden="1">"c2544"</definedName>
    <definedName name="IQ_BANK_DEBT_PCT" hidden="1">"c2545"</definedName>
    <definedName name="IQ_BANK_GUARANTOR_FDIC" hidden="1">"c6506"</definedName>
    <definedName name="IQ_BANK_PREMISES_FDIC" hidden="1">"c6329"</definedName>
    <definedName name="IQ_BANK_SECURITIZATION_1_4_FAMILY_LOANS_FDIC" hidden="1">"c6721"</definedName>
    <definedName name="IQ_BANK_SECURITIZATION_AUTO_LOANS_FDIC" hidden="1">"c6715"</definedName>
    <definedName name="IQ_BANK_SECURITIZATION_CL_LOANS_FDIC" hidden="1">"c6716"</definedName>
    <definedName name="IQ_BANK_SECURITIZATION_CREDIT_CARDS_RECEIVABLES_FDIC" hidden="1">"c6718"</definedName>
    <definedName name="IQ_BANK_SECURITIZATION_HOME_EQUITY_LINES_FDIC" hidden="1">"c6719"</definedName>
    <definedName name="IQ_BANK_SECURITIZATION_OTHER_CONSUMER_LOANS_FDIC" hidden="1">"c6717"</definedName>
    <definedName name="IQ_BANK_SECURITIZATION_OTHER_LOANS_FDIC" hidden="1">"c6720"</definedName>
    <definedName name="IQ_BANKS_FOREIGN_COUNTRIES_TOTAL_DEPOSITS_FDIC" hidden="1">"c6475"</definedName>
    <definedName name="IQ_BASIC_EPS_EXCL" hidden="1">"c85"</definedName>
    <definedName name="IQ_BASIC_EPS_INCL" hidden="1">"c86"</definedName>
    <definedName name="IQ_BASIC_NORMAL_EPS" hidden="1">"c1592"</definedName>
    <definedName name="IQ_BASIC_WEIGHT" hidden="1">"c87"</definedName>
    <definedName name="IQ_BENCHMARK_SECURITY" hidden="1">"c2154"</definedName>
    <definedName name="IQ_BENCHMARK_SPRD" hidden="1">"c2153"</definedName>
    <definedName name="IQ_BENCHMARK_YIELD" hidden="1">"c8955"</definedName>
    <definedName name="IQ_BETA" hidden="1">"c2133"</definedName>
    <definedName name="IQ_BETA_1YR" hidden="1">"c1966"</definedName>
    <definedName name="IQ_BETA_1YR_RSQ" hidden="1">"c2132"</definedName>
    <definedName name="IQ_BETA_2YR" hidden="1">"c1965"</definedName>
    <definedName name="IQ_BETA_2YR_RSQ" hidden="1">"c2131"</definedName>
    <definedName name="IQ_BETA_5YR" hidden="1">"c88"</definedName>
    <definedName name="IQ_BETA_5YR_RSQ" hidden="1">"c2130"</definedName>
    <definedName name="IQ_BIG_INT_BEAR_CD" hidden="1">"c89"</definedName>
    <definedName name="IQ_BOARD_MEMBER" hidden="1">"c96"</definedName>
    <definedName name="IQ_BOARD_MEMBER_BACKGROUND" hidden="1">"c2101"</definedName>
    <definedName name="IQ_BOARD_MEMBER_TITLE" hidden="1">"c97"</definedName>
    <definedName name="IQ_BOND_COUPON" hidden="1">"c2183"</definedName>
    <definedName name="IQ_BOND_COUPON_TYPE" hidden="1">"c2184"</definedName>
    <definedName name="IQ_BOND_PRICE" hidden="1">"c2162"</definedName>
    <definedName name="IQ_BROK_COMISSION" hidden="1">"c98"</definedName>
    <definedName name="IQ_BROK_COMMISSION" hidden="1">"c3514"</definedName>
    <definedName name="IQ_BROKERED_DEPOSITS_FDIC" hidden="1">"c6486"</definedName>
    <definedName name="IQ_BUDGET_BALANCE_APR_FC_UNUSED_UNUSED_UNUSED" hidden="1">"c8359"</definedName>
    <definedName name="IQ_BUDGET_BALANCE_APR_UNUSED_UNUSED_UNUSED" hidden="1">"c7479"</definedName>
    <definedName name="IQ_BUDGET_BALANCE_FC_UNUSED_UNUSED_UNUSED" hidden="1">"c7699"</definedName>
    <definedName name="IQ_BUDGET_BALANCE_POP_FC_UNUSED_UNUSED_UNUSED" hidden="1">"c7919"</definedName>
    <definedName name="IQ_BUDGET_BALANCE_POP_UNUSED_UNUSED_UNUSED" hidden="1">"c7039"</definedName>
    <definedName name="IQ_BUDGET_BALANCE_SAAR" hidden="1">"c6820"</definedName>
    <definedName name="IQ_BUDGET_BALANCE_SAAR_APR" hidden="1">"c7480"</definedName>
    <definedName name="IQ_BUDGET_BALANCE_SAAR_APR_FC" hidden="1">"c8360"</definedName>
    <definedName name="IQ_BUDGET_BALANCE_SAAR_FC" hidden="1">"c7700"</definedName>
    <definedName name="IQ_BUDGET_BALANCE_SAAR_POP" hidden="1">"c7040"</definedName>
    <definedName name="IQ_BUDGET_BALANCE_SAAR_POP_FC" hidden="1">"c7920"</definedName>
    <definedName name="IQ_BUDGET_BALANCE_SAAR_YOY" hidden="1">"c7260"</definedName>
    <definedName name="IQ_BUDGET_BALANCE_SAAR_YOY_FC" hidden="1">"c8140"</definedName>
    <definedName name="IQ_BUDGET_BALANCE_UNUSED_UNUSED_UNUSED" hidden="1">"c6819"</definedName>
    <definedName name="IQ_BUDGET_BALANCE_YOY_FC_UNUSED_UNUSED_UNUSED" hidden="1">"c8139"</definedName>
    <definedName name="IQ_BUDGET_BALANCE_YOY_UNUSED_UNUSED_UNUSED" hidden="1">"c7259"</definedName>
    <definedName name="IQ_BUDGET_RECEIPTS_APR_FC_UNUSED_UNUSED_UNUSED" hidden="1">"c8361"</definedName>
    <definedName name="IQ_BUDGET_RECEIPTS_APR_UNUSED_UNUSED_UNUSED" hidden="1">"c7481"</definedName>
    <definedName name="IQ_BUDGET_RECEIPTS_FC_UNUSED_UNUSED_UNUSED" hidden="1">"c7701"</definedName>
    <definedName name="IQ_BUDGET_RECEIPTS_POP_FC_UNUSED_UNUSED_UNUSED" hidden="1">"c7921"</definedName>
    <definedName name="IQ_BUDGET_RECEIPTS_POP_UNUSED_UNUSED_UNUSED" hidden="1">"c7041"</definedName>
    <definedName name="IQ_BUDGET_RECEIPTS_UNUSED_UNUSED_UNUSED" hidden="1">"c6821"</definedName>
    <definedName name="IQ_BUDGET_RECEIPTS_YOY_FC_UNUSED_UNUSED_UNUSED" hidden="1">"c8141"</definedName>
    <definedName name="IQ_BUDGET_RECEIPTS_YOY_UNUSED_UNUSED_UNUSED" hidden="1">"c7261"</definedName>
    <definedName name="IQ_BUDGET_SPENDING" hidden="1">"c6822"</definedName>
    <definedName name="IQ_BUDGET_SPENDING_APR" hidden="1">"c7482"</definedName>
    <definedName name="IQ_BUDGET_SPENDING_APR_FC" hidden="1">"c8362"</definedName>
    <definedName name="IQ_BUDGET_SPENDING_FC" hidden="1">"c7702"</definedName>
    <definedName name="IQ_BUDGET_SPENDING_POP" hidden="1">"c7042"</definedName>
    <definedName name="IQ_BUDGET_SPENDING_POP_FC" hidden="1">"c7922"</definedName>
    <definedName name="IQ_BUDGET_SPENDING_REAL" hidden="1">"c6958"</definedName>
    <definedName name="IQ_BUDGET_SPENDING_REAL_APR" hidden="1">"c7618"</definedName>
    <definedName name="IQ_BUDGET_SPENDING_REAL_APR_FC" hidden="1">"c8498"</definedName>
    <definedName name="IQ_BUDGET_SPENDING_REAL_FC" hidden="1">"c7838"</definedName>
    <definedName name="IQ_BUDGET_SPENDING_REAL_POP" hidden="1">"c7178"</definedName>
    <definedName name="IQ_BUDGET_SPENDING_REAL_POP_FC" hidden="1">"c8058"</definedName>
    <definedName name="IQ_BUDGET_SPENDING_REAL_SAAR" hidden="1">"c6959"</definedName>
    <definedName name="IQ_BUDGET_SPENDING_REAL_SAAR_APR" hidden="1">"c7619"</definedName>
    <definedName name="IQ_BUDGET_SPENDING_REAL_SAAR_APR_FC" hidden="1">"c8499"</definedName>
    <definedName name="IQ_BUDGET_SPENDING_REAL_SAAR_FC" hidden="1">"c7839"</definedName>
    <definedName name="IQ_BUDGET_SPENDING_REAL_SAAR_POP" hidden="1">"c7179"</definedName>
    <definedName name="IQ_BUDGET_SPENDING_REAL_SAAR_POP_FC" hidden="1">"c8059"</definedName>
    <definedName name="IQ_BUDGET_SPENDING_REAL_SAAR_USD" hidden="1">"c11906"</definedName>
    <definedName name="IQ_BUDGET_SPENDING_REAL_SAAR_USD_APR" hidden="1">"c11909"</definedName>
    <definedName name="IQ_BUDGET_SPENDING_REAL_SAAR_USD_POP" hidden="1">"c11907"</definedName>
    <definedName name="IQ_BUDGET_SPENDING_REAL_SAAR_USD_YOY" hidden="1">"c11908"</definedName>
    <definedName name="IQ_BUDGET_SPENDING_REAL_SAAR_YOY" hidden="1">"c7399"</definedName>
    <definedName name="IQ_BUDGET_SPENDING_REAL_SAAR_YOY_FC" hidden="1">"c8279"</definedName>
    <definedName name="IQ_BUDGET_SPENDING_REAL_YOY" hidden="1">"c7398"</definedName>
    <definedName name="IQ_BUDGET_SPENDING_REAL_YOY_FC" hidden="1">"c8278"</definedName>
    <definedName name="IQ_BUDGET_SPENDING_SAAR" hidden="1">"c6823"</definedName>
    <definedName name="IQ_BUDGET_SPENDING_SAAR_APR" hidden="1">"c7483"</definedName>
    <definedName name="IQ_BUDGET_SPENDING_SAAR_APR_FC" hidden="1">"c8363"</definedName>
    <definedName name="IQ_BUDGET_SPENDING_SAAR_FC" hidden="1">"c7703"</definedName>
    <definedName name="IQ_BUDGET_SPENDING_SAAR_POP" hidden="1">"c7043"</definedName>
    <definedName name="IQ_BUDGET_SPENDING_SAAR_POP_FC" hidden="1">"c7923"</definedName>
    <definedName name="IQ_BUDGET_SPENDING_SAAR_USD_APR_FC" hidden="1">"c11782"</definedName>
    <definedName name="IQ_BUDGET_SPENDING_SAAR_USD_FC" hidden="1">"c11779"</definedName>
    <definedName name="IQ_BUDGET_SPENDING_SAAR_USD_POP_FC" hidden="1">"c11780"</definedName>
    <definedName name="IQ_BUDGET_SPENDING_SAAR_USD_YOY_FC" hidden="1">"c11781"</definedName>
    <definedName name="IQ_BUDGET_SPENDING_SAAR_YOY" hidden="1">"c7263"</definedName>
    <definedName name="IQ_BUDGET_SPENDING_SAAR_YOY_FC" hidden="1">"c8143"</definedName>
    <definedName name="IQ_BUDGET_SPENDING_USD_APR_FC" hidden="1">"c11778"</definedName>
    <definedName name="IQ_BUDGET_SPENDING_USD_FC" hidden="1">"c11775"</definedName>
    <definedName name="IQ_BUDGET_SPENDING_USD_POP_FC" hidden="1">"c11776"</definedName>
    <definedName name="IQ_BUDGET_SPENDING_USD_YOY_FC" hidden="1">"c11777"</definedName>
    <definedName name="IQ_BUDGET_SPENDING_YOY" hidden="1">"c7262"</definedName>
    <definedName name="IQ_BUDGET_SPENDING_YOY_FC" hidden="1">"c8142"</definedName>
    <definedName name="IQ_BUILDINGS" hidden="1">"c99"</definedName>
    <definedName name="IQ_BUS_SEG_ASSETS" hidden="1">"c4067"</definedName>
    <definedName name="IQ_BUS_SEG_ASSETS_ABS" hidden="1">"c4089"</definedName>
    <definedName name="IQ_BUS_SEG_ASSETS_TOTAL" hidden="1">"c4112"</definedName>
    <definedName name="IQ_BUS_SEG_CAPEX" hidden="1">"c4079"</definedName>
    <definedName name="IQ_BUS_SEG_CAPEX_ABS" hidden="1">"c4101"</definedName>
    <definedName name="IQ_BUS_SEG_CAPEX_TOTAL" hidden="1">"c4116"</definedName>
    <definedName name="IQ_BUS_SEG_DA" hidden="1">"c4078"</definedName>
    <definedName name="IQ_BUS_SEG_DA_ABS" hidden="1">"c4100"</definedName>
    <definedName name="IQ_BUS_SEG_DA_TOTAL" hidden="1">"c4115"</definedName>
    <definedName name="IQ_BUS_SEG_EARNINGS_OP" hidden="1">"c4063"</definedName>
    <definedName name="IQ_BUS_SEG_EARNINGS_OP_ABS" hidden="1">"c4085"</definedName>
    <definedName name="IQ_BUS_SEG_EARNINGS_OP_TOTAL" hidden="1">"c4108"</definedName>
    <definedName name="IQ_BUS_SEG_EBT" hidden="1">"c4064"</definedName>
    <definedName name="IQ_BUS_SEG_EBT_ABS" hidden="1">"c4086"</definedName>
    <definedName name="IQ_BUS_SEG_EBT_TOTAL" hidden="1">"c4110"</definedName>
    <definedName name="IQ_BUS_SEG_GP" hidden="1">"c4066"</definedName>
    <definedName name="IQ_BUS_SEG_GP_ABS" hidden="1">"c4088"</definedName>
    <definedName name="IQ_BUS_SEG_GP_TOTAL" hidden="1">"c4109"</definedName>
    <definedName name="IQ_BUS_SEG_INC_TAX" hidden="1">"c4077"</definedName>
    <definedName name="IQ_BUS_SEG_INC_TAX_ABS" hidden="1">"c4099"</definedName>
    <definedName name="IQ_BUS_SEG_INC_TAX_TOTAL" hidden="1">"c4114"</definedName>
    <definedName name="IQ_BUS_SEG_INTEREST_EXP" hidden="1">"c4076"</definedName>
    <definedName name="IQ_BUS_SEG_INTEREST_EXP_ABS" hidden="1">"c4098"</definedName>
    <definedName name="IQ_BUS_SEG_INTEREST_EXP_TOTAL" hidden="1">"c4113"</definedName>
    <definedName name="IQ_BUS_SEG_NAME" hidden="1">"c5482"</definedName>
    <definedName name="IQ_BUS_SEG_NAME_ABS" hidden="1">"c5483"</definedName>
    <definedName name="IQ_BUS_SEG_NI" hidden="1">"c4065"</definedName>
    <definedName name="IQ_BUS_SEG_NI_ABS" hidden="1">"c4087"</definedName>
    <definedName name="IQ_BUS_SEG_NI_TOTAL" hidden="1">"c4111"</definedName>
    <definedName name="IQ_BUS_SEG_OPER_INC" hidden="1">"c4062"</definedName>
    <definedName name="IQ_BUS_SEG_OPER_INC_ABS" hidden="1">"c4084"</definedName>
    <definedName name="IQ_BUS_SEG_OPER_INC_TOTAL" hidden="1">"c4107"</definedName>
    <definedName name="IQ_BUS_SEG_REV" hidden="1">"c4068"</definedName>
    <definedName name="IQ_BUS_SEG_REV_ABS" hidden="1">"c4090"</definedName>
    <definedName name="IQ_BUS_SEG_REV_TOTAL" hidden="1">"c4106"</definedName>
    <definedName name="IQ_BUSINESS_DESCRIPTION" hidden="1">"c322"</definedName>
    <definedName name="IQ_BV_ACT_OR_EST_CIQ" hidden="1">"c5068"</definedName>
    <definedName name="IQ_BV_OVER_SHARES" hidden="1">"c1349"</definedName>
    <definedName name="IQ_BV_SHARE" hidden="1">"c100"</definedName>
    <definedName name="IQ_CA_AP" hidden="1">"c8881"</definedName>
    <definedName name="IQ_CA_AP_ABS" hidden="1">"c8900"</definedName>
    <definedName name="IQ_CA_NAME_AP" hidden="1">"c8919"</definedName>
    <definedName name="IQ_CA_NAME_AP_ABS" hidden="1">"c8938"</definedName>
    <definedName name="IQ_CABLE_ARPU" hidden="1">"c2869"</definedName>
    <definedName name="IQ_CABLE_ARPU_ANALOG" hidden="1">"c2864"</definedName>
    <definedName name="IQ_CABLE_ARPU_BASIC" hidden="1">"c2866"</definedName>
    <definedName name="IQ_CABLE_ARPU_BBAND" hidden="1">"c2867"</definedName>
    <definedName name="IQ_CABLE_ARPU_DIG" hidden="1">"c2865"</definedName>
    <definedName name="IQ_CABLE_ARPU_PHONE" hidden="1">"c2868"</definedName>
    <definedName name="IQ_CABLE_BASIC_PENETRATION" hidden="1">"c2850"</definedName>
    <definedName name="IQ_CABLE_BBAND_PENETRATION" hidden="1">"c2852"</definedName>
    <definedName name="IQ_CABLE_BBAND_PENETRATION_THP" hidden="1">"c2851"</definedName>
    <definedName name="IQ_CABLE_CHURN" hidden="1">"c2874"</definedName>
    <definedName name="IQ_CABLE_CHURN_BASIC" hidden="1">"c2871"</definedName>
    <definedName name="IQ_CABLE_CHURN_BBAND" hidden="1">"c2872"</definedName>
    <definedName name="IQ_CABLE_CHURN_DIG" hidden="1">"c2870"</definedName>
    <definedName name="IQ_CABLE_CHURN_PHONE" hidden="1">"c2873"</definedName>
    <definedName name="IQ_CABLE_HOMES_PER_MILE" hidden="1">"c2849"</definedName>
    <definedName name="IQ_CABLE_HP_BBAND" hidden="1">"c2845"</definedName>
    <definedName name="IQ_CABLE_HP_DIG" hidden="1">"c2844"</definedName>
    <definedName name="IQ_CABLE_HP_PHONE" hidden="1">"c2846"</definedName>
    <definedName name="IQ_CABLE_MILES_PASSED" hidden="1">"c2848"</definedName>
    <definedName name="IQ_CABLE_OTHER_REV" hidden="1">"c2882"</definedName>
    <definedName name="IQ_CABLE_PHONE_PENETRATION" hidden="1">"c2853"</definedName>
    <definedName name="IQ_CABLE_PROGRAMMING_COSTS" hidden="1">"c2884"</definedName>
    <definedName name="IQ_CABLE_REV_ADVERT" hidden="1">"c2880"</definedName>
    <definedName name="IQ_CABLE_REV_ANALOG" hidden="1">"c2875"</definedName>
    <definedName name="IQ_CABLE_REV_BASIC" hidden="1">"c2877"</definedName>
    <definedName name="IQ_CABLE_REV_BBAND" hidden="1">"c2878"</definedName>
    <definedName name="IQ_CABLE_REV_COMMERCIAL" hidden="1">"c2881"</definedName>
    <definedName name="IQ_CABLE_REV_DIG" hidden="1">"c2876"</definedName>
    <definedName name="IQ_CABLE_REV_PHONE" hidden="1">"c2879"</definedName>
    <definedName name="IQ_CABLE_RGU" hidden="1">"c2863"</definedName>
    <definedName name="IQ_CABLE_SUBS_ANALOG" hidden="1">"c2855"</definedName>
    <definedName name="IQ_CABLE_SUBS_BASIC" hidden="1">"c2857"</definedName>
    <definedName name="IQ_CABLE_SUBS_BBAND" hidden="1">"c2858"</definedName>
    <definedName name="IQ_CABLE_SUBS_BUNDLED" hidden="1">"c2861"</definedName>
    <definedName name="IQ_CABLE_SUBS_DIG" hidden="1">"c2856"</definedName>
    <definedName name="IQ_CABLE_SUBS_NON_VIDEO" hidden="1">"c2860"</definedName>
    <definedName name="IQ_CABLE_SUBS_PHONE" hidden="1">"c2859"</definedName>
    <definedName name="IQ_CABLE_SUBS_TOTAL" hidden="1">"c2862"</definedName>
    <definedName name="IQ_CABLE_THP" hidden="1">"c2847"</definedName>
    <definedName name="IQ_CABLE_TOTAL_PENETRATION" hidden="1">"c2854"</definedName>
    <definedName name="IQ_CABLE_TOTAL_REV" hidden="1">"c2883"</definedName>
    <definedName name="IQ_CAL_Q" hidden="1">"c101"</definedName>
    <definedName name="IQ_CAL_Q_EST" hidden="1">"c6796"</definedName>
    <definedName name="IQ_CAL_Q_EST_CIQ" hidden="1">"c6808"</definedName>
    <definedName name="IQ_CAL_Q_EST_REUT" hidden="1">"c6800"</definedName>
    <definedName name="IQ_CAL_Y" hidden="1">"c102"</definedName>
    <definedName name="IQ_CAL_Y_EST" hidden="1">"c6797"</definedName>
    <definedName name="IQ_CAL_Y_EST_CIQ" hidden="1">"c6809"</definedName>
    <definedName name="IQ_CAL_Y_EST_REUT" hidden="1">"c6801"</definedName>
    <definedName name="IQ_CALC_TYPE_BS" hidden="1">"c3086"</definedName>
    <definedName name="IQ_CALC_TYPE_CF" hidden="1">"c3085"</definedName>
    <definedName name="IQ_CALC_TYPE_IS" hidden="1">"c3084"</definedName>
    <definedName name="IQ_CALL_DATE_SCHEDULE" hidden="1">"c2481"</definedName>
    <definedName name="IQ_CALL_FEATURE" hidden="1">"c2197"</definedName>
    <definedName name="IQ_CALL_PRICE_SCHEDULE" hidden="1">"c2482"</definedName>
    <definedName name="IQ_CALLABLE" hidden="1">"c2196"</definedName>
    <definedName name="IQ_CAP_LOSS_CF_1YR" hidden="1">"c3474"</definedName>
    <definedName name="IQ_CAP_LOSS_CF_2YR" hidden="1">"c3475"</definedName>
    <definedName name="IQ_CAP_LOSS_CF_3YR" hidden="1">"c3476"</definedName>
    <definedName name="IQ_CAP_LOSS_CF_4YR" hidden="1">"c3477"</definedName>
    <definedName name="IQ_CAP_LOSS_CF_5YR" hidden="1">"c3478"</definedName>
    <definedName name="IQ_CAP_LOSS_CF_AFTER_FIVE" hidden="1">"c3479"</definedName>
    <definedName name="IQ_CAP_LOSS_CF_MAX_YEAR" hidden="1">"c3482"</definedName>
    <definedName name="IQ_CAP_LOSS_CF_NO_EXP" hidden="1">"c3480"</definedName>
    <definedName name="IQ_CAP_LOSS_CF_TOTAL" hidden="1">"c3481"</definedName>
    <definedName name="IQ_CAP_UTIL_RATE" hidden="1">"c6824"</definedName>
    <definedName name="IQ_CAP_UTIL_RATE_POP" hidden="1">"c7044"</definedName>
    <definedName name="IQ_CAP_UTIL_RATE_YOY" hidden="1">"c7264"</definedName>
    <definedName name="IQ_CAPEX" hidden="1">"c103"</definedName>
    <definedName name="IQ_CAPEX_10YR_ANN_CAGR" hidden="1">"c6050"</definedName>
    <definedName name="IQ_CAPEX_10YR_ANN_GROWTH" hidden="1">"c104"</definedName>
    <definedName name="IQ_CAPEX_1YR_ANN_GROWTH" hidden="1">"c105"</definedName>
    <definedName name="IQ_CAPEX_2YR_ANN_CAGR" hidden="1">"c6051"</definedName>
    <definedName name="IQ_CAPEX_2YR_ANN_GROWTH" hidden="1">"c106"</definedName>
    <definedName name="IQ_CAPEX_3YR_ANN_CAGR" hidden="1">"c6052"</definedName>
    <definedName name="IQ_CAPEX_3YR_ANN_GROWTH" hidden="1">"c107"</definedName>
    <definedName name="IQ_CAPEX_5YR_ANN_CAGR" hidden="1">"c6053"</definedName>
    <definedName name="IQ_CAPEX_5YR_ANN_GROWTH" hidden="1">"c108"</definedName>
    <definedName name="IQ_CAPEX_7YR_ANN_CAGR" hidden="1">"c6054"</definedName>
    <definedName name="IQ_CAPEX_7YR_ANN_GROWTH" hidden="1">"c109"</definedName>
    <definedName name="IQ_CAPEX_BNK" hidden="1">"c110"</definedName>
    <definedName name="IQ_CAPEX_BR" hidden="1">"c111"</definedName>
    <definedName name="IQ_CAPEX_FIN" hidden="1">"c112"</definedName>
    <definedName name="IQ_CAPEX_INS" hidden="1">"c113"</definedName>
    <definedName name="IQ_CAPEX_UTI" hidden="1">"c114"</definedName>
    <definedName name="IQ_CAPITAL_LEASE" hidden="1">"c1350"</definedName>
    <definedName name="IQ_CAPITAL_LEASES" hidden="1">"c115"</definedName>
    <definedName name="IQ_CAPITAL_LEASES_TOTAL" hidden="1">"c3031"</definedName>
    <definedName name="IQ_CAPITAL_LEASES_TOTAL_PCT" hidden="1">"c2506"</definedName>
    <definedName name="IQ_CAPITAL_RAISED_PERIOD_COVERED" hidden="1">"c9959"</definedName>
    <definedName name="IQ_CAPITAL_RAISED_PERIOD_GROUP" hidden="1">"c9945"</definedName>
    <definedName name="IQ_CAPITALIZED_INTEREST" hidden="1">"c2076"</definedName>
    <definedName name="IQ_CAPITALIZED_INTEREST_BOP" hidden="1">"c3459"</definedName>
    <definedName name="IQ_CAPITALIZED_INTEREST_EOP" hidden="1">"c3464"</definedName>
    <definedName name="IQ_CAPITALIZED_INTEREST_EXP" hidden="1">"c3461"</definedName>
    <definedName name="IQ_CAPITALIZED_INTEREST_OTHER_ADJ" hidden="1">"c3463"</definedName>
    <definedName name="IQ_CAPITALIZED_INTEREST_WRITE_OFF" hidden="1">"c3462"</definedName>
    <definedName name="IQ_CASH" hidden="1">"c1458"</definedName>
    <definedName name="IQ_CASH_ACQUIRE_CF" hidden="1">"c116"</definedName>
    <definedName name="IQ_CASH_CONVERSION" hidden="1">"c117"</definedName>
    <definedName name="IQ_CASH_COST_ALUM" hidden="1">"c9252"</definedName>
    <definedName name="IQ_CASH_COST_COAL" hidden="1">"c9825"</definedName>
    <definedName name="IQ_CASH_COST_COP" hidden="1">"c9199"</definedName>
    <definedName name="IQ_CASH_COST_DIAM" hidden="1">"c9676"</definedName>
    <definedName name="IQ_CASH_COST_GOLD" hidden="1">"c9037"</definedName>
    <definedName name="IQ_CASH_COST_IRON" hidden="1">"c9411"</definedName>
    <definedName name="IQ_CASH_COST_LEAD" hidden="1">"c9464"</definedName>
    <definedName name="IQ_CASH_COST_MANG" hidden="1">"c9517"</definedName>
    <definedName name="IQ_CASH_COST_MET_COAL" hidden="1">"c9762"</definedName>
    <definedName name="IQ_CASH_COST_MOLYB" hidden="1">"c9729"</definedName>
    <definedName name="IQ_CASH_COST_NICK" hidden="1">"c9305"</definedName>
    <definedName name="IQ_CASH_COST_PLAT" hidden="1">"c9143"</definedName>
    <definedName name="IQ_CASH_COST_SILVER" hidden="1">"c9090"</definedName>
    <definedName name="IQ_CASH_COST_STEAM" hidden="1">"c9792"</definedName>
    <definedName name="IQ_CASH_COST_TITAN" hidden="1">"c9570"</definedName>
    <definedName name="IQ_CASH_COST_URAN" hidden="1">"c9623"</definedName>
    <definedName name="IQ_CASH_COST_ZINC" hidden="1">"c9358"</definedName>
    <definedName name="IQ_CASH_DIVIDENDS_NET_INCOME_FDIC" hidden="1">"c6738"</definedName>
    <definedName name="IQ_CASH_DUE_BANKS" hidden="1">"c1351"</definedName>
    <definedName name="IQ_CASH_EQUIV" hidden="1">"c118"</definedName>
    <definedName name="IQ_CASH_FINAN" hidden="1">"c119"</definedName>
    <definedName name="IQ_CASH_FINAN_AP" hidden="1">"c8890"</definedName>
    <definedName name="IQ_CASH_FINAN_AP_ABS" hidden="1">"c8909"</definedName>
    <definedName name="IQ_CASH_FINAN_NAME_AP" hidden="1">"c8928"</definedName>
    <definedName name="IQ_CASH_FINAN_NAME_AP_ABS" hidden="1">"c8947"</definedName>
    <definedName name="IQ_CASH_FINAN_SUBTOTAL_AP" hidden="1">"c10111"</definedName>
    <definedName name="IQ_CASH_FLOW_ACT_OR_EST" hidden="1">"c4154"</definedName>
    <definedName name="IQ_CASH_FLOW_ACT_OR_EST_CIQ" hidden="1">"c4566"</definedName>
    <definedName name="IQ_CASH_IN_PROCESS_FDIC" hidden="1">"c6386"</definedName>
    <definedName name="IQ_CASH_INTEREST" hidden="1">"c120"</definedName>
    <definedName name="IQ_CASH_INTEREST_FINAN" hidden="1">"c6295"</definedName>
    <definedName name="IQ_CASH_INTEREST_INVEST" hidden="1">"c6294"</definedName>
    <definedName name="IQ_CASH_INTEREST_OPER" hidden="1">"c6293"</definedName>
    <definedName name="IQ_CASH_INVEST" hidden="1">"c121"</definedName>
    <definedName name="IQ_CASH_INVEST_AP" hidden="1">"c8889"</definedName>
    <definedName name="IQ_CASH_INVEST_AP_ABS" hidden="1">"c8908"</definedName>
    <definedName name="IQ_CASH_INVEST_NAME_AP" hidden="1">"c8927"</definedName>
    <definedName name="IQ_CASH_INVEST_NAME_AP_ABS" hidden="1">"c8946"</definedName>
    <definedName name="IQ_CASH_INVEST_SUBTOTAL_AP" hidden="1">"c8991"</definedName>
    <definedName name="IQ_CASH_OPER" hidden="1">"c122"</definedName>
    <definedName name="IQ_CASH_OPER_ACT_OR_EST" hidden="1">"c4164"</definedName>
    <definedName name="IQ_CASH_OPER_ACT_OR_EST_CIQ" hidden="1">"c4576"</definedName>
    <definedName name="IQ_CASH_OPER_AP" hidden="1">"c8888"</definedName>
    <definedName name="IQ_CASH_OPER_AP_ABS" hidden="1">"c8907"</definedName>
    <definedName name="IQ_CASH_OPER_NAME_AP" hidden="1">"c8926"</definedName>
    <definedName name="IQ_CASH_OPER_NAME_AP_ABS" hidden="1">"c8945"</definedName>
    <definedName name="IQ_CASH_OPER_SUBTOTAL_AP" hidden="1">"c8990"</definedName>
    <definedName name="IQ_CASH_OTHER_ADJ_AP" hidden="1">"c8891"</definedName>
    <definedName name="IQ_CASH_OTHER_ADJ_AP_ABS" hidden="1">"c8910"</definedName>
    <definedName name="IQ_CASH_OTHER_ADJ_NAME_AP" hidden="1">"c8929"</definedName>
    <definedName name="IQ_CASH_OTHER_ADJ_NAME_AP_ABS" hidden="1">"c8948"</definedName>
    <definedName name="IQ_CASH_SEGREG" hidden="1">"c123"</definedName>
    <definedName name="IQ_CASH_SHARE" hidden="1">"c1911"</definedName>
    <definedName name="IQ_CASH_ST" hidden="1">"c1355"</definedName>
    <definedName name="IQ_CASH_ST_INVEST" hidden="1">"c124"</definedName>
    <definedName name="IQ_CASH_TAXES" hidden="1">"c125"</definedName>
    <definedName name="IQ_CASH_TAXES_FINAN" hidden="1">"c6292"</definedName>
    <definedName name="IQ_CASH_TAXES_INVEST" hidden="1">"c6291"</definedName>
    <definedName name="IQ_CASH_TAXES_OPER" hidden="1">"c6290"</definedName>
    <definedName name="IQ_CCE_FDIC" hidden="1">"c6296"</definedName>
    <definedName name="IQ_CDS_5YR_CIQID" hidden="1">"c11751"</definedName>
    <definedName name="IQ_CDS_ASK" hidden="1">"c6027"</definedName>
    <definedName name="IQ_CDS_BID" hidden="1">"c6026"</definedName>
    <definedName name="IQ_CDS_CURRENCY" hidden="1">"c6031"</definedName>
    <definedName name="IQ_CDS_EVAL_DATE" hidden="1">"c6029"</definedName>
    <definedName name="IQ_CDS_MID" hidden="1">"c6028"</definedName>
    <definedName name="IQ_CDS_NAME" hidden="1">"c6034"</definedName>
    <definedName name="IQ_CDS_TERM" hidden="1">"c6030"</definedName>
    <definedName name="IQ_CDS_TYPE" hidden="1">"c6025"</definedName>
    <definedName name="IQ_CEDED_AH_EARNED" hidden="1">"c2743"</definedName>
    <definedName name="IQ_CEDED_CLAIM_EXP_INCUR" hidden="1">"c2756"</definedName>
    <definedName name="IQ_CEDED_CLAIM_EXP_PAID" hidden="1">"c2759"</definedName>
    <definedName name="IQ_CEDED_CLAIM_EXP_RES" hidden="1">"c2753"</definedName>
    <definedName name="IQ_CEDED_EARNED" hidden="1">"c2733"</definedName>
    <definedName name="IQ_CEDED_LIFE_EARNED" hidden="1">"c2738"</definedName>
    <definedName name="IQ_CEDED_LIFE_IN_FORCE" hidden="1">"c2768"</definedName>
    <definedName name="IQ_CEDED_PC_EARNED" hidden="1">"c2748"</definedName>
    <definedName name="IQ_CEDED_WRITTEN" hidden="1">"c2727"</definedName>
    <definedName name="IQ_CFO_10YR_ANN_CAGR" hidden="1">"c6055"</definedName>
    <definedName name="IQ_CFO_10YR_ANN_GROWTH" hidden="1">"c126"</definedName>
    <definedName name="IQ_CFO_1YR_ANN_GROWTH" hidden="1">"c127"</definedName>
    <definedName name="IQ_CFO_2YR_ANN_CAGR" hidden="1">"c6056"</definedName>
    <definedName name="IQ_CFO_2YR_ANN_GROWTH" hidden="1">"c128"</definedName>
    <definedName name="IQ_CFO_3YR_ANN_CAGR" hidden="1">"c6057"</definedName>
    <definedName name="IQ_CFO_3YR_ANN_GROWTH" hidden="1">"c129"</definedName>
    <definedName name="IQ_CFO_5YR_ANN_CAGR" hidden="1">"c6058"</definedName>
    <definedName name="IQ_CFO_5YR_ANN_GROWTH" hidden="1">"c130"</definedName>
    <definedName name="IQ_CFO_7YR_ANN_CAGR" hidden="1">"c6059"</definedName>
    <definedName name="IQ_CFO_7YR_ANN_GROWTH" hidden="1">"c131"</definedName>
    <definedName name="IQ_CFO_CURRENT_LIAB" hidden="1">"c132"</definedName>
    <definedName name="IQ_CH" hidden="1">110000</definedName>
    <definedName name="IQ_CHANGE_AP" hidden="1">"c133"</definedName>
    <definedName name="IQ_CHANGE_AP_BNK" hidden="1">"c134"</definedName>
    <definedName name="IQ_CHANGE_AP_BR" hidden="1">"c135"</definedName>
    <definedName name="IQ_CHANGE_AP_FIN" hidden="1">"c136"</definedName>
    <definedName name="IQ_CHANGE_AP_INS" hidden="1">"c137"</definedName>
    <definedName name="IQ_CHANGE_AP_RE" hidden="1">"c6200"</definedName>
    <definedName name="IQ_CHANGE_AP_REIT" hidden="1">"c138"</definedName>
    <definedName name="IQ_CHANGE_AP_UTI" hidden="1">"c139"</definedName>
    <definedName name="IQ_CHANGE_AR" hidden="1">"c140"</definedName>
    <definedName name="IQ_CHANGE_AR_BNK" hidden="1">"c141"</definedName>
    <definedName name="IQ_CHANGE_AR_BR" hidden="1">"c142"</definedName>
    <definedName name="IQ_CHANGE_AR_FIN" hidden="1">"c143"</definedName>
    <definedName name="IQ_CHANGE_AR_INS" hidden="1">"c144"</definedName>
    <definedName name="IQ_CHANGE_AR_RE" hidden="1">"c6201"</definedName>
    <definedName name="IQ_CHANGE_AR_REIT" hidden="1">"c145"</definedName>
    <definedName name="IQ_CHANGE_AR_UTI" hidden="1">"c146"</definedName>
    <definedName name="IQ_CHANGE_DEF_TAX" hidden="1">"c147"</definedName>
    <definedName name="IQ_CHANGE_DEPOSIT_ACCT" hidden="1">"c148"</definedName>
    <definedName name="IQ_CHANGE_INC_TAX" hidden="1">"c149"</definedName>
    <definedName name="IQ_CHANGE_INS_RES_LIAB" hidden="1">"c150"</definedName>
    <definedName name="IQ_CHANGE_INVENT" hidden="1">"c6826"</definedName>
    <definedName name="IQ_CHANGE_INVENT_APR" hidden="1">"c7486"</definedName>
    <definedName name="IQ_CHANGE_INVENT_POP" hidden="1">"c7046"</definedName>
    <definedName name="IQ_CHANGE_INVENT_REAL_APR_FC_UNUSED_UNUSED_UNUSED" hidden="1">"c8500"</definedName>
    <definedName name="IQ_CHANGE_INVENT_REAL_APR_UNUSED_UNUSED_UNUSED" hidden="1">"c7620"</definedName>
    <definedName name="IQ_CHANGE_INVENT_REAL_FC_UNUSED_UNUSED_UNUSED" hidden="1">"c7840"</definedName>
    <definedName name="IQ_CHANGE_INVENT_REAL_POP_FC_UNUSED_UNUSED_UNUSED" hidden="1">"c8060"</definedName>
    <definedName name="IQ_CHANGE_INVENT_REAL_POP_UNUSED_UNUSED_UNUSED" hidden="1">"c7180"</definedName>
    <definedName name="IQ_CHANGE_INVENT_REAL_SAAR" hidden="1">"c6962"</definedName>
    <definedName name="IQ_CHANGE_INVENT_REAL_SAAR_APR" hidden="1">"c7622"</definedName>
    <definedName name="IQ_CHANGE_INVENT_REAL_SAAR_APR_FC" hidden="1">"c8502"</definedName>
    <definedName name="IQ_CHANGE_INVENT_REAL_SAAR_FC" hidden="1">"c7842"</definedName>
    <definedName name="IQ_CHANGE_INVENT_REAL_SAAR_POP" hidden="1">"c7182"</definedName>
    <definedName name="IQ_CHANGE_INVENT_REAL_SAAR_POP_FC" hidden="1">"c8062"</definedName>
    <definedName name="IQ_CHANGE_INVENT_REAL_SAAR_USD_APR_FC" hidden="1">"c11917"</definedName>
    <definedName name="IQ_CHANGE_INVENT_REAL_SAAR_USD_FC" hidden="1">"c11914"</definedName>
    <definedName name="IQ_CHANGE_INVENT_REAL_SAAR_USD_POP_FC" hidden="1">"c11915"</definedName>
    <definedName name="IQ_CHANGE_INVENT_REAL_SAAR_USD_YOY_FC" hidden="1">"c11916"</definedName>
    <definedName name="IQ_CHANGE_INVENT_REAL_SAAR_YOY" hidden="1">"c7402"</definedName>
    <definedName name="IQ_CHANGE_INVENT_REAL_SAAR_YOY_FC" hidden="1">"c8282"</definedName>
    <definedName name="IQ_CHANGE_INVENT_REAL_UNUSED_UNUSED_UNUSED" hidden="1">"c6960"</definedName>
    <definedName name="IQ_CHANGE_INVENT_REAL_USD_APR_FC" hidden="1">"c11913"</definedName>
    <definedName name="IQ_CHANGE_INVENT_REAL_USD_FC" hidden="1">"c11910"</definedName>
    <definedName name="IQ_CHANGE_INVENT_REAL_USD_POP_FC" hidden="1">"c11911"</definedName>
    <definedName name="IQ_CHANGE_INVENT_REAL_USD_YOY_FC" hidden="1">"c11912"</definedName>
    <definedName name="IQ_CHANGE_INVENT_REAL_YOY_FC_UNUSED_UNUSED_UNUSED" hidden="1">"c8280"</definedName>
    <definedName name="IQ_CHANGE_INVENT_REAL_YOY_UNUSED_UNUSED_UNUSED" hidden="1">"c7400"</definedName>
    <definedName name="IQ_CHANGE_INVENT_SAAR" hidden="1">"c6827"</definedName>
    <definedName name="IQ_CHANGE_INVENT_SAAR_APR" hidden="1">"c7487"</definedName>
    <definedName name="IQ_CHANGE_INVENT_SAAR_APR_FC" hidden="1">"c8367"</definedName>
    <definedName name="IQ_CHANGE_INVENT_SAAR_FC" hidden="1">"c7707"</definedName>
    <definedName name="IQ_CHANGE_INVENT_SAAR_POP" hidden="1">"c7047"</definedName>
    <definedName name="IQ_CHANGE_INVENT_SAAR_POP_FC" hidden="1">"c7927"</definedName>
    <definedName name="IQ_CHANGE_INVENT_SAAR_YOY" hidden="1">"c7267"</definedName>
    <definedName name="IQ_CHANGE_INVENT_SAAR_YOY_FC" hidden="1">"c8147"</definedName>
    <definedName name="IQ_CHANGE_INVENT_YOY" hidden="1">"c7266"</definedName>
    <definedName name="IQ_CHANGE_INVENTORY" hidden="1">"c151"</definedName>
    <definedName name="IQ_CHANGE_NET_OPER_ASSETS" hidden="1">"c3592"</definedName>
    <definedName name="IQ_CHANGE_NET_WORKING_CAPITAL" hidden="1">"c1909"</definedName>
    <definedName name="IQ_CHANGE_OTHER_NET_OPER_ASSETS" hidden="1">"c3593"</definedName>
    <definedName name="IQ_CHANGE_OTHER_NET_OPER_ASSETS_BNK" hidden="1">"c3594"</definedName>
    <definedName name="IQ_CHANGE_OTHER_NET_OPER_ASSETS_BR" hidden="1">"c3595"</definedName>
    <definedName name="IQ_CHANGE_OTHER_NET_OPER_ASSETS_FIN" hidden="1">"c3596"</definedName>
    <definedName name="IQ_CHANGE_OTHER_NET_OPER_ASSETS_INS" hidden="1">"c3597"</definedName>
    <definedName name="IQ_CHANGE_OTHER_NET_OPER_ASSETS_RE" hidden="1">"c6285"</definedName>
    <definedName name="IQ_CHANGE_OTHER_NET_OPER_ASSETS_REIT" hidden="1">"c3598"</definedName>
    <definedName name="IQ_CHANGE_OTHER_NET_OPER_ASSETS_UTI" hidden="1">"c3599"</definedName>
    <definedName name="IQ_CHANGE_OTHER_WORK_CAP" hidden="1">"c152"</definedName>
    <definedName name="IQ_CHANGE_OTHER_WORK_CAP_BNK" hidden="1">"c153"</definedName>
    <definedName name="IQ_CHANGE_OTHER_WORK_CAP_BR" hidden="1">"c154"</definedName>
    <definedName name="IQ_CHANGE_OTHER_WORK_CAP_FIN" hidden="1">"c155"</definedName>
    <definedName name="IQ_CHANGE_OTHER_WORK_CAP_INS" hidden="1">"c156"</definedName>
    <definedName name="IQ_CHANGE_OTHER_WORK_CAP_REIT" hidden="1">"c157"</definedName>
    <definedName name="IQ_CHANGE_OTHER_WORK_CAP_UTI" hidden="1">"c158"</definedName>
    <definedName name="IQ_CHANGE_PRIVATE_INVENT" hidden="1">"c6828"</definedName>
    <definedName name="IQ_CHANGE_PRIVATE_INVENT_APR" hidden="1">"c7488"</definedName>
    <definedName name="IQ_CHANGE_PRIVATE_INVENT_APR_FC" hidden="1">"c8368"</definedName>
    <definedName name="IQ_CHANGE_PRIVATE_INVENT_FC" hidden="1">"c7708"</definedName>
    <definedName name="IQ_CHANGE_PRIVATE_INVENT_POP" hidden="1">"c7048"</definedName>
    <definedName name="IQ_CHANGE_PRIVATE_INVENT_POP_FC" hidden="1">"c7928"</definedName>
    <definedName name="IQ_CHANGE_PRIVATE_INVENT_YOY" hidden="1">"c7268"</definedName>
    <definedName name="IQ_CHANGE_PRIVATE_INVENT_YOY_FC" hidden="1">"c8148"</definedName>
    <definedName name="IQ_CHANGE_TRADING_ASSETS" hidden="1">"c159"</definedName>
    <definedName name="IQ_CHANGE_UNEARN_REV" hidden="1">"c160"</definedName>
    <definedName name="IQ_CHANGE_WORK_CAP" hidden="1">"c161"</definedName>
    <definedName name="IQ_CHANGES_WORK_CAP" hidden="1">"c1357"</definedName>
    <definedName name="IQ_CHARGE_OFFS_1_4_FAMILY_FDIC" hidden="1">"c6756"</definedName>
    <definedName name="IQ_CHARGE_OFFS_1_4_FAMILY_LOANS_FDIC" hidden="1">"c6714"</definedName>
    <definedName name="IQ_CHARGE_OFFS_AUTO_LOANS_FDIC" hidden="1">"c6708"</definedName>
    <definedName name="IQ_CHARGE_OFFS_CL_LOANS_FDIC" hidden="1">"c6709"</definedName>
    <definedName name="IQ_CHARGE_OFFS_COMMERCIAL_INDUSTRIAL_FDIC" hidden="1">"c6759"</definedName>
    <definedName name="IQ_CHARGE_OFFS_COMMERCIAL_RE_FDIC" hidden="1">"c6754"</definedName>
    <definedName name="IQ_CHARGE_OFFS_COMMERCIAL_RE_NOT_SECURED_FDIC" hidden="1">"c6764"</definedName>
    <definedName name="IQ_CHARGE_OFFS_CONSTRUCTION_DEVELOPMENT_FDIC" hidden="1">"c6753"</definedName>
    <definedName name="IQ_CHARGE_OFFS_CREDIT_CARDS_FDIC" hidden="1">"c6761"</definedName>
    <definedName name="IQ_CHARGE_OFFS_CREDIT_CARDS_RECEIVABLES_FDIC" hidden="1">"c6711"</definedName>
    <definedName name="IQ_CHARGE_OFFS_GROSS" hidden="1">"c162"</definedName>
    <definedName name="IQ_CHARGE_OFFS_HOME_EQUITY_FDIC" hidden="1">"c6757"</definedName>
    <definedName name="IQ_CHARGE_OFFS_HOME_EQUITY_LINES_FDIC" hidden="1">"c6712"</definedName>
    <definedName name="IQ_CHARGE_OFFS_INDIVIDUALS_FDIC" hidden="1">"c6760"</definedName>
    <definedName name="IQ_CHARGE_OFFS_MULTI_FAMILY_FDIC" hidden="1">"c6755"</definedName>
    <definedName name="IQ_CHARGE_OFFS_NET" hidden="1">"c163"</definedName>
    <definedName name="IQ_CHARGE_OFFS_OTHER_1_4_FAMILY_FDIC" hidden="1">"c6758"</definedName>
    <definedName name="IQ_CHARGE_OFFS_OTHER_CONSUMER_LOANS_FDIC" hidden="1">"c6710"</definedName>
    <definedName name="IQ_CHARGE_OFFS_OTHER_INDIVIDUAL_FDIC" hidden="1">"c6762"</definedName>
    <definedName name="IQ_CHARGE_OFFS_OTHER_LOANS_FDIC" hidden="1">"c6763"</definedName>
    <definedName name="IQ_CHARGE_OFFS_OTHER_LOANS_OTHER_FDIC" hidden="1">"c6713"</definedName>
    <definedName name="IQ_CHARGE_OFFS_RE_LOANS_FDIC" hidden="1">"c6752"</definedName>
    <definedName name="IQ_CHARGE_OFFS_RECOVERED" hidden="1">"c164"</definedName>
    <definedName name="IQ_CHARGE_OFFS_TOTAL_AVG_LOANS" hidden="1">"c165"</definedName>
    <definedName name="IQ_CHICAGO_PMI" hidden="1">"c6829"</definedName>
    <definedName name="IQ_CHICAGO_PMI_APR" hidden="1">"c7489"</definedName>
    <definedName name="IQ_CHICAGO_PMI_APR_FC" hidden="1">"c8369"</definedName>
    <definedName name="IQ_CHICAGO_PMI_FC" hidden="1">"c7709"</definedName>
    <definedName name="IQ_CHICAGO_PMI_POP" hidden="1">"c7049"</definedName>
    <definedName name="IQ_CHICAGO_PMI_POP_FC" hidden="1">"c7929"</definedName>
    <definedName name="IQ_CHICAGO_PMI_YOY" hidden="1">"c7269"</definedName>
    <definedName name="IQ_CHICAGO_PMI_YOY_FC" hidden="1">"c8149"</definedName>
    <definedName name="IQ_CITY" hidden="1">"c166"</definedName>
    <definedName name="IQ_CL_AP" hidden="1">"c8884"</definedName>
    <definedName name="IQ_CL_AP_ABS" hidden="1">"c8903"</definedName>
    <definedName name="IQ_CL_DUE_AFTER_FIVE" hidden="1">"c167"</definedName>
    <definedName name="IQ_CL_DUE_CY" hidden="1">"c168"</definedName>
    <definedName name="IQ_CL_DUE_CY1" hidden="1">"c169"</definedName>
    <definedName name="IQ_CL_DUE_CY2" hidden="1">"c170"</definedName>
    <definedName name="IQ_CL_DUE_CY3" hidden="1">"c171"</definedName>
    <definedName name="IQ_CL_DUE_CY4" hidden="1">"c172"</definedName>
    <definedName name="IQ_CL_DUE_NEXT_FIVE" hidden="1">"c173"</definedName>
    <definedName name="IQ_CL_NAME_AP" hidden="1">"c8922"</definedName>
    <definedName name="IQ_CL_NAME_AP_ABS" hidden="1">"c8941"</definedName>
    <definedName name="IQ_CL_OBLIGATION_IMMEDIATE" hidden="1">"c2253"</definedName>
    <definedName name="IQ_CLASSA_OPTIONS_BEG_OS" hidden="1">"c2679"</definedName>
    <definedName name="IQ_CLASSA_OPTIONS_CANCELLED" hidden="1">"c2682"</definedName>
    <definedName name="IQ_CLASSA_OPTIONS_END_OS" hidden="1">"c2683"</definedName>
    <definedName name="IQ_CLASSA_OPTIONS_EXERCISABLE_END_OS" hidden="1">"c5809"</definedName>
    <definedName name="IQ_CLASSA_OPTIONS_EXERCISED" hidden="1">"c2681"</definedName>
    <definedName name="IQ_CLASSA_OPTIONS_GRANTED" hidden="1">"c2680"</definedName>
    <definedName name="IQ_CLASSA_OPTIONS_STRIKE_PRICE_BEG_OS" hidden="1">"c5810"</definedName>
    <definedName name="IQ_CLASSA_OPTIONS_STRIKE_PRICE_CANCELLED" hidden="1">"c5812"</definedName>
    <definedName name="IQ_CLASSA_OPTIONS_STRIKE_PRICE_EXERCISABLE" hidden="1">"c5813"</definedName>
    <definedName name="IQ_CLASSA_OPTIONS_STRIKE_PRICE_EXERCISED" hidden="1">"c5811"</definedName>
    <definedName name="IQ_CLASSA_OPTIONS_STRIKE_PRICE_OS" hidden="1">"c2684"</definedName>
    <definedName name="IQ_CLASSA_OUTSTANDING_BS_DATE" hidden="1">"c1971"</definedName>
    <definedName name="IQ_CLASSA_OUTSTANDING_FILING_DATE" hidden="1">"c1973"</definedName>
    <definedName name="IQ_CLASSA_STRIKE_PRICE_GRANTED" hidden="1">"c2685"</definedName>
    <definedName name="IQ_CLASSA_WARRANTS_BEG_OS" hidden="1">"c2705"</definedName>
    <definedName name="IQ_CLASSA_WARRANTS_CANCELLED" hidden="1">"c2708"</definedName>
    <definedName name="IQ_CLASSA_WARRANTS_END_OS" hidden="1">"c2709"</definedName>
    <definedName name="IQ_CLASSA_WARRANTS_EXERCISED" hidden="1">"c2707"</definedName>
    <definedName name="IQ_CLASSA_WARRANTS_ISSUED" hidden="1">"c2706"</definedName>
    <definedName name="IQ_CLASSA_WARRANTS_STRIKE_PRICE_ISSUED" hidden="1">"c2711"</definedName>
    <definedName name="IQ_CLASSA_WARRANTS_STRIKE_PRICE_OS" hidden="1">"c2710"</definedName>
    <definedName name="IQ_CLOSEPRICE" hidden="1">"c174"</definedName>
    <definedName name="IQ_CLOSEPRICE_ADJ" hidden="1">"c2115"</definedName>
    <definedName name="IQ_CMO_FDIC" hidden="1">"c6406"</definedName>
    <definedName name="IQ_COGS" hidden="1">"c175"</definedName>
    <definedName name="IQ_COLLATERAL_TYPE" hidden="1">"c8954"</definedName>
    <definedName name="IQ_COLLECTION_DOMESTIC_FDIC" hidden="1">"c6387"</definedName>
    <definedName name="IQ_COMBINED_RATIO" hidden="1">"c176"</definedName>
    <definedName name="IQ_COMMERCIAL_BANKS_DEPOSITS_FOREIGN_FDIC" hidden="1">"c6480"</definedName>
    <definedName name="IQ_COMMERCIAL_BANKS_LOANS_FDIC" hidden="1">"c6434"</definedName>
    <definedName name="IQ_COMMERCIAL_BANKS_NONTRANSACTION_ACCOUNTS_FDIC" hidden="1">"c6548"</definedName>
    <definedName name="IQ_COMMERCIAL_BANKS_TOTAL_DEPOSITS_FDIC" hidden="1">"c6474"</definedName>
    <definedName name="IQ_COMMERCIAL_BANKS_TOTAL_LOANS_FOREIGN_FDIC" hidden="1">"c6444"</definedName>
    <definedName name="IQ_COMMERCIAL_BANKS_TRANSACTION_ACCOUNTS_FDIC" hidden="1">"c6540"</definedName>
    <definedName name="IQ_COMMERCIAL_DOM" hidden="1">"c177"</definedName>
    <definedName name="IQ_COMMERCIAL_FIRE_WRITTEN" hidden="1">"c178"</definedName>
    <definedName name="IQ_COMMERCIAL_INDUSTRIAL_CHARGE_OFFS_FDIC" hidden="1">"c6598"</definedName>
    <definedName name="IQ_COMMERCIAL_INDUSTRIAL_LOANS_NET_FDIC" hidden="1">"c6317"</definedName>
    <definedName name="IQ_COMMERCIAL_INDUSTRIAL_NET_CHARGE_OFFS_FDIC" hidden="1">"c6636"</definedName>
    <definedName name="IQ_COMMERCIAL_INDUSTRIAL_RECOVERIES_FDIC" hidden="1">"c6617"</definedName>
    <definedName name="IQ_COMMERCIAL_INDUSTRIAL_TOTAL_LOANS_FOREIGN_FDIC" hidden="1">"c6451"</definedName>
    <definedName name="IQ_COMMERCIAL_MORT" hidden="1">"c179"</definedName>
    <definedName name="IQ_COMMERCIAL_RE_CONSTRUCTION_LAND_DEV_FDIC" hidden="1">"c6526"</definedName>
    <definedName name="IQ_COMMERCIAL_RE_LOANS_FDIC" hidden="1">"c6312"</definedName>
    <definedName name="IQ_COMMISS_FEES" hidden="1">"c180"</definedName>
    <definedName name="IQ_COMMISSION_DEF" hidden="1">"c181"</definedName>
    <definedName name="IQ_COMMITMENTS_MATURITY_EXCEEDING_1YR_FDIC" hidden="1">"c6531"</definedName>
    <definedName name="IQ_COMMITMENTS_NOT_SECURED_RE_FDIC" hidden="1">"c6528"</definedName>
    <definedName name="IQ_COMMITMENTS_SECURED_RE_FDIC" hidden="1">"c6527"</definedName>
    <definedName name="IQ_COMMODITY_EXPOSURES_FDIC" hidden="1">"c6665"</definedName>
    <definedName name="IQ_COMMON" hidden="1">"c182"</definedName>
    <definedName name="IQ_COMMON_APIC" hidden="1">"c183"</definedName>
    <definedName name="IQ_COMMON_APIC_BNK" hidden="1">"c184"</definedName>
    <definedName name="IQ_COMMON_APIC_BR" hidden="1">"c185"</definedName>
    <definedName name="IQ_COMMON_APIC_FIN" hidden="1">"c186"</definedName>
    <definedName name="IQ_COMMON_APIC_INS" hidden="1">"c187"</definedName>
    <definedName name="IQ_COMMON_APIC_RE" hidden="1">"c6202"</definedName>
    <definedName name="IQ_COMMON_APIC_REIT" hidden="1">"c188"</definedName>
    <definedName name="IQ_COMMON_APIC_UTI" hidden="1">"c189"</definedName>
    <definedName name="IQ_COMMON_DIV" hidden="1">"c3006"</definedName>
    <definedName name="IQ_COMMON_DIV_CF" hidden="1">"c190"</definedName>
    <definedName name="IQ_COMMON_EQUITY_10YR_ANN_CAGR" hidden="1">"c6060"</definedName>
    <definedName name="IQ_COMMON_EQUITY_10YR_ANN_GROWTH" hidden="1">"c191"</definedName>
    <definedName name="IQ_COMMON_EQUITY_1YR_ANN_GROWTH" hidden="1">"c192"</definedName>
    <definedName name="IQ_COMMON_EQUITY_2YR_ANN_CAGR" hidden="1">"c6061"</definedName>
    <definedName name="IQ_COMMON_EQUITY_2YR_ANN_GROWTH" hidden="1">"c193"</definedName>
    <definedName name="IQ_COMMON_EQUITY_3YR_ANN_CAGR" hidden="1">"c6062"</definedName>
    <definedName name="IQ_COMMON_EQUITY_3YR_ANN_GROWTH" hidden="1">"c194"</definedName>
    <definedName name="IQ_COMMON_EQUITY_5YR_ANN_CAGR" hidden="1">"c6063"</definedName>
    <definedName name="IQ_COMMON_EQUITY_5YR_ANN_GROWTH" hidden="1">"c195"</definedName>
    <definedName name="IQ_COMMON_EQUITY_7YR_ANN_CAGR" hidden="1">"c6064"</definedName>
    <definedName name="IQ_COMMON_EQUITY_7YR_ANN_GROWTH" hidden="1">"c196"</definedName>
    <definedName name="IQ_COMMON_FDIC" hidden="1">"c6350"</definedName>
    <definedName name="IQ_COMMON_ISSUED" hidden="1">"c197"</definedName>
    <definedName name="IQ_COMMON_ISSUED_BNK" hidden="1">"c198"</definedName>
    <definedName name="IQ_COMMON_ISSUED_BR" hidden="1">"c199"</definedName>
    <definedName name="IQ_COMMON_ISSUED_FIN" hidden="1">"c200"</definedName>
    <definedName name="IQ_COMMON_ISSUED_INS" hidden="1">"c201"</definedName>
    <definedName name="IQ_COMMON_ISSUED_RE" hidden="1">"c6203"</definedName>
    <definedName name="IQ_COMMON_ISSUED_REIT" hidden="1">"c202"</definedName>
    <definedName name="IQ_COMMON_ISSUED_UTI" hidden="1">"c203"</definedName>
    <definedName name="IQ_COMMON_PER_ADR" hidden="1">"c204"</definedName>
    <definedName name="IQ_COMMON_PREF_DIV_CF" hidden="1">"c205"</definedName>
    <definedName name="IQ_COMMON_REP" hidden="1">"c206"</definedName>
    <definedName name="IQ_COMMON_REP_BNK" hidden="1">"c207"</definedName>
    <definedName name="IQ_COMMON_REP_BR" hidden="1">"c208"</definedName>
    <definedName name="IQ_COMMON_REP_FIN" hidden="1">"c209"</definedName>
    <definedName name="IQ_COMMON_REP_INS" hidden="1">"c210"</definedName>
    <definedName name="IQ_COMMON_REP_RE" hidden="1">"c6204"</definedName>
    <definedName name="IQ_COMMON_REP_REIT" hidden="1">"c211"</definedName>
    <definedName name="IQ_COMMON_REP_UTI" hidden="1">"c212"</definedName>
    <definedName name="IQ_COMMON_STOCK" hidden="1">"c1358"</definedName>
    <definedName name="IQ_COMP_BENEFITS" hidden="1">"c213"</definedName>
    <definedName name="IQ_COMPANY_ADDRESS" hidden="1">"c214"</definedName>
    <definedName name="IQ_COMPANY_ID" hidden="1">"c3513"</definedName>
    <definedName name="IQ_COMPANY_NAME" hidden="1">"c215"</definedName>
    <definedName name="IQ_COMPANY_NAME_LONG" hidden="1">"c1585"</definedName>
    <definedName name="IQ_COMPANY_NOTE" hidden="1">"c6792"</definedName>
    <definedName name="IQ_COMPANY_PHONE" hidden="1">"c216"</definedName>
    <definedName name="IQ_COMPANY_STATUS" hidden="1">"c2097"</definedName>
    <definedName name="IQ_COMPANY_STREET1" hidden="1">"c217"</definedName>
    <definedName name="IQ_COMPANY_STREET2" hidden="1">"c218"</definedName>
    <definedName name="IQ_COMPANY_TICKER" hidden="1">"c219"</definedName>
    <definedName name="IQ_COMPANY_TYPE" hidden="1">"c2096"</definedName>
    <definedName name="IQ_COMPANY_WEBSITE" hidden="1">"c220"</definedName>
    <definedName name="IQ_COMPANY_ZIP" hidden="1">"c221"</definedName>
    <definedName name="IQ_COMPOSITE_CYCLICAL_IND" hidden="1">"c6830"</definedName>
    <definedName name="IQ_COMPOSITE_CYCLICAL_IND_APR" hidden="1">"c7490"</definedName>
    <definedName name="IQ_COMPOSITE_CYCLICAL_IND_APR_FC" hidden="1">"c8370"</definedName>
    <definedName name="IQ_COMPOSITE_CYCLICAL_IND_FC" hidden="1">"c7710"</definedName>
    <definedName name="IQ_COMPOSITE_CYCLICAL_IND_POP" hidden="1">"c7050"</definedName>
    <definedName name="IQ_COMPOSITE_CYCLICAL_IND_POP_FC" hidden="1">"c7930"</definedName>
    <definedName name="IQ_COMPOSITE_CYCLICAL_IND_YOY" hidden="1">"c7270"</definedName>
    <definedName name="IQ_COMPOSITE_CYCLICAL_IND_YOY_FC" hidden="1">"c8150"</definedName>
    <definedName name="IQ_CONSOL_BEDS" hidden="1">"c8782"</definedName>
    <definedName name="IQ_CONSOL_PROP_OPERATIONAL" hidden="1">"c8758"</definedName>
    <definedName name="IQ_CONSOL_PROP_OTHER_OWNED" hidden="1">"c8760"</definedName>
    <definedName name="IQ_CONSOL_PROP_TOTAL" hidden="1">"c8761"</definedName>
    <definedName name="IQ_CONSOL_PROP_UNDEVELOPED" hidden="1">"c8759"</definedName>
    <definedName name="IQ_CONSOL_ROOMS" hidden="1">"c8786"</definedName>
    <definedName name="IQ_CONSOL_SQ_FT_OPERATIONAL" hidden="1">"c8774"</definedName>
    <definedName name="IQ_CONSOL_SQ_FT_OTHER_OWNED" hidden="1">"c8776"</definedName>
    <definedName name="IQ_CONSOL_SQ_FT_TOTAL" hidden="1">"c8777"</definedName>
    <definedName name="IQ_CONSOL_SQ_FT_UNDEVELOPED" hidden="1">"c8775"</definedName>
    <definedName name="IQ_CONSOL_UNITS_OPERATIONAL" hidden="1">"c8766"</definedName>
    <definedName name="IQ_CONSOL_UNITS_OTHER_OWNED" hidden="1">"c8768"</definedName>
    <definedName name="IQ_CONSOL_UNITS_TOTAL" hidden="1">"c8769"</definedName>
    <definedName name="IQ_CONSOL_UNITS_UNDEVELOPED" hidden="1">"c8767"</definedName>
    <definedName name="IQ_CONSTRUCTION_DEV_LOANS_FDIC" hidden="1">"c6313"</definedName>
    <definedName name="IQ_CONSTRUCTION_LAND_DEVELOPMENT_CHARGE_OFFS_FDIC" hidden="1">"c6594"</definedName>
    <definedName name="IQ_CONSTRUCTION_LAND_DEVELOPMENT_NET_CHARGE_OFFS_FDIC" hidden="1">"c6632"</definedName>
    <definedName name="IQ_CONSTRUCTION_LAND_DEVELOPMENT_RECOVERIES_FDIC" hidden="1">"c6613"</definedName>
    <definedName name="IQ_CONSTRUCTION_LOANS" hidden="1">"c222"</definedName>
    <definedName name="IQ_CONSUMER_COMFORT" hidden="1">"c6831"</definedName>
    <definedName name="IQ_CONSUMER_COMFORT_APR" hidden="1">"c7491"</definedName>
    <definedName name="IQ_CONSUMER_COMFORT_APR_FC" hidden="1">"c8371"</definedName>
    <definedName name="IQ_CONSUMER_COMFORT_FC" hidden="1">"c7711"</definedName>
    <definedName name="IQ_CONSUMER_COMFORT_POP" hidden="1">"c7051"</definedName>
    <definedName name="IQ_CONSUMER_COMFORT_POP_FC" hidden="1">"c7931"</definedName>
    <definedName name="IQ_CONSUMER_CONFIDENCE" hidden="1">"c6832"</definedName>
    <definedName name="IQ_CONSUMER_CONFIDENCE_APR" hidden="1">"c7492"</definedName>
    <definedName name="IQ_CONSUMER_CONFIDENCE_APR_FC" hidden="1">"c8372"</definedName>
    <definedName name="IQ_CONSUMER_CONFIDENCE_FC" hidden="1">"c7712"</definedName>
    <definedName name="IQ_CONSUMER_CONFIDENCE_POP" hidden="1">"c7052"</definedName>
    <definedName name="IQ_CONSUMER_CONFIDENCE_POP_FC" hidden="1">"c7932"</definedName>
    <definedName name="IQ_CONSUMER_CONFIDENCE_YOY" hidden="1">"c7272"</definedName>
    <definedName name="IQ_CONSUMER_CONFIDENCE_YOY_FC" hidden="1">"c8152"</definedName>
    <definedName name="IQ_CONSUMER_LENDING" hidden="1">"c6833"</definedName>
    <definedName name="IQ_CONSUMER_LENDING_APR" hidden="1">"c7493"</definedName>
    <definedName name="IQ_CONSUMER_LENDING_APR_FC" hidden="1">"c8373"</definedName>
    <definedName name="IQ_CONSUMER_LENDING_FC" hidden="1">"c7713"</definedName>
    <definedName name="IQ_CONSUMER_LENDING_GROSS" hidden="1">"c6878"</definedName>
    <definedName name="IQ_CONSUMER_LENDING_GROSS_APR" hidden="1">"c7538"</definedName>
    <definedName name="IQ_CONSUMER_LENDING_GROSS_APR_FC" hidden="1">"c8418"</definedName>
    <definedName name="IQ_CONSUMER_LENDING_GROSS_FC" hidden="1">"c7758"</definedName>
    <definedName name="IQ_CONSUMER_LENDING_GROSS_POP" hidden="1">"c7098"</definedName>
    <definedName name="IQ_CONSUMER_LENDING_GROSS_POP_FC" hidden="1">"c7978"</definedName>
    <definedName name="IQ_CONSUMER_LENDING_GROSS_YOY" hidden="1">"c7318"</definedName>
    <definedName name="IQ_CONSUMER_LENDING_GROSS_YOY_FC" hidden="1">"c8198"</definedName>
    <definedName name="IQ_CONSUMER_LENDING_NET" hidden="1">"c6922"</definedName>
    <definedName name="IQ_CONSUMER_LENDING_NET_APR" hidden="1">"c7582"</definedName>
    <definedName name="IQ_CONSUMER_LENDING_NET_APR_FC" hidden="1">"c8462"</definedName>
    <definedName name="IQ_CONSUMER_LENDING_NET_FC" hidden="1">"c7802"</definedName>
    <definedName name="IQ_CONSUMER_LENDING_NET_POP" hidden="1">"c7142"</definedName>
    <definedName name="IQ_CONSUMER_LENDING_NET_POP_FC" hidden="1">"c8022"</definedName>
    <definedName name="IQ_CONSUMER_LENDING_NET_YOY" hidden="1">"c7362"</definedName>
    <definedName name="IQ_CONSUMER_LENDING_NET_YOY_FC" hidden="1">"c8242"</definedName>
    <definedName name="IQ_CONSUMER_LENDING_POP" hidden="1">"c7053"</definedName>
    <definedName name="IQ_CONSUMER_LENDING_POP_FC" hidden="1">"c7933"</definedName>
    <definedName name="IQ_CONSUMER_LENDING_TOTAL" hidden="1">"c7018"</definedName>
    <definedName name="IQ_CONSUMER_LENDING_TOTAL_APR" hidden="1">"c7678"</definedName>
    <definedName name="IQ_CONSUMER_LENDING_TOTAL_APR_FC" hidden="1">"c8558"</definedName>
    <definedName name="IQ_CONSUMER_LENDING_TOTAL_FC" hidden="1">"c7898"</definedName>
    <definedName name="IQ_CONSUMER_LENDING_TOTAL_POP" hidden="1">"c7238"</definedName>
    <definedName name="IQ_CONSUMER_LENDING_TOTAL_POP_FC" hidden="1">"c8118"</definedName>
    <definedName name="IQ_CONSUMER_LENDING_TOTAL_YOY" hidden="1">"c7458"</definedName>
    <definedName name="IQ_CONSUMER_LENDING_TOTAL_YOY_FC" hidden="1">"c8338"</definedName>
    <definedName name="IQ_CONSUMER_LENDING_YOY" hidden="1">"c7273"</definedName>
    <definedName name="IQ_CONSUMER_LENDING_YOY_FC" hidden="1">"c8153"</definedName>
    <definedName name="IQ_CONSUMER_LOANS" hidden="1">"c223"</definedName>
    <definedName name="IQ_CONSUMER_SPENDING" hidden="1">"c6834"</definedName>
    <definedName name="IQ_CONSUMER_SPENDING_APR" hidden="1">"c7494"</definedName>
    <definedName name="IQ_CONSUMER_SPENDING_APR_FC" hidden="1">"c8374"</definedName>
    <definedName name="IQ_CONSUMER_SPENDING_DURABLE" hidden="1">"c6835"</definedName>
    <definedName name="IQ_CONSUMER_SPENDING_DURABLE_APR" hidden="1">"c7495"</definedName>
    <definedName name="IQ_CONSUMER_SPENDING_DURABLE_APR_FC" hidden="1">"c8375"</definedName>
    <definedName name="IQ_CONSUMER_SPENDING_DURABLE_FC" hidden="1">"c7715"</definedName>
    <definedName name="IQ_CONSUMER_SPENDING_DURABLE_POP" hidden="1">"c7055"</definedName>
    <definedName name="IQ_CONSUMER_SPENDING_DURABLE_POP_FC" hidden="1">"c7935"</definedName>
    <definedName name="IQ_CONSUMER_SPENDING_DURABLE_REAL" hidden="1">"c6964"</definedName>
    <definedName name="IQ_CONSUMER_SPENDING_DURABLE_REAL_APR" hidden="1">"c7624"</definedName>
    <definedName name="IQ_CONSUMER_SPENDING_DURABLE_REAL_APR_FC" hidden="1">"c8504"</definedName>
    <definedName name="IQ_CONSUMER_SPENDING_DURABLE_REAL_FC" hidden="1">"c7844"</definedName>
    <definedName name="IQ_CONSUMER_SPENDING_DURABLE_REAL_POP" hidden="1">"c7184"</definedName>
    <definedName name="IQ_CONSUMER_SPENDING_DURABLE_REAL_POP_FC" hidden="1">"c8064"</definedName>
    <definedName name="IQ_CONSUMER_SPENDING_DURABLE_REAL_SAAR" hidden="1">"c6965"</definedName>
    <definedName name="IQ_CONSUMER_SPENDING_DURABLE_REAL_SAAR_APR" hidden="1">"c7625"</definedName>
    <definedName name="IQ_CONSUMER_SPENDING_DURABLE_REAL_SAAR_APR_FC" hidden="1">"c8505"</definedName>
    <definedName name="IQ_CONSUMER_SPENDING_DURABLE_REAL_SAAR_FC" hidden="1">"c7845"</definedName>
    <definedName name="IQ_CONSUMER_SPENDING_DURABLE_REAL_SAAR_POP" hidden="1">"c7185"</definedName>
    <definedName name="IQ_CONSUMER_SPENDING_DURABLE_REAL_SAAR_POP_FC" hidden="1">"c8065"</definedName>
    <definedName name="IQ_CONSUMER_SPENDING_DURABLE_REAL_SAAR_YOY" hidden="1">"c7405"</definedName>
    <definedName name="IQ_CONSUMER_SPENDING_DURABLE_REAL_SAAR_YOY_FC" hidden="1">"c8285"</definedName>
    <definedName name="IQ_CONSUMER_SPENDING_DURABLE_REAL_YOY" hidden="1">"c7404"</definedName>
    <definedName name="IQ_CONSUMER_SPENDING_DURABLE_REAL_YOY_FC" hidden="1">"c8284"</definedName>
    <definedName name="IQ_CONSUMER_SPENDING_DURABLE_YOY" hidden="1">"c7275"</definedName>
    <definedName name="IQ_CONSUMER_SPENDING_DURABLE_YOY_FC" hidden="1">"c8155"</definedName>
    <definedName name="IQ_CONSUMER_SPENDING_FC" hidden="1">"c7714"</definedName>
    <definedName name="IQ_CONSUMER_SPENDING_NONDURABLE" hidden="1">"c6836"</definedName>
    <definedName name="IQ_CONSUMER_SPENDING_NONDURABLE_APR" hidden="1">"c7496"</definedName>
    <definedName name="IQ_CONSUMER_SPENDING_NONDURABLE_APR_FC" hidden="1">"c8376"</definedName>
    <definedName name="IQ_CONSUMER_SPENDING_NONDURABLE_FC" hidden="1">"c7716"</definedName>
    <definedName name="IQ_CONSUMER_SPENDING_NONDURABLE_POP" hidden="1">"c7056"</definedName>
    <definedName name="IQ_CONSUMER_SPENDING_NONDURABLE_POP_FC" hidden="1">"c7936"</definedName>
    <definedName name="IQ_CONSUMER_SPENDING_NONDURABLE_REAL" hidden="1">"c6966"</definedName>
    <definedName name="IQ_CONSUMER_SPENDING_NONDURABLE_REAL_APR" hidden="1">"c7626"</definedName>
    <definedName name="IQ_CONSUMER_SPENDING_NONDURABLE_REAL_APR_FC" hidden="1">"c8506"</definedName>
    <definedName name="IQ_CONSUMER_SPENDING_NONDURABLE_REAL_FC" hidden="1">"c7846"</definedName>
    <definedName name="IQ_CONSUMER_SPENDING_NONDURABLE_REAL_POP" hidden="1">"c7186"</definedName>
    <definedName name="IQ_CONSUMER_SPENDING_NONDURABLE_REAL_POP_FC" hidden="1">"c8066"</definedName>
    <definedName name="IQ_CONSUMER_SPENDING_NONDURABLE_REAL_SAAR" hidden="1">"c6967"</definedName>
    <definedName name="IQ_CONSUMER_SPENDING_NONDURABLE_REAL_SAAR_APR" hidden="1">"c7627"</definedName>
    <definedName name="IQ_CONSUMER_SPENDING_NONDURABLE_REAL_SAAR_APR_FC" hidden="1">"c8507"</definedName>
    <definedName name="IQ_CONSUMER_SPENDING_NONDURABLE_REAL_SAAR_FC" hidden="1">"c7847"</definedName>
    <definedName name="IQ_CONSUMER_SPENDING_NONDURABLE_REAL_SAAR_POP" hidden="1">"c7187"</definedName>
    <definedName name="IQ_CONSUMER_SPENDING_NONDURABLE_REAL_SAAR_POP_FC" hidden="1">"c8067"</definedName>
    <definedName name="IQ_CONSUMER_SPENDING_NONDURABLE_REAL_SAAR_YOY" hidden="1">"c7407"</definedName>
    <definedName name="IQ_CONSUMER_SPENDING_NONDURABLE_REAL_SAAR_YOY_FC" hidden="1">"c8287"</definedName>
    <definedName name="IQ_CONSUMER_SPENDING_NONDURABLE_REAL_YOY" hidden="1">"c7406"</definedName>
    <definedName name="IQ_CONSUMER_SPENDING_NONDURABLE_REAL_YOY_FC" hidden="1">"c8286"</definedName>
    <definedName name="IQ_CONSUMER_SPENDING_NONDURABLE_YOY" hidden="1">"c7276"</definedName>
    <definedName name="IQ_CONSUMER_SPENDING_NONDURABLE_YOY_FC" hidden="1">"c8156"</definedName>
    <definedName name="IQ_CONSUMER_SPENDING_POP" hidden="1">"c7054"</definedName>
    <definedName name="IQ_CONSUMER_SPENDING_POP_FC" hidden="1">"c7934"</definedName>
    <definedName name="IQ_CONSUMER_SPENDING_REAL" hidden="1">"c6963"</definedName>
    <definedName name="IQ_CONSUMER_SPENDING_REAL_APR" hidden="1">"c7623"</definedName>
    <definedName name="IQ_CONSUMER_SPENDING_REAL_APR_FC" hidden="1">"c8503"</definedName>
    <definedName name="IQ_CONSUMER_SPENDING_REAL_FC" hidden="1">"c7843"</definedName>
    <definedName name="IQ_CONSUMER_SPENDING_REAL_POP" hidden="1">"c7183"</definedName>
    <definedName name="IQ_CONSUMER_SPENDING_REAL_POP_FC" hidden="1">"c8063"</definedName>
    <definedName name="IQ_CONSUMER_SPENDING_REAL_SAAR" hidden="1">"c6968"</definedName>
    <definedName name="IQ_CONSUMER_SPENDING_REAL_SAAR_APR" hidden="1">"c7628"</definedName>
    <definedName name="IQ_CONSUMER_SPENDING_REAL_SAAR_APR_FC" hidden="1">"c8508"</definedName>
    <definedName name="IQ_CONSUMER_SPENDING_REAL_SAAR_FC" hidden="1">"c7848"</definedName>
    <definedName name="IQ_CONSUMER_SPENDING_REAL_SAAR_POP" hidden="1">"c7188"</definedName>
    <definedName name="IQ_CONSUMER_SPENDING_REAL_SAAR_POP_FC" hidden="1">"c8068"</definedName>
    <definedName name="IQ_CONSUMER_SPENDING_REAL_SAAR_YOY" hidden="1">"c7408"</definedName>
    <definedName name="IQ_CONSUMER_SPENDING_REAL_SAAR_YOY_FC" hidden="1">"c8288"</definedName>
    <definedName name="IQ_CONSUMER_SPENDING_REAL_USD_APR_FC" hidden="1">"c11921"</definedName>
    <definedName name="IQ_CONSUMER_SPENDING_REAL_USD_FC" hidden="1">"c11918"</definedName>
    <definedName name="IQ_CONSUMER_SPENDING_REAL_USD_POP_FC" hidden="1">"c11919"</definedName>
    <definedName name="IQ_CONSUMER_SPENDING_REAL_USD_YOY_FC" hidden="1">"c11920"</definedName>
    <definedName name="IQ_CONSUMER_SPENDING_REAL_YOY" hidden="1">"c7403"</definedName>
    <definedName name="IQ_CONSUMER_SPENDING_REAL_YOY_FC" hidden="1">"c8283"</definedName>
    <definedName name="IQ_CONSUMER_SPENDING_SERVICES" hidden="1">"c6837"</definedName>
    <definedName name="IQ_CONSUMER_SPENDING_SERVICES_APR" hidden="1">"c7497"</definedName>
    <definedName name="IQ_CONSUMER_SPENDING_SERVICES_APR_FC" hidden="1">"c8377"</definedName>
    <definedName name="IQ_CONSUMER_SPENDING_SERVICES_FC" hidden="1">"c7717"</definedName>
    <definedName name="IQ_CONSUMER_SPENDING_SERVICES_POP" hidden="1">"c7057"</definedName>
    <definedName name="IQ_CONSUMER_SPENDING_SERVICES_POP_FC" hidden="1">"c7937"</definedName>
    <definedName name="IQ_CONSUMER_SPENDING_SERVICES_REAL" hidden="1">"c6969"</definedName>
    <definedName name="IQ_CONSUMER_SPENDING_SERVICES_REAL_APR" hidden="1">"c7629"</definedName>
    <definedName name="IQ_CONSUMER_SPENDING_SERVICES_REAL_APR_FC" hidden="1">"c8509"</definedName>
    <definedName name="IQ_CONSUMER_SPENDING_SERVICES_REAL_FC" hidden="1">"c7849"</definedName>
    <definedName name="IQ_CONSUMER_SPENDING_SERVICES_REAL_POP" hidden="1">"c7189"</definedName>
    <definedName name="IQ_CONSUMER_SPENDING_SERVICES_REAL_POP_FC" hidden="1">"c8069"</definedName>
    <definedName name="IQ_CONSUMER_SPENDING_SERVICES_REAL_SAAR" hidden="1">"c6970"</definedName>
    <definedName name="IQ_CONSUMER_SPENDING_SERVICES_REAL_SAAR_APR" hidden="1">"c7630"</definedName>
    <definedName name="IQ_CONSUMER_SPENDING_SERVICES_REAL_SAAR_APR_FC" hidden="1">"c8510"</definedName>
    <definedName name="IQ_CONSUMER_SPENDING_SERVICES_REAL_SAAR_FC" hidden="1">"c7850"</definedName>
    <definedName name="IQ_CONSUMER_SPENDING_SERVICES_REAL_SAAR_POP" hidden="1">"c7190"</definedName>
    <definedName name="IQ_CONSUMER_SPENDING_SERVICES_REAL_SAAR_POP_FC" hidden="1">"c8070"</definedName>
    <definedName name="IQ_CONSUMER_SPENDING_SERVICES_REAL_SAAR_YOY" hidden="1">"c7410"</definedName>
    <definedName name="IQ_CONSUMER_SPENDING_SERVICES_REAL_SAAR_YOY_FC" hidden="1">"c8290"</definedName>
    <definedName name="IQ_CONSUMER_SPENDING_SERVICES_REAL_YOY" hidden="1">"c7409"</definedName>
    <definedName name="IQ_CONSUMER_SPENDING_SERVICES_REAL_YOY_FC" hidden="1">"c8289"</definedName>
    <definedName name="IQ_CONSUMER_SPENDING_SERVICES_YOY" hidden="1">"c7277"</definedName>
    <definedName name="IQ_CONSUMER_SPENDING_SERVICES_YOY_FC" hidden="1">"c8157"</definedName>
    <definedName name="IQ_CONSUMER_SPENDING_YOY" hidden="1">"c7274"</definedName>
    <definedName name="IQ_CONSUMER_SPENDING_YOY_FC" hidden="1">"c8154"</definedName>
    <definedName name="IQ_CONTRACTS_OTHER_COMMODITIES_EQUITIES_FDIC" hidden="1">"c6522"</definedName>
    <definedName name="IQ_CONTRACTS_OTHER_COMMODITIES_EQUITIES._FDIC" hidden="1">"c6522"</definedName>
    <definedName name="IQ_CONV_DATE" hidden="1">"c2191"</definedName>
    <definedName name="IQ_CONV_EXP_DATE" hidden="1">"c3043"</definedName>
    <definedName name="IQ_CONV_PREMIUM" hidden="1">"c2195"</definedName>
    <definedName name="IQ_CONV_PRICE" hidden="1">"c2193"</definedName>
    <definedName name="IQ_CONV_RATE" hidden="1">"c2192"</definedName>
    <definedName name="IQ_CONV_RATIO" hidden="1">"c2192"</definedName>
    <definedName name="IQ_CONV_SECURITY" hidden="1">"c2189"</definedName>
    <definedName name="IQ_CONV_SECURITY_ISSUER" hidden="1">"c2190"</definedName>
    <definedName name="IQ_CONV_SECURITY_PRICE" hidden="1">"c2194"</definedName>
    <definedName name="IQ_CONVERT" hidden="1">"c2536"</definedName>
    <definedName name="IQ_CONVERT_PCT" hidden="1">"c2537"</definedName>
    <definedName name="IQ_CONVEXITY" hidden="1">"c2182"</definedName>
    <definedName name="IQ_CONVEYED_TO_OTHERS_FDIC" hidden="1">"c6534"</definedName>
    <definedName name="IQ_CORE_CAPITAL_RATIO_FDIC" hidden="1">"c6745"</definedName>
    <definedName name="IQ_CORP_GOODS_PRICE_INDEX_APR_FC_UNUSED_UNUSED_UNUSED" hidden="1">"c8381"</definedName>
    <definedName name="IQ_CORP_GOODS_PRICE_INDEX_APR_UNUSED_UNUSED_UNUSED" hidden="1">"c7501"</definedName>
    <definedName name="IQ_CORP_GOODS_PRICE_INDEX_FC_UNUSED_UNUSED_UNUSED" hidden="1">"c7721"</definedName>
    <definedName name="IQ_CORP_GOODS_PRICE_INDEX_POP_FC_UNUSED_UNUSED_UNUSED" hidden="1">"c7941"</definedName>
    <definedName name="IQ_CORP_GOODS_PRICE_INDEX_POP_UNUSED_UNUSED_UNUSED" hidden="1">"c7061"</definedName>
    <definedName name="IQ_CORP_GOODS_PRICE_INDEX_UNUSED_UNUSED_UNUSED" hidden="1">"c6841"</definedName>
    <definedName name="IQ_CORP_GOODS_PRICE_INDEX_YOY_FC_UNUSED_UNUSED_UNUSED" hidden="1">"c8161"</definedName>
    <definedName name="IQ_CORP_GOODS_PRICE_INDEX_YOY_UNUSED_UNUSED_UNUSED" hidden="1">"c7281"</definedName>
    <definedName name="IQ_CORP_PROFITS" hidden="1">"c6843"</definedName>
    <definedName name="IQ_CORP_PROFITS_AFTER_TAX_SAAR" hidden="1">"c6842"</definedName>
    <definedName name="IQ_CORP_PROFITS_AFTER_TAX_SAAR_APR" hidden="1">"c7502"</definedName>
    <definedName name="IQ_CORP_PROFITS_AFTER_TAX_SAAR_APR_FC" hidden="1">"c8382"</definedName>
    <definedName name="IQ_CORP_PROFITS_AFTER_TAX_SAAR_FC" hidden="1">"c7722"</definedName>
    <definedName name="IQ_CORP_PROFITS_AFTER_TAX_SAAR_POP" hidden="1">"c7062"</definedName>
    <definedName name="IQ_CORP_PROFITS_AFTER_TAX_SAAR_POP_FC" hidden="1">"c7942"</definedName>
    <definedName name="IQ_CORP_PROFITS_AFTER_TAX_SAAR_YOY" hidden="1">"c7282"</definedName>
    <definedName name="IQ_CORP_PROFITS_AFTER_TAX_SAAR_YOY_FC" hidden="1">"c8162"</definedName>
    <definedName name="IQ_CORP_PROFITS_APR" hidden="1">"c7503"</definedName>
    <definedName name="IQ_CORP_PROFITS_APR_FC" hidden="1">"c8383"</definedName>
    <definedName name="IQ_CORP_PROFITS_FC" hidden="1">"c7723"</definedName>
    <definedName name="IQ_CORP_PROFITS_POP" hidden="1">"c7063"</definedName>
    <definedName name="IQ_CORP_PROFITS_POP_FC" hidden="1">"c7943"</definedName>
    <definedName name="IQ_CORP_PROFITS_SAAR" hidden="1">"c6844"</definedName>
    <definedName name="IQ_CORP_PROFITS_SAAR_APR" hidden="1">"c7504"</definedName>
    <definedName name="IQ_CORP_PROFITS_SAAR_APR_FC" hidden="1">"c8384"</definedName>
    <definedName name="IQ_CORP_PROFITS_SAAR_FC" hidden="1">"c7724"</definedName>
    <definedName name="IQ_CORP_PROFITS_SAAR_POP" hidden="1">"c7064"</definedName>
    <definedName name="IQ_CORP_PROFITS_SAAR_POP_FC" hidden="1">"c7944"</definedName>
    <definedName name="IQ_CORP_PROFITS_SAAR_YOY" hidden="1">"c7284"</definedName>
    <definedName name="IQ_CORP_PROFITS_SAAR_YOY_FC" hidden="1">"c8164"</definedName>
    <definedName name="IQ_CORP_PROFITS_YOY" hidden="1">"c7283"</definedName>
    <definedName name="IQ_CORP_PROFITS_YOY_FC" hidden="1">"c8163"</definedName>
    <definedName name="IQ_COST_BORROWING" hidden="1">"c2936"</definedName>
    <definedName name="IQ_COST_BORROWINGS" hidden="1">"c225"</definedName>
    <definedName name="IQ_COST_CAPITAL_NEW_BUSINESS" hidden="1">"c9968"</definedName>
    <definedName name="IQ_COST_OF_FUNDING_ASSETS_FDIC" hidden="1">"c6725"</definedName>
    <definedName name="IQ_COST_REV" hidden="1">"c226"</definedName>
    <definedName name="IQ_COST_REVENUE" hidden="1">"c1359"</definedName>
    <definedName name="IQ_COST_SAVINGS" hidden="1">"c227"</definedName>
    <definedName name="IQ_COST_SERVICE" hidden="1">"c228"</definedName>
    <definedName name="IQ_COST_SOLVENCY_CAPITAL_COVERED" hidden="1">"c9965"</definedName>
    <definedName name="IQ_COST_SOLVENCY_CAPITAL_GROUP" hidden="1">"c9951"</definedName>
    <definedName name="IQ_COST_TOTAL_BORROWINGS" hidden="1">"c229"</definedName>
    <definedName name="IQ_COUNTRY_NAME" hidden="1">"c230"</definedName>
    <definedName name="IQ_COUNTRY_NAME_ECON" hidden="1">"c11752"</definedName>
    <definedName name="IQ_COUPON_FORMULA" hidden="1">"c8965"</definedName>
    <definedName name="IQ_COVERED_POPS" hidden="1">"c2124"</definedName>
    <definedName name="IQ_CP" hidden="1">"c2495"</definedName>
    <definedName name="IQ_CP_PCT" hidden="1">"c2496"</definedName>
    <definedName name="IQ_CPI" hidden="1">"c6845"</definedName>
    <definedName name="IQ_CPI_APR" hidden="1">"c7505"</definedName>
    <definedName name="IQ_CPI_APR_FC" hidden="1">"c8385"</definedName>
    <definedName name="IQ_CPI_CORE" hidden="1">"c6838"</definedName>
    <definedName name="IQ_CPI_CORE_APR" hidden="1">"c7498"</definedName>
    <definedName name="IQ_CPI_CORE_POP" hidden="1">"c7058"</definedName>
    <definedName name="IQ_CPI_CORE_YOY" hidden="1">"c7278"</definedName>
    <definedName name="IQ_CPI_FC" hidden="1">"c7725"</definedName>
    <definedName name="IQ_CPI_POP" hidden="1">"c7065"</definedName>
    <definedName name="IQ_CPI_POP_FC" hidden="1">"c7945"</definedName>
    <definedName name="IQ_CPI_YOY" hidden="1">"c7285"</definedName>
    <definedName name="IQ_CPI_YOY_FC" hidden="1">"c8165"</definedName>
    <definedName name="IQ_CQ" hidden="1">5000</definedName>
    <definedName name="IQ_CREDIT_CARD_CHARGE_OFFS_FDIC" hidden="1">"c6652"</definedName>
    <definedName name="IQ_CREDIT_CARD_FEE_BNK" hidden="1">"c231"</definedName>
    <definedName name="IQ_CREDIT_CARD_FEE_FIN" hidden="1">"c1583"</definedName>
    <definedName name="IQ_CREDIT_CARD_LINES_FDIC" hidden="1">"c6525"</definedName>
    <definedName name="IQ_CREDIT_CARD_LOANS_FDIC" hidden="1">"c6319"</definedName>
    <definedName name="IQ_CREDIT_CARD_NET_CHARGE_OFFS_FDIC" hidden="1">"c6654"</definedName>
    <definedName name="IQ_CREDIT_CARD_RECOVERIES_FDIC" hidden="1">"c6653"</definedName>
    <definedName name="IQ_CREDIT_EXPOSURE" hidden="1">"c10038"</definedName>
    <definedName name="IQ_CREDIT_LOSS_CF" hidden="1">"c232"</definedName>
    <definedName name="IQ_CREDIT_LOSS_PROVISION_NET_CHARGE_OFFS_FDIC" hidden="1">"c6734"</definedName>
    <definedName name="IQ_CUMULATIVE_SPLIT_FACTOR" hidden="1">"c2094"</definedName>
    <definedName name="IQ_CURR_ACCT_BALANCE_APR_FC_UNUSED_UNUSED_UNUSED" hidden="1">"c8387"</definedName>
    <definedName name="IQ_CURR_ACCT_BALANCE_APR_UNUSED_UNUSED_UNUSED" hidden="1">"c7507"</definedName>
    <definedName name="IQ_CURR_ACCT_BALANCE_FC_UNUSED_UNUSED_UNUSED" hidden="1">"c7727"</definedName>
    <definedName name="IQ_CURR_ACCT_BALANCE_PCT" hidden="1">"c6846"</definedName>
    <definedName name="IQ_CURR_ACCT_BALANCE_PCT_FC" hidden="1">"c7726"</definedName>
    <definedName name="IQ_CURR_ACCT_BALANCE_PCT_POP" hidden="1">"c7066"</definedName>
    <definedName name="IQ_CURR_ACCT_BALANCE_PCT_POP_FC" hidden="1">"c7946"</definedName>
    <definedName name="IQ_CURR_ACCT_BALANCE_PCT_YOY" hidden="1">"c7286"</definedName>
    <definedName name="IQ_CURR_ACCT_BALANCE_PCT_YOY_FC" hidden="1">"c8166"</definedName>
    <definedName name="IQ_CURR_ACCT_BALANCE_POP_FC_UNUSED_UNUSED_UNUSED" hidden="1">"c7947"</definedName>
    <definedName name="IQ_CURR_ACCT_BALANCE_POP_UNUSED_UNUSED_UNUSED" hidden="1">"c7067"</definedName>
    <definedName name="IQ_CURR_ACCT_BALANCE_SAAR" hidden="1">"c6848"</definedName>
    <definedName name="IQ_CURR_ACCT_BALANCE_SAAR_APR" hidden="1">"c7508"</definedName>
    <definedName name="IQ_CURR_ACCT_BALANCE_SAAR_APR_FC" hidden="1">"c8388"</definedName>
    <definedName name="IQ_CURR_ACCT_BALANCE_SAAR_FC" hidden="1">"c7728"</definedName>
    <definedName name="IQ_CURR_ACCT_BALANCE_SAAR_POP" hidden="1">"c7068"</definedName>
    <definedName name="IQ_CURR_ACCT_BALANCE_SAAR_POP_FC" hidden="1">"c7948"</definedName>
    <definedName name="IQ_CURR_ACCT_BALANCE_SAAR_USD_APR_FC" hidden="1">"c11797"</definedName>
    <definedName name="IQ_CURR_ACCT_BALANCE_SAAR_USD_FC" hidden="1">"c11794"</definedName>
    <definedName name="IQ_CURR_ACCT_BALANCE_SAAR_USD_POP_FC" hidden="1">"c11795"</definedName>
    <definedName name="IQ_CURR_ACCT_BALANCE_SAAR_USD_YOY_FC" hidden="1">"c11796"</definedName>
    <definedName name="IQ_CURR_ACCT_BALANCE_SAAR_YOY" hidden="1">"c7288"</definedName>
    <definedName name="IQ_CURR_ACCT_BALANCE_SAAR_YOY_FC" hidden="1">"c8168"</definedName>
    <definedName name="IQ_CURR_ACCT_BALANCE_UNUSED_UNUSED_UNUSED" hidden="1">"c6847"</definedName>
    <definedName name="IQ_CURR_ACCT_BALANCE_USD" hidden="1">"c11786"</definedName>
    <definedName name="IQ_CURR_ACCT_BALANCE_USD_APR" hidden="1">"c11789"</definedName>
    <definedName name="IQ_CURR_ACCT_BALANCE_USD_APR_FC" hidden="1">"c11793"</definedName>
    <definedName name="IQ_CURR_ACCT_BALANCE_USD_FC" hidden="1">"c11790"</definedName>
    <definedName name="IQ_CURR_ACCT_BALANCE_USD_POP" hidden="1">"c11787"</definedName>
    <definedName name="IQ_CURR_ACCT_BALANCE_USD_POP_FC" hidden="1">"c11791"</definedName>
    <definedName name="IQ_CURR_ACCT_BALANCE_USD_YOY" hidden="1">"c11788"</definedName>
    <definedName name="IQ_CURR_ACCT_BALANCE_USD_YOY_FC" hidden="1">"c11792"</definedName>
    <definedName name="IQ_CURR_ACCT_BALANCE_YOY_FC_UNUSED_UNUSED_UNUSED" hidden="1">"c8167"</definedName>
    <definedName name="IQ_CURR_ACCT_BALANCE_YOY_UNUSED_UNUSED_UNUSED" hidden="1">"c7287"</definedName>
    <definedName name="IQ_CURR_ACCT_INC_RECEIPTS" hidden="1">"c6849"</definedName>
    <definedName name="IQ_CURR_ACCT_INC_RECEIPTS_APR" hidden="1">"c7509"</definedName>
    <definedName name="IQ_CURR_ACCT_INC_RECEIPTS_APR_FC" hidden="1">"c8389"</definedName>
    <definedName name="IQ_CURR_ACCT_INC_RECEIPTS_FC" hidden="1">"c7729"</definedName>
    <definedName name="IQ_CURR_ACCT_INC_RECEIPTS_POP" hidden="1">"c7069"</definedName>
    <definedName name="IQ_CURR_ACCT_INC_RECEIPTS_POP_FC" hidden="1">"c7949"</definedName>
    <definedName name="IQ_CURR_ACCT_INC_RECEIPTS_YOY" hidden="1">"c7289"</definedName>
    <definedName name="IQ_CURR_ACCT_INC_RECEIPTS_YOY_FC" hidden="1">"c8169"</definedName>
    <definedName name="IQ_CURR_DOMESTIC_TAXES" hidden="1">"c2074"</definedName>
    <definedName name="IQ_CURR_FOREIGN_TAXES" hidden="1">"c2075"</definedName>
    <definedName name="IQ_CURRENCY_COIN_DOMESTIC_FDIC" hidden="1">"c6388"</definedName>
    <definedName name="IQ_CURRENCY_FACTOR_BS" hidden="1">"c233"</definedName>
    <definedName name="IQ_CURRENCY_FACTOR_IS" hidden="1">"c234"</definedName>
    <definedName name="IQ_CURRENCY_GAIN" hidden="1">"c235"</definedName>
    <definedName name="IQ_CURRENCY_GAIN_BR" hidden="1">"c236"</definedName>
    <definedName name="IQ_CURRENCY_GAIN_FIN" hidden="1">"c237"</definedName>
    <definedName name="IQ_CURRENCY_GAIN_INS" hidden="1">"c238"</definedName>
    <definedName name="IQ_CURRENCY_GAIN_RE" hidden="1">"c6205"</definedName>
    <definedName name="IQ_CURRENCY_GAIN_REIT" hidden="1">"c239"</definedName>
    <definedName name="IQ_CURRENCY_GAIN_UTI" hidden="1">"c240"</definedName>
    <definedName name="IQ_CURRENT_BENCHMARK" hidden="1">"c6780"</definedName>
    <definedName name="IQ_CURRENT_BENCHMARK_CIQID" hidden="1">"c6781"</definedName>
    <definedName name="IQ_CURRENT_BENCHMARK_MATURITY" hidden="1">"c6782"</definedName>
    <definedName name="IQ_CURRENT_PORT" hidden="1">"c241"</definedName>
    <definedName name="IQ_CURRENT_PORT_BNK" hidden="1">"c242"</definedName>
    <definedName name="IQ_CURRENT_PORT_DEBT" hidden="1">"c243"</definedName>
    <definedName name="IQ_CURRENT_PORT_DEBT_BNK" hidden="1">"c244"</definedName>
    <definedName name="IQ_CURRENT_PORT_DEBT_BR" hidden="1">"c1567"</definedName>
    <definedName name="IQ_CURRENT_PORT_DEBT_FIN" hidden="1">"c1568"</definedName>
    <definedName name="IQ_CURRENT_PORT_DEBT_INS" hidden="1">"c1569"</definedName>
    <definedName name="IQ_CURRENT_PORT_DEBT_RE" hidden="1">"c6283"</definedName>
    <definedName name="IQ_CURRENT_PORT_DEBT_REIT" hidden="1">"c1570"</definedName>
    <definedName name="IQ_CURRENT_PORT_DEBT_UTI" hidden="1">"c1571"</definedName>
    <definedName name="IQ_CURRENT_PORT_FHLB_DEBT" hidden="1">"c5657"</definedName>
    <definedName name="IQ_CURRENT_PORT_LEASES" hidden="1">"c245"</definedName>
    <definedName name="IQ_CURRENT_PORT_PCT" hidden="1">"c2541"</definedName>
    <definedName name="IQ_CURRENT_RATIO" hidden="1">"c246"</definedName>
    <definedName name="IQ_CUSIP" hidden="1">"c2245"</definedName>
    <definedName name="IQ_CY" hidden="1">10000</definedName>
    <definedName name="IQ_DA" hidden="1">"c247"</definedName>
    <definedName name="IQ_DA_BR" hidden="1">"c248"</definedName>
    <definedName name="IQ_DA_CF" hidden="1">"c249"</definedName>
    <definedName name="IQ_DA_CF_BNK" hidden="1">"c250"</definedName>
    <definedName name="IQ_DA_CF_BR" hidden="1">"c251"</definedName>
    <definedName name="IQ_DA_CF_FIN" hidden="1">"c252"</definedName>
    <definedName name="IQ_DA_CF_INS" hidden="1">"c253"</definedName>
    <definedName name="IQ_DA_CF_RE" hidden="1">"c6206"</definedName>
    <definedName name="IQ_DA_CF_REIT" hidden="1">"c254"</definedName>
    <definedName name="IQ_DA_CF_UTI" hidden="1">"c255"</definedName>
    <definedName name="IQ_DA_EBITDA" hidden="1">"c5528"</definedName>
    <definedName name="IQ_DA_FIN" hidden="1">"c256"</definedName>
    <definedName name="IQ_DA_INS" hidden="1">"c257"</definedName>
    <definedName name="IQ_DA_RE" hidden="1">"c6207"</definedName>
    <definedName name="IQ_DA_REIT" hidden="1">"c258"</definedName>
    <definedName name="IQ_DA_SUPPL" hidden="1">"c259"</definedName>
    <definedName name="IQ_DA_SUPPL_BR" hidden="1">"c260"</definedName>
    <definedName name="IQ_DA_SUPPL_CF" hidden="1">"c261"</definedName>
    <definedName name="IQ_DA_SUPPL_CF_BNK" hidden="1">"c262"</definedName>
    <definedName name="IQ_DA_SUPPL_CF_BR" hidden="1">"c263"</definedName>
    <definedName name="IQ_DA_SUPPL_CF_FIN" hidden="1">"c264"</definedName>
    <definedName name="IQ_DA_SUPPL_CF_INS" hidden="1">"c265"</definedName>
    <definedName name="IQ_DA_SUPPL_CF_RE" hidden="1">"c6208"</definedName>
    <definedName name="IQ_DA_SUPPL_CF_REIT" hidden="1">"c266"</definedName>
    <definedName name="IQ_DA_SUPPL_CF_UTI" hidden="1">"c267"</definedName>
    <definedName name="IQ_DA_SUPPL_FIN" hidden="1">"c268"</definedName>
    <definedName name="IQ_DA_SUPPL_INS" hidden="1">"c269"</definedName>
    <definedName name="IQ_DA_SUPPL_RE" hidden="1">"c6209"</definedName>
    <definedName name="IQ_DA_SUPPL_REIT" hidden="1">"c270"</definedName>
    <definedName name="IQ_DA_SUPPL_UTI" hidden="1">"c271"</definedName>
    <definedName name="IQ_DA_UTI" hidden="1">"c272"</definedName>
    <definedName name="IQ_DAILY" hidden="1">500000</definedName>
    <definedName name="IQ_DATED_DATE" hidden="1">"c2185"</definedName>
    <definedName name="IQ_DAY_COUNT" hidden="1">"c2161"</definedName>
    <definedName name="IQ_DAYS_COVER_SHORT" hidden="1">"c1578"</definedName>
    <definedName name="IQ_DAYS_DELAY" hidden="1">"c8963"</definedName>
    <definedName name="IQ_DAYS_INVENTORY_OUT" hidden="1">"c273"</definedName>
    <definedName name="IQ_DAYS_PAY_OUTST" hidden="1">"c1362"</definedName>
    <definedName name="IQ_DAYS_PAYABLE_OUT" hidden="1">"c274"</definedName>
    <definedName name="IQ_DAYS_SALES_OUT" hidden="1">"c275"</definedName>
    <definedName name="IQ_DAYS_SALES_OUTST" hidden="1">"c1363"</definedName>
    <definedName name="IQ_DEBT_ADJ" hidden="1">"c2515"</definedName>
    <definedName name="IQ_DEBT_ADJ_PCT" hidden="1">"c2516"</definedName>
    <definedName name="IQ_DEBT_EQUIV_NET_PBO" hidden="1">"c2938"</definedName>
    <definedName name="IQ_DEBT_EQUIV_OPER_LEASE" hidden="1">"c2935"</definedName>
    <definedName name="IQ_DEF_ACQ_CST" hidden="1">"c1364"</definedName>
    <definedName name="IQ_DEF_AMORT" hidden="1">"c276"</definedName>
    <definedName name="IQ_DEF_AMORT_BNK" hidden="1">"c277"</definedName>
    <definedName name="IQ_DEF_AMORT_BR" hidden="1">"c278"</definedName>
    <definedName name="IQ_DEF_AMORT_FIN" hidden="1">"c279"</definedName>
    <definedName name="IQ_DEF_AMORT_INS" hidden="1">"c280"</definedName>
    <definedName name="IQ_DEF_AMORT_REIT" hidden="1">"c281"</definedName>
    <definedName name="IQ_DEF_AMORT_UTI" hidden="1">"c282"</definedName>
    <definedName name="IQ_DEF_BENEFIT_INTEREST_COST" hidden="1">"c283"</definedName>
    <definedName name="IQ_DEF_BENEFIT_INTEREST_COST_DOMESTIC" hidden="1">"c2652"</definedName>
    <definedName name="IQ_DEF_BENEFIT_INTEREST_COST_FOREIGN" hidden="1">"c2660"</definedName>
    <definedName name="IQ_DEF_BENEFIT_OTHER_COST" hidden="1">"c284"</definedName>
    <definedName name="IQ_DEF_BENEFIT_OTHER_COST_DOMESTIC" hidden="1">"c2654"</definedName>
    <definedName name="IQ_DEF_BENEFIT_OTHER_COST_FOREIGN" hidden="1">"c2662"</definedName>
    <definedName name="IQ_DEF_BENEFIT_ROA" hidden="1">"c285"</definedName>
    <definedName name="IQ_DEF_BENEFIT_ROA_DOMESTIC" hidden="1">"c2653"</definedName>
    <definedName name="IQ_DEF_BENEFIT_ROA_FOREIGN" hidden="1">"c2661"</definedName>
    <definedName name="IQ_DEF_BENEFIT_SERVICE_COST" hidden="1">"c286"</definedName>
    <definedName name="IQ_DEF_BENEFIT_SERVICE_COST_DOMESTIC" hidden="1">"c2651"</definedName>
    <definedName name="IQ_DEF_BENEFIT_SERVICE_COST_FOREIGN" hidden="1">"c2659"</definedName>
    <definedName name="IQ_DEF_BENEFIT_TOTAL_COST" hidden="1">"c287"</definedName>
    <definedName name="IQ_DEF_BENEFIT_TOTAL_COST_DOMESTIC" hidden="1">"c2655"</definedName>
    <definedName name="IQ_DEF_BENEFIT_TOTAL_COST_FOREIGN" hidden="1">"c2663"</definedName>
    <definedName name="IQ_DEF_CHARGES_BR" hidden="1">"c288"</definedName>
    <definedName name="IQ_DEF_CHARGES_CF" hidden="1">"c289"</definedName>
    <definedName name="IQ_DEF_CHARGES_FIN" hidden="1">"c290"</definedName>
    <definedName name="IQ_DEF_CHARGES_INS" hidden="1">"c291"</definedName>
    <definedName name="IQ_DEF_CHARGES_LT" hidden="1">"c292"</definedName>
    <definedName name="IQ_DEF_CHARGES_LT_BNK" hidden="1">"c293"</definedName>
    <definedName name="IQ_DEF_CHARGES_LT_BR" hidden="1">"c294"</definedName>
    <definedName name="IQ_DEF_CHARGES_LT_FIN" hidden="1">"c295"</definedName>
    <definedName name="IQ_DEF_CHARGES_LT_INS" hidden="1">"c296"</definedName>
    <definedName name="IQ_DEF_CHARGES_LT_RE" hidden="1">"c6210"</definedName>
    <definedName name="IQ_DEF_CHARGES_LT_REIT" hidden="1">"c297"</definedName>
    <definedName name="IQ_DEF_CHARGES_LT_UTI" hidden="1">"c298"</definedName>
    <definedName name="IQ_DEF_CHARGES_RE" hidden="1">"c6211"</definedName>
    <definedName name="IQ_DEF_CHARGES_REIT" hidden="1">"c299"</definedName>
    <definedName name="IQ_DEF_CONTRIBUTION_TOTAL_COST" hidden="1">"c300"</definedName>
    <definedName name="IQ_DEF_INC_TAX" hidden="1">"c1365"</definedName>
    <definedName name="IQ_DEF_POLICY_ACQ_COSTS" hidden="1">"c301"</definedName>
    <definedName name="IQ_DEF_POLICY_ACQ_COSTS_CF" hidden="1">"c302"</definedName>
    <definedName name="IQ_DEF_POLICY_AMORT" hidden="1">"c303"</definedName>
    <definedName name="IQ_DEF_SPENDING_REAL_SAAR" hidden="1">"c6971"</definedName>
    <definedName name="IQ_DEF_SPENDING_REAL_SAAR_APR" hidden="1">"c7631"</definedName>
    <definedName name="IQ_DEF_SPENDING_REAL_SAAR_APR_FC" hidden="1">"c8511"</definedName>
    <definedName name="IQ_DEF_SPENDING_REAL_SAAR_FC" hidden="1">"c7851"</definedName>
    <definedName name="IQ_DEF_SPENDING_REAL_SAAR_POP" hidden="1">"c7191"</definedName>
    <definedName name="IQ_DEF_SPENDING_REAL_SAAR_POP_FC" hidden="1">"c8071"</definedName>
    <definedName name="IQ_DEF_SPENDING_REAL_SAAR_YOY" hidden="1">"c7411"</definedName>
    <definedName name="IQ_DEF_SPENDING_REAL_SAAR_YOY_FC" hidden="1">"c8291"</definedName>
    <definedName name="IQ_DEF_TAX_ASSET_LT_BR" hidden="1">"c304"</definedName>
    <definedName name="IQ_DEF_TAX_ASSET_LT_FIN" hidden="1">"c305"</definedName>
    <definedName name="IQ_DEF_TAX_ASSET_LT_INS" hidden="1">"c306"</definedName>
    <definedName name="IQ_DEF_TAX_ASSET_LT_RE" hidden="1">"c6212"</definedName>
    <definedName name="IQ_DEF_TAX_ASSET_LT_REIT" hidden="1">"c307"</definedName>
    <definedName name="IQ_DEF_TAX_ASSET_LT_UTI" hidden="1">"c308"</definedName>
    <definedName name="IQ_DEF_TAX_ASSETS_CURRENT" hidden="1">"c309"</definedName>
    <definedName name="IQ_DEF_TAX_ASSETS_LT" hidden="1">"c310"</definedName>
    <definedName name="IQ_DEF_TAX_ASSETS_LT_BNK" hidden="1">"c311"</definedName>
    <definedName name="IQ_DEF_TAX_LIAB_CURRENT" hidden="1">"c312"</definedName>
    <definedName name="IQ_DEF_TAX_LIAB_LT" hidden="1">"c313"</definedName>
    <definedName name="IQ_DEF_TAX_LIAB_LT_BNK" hidden="1">"c314"</definedName>
    <definedName name="IQ_DEF_TAX_LIAB_LT_BR" hidden="1">"c315"</definedName>
    <definedName name="IQ_DEF_TAX_LIAB_LT_FIN" hidden="1">"c316"</definedName>
    <definedName name="IQ_DEF_TAX_LIAB_LT_INS" hidden="1">"c317"</definedName>
    <definedName name="IQ_DEF_TAX_LIAB_LT_RE" hidden="1">"c6213"</definedName>
    <definedName name="IQ_DEF_TAX_LIAB_LT_REIT" hidden="1">"c318"</definedName>
    <definedName name="IQ_DEF_TAX_LIAB_LT_UTI" hidden="1">"c319"</definedName>
    <definedName name="IQ_DEFERRED_DOMESTIC_TAXES" hidden="1">"c2077"</definedName>
    <definedName name="IQ_DEFERRED_FOREIGN_TAXES" hidden="1">"c2078"</definedName>
    <definedName name="IQ_DEFERRED_INC_TAX" hidden="1">"c1447"</definedName>
    <definedName name="IQ_DEFERRED_TAXES" hidden="1">"c1356"</definedName>
    <definedName name="IQ_DEMAND_DEP" hidden="1">"c320"</definedName>
    <definedName name="IQ_DEMAND_DEPOSITS_FDIC" hidden="1">"c6489"</definedName>
    <definedName name="IQ_DEPOSIT_ACCOUNTS_LESS_THAN_100K_FDIC" hidden="1">"c6494"</definedName>
    <definedName name="IQ_DEPOSIT_ACCOUNTS_MORE_THAN_100K_FDIC" hidden="1">"c6492"</definedName>
    <definedName name="IQ_DEPOSITORY_INSTITUTIONS_CHARGE_OFFS_FDIC" hidden="1">"c6596"</definedName>
    <definedName name="IQ_DEPOSITORY_INSTITUTIONS_NET_CHARGE_OFFS_FDIC" hidden="1">"c6634"</definedName>
    <definedName name="IQ_DEPOSITORY_INSTITUTIONS_RECOVERIES_FDIC" hidden="1">"c6615"</definedName>
    <definedName name="IQ_DEPOSITS_FIN" hidden="1">"c321"</definedName>
    <definedName name="IQ_DEPOSITS_HELD_DOMESTIC_FDIC" hidden="1">"c6340"</definedName>
    <definedName name="IQ_DEPOSITS_HELD_FOREIGN_FDIC" hidden="1">"c6341"</definedName>
    <definedName name="IQ_DEPOSITS_INTEREST_SECURITIES" hidden="1">"c5509"</definedName>
    <definedName name="IQ_DEPOSITS_LESS_THAN_100K_AFTER_THREE_YEARS_FDIC" hidden="1">"c6464"</definedName>
    <definedName name="IQ_DEPOSITS_LESS_THAN_100K_THREE_MONTHS_FDIC" hidden="1">"c6461"</definedName>
    <definedName name="IQ_DEPOSITS_LESS_THAN_100K_THREE_YEARS_FDIC" hidden="1">"c6463"</definedName>
    <definedName name="IQ_DEPOSITS_LESS_THAN_100K_TWELVE_MONTHS_FDIC" hidden="1">"c6462"</definedName>
    <definedName name="IQ_DEPOSITS_MORE_THAN_100K_AFTER_THREE_YEARS_FDIC" hidden="1">"c6469"</definedName>
    <definedName name="IQ_DEPOSITS_MORE_THAN_100K_THREE_MONTHS_FDIC" hidden="1">"c6466"</definedName>
    <definedName name="IQ_DEPOSITS_MORE_THAN_100K_THREE_YEARS_FDIC" hidden="1">"c6468"</definedName>
    <definedName name="IQ_DEPOSITS_MORE_THAN_100K_TWELVE_MONTHS_FDIC" hidden="1">"c6467"</definedName>
    <definedName name="IQ_DEPRE_AMORT" hidden="1">"c1360"</definedName>
    <definedName name="IQ_DEPRE_AMORT_SUPPL" hidden="1">"c1593"</definedName>
    <definedName name="IQ_DEPRE_DEPLE" hidden="1">"c1361"</definedName>
    <definedName name="IQ_DEPRE_SUPP" hidden="1">"c1443"</definedName>
    <definedName name="IQ_DERIVATIVES_FDIC" hidden="1">"c6523"</definedName>
    <definedName name="IQ_DESCRIPTION_LONG" hidden="1">"c1520"</definedName>
    <definedName name="IQ_DEVELOP_LAND" hidden="1">"c323"</definedName>
    <definedName name="IQ_DIFF_LASTCLOSE_TARGET_PRICE" hidden="1">"c1854"</definedName>
    <definedName name="IQ_DILUT_ADJUST" hidden="1">"c1621"</definedName>
    <definedName name="IQ_DILUT_EPS_EXCL" hidden="1">"c324"</definedName>
    <definedName name="IQ_DILUT_EPS_INCL" hidden="1">"c325"</definedName>
    <definedName name="IQ_DILUT_EPS_NORM" hidden="1">"c1903"</definedName>
    <definedName name="IQ_DILUT_NI" hidden="1">"c2079"</definedName>
    <definedName name="IQ_DILUT_NORMAL_EPS" hidden="1">"c1594"</definedName>
    <definedName name="IQ_DILUT_WEIGHT" hidden="1">"c326"</definedName>
    <definedName name="IQ_DIRECT_AH_EARNED" hidden="1">"c2740"</definedName>
    <definedName name="IQ_DIRECT_EARNED" hidden="1">"c2730"</definedName>
    <definedName name="IQ_DIRECT_LIFE_EARNED" hidden="1">"c2735"</definedName>
    <definedName name="IQ_DIRECT_LIFE_IN_FORCE" hidden="1">"c2765"</definedName>
    <definedName name="IQ_DIRECT_PC_EARNED" hidden="1">"c2745"</definedName>
    <definedName name="IQ_DIRECT_WRITTEN" hidden="1">"c2724"</definedName>
    <definedName name="IQ_DISCONT_OPER" hidden="1">"c1367"</definedName>
    <definedName name="IQ_DISCOUNT_RATE_PENSION_DOMESTIC" hidden="1">"c327"</definedName>
    <definedName name="IQ_DISCOUNT_RATE_PENSION_FOREIGN" hidden="1">"c328"</definedName>
    <definedName name="IQ_DISPOSABLE_PERSONAL_INC" hidden="1">"c6850"</definedName>
    <definedName name="IQ_DISPOSABLE_PERSONAL_INC_APR" hidden="1">"c7510"</definedName>
    <definedName name="IQ_DISPOSABLE_PERSONAL_INC_APR_FC" hidden="1">"c8390"</definedName>
    <definedName name="IQ_DISPOSABLE_PERSONAL_INC_FC" hidden="1">"c7730"</definedName>
    <definedName name="IQ_DISPOSABLE_PERSONAL_INC_POP" hidden="1">"c7070"</definedName>
    <definedName name="IQ_DISPOSABLE_PERSONAL_INC_POP_FC" hidden="1">"c7950"</definedName>
    <definedName name="IQ_DISPOSABLE_PERSONAL_INC_REAL" hidden="1">"c11922"</definedName>
    <definedName name="IQ_DISPOSABLE_PERSONAL_INC_REAL_APR" hidden="1">"c11925"</definedName>
    <definedName name="IQ_DISPOSABLE_PERSONAL_INC_REAL_POP" hidden="1">"c11923"</definedName>
    <definedName name="IQ_DISPOSABLE_PERSONAL_INC_REAL_YOY" hidden="1">"c11924"</definedName>
    <definedName name="IQ_DISPOSABLE_PERSONAL_INC_SAAR" hidden="1">"c6851"</definedName>
    <definedName name="IQ_DISPOSABLE_PERSONAL_INC_SAAR_APR" hidden="1">"c7511"</definedName>
    <definedName name="IQ_DISPOSABLE_PERSONAL_INC_SAAR_APR_FC" hidden="1">"c8391"</definedName>
    <definedName name="IQ_DISPOSABLE_PERSONAL_INC_SAAR_FC" hidden="1">"c7731"</definedName>
    <definedName name="IQ_DISPOSABLE_PERSONAL_INC_SAAR_POP" hidden="1">"c7071"</definedName>
    <definedName name="IQ_DISPOSABLE_PERSONAL_INC_SAAR_POP_FC" hidden="1">"c7951"</definedName>
    <definedName name="IQ_DISPOSABLE_PERSONAL_INC_SAAR_USD_APR_FC" hidden="1">"c11805"</definedName>
    <definedName name="IQ_DISPOSABLE_PERSONAL_INC_SAAR_USD_FC" hidden="1">"c11802"</definedName>
    <definedName name="IQ_DISPOSABLE_PERSONAL_INC_SAAR_USD_POP_FC" hidden="1">"c11803"</definedName>
    <definedName name="IQ_DISPOSABLE_PERSONAL_INC_SAAR_USD_YOY_FC" hidden="1">"c11804"</definedName>
    <definedName name="IQ_DISPOSABLE_PERSONAL_INC_SAAR_YOY" hidden="1">"c7291"</definedName>
    <definedName name="IQ_DISPOSABLE_PERSONAL_INC_SAAR_YOY_FC" hidden="1">"c8171"</definedName>
    <definedName name="IQ_DISPOSABLE_PERSONAL_INC_USD_APR_FC" hidden="1">"c11801"</definedName>
    <definedName name="IQ_DISPOSABLE_PERSONAL_INC_USD_FC" hidden="1">"c11798"</definedName>
    <definedName name="IQ_DISPOSABLE_PERSONAL_INC_USD_POP_FC" hidden="1">"c11799"</definedName>
    <definedName name="IQ_DISPOSABLE_PERSONAL_INC_USD_YOY_FC" hidden="1">"c11800"</definedName>
    <definedName name="IQ_DISPOSABLE_PERSONAL_INC_YOY" hidden="1">"c7290"</definedName>
    <definedName name="IQ_DISPOSABLE_PERSONAL_INC_YOY_FC" hidden="1">"c8170"</definedName>
    <definedName name="IQ_DISTR_EXCESS_EARN" hidden="1">"c329"</definedName>
    <definedName name="IQ_DISTRIBUTABLE_CASH" hidden="1">"c3002"</definedName>
    <definedName name="IQ_DISTRIBUTABLE_CASH_ACT_OR_EST" hidden="1">"c4278"</definedName>
    <definedName name="IQ_DISTRIBUTABLE_CASH_ACT_OR_EST_CIQ" hidden="1">"c4803"</definedName>
    <definedName name="IQ_DISTRIBUTABLE_CASH_PAYOUT" hidden="1">"c3005"</definedName>
    <definedName name="IQ_DISTRIBUTABLE_CASH_SHARE" hidden="1">"c3003"</definedName>
    <definedName name="IQ_DISTRIBUTABLE_CASH_SHARE_ACT_OR_EST" hidden="1">"c4286"</definedName>
    <definedName name="IQ_DISTRIBUTABLE_CASH_SHARE_ACT_OR_EST_CIQ" hidden="1">"c4811"</definedName>
    <definedName name="IQ_DIV_AMOUNT" hidden="1">"c3041"</definedName>
    <definedName name="IQ_DIV_PAYMENT_DATE" hidden="1">"c2205"</definedName>
    <definedName name="IQ_DIV_RECORD_DATE" hidden="1">"c2204"</definedName>
    <definedName name="IQ_DIV_SHARE" hidden="1">"c330"</definedName>
    <definedName name="IQ_DIVEST_CF" hidden="1">"c331"</definedName>
    <definedName name="IQ_DIVID_SHARE" hidden="1">"c1366"</definedName>
    <definedName name="IQ_DIVIDEND_YIELD" hidden="1">"c332"</definedName>
    <definedName name="IQ_DIVIDENDS_DECLARED_COMMON_FDIC" hidden="1">"c6659"</definedName>
    <definedName name="IQ_DIVIDENDS_DECLARED_PREFERRED_FDIC" hidden="1">"c6658"</definedName>
    <definedName name="IQ_DIVIDENDS_FDIC" hidden="1">"c6660"</definedName>
    <definedName name="IQ_DIVIDENDS_PAID_DECLARED_PERIOD_COVERED" hidden="1">"c9960"</definedName>
    <definedName name="IQ_DIVIDENDS_PAID_DECLARED_PERIOD_GROUP" hidden="1">"c9946"</definedName>
    <definedName name="IQ_DNB_OTHER_EXP_INC_TAX_US" hidden="1">"c6787"</definedName>
    <definedName name="IQ_DO" hidden="1">"c333"</definedName>
    <definedName name="IQ_DO_ASSETS_CURRENT" hidden="1">"c334"</definedName>
    <definedName name="IQ_DO_ASSETS_LT" hidden="1">"c335"</definedName>
    <definedName name="IQ_DO_CF" hidden="1">"c336"</definedName>
    <definedName name="IQ_DOC_CLAUSE" hidden="1">"c6032"</definedName>
    <definedName name="IQ_DPAC_ACC" hidden="1">"c2799"</definedName>
    <definedName name="IQ_DPAC_AMORT" hidden="1">"c2795"</definedName>
    <definedName name="IQ_DPAC_BEG" hidden="1">"c2791"</definedName>
    <definedName name="IQ_DPAC_COMMISSIONS" hidden="1">"c2792"</definedName>
    <definedName name="IQ_DPAC_END" hidden="1">"c2801"</definedName>
    <definedName name="IQ_DPAC_FX" hidden="1">"c2798"</definedName>
    <definedName name="IQ_DPAC_OTHER_ADJ" hidden="1">"c2800"</definedName>
    <definedName name="IQ_DPAC_OTHERS" hidden="1">"c2793"</definedName>
    <definedName name="IQ_DPAC_PERIOD" hidden="1">"c2794"</definedName>
    <definedName name="IQ_DPAC_REAL_GAIN" hidden="1">"c2797"</definedName>
    <definedName name="IQ_DPAC_UNREAL_GAIN" hidden="1">"c2796"</definedName>
    <definedName name="IQ_DPS_10YR_ANN_CAGR" hidden="1">"c6065"</definedName>
    <definedName name="IQ_DPS_10YR_ANN_GROWTH" hidden="1">"c337"</definedName>
    <definedName name="IQ_DPS_1YR_ANN_GROWTH" hidden="1">"c338"</definedName>
    <definedName name="IQ_DPS_2YR_ANN_CAGR" hidden="1">"c6066"</definedName>
    <definedName name="IQ_DPS_2YR_ANN_GROWTH" hidden="1">"c339"</definedName>
    <definedName name="IQ_DPS_3YR_ANN_CAGR" hidden="1">"c6067"</definedName>
    <definedName name="IQ_DPS_3YR_ANN_GROWTH" hidden="1">"c340"</definedName>
    <definedName name="IQ_DPS_5YR_ANN_CAGR" hidden="1">"c6068"</definedName>
    <definedName name="IQ_DPS_5YR_ANN_GROWTH" hidden="1">"c341"</definedName>
    <definedName name="IQ_DPS_7YR_ANN_CAGR" hidden="1">"c6069"</definedName>
    <definedName name="IQ_DPS_7YR_ANN_GROWTH" hidden="1">"c342"</definedName>
    <definedName name="IQ_DURABLE_INVENTORIES" hidden="1">"c6853"</definedName>
    <definedName name="IQ_DURABLE_INVENTORIES_APR" hidden="1">"c7513"</definedName>
    <definedName name="IQ_DURABLE_INVENTORIES_APR_FC" hidden="1">"c8393"</definedName>
    <definedName name="IQ_DURABLE_INVENTORIES_FC" hidden="1">"c7733"</definedName>
    <definedName name="IQ_DURABLE_INVENTORIES_POP" hidden="1">"c7073"</definedName>
    <definedName name="IQ_DURABLE_INVENTORIES_POP_FC" hidden="1">"c7953"</definedName>
    <definedName name="IQ_DURABLE_INVENTORIES_YOY" hidden="1">"c7293"</definedName>
    <definedName name="IQ_DURABLE_INVENTORIES_YOY_FC" hidden="1">"c8173"</definedName>
    <definedName name="IQ_DURABLE_ORDERS" hidden="1">"c6854"</definedName>
    <definedName name="IQ_DURABLE_ORDERS_APR" hidden="1">"c7514"</definedName>
    <definedName name="IQ_DURABLE_ORDERS_APR_FC" hidden="1">"c8394"</definedName>
    <definedName name="IQ_DURABLE_ORDERS_FC" hidden="1">"c7734"</definedName>
    <definedName name="IQ_DURABLE_ORDERS_POP" hidden="1">"c7074"</definedName>
    <definedName name="IQ_DURABLE_ORDERS_POP_FC" hidden="1">"c7954"</definedName>
    <definedName name="IQ_DURABLE_ORDERS_YOY" hidden="1">"c7294"</definedName>
    <definedName name="IQ_DURABLE_ORDERS_YOY_FC" hidden="1">"c8174"</definedName>
    <definedName name="IQ_DURABLE_SHIPMENTS" hidden="1">"c6855"</definedName>
    <definedName name="IQ_DURABLE_SHIPMENTS_APR" hidden="1">"c7515"</definedName>
    <definedName name="IQ_DURABLE_SHIPMENTS_APR_FC" hidden="1">"c8395"</definedName>
    <definedName name="IQ_DURABLE_SHIPMENTS_FC" hidden="1">"c7735"</definedName>
    <definedName name="IQ_DURABLE_SHIPMENTS_POP" hidden="1">"c7075"</definedName>
    <definedName name="IQ_DURABLE_SHIPMENTS_POP_FC" hidden="1">"c7955"</definedName>
    <definedName name="IQ_DURABLE_SHIPMENTS_YOY" hidden="1">"c7295"</definedName>
    <definedName name="IQ_DURABLE_SHIPMENTS_YOY_FC" hidden="1">"c8175"</definedName>
    <definedName name="IQ_DURATION" hidden="1">"c2181"</definedName>
    <definedName name="IQ_EARNING_ASSET_YIELD" hidden="1">"c343"</definedName>
    <definedName name="IQ_EARNING_ASSETS_FDIC" hidden="1">"c6360"</definedName>
    <definedName name="IQ_EARNING_ASSETS_YIELD_FDIC" hidden="1">"c6724"</definedName>
    <definedName name="IQ_EARNING_CO" hidden="1">"c344"</definedName>
    <definedName name="IQ_EARNING_CO_10YR_ANN_CAGR" hidden="1">"c6070"</definedName>
    <definedName name="IQ_EARNING_CO_10YR_ANN_GROWTH" hidden="1">"c345"</definedName>
    <definedName name="IQ_EARNING_CO_1YR_ANN_GROWTH" hidden="1">"c346"</definedName>
    <definedName name="IQ_EARNING_CO_2YR_ANN_CAGR" hidden="1">"c6071"</definedName>
    <definedName name="IQ_EARNING_CO_2YR_ANN_GROWTH" hidden="1">"c347"</definedName>
    <definedName name="IQ_EARNING_CO_3YR_ANN_CAGR" hidden="1">"c6072"</definedName>
    <definedName name="IQ_EARNING_CO_3YR_ANN_GROWTH" hidden="1">"c348"</definedName>
    <definedName name="IQ_EARNING_CO_5YR_ANN_CAGR" hidden="1">"c6073"</definedName>
    <definedName name="IQ_EARNING_CO_5YR_ANN_GROWTH" hidden="1">"c349"</definedName>
    <definedName name="IQ_EARNING_CO_7YR_ANN_CAGR" hidden="1">"c6074"</definedName>
    <definedName name="IQ_EARNING_CO_7YR_ANN_GROWTH" hidden="1">"c350"</definedName>
    <definedName name="IQ_EARNING_CO_MARGIN" hidden="1">"c351"</definedName>
    <definedName name="IQ_EARNINGS_ANNOUNCE_DATE" hidden="1">"c1649"</definedName>
    <definedName name="IQ_EARNINGS_ANNOUNCE_DATE_CIQ" hidden="1">"c4656"</definedName>
    <definedName name="IQ_EARNINGS_ANNOUNCE_DATE_REUT" hidden="1">"c5314"</definedName>
    <definedName name="IQ_EARNINGS_COVERAGE_NET_CHARGE_OFFS_FDIC" hidden="1">"c6735"</definedName>
    <definedName name="IQ_EARNINGS_PERIOD_COVERED" hidden="1">"c9958"</definedName>
    <definedName name="IQ_EARNINGS_PERIOD_GROUP" hidden="1">"c9944"</definedName>
    <definedName name="IQ_EBIT" hidden="1">"c352"</definedName>
    <definedName name="IQ_EBIT_10YR_ANN_CAGR" hidden="1">"c6075"</definedName>
    <definedName name="IQ_EBIT_10YR_ANN_GROWTH" hidden="1">"c353"</definedName>
    <definedName name="IQ_EBIT_1YR_ANN_GROWTH" hidden="1">"c354"</definedName>
    <definedName name="IQ_EBIT_2YR_ANN_CAGR" hidden="1">"c6076"</definedName>
    <definedName name="IQ_EBIT_2YR_ANN_GROWTH" hidden="1">"c355"</definedName>
    <definedName name="IQ_EBIT_3YR_ANN_CAGR" hidden="1">"c6077"</definedName>
    <definedName name="IQ_EBIT_3YR_ANN_GROWTH" hidden="1">"c356"</definedName>
    <definedName name="IQ_EBIT_5YR_ANN_CAGR" hidden="1">"c6078"</definedName>
    <definedName name="IQ_EBIT_5YR_ANN_GROWTH" hidden="1">"c357"</definedName>
    <definedName name="IQ_EBIT_7YR_ANN_CAGR" hidden="1">"c6079"</definedName>
    <definedName name="IQ_EBIT_7YR_ANN_GROWTH" hidden="1">"c358"</definedName>
    <definedName name="IQ_EBIT_EQ_INC" hidden="1">"c3498"</definedName>
    <definedName name="IQ_EBIT_EQ_INC_EXCL_SBC" hidden="1">"c3502"</definedName>
    <definedName name="IQ_EBIT_EXCL_SBC" hidden="1">"c3082"</definedName>
    <definedName name="IQ_EBIT_GW_ACT_OR_EST" hidden="1">"c4306"</definedName>
    <definedName name="IQ_EBIT_INT" hidden="1">"c360"</definedName>
    <definedName name="IQ_EBIT_MARGIN" hidden="1">"c359"</definedName>
    <definedName name="IQ_EBIT_OVER_IE" hidden="1">"c1369"</definedName>
    <definedName name="IQ_EBIT_SBC_ACT_OR_EST" hidden="1">"c4316"</definedName>
    <definedName name="IQ_EBIT_SBC_ACT_OR_EST_CIQ" hidden="1">"c4841"</definedName>
    <definedName name="IQ_EBIT_SBC_GW_ACT_OR_EST" hidden="1">"c4320"</definedName>
    <definedName name="IQ_EBIT_SBC_GW_ACT_OR_EST_CIQ" hidden="1">"c4845"</definedName>
    <definedName name="IQ_EBITA" hidden="1">"c1910"</definedName>
    <definedName name="IQ_EBITA_10YR_ANN_CAGR" hidden="1">"c6184"</definedName>
    <definedName name="IQ_EBITA_10YR_ANN_GROWTH" hidden="1">"c1954"</definedName>
    <definedName name="IQ_EBITA_1YR_ANN_GROWTH" hidden="1">"c1949"</definedName>
    <definedName name="IQ_EBITA_2YR_ANN_CAGR" hidden="1">"c6180"</definedName>
    <definedName name="IQ_EBITA_2YR_ANN_GROWTH" hidden="1">"c1950"</definedName>
    <definedName name="IQ_EBITA_3YR_ANN_CAGR" hidden="1">"c6181"</definedName>
    <definedName name="IQ_EBITA_3YR_ANN_GROWTH" hidden="1">"c1951"</definedName>
    <definedName name="IQ_EBITA_5YR_ANN_CAGR" hidden="1">"c6182"</definedName>
    <definedName name="IQ_EBITA_5YR_ANN_GROWTH" hidden="1">"c1952"</definedName>
    <definedName name="IQ_EBITA_7YR_ANN_CAGR" hidden="1">"c6183"</definedName>
    <definedName name="IQ_EBITA_7YR_ANN_GROWTH" hidden="1">"c1953"</definedName>
    <definedName name="IQ_EBITA_EQ_INC" hidden="1">"c3497"</definedName>
    <definedName name="IQ_EBITA_EQ_INC_EXCL_SBC" hidden="1">"c3501"</definedName>
    <definedName name="IQ_EBITA_EXCL_SBC" hidden="1">"c3080"</definedName>
    <definedName name="IQ_EBITA_MARGIN" hidden="1">"c1963"</definedName>
    <definedName name="IQ_EBITDA" hidden="1">"c361"</definedName>
    <definedName name="IQ_EBITDA_10YR_ANN_CAGR" hidden="1">"c6080"</definedName>
    <definedName name="IQ_EBITDA_10YR_ANN_GROWTH" hidden="1">"c362"</definedName>
    <definedName name="IQ_EBITDA_1YR_ANN_GROWTH" hidden="1">"c363"</definedName>
    <definedName name="IQ_EBITDA_2YR_ANN_CAGR" hidden="1">"c6081"</definedName>
    <definedName name="IQ_EBITDA_2YR_ANN_GROWTH" hidden="1">"c364"</definedName>
    <definedName name="IQ_EBITDA_3YR_ANN_CAGR" hidden="1">"c6082"</definedName>
    <definedName name="IQ_EBITDA_3YR_ANN_GROWTH" hidden="1">"c365"</definedName>
    <definedName name="IQ_EBITDA_5YR_ANN_CAGR" hidden="1">"c6083"</definedName>
    <definedName name="IQ_EBITDA_5YR_ANN_GROWTH" hidden="1">"c366"</definedName>
    <definedName name="IQ_EBITDA_7YR_ANN_CAGR" hidden="1">"c6084"</definedName>
    <definedName name="IQ_EBITDA_7YR_ANN_GROWTH" hidden="1">"c367"</definedName>
    <definedName name="IQ_EBITDA_ACT_OR_EST_CIQ" hidden="1">"c5060"</definedName>
    <definedName name="IQ_EBITDA_CAPEX_INT" hidden="1">"c368"</definedName>
    <definedName name="IQ_EBITDA_CAPEX_OVER_TOTAL_IE" hidden="1">"c1370"</definedName>
    <definedName name="IQ_EBITDA_EQ_INC" hidden="1">"c3496"</definedName>
    <definedName name="IQ_EBITDA_EQ_INC_EXCL_SBC" hidden="1">"c3500"</definedName>
    <definedName name="IQ_EBITDA_EST" hidden="1">"c369"</definedName>
    <definedName name="IQ_EBITDA_EST_CIQ" hidden="1">"c3622"</definedName>
    <definedName name="IQ_EBITDA_EST_REUT" hidden="1">"c3640"</definedName>
    <definedName name="IQ_EBITDA_EXCL_SBC" hidden="1">"c3081"</definedName>
    <definedName name="IQ_EBITDA_HIGH_EST" hidden="1">"c370"</definedName>
    <definedName name="IQ_EBITDA_HIGH_EST_CIQ" hidden="1">"c3624"</definedName>
    <definedName name="IQ_EBITDA_HIGH_EST_REUT" hidden="1">"c3642"</definedName>
    <definedName name="IQ_EBITDA_INT" hidden="1">"c373"</definedName>
    <definedName name="IQ_EBITDA_LOW_EST" hidden="1">"c371"</definedName>
    <definedName name="IQ_EBITDA_LOW_EST_CIQ" hidden="1">"c3625"</definedName>
    <definedName name="IQ_EBITDA_LOW_EST_REUT" hidden="1">"c3643"</definedName>
    <definedName name="IQ_EBITDA_MARGIN" hidden="1">"c372"</definedName>
    <definedName name="IQ_EBITDA_MEDIAN_EST" hidden="1">"c1663"</definedName>
    <definedName name="IQ_EBITDA_MEDIAN_EST_CIQ" hidden="1">"c3623"</definedName>
    <definedName name="IQ_EBITDA_MEDIAN_EST_REUT" hidden="1">"c3641"</definedName>
    <definedName name="IQ_EBITDA_NUM_EST" hidden="1">"c374"</definedName>
    <definedName name="IQ_EBITDA_NUM_EST_CIQ" hidden="1">"c3626"</definedName>
    <definedName name="IQ_EBITDA_NUM_EST_REUT" hidden="1">"c3644"</definedName>
    <definedName name="IQ_EBITDA_OVER_TOTAL_IE" hidden="1">"c1371"</definedName>
    <definedName name="IQ_EBITDA_SBC_ACT_OR_EST" hidden="1">"c4337"</definedName>
    <definedName name="IQ_EBITDA_SBC_ACT_OR_EST_CIQ" hidden="1">"c4862"</definedName>
    <definedName name="IQ_EBITDA_STDDEV_EST" hidden="1">"c375"</definedName>
    <definedName name="IQ_EBITDA_STDDEV_EST_CIQ" hidden="1">"c3627"</definedName>
    <definedName name="IQ_EBITDA_STDDEV_EST_REUT" hidden="1">"c3645"</definedName>
    <definedName name="IQ_EBITDAR" hidden="1">"c2989"</definedName>
    <definedName name="IQ_EBITDAR_EQ_INC" hidden="1">"c3499"</definedName>
    <definedName name="IQ_EBITDAR_EQ_INC_EXCL_SBC" hidden="1">"c3503"</definedName>
    <definedName name="IQ_EBITDAR_EXCL_SBC" hidden="1">"c3083"</definedName>
    <definedName name="IQ_EBT" hidden="1">"c376"</definedName>
    <definedName name="IQ_EBT_BNK" hidden="1">"c377"</definedName>
    <definedName name="IQ_EBT_BR" hidden="1">"c378"</definedName>
    <definedName name="IQ_EBT_EXCL" hidden="1">"c379"</definedName>
    <definedName name="IQ_EBT_EXCL_BNK" hidden="1">"c380"</definedName>
    <definedName name="IQ_EBT_EXCL_BR" hidden="1">"c381"</definedName>
    <definedName name="IQ_EBT_EXCL_FIN" hidden="1">"c382"</definedName>
    <definedName name="IQ_EBT_EXCL_INS" hidden="1">"c383"</definedName>
    <definedName name="IQ_EBT_EXCL_MARGIN" hidden="1">"c1462"</definedName>
    <definedName name="IQ_EBT_EXCL_RE" hidden="1">"c6214"</definedName>
    <definedName name="IQ_EBT_EXCL_REIT" hidden="1">"c384"</definedName>
    <definedName name="IQ_EBT_EXCL_UTI" hidden="1">"c385"</definedName>
    <definedName name="IQ_EBT_FIN" hidden="1">"c386"</definedName>
    <definedName name="IQ_EBT_INCL_MARGIN" hidden="1">"c387"</definedName>
    <definedName name="IQ_EBT_INS" hidden="1">"c388"</definedName>
    <definedName name="IQ_EBT_RE" hidden="1">"c6215"</definedName>
    <definedName name="IQ_EBT_REIT" hidden="1">"c389"</definedName>
    <definedName name="IQ_EBT_SBC_ACT_OR_EST" hidden="1">"c4350"</definedName>
    <definedName name="IQ_EBT_SBC_ACT_OR_EST_CIQ" hidden="1">"c4875"</definedName>
    <definedName name="IQ_EBT_SBC_GW_ACT_OR_EST" hidden="1">"c4354"</definedName>
    <definedName name="IQ_EBT_SBC_GW_ACT_OR_EST_CIQ" hidden="1">"c4879"</definedName>
    <definedName name="IQ_EBT_SUBTOTAL_AP" hidden="1">"c8982"</definedName>
    <definedName name="IQ_EBT_UTI" hidden="1">"c390"</definedName>
    <definedName name="IQ_ECO_METRIC_6825_UNUSED_UNUSED_UNUSED" hidden="1">"c6825"</definedName>
    <definedName name="IQ_ECO_METRIC_6839_UNUSED_UNUSED_UNUSED" hidden="1">"c6839"</definedName>
    <definedName name="IQ_ECO_METRIC_6896_UNUSED_UNUSED_UNUSED" hidden="1">"c6896"</definedName>
    <definedName name="IQ_ECO_METRIC_6897_UNUSED_UNUSED_UNUSED" hidden="1">"c6897"</definedName>
    <definedName name="IQ_ECO_METRIC_6927" hidden="1">"c6927"</definedName>
    <definedName name="IQ_ECO_METRIC_6988_UNUSED_UNUSED_UNUSED" hidden="1">"c6988"</definedName>
    <definedName name="IQ_ECO_METRIC_7045_UNUSED_UNUSED_UNUSED" hidden="1">"c7045"</definedName>
    <definedName name="IQ_ECO_METRIC_7059_UNUSED_UNUSED_UNUSED" hidden="1">"c7059"</definedName>
    <definedName name="IQ_ECO_METRIC_7116_UNUSED_UNUSED_UNUSED" hidden="1">"c7116"</definedName>
    <definedName name="IQ_ECO_METRIC_7117_UNUSED_UNUSED_UNUSED" hidden="1">"c7117"</definedName>
    <definedName name="IQ_ECO_METRIC_7147" hidden="1">"c7147"</definedName>
    <definedName name="IQ_ECO_METRIC_7208_UNUSED_UNUSED_UNUSED" hidden="1">"c7208"</definedName>
    <definedName name="IQ_ECO_METRIC_7265_UNUSED_UNUSED_UNUSED" hidden="1">"c7265"</definedName>
    <definedName name="IQ_ECO_METRIC_7279_UNUSED_UNUSED_UNUSED" hidden="1">"c7279"</definedName>
    <definedName name="IQ_ECO_METRIC_7336_UNUSED_UNUSED_UNUSED" hidden="1">"c7336"</definedName>
    <definedName name="IQ_ECO_METRIC_7337_UNUSED_UNUSED_UNUSED" hidden="1">"c7337"</definedName>
    <definedName name="IQ_ECO_METRIC_7367" hidden="1">"c7367"</definedName>
    <definedName name="IQ_ECO_METRIC_7428_UNUSED_UNUSED_UNUSED" hidden="1">"c7428"</definedName>
    <definedName name="IQ_ECO_METRIC_7556_UNUSED_UNUSED_UNUSED" hidden="1">"c7556"</definedName>
    <definedName name="IQ_ECO_METRIC_7557_UNUSED_UNUSED_UNUSED" hidden="1">"c7557"</definedName>
    <definedName name="IQ_ECO_METRIC_7587" hidden="1">"c7587"</definedName>
    <definedName name="IQ_ECO_METRIC_7648_UNUSED_UNUSED_UNUSED" hidden="1">"c7648"</definedName>
    <definedName name="IQ_ECO_METRIC_7704" hidden="1">"c7704"</definedName>
    <definedName name="IQ_ECO_METRIC_7705_UNUSED_UNUSED_UNUSED" hidden="1">"c7705"</definedName>
    <definedName name="IQ_ECO_METRIC_7706" hidden="1">"c7706"</definedName>
    <definedName name="IQ_ECO_METRIC_7718" hidden="1">"c7718"</definedName>
    <definedName name="IQ_ECO_METRIC_7719_UNUSED_UNUSED_UNUSED" hidden="1">"c7719"</definedName>
    <definedName name="IQ_ECO_METRIC_7776_UNUSED_UNUSED_UNUSED" hidden="1">"c7776"</definedName>
    <definedName name="IQ_ECO_METRIC_7777_UNUSED_UNUSED_UNUSED" hidden="1">"c7777"</definedName>
    <definedName name="IQ_ECO_METRIC_7807" hidden="1">"c7807"</definedName>
    <definedName name="IQ_ECO_METRIC_7811" hidden="1">"c7811"</definedName>
    <definedName name="IQ_ECO_METRIC_7868_UNUSED_UNUSED_UNUSED" hidden="1">"c7868"</definedName>
    <definedName name="IQ_ECO_METRIC_7873" hidden="1">"c7873"</definedName>
    <definedName name="IQ_ECO_METRIC_7924" hidden="1">"c7924"</definedName>
    <definedName name="IQ_ECO_METRIC_7925_UNUSED_UNUSED_UNUSED" hidden="1">"c7925"</definedName>
    <definedName name="IQ_ECO_METRIC_7926" hidden="1">"c7926"</definedName>
    <definedName name="IQ_ECO_METRIC_7938" hidden="1">"c7938"</definedName>
    <definedName name="IQ_ECO_METRIC_7939_UNUSED_UNUSED_UNUSED" hidden="1">"c7939"</definedName>
    <definedName name="IQ_ECO_METRIC_7996_UNUSED_UNUSED_UNUSED" hidden="1">"c7996"</definedName>
    <definedName name="IQ_ECO_METRIC_7997_UNUSED_UNUSED_UNUSED" hidden="1">"c7997"</definedName>
    <definedName name="IQ_ECO_METRIC_8027" hidden="1">"c8027"</definedName>
    <definedName name="IQ_ECO_METRIC_8031" hidden="1">"c8031"</definedName>
    <definedName name="IQ_ECO_METRIC_8088_UNUSED_UNUSED_UNUSED" hidden="1">"c8088"</definedName>
    <definedName name="IQ_ECO_METRIC_8093" hidden="1">"c8093"</definedName>
    <definedName name="IQ_ECO_METRIC_8144" hidden="1">"c8144"</definedName>
    <definedName name="IQ_ECO_METRIC_8145_UNUSED_UNUSED_UNUSED" hidden="1">"c8145"</definedName>
    <definedName name="IQ_ECO_METRIC_8146" hidden="1">"c8146"</definedName>
    <definedName name="IQ_ECO_METRIC_8158" hidden="1">"c8158"</definedName>
    <definedName name="IQ_ECO_METRIC_8159_UNUSED_UNUSED_UNUSED" hidden="1">"c8159"</definedName>
    <definedName name="IQ_ECO_METRIC_8216_UNUSED_UNUSED_UNUSED" hidden="1">"c8216"</definedName>
    <definedName name="IQ_ECO_METRIC_8217_UNUSED_UNUSED_UNUSED" hidden="1">"c8217"</definedName>
    <definedName name="IQ_ECO_METRIC_8247" hidden="1">"c8247"</definedName>
    <definedName name="IQ_ECO_METRIC_8251" hidden="1">"c8251"</definedName>
    <definedName name="IQ_ECO_METRIC_8308_UNUSED_UNUSED_UNUSED" hidden="1">"c8308"</definedName>
    <definedName name="IQ_ECO_METRIC_8313" hidden="1">"c8313"</definedName>
    <definedName name="IQ_ECO_METRIC_8366" hidden="1">"c8366"</definedName>
    <definedName name="IQ_ECO_METRIC_8378" hidden="1">"c8378"</definedName>
    <definedName name="IQ_ECO_METRIC_8436_UNUSED_UNUSED_UNUSED" hidden="1">"c8436"</definedName>
    <definedName name="IQ_ECO_METRIC_8437_UNUSED_UNUSED_UNUSED" hidden="1">"c8437"</definedName>
    <definedName name="IQ_ECO_METRIC_8467" hidden="1">"c8467"</definedName>
    <definedName name="IQ_ECO_METRIC_8471" hidden="1">"c8471"</definedName>
    <definedName name="IQ_ECO_METRIC_8528_UNUSED_UNUSED_UNUSED" hidden="1">"c8528"</definedName>
    <definedName name="IQ_ECO_METRIC_8533" hidden="1">"c8533"</definedName>
    <definedName name="IQ_ECS_AUTHORIZED_SHARES" hidden="1">"c5583"</definedName>
    <definedName name="IQ_ECS_AUTHORIZED_SHARES_ABS" hidden="1">"c5597"</definedName>
    <definedName name="IQ_ECS_CONVERT_FACTOR" hidden="1">"c5581"</definedName>
    <definedName name="IQ_ECS_CONVERT_FACTOR_ABS" hidden="1">"c5595"</definedName>
    <definedName name="IQ_ECS_CONVERT_INTO" hidden="1">"c5580"</definedName>
    <definedName name="IQ_ECS_CONVERT_INTO_ABS" hidden="1">"c5594"</definedName>
    <definedName name="IQ_ECS_CONVERT_TYPE" hidden="1">"c5579"</definedName>
    <definedName name="IQ_ECS_CONVERT_TYPE_ABS" hidden="1">"c5593"</definedName>
    <definedName name="IQ_ECS_INACTIVE_DATE" hidden="1">"c5576"</definedName>
    <definedName name="IQ_ECS_INACTIVE_DATE_ABS" hidden="1">"c5590"</definedName>
    <definedName name="IQ_ECS_NAME" hidden="1">"c5571"</definedName>
    <definedName name="IQ_ECS_NAME_ABS" hidden="1">"c5585"</definedName>
    <definedName name="IQ_ECS_NUM_SHAREHOLDERS" hidden="1">"c5584"</definedName>
    <definedName name="IQ_ECS_NUM_SHAREHOLDERS_ABS" hidden="1">"c5598"</definedName>
    <definedName name="IQ_ECS_PAR_VALUE" hidden="1">"c5577"</definedName>
    <definedName name="IQ_ECS_PAR_VALUE_ABS" hidden="1">"c5591"</definedName>
    <definedName name="IQ_ECS_PAR_VALUE_CURRENCY" hidden="1">"c5578"</definedName>
    <definedName name="IQ_ECS_PAR_VALUE_CURRENCY_ABS" hidden="1">"c5592"</definedName>
    <definedName name="IQ_ECS_SHARES_OUT_BS_DATE" hidden="1">"c5572"</definedName>
    <definedName name="IQ_ECS_SHARES_OUT_BS_DATE_ABS" hidden="1">"c5586"</definedName>
    <definedName name="IQ_ECS_SHARES_OUT_FILING_DATE" hidden="1">"c5573"</definedName>
    <definedName name="IQ_ECS_SHARES_OUT_FILING_DATE_ABS" hidden="1">"c5587"</definedName>
    <definedName name="IQ_ECS_START_DATE" hidden="1">"c5575"</definedName>
    <definedName name="IQ_ECS_START_DATE_ABS" hidden="1">"c5589"</definedName>
    <definedName name="IQ_ECS_TYPE" hidden="1">"c5574"</definedName>
    <definedName name="IQ_ECS_TYPE_ABS" hidden="1">"c5588"</definedName>
    <definedName name="IQ_ECS_VOTING" hidden="1">"c5582"</definedName>
    <definedName name="IQ_ECS_VOTING_ABS" hidden="1">"c5596"</definedName>
    <definedName name="IQ_EFFECT_SPECIAL_CHARGE" hidden="1">"c1595"</definedName>
    <definedName name="IQ_EFFECT_TAX_RATE" hidden="1">"c1899"</definedName>
    <definedName name="IQ_EFFECTIVE_DATE" hidden="1">"c8966"</definedName>
    <definedName name="IQ_EFFICIENCY_RATIO" hidden="1">"c391"</definedName>
    <definedName name="IQ_EFFICIENCY_RATIO_FDIC" hidden="1">"c6736"</definedName>
    <definedName name="IQ_EMBEDDED_VAL_COVERED" hidden="1">"c9962"</definedName>
    <definedName name="IQ_EMBEDDED_VAL_COVERED_BEG" hidden="1">"c9957"</definedName>
    <definedName name="IQ_EMBEDDED_VAL_GROUP" hidden="1">"c9948"</definedName>
    <definedName name="IQ_EMBEDDED_VAL_GROUP_BEG" hidden="1">"c9943"</definedName>
    <definedName name="IQ_EMPLOY_COST_INDEX_BENEFITS" hidden="1">"c6857"</definedName>
    <definedName name="IQ_EMPLOY_COST_INDEX_BENEFITS_APR" hidden="1">"c7517"</definedName>
    <definedName name="IQ_EMPLOY_COST_INDEX_BENEFITS_APR_FC" hidden="1">"c8397"</definedName>
    <definedName name="IQ_EMPLOY_COST_INDEX_BENEFITS_FC" hidden="1">"c7737"</definedName>
    <definedName name="IQ_EMPLOY_COST_INDEX_BENEFITS_POP" hidden="1">"c7077"</definedName>
    <definedName name="IQ_EMPLOY_COST_INDEX_BENEFITS_POP_FC" hidden="1">"c7957"</definedName>
    <definedName name="IQ_EMPLOY_COST_INDEX_BENEFITS_YOY" hidden="1">"c7297"</definedName>
    <definedName name="IQ_EMPLOY_COST_INDEX_BENEFITS_YOY_FC" hidden="1">"c8177"</definedName>
    <definedName name="IQ_EMPLOY_COST_INDEX_COMP" hidden="1">"c6856"</definedName>
    <definedName name="IQ_EMPLOY_COST_INDEX_COMP_APR" hidden="1">"c7516"</definedName>
    <definedName name="IQ_EMPLOY_COST_INDEX_COMP_APR_FC" hidden="1">"c8396"</definedName>
    <definedName name="IQ_EMPLOY_COST_INDEX_COMP_FC" hidden="1">"c7736"</definedName>
    <definedName name="IQ_EMPLOY_COST_INDEX_COMP_POP" hidden="1">"c7076"</definedName>
    <definedName name="IQ_EMPLOY_COST_INDEX_COMP_POP_FC" hidden="1">"c7956"</definedName>
    <definedName name="IQ_EMPLOY_COST_INDEX_COMP_YOY" hidden="1">"c7296"</definedName>
    <definedName name="IQ_EMPLOY_COST_INDEX_COMP_YOY_FC" hidden="1">"c8176"</definedName>
    <definedName name="IQ_EMPLOY_COST_INDEX_WAGE_SALARY" hidden="1">"c6858"</definedName>
    <definedName name="IQ_EMPLOY_COST_INDEX_WAGE_SALARY_APR" hidden="1">"c7518"</definedName>
    <definedName name="IQ_EMPLOY_COST_INDEX_WAGE_SALARY_APR_FC" hidden="1">"c8398"</definedName>
    <definedName name="IQ_EMPLOY_COST_INDEX_WAGE_SALARY_FC" hidden="1">"c7738"</definedName>
    <definedName name="IQ_EMPLOY_COST_INDEX_WAGE_SALARY_POP" hidden="1">"c7078"</definedName>
    <definedName name="IQ_EMPLOY_COST_INDEX_WAGE_SALARY_POP_FC" hidden="1">"c7958"</definedName>
    <definedName name="IQ_EMPLOY_COST_INDEX_WAGE_SALARY_YOY" hidden="1">"c7298"</definedName>
    <definedName name="IQ_EMPLOY_COST_INDEX_WAGE_SALARY_YOY_FC" hidden="1">"c8178"</definedName>
    <definedName name="IQ_EMPLOYEES" hidden="1">"c392"</definedName>
    <definedName name="IQ_ENTERPRISE_VALUE" hidden="1">"c1348"</definedName>
    <definedName name="IQ_ENTREPRENEURAL_PROPERTY_INC" hidden="1">"c6859"</definedName>
    <definedName name="IQ_ENTREPRENEURAL_PROPERTY_INC_APR" hidden="1">"c7519"</definedName>
    <definedName name="IQ_ENTREPRENEURAL_PROPERTY_INC_APR_FC" hidden="1">"c8399"</definedName>
    <definedName name="IQ_ENTREPRENEURAL_PROPERTY_INC_FC" hidden="1">"c7739"</definedName>
    <definedName name="IQ_ENTREPRENEURAL_PROPERTY_INC_POP" hidden="1">"c7079"</definedName>
    <definedName name="IQ_ENTREPRENEURAL_PROPERTY_INC_POP_FC" hidden="1">"c7959"</definedName>
    <definedName name="IQ_ENTREPRENEURAL_PROPERTY_INC_YOY" hidden="1">"c7299"</definedName>
    <definedName name="IQ_ENTREPRENEURAL_PROPERTY_INC_YOY_FC" hidden="1">"c8179"</definedName>
    <definedName name="IQ_EPS_10YR_ANN_CAGR" hidden="1">"c6085"</definedName>
    <definedName name="IQ_EPS_10YR_ANN_GROWTH" hidden="1">"c393"</definedName>
    <definedName name="IQ_EPS_1YR_ANN_GROWTH" hidden="1">"c394"</definedName>
    <definedName name="IQ_EPS_2YR_ANN_CAGR" hidden="1">"c6086"</definedName>
    <definedName name="IQ_EPS_2YR_ANN_GROWTH" hidden="1">"c395"</definedName>
    <definedName name="IQ_EPS_3YR_ANN_CAGR" hidden="1">"c6087"</definedName>
    <definedName name="IQ_EPS_3YR_ANN_GROWTH" hidden="1">"c396"</definedName>
    <definedName name="IQ_EPS_5YR_ANN_CAGR" hidden="1">"c6088"</definedName>
    <definedName name="IQ_EPS_5YR_ANN_GROWTH" hidden="1">"c397"</definedName>
    <definedName name="IQ_EPS_7YR_ANN_CAGR" hidden="1">"c6089"</definedName>
    <definedName name="IQ_EPS_7YR_ANN_GROWTH" hidden="1">"c398"</definedName>
    <definedName name="IQ_EPS_ACT_OR_EST" hidden="1">"c2213"</definedName>
    <definedName name="IQ_EPS_ACT_OR_EST_CIQ" hidden="1">"c5058"</definedName>
    <definedName name="IQ_EPS_AP" hidden="1">"c8880"</definedName>
    <definedName name="IQ_EPS_AP_ABS" hidden="1">"c8899"</definedName>
    <definedName name="IQ_EPS_EST" hidden="1">"c399"</definedName>
    <definedName name="IQ_EPS_EST_CIQ" hidden="1">"c4994"</definedName>
    <definedName name="IQ_EPS_EST_REUT" hidden="1">"c5453"</definedName>
    <definedName name="IQ_EPS_GW_ACT_OR_EST_CIQ" hidden="1">"c5066"</definedName>
    <definedName name="IQ_EPS_GW_EST" hidden="1">"c1737"</definedName>
    <definedName name="IQ_EPS_GW_EST_CIQ" hidden="1">"c4723"</definedName>
    <definedName name="IQ_EPS_GW_EST_REUT" hidden="1">"c5389"</definedName>
    <definedName name="IQ_EPS_GW_HIGH_EST" hidden="1">"c1739"</definedName>
    <definedName name="IQ_EPS_GW_HIGH_EST_CIQ" hidden="1">"c4725"</definedName>
    <definedName name="IQ_EPS_GW_HIGH_EST_REUT" hidden="1">"c5391"</definedName>
    <definedName name="IQ_EPS_GW_LOW_EST" hidden="1">"c1740"</definedName>
    <definedName name="IQ_EPS_GW_LOW_EST_CIQ" hidden="1">"c4726"</definedName>
    <definedName name="IQ_EPS_GW_LOW_EST_REUT" hidden="1">"c5392"</definedName>
    <definedName name="IQ_EPS_GW_MEDIAN_EST" hidden="1">"c1738"</definedName>
    <definedName name="IQ_EPS_GW_MEDIAN_EST_CIQ" hidden="1">"c4724"</definedName>
    <definedName name="IQ_EPS_GW_MEDIAN_EST_REUT" hidden="1">"c5390"</definedName>
    <definedName name="IQ_EPS_GW_NUM_EST" hidden="1">"c1741"</definedName>
    <definedName name="IQ_EPS_GW_NUM_EST_CIQ" hidden="1">"c4727"</definedName>
    <definedName name="IQ_EPS_GW_NUM_EST_REUT" hidden="1">"c5393"</definedName>
    <definedName name="IQ_EPS_GW_STDDEV_EST" hidden="1">"c1742"</definedName>
    <definedName name="IQ_EPS_GW_STDDEV_EST_CIQ" hidden="1">"c4728"</definedName>
    <definedName name="IQ_EPS_GW_STDDEV_EST_REUT" hidden="1">"c5394"</definedName>
    <definedName name="IQ_EPS_HIGH_EST" hidden="1">"c400"</definedName>
    <definedName name="IQ_EPS_HIGH_EST_CIQ" hidden="1">"c4995"</definedName>
    <definedName name="IQ_EPS_HIGH_EST_REUT" hidden="1">"c5454"</definedName>
    <definedName name="IQ_EPS_LOW_EST" hidden="1">"c401"</definedName>
    <definedName name="IQ_EPS_LOW_EST_CIQ" hidden="1">"c4996"</definedName>
    <definedName name="IQ_EPS_LOW_EST_REUT" hidden="1">"c5455"</definedName>
    <definedName name="IQ_EPS_MEDIAN_EST" hidden="1">"c1661"</definedName>
    <definedName name="IQ_EPS_MEDIAN_EST_CIQ" hidden="1">"c4997"</definedName>
    <definedName name="IQ_EPS_MEDIAN_EST_REUT" hidden="1">"c5456"</definedName>
    <definedName name="IQ_EPS_NAME_AP" hidden="1">"c8918"</definedName>
    <definedName name="IQ_EPS_NAME_AP_ABS" hidden="1">"c8937"</definedName>
    <definedName name="IQ_EPS_NORM" hidden="1">"c1902"</definedName>
    <definedName name="IQ_EPS_NORM_EST" hidden="1">"c2226"</definedName>
    <definedName name="IQ_EPS_NORM_EST_CIQ" hidden="1">"c4667"</definedName>
    <definedName name="IQ_EPS_NORM_EST_REUT" hidden="1">"c5326"</definedName>
    <definedName name="IQ_EPS_NORM_HIGH_EST" hidden="1">"c2228"</definedName>
    <definedName name="IQ_EPS_NORM_HIGH_EST_CIQ" hidden="1">"c4669"</definedName>
    <definedName name="IQ_EPS_NORM_HIGH_EST_REUT" hidden="1">"c5328"</definedName>
    <definedName name="IQ_EPS_NORM_LOW_EST" hidden="1">"c2229"</definedName>
    <definedName name="IQ_EPS_NORM_LOW_EST_CIQ" hidden="1">"c4670"</definedName>
    <definedName name="IQ_EPS_NORM_LOW_EST_REUT" hidden="1">"c5329"</definedName>
    <definedName name="IQ_EPS_NORM_MEDIAN_EST" hidden="1">"c2227"</definedName>
    <definedName name="IQ_EPS_NORM_MEDIAN_EST_CIQ" hidden="1">"c4668"</definedName>
    <definedName name="IQ_EPS_NORM_MEDIAN_EST_REUT" hidden="1">"c5327"</definedName>
    <definedName name="IQ_EPS_NORM_NUM_EST" hidden="1">"c2230"</definedName>
    <definedName name="IQ_EPS_NORM_NUM_EST_CIQ" hidden="1">"c4671"</definedName>
    <definedName name="IQ_EPS_NORM_NUM_EST_REUT" hidden="1">"c5330"</definedName>
    <definedName name="IQ_EPS_NORM_STDDEV_EST" hidden="1">"c2231"</definedName>
    <definedName name="IQ_EPS_NORM_STDDEV_EST_CIQ" hidden="1">"c4672"</definedName>
    <definedName name="IQ_EPS_NORM_STDDEV_EST_REUT" hidden="1">"c5331"</definedName>
    <definedName name="IQ_EPS_NUM_EST" hidden="1">"c402"</definedName>
    <definedName name="IQ_EPS_NUM_EST_CIQ" hidden="1">"c4992"</definedName>
    <definedName name="IQ_EPS_NUM_EST_REUT" hidden="1">"c5451"</definedName>
    <definedName name="IQ_EPS_REPORT_ACT_OR_EST_CIQ" hidden="1">"c5067"</definedName>
    <definedName name="IQ_EPS_REPORTED_EST" hidden="1">"c1744"</definedName>
    <definedName name="IQ_EPS_REPORTED_EST_CIQ" hidden="1">"c4730"</definedName>
    <definedName name="IQ_EPS_REPORTED_EST_REUT" hidden="1">"c5396"</definedName>
    <definedName name="IQ_EPS_REPORTED_HIGH_EST" hidden="1">"c1746"</definedName>
    <definedName name="IQ_EPS_REPORTED_HIGH_EST_CIQ" hidden="1">"c4732"</definedName>
    <definedName name="IQ_EPS_REPORTED_HIGH_EST_REUT" hidden="1">"c5398"</definedName>
    <definedName name="IQ_EPS_REPORTED_LOW_EST" hidden="1">"c1747"</definedName>
    <definedName name="IQ_EPS_REPORTED_LOW_EST_CIQ" hidden="1">"c4733"</definedName>
    <definedName name="IQ_EPS_REPORTED_LOW_EST_REUT" hidden="1">"c5399"</definedName>
    <definedName name="IQ_EPS_REPORTED_MEDIAN_EST" hidden="1">"c1745"</definedName>
    <definedName name="IQ_EPS_REPORTED_MEDIAN_EST_CIQ" hidden="1">"c4731"</definedName>
    <definedName name="IQ_EPS_REPORTED_MEDIAN_EST_REUT" hidden="1">"c5397"</definedName>
    <definedName name="IQ_EPS_REPORTED_NUM_EST" hidden="1">"c1748"</definedName>
    <definedName name="IQ_EPS_REPORTED_NUM_EST_CIQ" hidden="1">"c4734"</definedName>
    <definedName name="IQ_EPS_REPORTED_NUM_EST_REUT" hidden="1">"c5400"</definedName>
    <definedName name="IQ_EPS_REPORTED_STDDEV_EST" hidden="1">"c1749"</definedName>
    <definedName name="IQ_EPS_REPORTED_STDDEV_EST_CIQ" hidden="1">"c4735"</definedName>
    <definedName name="IQ_EPS_REPORTED_STDDEV_EST_REUT" hidden="1">"c5401"</definedName>
    <definedName name="IQ_EPS_SBC_ACT_OR_EST" hidden="1">"c4376"</definedName>
    <definedName name="IQ_EPS_SBC_ACT_OR_EST_CIQ" hidden="1">"c4901"</definedName>
    <definedName name="IQ_EPS_SBC_GW_ACT_OR_EST" hidden="1">"c4380"</definedName>
    <definedName name="IQ_EPS_SBC_GW_ACT_OR_EST_CIQ" hidden="1">"c4905"</definedName>
    <definedName name="IQ_EPS_STDDEV_EST" hidden="1">"c403"</definedName>
    <definedName name="IQ_EPS_STDDEV_EST_CIQ" hidden="1">"c4993"</definedName>
    <definedName name="IQ_EPS_STDDEV_EST_REUT" hidden="1">"c5452"</definedName>
    <definedName name="IQ_EQUITY_AFFIL" hidden="1">"c1451"</definedName>
    <definedName name="IQ_EQUITY_AP" hidden="1">"c8887"</definedName>
    <definedName name="IQ_EQUITY_AP_ABS" hidden="1">"c8906"</definedName>
    <definedName name="IQ_EQUITY_CAPITAL_ASSETS_FDIC" hidden="1">"c6744"</definedName>
    <definedName name="IQ_EQUITY_FDIC" hidden="1">"c6353"</definedName>
    <definedName name="IQ_EQUITY_METHOD" hidden="1">"c404"</definedName>
    <definedName name="IQ_EQUITY_NAME_AP" hidden="1">"c8925"</definedName>
    <definedName name="IQ_EQUITY_NAME_AP_ABS" hidden="1">"c8944"</definedName>
    <definedName name="IQ_EQUITY_SECURITIES_FDIC" hidden="1">"c6304"</definedName>
    <definedName name="IQ_EQUITY_SECURITY_EXPOSURES_FDIC" hidden="1">"c6664"</definedName>
    <definedName name="IQ_EQV_OVER_BV" hidden="1">"c1596"</definedName>
    <definedName name="IQ_EQV_OVER_LTM_PRETAX_INC" hidden="1">"c1390"</definedName>
    <definedName name="IQ_ESOP_DEBT" hidden="1">"c1597"</definedName>
    <definedName name="IQ_EST_ACT_EPS" hidden="1">"c1648"</definedName>
    <definedName name="IQ_EST_ACT_EPS_GW" hidden="1">"c1743"</definedName>
    <definedName name="IQ_EST_ACT_EPS_GW_CIQ" hidden="1">"c4729"</definedName>
    <definedName name="IQ_EST_ACT_EPS_GW_REUT" hidden="1">"c5395"</definedName>
    <definedName name="IQ_EST_ACT_EPS_NORM" hidden="1">"c2232"</definedName>
    <definedName name="IQ_EST_ACT_EPS_NORM_CIQ" hidden="1">"c4673"</definedName>
    <definedName name="IQ_EST_ACT_EPS_NORM_REUT" hidden="1">"c5332"</definedName>
    <definedName name="IQ_EST_ACT_EPS_REPORTED" hidden="1">"c1750"</definedName>
    <definedName name="IQ_EST_ACT_EPS_REPORTED_CIQ" hidden="1">"c4736"</definedName>
    <definedName name="IQ_EST_ACT_EPS_REPORTED_REUT" hidden="1">"c5402"</definedName>
    <definedName name="IQ_EST_CURRENCY" hidden="1">"c2140"</definedName>
    <definedName name="IQ_EST_CURRENCY_CIQ" hidden="1">"c4769"</definedName>
    <definedName name="IQ_EST_CURRENCY_REUT" hidden="1">"c5437"</definedName>
    <definedName name="IQ_EST_DATE" hidden="1">"c1634"</definedName>
    <definedName name="IQ_EST_DATE_CIQ" hidden="1">"c4770"</definedName>
    <definedName name="IQ_EST_DATE_REUT" hidden="1">"c5438"</definedName>
    <definedName name="IQ_EST_EPS_DIFF" hidden="1">"c1864"</definedName>
    <definedName name="IQ_EST_EPS_GROWTH_1YR" hidden="1">"c1636"</definedName>
    <definedName name="IQ_EST_EPS_GROWTH_1YR_CIQ" hidden="1">"c3628"</definedName>
    <definedName name="IQ_EST_EPS_GROWTH_1YR_REUT" hidden="1">"c3646"</definedName>
    <definedName name="IQ_EST_EPS_GROWTH_5YR" hidden="1">"c1655"</definedName>
    <definedName name="IQ_EST_EPS_GROWTH_5YR_CIQ" hidden="1">"c3615"</definedName>
    <definedName name="IQ_EST_EPS_GROWTH_5YR_HIGH" hidden="1">"c1657"</definedName>
    <definedName name="IQ_EST_EPS_GROWTH_5YR_HIGH_CIQ" hidden="1">"c4663"</definedName>
    <definedName name="IQ_EST_EPS_GROWTH_5YR_LOW" hidden="1">"c1658"</definedName>
    <definedName name="IQ_EST_EPS_GROWTH_5YR_LOW_CIQ" hidden="1">"c4664"</definedName>
    <definedName name="IQ_EST_EPS_GROWTH_5YR_MEDIAN" hidden="1">"c1656"</definedName>
    <definedName name="IQ_EST_EPS_GROWTH_5YR_MEDIAN_CIQ" hidden="1">"c5480"</definedName>
    <definedName name="IQ_EST_EPS_GROWTH_5YR_NUM" hidden="1">"c1659"</definedName>
    <definedName name="IQ_EST_EPS_GROWTH_5YR_NUM_CIQ" hidden="1">"c4665"</definedName>
    <definedName name="IQ_EST_EPS_GROWTH_5YR_REUT" hidden="1">"c3633"</definedName>
    <definedName name="IQ_EST_EPS_GROWTH_5YR_STDDEV" hidden="1">"c1660"</definedName>
    <definedName name="IQ_EST_EPS_GROWTH_5YR_STDDEV_CIQ" hidden="1">"c4666"</definedName>
    <definedName name="IQ_EST_EPS_GROWTH_Q_1YR" hidden="1">"c1641"</definedName>
    <definedName name="IQ_EST_EPS_GROWTH_Q_1YR_CIQ" hidden="1">"c4744"</definedName>
    <definedName name="IQ_EST_EPS_GROWTH_Q_1YR_REUT" hidden="1">"c5410"</definedName>
    <definedName name="IQ_EST_EPS_GW_DIFF" hidden="1">"c1891"</definedName>
    <definedName name="IQ_EST_EPS_GW_DIFF_CIQ" hidden="1">"c4761"</definedName>
    <definedName name="IQ_EST_EPS_GW_DIFF_REUT" hidden="1">"c5429"</definedName>
    <definedName name="IQ_EST_EPS_GW_SURPRISE_PERCENT" hidden="1">"c1892"</definedName>
    <definedName name="IQ_EST_EPS_GW_SURPRISE_PERCENT_CIQ" hidden="1">"c4762"</definedName>
    <definedName name="IQ_EST_EPS_GW_SURPRISE_PERCENT_REUT" hidden="1">"c5430"</definedName>
    <definedName name="IQ_EST_EPS_NORM_DIFF" hidden="1">"c2247"</definedName>
    <definedName name="IQ_EST_EPS_NORM_DIFF_CIQ" hidden="1">"c4745"</definedName>
    <definedName name="IQ_EST_EPS_NORM_DIFF_REUT" hidden="1">"c5411"</definedName>
    <definedName name="IQ_EST_EPS_NORM_SURPRISE_PERCENT" hidden="1">"c2248"</definedName>
    <definedName name="IQ_EST_EPS_NORM_SURPRISE_PERCENT_CIQ" hidden="1">"c4746"</definedName>
    <definedName name="IQ_EST_EPS_NORM_SURPRISE_PERCENT_REUT" hidden="1">"c5412"</definedName>
    <definedName name="IQ_EST_EPS_REPORT_DIFF" hidden="1">"c1893"</definedName>
    <definedName name="IQ_EST_EPS_REPORT_DIFF_CIQ" hidden="1">"c4763"</definedName>
    <definedName name="IQ_EST_EPS_REPORT_DIFF_REUT" hidden="1">"c5431"</definedName>
    <definedName name="IQ_EST_EPS_REPORT_SURPRISE_PERCENT" hidden="1">"c1894"</definedName>
    <definedName name="IQ_EST_EPS_REPORT_SURPRISE_PERCENT_CIQ" hidden="1">"c4764"</definedName>
    <definedName name="IQ_EST_EPS_REPORT_SURPRISE_PERCENT_REUT" hidden="1">"c5432"</definedName>
    <definedName name="IQ_EST_VENDOR" hidden="1">"c5564"</definedName>
    <definedName name="IQ_ESTIMATED_ASSESSABLE_DEPOSITS_FDIC" hidden="1">"c6490"</definedName>
    <definedName name="IQ_ESTIMATED_INSURED_DEPOSITS_FDIC" hidden="1">"c6491"</definedName>
    <definedName name="IQ_EV_OVER_EMPLOYEE" hidden="1">"c1428"</definedName>
    <definedName name="IQ_EV_OVER_LTM_EBIT" hidden="1">"c1426"</definedName>
    <definedName name="IQ_EV_OVER_LTM_EBITDA" hidden="1">"c1427"</definedName>
    <definedName name="IQ_EV_OVER_LTM_REVENUE" hidden="1">"c1429"</definedName>
    <definedName name="IQ_EVAL_DATE" hidden="1">"c2180"</definedName>
    <definedName name="IQ_EXCHANGE" hidden="1">"c405"</definedName>
    <definedName name="IQ_EXCISE_TAXES_EXCL_SALES" hidden="1">"c5515"</definedName>
    <definedName name="IQ_EXCISE_TAXES_INCL_SALES" hidden="1">"c5514"</definedName>
    <definedName name="IQ_EXERCISE_PRICE" hidden="1">"c1897"</definedName>
    <definedName name="IQ_EXERCISED" hidden="1">"c406"</definedName>
    <definedName name="IQ_EXP_RETURN_PENSION_DOMESTIC" hidden="1">"c407"</definedName>
    <definedName name="IQ_EXP_RETURN_PENSION_FOREIGN" hidden="1">"c408"</definedName>
    <definedName name="IQ_EXPENSES_AP" hidden="1">"c8875"</definedName>
    <definedName name="IQ_EXPENSES_AP_ABS" hidden="1">"c8894"</definedName>
    <definedName name="IQ_EXPENSES_NAME_AP" hidden="1">"c8913"</definedName>
    <definedName name="IQ_EXPENSES_NAME_AP_ABS" hidden="1">"c8932"</definedName>
    <definedName name="IQ_EXPLORATION_EXPENDITURE_ALUM" hidden="1">"c9255"</definedName>
    <definedName name="IQ_EXPLORATION_EXPENDITURE_COAL" hidden="1">"c9827"</definedName>
    <definedName name="IQ_EXPLORATION_EXPENDITURE_COP" hidden="1">"c9202"</definedName>
    <definedName name="IQ_EXPLORATION_EXPENDITURE_DIAM" hidden="1">"c9679"</definedName>
    <definedName name="IQ_EXPLORATION_EXPENDITURE_GOLD" hidden="1">"c9040"</definedName>
    <definedName name="IQ_EXPLORATION_EXPENDITURE_IRON" hidden="1">"c9414"</definedName>
    <definedName name="IQ_EXPLORATION_EXPENDITURE_LEAD" hidden="1">"c9467"</definedName>
    <definedName name="IQ_EXPLORATION_EXPENDITURE_MANG" hidden="1">"c9520"</definedName>
    <definedName name="IQ_EXPLORATION_EXPENDITURE_MOLYB" hidden="1">"c9732"</definedName>
    <definedName name="IQ_EXPLORATION_EXPENDITURE_NICK" hidden="1">"c9308"</definedName>
    <definedName name="IQ_EXPLORATION_EXPENDITURE_PLAT" hidden="1">"c9146"</definedName>
    <definedName name="IQ_EXPLORATION_EXPENDITURE_SILVER" hidden="1">"c9093"</definedName>
    <definedName name="IQ_EXPLORATION_EXPENDITURE_TITAN" hidden="1">"c9573"</definedName>
    <definedName name="IQ_EXPLORATION_EXPENDITURE_URAN" hidden="1">"c9626"</definedName>
    <definedName name="IQ_EXPLORATION_EXPENDITURE_ZINC" hidden="1">"c9361"</definedName>
    <definedName name="IQ_EXPLORE_DRILL" hidden="1">"c409"</definedName>
    <definedName name="IQ_EXPORT_PRICE_INDEX" hidden="1">"c6860"</definedName>
    <definedName name="IQ_EXPORT_PRICE_INDEX_APR" hidden="1">"c7520"</definedName>
    <definedName name="IQ_EXPORT_PRICE_INDEX_APR_FC" hidden="1">"c8400"</definedName>
    <definedName name="IQ_EXPORT_PRICE_INDEX_FC" hidden="1">"c7740"</definedName>
    <definedName name="IQ_EXPORT_PRICE_INDEX_POP" hidden="1">"c7080"</definedName>
    <definedName name="IQ_EXPORT_PRICE_INDEX_POP_FC" hidden="1">"c7960"</definedName>
    <definedName name="IQ_EXPORT_PRICE_INDEX_YOY" hidden="1">"c7300"</definedName>
    <definedName name="IQ_EXPORT_PRICE_INDEX_YOY_FC" hidden="1">"c8180"</definedName>
    <definedName name="IQ_EXPORTS_APR_FC_UNUSED_UNUSED_UNUSED" hidden="1">"c8401"</definedName>
    <definedName name="IQ_EXPORTS_APR_UNUSED_UNUSED_UNUSED" hidden="1">"c7521"</definedName>
    <definedName name="IQ_EXPORTS_FACTOR_SERVICES" hidden="1">"c6862"</definedName>
    <definedName name="IQ_EXPORTS_FACTOR_SERVICES_APR" hidden="1">"c7522"</definedName>
    <definedName name="IQ_EXPORTS_FACTOR_SERVICES_APR_FC" hidden="1">"c8402"</definedName>
    <definedName name="IQ_EXPORTS_FACTOR_SERVICES_FC" hidden="1">"c7742"</definedName>
    <definedName name="IQ_EXPORTS_FACTOR_SERVICES_POP" hidden="1">"c7082"</definedName>
    <definedName name="IQ_EXPORTS_FACTOR_SERVICES_POP_FC" hidden="1">"c7962"</definedName>
    <definedName name="IQ_EXPORTS_FACTOR_SERVICES_SAAR" hidden="1">"c6863"</definedName>
    <definedName name="IQ_EXPORTS_FACTOR_SERVICES_SAAR_APR" hidden="1">"c7523"</definedName>
    <definedName name="IQ_EXPORTS_FACTOR_SERVICES_SAAR_APR_FC" hidden="1">"c8403"</definedName>
    <definedName name="IQ_EXPORTS_FACTOR_SERVICES_SAAR_FC" hidden="1">"c7743"</definedName>
    <definedName name="IQ_EXPORTS_FACTOR_SERVICES_SAAR_POP" hidden="1">"c7083"</definedName>
    <definedName name="IQ_EXPORTS_FACTOR_SERVICES_SAAR_POP_FC" hidden="1">"c7963"</definedName>
    <definedName name="IQ_EXPORTS_FACTOR_SERVICES_SAAR_USD_APR_FC" hidden="1">"c11817"</definedName>
    <definedName name="IQ_EXPORTS_FACTOR_SERVICES_SAAR_USD_FC" hidden="1">"c11814"</definedName>
    <definedName name="IQ_EXPORTS_FACTOR_SERVICES_SAAR_USD_POP_FC" hidden="1">"c11815"</definedName>
    <definedName name="IQ_EXPORTS_FACTOR_SERVICES_SAAR_USD_YOY_FC" hidden="1">"c11816"</definedName>
    <definedName name="IQ_EXPORTS_FACTOR_SERVICES_SAAR_YOY" hidden="1">"c7303"</definedName>
    <definedName name="IQ_EXPORTS_FACTOR_SERVICES_SAAR_YOY_FC" hidden="1">"c8183"</definedName>
    <definedName name="IQ_EXPORTS_FACTOR_SERVICES_USD_APR_FC" hidden="1">"c11813"</definedName>
    <definedName name="IQ_EXPORTS_FACTOR_SERVICES_USD_FC" hidden="1">"c11810"</definedName>
    <definedName name="IQ_EXPORTS_FACTOR_SERVICES_USD_POP_FC" hidden="1">"c11811"</definedName>
    <definedName name="IQ_EXPORTS_FACTOR_SERVICES_USD_YOY_FC" hidden="1">"c11812"</definedName>
    <definedName name="IQ_EXPORTS_FACTOR_SERVICES_YOY" hidden="1">"c7302"</definedName>
    <definedName name="IQ_EXPORTS_FACTOR_SERVICES_YOY_FC" hidden="1">"c8182"</definedName>
    <definedName name="IQ_EXPORTS_FC_UNUSED_UNUSED_UNUSED" hidden="1">"c7741"</definedName>
    <definedName name="IQ_EXPORTS_GOODS" hidden="1">"c6864"</definedName>
    <definedName name="IQ_EXPORTS_GOODS_APR" hidden="1">"c7524"</definedName>
    <definedName name="IQ_EXPORTS_GOODS_APR_FC" hidden="1">"c8404"</definedName>
    <definedName name="IQ_EXPORTS_GOODS_FC" hidden="1">"c7744"</definedName>
    <definedName name="IQ_EXPORTS_GOODS_NONFACTOR_SERVICES" hidden="1">"c6865"</definedName>
    <definedName name="IQ_EXPORTS_GOODS_NONFACTOR_SERVICES_APR" hidden="1">"c7525"</definedName>
    <definedName name="IQ_EXPORTS_GOODS_NONFACTOR_SERVICES_APR_FC" hidden="1">"c8405"</definedName>
    <definedName name="IQ_EXPORTS_GOODS_NONFACTOR_SERVICES_FC" hidden="1">"c7745"</definedName>
    <definedName name="IQ_EXPORTS_GOODS_NONFACTOR_SERVICES_POP" hidden="1">"c7085"</definedName>
    <definedName name="IQ_EXPORTS_GOODS_NONFACTOR_SERVICES_POP_FC" hidden="1">"c7965"</definedName>
    <definedName name="IQ_EXPORTS_GOODS_NONFACTOR_SERVICES_YOY" hidden="1">"c7305"</definedName>
    <definedName name="IQ_EXPORTS_GOODS_NONFACTOR_SERVICES_YOY_FC" hidden="1">"c8185"</definedName>
    <definedName name="IQ_EXPORTS_GOODS_POP" hidden="1">"c7084"</definedName>
    <definedName name="IQ_EXPORTS_GOODS_POP_FC" hidden="1">"c7964"</definedName>
    <definedName name="IQ_EXPORTS_GOODS_REAL" hidden="1">"c6973"</definedName>
    <definedName name="IQ_EXPORTS_GOODS_REAL_APR" hidden="1">"c7633"</definedName>
    <definedName name="IQ_EXPORTS_GOODS_REAL_APR_FC" hidden="1">"c8513"</definedName>
    <definedName name="IQ_EXPORTS_GOODS_REAL_FC" hidden="1">"c7853"</definedName>
    <definedName name="IQ_EXPORTS_GOODS_REAL_POP" hidden="1">"c7193"</definedName>
    <definedName name="IQ_EXPORTS_GOODS_REAL_POP_FC" hidden="1">"c8073"</definedName>
    <definedName name="IQ_EXPORTS_GOODS_REAL_SAAR" hidden="1">"c11930"</definedName>
    <definedName name="IQ_EXPORTS_GOODS_REAL_SAAR_APR" hidden="1">"c11933"</definedName>
    <definedName name="IQ_EXPORTS_GOODS_REAL_SAAR_APR_FC_UNUSED_UNUSED_UNUSED" hidden="1">"c8512"</definedName>
    <definedName name="IQ_EXPORTS_GOODS_REAL_SAAR_APR_UNUSED_UNUSED_UNUSED" hidden="1">"c7632"</definedName>
    <definedName name="IQ_EXPORTS_GOODS_REAL_SAAR_FC_UNUSED_UNUSED_UNUSED" hidden="1">"c7852"</definedName>
    <definedName name="IQ_EXPORTS_GOODS_REAL_SAAR_POP" hidden="1">"c11931"</definedName>
    <definedName name="IQ_EXPORTS_GOODS_REAL_SAAR_POP_FC_UNUSED_UNUSED_UNUSED" hidden="1">"c8072"</definedName>
    <definedName name="IQ_EXPORTS_GOODS_REAL_SAAR_POP_UNUSED_UNUSED_UNUSED" hidden="1">"c7192"</definedName>
    <definedName name="IQ_EXPORTS_GOODS_REAL_SAAR_UNUSED_UNUSED_UNUSED" hidden="1">"c6972"</definedName>
    <definedName name="IQ_EXPORTS_GOODS_REAL_SAAR_YOY" hidden="1">"c11932"</definedName>
    <definedName name="IQ_EXPORTS_GOODS_REAL_SAAR_YOY_FC_UNUSED_UNUSED_UNUSED" hidden="1">"c8292"</definedName>
    <definedName name="IQ_EXPORTS_GOODS_REAL_SAAR_YOY_UNUSED_UNUSED_UNUSED" hidden="1">"c7412"</definedName>
    <definedName name="IQ_EXPORTS_GOODS_REAL_YOY" hidden="1">"c7413"</definedName>
    <definedName name="IQ_EXPORTS_GOODS_REAL_YOY_FC" hidden="1">"c8293"</definedName>
    <definedName name="IQ_EXPORTS_GOODS_SERVICES" hidden="1">"c6866"</definedName>
    <definedName name="IQ_EXPORTS_GOODS_SERVICES_APR" hidden="1">"c7526"</definedName>
    <definedName name="IQ_EXPORTS_GOODS_SERVICES_APR_FC" hidden="1">"c8406"</definedName>
    <definedName name="IQ_EXPORTS_GOODS_SERVICES_FC" hidden="1">"c7746"</definedName>
    <definedName name="IQ_EXPORTS_GOODS_SERVICES_POP" hidden="1">"c7086"</definedName>
    <definedName name="IQ_EXPORTS_GOODS_SERVICES_POP_FC" hidden="1">"c7966"</definedName>
    <definedName name="IQ_EXPORTS_GOODS_SERVICES_REAL" hidden="1">"c6974"</definedName>
    <definedName name="IQ_EXPORTS_GOODS_SERVICES_REAL_APR" hidden="1">"c7634"</definedName>
    <definedName name="IQ_EXPORTS_GOODS_SERVICES_REAL_APR_FC" hidden="1">"c8514"</definedName>
    <definedName name="IQ_EXPORTS_GOODS_SERVICES_REAL_FC" hidden="1">"c7854"</definedName>
    <definedName name="IQ_EXPORTS_GOODS_SERVICES_REAL_POP" hidden="1">"c7194"</definedName>
    <definedName name="IQ_EXPORTS_GOODS_SERVICES_REAL_POP_FC" hidden="1">"c8074"</definedName>
    <definedName name="IQ_EXPORTS_GOODS_SERVICES_REAL_SAAR" hidden="1">"c6975"</definedName>
    <definedName name="IQ_EXPORTS_GOODS_SERVICES_REAL_SAAR_APR" hidden="1">"c7635"</definedName>
    <definedName name="IQ_EXPORTS_GOODS_SERVICES_REAL_SAAR_APR_FC" hidden="1">"c8515"</definedName>
    <definedName name="IQ_EXPORTS_GOODS_SERVICES_REAL_SAAR_FC" hidden="1">"c7855"</definedName>
    <definedName name="IQ_EXPORTS_GOODS_SERVICES_REAL_SAAR_POP" hidden="1">"c7195"</definedName>
    <definedName name="IQ_EXPORTS_GOODS_SERVICES_REAL_SAAR_POP_FC" hidden="1">"c8075"</definedName>
    <definedName name="IQ_EXPORTS_GOODS_SERVICES_REAL_SAAR_YOY" hidden="1">"c7415"</definedName>
    <definedName name="IQ_EXPORTS_GOODS_SERVICES_REAL_SAAR_YOY_FC" hidden="1">"c8295"</definedName>
    <definedName name="IQ_EXPORTS_GOODS_SERVICES_REAL_USD" hidden="1">"c11926"</definedName>
    <definedName name="IQ_EXPORTS_GOODS_SERVICES_REAL_USD_APR" hidden="1">"c11929"</definedName>
    <definedName name="IQ_EXPORTS_GOODS_SERVICES_REAL_USD_POP" hidden="1">"c11927"</definedName>
    <definedName name="IQ_EXPORTS_GOODS_SERVICES_REAL_USD_YOY" hidden="1">"c11928"</definedName>
    <definedName name="IQ_EXPORTS_GOODS_SERVICES_REAL_YOY" hidden="1">"c7414"</definedName>
    <definedName name="IQ_EXPORTS_GOODS_SERVICES_REAL_YOY_FC" hidden="1">"c8294"</definedName>
    <definedName name="IQ_EXPORTS_GOODS_SERVICES_SAAR" hidden="1">"c6867"</definedName>
    <definedName name="IQ_EXPORTS_GOODS_SERVICES_SAAR_APR" hidden="1">"c7527"</definedName>
    <definedName name="IQ_EXPORTS_GOODS_SERVICES_SAAR_APR_FC" hidden="1">"c8407"</definedName>
    <definedName name="IQ_EXPORTS_GOODS_SERVICES_SAAR_FC" hidden="1">"c7747"</definedName>
    <definedName name="IQ_EXPORTS_GOODS_SERVICES_SAAR_POP" hidden="1">"c7087"</definedName>
    <definedName name="IQ_EXPORTS_GOODS_SERVICES_SAAR_POP_FC" hidden="1">"c7967"</definedName>
    <definedName name="IQ_EXPORTS_GOODS_SERVICES_SAAR_YOY" hidden="1">"c7307"</definedName>
    <definedName name="IQ_EXPORTS_GOODS_SERVICES_SAAR_YOY_FC" hidden="1">"c8187"</definedName>
    <definedName name="IQ_EXPORTS_GOODS_SERVICES_USD" hidden="1">"c11822"</definedName>
    <definedName name="IQ_EXPORTS_GOODS_SERVICES_USD_APR" hidden="1">"c11825"</definedName>
    <definedName name="IQ_EXPORTS_GOODS_SERVICES_USD_POP" hidden="1">"c11823"</definedName>
    <definedName name="IQ_EXPORTS_GOODS_SERVICES_USD_YOY" hidden="1">"c11824"</definedName>
    <definedName name="IQ_EXPORTS_GOODS_SERVICES_YOY" hidden="1">"c7306"</definedName>
    <definedName name="IQ_EXPORTS_GOODS_SERVICES_YOY_FC" hidden="1">"c8186"</definedName>
    <definedName name="IQ_EXPORTS_GOODS_USD" hidden="1">"c11818"</definedName>
    <definedName name="IQ_EXPORTS_GOODS_USD_APR" hidden="1">"c11821"</definedName>
    <definedName name="IQ_EXPORTS_GOODS_USD_POP" hidden="1">"c11819"</definedName>
    <definedName name="IQ_EXPORTS_GOODS_USD_YOY" hidden="1">"c11820"</definedName>
    <definedName name="IQ_EXPORTS_GOODS_YOY" hidden="1">"c7304"</definedName>
    <definedName name="IQ_EXPORTS_GOODS_YOY_FC" hidden="1">"c8184"</definedName>
    <definedName name="IQ_EXPORTS_NONFACTOR_SERVICES" hidden="1">"c6868"</definedName>
    <definedName name="IQ_EXPORTS_NONFACTOR_SERVICES_APR" hidden="1">"c7528"</definedName>
    <definedName name="IQ_EXPORTS_NONFACTOR_SERVICES_APR_FC" hidden="1">"c8408"</definedName>
    <definedName name="IQ_EXPORTS_NONFACTOR_SERVICES_FC" hidden="1">"c7748"</definedName>
    <definedName name="IQ_EXPORTS_NONFACTOR_SERVICES_POP" hidden="1">"c7088"</definedName>
    <definedName name="IQ_EXPORTS_NONFACTOR_SERVICES_POP_FC" hidden="1">"c7968"</definedName>
    <definedName name="IQ_EXPORTS_NONFACTOR_SERVICES_YOY" hidden="1">"c7308"</definedName>
    <definedName name="IQ_EXPORTS_NONFACTOR_SERVICES_YOY_FC" hidden="1">"c8188"</definedName>
    <definedName name="IQ_EXPORTS_POP_FC_UNUSED_UNUSED_UNUSED" hidden="1">"c7961"</definedName>
    <definedName name="IQ_EXPORTS_POP_UNUSED_UNUSED_UNUSED" hidden="1">"c7081"</definedName>
    <definedName name="IQ_EXPORTS_SERVICES_REAL" hidden="1">"c6977"</definedName>
    <definedName name="IQ_EXPORTS_SERVICES_REAL_APR" hidden="1">"c7637"</definedName>
    <definedName name="IQ_EXPORTS_SERVICES_REAL_APR_FC" hidden="1">"c8517"</definedName>
    <definedName name="IQ_EXPORTS_SERVICES_REAL_FC" hidden="1">"c7857"</definedName>
    <definedName name="IQ_EXPORTS_SERVICES_REAL_POP" hidden="1">"c7197"</definedName>
    <definedName name="IQ_EXPORTS_SERVICES_REAL_POP_FC" hidden="1">"c8077"</definedName>
    <definedName name="IQ_EXPORTS_SERVICES_REAL_SAAR" hidden="1">"c11934"</definedName>
    <definedName name="IQ_EXPORTS_SERVICES_REAL_SAAR_APR" hidden="1">"c11937"</definedName>
    <definedName name="IQ_EXPORTS_SERVICES_REAL_SAAR_APR_FC_UNUSED_UNUSED_UNUSED" hidden="1">"c8516"</definedName>
    <definedName name="IQ_EXPORTS_SERVICES_REAL_SAAR_APR_UNUSED_UNUSED_UNUSED" hidden="1">"c7636"</definedName>
    <definedName name="IQ_EXPORTS_SERVICES_REAL_SAAR_FC_UNUSED_UNUSED_UNUSED" hidden="1">"c7856"</definedName>
    <definedName name="IQ_EXPORTS_SERVICES_REAL_SAAR_POP" hidden="1">"c11935"</definedName>
    <definedName name="IQ_EXPORTS_SERVICES_REAL_SAAR_POP_FC_UNUSED_UNUSED_UNUSED" hidden="1">"c8076"</definedName>
    <definedName name="IQ_EXPORTS_SERVICES_REAL_SAAR_POP_UNUSED_UNUSED_UNUSED" hidden="1">"c7196"</definedName>
    <definedName name="IQ_EXPORTS_SERVICES_REAL_SAAR_UNUSED_UNUSED_UNUSED" hidden="1">"c6976"</definedName>
    <definedName name="IQ_EXPORTS_SERVICES_REAL_SAAR_YOY" hidden="1">"c11936"</definedName>
    <definedName name="IQ_EXPORTS_SERVICES_REAL_SAAR_YOY_FC_UNUSED_UNUSED_UNUSED" hidden="1">"c8296"</definedName>
    <definedName name="IQ_EXPORTS_SERVICES_REAL_SAAR_YOY_UNUSED_UNUSED_UNUSED" hidden="1">"c7416"</definedName>
    <definedName name="IQ_EXPORTS_SERVICES_REAL_YOY" hidden="1">"c7417"</definedName>
    <definedName name="IQ_EXPORTS_SERVICES_REAL_YOY_FC" hidden="1">"c8297"</definedName>
    <definedName name="IQ_EXPORTS_UNUSED_UNUSED_UNUSED" hidden="1">"c6861"</definedName>
    <definedName name="IQ_EXPORTS_USD" hidden="1">"c11806"</definedName>
    <definedName name="IQ_EXPORTS_USD_APR" hidden="1">"c11809"</definedName>
    <definedName name="IQ_EXPORTS_USD_POP" hidden="1">"c11807"</definedName>
    <definedName name="IQ_EXPORTS_USD_YOY" hidden="1">"c11808"</definedName>
    <definedName name="IQ_EXPORTS_YOY_FC_UNUSED_UNUSED_UNUSED" hidden="1">"c8181"</definedName>
    <definedName name="IQ_EXPORTS_YOY_UNUSED_UNUSED_UNUSED" hidden="1">"c7301"</definedName>
    <definedName name="IQ_EXTRA_ACC_ITEMS" hidden="1">"c410"</definedName>
    <definedName name="IQ_EXTRA_ACC_ITEMS_BNK" hidden="1">"c411"</definedName>
    <definedName name="IQ_EXTRA_ACC_ITEMS_BR" hidden="1">"c412"</definedName>
    <definedName name="IQ_EXTRA_ACC_ITEMS_FIN" hidden="1">"c413"</definedName>
    <definedName name="IQ_EXTRA_ACC_ITEMS_INS" hidden="1">"c414"</definedName>
    <definedName name="IQ_EXTRA_ACC_ITEMS_RE" hidden="1">"c6216"</definedName>
    <definedName name="IQ_EXTRA_ACC_ITEMS_REIT" hidden="1">"c415"</definedName>
    <definedName name="IQ_EXTRA_ACC_ITEMS_UTI" hidden="1">"c416"</definedName>
    <definedName name="IQ_EXTRA_ITEMS" hidden="1">"c1459"</definedName>
    <definedName name="IQ_EXTRAORDINARY_GAINS_FDIC" hidden="1">"c6586"</definedName>
    <definedName name="IQ_FAD" hidden="1">"c8757"</definedName>
    <definedName name="IQ_FAD_PAYOUT_RATIO" hidden="1">"c8872"</definedName>
    <definedName name="IQ_FAIR_VALUE_FDIC" hidden="1">"c6427"</definedName>
    <definedName name="IQ_FARM_LOANS_NET_FDIC" hidden="1">"c6316"</definedName>
    <definedName name="IQ_FARM_LOANS_TOTAL_LOANS_FOREIGN_FDIC" hidden="1">"c6450"</definedName>
    <definedName name="IQ_FARMLAND_LOANS_FDIC" hidden="1">"c6314"</definedName>
    <definedName name="IQ_FDIC" hidden="1">"c417"</definedName>
    <definedName name="IQ_FED_BUDGET_RECEIPTS" hidden="1">"c6869"</definedName>
    <definedName name="IQ_FED_BUDGET_RECEIPTS_APR" hidden="1">"c7529"</definedName>
    <definedName name="IQ_FED_BUDGET_RECEIPTS_APR_FC" hidden="1">"c8409"</definedName>
    <definedName name="IQ_FED_BUDGET_RECEIPTS_FC" hidden="1">"c7749"</definedName>
    <definedName name="IQ_FED_BUDGET_RECEIPTS_POP" hidden="1">"c7089"</definedName>
    <definedName name="IQ_FED_BUDGET_RECEIPTS_POP_FC" hidden="1">"c7969"</definedName>
    <definedName name="IQ_FED_BUDGET_RECEIPTS_YOY" hidden="1">"c7309"</definedName>
    <definedName name="IQ_FED_BUDGET_RECEIPTS_YOY_FC" hidden="1">"c8189"</definedName>
    <definedName name="IQ_FED_FUNDS_PURCHASED_FDIC" hidden="1">"c6343"</definedName>
    <definedName name="IQ_FED_FUNDS_SOLD_FDIC" hidden="1">"c6307"</definedName>
    <definedName name="IQ_FEDFUNDS_SOLD" hidden="1">"c2256"</definedName>
    <definedName name="IQ_FFO" hidden="1">"c1574"</definedName>
    <definedName name="IQ_FFO_ADJ_ACT_OR_EST" hidden="1">"c4435"</definedName>
    <definedName name="IQ_FFO_ADJ_ACT_OR_EST_CIQ" hidden="1">"c4960"</definedName>
    <definedName name="IQ_FFO_PAYOUT_RATIO" hidden="1">"c3492"</definedName>
    <definedName name="IQ_FFO_PER_SHARE_BASIC" hidden="1">"c8867"</definedName>
    <definedName name="IQ_FFO_PER_SHARE_DILUTED" hidden="1">"c8868"</definedName>
    <definedName name="IQ_FFO_SHARE_ACT_OR_EST" hidden="1">"c4446"</definedName>
    <definedName name="IQ_FFO_SHARE_ACT_OR_EST_CIQ" hidden="1">"c4971"</definedName>
    <definedName name="IQ_FH" hidden="1">100000</definedName>
    <definedName name="IQ_FHLB_ADVANCES_FDIC" hidden="1">"c6366"</definedName>
    <definedName name="IQ_FHLB_DEBT" hidden="1">"c423"</definedName>
    <definedName name="IQ_FHLB_DUE_CY" hidden="1">"c2080"</definedName>
    <definedName name="IQ_FHLB_DUE_CY1" hidden="1">"c2081"</definedName>
    <definedName name="IQ_FHLB_DUE_CY2" hidden="1">"c2082"</definedName>
    <definedName name="IQ_FHLB_DUE_CY3" hidden="1">"c2083"</definedName>
    <definedName name="IQ_FHLB_DUE_CY4" hidden="1">"c2084"</definedName>
    <definedName name="IQ_FHLB_DUE_NEXT_FIVE" hidden="1">"c2085"</definedName>
    <definedName name="IQ_FIDUCIARY_ACTIVITIES_FDIC" hidden="1">"c6571"</definedName>
    <definedName name="IQ_FIFETEEN_YEAR_FIXED_AND_FLOATING_RATE_FDIC" hidden="1">"c6423"</definedName>
    <definedName name="IQ_FIFETEEN_YEAR_MORTGAGE_PASS_THROUGHS_FDIC" hidden="1">"c6415"</definedName>
    <definedName name="IQ_FILING_CURRENCY" hidden="1">"c2129"</definedName>
    <definedName name="IQ_FILING_CURRENCY_AP" hidden="1">"c11747"</definedName>
    <definedName name="IQ_FILINGDATE_BS" hidden="1">"c424"</definedName>
    <definedName name="IQ_FILINGDATE_CF" hidden="1">"c425"</definedName>
    <definedName name="IQ_FILINGDATE_IS" hidden="1">"c426"</definedName>
    <definedName name="IQ_FILM_RIGHTS" hidden="1">"c2254"</definedName>
    <definedName name="IQ_FIN_DATA_SOURCE" hidden="1">"c6788"</definedName>
    <definedName name="IQ_FIN_DIV_ASSETS_CURRENT" hidden="1">"c427"</definedName>
    <definedName name="IQ_FIN_DIV_ASSETS_LT" hidden="1">"c428"</definedName>
    <definedName name="IQ_FIN_DIV_CASH_EQUIV" hidden="1">"c6289"</definedName>
    <definedName name="IQ_FIN_DIV_DEBT_CURRENT" hidden="1">"c429"</definedName>
    <definedName name="IQ_FIN_DIV_DEBT_LT" hidden="1">"c430"</definedName>
    <definedName name="IQ_FIN_DIV_DEBT_TOTAL" hidden="1">"c5656"</definedName>
    <definedName name="IQ_FIN_DIV_EXP" hidden="1">"c431"</definedName>
    <definedName name="IQ_FIN_DIV_INT_EXP" hidden="1">"c432"</definedName>
    <definedName name="IQ_FIN_DIV_LIAB_CURRENT" hidden="1">"c433"</definedName>
    <definedName name="IQ_FIN_DIV_LIAB_LT" hidden="1">"c434"</definedName>
    <definedName name="IQ_FIN_DIV_LOANS_CURRENT" hidden="1">"c435"</definedName>
    <definedName name="IQ_FIN_DIV_LOANS_LT" hidden="1">"c436"</definedName>
    <definedName name="IQ_FIN_DIV_LT_DEBT_TOTAL" hidden="1">"c5655"</definedName>
    <definedName name="IQ_FIN_DIV_REV" hidden="1">"c437"</definedName>
    <definedName name="IQ_FIN_DIV_ST_DEBT_TOTAL" hidden="1">"c5527"</definedName>
    <definedName name="IQ_FIN_DIV_ST_INVEST" hidden="1">"c6288"</definedName>
    <definedName name="IQ_FINANCING_CASH" hidden="1">"c1405"</definedName>
    <definedName name="IQ_FINANCING_CASH_SUPPL" hidden="1">"c1406"</definedName>
    <definedName name="IQ_FINANCING_OBLIG_CURRENT" hidden="1">"c6190"</definedName>
    <definedName name="IQ_FINANCING_OBLIG_NON_CURRENT" hidden="1">"c6191"</definedName>
    <definedName name="IQ_FINISHED_INV" hidden="1">"c438"</definedName>
    <definedName name="IQ_FIRST_INT_DATE" hidden="1">"c2186"</definedName>
    <definedName name="IQ_FIRST_YEAR_LIFE" hidden="1">"c439"</definedName>
    <definedName name="IQ_FIRST_YEAR_LIFE_PREM" hidden="1">"c2787"</definedName>
    <definedName name="IQ_FIRST_YEAR_PREM" hidden="1">"c2786"</definedName>
    <definedName name="IQ_FIRSTPRICINGDATE" hidden="1">"c3050"</definedName>
    <definedName name="IQ_FISCAL_Q" hidden="1">"c440"</definedName>
    <definedName name="IQ_FISCAL_Q_EST" hidden="1">"c6794"</definedName>
    <definedName name="IQ_FISCAL_Q_EST_CIQ" hidden="1">"c6806"</definedName>
    <definedName name="IQ_FISCAL_Q_EST_REUT" hidden="1">"c6798"</definedName>
    <definedName name="IQ_FISCAL_Y" hidden="1">"c441"</definedName>
    <definedName name="IQ_FISCAL_Y_EST" hidden="1">"c6795"</definedName>
    <definedName name="IQ_FISCAL_Y_EST_CIQ" hidden="1">"c6807"</definedName>
    <definedName name="IQ_FISCAL_Y_EST_REUT" hidden="1">"c6799"</definedName>
    <definedName name="IQ_FIVE_PERCENT_OWNER" hidden="1">"c442"</definedName>
    <definedName name="IQ_FIVE_YEAR_FIXED_AND_FLOATING_RATE_FDIC" hidden="1">"c6422"</definedName>
    <definedName name="IQ_FIVE_YEAR_MORTGAGE_PASS_THROUGHS_FDIC" hidden="1">"c6414"</definedName>
    <definedName name="IQ_FIVEPERCENT_PERCENT" hidden="1">"c443"</definedName>
    <definedName name="IQ_FIVEPERCENT_SHARES" hidden="1">"c444"</definedName>
    <definedName name="IQ_FIX_FREQUENCY" hidden="1">"c8964"</definedName>
    <definedName name="IQ_FIXED_ASSET_TURNS" hidden="1">"c445"</definedName>
    <definedName name="IQ_FIXED_INVEST_APR_FC_UNUSED_UNUSED_UNUSED" hidden="1">"c8410"</definedName>
    <definedName name="IQ_FIXED_INVEST_APR_UNUSED_UNUSED_UNUSED" hidden="1">"c7530"</definedName>
    <definedName name="IQ_FIXED_INVEST_FC_UNUSED_UNUSED_UNUSED" hidden="1">"c7750"</definedName>
    <definedName name="IQ_FIXED_INVEST_MACH_EQUIP" hidden="1">"c6871"</definedName>
    <definedName name="IQ_FIXED_INVEST_MACH_EQUIP_APR" hidden="1">"c7531"</definedName>
    <definedName name="IQ_FIXED_INVEST_MACH_EQUIP_APR_FC" hidden="1">"c8411"</definedName>
    <definedName name="IQ_FIXED_INVEST_MACH_EQUIP_FC" hidden="1">"c7751"</definedName>
    <definedName name="IQ_FIXED_INVEST_MACH_EQUIP_POP" hidden="1">"c7091"</definedName>
    <definedName name="IQ_FIXED_INVEST_MACH_EQUIP_POP_FC" hidden="1">"c7971"</definedName>
    <definedName name="IQ_FIXED_INVEST_MACH_EQUIP_REAL" hidden="1">"c6979"</definedName>
    <definedName name="IQ_FIXED_INVEST_MACH_EQUIP_REAL_APR" hidden="1">"c7639"</definedName>
    <definedName name="IQ_FIXED_INVEST_MACH_EQUIP_REAL_APR_FC" hidden="1">"c8519"</definedName>
    <definedName name="IQ_FIXED_INVEST_MACH_EQUIP_REAL_FC" hidden="1">"c7859"</definedName>
    <definedName name="IQ_FIXED_INVEST_MACH_EQUIP_REAL_POP" hidden="1">"c7199"</definedName>
    <definedName name="IQ_FIXED_INVEST_MACH_EQUIP_REAL_POP_FC" hidden="1">"c8079"</definedName>
    <definedName name="IQ_FIXED_INVEST_MACH_EQUIP_REAL_YOY" hidden="1">"c7419"</definedName>
    <definedName name="IQ_FIXED_INVEST_MACH_EQUIP_REAL_YOY_FC" hidden="1">"c8299"</definedName>
    <definedName name="IQ_FIXED_INVEST_MACH_EQUIP_YOY" hidden="1">"c7311"</definedName>
    <definedName name="IQ_FIXED_INVEST_MACH_EQUIP_YOY_FC" hidden="1">"c8191"</definedName>
    <definedName name="IQ_FIXED_INVEST_POP_FC_UNUSED_UNUSED_UNUSED" hidden="1">"c7970"</definedName>
    <definedName name="IQ_FIXED_INVEST_POP_UNUSED_UNUSED_UNUSED" hidden="1">"c7090"</definedName>
    <definedName name="IQ_FIXED_INVEST_REAL_APR_FC_UNUSED_UNUSED_UNUSED" hidden="1">"c8518"</definedName>
    <definedName name="IQ_FIXED_INVEST_REAL_APR_UNUSED_UNUSED_UNUSED" hidden="1">"c7638"</definedName>
    <definedName name="IQ_FIXED_INVEST_REAL_FC_UNUSED_UNUSED_UNUSED" hidden="1">"c7858"</definedName>
    <definedName name="IQ_FIXED_INVEST_REAL_POP_FC_UNUSED_UNUSED_UNUSED" hidden="1">"c8078"</definedName>
    <definedName name="IQ_FIXED_INVEST_REAL_POP_UNUSED_UNUSED_UNUSED" hidden="1">"c7198"</definedName>
    <definedName name="IQ_FIXED_INVEST_REAL_SAAR" hidden="1">"c6980"</definedName>
    <definedName name="IQ_FIXED_INVEST_REAL_SAAR_APR" hidden="1">"c7640"</definedName>
    <definedName name="IQ_FIXED_INVEST_REAL_SAAR_APR_FC" hidden="1">"c8520"</definedName>
    <definedName name="IQ_FIXED_INVEST_REAL_SAAR_FC" hidden="1">"c7860"</definedName>
    <definedName name="IQ_FIXED_INVEST_REAL_SAAR_POP" hidden="1">"c7200"</definedName>
    <definedName name="IQ_FIXED_INVEST_REAL_SAAR_POP_FC" hidden="1">"c8080"</definedName>
    <definedName name="IQ_FIXED_INVEST_REAL_SAAR_USD_APR_FC" hidden="1">"c11945"</definedName>
    <definedName name="IQ_FIXED_INVEST_REAL_SAAR_USD_FC" hidden="1">"c11942"</definedName>
    <definedName name="IQ_FIXED_INVEST_REAL_SAAR_USD_POP_FC" hidden="1">"c11943"</definedName>
    <definedName name="IQ_FIXED_INVEST_REAL_SAAR_USD_YOY_FC" hidden="1">"c11944"</definedName>
    <definedName name="IQ_FIXED_INVEST_REAL_SAAR_YOY" hidden="1">"c7420"</definedName>
    <definedName name="IQ_FIXED_INVEST_REAL_SAAR_YOY_FC" hidden="1">"c8300"</definedName>
    <definedName name="IQ_FIXED_INVEST_REAL_UNUSED_UNUSED_UNUSED" hidden="1">"c6978"</definedName>
    <definedName name="IQ_FIXED_INVEST_REAL_USD_APR_FC" hidden="1">"c11941"</definedName>
    <definedName name="IQ_FIXED_INVEST_REAL_USD_FC" hidden="1">"c11938"</definedName>
    <definedName name="IQ_FIXED_INVEST_REAL_USD_POP_FC" hidden="1">"c11939"</definedName>
    <definedName name="IQ_FIXED_INVEST_REAL_USD_YOY_FC" hidden="1">"c11940"</definedName>
    <definedName name="IQ_FIXED_INVEST_REAL_YOY_FC_UNUSED_UNUSED_UNUSED" hidden="1">"c8298"</definedName>
    <definedName name="IQ_FIXED_INVEST_REAL_YOY_UNUSED_UNUSED_UNUSED" hidden="1">"c7418"</definedName>
    <definedName name="IQ_FIXED_INVEST_SAAR" hidden="1">"c6872"</definedName>
    <definedName name="IQ_FIXED_INVEST_SAAR_APR" hidden="1">"c7532"</definedName>
    <definedName name="IQ_FIXED_INVEST_SAAR_APR_FC" hidden="1">"c8412"</definedName>
    <definedName name="IQ_FIXED_INVEST_SAAR_FC" hidden="1">"c7752"</definedName>
    <definedName name="IQ_FIXED_INVEST_SAAR_POP" hidden="1">"c7092"</definedName>
    <definedName name="IQ_FIXED_INVEST_SAAR_POP_FC" hidden="1">"c7972"</definedName>
    <definedName name="IQ_FIXED_INVEST_SAAR_USD_APR_FC" hidden="1">"c11833"</definedName>
    <definedName name="IQ_FIXED_INVEST_SAAR_USD_FC" hidden="1">"c11830"</definedName>
    <definedName name="IQ_FIXED_INVEST_SAAR_USD_POP_FC" hidden="1">"c11831"</definedName>
    <definedName name="IQ_FIXED_INVEST_SAAR_USD_YOY_FC" hidden="1">"c11832"</definedName>
    <definedName name="IQ_FIXED_INVEST_SAAR_YOY" hidden="1">"c7312"</definedName>
    <definedName name="IQ_FIXED_INVEST_SAAR_YOY_FC" hidden="1">"c8192"</definedName>
    <definedName name="IQ_FIXED_INVEST_UNUSED_UNUSED_UNUSED" hidden="1">"c6870"</definedName>
    <definedName name="IQ_FIXED_INVEST_USD_APR_FC" hidden="1">"c11829"</definedName>
    <definedName name="IQ_FIXED_INVEST_USD_FC" hidden="1">"c11826"</definedName>
    <definedName name="IQ_FIXED_INVEST_USD_POP_FC" hidden="1">"c11827"</definedName>
    <definedName name="IQ_FIXED_INVEST_USD_YOY_FC" hidden="1">"c11828"</definedName>
    <definedName name="IQ_FIXED_INVEST_YOY_FC_UNUSED_UNUSED_UNUSED" hidden="1">"c8190"</definedName>
    <definedName name="IQ_FIXED_INVEST_YOY_UNUSED_UNUSED_UNUSED" hidden="1">"c7310"</definedName>
    <definedName name="IQ_FLOAT_PERCENT" hidden="1">"c1575"</definedName>
    <definedName name="IQ_FNMA_FHLMC_FDIC" hidden="1">"c6397"</definedName>
    <definedName name="IQ_FNMA_FHLMC_GNMA_FDIC" hidden="1">"c6399"</definedName>
    <definedName name="IQ_FORECLOSED_PROPERTIES_FDIC" hidden="1">"c6459"</definedName>
    <definedName name="IQ_FOREIGN_BANK_LOANS_FDIC" hidden="1">"c6437"</definedName>
    <definedName name="IQ_FOREIGN_BANKS_DEPOSITS_FOREIGN_FDIC" hidden="1">"c6481"</definedName>
    <definedName name="IQ_FOREIGN_BANKS_LOAN_CHARG_OFFS_FDIC" hidden="1">"c6645"</definedName>
    <definedName name="IQ_FOREIGN_BANKS_NET_CHARGE_OFFS_FDIC" hidden="1">"c6647"</definedName>
    <definedName name="IQ_FOREIGN_BANKS_NONTRANSACTION_ACCOUNTS_FDIC" hidden="1">"c6550"</definedName>
    <definedName name="IQ_FOREIGN_BANKS_RECOVERIES_FDIC" hidden="1">"c6646"</definedName>
    <definedName name="IQ_FOREIGN_BANKS_TRANSACTION_ACCOUNTS_FDIC" hidden="1">"c6542"</definedName>
    <definedName name="IQ_FOREIGN_BRANCHES_U.S._BANKS_LOANS_FDIC" hidden="1">"c6438"</definedName>
    <definedName name="IQ_FOREIGN_BRANCHES_US_BANKS_FDIC" hidden="1">"c6392"</definedName>
    <definedName name="IQ_FOREIGN_BRANCHES_US_BANKS_LOANS_FDIC" hidden="1">"c6438"</definedName>
    <definedName name="IQ_FOREIGN_COUNTRIES_BANKS_TOTAL_LOANS_FOREIGN_FDIC" hidden="1">"c6445"</definedName>
    <definedName name="IQ_FOREIGN_DEBT_SECURITIES_FDIC" hidden="1">"c6303"</definedName>
    <definedName name="IQ_FOREIGN_DEP_IB" hidden="1">"c446"</definedName>
    <definedName name="IQ_FOREIGN_DEP_NON_IB" hidden="1">"c447"</definedName>
    <definedName name="IQ_FOREIGN_DEPOSITS_NONTRANSACTION_ACCOUNTS_FDIC" hidden="1">"c6549"</definedName>
    <definedName name="IQ_FOREIGN_DEPOSITS_TRANSACTION_ACCOUNTS_FDIC" hidden="1">"c6541"</definedName>
    <definedName name="IQ_FOREIGN_EXCHANGE" hidden="1">"c1376"</definedName>
    <definedName name="IQ_FOREIGN_EXCHANGE_EXPOSURES_FDIC" hidden="1">"c6663"</definedName>
    <definedName name="IQ_FOREIGN_GOVERNMENT_LOANS_FDIC" hidden="1">"c6430"</definedName>
    <definedName name="IQ_FOREIGN_GOVERNMENTS_CHARGE_OFFS_FDIC" hidden="1">"c6600"</definedName>
    <definedName name="IQ_FOREIGN_GOVERNMENTS_DEPOSITS_FOREIGN_FDIC" hidden="1">"c6482"</definedName>
    <definedName name="IQ_FOREIGN_GOVERNMENTS_NET_CHARGE_OFFS_FDIC" hidden="1">"c6638"</definedName>
    <definedName name="IQ_FOREIGN_GOVERNMENTS_NONTRANSACTION_ACCOUNTS_FDIC" hidden="1">"c6551"</definedName>
    <definedName name="IQ_FOREIGN_GOVERNMENTS_RECOVERIES_FDIC" hidden="1">"c6619"</definedName>
    <definedName name="IQ_FOREIGN_GOVERNMENTS_TOTAL_DEPOSITS_FDIC" hidden="1">"c6476"</definedName>
    <definedName name="IQ_FOREIGN_GOVERNMENTS_TRANSACTION_ACCOUNTS_FDIC" hidden="1">"c6543"</definedName>
    <definedName name="IQ_FOREIGN_LOANS" hidden="1">"c448"</definedName>
    <definedName name="IQ_FQ" hidden="1">500</definedName>
    <definedName name="IQ_FUEL" hidden="1">"c449"</definedName>
    <definedName name="IQ_FULL_TIME" hidden="1">"c450"</definedName>
    <definedName name="IQ_FULLY_INSURED_DEPOSITS_FDIC" hidden="1">"c6487"</definedName>
    <definedName name="IQ_FUTURES_FORWARD_CONTRACTS_NOTIONAL_AMOUNT_FDIC" hidden="1">"c6518"</definedName>
    <definedName name="IQ_FUTURES_FORWARD_CONTRACTS_RATE_RISK_FDIC" hidden="1">"c6508"</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X" hidden="1">"c451"</definedName>
    <definedName name="IQ_FX_CONTRACTS_FDIC" hidden="1">"c6517"</definedName>
    <definedName name="IQ_FX_CONTRACTS_SPOT_FDIC" hidden="1">"c6356"</definedName>
    <definedName name="IQ_FY" hidden="1">1000</definedName>
    <definedName name="IQ_GA_EXP" hidden="1">"c2241"</definedName>
    <definedName name="IQ_GAAP_BS" hidden="1">"c6789"</definedName>
    <definedName name="IQ_GAAP_CF" hidden="1">"c6790"</definedName>
    <definedName name="IQ_GAAP_IS" hidden="1">"c6194"</definedName>
    <definedName name="IQ_GAIN_ASSETS" hidden="1">"c452"</definedName>
    <definedName name="IQ_GAIN_ASSETS_BNK" hidden="1">"c453"</definedName>
    <definedName name="IQ_GAIN_ASSETS_BR" hidden="1">"c454"</definedName>
    <definedName name="IQ_GAIN_ASSETS_CF" hidden="1">"c455"</definedName>
    <definedName name="IQ_GAIN_ASSETS_CF_BNK" hidden="1">"c456"</definedName>
    <definedName name="IQ_GAIN_ASSETS_CF_BR" hidden="1">"c457"</definedName>
    <definedName name="IQ_GAIN_ASSETS_CF_FIN" hidden="1">"c458"</definedName>
    <definedName name="IQ_GAIN_ASSETS_CF_INS" hidden="1">"c459"</definedName>
    <definedName name="IQ_GAIN_ASSETS_CF_RE" hidden="1">"c6217"</definedName>
    <definedName name="IQ_GAIN_ASSETS_CF_REIT" hidden="1">"c460"</definedName>
    <definedName name="IQ_GAIN_ASSETS_CF_UTI" hidden="1">"c461"</definedName>
    <definedName name="IQ_GAIN_ASSETS_FIN" hidden="1">"c462"</definedName>
    <definedName name="IQ_GAIN_ASSETS_INS" hidden="1">"c463"</definedName>
    <definedName name="IQ_GAIN_ASSETS_RE" hidden="1">"c6218"</definedName>
    <definedName name="IQ_GAIN_ASSETS_REIT" hidden="1">"c471"</definedName>
    <definedName name="IQ_GAIN_ASSETS_REV" hidden="1">"c472"</definedName>
    <definedName name="IQ_GAIN_ASSETS_REV_BNK" hidden="1">"c473"</definedName>
    <definedName name="IQ_GAIN_ASSETS_REV_BR" hidden="1">"c474"</definedName>
    <definedName name="IQ_GAIN_ASSETS_REV_FIN" hidden="1">"c475"</definedName>
    <definedName name="IQ_GAIN_ASSETS_REV_INS" hidden="1">"c476"</definedName>
    <definedName name="IQ_GAIN_ASSETS_REV_RE" hidden="1">"c6219"</definedName>
    <definedName name="IQ_GAIN_ASSETS_REV_REIT" hidden="1">"c477"</definedName>
    <definedName name="IQ_GAIN_ASSETS_REV_UTI" hidden="1">"c478"</definedName>
    <definedName name="IQ_GAIN_ASSETS_UTI" hidden="1">"c479"</definedName>
    <definedName name="IQ_GAIN_INVEST" hidden="1">"c1463"</definedName>
    <definedName name="IQ_GAIN_INVEST_BNK" hidden="1">"c1582"</definedName>
    <definedName name="IQ_GAIN_INVEST_BR" hidden="1">"c1464"</definedName>
    <definedName name="IQ_GAIN_INVEST_CF" hidden="1">"c480"</definedName>
    <definedName name="IQ_GAIN_INVEST_CF_BNK" hidden="1">"c481"</definedName>
    <definedName name="IQ_GAIN_INVEST_CF_BR" hidden="1">"c482"</definedName>
    <definedName name="IQ_GAIN_INVEST_CF_FIN" hidden="1">"c483"</definedName>
    <definedName name="IQ_GAIN_INVEST_CF_INS" hidden="1">"c484"</definedName>
    <definedName name="IQ_GAIN_INVEST_CF_RE" hidden="1">"c6220"</definedName>
    <definedName name="IQ_GAIN_INVEST_CF_REIT" hidden="1">"c485"</definedName>
    <definedName name="IQ_GAIN_INVEST_CF_UTI" hidden="1">"c486"</definedName>
    <definedName name="IQ_GAIN_INVEST_FIN" hidden="1">"c1465"</definedName>
    <definedName name="IQ_GAIN_INVEST_INS" hidden="1">"c1466"</definedName>
    <definedName name="IQ_GAIN_INVEST_RE" hidden="1">"c6278"</definedName>
    <definedName name="IQ_GAIN_INVEST_REIT" hidden="1">"c1467"</definedName>
    <definedName name="IQ_GAIN_INVEST_REV" hidden="1">"c494"</definedName>
    <definedName name="IQ_GAIN_INVEST_REV_BNK" hidden="1">"c495"</definedName>
    <definedName name="IQ_GAIN_INVEST_REV_BR" hidden="1">"c496"</definedName>
    <definedName name="IQ_GAIN_INVEST_REV_FIN" hidden="1">"c497"</definedName>
    <definedName name="IQ_GAIN_INVEST_REV_INS" hidden="1">"c498"</definedName>
    <definedName name="IQ_GAIN_INVEST_REV_RE" hidden="1">"c6221"</definedName>
    <definedName name="IQ_GAIN_INVEST_REV_REIT" hidden="1">"c499"</definedName>
    <definedName name="IQ_GAIN_INVEST_REV_UTI" hidden="1">"c500"</definedName>
    <definedName name="IQ_GAIN_INVEST_UTI" hidden="1">"c1468"</definedName>
    <definedName name="IQ_GAIN_LOANS_REC" hidden="1">"c501"</definedName>
    <definedName name="IQ_GAIN_LOANS_RECEIV" hidden="1">"c502"</definedName>
    <definedName name="IQ_GAIN_LOANS_RECEIV_REV_FIN" hidden="1">"c503"</definedName>
    <definedName name="IQ_GAIN_LOANS_REV" hidden="1">"c504"</definedName>
    <definedName name="IQ_GAIN_SALE_ASSETS" hidden="1">"c1377"</definedName>
    <definedName name="IQ_GAIN_SALE_LOANS_FDIC" hidden="1">"c6673"</definedName>
    <definedName name="IQ_GAIN_SALE_RE_FDIC" hidden="1">"c6674"</definedName>
    <definedName name="IQ_GAINS_SALE_ASSETS_FDIC" hidden="1">"c6675"</definedName>
    <definedName name="IQ_GDP" hidden="1">"c6874"</definedName>
    <definedName name="IQ_GDP_APR" hidden="1">"c7534"</definedName>
    <definedName name="IQ_GDP_APR_FC" hidden="1">"c8414"</definedName>
    <definedName name="IQ_GDP_FC" hidden="1">"c7754"</definedName>
    <definedName name="IQ_GDP_POP" hidden="1">"c7094"</definedName>
    <definedName name="IQ_GDP_POP_FC" hidden="1">"c7974"</definedName>
    <definedName name="IQ_GDP_REAL" hidden="1">"c6981"</definedName>
    <definedName name="IQ_GDP_REAL_APR" hidden="1">"c7641"</definedName>
    <definedName name="IQ_GDP_REAL_APR_FC" hidden="1">"c8521"</definedName>
    <definedName name="IQ_GDP_REAL_FC" hidden="1">"c7861"</definedName>
    <definedName name="IQ_GDP_REAL_POP" hidden="1">"c7201"</definedName>
    <definedName name="IQ_GDP_REAL_POP_FC" hidden="1">"c8081"</definedName>
    <definedName name="IQ_GDP_REAL_SAAR" hidden="1">"c6982"</definedName>
    <definedName name="IQ_GDP_REAL_SAAR_APR" hidden="1">"c7642"</definedName>
    <definedName name="IQ_GDP_REAL_SAAR_APR_FC" hidden="1">"c8522"</definedName>
    <definedName name="IQ_GDP_REAL_SAAR_FC" hidden="1">"c7862"</definedName>
    <definedName name="IQ_GDP_REAL_SAAR_POP" hidden="1">"c7202"</definedName>
    <definedName name="IQ_GDP_REAL_SAAR_POP_FC" hidden="1">"c8082"</definedName>
    <definedName name="IQ_GDP_REAL_SAAR_YOY" hidden="1">"c7422"</definedName>
    <definedName name="IQ_GDP_REAL_SAAR_YOY_FC" hidden="1">"c8302"</definedName>
    <definedName name="IQ_GDP_REAL_USD" hidden="1">"c11946"</definedName>
    <definedName name="IQ_GDP_REAL_USD_APR" hidden="1">"c11949"</definedName>
    <definedName name="IQ_GDP_REAL_USD_POP" hidden="1">"c11947"</definedName>
    <definedName name="IQ_GDP_REAL_USD_YOY" hidden="1">"c11948"</definedName>
    <definedName name="IQ_GDP_REAL_YOY" hidden="1">"c7421"</definedName>
    <definedName name="IQ_GDP_REAL_YOY_FC" hidden="1">"c8301"</definedName>
    <definedName name="IQ_GDP_SAAR" hidden="1">"c6875"</definedName>
    <definedName name="IQ_GDP_SAAR_APR" hidden="1">"c7535"</definedName>
    <definedName name="IQ_GDP_SAAR_APR_FC" hidden="1">"c8415"</definedName>
    <definedName name="IQ_GDP_SAAR_FC" hidden="1">"c7755"</definedName>
    <definedName name="IQ_GDP_SAAR_POP" hidden="1">"c7095"</definedName>
    <definedName name="IQ_GDP_SAAR_POP_FC" hidden="1">"c7975"</definedName>
    <definedName name="IQ_GDP_SAAR_YOY" hidden="1">"c7315"</definedName>
    <definedName name="IQ_GDP_SAAR_YOY_FC" hidden="1">"c8195"</definedName>
    <definedName name="IQ_GDP_USD" hidden="1">"c11834"</definedName>
    <definedName name="IQ_GDP_USD_APR" hidden="1">"c11837"</definedName>
    <definedName name="IQ_GDP_USD_POP" hidden="1">"c11835"</definedName>
    <definedName name="IQ_GDP_USD_YOY" hidden="1">"c11836"</definedName>
    <definedName name="IQ_GDP_YOY" hidden="1">"c7314"</definedName>
    <definedName name="IQ_GDP_YOY_FC" hidden="1">"c8194"</definedName>
    <definedName name="IQ_GEO_SEG_ASSETS" hidden="1">"c4069"</definedName>
    <definedName name="IQ_GEO_SEG_ASSETS_ABS" hidden="1">"c4091"</definedName>
    <definedName name="IQ_GEO_SEG_ASSETS_TOTAL" hidden="1">"c4123"</definedName>
    <definedName name="IQ_GEO_SEG_CAPEX" hidden="1">"c4083"</definedName>
    <definedName name="IQ_GEO_SEG_CAPEX_ABS" hidden="1">"c4105"</definedName>
    <definedName name="IQ_GEO_SEG_CAPEX_TOTAL" hidden="1">"c4127"</definedName>
    <definedName name="IQ_GEO_SEG_DA" hidden="1">"c4082"</definedName>
    <definedName name="IQ_GEO_SEG_DA_ABS" hidden="1">"c4104"</definedName>
    <definedName name="IQ_GEO_SEG_DA_TOTAL" hidden="1">"c4126"</definedName>
    <definedName name="IQ_GEO_SEG_EARNINGS_OP" hidden="1">"c4073"</definedName>
    <definedName name="IQ_GEO_SEG_EARNINGS_OP_ABS" hidden="1">"c4095"</definedName>
    <definedName name="IQ_GEO_SEG_EARNINGS_OP_TOTAL" hidden="1">"c4119"</definedName>
    <definedName name="IQ_GEO_SEG_EBT" hidden="1">"c4072"</definedName>
    <definedName name="IQ_GEO_SEG_EBT_ABS" hidden="1">"c4094"</definedName>
    <definedName name="IQ_GEO_SEG_EBT_TOTAL" hidden="1">"c4121"</definedName>
    <definedName name="IQ_GEO_SEG_GP" hidden="1">"c4070"</definedName>
    <definedName name="IQ_GEO_SEG_GP_ABS" hidden="1">"c4092"</definedName>
    <definedName name="IQ_GEO_SEG_GP_TOTAL" hidden="1">"c4120"</definedName>
    <definedName name="IQ_GEO_SEG_INC_TAX" hidden="1">"c4081"</definedName>
    <definedName name="IQ_GEO_SEG_INC_TAX_ABS" hidden="1">"c4103"</definedName>
    <definedName name="IQ_GEO_SEG_INC_TAX_TOTAL" hidden="1">"c4125"</definedName>
    <definedName name="IQ_GEO_SEG_INTEREST_EXP" hidden="1">"c4080"</definedName>
    <definedName name="IQ_GEO_SEG_INTEREST_EXP_ABS" hidden="1">"c4102"</definedName>
    <definedName name="IQ_GEO_SEG_INTEREST_EXP_TOTAL" hidden="1">"c4124"</definedName>
    <definedName name="IQ_GEO_SEG_NAME" hidden="1">"c5484"</definedName>
    <definedName name="IQ_GEO_SEG_NAME_ABS" hidden="1">"c5485"</definedName>
    <definedName name="IQ_GEO_SEG_NI" hidden="1">"c4071"</definedName>
    <definedName name="IQ_GEO_SEG_NI_ABS" hidden="1">"c4093"</definedName>
    <definedName name="IQ_GEO_SEG_NI_TOTAL" hidden="1">"c4122"</definedName>
    <definedName name="IQ_GEO_SEG_OPER_INC" hidden="1">"c4075"</definedName>
    <definedName name="IQ_GEO_SEG_OPER_INC_ABS" hidden="1">"c4097"</definedName>
    <definedName name="IQ_GEO_SEG_OPER_INC_TOTAL" hidden="1">"c4118"</definedName>
    <definedName name="IQ_GEO_SEG_REV" hidden="1">"c4074"</definedName>
    <definedName name="IQ_GEO_SEG_REV_ABS" hidden="1">"c4096"</definedName>
    <definedName name="IQ_GEO_SEG_REV_TOTAL" hidden="1">"c4117"</definedName>
    <definedName name="IQ_GLA_PCT_LEASED_CONSOL" hidden="1">"c8810"</definedName>
    <definedName name="IQ_GLA_PCT_LEASED_MANAGED" hidden="1">"c8812"</definedName>
    <definedName name="IQ_GLA_PCT_LEASED_OTHER" hidden="1">"c8813"</definedName>
    <definedName name="IQ_GLA_PCT_LEASED_TOTAL" hidden="1">"c8814"</definedName>
    <definedName name="IQ_GLA_PCT_LEASED_UNCONSOL" hidden="1">"c8811"</definedName>
    <definedName name="IQ_GLA_SQ_FT_CONSOL" hidden="1">"c8790"</definedName>
    <definedName name="IQ_GLA_SQ_FT_MANAGED" hidden="1">"c8792"</definedName>
    <definedName name="IQ_GLA_SQ_FT_OTHER" hidden="1">"c8793"</definedName>
    <definedName name="IQ_GLA_SQ_FT_TOTAL" hidden="1">"c8794"</definedName>
    <definedName name="IQ_GLA_SQ_FT_UNCONSOL" hidden="1">"c8791"</definedName>
    <definedName name="IQ_GLA_SQ_METER_CONSOL" hidden="1">"c8795"</definedName>
    <definedName name="IQ_GLA_SQ_METER_MANAGED" hidden="1">"c8797"</definedName>
    <definedName name="IQ_GLA_SQ_METER_OTHER" hidden="1">"c8798"</definedName>
    <definedName name="IQ_GLA_SQ_METER_TOTAL" hidden="1">"c8799"</definedName>
    <definedName name="IQ_GLA_SQ_METER_UNCONSOL" hidden="1">"c8796"</definedName>
    <definedName name="IQ_GNMA_FDIC" hidden="1">"c6398"</definedName>
    <definedName name="IQ_GOODWILL_FDIC" hidden="1">"c6334"</definedName>
    <definedName name="IQ_GOODWILL_IMPAIRMENT_FDIC" hidden="1">"c6678"</definedName>
    <definedName name="IQ_GOODWILL_INTAN_FDIC" hidden="1">"c6333"</definedName>
    <definedName name="IQ_GOODWILL_NET" hidden="1">"c1380"</definedName>
    <definedName name="IQ_GOVT_PERSONAL_TAXES_RECEIPTS" hidden="1">"c6876"</definedName>
    <definedName name="IQ_GOVT_PERSONAL_TAXES_RECEIPTS_APR" hidden="1">"c7536"</definedName>
    <definedName name="IQ_GOVT_PERSONAL_TAXES_RECEIPTS_APR_FC" hidden="1">"c8416"</definedName>
    <definedName name="IQ_GOVT_PERSONAL_TAXES_RECEIPTS_FC" hidden="1">"c7756"</definedName>
    <definedName name="IQ_GOVT_PERSONAL_TAXES_RECEIPTS_POP" hidden="1">"c7096"</definedName>
    <definedName name="IQ_GOVT_PERSONAL_TAXES_RECEIPTS_POP_FC" hidden="1">"c7976"</definedName>
    <definedName name="IQ_GOVT_PERSONAL_TAXES_RECEIPTS_YOY" hidden="1">"c7316"</definedName>
    <definedName name="IQ_GOVT_PERSONAL_TAXES_RECEIPTS_YOY_FC" hidden="1">"c8196"</definedName>
    <definedName name="IQ_GOVT_RECEIPTS" hidden="1">"c6877"</definedName>
    <definedName name="IQ_GOVT_RECEIPTS_APR" hidden="1">"c7537"</definedName>
    <definedName name="IQ_GOVT_RECEIPTS_APR_FC" hidden="1">"c8417"</definedName>
    <definedName name="IQ_GOVT_RECEIPTS_FC" hidden="1">"c7757"</definedName>
    <definedName name="IQ_GOVT_RECEIPTS_POP" hidden="1">"c7097"</definedName>
    <definedName name="IQ_GOVT_RECEIPTS_POP_FC" hidden="1">"c7977"</definedName>
    <definedName name="IQ_GOVT_RECEIPTS_YOY" hidden="1">"c7317"</definedName>
    <definedName name="IQ_GOVT_RECEIPTS_YOY_FC" hidden="1">"c8197"</definedName>
    <definedName name="IQ_GP" hidden="1">"c511"</definedName>
    <definedName name="IQ_GP_10YR_ANN_CAGR" hidden="1">"c6090"</definedName>
    <definedName name="IQ_GP_10YR_ANN_GROWTH" hidden="1">"c512"</definedName>
    <definedName name="IQ_GP_1YR_ANN_GROWTH" hidden="1">"c513"</definedName>
    <definedName name="IQ_GP_2YR_ANN_CAGR" hidden="1">"c6091"</definedName>
    <definedName name="IQ_GP_2YR_ANN_GROWTH" hidden="1">"c514"</definedName>
    <definedName name="IQ_GP_3YR_ANN_CAGR" hidden="1">"c6092"</definedName>
    <definedName name="IQ_GP_3YR_ANN_GROWTH" hidden="1">"c515"</definedName>
    <definedName name="IQ_GP_5YR_ANN_CAGR" hidden="1">"c6093"</definedName>
    <definedName name="IQ_GP_5YR_ANN_GROWTH" hidden="1">"c516"</definedName>
    <definedName name="IQ_GP_7YR_ANN_CAGR" hidden="1">"c6094"</definedName>
    <definedName name="IQ_GP_7YR_ANN_GROWTH" hidden="1">"c517"</definedName>
    <definedName name="IQ_GPPE" hidden="1">"c518"</definedName>
    <definedName name="IQ_GROSS_AH_EARNED" hidden="1">"c2742"</definedName>
    <definedName name="IQ_GROSS_CLAIM_EXP_INCUR" hidden="1">"c2755"</definedName>
    <definedName name="IQ_GROSS_CLAIM_EXP_PAID" hidden="1">"c2758"</definedName>
    <definedName name="IQ_GROSS_CLAIM_EXP_RES" hidden="1">"c2752"</definedName>
    <definedName name="IQ_GROSS_DIVID" hidden="1">"c1446"</definedName>
    <definedName name="IQ_GROSS_EARNED" hidden="1">"c2732"</definedName>
    <definedName name="IQ_GROSS_LIFE_EARNED" hidden="1">"c2737"</definedName>
    <definedName name="IQ_GROSS_LIFE_IN_FORCE" hidden="1">"c2767"</definedName>
    <definedName name="IQ_GROSS_LOANS" hidden="1">"c521"</definedName>
    <definedName name="IQ_GROSS_LOANS_10YR_ANN_CAGR" hidden="1">"c6095"</definedName>
    <definedName name="IQ_GROSS_LOANS_10YR_ANN_GROWTH" hidden="1">"c522"</definedName>
    <definedName name="IQ_GROSS_LOANS_1YR_ANN_GROWTH" hidden="1">"c523"</definedName>
    <definedName name="IQ_GROSS_LOANS_2YR_ANN_CAGR" hidden="1">"c6096"</definedName>
    <definedName name="IQ_GROSS_LOANS_2YR_ANN_GROWTH" hidden="1">"c524"</definedName>
    <definedName name="IQ_GROSS_LOANS_3YR_ANN_CAGR" hidden="1">"c6097"</definedName>
    <definedName name="IQ_GROSS_LOANS_3YR_ANN_GROWTH" hidden="1">"c525"</definedName>
    <definedName name="IQ_GROSS_LOANS_5YR_ANN_CAGR" hidden="1">"c6098"</definedName>
    <definedName name="IQ_GROSS_LOANS_5YR_ANN_GROWTH" hidden="1">"c526"</definedName>
    <definedName name="IQ_GROSS_LOANS_7YR_ANN_CAGR" hidden="1">"c6099"</definedName>
    <definedName name="IQ_GROSS_LOANS_7YR_ANN_GROWTH" hidden="1">"c527"</definedName>
    <definedName name="IQ_GROSS_LOANS_TOTAL_DEPOSITS" hidden="1">"c528"</definedName>
    <definedName name="IQ_GROSS_MARGIN" hidden="1">"c529"</definedName>
    <definedName name="IQ_GROSS_PC_EARNED" hidden="1">"c2747"</definedName>
    <definedName name="IQ_GROSS_PROFIT" hidden="1">"c1378"</definedName>
    <definedName name="IQ_GROSS_SPRD" hidden="1">"c2155"</definedName>
    <definedName name="IQ_GROSS_WRITTEN" hidden="1">"c2726"</definedName>
    <definedName name="IQ_GROUP_EMBEDDED_VALUE_ASSET_MANAGEMENT" hidden="1">"c9955"</definedName>
    <definedName name="IQ_GROUP_EMBEDDED_VALUE_HEALTH" hidden="1">"c9954"</definedName>
    <definedName name="IQ_GROUP_EMBEDDED_VALUE_LIFE" hidden="1">"c9953"</definedName>
    <definedName name="IQ_GROUP_EMBEDDED_VALUE_LIFE_OTHER" hidden="1">"c9956"</definedName>
    <definedName name="IQ_GW" hidden="1">"c530"</definedName>
    <definedName name="IQ_GW_AMORT_BR" hidden="1">"c532"</definedName>
    <definedName name="IQ_GW_AMORT_FIN" hidden="1">"c540"</definedName>
    <definedName name="IQ_GW_AMORT_INS" hidden="1">"c541"</definedName>
    <definedName name="IQ_GW_AMORT_REIT" hidden="1">"c542"</definedName>
    <definedName name="IQ_GW_AMORT_UTI" hidden="1">"c543"</definedName>
    <definedName name="IQ_GW_INTAN_AMORT" hidden="1">"c1469"</definedName>
    <definedName name="IQ_GW_INTAN_AMORT_BNK" hidden="1">"c544"</definedName>
    <definedName name="IQ_GW_INTAN_AMORT_BR" hidden="1">"c1470"</definedName>
    <definedName name="IQ_GW_INTAN_AMORT_CF" hidden="1">"c1471"</definedName>
    <definedName name="IQ_GW_INTAN_AMORT_CF_BNK" hidden="1">"c1472"</definedName>
    <definedName name="IQ_GW_INTAN_AMORT_CF_BR" hidden="1">"c1473"</definedName>
    <definedName name="IQ_GW_INTAN_AMORT_CF_FIN" hidden="1">"c1474"</definedName>
    <definedName name="IQ_GW_INTAN_AMORT_CF_INS" hidden="1">"c1475"</definedName>
    <definedName name="IQ_GW_INTAN_AMORT_CF_RE" hidden="1">"c6279"</definedName>
    <definedName name="IQ_GW_INTAN_AMORT_CF_REIT" hidden="1">"c1476"</definedName>
    <definedName name="IQ_GW_INTAN_AMORT_CF_UTI" hidden="1">"c1477"</definedName>
    <definedName name="IQ_GW_INTAN_AMORT_FIN" hidden="1">"c1478"</definedName>
    <definedName name="IQ_GW_INTAN_AMORT_INS" hidden="1">"c1479"</definedName>
    <definedName name="IQ_GW_INTAN_AMORT_RE" hidden="1">"c6280"</definedName>
    <definedName name="IQ_GW_INTAN_AMORT_REIT" hidden="1">"c1480"</definedName>
    <definedName name="IQ_GW_INTAN_AMORT_UTI" hidden="1">"c1481"</definedName>
    <definedName name="IQ_HC_ADJUSTED_DISCHARGES" hidden="1">"c9977"</definedName>
    <definedName name="IQ_HC_ADMISSIONS" hidden="1">"c5953"</definedName>
    <definedName name="IQ_HC_ADMISSIONS_GROWTH" hidden="1">"c5997"</definedName>
    <definedName name="IQ_HC_ADMISSIONS_MANAGED_CARE" hidden="1">"c5956"</definedName>
    <definedName name="IQ_HC_ADMISSIONS_MEDICAID" hidden="1">"c5955"</definedName>
    <definedName name="IQ_HC_ADMISSIONS_MEDICARE" hidden="1">"c5954"</definedName>
    <definedName name="IQ_HC_ADMISSIONS_OTHER" hidden="1">"c5957"</definedName>
    <definedName name="IQ_HC_ADMISSIONS_SF" hidden="1">"c6006"</definedName>
    <definedName name="IQ_HC_ALFS" hidden="1">"c5952"</definedName>
    <definedName name="IQ_HC_ASO_COVERED_LIVES" hidden="1">"c9982"</definedName>
    <definedName name="IQ_HC_ASO_MEMBERSHIP" hidden="1">"c9985"</definedName>
    <definedName name="IQ_HC_AVG_BEDS_SVC" hidden="1">"c5951"</definedName>
    <definedName name="IQ_HC_AVG_DAILY_CENSUS" hidden="1">"c5965"</definedName>
    <definedName name="IQ_HC_AVG_LICENSED_BEDS" hidden="1">"c5949"</definedName>
    <definedName name="IQ_HC_AVG_LICENSED_BEDS_SF" hidden="1">"c6004"</definedName>
    <definedName name="IQ_HC_AVG_STAY" hidden="1">"c5966"</definedName>
    <definedName name="IQ_HC_AVG_STAY_SF" hidden="1">"c6016"</definedName>
    <definedName name="IQ_HC_BEDS_SVC" hidden="1">"c5950"</definedName>
    <definedName name="IQ_HC_CASES" hidden="1">"c9978"</definedName>
    <definedName name="IQ_HC_CLAIMS_RESERVES" hidden="1">"c9989"</definedName>
    <definedName name="IQ_HC_DAYS_REV_OUT" hidden="1">"c5993"</definedName>
    <definedName name="IQ_HC_DISCHARGES" hidden="1">"c9976"</definedName>
    <definedName name="IQ_HC_EQUIV_ADMISSIONS_GROWTH" hidden="1">"c5998"</definedName>
    <definedName name="IQ_HC_EQUIVALENT_ADMISSIONS" hidden="1">"c5958"</definedName>
    <definedName name="IQ_HC_EQUIVALENT_ADMISSIONS_SF" hidden="1">"c6007"</definedName>
    <definedName name="IQ_HC_EQUIVALENT_PATIENT_DAYS" hidden="1">"c9980"</definedName>
    <definedName name="IQ_HC_ER_VISITS" hidden="1">"c5964"</definedName>
    <definedName name="IQ_HC_ER_VISITS_SF" hidden="1">"c6017"</definedName>
    <definedName name="IQ_HC_GROSS_INPATIENT_REV" hidden="1">"c5987"</definedName>
    <definedName name="IQ_HC_GROSS_OUTPATIENT_REV" hidden="1">"c5988"</definedName>
    <definedName name="IQ_HC_GROSS_PATIENT_REV" hidden="1">"c5989"</definedName>
    <definedName name="IQ_HC_HOSP_FACILITIES_CONSOL" hidden="1">"c5945"</definedName>
    <definedName name="IQ_HC_HOSP_FACILITIES_CONSOL_SF" hidden="1">"c6000"</definedName>
    <definedName name="IQ_HC_HOSP_FACILITIES_NON_CONSOL" hidden="1">"c5946"</definedName>
    <definedName name="IQ_HC_HOSP_FACILITIES_NON_CONSOL_SF" hidden="1">"c6001"</definedName>
    <definedName name="IQ_HC_HOSP_FACILITIES_TOTAL" hidden="1">"c5947"</definedName>
    <definedName name="IQ_HC_HOSP_FACILITIES_TOTAL_SF" hidden="1">"c6002"</definedName>
    <definedName name="IQ_HC_INPATIENT_PROCEDURES" hidden="1">"c5961"</definedName>
    <definedName name="IQ_HC_INPATIENT_PROCEDURES_SF" hidden="1">"c6011"</definedName>
    <definedName name="IQ_HC_INPATIENT_REV_PER_ADMISSION" hidden="1">"c5994"</definedName>
    <definedName name="IQ_HC_INTPATIENT_SVCS_PCT_REV" hidden="1">"c5975"</definedName>
    <definedName name="IQ_HC_INTPATIENT_SVCS_PCT_REV_SF" hidden="1">"c6015"</definedName>
    <definedName name="IQ_HC_LICENSED_BEDS" hidden="1">"c5948"</definedName>
    <definedName name="IQ_HC_LICENSED_BEDS_SF" hidden="1">"c6003"</definedName>
    <definedName name="IQ_HC_MANAGED_CARE_PCT_ADMISSIONS" hidden="1">"c5982"</definedName>
    <definedName name="IQ_HC_MANAGED_CARE_PCT_REV" hidden="1">"c5978"</definedName>
    <definedName name="IQ_HC_MEDICAID_PCT_ADMISSIONS" hidden="1">"c5981"</definedName>
    <definedName name="IQ_HC_MEDICAID_PCT_REV" hidden="1">"c5977"</definedName>
    <definedName name="IQ_HC_MEDICAL_EXPENSE_RATIO" hidden="1">"c9987"</definedName>
    <definedName name="IQ_HC_MEDICARE_PCT_ADMISSIONS" hidden="1">"c5980"</definedName>
    <definedName name="IQ_HC_MEDICARE_PCT_REV" hidden="1">"c5976"</definedName>
    <definedName name="IQ_HC_NET_INPATIENT_REV" hidden="1">"c5984"</definedName>
    <definedName name="IQ_HC_NET_OUTPATIENT_REV" hidden="1">"c5985"</definedName>
    <definedName name="IQ_HC_NET_PATIENT_REV" hidden="1">"c5986"</definedName>
    <definedName name="IQ_HC_NET_PATIENT_REV_SF" hidden="1">"c6005"</definedName>
    <definedName name="IQ_HC_OCC_RATE" hidden="1">"c5967"</definedName>
    <definedName name="IQ_HC_OCC_RATE_LICENSED_BEDS" hidden="1">"c5968"</definedName>
    <definedName name="IQ_HC_OCC_RATE_SF" hidden="1">"c6009"</definedName>
    <definedName name="IQ_HC_OPEX_SUPPLIES" hidden="1">"c5990"</definedName>
    <definedName name="IQ_HC_OTHER_OPEX_PCT_REV" hidden="1">"c5973"</definedName>
    <definedName name="IQ_HC_OUTPATIENT_PROCEDURES" hidden="1">"c5962"</definedName>
    <definedName name="IQ_HC_OUTPATIENT_PROCEDURES_SF" hidden="1">"c6012"</definedName>
    <definedName name="IQ_HC_OUTPATIENT_REV_PER_ADMISSION" hidden="1">"c5995"</definedName>
    <definedName name="IQ_HC_OUTPATIENT_SVCS_PCT_REV" hidden="1">"c5974"</definedName>
    <definedName name="IQ_HC_OUTPATIENT_SVCS_PCT_REV_SF" hidden="1">"c6014"</definedName>
    <definedName name="IQ_HC_PATIENT_DAYS" hidden="1">"c5960"</definedName>
    <definedName name="IQ_HC_PATIENT_DAYS_SF" hidden="1">"c6010"</definedName>
    <definedName name="IQ_HC_PROF_GEN_LIAB_CLAIM_PAID" hidden="1">"c5991"</definedName>
    <definedName name="IQ_HC_PROF_GEN_LIAB_EXP_BENEFIT" hidden="1">"c5992"</definedName>
    <definedName name="IQ_HC_PROVISION_DOUBTFUL_PCT_REV" hidden="1">"c5972"</definedName>
    <definedName name="IQ_HC_REV_GROWTH" hidden="1">"c5996"</definedName>
    <definedName name="IQ_HC_REV_PER_CASE" hidden="1">"c9979"</definedName>
    <definedName name="IQ_HC_REV_PER_DISCHARGE" hidden="1">"c9990"</definedName>
    <definedName name="IQ_HC_REV_PER_EQUIV_ADMISSION" hidden="1">"c5959"</definedName>
    <definedName name="IQ_HC_REV_PER_EQUIV_ADMISSION_SF" hidden="1">"c6008"</definedName>
    <definedName name="IQ_HC_REV_PER_EQUIV_ADMISSIONS_GROWTH" hidden="1">"c5999"</definedName>
    <definedName name="IQ_HC_REV_PER_PATIENT_DAY" hidden="1">"c5969"</definedName>
    <definedName name="IQ_HC_REV_PER_PATIENT_DAY_SF" hidden="1">"c6018"</definedName>
    <definedName name="IQ_HC_RISK_COVERED_LIVES" hidden="1">"c9981"</definedName>
    <definedName name="IQ_HC_RISK_MEMBERSHIP" hidden="1">"c9984"</definedName>
    <definedName name="IQ_HC_SALARIES_PCT_REV" hidden="1">"c5970"</definedName>
    <definedName name="IQ_HC_SGA_MARGIN" hidden="1">"c9988"</definedName>
    <definedName name="IQ_HC_SUPPLIES_PCT_REV" hidden="1">"c5971"</definedName>
    <definedName name="IQ_HC_TOTAL_COVERED_LIVES" hidden="1">"c9983"</definedName>
    <definedName name="IQ_HC_TOTAL_MEMBERSHIP" hidden="1">"c9986"</definedName>
    <definedName name="IQ_HC_TOTAL_PROCEDURES" hidden="1">"c5963"</definedName>
    <definedName name="IQ_HC_TOTAL_PROCEDURES_SF" hidden="1">"c6013"</definedName>
    <definedName name="IQ_HC_UNINSURED_PCT_ADMISSIONS" hidden="1">"c5983"</definedName>
    <definedName name="IQ_HC_UNINSURED_PCT_REV" hidden="1">"c5979"</definedName>
    <definedName name="IQ_HELD_MATURITY_FDIC" hidden="1">"c6408"</definedName>
    <definedName name="IQ_HG_ACQUIRED_FRANCHISE_HOTEL_PROPERTIES" hidden="1">"c8584"</definedName>
    <definedName name="IQ_HG_ACQUIRED_FRANCHISE_ROOMS" hidden="1">"c8614"</definedName>
    <definedName name="IQ_HG_ACQUIRED_HOTEL_PROPERTIES" hidden="1">"c8572"</definedName>
    <definedName name="IQ_HG_ACQUIRED_MANAGED_HOTEL_PROPERTIES" hidden="1">"c8590"</definedName>
    <definedName name="IQ_HG_ACQUIRED_MANAGED_ROOMS" hidden="1">"c8620"</definedName>
    <definedName name="IQ_HG_ACQUIRED_OTHER_HOTEL_PROPERTIES" hidden="1">"c8596"</definedName>
    <definedName name="IQ_HG_ACQUIRED_OTHER_ROOMS" hidden="1">"c8626"</definedName>
    <definedName name="IQ_HG_ACQUIRED_OWNED_HOTEL_PROPERTIES" hidden="1">"c8578"</definedName>
    <definedName name="IQ_HG_ACQUIRED_OWNED_ROOMS" hidden="1">"c8608"</definedName>
    <definedName name="IQ_HG_ACQUIRED_ROOMS" hidden="1">"c8602"</definedName>
    <definedName name="IQ_HG_ADR_CHANGE_FRANCHISE" hidden="1">"c8684"</definedName>
    <definedName name="IQ_HG_ADR_CHANGE_MANAGED" hidden="1">"c8685"</definedName>
    <definedName name="IQ_HG_ADR_CHANGE_OTHER" hidden="1">"c8686"</definedName>
    <definedName name="IQ_HG_ADR_CHANGE_OWNED" hidden="1">"c8683"</definedName>
    <definedName name="IQ_HG_ADR_CHANGE_OWNED_COMP" hidden="1">"c8709"</definedName>
    <definedName name="IQ_HG_ADR_CHANGE_TOTAL" hidden="1">"c8687"</definedName>
    <definedName name="IQ_HG_ADR_CHANGE_TOTAL_COMP" hidden="1">"c8710"</definedName>
    <definedName name="IQ_HG_ADR_FRANCHISE" hidden="1">"c8664"</definedName>
    <definedName name="IQ_HG_ADR_MANAGED" hidden="1">"c8665"</definedName>
    <definedName name="IQ_HG_ADR_OTHER" hidden="1">"c8666"</definedName>
    <definedName name="IQ_HG_ADR_OWNED" hidden="1">"c8663"</definedName>
    <definedName name="IQ_HG_ADR_OWNED_COMP" hidden="1">"c8701"</definedName>
    <definedName name="IQ_HG_ADR_TOTAL" hidden="1">"c8667"</definedName>
    <definedName name="IQ_HG_ADR_TOTAL_COMP" hidden="1">"c8702"</definedName>
    <definedName name="IQ_HG_CASINOS_JV" hidden="1">"c8631"</definedName>
    <definedName name="IQ_HG_CASINOS_MANAGED" hidden="1">"c8632"</definedName>
    <definedName name="IQ_HG_CASINOS_OWNED" hidden="1">"c8630"</definedName>
    <definedName name="IQ_HG_CASINOS_TOTAL" hidden="1">"c8633"</definedName>
    <definedName name="IQ_HG_CLOSED_FRANCHISE_HOTEL_PROPERTIES" hidden="1">"c8586"</definedName>
    <definedName name="IQ_HG_CLOSED_FRANCHISE_ROOMS" hidden="1">"c8616"</definedName>
    <definedName name="IQ_HG_CLOSED_HOTEL_PROPERTIES" hidden="1">"c8574"</definedName>
    <definedName name="IQ_HG_CLOSED_MANAGED_HOTEL_PROPERTIES" hidden="1">"c8592"</definedName>
    <definedName name="IQ_HG_CLOSED_MANAGED_ROOMS" hidden="1">"c8622"</definedName>
    <definedName name="IQ_HG_CLOSED_OTHER_HOTEL_PROPERTIES" hidden="1">"c8598"</definedName>
    <definedName name="IQ_HG_CLOSED_OTHER_ROOMS" hidden="1">"c8628"</definedName>
    <definedName name="IQ_HG_CLOSED_OWNED_HOTEL_PROPERTIES" hidden="1">"c8580"</definedName>
    <definedName name="IQ_HG_CLOSED_OWNED_ROOMS" hidden="1">"c8610"</definedName>
    <definedName name="IQ_HG_CLOSED_ROOMS" hidden="1">"c8604"</definedName>
    <definedName name="IQ_HG_EXP_CASINO" hidden="1">"c8733"</definedName>
    <definedName name="IQ_HG_EXP_DEVELOPMENT" hidden="1">"c8738"</definedName>
    <definedName name="IQ_HG_EXP_ENTERTAINMENT" hidden="1">"c8736"</definedName>
    <definedName name="IQ_HG_EXP_FOOD_BEV" hidden="1">"c8734"</definedName>
    <definedName name="IQ_HG_EXP_FRANCHISE_MANAGEMENT" hidden="1">"c8744"</definedName>
    <definedName name="IQ_HG_EXP_OTHER_MNGD_FRANCHISE_PROP" hidden="1">"c8742"</definedName>
    <definedName name="IQ_HG_EXP_OWNED_LEASED_CONSOL_JV" hidden="1">"c8740"</definedName>
    <definedName name="IQ_HG_EXP_REIMBURSEMENTS" hidden="1">"c8743"</definedName>
    <definedName name="IQ_HG_EXP_RETAIL" hidden="1">"c8737"</definedName>
    <definedName name="IQ_HG_EXP_ROOMS" hidden="1">"c8735"</definedName>
    <definedName name="IQ_HG_EXP_THEATRE_CONCESSION" hidden="1">"c8739"</definedName>
    <definedName name="IQ_HG_EXP_VACA_OWNERSHIP_RES" hidden="1">"c8741"</definedName>
    <definedName name="IQ_HG_FOOD_PROM_COSTS" hidden="1">"c8746"</definedName>
    <definedName name="IQ_HG_FRANCHISE_HOTEL_PROPERTIES_BEG" hidden="1">"c8582"</definedName>
    <definedName name="IQ_HG_FRANCHISE_ROOMS_BEG" hidden="1">"c8612"</definedName>
    <definedName name="IQ_HG_GAMING_SPACE_JV" hidden="1">"c8635"</definedName>
    <definedName name="IQ_HG_GAMING_SPACE_MANAGED" hidden="1">"c8636"</definedName>
    <definedName name="IQ_HG_GAMING_SPACE_OWNED" hidden="1">"c8634"</definedName>
    <definedName name="IQ_HG_GAMING_SPACE_TOTAL" hidden="1">"c8637"</definedName>
    <definedName name="IQ_HG_HOTEL_PROPERTIES_BEG" hidden="1">"c8570"</definedName>
    <definedName name="IQ_HG_LAND_AVAIL_JV" hidden="1">"c8647"</definedName>
    <definedName name="IQ_HG_LAND_AVAIL_MANAGED" hidden="1">"c8648"</definedName>
    <definedName name="IQ_HG_LAND_AVAIL_OWNED" hidden="1">"c8646"</definedName>
    <definedName name="IQ_HG_LAND_AVAIL_TOTAL" hidden="1">"c8649"</definedName>
    <definedName name="IQ_HG_LAND_JV" hidden="1">"c8651"</definedName>
    <definedName name="IQ_HG_LAND_MANAGED" hidden="1">"c8652"</definedName>
    <definedName name="IQ_HG_LAND_OWNED" hidden="1">"c8650"</definedName>
    <definedName name="IQ_HG_LAND_TOTAL" hidden="1">"c8653"</definedName>
    <definedName name="IQ_HG_MANAGED_HOTEL_PROPERTIES_BEG" hidden="1">"c8588"</definedName>
    <definedName name="IQ_HG_MANAGED_ROOMS_BEG" hidden="1">"c8618"</definedName>
    <definedName name="IQ_HG_OCCUPANCY_CHANGE_FRANCHISE" hidden="1">"c8675"</definedName>
    <definedName name="IQ_HG_OCCUPANCY_CHANGE_MANAGED" hidden="1">"c8677"</definedName>
    <definedName name="IQ_HG_OCCUPANCY_CHANGE_OTHER" hidden="1">"c8679"</definedName>
    <definedName name="IQ_HG_OCCUPANCY_CHANGE_OWNED" hidden="1">"c8673"</definedName>
    <definedName name="IQ_HG_OCCUPANCY_CHANGE_OWNED_COMP" hidden="1">"c8705"</definedName>
    <definedName name="IQ_HG_OCCUPANCY_CHANGE_TOTAL" hidden="1">"c8681"</definedName>
    <definedName name="IQ_HG_OCCUPANCY_CHANGE_TOTAL_COMP" hidden="1">"c8707"</definedName>
    <definedName name="IQ_HG_OCCUPANCY_FRANCHISE" hidden="1">"c8659"</definedName>
    <definedName name="IQ_HG_OCCUPANCY_INCDEC_FRANCHISE" hidden="1">"c8676"</definedName>
    <definedName name="IQ_HG_OCCUPANCY_INCDEC_MANAGED" hidden="1">"c8678"</definedName>
    <definedName name="IQ_HG_OCCUPANCY_INCDEC_OTHER" hidden="1">"c8680"</definedName>
    <definedName name="IQ_HG_OCCUPANCY_INCDEC_OWNED" hidden="1">"c8674"</definedName>
    <definedName name="IQ_HG_OCCUPANCY_INCDEC_OWNED_COMP" hidden="1">"c8706"</definedName>
    <definedName name="IQ_HG_OCCUPANCY_INCDEC_TOTAL" hidden="1">"c8682"</definedName>
    <definedName name="IQ_HG_OCCUPANCY_INCDEC_TOTAL_COMP" hidden="1">"c8708"</definedName>
    <definedName name="IQ_HG_OCCUPANCY_MANAGED" hidden="1">"c8660"</definedName>
    <definedName name="IQ_HG_OCCUPANCY_OTHER" hidden="1">"c8661"</definedName>
    <definedName name="IQ_HG_OCCUPANCY_OWNED" hidden="1">"c8658"</definedName>
    <definedName name="IQ_HG_OCCUPANCY_OWNED_COMP" hidden="1">"c8699"</definedName>
    <definedName name="IQ_HG_OCCUPANCY_TOTAL" hidden="1">"c8662"</definedName>
    <definedName name="IQ_HG_OCCUPANCY_TOTAL_COMP" hidden="1">"c8700"</definedName>
    <definedName name="IQ_HG_OPENED_FRANCHISE_HOTEL_PROPERTIES" hidden="1">"c8583"</definedName>
    <definedName name="IQ_HG_OPENED_FRANCHISE_ROOMS" hidden="1">"c8613"</definedName>
    <definedName name="IQ_HG_OPENED_HOTEL_PROPERTIES" hidden="1">"c8571"</definedName>
    <definedName name="IQ_HG_OPENED_MANAGED_HOTEL_PROPERTIES" hidden="1">"c8589"</definedName>
    <definedName name="IQ_HG_OPENED_MANAGED_ROOMS" hidden="1">"c8619"</definedName>
    <definedName name="IQ_HG_OPENED_OTHER_HOTEL_PROPERTIES" hidden="1">"c8595"</definedName>
    <definedName name="IQ_HG_OPENED_OTHER_ROOMS" hidden="1">"c8625"</definedName>
    <definedName name="IQ_HG_OPENED_OWNED_HOTEL_PROPERTIES" hidden="1">"c8577"</definedName>
    <definedName name="IQ_HG_OPENED_OWNED_ROOMS" hidden="1">"c8607"</definedName>
    <definedName name="IQ_HG_OPENED_ROOMS" hidden="1">"c8601"</definedName>
    <definedName name="IQ_HG_OTHER_HOTEL_PROPERTIES_BEG" hidden="1">"c8594"</definedName>
    <definedName name="IQ_HG_OTHER_PROM_COSTS" hidden="1">"c8747"</definedName>
    <definedName name="IQ_HG_OTHER_ROOMS_BEG" hidden="1">"c8624"</definedName>
    <definedName name="IQ_HG_OWNED_HOTEL_PROPERTIES_BEG" hidden="1">"c8576"</definedName>
    <definedName name="IQ_HG_OWNED_ROOMS_BEG" hidden="1">"c8606"</definedName>
    <definedName name="IQ_HG_PARKING_SPACES_JV" hidden="1">"c8655"</definedName>
    <definedName name="IQ_HG_PARKING_SPACES_MANAGED" hidden="1">"c8656"</definedName>
    <definedName name="IQ_HG_PARKING_SPACES_OWNED" hidden="1">"c8654"</definedName>
    <definedName name="IQ_HG_PARKING_SPACES_TOTAL" hidden="1">"c8657"</definedName>
    <definedName name="IQ_HG_REV_BASE_MANAGEMENT_FEES" hidden="1">"c8726"</definedName>
    <definedName name="IQ_HG_REV_CASINO" hidden="1">"c8713"</definedName>
    <definedName name="IQ_HG_REV_COST_REIMBURSEMENT" hidden="1">"c8728"</definedName>
    <definedName name="IQ_HG_REV_ENTERTAINMENT" hidden="1">"c8716"</definedName>
    <definedName name="IQ_HG_REV_FOOD_BEV" hidden="1">"c8714"</definedName>
    <definedName name="IQ_HG_REV_FRANCHISE" hidden="1">"c8725"</definedName>
    <definedName name="IQ_HG_REV_INCENTIVE_MANAGEMENT_FEES" hidden="1">"c8727"</definedName>
    <definedName name="IQ_HG_REV_MANAGEMENT_FEES" hidden="1">"c8718"</definedName>
    <definedName name="IQ_HG_REV_OTHER_MNGD_FRANCHISE_PROP" hidden="1">"c8730"</definedName>
    <definedName name="IQ_HG_REV_OTHER_OP_SEGMENT" hidden="1">"c8721"</definedName>
    <definedName name="IQ_HG_REV_OTHER_OWNERSHIP_MIX" hidden="1">"c8731"</definedName>
    <definedName name="IQ_HG_REV_OWNED_LEASED_CONSOL_JV_HOTELS" hidden="1">"c8724"</definedName>
    <definedName name="IQ_HG_REV_PROMOTIONAL_ALLOWANCE" hidden="1">"c8722"</definedName>
    <definedName name="IQ_HG_REV_RACING" hidden="1">"c8719"</definedName>
    <definedName name="IQ_HG_REV_RETAIL" hidden="1">"c8717"</definedName>
    <definedName name="IQ_HG_REV_ROOMS" hidden="1">"c8715"</definedName>
    <definedName name="IQ_HG_REV_THEATRE_CONCESSION" hidden="1">"c8720"</definedName>
    <definedName name="IQ_HG_REV_TOTAL_OP_SEGMENT" hidden="1">"c8723"</definedName>
    <definedName name="IQ_HG_REV_TOTAL_OWNERSHIP_MIX" hidden="1">"c8732"</definedName>
    <definedName name="IQ_HG_REV_VACA_OWNERSHIP_RES_SALES_SVCS" hidden="1">"c8729"</definedName>
    <definedName name="IQ_HG_REVENUES_CHANGE_OWNED_COMP" hidden="1">"c8697"</definedName>
    <definedName name="IQ_HG_REVENUES_CHANGE_TOTAL_COMP" hidden="1">"c8698"</definedName>
    <definedName name="IQ_HG_REVPAR_CHANGE_MANAGED" hidden="1">"c8690"</definedName>
    <definedName name="IQ_HG_REVPAR_CHANGE_OTHER" hidden="1">"c8691"</definedName>
    <definedName name="IQ_HG_REVPAR_CHANGE_OWNED" hidden="1">"c8688"</definedName>
    <definedName name="IQ_HG_REVPAR_CHANGE_OWNED_COMP" hidden="1">"c8711"</definedName>
    <definedName name="IQ_HG_REVPAR_CHANGE_TOTAL" hidden="1">"c8692"</definedName>
    <definedName name="IQ_HG_REVPAR_CHANGE_TOTAL_COMP" hidden="1">"c8712"</definedName>
    <definedName name="IQ_HG_REVPAR_CHNAGE_FRANCHISE" hidden="1">"c8689"</definedName>
    <definedName name="IQ_HG_REVPAR_FRANCHISE" hidden="1">"c8669"</definedName>
    <definedName name="IQ_HG_REVPAR_MANAGED" hidden="1">"c8670"</definedName>
    <definedName name="IQ_HG_REVPAR_OTHER" hidden="1">"c8671"</definedName>
    <definedName name="IQ_HG_REVPAR_OWNED" hidden="1">"c8668"</definedName>
    <definedName name="IQ_HG_REVPAR_OWNED_COMP" hidden="1">"c8703"</definedName>
    <definedName name="IQ_HG_REVPAR_TOTAL" hidden="1">"c8672"</definedName>
    <definedName name="IQ_HG_REVPAR_TOTAL_COMP" hidden="1">"c8704"</definedName>
    <definedName name="IQ_HG_ROOM_PROM_COSTS" hidden="1">"c8745"</definedName>
    <definedName name="IQ_HG_ROOMS_BEG" hidden="1">"c8600"</definedName>
    <definedName name="IQ_HG_SLOT_MACHINES_JV" hidden="1">"c8639"</definedName>
    <definedName name="IQ_HG_SLOT_MACHINES_MANAGED" hidden="1">"c8640"</definedName>
    <definedName name="IQ_HG_SLOT_MACHINES_OWNED" hidden="1">"c8638"</definedName>
    <definedName name="IQ_HG_SLOT_MACHINES_TOTAL" hidden="1">"c8641"</definedName>
    <definedName name="IQ_HG_SOLD_FRANCHISE_HOTEL_PROPERTIES" hidden="1">"c8585"</definedName>
    <definedName name="IQ_HG_SOLD_FRANCHISE_ROOMS" hidden="1">"c8615"</definedName>
    <definedName name="IQ_HG_SOLD_HOTEL_PROPERTIES" hidden="1">"c8573"</definedName>
    <definedName name="IQ_HG_SOLD_MANAGED_HOTEL_PROPERTIES" hidden="1">"c8591"</definedName>
    <definedName name="IQ_HG_SOLD_MANAGED_ROOMS" hidden="1">"c8621"</definedName>
    <definedName name="IQ_HG_SOLD_OTHER_HOTEL_PROPERTIES" hidden="1">"c8597"</definedName>
    <definedName name="IQ_HG_SOLD_OTHER_ROOMS" hidden="1">"c8627"</definedName>
    <definedName name="IQ_HG_SOLD_OWNED_HOTEL_PROPERTIES" hidden="1">"c8579"</definedName>
    <definedName name="IQ_HG_SOLD_OWNED_ROOMS" hidden="1">"c8609"</definedName>
    <definedName name="IQ_HG_SOLD_ROOMS" hidden="1">"c8603"</definedName>
    <definedName name="IQ_HG_TABLE_GAMES_JV" hidden="1">"c8643"</definedName>
    <definedName name="IQ_HG_TABLE_GAMES_MANAGED" hidden="1">"c8644"</definedName>
    <definedName name="IQ_HG_TABLE_GAMES_OWNED" hidden="1">"c8642"</definedName>
    <definedName name="IQ_HG_TABLE_GAMES_TOTAL" hidden="1">"c8645"</definedName>
    <definedName name="IQ_HG_TOTAL_FRANCHISE_HOTEL_PROPERTIES" hidden="1">"c8587"</definedName>
    <definedName name="IQ_HG_TOTAL_FRANCHISE_ROOMS" hidden="1">"c8617"</definedName>
    <definedName name="IQ_HG_TOTAL_HOTEL_PROPERTIES" hidden="1">"c8575"</definedName>
    <definedName name="IQ_HG_TOTAL_MANAGED_HOTEL_PROPERTIES" hidden="1">"c8593"</definedName>
    <definedName name="IQ_HG_TOTAL_MANAGED_ROOMS" hidden="1">"c8623"</definedName>
    <definedName name="IQ_HG_TOTAL_OTHER_HOTEL_PROPERTIES" hidden="1">"c8599"</definedName>
    <definedName name="IQ_HG_TOTAL_OTHER_ROOMS" hidden="1">"c8629"</definedName>
    <definedName name="IQ_HG_TOTAL_OWNED_HOTEL_PROPERTIES" hidden="1">"c8581"</definedName>
    <definedName name="IQ_HG_TOTAL_OWNED_PROPERTIES_COMP" hidden="1">"c8693"</definedName>
    <definedName name="IQ_HG_TOTAL_OWNED_ROOMS" hidden="1">"c8611"</definedName>
    <definedName name="IQ_HG_TOTAL_OWNED_ROOMS_COMP" hidden="1">"c8695"</definedName>
    <definedName name="IQ_HG_TOTAL_PROM_COSTS" hidden="1">"c8748"</definedName>
    <definedName name="IQ_HG_TOTAL_PROPERTIES_COMP" hidden="1">"c8694"</definedName>
    <definedName name="IQ_HG_TOTAL_ROOMS" hidden="1">"c8605"</definedName>
    <definedName name="IQ_HG_TOTAL_ROOMS_COMP" hidden="1">"c8696"</definedName>
    <definedName name="IQ_HIGH_TARGET_PRICE" hidden="1">"c1651"</definedName>
    <definedName name="IQ_HIGH_TARGET_PRICE_CIQ" hidden="1">"c4659"</definedName>
    <definedName name="IQ_HIGH_TARGET_PRICE_REUT" hidden="1">"c5317"</definedName>
    <definedName name="IQ_HIGHPRICE" hidden="1">"c545"</definedName>
    <definedName name="IQ_HOME_AVG_LOAN_SIZE" hidden="1">"c5911"</definedName>
    <definedName name="IQ_HOME_BACKLOG" hidden="1">"c5844"</definedName>
    <definedName name="IQ_HOME_BACKLOG_AVG_JV" hidden="1">"c5848"</definedName>
    <definedName name="IQ_HOME_BACKLOG_AVG_JV_GROWTH" hidden="1">"c5928"</definedName>
    <definedName name="IQ_HOME_BACKLOG_AVG_JV_INC" hidden="1">"c5851"</definedName>
    <definedName name="IQ_HOME_BACKLOG_AVG_JV_INC_GROWTH" hidden="1">"c5931"</definedName>
    <definedName name="IQ_HOME_BACKLOG_AVG_PRICE" hidden="1">"c5845"</definedName>
    <definedName name="IQ_HOME_BACKLOG_AVG_PRICE_GROWTH" hidden="1">"c5925"</definedName>
    <definedName name="IQ_HOME_BACKLOG_GROWTH" hidden="1">"c5924"</definedName>
    <definedName name="IQ_HOME_BACKLOG_JV" hidden="1">"c5847"</definedName>
    <definedName name="IQ_HOME_BACKLOG_JV_GROWTH" hidden="1">"c5927"</definedName>
    <definedName name="IQ_HOME_BACKLOG_JV_INC" hidden="1">"c5850"</definedName>
    <definedName name="IQ_HOME_BACKLOG_JV_INC_GROWTH" hidden="1">"c5930"</definedName>
    <definedName name="IQ_HOME_BACKLOG_VALUE" hidden="1">"c5846"</definedName>
    <definedName name="IQ_HOME_BACKLOG_VALUE_GROWTH" hidden="1">"c5926"</definedName>
    <definedName name="IQ_HOME_BACKLOG_VALUE_JV" hidden="1">"c5849"</definedName>
    <definedName name="IQ_HOME_BACKLOG_VALUE_JV_GROWTH" hidden="1">"c5929"</definedName>
    <definedName name="IQ_HOME_BACKLOG_VALUE_JV_INC" hidden="1">"c5852"</definedName>
    <definedName name="IQ_HOME_BACKLOG_VALUE_JV_INC_GROWTH" hidden="1">"c5932"</definedName>
    <definedName name="IQ_HOME_COMMUNITIES_ACTIVE" hidden="1">"c5862"</definedName>
    <definedName name="IQ_HOME_COMMUNITIES_ACTIVE_GROWTH" hidden="1">"c5942"</definedName>
    <definedName name="IQ_HOME_COMMUNITIES_ACTIVE_JV" hidden="1">"c5863"</definedName>
    <definedName name="IQ_HOME_COMMUNITIES_ACTIVE_JV_GROWTH" hidden="1">"c5943"</definedName>
    <definedName name="IQ_HOME_COMMUNITIES_ACTIVE_JV_INC" hidden="1">"c5864"</definedName>
    <definedName name="IQ_HOME_COMMUNITIES_ACTIVE_JV_INC_GROWTH" hidden="1">"c5944"</definedName>
    <definedName name="IQ_HOME_COST_CONSTRUCTION_SVCS" hidden="1">"c5882"</definedName>
    <definedName name="IQ_HOME_COST_ELIMINATIONS_OTHER" hidden="1">"c5883"</definedName>
    <definedName name="IQ_HOME_COST_FINANCIAL_SVCS" hidden="1">"c5881"</definedName>
    <definedName name="IQ_HOME_COST_HOUSING" hidden="1">"c5877"</definedName>
    <definedName name="IQ_HOME_COST_LAND_LOT" hidden="1">"c5878"</definedName>
    <definedName name="IQ_HOME_COST_OTHER_HOMEBUILDING" hidden="1">"c5879"</definedName>
    <definedName name="IQ_HOME_COST_TOTAL" hidden="1">"c5884"</definedName>
    <definedName name="IQ_HOME_COST_TOTAL_HOMEBUILDING" hidden="1">"c5880"</definedName>
    <definedName name="IQ_HOME_DELIVERED" hidden="1">"c5835"</definedName>
    <definedName name="IQ_HOME_DELIVERED_AVG_PRICE" hidden="1">"c5836"</definedName>
    <definedName name="IQ_HOME_DELIVERED_AVG_PRICE_GROWTH" hidden="1">"c5916"</definedName>
    <definedName name="IQ_HOME_DELIVERED_AVG_PRICE_JV" hidden="1">"c5839"</definedName>
    <definedName name="IQ_HOME_DELIVERED_AVG_PRICE_JV_GROWTH" hidden="1">"c5919"</definedName>
    <definedName name="IQ_HOME_DELIVERED_AVG_PRICE_JV_INC" hidden="1">"c5842"</definedName>
    <definedName name="IQ_HOME_DELIVERED_AVG_PRICE_JV_INC_GROWTH" hidden="1">"c5922"</definedName>
    <definedName name="IQ_HOME_DELIVERED_GROWTH" hidden="1">"c5915"</definedName>
    <definedName name="IQ_HOME_DELIVERED_JV" hidden="1">"c5838"</definedName>
    <definedName name="IQ_HOME_DELIVERED_JV_GROWTH" hidden="1">"c5918"</definedName>
    <definedName name="IQ_HOME_DELIVERED_JV_INC" hidden="1">"c5841"</definedName>
    <definedName name="IQ_HOME_DELIVERED_JV_INC_GROWTH" hidden="1">"c5921"</definedName>
    <definedName name="IQ_HOME_DELIVERED_VALUE" hidden="1">"c5837"</definedName>
    <definedName name="IQ_HOME_DELIVERED_VALUE_GROWTH" hidden="1">"c5917"</definedName>
    <definedName name="IQ_HOME_DELIVERED_VALUE_JV" hidden="1">"c5840"</definedName>
    <definedName name="IQ_HOME_DELIVERED_VALUE_JV_GROWTH" hidden="1">"c5920"</definedName>
    <definedName name="IQ_HOME_DELIVERED_VALUE_JV_INC" hidden="1">"c5843"</definedName>
    <definedName name="IQ_HOME_DELIVERED_VALUE_JV_INC_GROWTH" hidden="1">"c5923"</definedName>
    <definedName name="IQ_HOME_EQUITY_LOC_NET_CHARGE_OFFS_FDIC" hidden="1">"c6644"</definedName>
    <definedName name="IQ_HOME_EQUITY_LOC_TOTAL_CHARGE_OFFS_FDIC" hidden="1">"c6606"</definedName>
    <definedName name="IQ_HOME_EQUITY_LOC_TOTAL_RECOVERIES_FDIC" hidden="1">"c6625"</definedName>
    <definedName name="IQ_HOME_FINISHED_HOMES_CIP" hidden="1">"c5865"</definedName>
    <definedName name="IQ_HOME_FIRSTLIEN_MORT_ORIGINATED" hidden="1">"c5905"</definedName>
    <definedName name="IQ_HOME_FIRSTLIEN_MORT_ORIGINATED_VOL" hidden="1">"c5908"</definedName>
    <definedName name="IQ_HOME_HUC" hidden="1">"c5822"</definedName>
    <definedName name="IQ_HOME_HUC_JV" hidden="1">"c5823"</definedName>
    <definedName name="IQ_HOME_HUC_JV_INC" hidden="1">"c5824"</definedName>
    <definedName name="IQ_HOME_INV_NOT_OWNED" hidden="1">"c5868"</definedName>
    <definedName name="IQ_HOME_LAND_DEVELOPMENT" hidden="1">"c5866"</definedName>
    <definedName name="IQ_HOME_LAND_FUTURE_DEVELOPMENT" hidden="1">"c5867"</definedName>
    <definedName name="IQ_HOME_LOAN_APPLICATIONS" hidden="1">"c5910"</definedName>
    <definedName name="IQ_HOME_LOANS_SOLD_COUNT" hidden="1">"c5912"</definedName>
    <definedName name="IQ_HOME_LOANS_SOLD_VALUE" hidden="1">"c5913"</definedName>
    <definedName name="IQ_HOME_LOTS_CONTROLLED" hidden="1">"c5831"</definedName>
    <definedName name="IQ_HOME_LOTS_FINISHED" hidden="1">"c5827"</definedName>
    <definedName name="IQ_HOME_LOTS_HELD_SALE" hidden="1">"c5830"</definedName>
    <definedName name="IQ_HOME_LOTS_JV" hidden="1">"c5833"</definedName>
    <definedName name="IQ_HOME_LOTS_JV_INC" hidden="1">"c5834"</definedName>
    <definedName name="IQ_HOME_LOTS_OTHER" hidden="1">"c5832"</definedName>
    <definedName name="IQ_HOME_LOTS_OWNED" hidden="1">"c5828"</definedName>
    <definedName name="IQ_HOME_LOTS_UNDER_DEVELOPMENT" hidden="1">"c5826"</definedName>
    <definedName name="IQ_HOME_LOTS_UNDER_OPTION" hidden="1">"c5829"</definedName>
    <definedName name="IQ_HOME_LOTS_UNDEVELOPED" hidden="1">"c5825"</definedName>
    <definedName name="IQ_HOME_MORT_CAPTURE_RATE" hidden="1">"c5906"</definedName>
    <definedName name="IQ_HOME_MORT_ORIGINATED" hidden="1">"c5907"</definedName>
    <definedName name="IQ_HOME_OBLIGATIONS_INV_NOT_OWNED" hidden="1">"c5914"</definedName>
    <definedName name="IQ_HOME_ORDERS" hidden="1">"c5853"</definedName>
    <definedName name="IQ_HOME_ORDERS_AVG_PRICE" hidden="1">"c5854"</definedName>
    <definedName name="IQ_HOME_ORDERS_AVG_PRICE_GROWTH" hidden="1">"c5934"</definedName>
    <definedName name="IQ_HOME_ORDERS_AVG_PRICE_JV" hidden="1">"c5857"</definedName>
    <definedName name="IQ_HOME_ORDERS_AVG_PRICE_JV_GROWTH" hidden="1">"c5937"</definedName>
    <definedName name="IQ_HOME_ORDERS_AVG_PRICE_JV_INC" hidden="1">"c5860"</definedName>
    <definedName name="IQ_HOME_ORDERS_AVG_PRICE_JV_INC_GROWTH" hidden="1">"c5940"</definedName>
    <definedName name="IQ_HOME_ORDERS_GROWTH" hidden="1">"c5933"</definedName>
    <definedName name="IQ_HOME_ORDERS_JV" hidden="1">"c5856"</definedName>
    <definedName name="IQ_HOME_ORDERS_JV_GROWTH" hidden="1">"c5936"</definedName>
    <definedName name="IQ_HOME_ORDERS_JV_INC" hidden="1">"c5859"</definedName>
    <definedName name="IQ_HOME_ORDERS_JV_INC_GROWTH" hidden="1">"c5939"</definedName>
    <definedName name="IQ_HOME_ORDERS_VALUE" hidden="1">"c5855"</definedName>
    <definedName name="IQ_HOME_ORDERS_VALUE_GROWTH" hidden="1">"c5935"</definedName>
    <definedName name="IQ_HOME_ORDERS_VALUE_JV" hidden="1">"c5858"</definedName>
    <definedName name="IQ_HOME_ORDERS_VALUE_JV_GROWTH" hidden="1">"c5938"</definedName>
    <definedName name="IQ_HOME_ORDERS_VALUE_JV_INC" hidden="1">"c5861"</definedName>
    <definedName name="IQ_HOME_ORDERS_VALUE_JV_INC_GROWTH" hidden="1">"c5941"</definedName>
    <definedName name="IQ_HOME_ORIGINATION_TOTAL" hidden="1">"c5909"</definedName>
    <definedName name="IQ_HOME_PRETAX_INC_CONSTRUCTION_SVCS" hidden="1">"c5890"</definedName>
    <definedName name="IQ_HOME_PRETAX_INC_ELIMINATIONS_OTHER" hidden="1">"c5891"</definedName>
    <definedName name="IQ_HOME_PRETAX_INC_FINANCIAL_SVCS" hidden="1">"c5889"</definedName>
    <definedName name="IQ_HOME_PRETAX_INC_HOUSING" hidden="1">"c5885"</definedName>
    <definedName name="IQ_HOME_PRETAX_INC_LAND_LOT" hidden="1">"c5886"</definedName>
    <definedName name="IQ_HOME_PRETAX_INC_OTHER_HOMEBUILDING" hidden="1">"c5887"</definedName>
    <definedName name="IQ_HOME_PRETAX_INC_TOTAL" hidden="1">"c5892"</definedName>
    <definedName name="IQ_HOME_PRETAX_INC_TOTAL_HOMEBUILDING" hidden="1">"c5888"</definedName>
    <definedName name="IQ_HOME_PURCH_OBLIGATION_1YR" hidden="1">"c5898"</definedName>
    <definedName name="IQ_HOME_PURCH_OBLIGATION_2YR" hidden="1">"c5899"</definedName>
    <definedName name="IQ_HOME_PURCH_OBLIGATION_3YR" hidden="1">"c5900"</definedName>
    <definedName name="IQ_HOME_PURCH_OBLIGATION_4YR" hidden="1">"c5901"</definedName>
    <definedName name="IQ_HOME_PURCH_OBLIGATION_5YR" hidden="1">"c5902"</definedName>
    <definedName name="IQ_HOME_PURCH_OBLIGATION_AFTER5" hidden="1">"c5903"</definedName>
    <definedName name="IQ_HOME_PURCH_OBLIGATION_TOTAL" hidden="1">"c5904"</definedName>
    <definedName name="IQ_HOME_REV_CONSTRUCTION_SERVICES" hidden="1">"c5874"</definedName>
    <definedName name="IQ_HOME_REV_ELIMINATIONS_OTHER" hidden="1">"c5875"</definedName>
    <definedName name="IQ_HOME_REV_FINANCIAL_SERVICES" hidden="1">"c5873"</definedName>
    <definedName name="IQ_HOME_REV_HOUSING" hidden="1">"c5872"</definedName>
    <definedName name="IQ_HOME_REV_LAND_LOT" hidden="1">"c5870"</definedName>
    <definedName name="IQ_HOME_REV_OTHER_HOMEBUILDING" hidden="1">"c5871"</definedName>
    <definedName name="IQ_HOME_REV_TOTAL" hidden="1">"c5876"</definedName>
    <definedName name="IQ_HOME_SALES_NEW" hidden="1">"c6924"</definedName>
    <definedName name="IQ_HOME_SALES_NEW_APR" hidden="1">"c7584"</definedName>
    <definedName name="IQ_HOME_SALES_NEW_APR_FC" hidden="1">"c8464"</definedName>
    <definedName name="IQ_HOME_SALES_NEW_FC" hidden="1">"c7804"</definedName>
    <definedName name="IQ_HOME_SALES_NEW_POP" hidden="1">"c7144"</definedName>
    <definedName name="IQ_HOME_SALES_NEW_POP_FC" hidden="1">"c8024"</definedName>
    <definedName name="IQ_HOME_SALES_NEW_YOY" hidden="1">"c7364"</definedName>
    <definedName name="IQ_HOME_SALES_NEW_YOY_FC" hidden="1">"c8244"</definedName>
    <definedName name="IQ_HOME_TOTAL_INV" hidden="1">"c5869"</definedName>
    <definedName name="IQ_HOME_WARRANTY_RES_BEG" hidden="1">"c5893"</definedName>
    <definedName name="IQ_HOME_WARRANTY_RES_END" hidden="1">"c5897"</definedName>
    <definedName name="IQ_HOME_WARRANTY_RES_ISS" hidden="1">"c5894"</definedName>
    <definedName name="IQ_HOME_WARRANTY_RES_OTHER" hidden="1">"c5896"</definedName>
    <definedName name="IQ_HOME_WARRANTY_RES_PAY" hidden="1">"c5895"</definedName>
    <definedName name="IQ_HOMEOWNERS_WRITTEN" hidden="1">"c546"</definedName>
    <definedName name="IQ_HOURLY_COMP" hidden="1">"c6879"</definedName>
    <definedName name="IQ_HOURLY_COMP_APR" hidden="1">"c7539"</definedName>
    <definedName name="IQ_HOURLY_COMP_APR_FC" hidden="1">"c8419"</definedName>
    <definedName name="IQ_HOURLY_COMP_FC" hidden="1">"c7759"</definedName>
    <definedName name="IQ_HOURLY_COMP_POP" hidden="1">"c7099"</definedName>
    <definedName name="IQ_HOURLY_COMP_POP_FC" hidden="1">"c7979"</definedName>
    <definedName name="IQ_HOURLY_COMP_YOY" hidden="1">"c7319"</definedName>
    <definedName name="IQ_HOURLY_COMP_YOY_FC" hidden="1">"c8199"</definedName>
    <definedName name="IQ_HOUSING_COMPLETIONS" hidden="1">"c6881"</definedName>
    <definedName name="IQ_HOUSING_COMPLETIONS_APR" hidden="1">"c7541"</definedName>
    <definedName name="IQ_HOUSING_COMPLETIONS_APR_FC" hidden="1">"c8421"</definedName>
    <definedName name="IQ_HOUSING_COMPLETIONS_FC" hidden="1">"c7761"</definedName>
    <definedName name="IQ_HOUSING_COMPLETIONS_POP" hidden="1">"c7101"</definedName>
    <definedName name="IQ_HOUSING_COMPLETIONS_POP_FC" hidden="1">"c7981"</definedName>
    <definedName name="IQ_HOUSING_COMPLETIONS_SINGLE_FAM_APR_FC_UNUSED_UNUSED_UNUSED" hidden="1">"c8422"</definedName>
    <definedName name="IQ_HOUSING_COMPLETIONS_SINGLE_FAM_APR_UNUSED_UNUSED_UNUSED" hidden="1">"c7542"</definedName>
    <definedName name="IQ_HOUSING_COMPLETIONS_SINGLE_FAM_FC_UNUSED_UNUSED_UNUSED" hidden="1">"c7762"</definedName>
    <definedName name="IQ_HOUSING_COMPLETIONS_SINGLE_FAM_POP_FC_UNUSED_UNUSED_UNUSED" hidden="1">"c7982"</definedName>
    <definedName name="IQ_HOUSING_COMPLETIONS_SINGLE_FAM_POP_UNUSED_UNUSED_UNUSED" hidden="1">"c7102"</definedName>
    <definedName name="IQ_HOUSING_COMPLETIONS_SINGLE_FAM_UNUSED_UNUSED_UNUSED" hidden="1">"c6882"</definedName>
    <definedName name="IQ_HOUSING_COMPLETIONS_SINGLE_FAM_YOY_FC_UNUSED_UNUSED_UNUSED" hidden="1">"c8202"</definedName>
    <definedName name="IQ_HOUSING_COMPLETIONS_SINGLE_FAM_YOY_UNUSED_UNUSED_UNUSED" hidden="1">"c7322"</definedName>
    <definedName name="IQ_HOUSING_COMPLETIONS_YOY" hidden="1">"c7321"</definedName>
    <definedName name="IQ_HOUSING_COMPLETIONS_YOY_FC" hidden="1">"c8201"</definedName>
    <definedName name="IQ_HOUSING_PERMITS" hidden="1">"c6883"</definedName>
    <definedName name="IQ_HOUSING_PERMITS_APR" hidden="1">"c7543"</definedName>
    <definedName name="IQ_HOUSING_PERMITS_APR_FC" hidden="1">"c8423"</definedName>
    <definedName name="IQ_HOUSING_PERMITS_FC" hidden="1">"c7763"</definedName>
    <definedName name="IQ_HOUSING_PERMITS_POP" hidden="1">"c7103"</definedName>
    <definedName name="IQ_HOUSING_PERMITS_POP_FC" hidden="1">"c7983"</definedName>
    <definedName name="IQ_HOUSING_PERMITS_YOY" hidden="1">"c7323"</definedName>
    <definedName name="IQ_HOUSING_PERMITS_YOY_FC" hidden="1">"c8203"</definedName>
    <definedName name="IQ_HOUSING_STARTS" hidden="1">"c6884"</definedName>
    <definedName name="IQ_HOUSING_STARTS_APR" hidden="1">"c7544"</definedName>
    <definedName name="IQ_HOUSING_STARTS_APR_FC" hidden="1">"c8424"</definedName>
    <definedName name="IQ_HOUSING_STARTS_FC" hidden="1">"c7764"</definedName>
    <definedName name="IQ_HOUSING_STARTS_POP" hidden="1">"c7104"</definedName>
    <definedName name="IQ_HOUSING_STARTS_POP_FC" hidden="1">"c7984"</definedName>
    <definedName name="IQ_HOUSING_STARTS_SAAR" hidden="1">"c6885"</definedName>
    <definedName name="IQ_HOUSING_STARTS_SAAR_APR" hidden="1">"c7545"</definedName>
    <definedName name="IQ_HOUSING_STARTS_SAAR_APR_FC" hidden="1">"c8425"</definedName>
    <definedName name="IQ_HOUSING_STARTS_SAAR_FC" hidden="1">"c7765"</definedName>
    <definedName name="IQ_HOUSING_STARTS_SAAR_POP" hidden="1">"c7105"</definedName>
    <definedName name="IQ_HOUSING_STARTS_SAAR_POP_FC" hidden="1">"c7985"</definedName>
    <definedName name="IQ_HOUSING_STARTS_SAAR_YOY" hidden="1">"c7325"</definedName>
    <definedName name="IQ_HOUSING_STARTS_SAAR_YOY_FC" hidden="1">"c8205"</definedName>
    <definedName name="IQ_HOUSING_STARTS_YOY" hidden="1">"c7324"</definedName>
    <definedName name="IQ_HOUSING_STARTS_YOY_FC" hidden="1">"c8204"</definedName>
    <definedName name="IQ_HRS_WORKED_FULL_PT" hidden="1">"c6880"</definedName>
    <definedName name="IQ_HRS_WORKED_FULL_PT_APR" hidden="1">"c7540"</definedName>
    <definedName name="IQ_HRS_WORKED_FULL_PT_APR_FC" hidden="1">"c8420"</definedName>
    <definedName name="IQ_HRS_WORKED_FULL_PT_FC" hidden="1">"c7760"</definedName>
    <definedName name="IQ_HRS_WORKED_FULL_PT_POP" hidden="1">"c7100"</definedName>
    <definedName name="IQ_HRS_WORKED_FULL_PT_POP_FC" hidden="1">"c7980"</definedName>
    <definedName name="IQ_HRS_WORKED_FULL_PT_YOY" hidden="1">"c7320"</definedName>
    <definedName name="IQ_HRS_WORKED_FULL_PT_YOY_FC" hidden="1">"c8200"</definedName>
    <definedName name="IQ_IM_AVG_REV_PER_CLICK" hidden="1">"c9991"</definedName>
    <definedName name="IQ_IM_NUMBER_PAGE_VIEWS" hidden="1">"c9993"</definedName>
    <definedName name="IQ_IM_NUMBER_PAID_CLICKS" hidden="1">"c9995"</definedName>
    <definedName name="IQ_IM_NUMBER_PAID_CLICKS_GROWTH" hidden="1">"c9996"</definedName>
    <definedName name="IQ_IM_PAGE_VIEWS_GROWTH" hidden="1">"c9994"</definedName>
    <definedName name="IQ_IM_REV_PER_PAGE_VIEW_GROWTH" hidden="1">"c9992"</definedName>
    <definedName name="IQ_IM_TRAFFIC_ACQUISITION_CHANGE" hidden="1">"c9998"</definedName>
    <definedName name="IQ_IM_TRAFFIC_ACQUISITION_COST_TO_AD_REV_RATIO" hidden="1">"c10000"</definedName>
    <definedName name="IQ_IM_TRAFFIC_ACQUISITION_COST_TO_TOTAL_REV_RATIO" hidden="1">"c9999"</definedName>
    <definedName name="IQ_IM_TRAFFIC_ACQUISITION_COSTS" hidden="1">"c9997"</definedName>
    <definedName name="IQ_IMPAIR_OIL" hidden="1">"c547"</definedName>
    <definedName name="IQ_IMPAIRMENT_GW" hidden="1">"c548"</definedName>
    <definedName name="IQ_IMPORT_PRICE_INDEX" hidden="1">"c6886"</definedName>
    <definedName name="IQ_IMPORT_PRICE_INDEX_APR" hidden="1">"c7546"</definedName>
    <definedName name="IQ_IMPORT_PRICE_INDEX_APR_FC" hidden="1">"c8426"</definedName>
    <definedName name="IQ_IMPORT_PRICE_INDEX_FC" hidden="1">"c7766"</definedName>
    <definedName name="IQ_IMPORT_PRICE_INDEX_POP" hidden="1">"c7106"</definedName>
    <definedName name="IQ_IMPORT_PRICE_INDEX_POP_FC" hidden="1">"c7986"</definedName>
    <definedName name="IQ_IMPORT_PRICE_INDEX_YOY" hidden="1">"c7326"</definedName>
    <definedName name="IQ_IMPORT_PRICE_INDEX_YOY_FC" hidden="1">"c8206"</definedName>
    <definedName name="IQ_IMPORTS_GOODS" hidden="1">"c6887"</definedName>
    <definedName name="IQ_IMPORTS_GOODS_APR" hidden="1">"c7547"</definedName>
    <definedName name="IQ_IMPORTS_GOODS_APR_FC" hidden="1">"c8427"</definedName>
    <definedName name="IQ_IMPORTS_GOODS_FC" hidden="1">"c7767"</definedName>
    <definedName name="IQ_IMPORTS_GOODS_NONFACTOR_SERVICES" hidden="1">"c6888"</definedName>
    <definedName name="IQ_IMPORTS_GOODS_NONFACTOR_SERVICES_APR" hidden="1">"c7548"</definedName>
    <definedName name="IQ_IMPORTS_GOODS_NONFACTOR_SERVICES_APR_FC" hidden="1">"c8428"</definedName>
    <definedName name="IQ_IMPORTS_GOODS_NONFACTOR_SERVICES_FC" hidden="1">"c7768"</definedName>
    <definedName name="IQ_IMPORTS_GOODS_NONFACTOR_SERVICES_POP" hidden="1">"c7108"</definedName>
    <definedName name="IQ_IMPORTS_GOODS_NONFACTOR_SERVICES_POP_FC" hidden="1">"c7988"</definedName>
    <definedName name="IQ_IMPORTS_GOODS_NONFACTOR_SERVICES_YOY" hidden="1">"c7328"</definedName>
    <definedName name="IQ_IMPORTS_GOODS_NONFACTOR_SERVICES_YOY_FC" hidden="1">"c8208"</definedName>
    <definedName name="IQ_IMPORTS_GOODS_POP" hidden="1">"c7107"</definedName>
    <definedName name="IQ_IMPORTS_GOODS_POP_FC" hidden="1">"c7987"</definedName>
    <definedName name="IQ_IMPORTS_GOODS_REAL" hidden="1">"c11950"</definedName>
    <definedName name="IQ_IMPORTS_GOODS_REAL_APR" hidden="1">"c11953"</definedName>
    <definedName name="IQ_IMPORTS_GOODS_REAL_POP" hidden="1">"c11951"</definedName>
    <definedName name="IQ_IMPORTS_GOODS_REAL_SAAR_APR_FC_UNUSED_UNUSED_UNUSED" hidden="1">"c8523"</definedName>
    <definedName name="IQ_IMPORTS_GOODS_REAL_SAAR_APR_UNUSED_UNUSED_UNUSED" hidden="1">"c7643"</definedName>
    <definedName name="IQ_IMPORTS_GOODS_REAL_SAAR_FC_UNUSED_UNUSED_UNUSED" hidden="1">"c7863"</definedName>
    <definedName name="IQ_IMPORTS_GOODS_REAL_SAAR_POP_FC_UNUSED_UNUSED_UNUSED" hidden="1">"c8083"</definedName>
    <definedName name="IQ_IMPORTS_GOODS_REAL_SAAR_POP_UNUSED_UNUSED_UNUSED" hidden="1">"c7203"</definedName>
    <definedName name="IQ_IMPORTS_GOODS_REAL_SAAR_UNUSED_UNUSED_UNUSED" hidden="1">"c6983"</definedName>
    <definedName name="IQ_IMPORTS_GOODS_REAL_SAAR_YOY_FC_UNUSED_UNUSED_UNUSED" hidden="1">"c8303"</definedName>
    <definedName name="IQ_IMPORTS_GOODS_REAL_SAAR_YOY_UNUSED_UNUSED_UNUSED" hidden="1">"c7423"</definedName>
    <definedName name="IQ_IMPORTS_GOODS_REAL_YOY" hidden="1">"c11952"</definedName>
    <definedName name="IQ_IMPORTS_GOODS_SAAR" hidden="1">"c6891"</definedName>
    <definedName name="IQ_IMPORTS_GOODS_SAAR_APR" hidden="1">"c7551"</definedName>
    <definedName name="IQ_IMPORTS_GOODS_SAAR_APR_FC" hidden="1">"c8431"</definedName>
    <definedName name="IQ_IMPORTS_GOODS_SAAR_FC" hidden="1">"c7771"</definedName>
    <definedName name="IQ_IMPORTS_GOODS_SAAR_POP" hidden="1">"c7111"</definedName>
    <definedName name="IQ_IMPORTS_GOODS_SAAR_POP_FC" hidden="1">"c7991"</definedName>
    <definedName name="IQ_IMPORTS_GOODS_SAAR_USD_APR_FC" hidden="1">"c11849"</definedName>
    <definedName name="IQ_IMPORTS_GOODS_SAAR_USD_FC" hidden="1">"c11846"</definedName>
    <definedName name="IQ_IMPORTS_GOODS_SAAR_USD_POP_FC" hidden="1">"c11847"</definedName>
    <definedName name="IQ_IMPORTS_GOODS_SAAR_USD_YOY_FC" hidden="1">"c11848"</definedName>
    <definedName name="IQ_IMPORTS_GOODS_SAAR_YOY" hidden="1">"c7331"</definedName>
    <definedName name="IQ_IMPORTS_GOODS_SAAR_YOY_FC" hidden="1">"c8211"</definedName>
    <definedName name="IQ_IMPORTS_GOODS_SERVICES_APR_FC_UNUSED_UNUSED_UNUSED" hidden="1">"c8429"</definedName>
    <definedName name="IQ_IMPORTS_GOODS_SERVICES_APR_UNUSED_UNUSED_UNUSED" hidden="1">"c7549"</definedName>
    <definedName name="IQ_IMPORTS_GOODS_SERVICES_FC_UNUSED_UNUSED_UNUSED" hidden="1">"c7769"</definedName>
    <definedName name="IQ_IMPORTS_GOODS_SERVICES_POP_FC_UNUSED_UNUSED_UNUSED" hidden="1">"c7989"</definedName>
    <definedName name="IQ_IMPORTS_GOODS_SERVICES_POP_UNUSED_UNUSED_UNUSED" hidden="1">"c7109"</definedName>
    <definedName name="IQ_IMPORTS_GOODS_SERVICES_REAL" hidden="1">"c6985"</definedName>
    <definedName name="IQ_IMPORTS_GOODS_SERVICES_REAL_APR" hidden="1">"c7645"</definedName>
    <definedName name="IQ_IMPORTS_GOODS_SERVICES_REAL_APR_FC" hidden="1">"c8525"</definedName>
    <definedName name="IQ_IMPORTS_GOODS_SERVICES_REAL_FC" hidden="1">"c7865"</definedName>
    <definedName name="IQ_IMPORTS_GOODS_SERVICES_REAL_POP" hidden="1">"c7205"</definedName>
    <definedName name="IQ_IMPORTS_GOODS_SERVICES_REAL_POP_FC" hidden="1">"c8085"</definedName>
    <definedName name="IQ_IMPORTS_GOODS_SERVICES_REAL_SAAR" hidden="1">"c11958"</definedName>
    <definedName name="IQ_IMPORTS_GOODS_SERVICES_REAL_SAAR_APR" hidden="1">"c11961"</definedName>
    <definedName name="IQ_IMPORTS_GOODS_SERVICES_REAL_SAAR_APR_FC_UNUSED_UNUSED_UNUSED" hidden="1">"c8524"</definedName>
    <definedName name="IQ_IMPORTS_GOODS_SERVICES_REAL_SAAR_APR_UNUSED_UNUSED_UNUSED" hidden="1">"c7644"</definedName>
    <definedName name="IQ_IMPORTS_GOODS_SERVICES_REAL_SAAR_FC_UNUSED_UNUSED_UNUSED" hidden="1">"c7864"</definedName>
    <definedName name="IQ_IMPORTS_GOODS_SERVICES_REAL_SAAR_POP" hidden="1">"c11959"</definedName>
    <definedName name="IQ_IMPORTS_GOODS_SERVICES_REAL_SAAR_POP_FC_UNUSED_UNUSED_UNUSED" hidden="1">"c8084"</definedName>
    <definedName name="IQ_IMPORTS_GOODS_SERVICES_REAL_SAAR_POP_UNUSED_UNUSED_UNUSED" hidden="1">"c7204"</definedName>
    <definedName name="IQ_IMPORTS_GOODS_SERVICES_REAL_SAAR_UNUSED_UNUSED_UNUSED" hidden="1">"c6984"</definedName>
    <definedName name="IQ_IMPORTS_GOODS_SERVICES_REAL_SAAR_USD" hidden="1">"c11962"</definedName>
    <definedName name="IQ_IMPORTS_GOODS_SERVICES_REAL_SAAR_USD_APR" hidden="1">"c11965"</definedName>
    <definedName name="IQ_IMPORTS_GOODS_SERVICES_REAL_SAAR_USD_APR_FC" hidden="1">"c11969"</definedName>
    <definedName name="IQ_IMPORTS_GOODS_SERVICES_REAL_SAAR_USD_FC" hidden="1">"c11966"</definedName>
    <definedName name="IQ_IMPORTS_GOODS_SERVICES_REAL_SAAR_USD_POP" hidden="1">"c11963"</definedName>
    <definedName name="IQ_IMPORTS_GOODS_SERVICES_REAL_SAAR_USD_POP_FC" hidden="1">"c11967"</definedName>
    <definedName name="IQ_IMPORTS_GOODS_SERVICES_REAL_SAAR_USD_YOY" hidden="1">"c11964"</definedName>
    <definedName name="IQ_IMPORTS_GOODS_SERVICES_REAL_SAAR_USD_YOY_FC" hidden="1">"c11968"</definedName>
    <definedName name="IQ_IMPORTS_GOODS_SERVICES_REAL_SAAR_YOY" hidden="1">"c11960"</definedName>
    <definedName name="IQ_IMPORTS_GOODS_SERVICES_REAL_SAAR_YOY_FC_UNUSED_UNUSED_UNUSED" hidden="1">"c8304"</definedName>
    <definedName name="IQ_IMPORTS_GOODS_SERVICES_REAL_SAAR_YOY_UNUSED_UNUSED_UNUSED" hidden="1">"c7424"</definedName>
    <definedName name="IQ_IMPORTS_GOODS_SERVICES_REAL_USD" hidden="1">"c11954"</definedName>
    <definedName name="IQ_IMPORTS_GOODS_SERVICES_REAL_USD_APR" hidden="1">"c11957"</definedName>
    <definedName name="IQ_IMPORTS_GOODS_SERVICES_REAL_USD_POP" hidden="1">"c11955"</definedName>
    <definedName name="IQ_IMPORTS_GOODS_SERVICES_REAL_USD_YOY" hidden="1">"c11956"</definedName>
    <definedName name="IQ_IMPORTS_GOODS_SERVICES_REAL_YOY" hidden="1">"c7425"</definedName>
    <definedName name="IQ_IMPORTS_GOODS_SERVICES_REAL_YOY_FC" hidden="1">"c8305"</definedName>
    <definedName name="IQ_IMPORTS_GOODS_SERVICES_SAAR" hidden="1">"c6890"</definedName>
    <definedName name="IQ_IMPORTS_GOODS_SERVICES_SAAR_APR" hidden="1">"c7550"</definedName>
    <definedName name="IQ_IMPORTS_GOODS_SERVICES_SAAR_APR_FC" hidden="1">"c8430"</definedName>
    <definedName name="IQ_IMPORTS_GOODS_SERVICES_SAAR_FC" hidden="1">"c7770"</definedName>
    <definedName name="IQ_IMPORTS_GOODS_SERVICES_SAAR_POP" hidden="1">"c7110"</definedName>
    <definedName name="IQ_IMPORTS_GOODS_SERVICES_SAAR_POP_FC" hidden="1">"c7990"</definedName>
    <definedName name="IQ_IMPORTS_GOODS_SERVICES_SAAR_YOY" hidden="1">"c7330"</definedName>
    <definedName name="IQ_IMPORTS_GOODS_SERVICES_SAAR_YOY_FC" hidden="1">"c8210"</definedName>
    <definedName name="IQ_IMPORTS_GOODS_SERVICES_UNUSED_UNUSED_UNUSED" hidden="1">"c6889"</definedName>
    <definedName name="IQ_IMPORTS_GOODS_SERVICES_USD" hidden="1">"c11842"</definedName>
    <definedName name="IQ_IMPORTS_GOODS_SERVICES_USD_APR" hidden="1">"c11845"</definedName>
    <definedName name="IQ_IMPORTS_GOODS_SERVICES_USD_POP" hidden="1">"c11843"</definedName>
    <definedName name="IQ_IMPORTS_GOODS_SERVICES_USD_YOY" hidden="1">"c11844"</definedName>
    <definedName name="IQ_IMPORTS_GOODS_SERVICES_YOY_FC_UNUSED_UNUSED_UNUSED" hidden="1">"c8209"</definedName>
    <definedName name="IQ_IMPORTS_GOODS_SERVICES_YOY_UNUSED_UNUSED_UNUSED" hidden="1">"c7329"</definedName>
    <definedName name="IQ_IMPORTS_GOODS_USD_APR_FC" hidden="1">"c11841"</definedName>
    <definedName name="IQ_IMPORTS_GOODS_USD_FC" hidden="1">"c11838"</definedName>
    <definedName name="IQ_IMPORTS_GOODS_USD_POP_FC" hidden="1">"c11839"</definedName>
    <definedName name="IQ_IMPORTS_GOODS_USD_YOY_FC" hidden="1">"c11840"</definedName>
    <definedName name="IQ_IMPORTS_GOODS_YOY" hidden="1">"c7327"</definedName>
    <definedName name="IQ_IMPORTS_GOODS_YOY_FC" hidden="1">"c8207"</definedName>
    <definedName name="IQ_IMPORTS_NONFACTOR_SERVICES" hidden="1">"c6892"</definedName>
    <definedName name="IQ_IMPORTS_NONFACTOR_SERVICES_APR" hidden="1">"c7552"</definedName>
    <definedName name="IQ_IMPORTS_NONFACTOR_SERVICES_APR_FC" hidden="1">"c8432"</definedName>
    <definedName name="IQ_IMPORTS_NONFACTOR_SERVICES_FC" hidden="1">"c7772"</definedName>
    <definedName name="IQ_IMPORTS_NONFACTOR_SERVICES_POP" hidden="1">"c7112"</definedName>
    <definedName name="IQ_IMPORTS_NONFACTOR_SERVICES_POP_FC" hidden="1">"c7992"</definedName>
    <definedName name="IQ_IMPORTS_NONFACTOR_SERVICES_SAAR" hidden="1">"c6893"</definedName>
    <definedName name="IQ_IMPORTS_NONFACTOR_SERVICES_SAAR_APR" hidden="1">"c7553"</definedName>
    <definedName name="IQ_IMPORTS_NONFACTOR_SERVICES_SAAR_APR_FC" hidden="1">"c8433"</definedName>
    <definedName name="IQ_IMPORTS_NONFACTOR_SERVICES_SAAR_FC" hidden="1">"c7773"</definedName>
    <definedName name="IQ_IMPORTS_NONFACTOR_SERVICES_SAAR_POP" hidden="1">"c7113"</definedName>
    <definedName name="IQ_IMPORTS_NONFACTOR_SERVICES_SAAR_POP_FC" hidden="1">"c7993"</definedName>
    <definedName name="IQ_IMPORTS_NONFACTOR_SERVICES_SAAR_USD_APR_FC" hidden="1">"c11857"</definedName>
    <definedName name="IQ_IMPORTS_NONFACTOR_SERVICES_SAAR_USD_FC" hidden="1">"c11854"</definedName>
    <definedName name="IQ_IMPORTS_NONFACTOR_SERVICES_SAAR_USD_POP_FC" hidden="1">"c11855"</definedName>
    <definedName name="IQ_IMPORTS_NONFACTOR_SERVICES_SAAR_USD_YOY_FC" hidden="1">"c11856"</definedName>
    <definedName name="IQ_IMPORTS_NONFACTOR_SERVICES_SAAR_YOY" hidden="1">"c7333"</definedName>
    <definedName name="IQ_IMPORTS_NONFACTOR_SERVICES_SAAR_YOY_FC" hidden="1">"c8213"</definedName>
    <definedName name="IQ_IMPORTS_NONFACTOR_SERVICES_USD_APR_FC" hidden="1">"c11853"</definedName>
    <definedName name="IQ_IMPORTS_NONFACTOR_SERVICES_USD_FC" hidden="1">"c11850"</definedName>
    <definedName name="IQ_IMPORTS_NONFACTOR_SERVICES_USD_POP_FC" hidden="1">"c11851"</definedName>
    <definedName name="IQ_IMPORTS_NONFACTOR_SERVICES_USD_YOY_FC" hidden="1">"c11852"</definedName>
    <definedName name="IQ_IMPORTS_NONFACTOR_SERVICES_YOY" hidden="1">"c7332"</definedName>
    <definedName name="IQ_IMPORTS_NONFACTOR_SERVICES_YOY_FC" hidden="1">"c8212"</definedName>
    <definedName name="IQ_IMPORTS_SERVICES" hidden="1">"c11858"</definedName>
    <definedName name="IQ_IMPORTS_SERVICES_APR" hidden="1">"c11861"</definedName>
    <definedName name="IQ_IMPORTS_SERVICES_POP" hidden="1">"c11859"</definedName>
    <definedName name="IQ_IMPORTS_SERVICES_REAL" hidden="1">"c6986"</definedName>
    <definedName name="IQ_IMPORTS_SERVICES_REAL_APR" hidden="1">"c7646"</definedName>
    <definedName name="IQ_IMPORTS_SERVICES_REAL_APR_FC" hidden="1">"c8526"</definedName>
    <definedName name="IQ_IMPORTS_SERVICES_REAL_FC" hidden="1">"c7866"</definedName>
    <definedName name="IQ_IMPORTS_SERVICES_REAL_POP" hidden="1">"c7206"</definedName>
    <definedName name="IQ_IMPORTS_SERVICES_REAL_POP_FC" hidden="1">"c8086"</definedName>
    <definedName name="IQ_IMPORTS_SERVICES_REAL_YOY" hidden="1">"c7426"</definedName>
    <definedName name="IQ_IMPORTS_SERVICES_REAL_YOY_FC" hidden="1">"c8306"</definedName>
    <definedName name="IQ_IMPORTS_SERVICES_YOY" hidden="1">"c11860"</definedName>
    <definedName name="IQ_IMPUT_OPER_LEASE_DEPR" hidden="1">"c2987"</definedName>
    <definedName name="IQ_IMPUT_OPER_LEASE_INT_EXP" hidden="1">"c2986"</definedName>
    <definedName name="IQ_INC_AFTER_TAX" hidden="1">"c1598"</definedName>
    <definedName name="IQ_INC_AVAIL_EXCL" hidden="1">"c1395"</definedName>
    <definedName name="IQ_INC_AVAIL_INCL" hidden="1">"c1396"</definedName>
    <definedName name="IQ_INC_BEFORE_TAX" hidden="1">"c1375"</definedName>
    <definedName name="IQ_INC_EQUITY" hidden="1">"c549"</definedName>
    <definedName name="IQ_INC_EQUITY_BR" hidden="1">"c550"</definedName>
    <definedName name="IQ_INC_EQUITY_CF" hidden="1">"c551"</definedName>
    <definedName name="IQ_INC_EQUITY_FIN" hidden="1">"c552"</definedName>
    <definedName name="IQ_INC_EQUITY_INS" hidden="1">"c553"</definedName>
    <definedName name="IQ_INC_EQUITY_RE" hidden="1">"c6222"</definedName>
    <definedName name="IQ_INC_EQUITY_REC_BNK" hidden="1">"c554"</definedName>
    <definedName name="IQ_INC_EQUITY_REIT" hidden="1">"c555"</definedName>
    <definedName name="IQ_INC_EQUITY_REV_BNK" hidden="1">"c556"</definedName>
    <definedName name="IQ_INC_EQUITY_UTI" hidden="1">"c557"</definedName>
    <definedName name="IQ_INC_REAL_ESTATE_REC" hidden="1">"c558"</definedName>
    <definedName name="IQ_INC_REAL_ESTATE_REV" hidden="1">"c559"</definedName>
    <definedName name="IQ_INC_TAX" hidden="1">"c560"</definedName>
    <definedName name="IQ_INC_TAX_EXCL" hidden="1">"c1599"</definedName>
    <definedName name="IQ_INC_TAX_PAY_CURRENT" hidden="1">"c561"</definedName>
    <definedName name="IQ_INC_TRADE_ACT" hidden="1">"c562"</definedName>
    <definedName name="IQ_INCIDENTAL_CHANGES_BUSINESS_COMBINATIONS_FDIC" hidden="1">"c6502"</definedName>
    <definedName name="IQ_INCOME_BEFORE_EXTRA_FDIC" hidden="1">"c6585"</definedName>
    <definedName name="IQ_INCOME_EARNED_FDIC" hidden="1">"c6359"</definedName>
    <definedName name="IQ_INCOME_TAXES_FDIC" hidden="1">"c6582"</definedName>
    <definedName name="IQ_INDEX_LEADING_IND" hidden="1">"c6894"</definedName>
    <definedName name="IQ_INDEX_LEADING_IND_APR" hidden="1">"c7554"</definedName>
    <definedName name="IQ_INDEX_LEADING_IND_APR_FC" hidden="1">"c8434"</definedName>
    <definedName name="IQ_INDEX_LEADING_IND_FC" hidden="1">"c7774"</definedName>
    <definedName name="IQ_INDEX_LEADING_IND_POP" hidden="1">"c7114"</definedName>
    <definedName name="IQ_INDEX_LEADING_IND_POP_FC" hidden="1">"c7994"</definedName>
    <definedName name="IQ_INDEX_LEADING_IND_YOY" hidden="1">"c7334"</definedName>
    <definedName name="IQ_INDEX_LEADING_IND_YOY_FC" hidden="1">"c8214"</definedName>
    <definedName name="IQ_INDICATED_ATTRIB_ORE_RESOURCES_ALUM" hidden="1">"c9238"</definedName>
    <definedName name="IQ_INDICATED_ATTRIB_ORE_RESOURCES_COP" hidden="1">"c9182"</definedName>
    <definedName name="IQ_INDICATED_ATTRIB_ORE_RESOURCES_DIAM" hidden="1">"c9662"</definedName>
    <definedName name="IQ_INDICATED_ATTRIB_ORE_RESOURCES_GOLD" hidden="1">"c9023"</definedName>
    <definedName name="IQ_INDICATED_ATTRIB_ORE_RESOURCES_IRON" hidden="1">"c9397"</definedName>
    <definedName name="IQ_INDICATED_ATTRIB_ORE_RESOURCES_LEAD" hidden="1">"c9450"</definedName>
    <definedName name="IQ_INDICATED_ATTRIB_ORE_RESOURCES_MANG" hidden="1">"c9503"</definedName>
    <definedName name="IQ_INDICATED_ATTRIB_ORE_RESOURCES_MOLYB" hidden="1">"c9715"</definedName>
    <definedName name="IQ_INDICATED_ATTRIB_ORE_RESOURCES_NICK" hidden="1">"c9291"</definedName>
    <definedName name="IQ_INDICATED_ATTRIB_ORE_RESOURCES_PLAT" hidden="1">"c9129"</definedName>
    <definedName name="IQ_INDICATED_ATTRIB_ORE_RESOURCES_SILVER" hidden="1">"c9076"</definedName>
    <definedName name="IQ_INDICATED_ATTRIB_ORE_RESOURCES_TITAN" hidden="1">"c9556"</definedName>
    <definedName name="IQ_INDICATED_ATTRIB_ORE_RESOURCES_URAN" hidden="1">"c9609"</definedName>
    <definedName name="IQ_INDICATED_ATTRIB_ORE_RESOURCES_ZINC" hidden="1">"c9344"</definedName>
    <definedName name="IQ_INDICATED_ORE_RESOURCES_ALUM" hidden="1">"c9224"</definedName>
    <definedName name="IQ_INDICATED_ORE_RESOURCES_COP" hidden="1">"c9168"</definedName>
    <definedName name="IQ_INDICATED_ORE_RESOURCES_DIAM" hidden="1">"c9648"</definedName>
    <definedName name="IQ_INDICATED_ORE_RESOURCES_GOLD" hidden="1">"c9009"</definedName>
    <definedName name="IQ_INDICATED_ORE_RESOURCES_IRON" hidden="1">"c9383"</definedName>
    <definedName name="IQ_INDICATED_ORE_RESOURCES_LEAD" hidden="1">"c9436"</definedName>
    <definedName name="IQ_INDICATED_ORE_RESOURCES_MANG" hidden="1">"c9489"</definedName>
    <definedName name="IQ_INDICATED_ORE_RESOURCES_MOLYB" hidden="1">"c9701"</definedName>
    <definedName name="IQ_INDICATED_ORE_RESOURCES_NICK" hidden="1">"c9277"</definedName>
    <definedName name="IQ_INDICATED_ORE_RESOURCES_PLAT" hidden="1">"c9115"</definedName>
    <definedName name="IQ_INDICATED_ORE_RESOURCES_SILVER" hidden="1">"c9062"</definedName>
    <definedName name="IQ_INDICATED_ORE_RESOURCES_TITAN" hidden="1">"c9542"</definedName>
    <definedName name="IQ_INDICATED_ORE_RESOURCES_URAN" hidden="1">"c9595"</definedName>
    <definedName name="IQ_INDICATED_ORE_RESOURCES_ZINC" hidden="1">"c9330"</definedName>
    <definedName name="IQ_INDICATED_RECOV_ATTRIB_RESOURCES_ALUM" hidden="1">"c9243"</definedName>
    <definedName name="IQ_INDICATED_RECOV_ATTRIB_RESOURCES_COAL" hidden="1">"c9817"</definedName>
    <definedName name="IQ_INDICATED_RECOV_ATTRIB_RESOURCES_COP" hidden="1">"c9187"</definedName>
    <definedName name="IQ_INDICATED_RECOV_ATTRIB_RESOURCES_DIAM" hidden="1">"c9667"</definedName>
    <definedName name="IQ_INDICATED_RECOV_ATTRIB_RESOURCES_GOLD" hidden="1">"c9028"</definedName>
    <definedName name="IQ_INDICATED_RECOV_ATTRIB_RESOURCES_IRON" hidden="1">"c9402"</definedName>
    <definedName name="IQ_INDICATED_RECOV_ATTRIB_RESOURCES_LEAD" hidden="1">"c9455"</definedName>
    <definedName name="IQ_INDICATED_RECOV_ATTRIB_RESOURCES_MANG" hidden="1">"c9508"</definedName>
    <definedName name="IQ_INDICATED_RECOV_ATTRIB_RESOURCES_MET_COAL" hidden="1">"c9757"</definedName>
    <definedName name="IQ_INDICATED_RECOV_ATTRIB_RESOURCES_MOLYB" hidden="1">"c9720"</definedName>
    <definedName name="IQ_INDICATED_RECOV_ATTRIB_RESOURCES_NICK" hidden="1">"c9296"</definedName>
    <definedName name="IQ_INDICATED_RECOV_ATTRIB_RESOURCES_PLAT" hidden="1">"c9134"</definedName>
    <definedName name="IQ_INDICATED_RECOV_ATTRIB_RESOURCES_SILVER" hidden="1">"c9081"</definedName>
    <definedName name="IQ_INDICATED_RECOV_ATTRIB_RESOURCES_STEAM" hidden="1">"c9787"</definedName>
    <definedName name="IQ_INDICATED_RECOV_ATTRIB_RESOURCES_TITAN" hidden="1">"c9561"</definedName>
    <definedName name="IQ_INDICATED_RECOV_ATTRIB_RESOURCES_URAN" hidden="1">"c9614"</definedName>
    <definedName name="IQ_INDICATED_RECOV_ATTRIB_RESOURCES_ZINC" hidden="1">"c9349"</definedName>
    <definedName name="IQ_INDICATED_RECOV_RESOURCES_ALUM" hidden="1">"c9233"</definedName>
    <definedName name="IQ_INDICATED_RECOV_RESOURCES_COAL" hidden="1">"c9812"</definedName>
    <definedName name="IQ_INDICATED_RECOV_RESOURCES_COP" hidden="1">"c9177"</definedName>
    <definedName name="IQ_INDICATED_RECOV_RESOURCES_DIAM" hidden="1">"c9657"</definedName>
    <definedName name="IQ_INDICATED_RECOV_RESOURCES_GOLD" hidden="1">"c9018"</definedName>
    <definedName name="IQ_INDICATED_RECOV_RESOURCES_IRON" hidden="1">"c9392"</definedName>
    <definedName name="IQ_INDICATED_RECOV_RESOURCES_LEAD" hidden="1">"c9445"</definedName>
    <definedName name="IQ_INDICATED_RECOV_RESOURCES_MANG" hidden="1">"c9498"</definedName>
    <definedName name="IQ_INDICATED_RECOV_RESOURCES_MET_COAL" hidden="1">"c9752"</definedName>
    <definedName name="IQ_INDICATED_RECOV_RESOURCES_MOLYB" hidden="1">"c9710"</definedName>
    <definedName name="IQ_INDICATED_RECOV_RESOURCES_NICK" hidden="1">"c9286"</definedName>
    <definedName name="IQ_INDICATED_RECOV_RESOURCES_PLAT" hidden="1">"c9124"</definedName>
    <definedName name="IQ_INDICATED_RECOV_RESOURCES_SILVER" hidden="1">"c9071"</definedName>
    <definedName name="IQ_INDICATED_RECOV_RESOURCES_STEAM" hidden="1">"c9782"</definedName>
    <definedName name="IQ_INDICATED_RECOV_RESOURCES_TITAN" hidden="1">"c9551"</definedName>
    <definedName name="IQ_INDICATED_RECOV_RESOURCES_URAN" hidden="1">"c9604"</definedName>
    <definedName name="IQ_INDICATED_RECOV_RESOURCES_ZINC" hidden="1">"c9339"</definedName>
    <definedName name="IQ_INDICATED_RESOURCES_CALORIFIC_VALUE_COAL" hidden="1">"c9807"</definedName>
    <definedName name="IQ_INDICATED_RESOURCES_CALORIFIC_VALUE_MET_COAL" hidden="1">"c9747"</definedName>
    <definedName name="IQ_INDICATED_RESOURCES_CALORIFIC_VALUE_STEAM" hidden="1">"c9777"</definedName>
    <definedName name="IQ_INDICATED_RESOURCES_GRADE_ALUM" hidden="1">"c9225"</definedName>
    <definedName name="IQ_INDICATED_RESOURCES_GRADE_COP" hidden="1">"c9169"</definedName>
    <definedName name="IQ_INDICATED_RESOURCES_GRADE_DIAM" hidden="1">"c9649"</definedName>
    <definedName name="IQ_INDICATED_RESOURCES_GRADE_GOLD" hidden="1">"c9010"</definedName>
    <definedName name="IQ_INDICATED_RESOURCES_GRADE_IRON" hidden="1">"c9384"</definedName>
    <definedName name="IQ_INDICATED_RESOURCES_GRADE_LEAD" hidden="1">"c9437"</definedName>
    <definedName name="IQ_INDICATED_RESOURCES_GRADE_MANG" hidden="1">"c9490"</definedName>
    <definedName name="IQ_INDICATED_RESOURCES_GRADE_MOLYB" hidden="1">"c9702"</definedName>
    <definedName name="IQ_INDICATED_RESOURCES_GRADE_NICK" hidden="1">"c9278"</definedName>
    <definedName name="IQ_INDICATED_RESOURCES_GRADE_PLAT" hidden="1">"c9116"</definedName>
    <definedName name="IQ_INDICATED_RESOURCES_GRADE_SILVER" hidden="1">"c9063"</definedName>
    <definedName name="IQ_INDICATED_RESOURCES_GRADE_TITAN" hidden="1">"c9543"</definedName>
    <definedName name="IQ_INDICATED_RESOURCES_GRADE_URAN" hidden="1">"c9596"</definedName>
    <definedName name="IQ_INDICATED_RESOURCES_GRADE_ZINC" hidden="1">"c9331"</definedName>
    <definedName name="IQ_INDIVIDUALS_CHARGE_OFFS_FDIC" hidden="1">"c6599"</definedName>
    <definedName name="IQ_INDIVIDUALS_LOANS_FDIC" hidden="1">"c6318"</definedName>
    <definedName name="IQ_INDIVIDUALS_NET_CHARGE_OFFS_FDIC" hidden="1">"c6637"</definedName>
    <definedName name="IQ_INDIVIDUALS_OTHER_LOANS_FDIC" hidden="1">"c6321"</definedName>
    <definedName name="IQ_INDIVIDUALS_PARTNERSHIPS_CORP_DEPOSITS_FOREIGN_FDIC" hidden="1">"c6479"</definedName>
    <definedName name="IQ_INDIVIDUALS_PARTNERSHIPS_CORP_NONTRANSACTION_ACCOUNTS_FDIC" hidden="1">"c6545"</definedName>
    <definedName name="IQ_INDIVIDUALS_PARTNERSHIPS_CORP_TOTAL_DEPOSITS_FDIC" hidden="1">"c6471"</definedName>
    <definedName name="IQ_INDIVIDUALS_PARTNERSHIPS_CORP_TRANSACTION_ACCOUNTS_FDIC" hidden="1">"c6537"</definedName>
    <definedName name="IQ_INDIVIDUALS_RECOVERIES_FDIC" hidden="1">"c6618"</definedName>
    <definedName name="IQ_INDUSTRIAL_PROD" hidden="1">"c6895"</definedName>
    <definedName name="IQ_INDUSTRIAL_PROD_APR" hidden="1">"c7555"</definedName>
    <definedName name="IQ_INDUSTRIAL_PROD_APR_FC" hidden="1">"c8435"</definedName>
    <definedName name="IQ_INDUSTRIAL_PROD_FC" hidden="1">"c7775"</definedName>
    <definedName name="IQ_INDUSTRIAL_PROD_POP" hidden="1">"c7115"</definedName>
    <definedName name="IQ_INDUSTRIAL_PROD_POP_FC" hidden="1">"c7995"</definedName>
    <definedName name="IQ_INDUSTRIAL_PROD_YOY" hidden="1">"c7335"</definedName>
    <definedName name="IQ_INDUSTRIAL_PROD_YOY_FC" hidden="1">"c8215"</definedName>
    <definedName name="IQ_INDUSTRY" hidden="1">"c3601"</definedName>
    <definedName name="IQ_INDUSTRY_GROUP" hidden="1">"c3602"</definedName>
    <definedName name="IQ_INDUSTRY_SECTOR" hidden="1">"c3603"</definedName>
    <definedName name="IQ_INFERRED_ATTRIB_ORE_RESOURCES_ALUM" hidden="1">"c9240"</definedName>
    <definedName name="IQ_INFERRED_ATTRIB_ORE_RESOURCES_COP" hidden="1">"c9184"</definedName>
    <definedName name="IQ_INFERRED_ATTRIB_ORE_RESOURCES_DIAM" hidden="1">"c9664"</definedName>
    <definedName name="IQ_INFERRED_ATTRIB_ORE_RESOURCES_GOLD" hidden="1">"c9025"</definedName>
    <definedName name="IQ_INFERRED_ATTRIB_ORE_RESOURCES_IRON" hidden="1">"c9399"</definedName>
    <definedName name="IQ_INFERRED_ATTRIB_ORE_RESOURCES_LEAD" hidden="1">"c9452"</definedName>
    <definedName name="IQ_INFERRED_ATTRIB_ORE_RESOURCES_MANG" hidden="1">"c9505"</definedName>
    <definedName name="IQ_INFERRED_ATTRIB_ORE_RESOURCES_MOLYB" hidden="1">"c9717"</definedName>
    <definedName name="IQ_INFERRED_ATTRIB_ORE_RESOURCES_NICK" hidden="1">"c9293"</definedName>
    <definedName name="IQ_INFERRED_ATTRIB_ORE_RESOURCES_PLAT" hidden="1">"c9131"</definedName>
    <definedName name="IQ_INFERRED_ATTRIB_ORE_RESOURCES_SILVER" hidden="1">"c9078"</definedName>
    <definedName name="IQ_INFERRED_ATTRIB_ORE_RESOURCES_TITAN" hidden="1">"c9558"</definedName>
    <definedName name="IQ_INFERRED_ATTRIB_ORE_RESOURCES_URAN" hidden="1">"c9611"</definedName>
    <definedName name="IQ_INFERRED_ATTRIB_ORE_RESOURCES_ZINC" hidden="1">"c9346"</definedName>
    <definedName name="IQ_INFERRED_ORE_RESOURCES_ALUM" hidden="1">"c9228"</definedName>
    <definedName name="IQ_INFERRED_ORE_RESOURCES_COP" hidden="1">"c9172"</definedName>
    <definedName name="IQ_INFERRED_ORE_RESOURCES_DIAM" hidden="1">"c9652"</definedName>
    <definedName name="IQ_INFERRED_ORE_RESOURCES_GOLD" hidden="1">"c9013"</definedName>
    <definedName name="IQ_INFERRED_ORE_RESOURCES_IRON" hidden="1">"c9387"</definedName>
    <definedName name="IQ_INFERRED_ORE_RESOURCES_LEAD" hidden="1">"c9440"</definedName>
    <definedName name="IQ_INFERRED_ORE_RESOURCES_MANG" hidden="1">"c9493"</definedName>
    <definedName name="IQ_INFERRED_ORE_RESOURCES_MOLYB" hidden="1">"c9705"</definedName>
    <definedName name="IQ_INFERRED_ORE_RESOURCES_NICK" hidden="1">"c9281"</definedName>
    <definedName name="IQ_INFERRED_ORE_RESOURCES_PLAT" hidden="1">"c9119"</definedName>
    <definedName name="IQ_INFERRED_ORE_RESOURCES_SILVER" hidden="1">"c9066"</definedName>
    <definedName name="IQ_INFERRED_ORE_RESOURCES_TITAN" hidden="1">"c9546"</definedName>
    <definedName name="IQ_INFERRED_ORE_RESOURCES_URAN" hidden="1">"c9599"</definedName>
    <definedName name="IQ_INFERRED_ORE_RESOURCES_ZINC" hidden="1">"c9334"</definedName>
    <definedName name="IQ_INFERRED_RECOV_ATTRIB_RESOURCES_ALUM" hidden="1">"c9245"</definedName>
    <definedName name="IQ_INFERRED_RECOV_ATTRIB_RESOURCES_COAL" hidden="1">"c9819"</definedName>
    <definedName name="IQ_INFERRED_RECOV_ATTRIB_RESOURCES_COP" hidden="1">"c9189"</definedName>
    <definedName name="IQ_INFERRED_RECOV_ATTRIB_RESOURCES_DIAM" hidden="1">"c9669"</definedName>
    <definedName name="IQ_INFERRED_RECOV_ATTRIB_RESOURCES_GOLD" hidden="1">"c9030"</definedName>
    <definedName name="IQ_INFERRED_RECOV_ATTRIB_RESOURCES_IRON" hidden="1">"c9404"</definedName>
    <definedName name="IQ_INFERRED_RECOV_ATTRIB_RESOURCES_LEAD" hidden="1">"c9457"</definedName>
    <definedName name="IQ_INFERRED_RECOV_ATTRIB_RESOURCES_MANG" hidden="1">"c9510"</definedName>
    <definedName name="IQ_INFERRED_RECOV_ATTRIB_RESOURCES_MET_COAL" hidden="1">"c9759"</definedName>
    <definedName name="IQ_INFERRED_RECOV_ATTRIB_RESOURCES_MOLYB" hidden="1">"c9722"</definedName>
    <definedName name="IQ_INFERRED_RECOV_ATTRIB_RESOURCES_NICK" hidden="1">"c9298"</definedName>
    <definedName name="IQ_INFERRED_RECOV_ATTRIB_RESOURCES_PLAT" hidden="1">"c9136"</definedName>
    <definedName name="IQ_INFERRED_RECOV_ATTRIB_RESOURCES_SILVER" hidden="1">"c9083"</definedName>
    <definedName name="IQ_INFERRED_RECOV_ATTRIB_RESOURCES_STEAM" hidden="1">"c9789"</definedName>
    <definedName name="IQ_INFERRED_RECOV_ATTRIB_RESOURCES_TITAN" hidden="1">"c9563"</definedName>
    <definedName name="IQ_INFERRED_RECOV_ATTRIB_RESOURCES_URAN" hidden="1">"c9616"</definedName>
    <definedName name="IQ_INFERRED_RECOV_ATTRIB_RESOURCES_ZINC" hidden="1">"c9351"</definedName>
    <definedName name="IQ_INFERRED_RECOV_RESOURCES_ALUM" hidden="1">"c9235"</definedName>
    <definedName name="IQ_INFERRED_RECOV_RESOURCES_COAL" hidden="1">"c9814"</definedName>
    <definedName name="IQ_INFERRED_RECOV_RESOURCES_COP" hidden="1">"c9179"</definedName>
    <definedName name="IQ_INFERRED_RECOV_RESOURCES_DIAM" hidden="1">"c9659"</definedName>
    <definedName name="IQ_INFERRED_RECOV_RESOURCES_GOLD" hidden="1">"c9020"</definedName>
    <definedName name="IQ_INFERRED_RECOV_RESOURCES_IRON" hidden="1">"c9394"</definedName>
    <definedName name="IQ_INFERRED_RECOV_RESOURCES_LEAD" hidden="1">"c9447"</definedName>
    <definedName name="IQ_INFERRED_RECOV_RESOURCES_MANG" hidden="1">"c9500"</definedName>
    <definedName name="IQ_INFERRED_RECOV_RESOURCES_MET_COAL" hidden="1">"c9754"</definedName>
    <definedName name="IQ_INFERRED_RECOV_RESOURCES_MOLYB" hidden="1">"c9712"</definedName>
    <definedName name="IQ_INFERRED_RECOV_RESOURCES_NICK" hidden="1">"c9288"</definedName>
    <definedName name="IQ_INFERRED_RECOV_RESOURCES_PLAT" hidden="1">"c9126"</definedName>
    <definedName name="IQ_INFERRED_RECOV_RESOURCES_SILVER" hidden="1">"c9073"</definedName>
    <definedName name="IQ_INFERRED_RECOV_RESOURCES_STEAM" hidden="1">"c9784"</definedName>
    <definedName name="IQ_INFERRED_RECOV_RESOURCES_TITAN" hidden="1">"c9553"</definedName>
    <definedName name="IQ_INFERRED_RECOV_RESOURCES_URAN" hidden="1">"c9606"</definedName>
    <definedName name="IQ_INFERRED_RECOV_RESOURCES_ZINC" hidden="1">"c9341"</definedName>
    <definedName name="IQ_INFERRED_RESOURCES_CALORIFIC_VALUE_COAL" hidden="1">"c9809"</definedName>
    <definedName name="IQ_INFERRED_RESOURCES_CALORIFIC_VALUE_MET_COAL" hidden="1">"c9749"</definedName>
    <definedName name="IQ_INFERRED_RESOURCES_CALORIFIC_VALUE_STEAM" hidden="1">"c9779"</definedName>
    <definedName name="IQ_INFERRED_RESOURCES_GRADE_ALUM" hidden="1">"c9229"</definedName>
    <definedName name="IQ_INFERRED_RESOURCES_GRADE_COP" hidden="1">"c9173"</definedName>
    <definedName name="IQ_INFERRED_RESOURCES_GRADE_DIAM" hidden="1">"c9653"</definedName>
    <definedName name="IQ_INFERRED_RESOURCES_GRADE_GOLD" hidden="1">"c9014"</definedName>
    <definedName name="IQ_INFERRED_RESOURCES_GRADE_IRON" hidden="1">"c9388"</definedName>
    <definedName name="IQ_INFERRED_RESOURCES_GRADE_LEAD" hidden="1">"c9441"</definedName>
    <definedName name="IQ_INFERRED_RESOURCES_GRADE_MANG" hidden="1">"c9494"</definedName>
    <definedName name="IQ_INFERRED_RESOURCES_GRADE_MOLYB" hidden="1">"c9706"</definedName>
    <definedName name="IQ_INFERRED_RESOURCES_GRADE_NICK" hidden="1">"c9282"</definedName>
    <definedName name="IQ_INFERRED_RESOURCES_GRADE_PLAT" hidden="1">"c9120"</definedName>
    <definedName name="IQ_INFERRED_RESOURCES_GRADE_SILVER" hidden="1">"c9067"</definedName>
    <definedName name="IQ_INFERRED_RESOURCES_GRADE_TITAN" hidden="1">"c9547"</definedName>
    <definedName name="IQ_INFERRED_RESOURCES_GRADE_URAN" hidden="1">"c9600"</definedName>
    <definedName name="IQ_INFERRED_RESOURCES_GRADE_ZINC" hidden="1">"c9335"</definedName>
    <definedName name="IQ_INFLATION_RATE" hidden="1">"c6899"</definedName>
    <definedName name="IQ_INFLATION_RATE_CORE" hidden="1">"c11783"</definedName>
    <definedName name="IQ_INFLATION_RATE_CORE_POP" hidden="1">"c11784"</definedName>
    <definedName name="IQ_INFLATION_RATE_CORE_YOY" hidden="1">"c11785"</definedName>
    <definedName name="IQ_INFLATION_RATE_FC" hidden="1">"c7779"</definedName>
    <definedName name="IQ_INFLATION_RATE_POP" hidden="1">"c7119"</definedName>
    <definedName name="IQ_INFLATION_RATE_POP_FC" hidden="1">"c7999"</definedName>
    <definedName name="IQ_INFLATION_RATE_YOY" hidden="1">"c7339"</definedName>
    <definedName name="IQ_INFLATION_RATE_YOY_FC" hidden="1">"c8219"</definedName>
    <definedName name="IQ_INITIAL_CLAIMS" hidden="1">"c6900"</definedName>
    <definedName name="IQ_INITIAL_CLAIMS_APR" hidden="1">"c7560"</definedName>
    <definedName name="IQ_INITIAL_CLAIMS_APR_FC" hidden="1">"c8440"</definedName>
    <definedName name="IQ_INITIAL_CLAIMS_FC" hidden="1">"c7780"</definedName>
    <definedName name="IQ_INITIAL_CLAIMS_POP" hidden="1">"c7120"</definedName>
    <definedName name="IQ_INITIAL_CLAIMS_POP_FC" hidden="1">"c8000"</definedName>
    <definedName name="IQ_INS_ANNUITY_LIAB" hidden="1">"c563"</definedName>
    <definedName name="IQ_INS_ANNUITY_REV" hidden="1">"c2788"</definedName>
    <definedName name="IQ_INS_DIV_EXP" hidden="1">"c564"</definedName>
    <definedName name="IQ_INS_DIV_REV" hidden="1">"c565"</definedName>
    <definedName name="IQ_INS_IN_FORCE" hidden="1">"c566"</definedName>
    <definedName name="IQ_INS_LIAB" hidden="1">"c567"</definedName>
    <definedName name="IQ_INS_POLICY_EXP" hidden="1">"c568"</definedName>
    <definedName name="IQ_INS_REV" hidden="1">"c569"</definedName>
    <definedName name="IQ_INS_SETTLE" hidden="1">"c570"</definedName>
    <definedName name="IQ_INS_SETTLE_BNK" hidden="1">"c571"</definedName>
    <definedName name="IQ_INS_SETTLE_BR" hidden="1">"c572"</definedName>
    <definedName name="IQ_INS_SETTLE_FIN" hidden="1">"c573"</definedName>
    <definedName name="IQ_INS_SETTLE_INS" hidden="1">"c574"</definedName>
    <definedName name="IQ_INS_SETTLE_RE" hidden="1">"c6223"</definedName>
    <definedName name="IQ_INS_SETTLE_REIT" hidden="1">"c575"</definedName>
    <definedName name="IQ_INS_SETTLE_UTI" hidden="1">"c576"</definedName>
    <definedName name="IQ_INSIDER_3MTH_BOUGHT_PCT" hidden="1">"c1534"</definedName>
    <definedName name="IQ_INSIDER_3MTH_NET_PCT" hidden="1">"c1535"</definedName>
    <definedName name="IQ_INSIDER_3MTH_SOLD_PCT" hidden="1">"c1533"</definedName>
    <definedName name="IQ_INSIDER_6MTH_BOUGHT_PCT" hidden="1">"c1537"</definedName>
    <definedName name="IQ_INSIDER_6MTH_NET_PCT" hidden="1">"c1538"</definedName>
    <definedName name="IQ_INSIDER_6MTH_SOLD_PCT" hidden="1">"c1536"</definedName>
    <definedName name="IQ_INSIDER_LOANS_FDIC" hidden="1">"c6365"</definedName>
    <definedName name="IQ_INSIDER_OVER_TOTAL" hidden="1">"c1581"</definedName>
    <definedName name="IQ_INSIDER_OWNER" hidden="1">"c577"</definedName>
    <definedName name="IQ_INSIDER_PERCENT" hidden="1">"c578"</definedName>
    <definedName name="IQ_INSIDER_SHARES" hidden="1">"c579"</definedName>
    <definedName name="IQ_INST_DEPOSITS" hidden="1">"c89"</definedName>
    <definedName name="IQ_INSTITUTIONAL_OVER_TOTAL" hidden="1">"c1580"</definedName>
    <definedName name="IQ_INSTITUTIONAL_OWNER" hidden="1">"c580"</definedName>
    <definedName name="IQ_INSTITUTIONAL_PERCENT" hidden="1">"c581"</definedName>
    <definedName name="IQ_INSTITUTIONAL_SHARES" hidden="1">"c582"</definedName>
    <definedName name="IQ_INSTITUTIONS_EARNINGS_GAINS_FDIC" hidden="1">"c6723"</definedName>
    <definedName name="IQ_INSUR_RECEIV" hidden="1">"c1600"</definedName>
    <definedName name="IQ_INSURANCE_COMMISSION_FEES_FDIC" hidden="1">"c6670"</definedName>
    <definedName name="IQ_INSURANCE_UNDERWRITING_INCOME_FDIC" hidden="1">"c6671"</definedName>
    <definedName name="IQ_INT_BEARING_DEPOSITS" hidden="1">"c1166"</definedName>
    <definedName name="IQ_INT_BORROW" hidden="1">"c583"</definedName>
    <definedName name="IQ_INT_DEMAND_NOTES_FDIC" hidden="1">"c6567"</definedName>
    <definedName name="IQ_INT_DEPOSITS" hidden="1">"c584"</definedName>
    <definedName name="IQ_INT_DIV_INC" hidden="1">"c585"</definedName>
    <definedName name="IQ_INT_DOMESTIC_DEPOSITS_FDIC" hidden="1">"c6564"</definedName>
    <definedName name="IQ_INT_EXP_BR" hidden="1">"c586"</definedName>
    <definedName name="IQ_INT_EXP_COVERAGE" hidden="1">"c587"</definedName>
    <definedName name="IQ_INT_EXP_FIN" hidden="1">"c588"</definedName>
    <definedName name="IQ_INT_EXP_INCL_CAP" hidden="1">"c2988"</definedName>
    <definedName name="IQ_INT_EXP_INS" hidden="1">"c589"</definedName>
    <definedName name="IQ_INT_EXP_LTD" hidden="1">"c2086"</definedName>
    <definedName name="IQ_INT_EXP_RE" hidden="1">"c6224"</definedName>
    <definedName name="IQ_INT_EXP_REIT" hidden="1">"c590"</definedName>
    <definedName name="IQ_INT_EXP_TOTAL" hidden="1">"c591"</definedName>
    <definedName name="IQ_INT_EXP_TOTAL_BNK_SUBTOTAL_AP" hidden="1">"c8977"</definedName>
    <definedName name="IQ_INT_EXP_TOTAL_FDIC" hidden="1">"c6569"</definedName>
    <definedName name="IQ_INT_EXP_UTI" hidden="1">"c592"</definedName>
    <definedName name="IQ_INT_FED_FUNDS_FDIC" hidden="1">"c6566"</definedName>
    <definedName name="IQ_INT_FOREIGN_DEPOSITS_FDIC" hidden="1">"c6565"</definedName>
    <definedName name="IQ_INT_INC_BR" hidden="1">"c593"</definedName>
    <definedName name="IQ_INT_INC_DEPOSITORY_INST_FDIC" hidden="1">"c6558"</definedName>
    <definedName name="IQ_INT_INC_DOM_LOANS_FDIC" hidden="1">"c6555"</definedName>
    <definedName name="IQ_INT_INC_FED_FUNDS_FDIC" hidden="1">"c6561"</definedName>
    <definedName name="IQ_INT_INC_FIN" hidden="1">"c594"</definedName>
    <definedName name="IQ_INT_INC_FOREIGN_LOANS_FDIC" hidden="1">"c6556"</definedName>
    <definedName name="IQ_INT_INC_INVEST" hidden="1">"c595"</definedName>
    <definedName name="IQ_INT_INC_LEASE_RECEIVABLES_FDIC" hidden="1">"c6557"</definedName>
    <definedName name="IQ_INT_INC_LOANS" hidden="1">"c596"</definedName>
    <definedName name="IQ_INT_INC_OTHER_FDIC" hidden="1">"c6562"</definedName>
    <definedName name="IQ_INT_INC_RE" hidden="1">"c6225"</definedName>
    <definedName name="IQ_INT_INC_REIT" hidden="1">"c597"</definedName>
    <definedName name="IQ_INT_INC_SECURITIES_FDIC" hidden="1">"c6559"</definedName>
    <definedName name="IQ_INT_INC_TOTAL" hidden="1">"c598"</definedName>
    <definedName name="IQ_INT_INC_TOTAL_BNK_SUBTOTAL_AP" hidden="1">"c8976"</definedName>
    <definedName name="IQ_INT_INC_TOTAL_FDIC" hidden="1">"c6563"</definedName>
    <definedName name="IQ_INT_INC_TRADING_ACCOUNTS_FDIC" hidden="1">"c6560"</definedName>
    <definedName name="IQ_INT_INC_UTI" hidden="1">"c599"</definedName>
    <definedName name="IQ_INT_INV_INC" hidden="1">"c600"</definedName>
    <definedName name="IQ_INT_INV_INC_RE" hidden="1">"c6226"</definedName>
    <definedName name="IQ_INT_INV_INC_REIT" hidden="1">"c601"</definedName>
    <definedName name="IQ_INT_INV_INC_UTI" hidden="1">"c602"</definedName>
    <definedName name="IQ_INT_ON_BORROWING_COVERAGE" hidden="1">"c603"</definedName>
    <definedName name="IQ_INT_RATE_SPREAD" hidden="1">"c604"</definedName>
    <definedName name="IQ_INT_SUB_NOTES_FDIC" hidden="1">"c6568"</definedName>
    <definedName name="IQ_INTANGIBLES_NET" hidden="1">"c1407"</definedName>
    <definedName name="IQ_INTEREST_BEARING_BALANCES_FDIC" hidden="1">"c6371"</definedName>
    <definedName name="IQ_INTEREST_BEARING_DEPOSITS_DOMESTIC_FDIC" hidden="1">"c6478"</definedName>
    <definedName name="IQ_INTEREST_BEARING_DEPOSITS_FDIC" hidden="1">"c6373"</definedName>
    <definedName name="IQ_INTEREST_BEARING_DEPOSITS_FOREIGN_FDIC" hidden="1">"c6485"</definedName>
    <definedName name="IQ_INTEREST_CASH_DEPOSITS" hidden="1">"c2255"</definedName>
    <definedName name="IQ_INTEREST_EXP" hidden="1">"c618"</definedName>
    <definedName name="IQ_INTEREST_EXP_NET" hidden="1">"c1450"</definedName>
    <definedName name="IQ_INTEREST_EXP_NON" hidden="1">"c1383"</definedName>
    <definedName name="IQ_INTEREST_EXP_SUPPL" hidden="1">"c1460"</definedName>
    <definedName name="IQ_INTEREST_INC" hidden="1">"c1393"</definedName>
    <definedName name="IQ_INTEREST_INC_NON" hidden="1">"c1384"</definedName>
    <definedName name="IQ_INTEREST_INVEST_INC" hidden="1">"c619"</definedName>
    <definedName name="IQ_INTEREST_RATE_CONTRACTS_FDIC" hidden="1">"c6512"</definedName>
    <definedName name="IQ_INTEREST_RATE_EXPOSURES_FDIC" hidden="1">"c6662"</definedName>
    <definedName name="IQ_INV_10YR_ANN_CAGR" hidden="1">"c6164"</definedName>
    <definedName name="IQ_INV_10YR_ANN_GROWTH" hidden="1">"c1930"</definedName>
    <definedName name="IQ_INV_1YR_ANN_GROWTH" hidden="1">"c1925"</definedName>
    <definedName name="IQ_INV_2YR_ANN_CAGR" hidden="1">"c6160"</definedName>
    <definedName name="IQ_INV_2YR_ANN_GROWTH" hidden="1">"c1926"</definedName>
    <definedName name="IQ_INV_3YR_ANN_CAGR" hidden="1">"c6161"</definedName>
    <definedName name="IQ_INV_3YR_ANN_GROWTH" hidden="1">"c1927"</definedName>
    <definedName name="IQ_INV_5YR_ANN_CAGR" hidden="1">"c6162"</definedName>
    <definedName name="IQ_INV_5YR_ANN_GROWTH" hidden="1">"c1928"</definedName>
    <definedName name="IQ_INV_7YR_ANN_CAGR" hidden="1">"c6163"</definedName>
    <definedName name="IQ_INV_7YR_ANN_GROWTH" hidden="1">"c1929"</definedName>
    <definedName name="IQ_INV_BANKING_FEE" hidden="1">"c620"</definedName>
    <definedName name="IQ_INV_METHOD" hidden="1">"c621"</definedName>
    <definedName name="IQ_INVENTORIES" hidden="1">"c6901"</definedName>
    <definedName name="IQ_INVENTORIES_APR" hidden="1">"c7561"</definedName>
    <definedName name="IQ_INVENTORIES_APR_FC" hidden="1">"c8441"</definedName>
    <definedName name="IQ_INVENTORIES_FC" hidden="1">"c7781"</definedName>
    <definedName name="IQ_INVENTORIES_POP" hidden="1">"c7121"</definedName>
    <definedName name="IQ_INVENTORIES_POP_FC" hidden="1">"c8001"</definedName>
    <definedName name="IQ_INVENTORIES_YOY" hidden="1">"c7341"</definedName>
    <definedName name="IQ_INVENTORIES_YOY_FC" hidden="1">"c8221"</definedName>
    <definedName name="IQ_INVENTORY" hidden="1">"c622"</definedName>
    <definedName name="IQ_INVENTORY_TURNS" hidden="1">"c623"</definedName>
    <definedName name="IQ_INVENTORY_UTI" hidden="1">"c624"</definedName>
    <definedName name="IQ_INVEST_DEBT" hidden="1">"c625"</definedName>
    <definedName name="IQ_INVEST_EQUITY_PREF" hidden="1">"c626"</definedName>
    <definedName name="IQ_INVEST_FHLB" hidden="1">"c627"</definedName>
    <definedName name="IQ_INVEST_GOV_SECURITY" hidden="1">"c5510"</definedName>
    <definedName name="IQ_INVEST_LOANS_CF" hidden="1">"c628"</definedName>
    <definedName name="IQ_INVEST_LOANS_CF_BNK" hidden="1">"c629"</definedName>
    <definedName name="IQ_INVEST_LOANS_CF_BR" hidden="1">"c630"</definedName>
    <definedName name="IQ_INVEST_LOANS_CF_FIN" hidden="1">"c631"</definedName>
    <definedName name="IQ_INVEST_LOANS_CF_INS" hidden="1">"c632"</definedName>
    <definedName name="IQ_INVEST_LOANS_CF_RE" hidden="1">"c6227"</definedName>
    <definedName name="IQ_INVEST_LOANS_CF_REIT" hidden="1">"c633"</definedName>
    <definedName name="IQ_INVEST_LOANS_CF_UTI" hidden="1">"c634"</definedName>
    <definedName name="IQ_INVEST_MUNI_SECURITY" hidden="1">"c5512"</definedName>
    <definedName name="IQ_INVEST_REAL_ESTATE" hidden="1">"c635"</definedName>
    <definedName name="IQ_INVEST_SECURITY" hidden="1">"c636"</definedName>
    <definedName name="IQ_INVEST_SECURITY_CF" hidden="1">"c637"</definedName>
    <definedName name="IQ_INVEST_SECURITY_CF_BNK" hidden="1">"c638"</definedName>
    <definedName name="IQ_INVEST_SECURITY_CF_BR" hidden="1">"c639"</definedName>
    <definedName name="IQ_INVEST_SECURITY_CF_FIN" hidden="1">"c640"</definedName>
    <definedName name="IQ_INVEST_SECURITY_CF_INS" hidden="1">"c641"</definedName>
    <definedName name="IQ_INVEST_SECURITY_CF_RE" hidden="1">"c6228"</definedName>
    <definedName name="IQ_INVEST_SECURITY_CF_REIT" hidden="1">"c642"</definedName>
    <definedName name="IQ_INVEST_SECURITY_CF_UTI" hidden="1">"c643"</definedName>
    <definedName name="IQ_INVEST_SECURITY_SUPPL" hidden="1">"c5511"</definedName>
    <definedName name="IQ_INVESTMENT_BANKING_OTHER_FEES_FDIC" hidden="1">"c6666"</definedName>
    <definedName name="IQ_IPRD" hidden="1">"c644"</definedName>
    <definedName name="IQ_IRA_KEOGH_ACCOUNTS_FDIC" hidden="1">"c6496"</definedName>
    <definedName name="IQ_ISM_INDEX" hidden="1">"c6902"</definedName>
    <definedName name="IQ_ISM_INDEX_APR" hidden="1">"c7562"</definedName>
    <definedName name="IQ_ISM_INDEX_APR_FC" hidden="1">"c8442"</definedName>
    <definedName name="IQ_ISM_INDEX_FC" hidden="1">"c7782"</definedName>
    <definedName name="IQ_ISM_INDEX_POP" hidden="1">"c7122"</definedName>
    <definedName name="IQ_ISM_INDEX_POP_FC" hidden="1">"c8002"</definedName>
    <definedName name="IQ_ISM_INDEX_YOY" hidden="1">"c7342"</definedName>
    <definedName name="IQ_ISM_INDEX_YOY_FC" hidden="1">"c8222"</definedName>
    <definedName name="IQ_ISM_SERVICES_APR_FC_UNUSED_UNUSED_UNUSED" hidden="1">"c8443"</definedName>
    <definedName name="IQ_ISM_SERVICES_APR_UNUSED_UNUSED_UNUSED" hidden="1">"c7563"</definedName>
    <definedName name="IQ_ISM_SERVICES_FC_UNUSED_UNUSED_UNUSED" hidden="1">"c7783"</definedName>
    <definedName name="IQ_ISM_SERVICES_INDEX" hidden="1">"c11862"</definedName>
    <definedName name="IQ_ISM_SERVICES_INDEX_APR" hidden="1">"c11865"</definedName>
    <definedName name="IQ_ISM_SERVICES_INDEX_POP" hidden="1">"c11863"</definedName>
    <definedName name="IQ_ISM_SERVICES_INDEX_YOY" hidden="1">"c11864"</definedName>
    <definedName name="IQ_ISM_SERVICES_POP_FC_UNUSED_UNUSED_UNUSED" hidden="1">"c8003"</definedName>
    <definedName name="IQ_ISM_SERVICES_POP_UNUSED_UNUSED_UNUSED" hidden="1">"c7123"</definedName>
    <definedName name="IQ_ISM_SERVICES_UNUSED_UNUSED_UNUSED" hidden="1">"c6903"</definedName>
    <definedName name="IQ_ISM_SERVICES_YOY_FC_UNUSED_UNUSED_UNUSED" hidden="1">"c8223"</definedName>
    <definedName name="IQ_ISM_SERVICES_YOY_UNUSED_UNUSED_UNUSED" hidden="1">"c7343"</definedName>
    <definedName name="IQ_ISS_DEBT_NET" hidden="1">"c1391"</definedName>
    <definedName name="IQ_ISS_STOCK_NET" hidden="1">"c1601"</definedName>
    <definedName name="IQ_ISSUE_CURRENCY" hidden="1">"c2156"</definedName>
    <definedName name="IQ_ISSUE_NAME" hidden="1">"c2142"</definedName>
    <definedName name="IQ_ISSUED_GUARANTEED_US_FDIC" hidden="1">"c6404"</definedName>
    <definedName name="IQ_ISSUER" hidden="1">"c2143"</definedName>
    <definedName name="IQ_ISSUER_CIQID" hidden="1">"c2258"</definedName>
    <definedName name="IQ_ISSUER_PARENT" hidden="1">"c2144"</definedName>
    <definedName name="IQ_ISSUER_PARENT_CIQID" hidden="1">"c2260"</definedName>
    <definedName name="IQ_ISSUER_PARENT_TICKER" hidden="1">"c2259"</definedName>
    <definedName name="IQ_ISSUER_TICKER" hidden="1">"c2252"</definedName>
    <definedName name="IQ_JR_SUB_DEBT" hidden="1">"c2534"</definedName>
    <definedName name="IQ_JR_SUB_DEBT_EBITDA" hidden="1">"c2560"</definedName>
    <definedName name="IQ_JR_SUB_DEBT_EBITDA_CAPEX" hidden="1">"c2561"</definedName>
    <definedName name="IQ_JR_SUB_DEBT_PCT" hidden="1">"c2535"</definedName>
    <definedName name="IQ_LAND" hidden="1">"c645"</definedName>
    <definedName name="IQ_LARGE_CAP_LABOR_COST_INDEX" hidden="1">"c6904"</definedName>
    <definedName name="IQ_LARGE_CAP_LABOR_COST_INDEX_APR" hidden="1">"c7564"</definedName>
    <definedName name="IQ_LARGE_CAP_LABOR_COST_INDEX_APR_FC" hidden="1">"c8444"</definedName>
    <definedName name="IQ_LARGE_CAP_LABOR_COST_INDEX_FC" hidden="1">"c7784"</definedName>
    <definedName name="IQ_LARGE_CAP_LABOR_COST_INDEX_POP" hidden="1">"c7124"</definedName>
    <definedName name="IQ_LARGE_CAP_LABOR_COST_INDEX_POP_FC" hidden="1">"c8004"</definedName>
    <definedName name="IQ_LARGE_CAP_LABOR_COST_INDEX_YOY" hidden="1">"c7344"</definedName>
    <definedName name="IQ_LARGE_CAP_LABOR_COST_INDEX_YOY_FC" hidden="1">"c8224"</definedName>
    <definedName name="IQ_LAST_PMT_DATE" hidden="1">"c2188"</definedName>
    <definedName name="IQ_LAST_SPLIT_DATE" hidden="1">"c2095"</definedName>
    <definedName name="IQ_LAST_SPLIT_FACTOR" hidden="1">"c2093"</definedName>
    <definedName name="IQ_LASTPRICINGDATE" hidden="1">"c3051"</definedName>
    <definedName name="IQ_LASTSALEPRICE" hidden="1">"c646"</definedName>
    <definedName name="IQ_LASTSALEPRICE_DATE" hidden="1">"c2109"</definedName>
    <definedName name="IQ_LATEST_MONTHLY_FACTOR" hidden="1">"c8971"</definedName>
    <definedName name="IQ_LATEST_MONTHLY_FACTOR_DATE" hidden="1">"c8972"</definedName>
    <definedName name="IQ_LATESTK" hidden="1">1000</definedName>
    <definedName name="IQ_LATESTQ" hidden="1">500</definedName>
    <definedName name="IQ_LEAD_UNDERWRITER" hidden="1">"c8957"</definedName>
    <definedName name="IQ_LEASE_FINANCING_RECEIVABLES_CHARGE_OFFS_FDIC" hidden="1">"c6602"</definedName>
    <definedName name="IQ_LEASE_FINANCING_RECEIVABLES_FDIC" hidden="1">"c6433"</definedName>
    <definedName name="IQ_LEASE_FINANCING_RECEIVABLES_NET_CHARGE_OFFS_FDIC" hidden="1">"c6640"</definedName>
    <definedName name="IQ_LEASE_FINANCING_RECEIVABLES_RECOVERIES_FDIC" hidden="1">"c6621"</definedName>
    <definedName name="IQ_LEASE_FINANCING_RECEIVABLES_TOTAL_LOANS_FOREIGN_FDIC" hidden="1">"c6449"</definedName>
    <definedName name="IQ_LEGAL_SETTLE" hidden="1">"c647"</definedName>
    <definedName name="IQ_LEGAL_SETTLE_BNK" hidden="1">"c648"</definedName>
    <definedName name="IQ_LEGAL_SETTLE_BR" hidden="1">"c649"</definedName>
    <definedName name="IQ_LEGAL_SETTLE_FIN" hidden="1">"c650"</definedName>
    <definedName name="IQ_LEGAL_SETTLE_INS" hidden="1">"c651"</definedName>
    <definedName name="IQ_LEGAL_SETTLE_RE" hidden="1">"c6229"</definedName>
    <definedName name="IQ_LEGAL_SETTLE_REIT" hidden="1">"c652"</definedName>
    <definedName name="IQ_LEGAL_SETTLE_UTI" hidden="1">"c653"</definedName>
    <definedName name="IQ_LEVERAGE_RATIO" hidden="1">"c654"</definedName>
    <definedName name="IQ_LEVERED_FCF" hidden="1">"c1907"</definedName>
    <definedName name="IQ_LFCF_10YR_ANN_CAGR" hidden="1">"c6174"</definedName>
    <definedName name="IQ_LFCF_10YR_ANN_GROWTH" hidden="1">"c1942"</definedName>
    <definedName name="IQ_LFCF_1YR_ANN_GROWTH" hidden="1">"c1937"</definedName>
    <definedName name="IQ_LFCF_2YR_ANN_CAGR" hidden="1">"c6170"</definedName>
    <definedName name="IQ_LFCF_2YR_ANN_GROWTH" hidden="1">"c1938"</definedName>
    <definedName name="IQ_LFCF_3YR_ANN_CAGR" hidden="1">"c6171"</definedName>
    <definedName name="IQ_LFCF_3YR_ANN_GROWTH" hidden="1">"c1939"</definedName>
    <definedName name="IQ_LFCF_5YR_ANN_CAGR" hidden="1">"c6172"</definedName>
    <definedName name="IQ_LFCF_5YR_ANN_GROWTH" hidden="1">"c1940"</definedName>
    <definedName name="IQ_LFCF_7YR_ANN_CAGR" hidden="1">"c6173"</definedName>
    <definedName name="IQ_LFCF_7YR_ANN_GROWTH" hidden="1">"c1941"</definedName>
    <definedName name="IQ_LFCF_MARGIN" hidden="1">"c1961"</definedName>
    <definedName name="IQ_LH_STATUTORY_SURPLUS" hidden="1">"c2771"</definedName>
    <definedName name="IQ_LIAB_AP" hidden="1">"c8886"</definedName>
    <definedName name="IQ_LIAB_AP_ABS" hidden="1">"c8905"</definedName>
    <definedName name="IQ_LIAB_NAME_AP" hidden="1">"c8924"</definedName>
    <definedName name="IQ_LIAB_NAME_AP_ABS" hidden="1">"c8943"</definedName>
    <definedName name="IQ_LICENSED_POPS" hidden="1">"c2123"</definedName>
    <definedName name="IQ_LIFE_EARNED" hidden="1">"c2739"</definedName>
    <definedName name="IQ_LIFE_INSURANCE_ASSETS_FDIC" hidden="1">"c6372"</definedName>
    <definedName name="IQ_LIFOR" hidden="1">"c655"</definedName>
    <definedName name="IQ_LL" hidden="1">"c656"</definedName>
    <definedName name="IQ_LOAN_COMMITMENTS_REVOLVING_FDIC" hidden="1">"c6524"</definedName>
    <definedName name="IQ_LOAN_LEASE_RECEIV" hidden="1">"c657"</definedName>
    <definedName name="IQ_LOAN_LOSS" hidden="1">"c1386"</definedName>
    <definedName name="IQ_LOAN_LOSS_ALLOW_FDIC" hidden="1">"c6326"</definedName>
    <definedName name="IQ_LOAN_LOSS_ALLOWANCE_NONCURRENT_LOANS_FDIC" hidden="1">"c6740"</definedName>
    <definedName name="IQ_LOAN_LOSSES_FDIC" hidden="1">"c6580"</definedName>
    <definedName name="IQ_LOAN_SERVICE_REV" hidden="1">"c658"</definedName>
    <definedName name="IQ_LOANS_AND_LEASES_HELD_FDIC" hidden="1">"c6367"</definedName>
    <definedName name="IQ_LOANS_CF" hidden="1">"c659"</definedName>
    <definedName name="IQ_LOANS_CF_BNK" hidden="1">"c660"</definedName>
    <definedName name="IQ_LOANS_CF_BR" hidden="1">"c661"</definedName>
    <definedName name="IQ_LOANS_CF_FIN" hidden="1">"c662"</definedName>
    <definedName name="IQ_LOANS_CF_INS" hidden="1">"c663"</definedName>
    <definedName name="IQ_LOANS_CF_RE" hidden="1">"c6230"</definedName>
    <definedName name="IQ_LOANS_CF_REIT" hidden="1">"c664"</definedName>
    <definedName name="IQ_LOANS_CF_UTI" hidden="1">"c665"</definedName>
    <definedName name="IQ_LOANS_DEPOSITORY_INSTITUTIONS_FDIC" hidden="1">"c6382"</definedName>
    <definedName name="IQ_LOANS_FOR_SALE" hidden="1">"c666"</definedName>
    <definedName name="IQ_LOANS_HELD_FOREIGN_FDIC" hidden="1">"c6315"</definedName>
    <definedName name="IQ_LOANS_LEASES_FOREIGN_FDIC" hidden="1">"c6383"</definedName>
    <definedName name="IQ_LOANS_LEASES_GROSS_FDIC" hidden="1">"c6323"</definedName>
    <definedName name="IQ_LOANS_LEASES_GROSS_FOREIGN_FDIC" hidden="1">"c6384"</definedName>
    <definedName name="IQ_LOANS_LEASES_NET_FDIC" hidden="1">"c6327"</definedName>
    <definedName name="IQ_LOANS_LEASES_NET_UNEARNED_FDIC" hidden="1">"c6325"</definedName>
    <definedName name="IQ_LOANS_NOT_SECURED_RE_FDIC" hidden="1">"c6381"</definedName>
    <definedName name="IQ_LOANS_PAST_DUE" hidden="1">"c667"</definedName>
    <definedName name="IQ_LOANS_RECEIV_CURRENT" hidden="1">"c668"</definedName>
    <definedName name="IQ_LOANS_RECEIV_LT" hidden="1">"c669"</definedName>
    <definedName name="IQ_LOANS_RECEIV_LT_UTI" hidden="1">"c670"</definedName>
    <definedName name="IQ_LOANS_SECURED_BY_RE_CHARGE_OFFS_FDIC" hidden="1">"c6588"</definedName>
    <definedName name="IQ_LOANS_SECURED_BY_RE_RECOVERIES_FDIC" hidden="1">"c6607"</definedName>
    <definedName name="IQ_LOANS_SECURED_NON_US_FDIC" hidden="1">"c6380"</definedName>
    <definedName name="IQ_LOANS_SECURED_RE_NET_CHARGE_OFFS_FDIC" hidden="1">"c6626"</definedName>
    <definedName name="IQ_LOANS_TO_DEPOSITORY_INSTITUTIONS_FOREIGN_FDIC" hidden="1">"c6453"</definedName>
    <definedName name="IQ_LOANS_TO_FOREIGN_GOVERNMENTS_FDIC" hidden="1">"c6448"</definedName>
    <definedName name="IQ_LOANS_TO_INDIVIDUALS_FOREIGN_FDIC" hidden="1">"c6452"</definedName>
    <definedName name="IQ_LONG_TERM_ASSETS_FDIC" hidden="1">"c6361"</definedName>
    <definedName name="IQ_LONG_TERM_DEBT" hidden="1">"c1387"</definedName>
    <definedName name="IQ_LONG_TERM_DEBT_OVER_TOTAL_CAP" hidden="1">"c1388"</definedName>
    <definedName name="IQ_LONG_TERM_GROWTH" hidden="1">"c671"</definedName>
    <definedName name="IQ_LONG_TERM_INV" hidden="1">"c1389"</definedName>
    <definedName name="IQ_LOSS_ALLOWANCE_LOANS_FDIC" hidden="1">"c6739"</definedName>
    <definedName name="IQ_LOSS_LOSS_EXP" hidden="1">"c672"</definedName>
    <definedName name="IQ_LOSS_TO_NET_EARNED" hidden="1">"c2751"</definedName>
    <definedName name="IQ_LOW_TARGET_PRICE" hidden="1">"c1652"</definedName>
    <definedName name="IQ_LOW_TARGET_PRICE_CIQ" hidden="1">"c4660"</definedName>
    <definedName name="IQ_LOW_TARGET_PRICE_REUT" hidden="1">"c5318"</definedName>
    <definedName name="IQ_LOWPRICE" hidden="1">"c673"</definedName>
    <definedName name="IQ_LT_ASSETS_AP" hidden="1">"c8882"</definedName>
    <definedName name="IQ_LT_ASSETS_AP_ABS" hidden="1">"c8901"</definedName>
    <definedName name="IQ_LT_ASSETS_NAME_AP" hidden="1">"c8920"</definedName>
    <definedName name="IQ_LT_ASSETS_NAME_AP_ABS" hidden="1">"c8939"</definedName>
    <definedName name="IQ_LT_DEBT" hidden="1">"c674"</definedName>
    <definedName name="IQ_LT_DEBT_BNK" hidden="1">"c675"</definedName>
    <definedName name="IQ_LT_DEBT_BR" hidden="1">"c676"</definedName>
    <definedName name="IQ_LT_DEBT_CAPITAL" hidden="1">"c677"</definedName>
    <definedName name="IQ_LT_DEBT_CAPITAL_LEASES" hidden="1">"c2542"</definedName>
    <definedName name="IQ_LT_DEBT_CAPITAL_LEASES_PCT" hidden="1">"c2543"</definedName>
    <definedName name="IQ_LT_DEBT_EQUITY" hidden="1">"c678"</definedName>
    <definedName name="IQ_LT_DEBT_FIN" hidden="1">"c679"</definedName>
    <definedName name="IQ_LT_DEBT_INS" hidden="1">"c680"</definedName>
    <definedName name="IQ_LT_DEBT_ISSUED" hidden="1">"c681"</definedName>
    <definedName name="IQ_LT_DEBT_ISSUED_BNK" hidden="1">"c682"</definedName>
    <definedName name="IQ_LT_DEBT_ISSUED_BR" hidden="1">"c683"</definedName>
    <definedName name="IQ_LT_DEBT_ISSUED_FIN" hidden="1">"c684"</definedName>
    <definedName name="IQ_LT_DEBT_ISSUED_INS" hidden="1">"c685"</definedName>
    <definedName name="IQ_LT_DEBT_ISSUED_RE" hidden="1">"c6231"</definedName>
    <definedName name="IQ_LT_DEBT_ISSUED_REIT" hidden="1">"c686"</definedName>
    <definedName name="IQ_LT_DEBT_ISSUED_UTI" hidden="1">"c687"</definedName>
    <definedName name="IQ_LT_DEBT_RE" hidden="1">"c6232"</definedName>
    <definedName name="IQ_LT_DEBT_REIT" hidden="1">"c688"</definedName>
    <definedName name="IQ_LT_DEBT_REPAID" hidden="1">"c689"</definedName>
    <definedName name="IQ_LT_DEBT_REPAID_BNK" hidden="1">"c690"</definedName>
    <definedName name="IQ_LT_DEBT_REPAID_BR" hidden="1">"c691"</definedName>
    <definedName name="IQ_LT_DEBT_REPAID_FIN" hidden="1">"c692"</definedName>
    <definedName name="IQ_LT_DEBT_REPAID_INS" hidden="1">"c693"</definedName>
    <definedName name="IQ_LT_DEBT_REPAID_RE" hidden="1">"c6233"</definedName>
    <definedName name="IQ_LT_DEBT_REPAID_REIT" hidden="1">"c694"</definedName>
    <definedName name="IQ_LT_DEBT_REPAID_UTI" hidden="1">"c695"</definedName>
    <definedName name="IQ_LT_DEBT_UTI" hidden="1">"c696"</definedName>
    <definedName name="IQ_LT_INVEST" hidden="1">"c697"</definedName>
    <definedName name="IQ_LT_INVEST_BR" hidden="1">"c698"</definedName>
    <definedName name="IQ_LT_INVEST_FIN" hidden="1">"c699"</definedName>
    <definedName name="IQ_LT_INVEST_RE" hidden="1">"c6234"</definedName>
    <definedName name="IQ_LT_INVEST_REIT" hidden="1">"c700"</definedName>
    <definedName name="IQ_LT_INVEST_UTI" hidden="1">"c701"</definedName>
    <definedName name="IQ_LT_LIAB_AP" hidden="1">"c8885"</definedName>
    <definedName name="IQ_LT_LIAB_AP_ABS" hidden="1">"c8904"</definedName>
    <definedName name="IQ_LT_LIAB_NAME_AP" hidden="1">"c8923"</definedName>
    <definedName name="IQ_LT_LIAB_NAME_AP_ABS" hidden="1">"c8942"</definedName>
    <definedName name="IQ_LT_NOTE_RECEIV" hidden="1">"c1602"</definedName>
    <definedName name="IQ_LTD_DUE_AFTER_FIVE" hidden="1">"c704"</definedName>
    <definedName name="IQ_LTD_DUE_CY" hidden="1">"c705"</definedName>
    <definedName name="IQ_LTD_DUE_CY1" hidden="1">"c706"</definedName>
    <definedName name="IQ_LTD_DUE_CY2" hidden="1">"c707"</definedName>
    <definedName name="IQ_LTD_DUE_CY3" hidden="1">"c708"</definedName>
    <definedName name="IQ_LTD_DUE_CY4" hidden="1">"c709"</definedName>
    <definedName name="IQ_LTD_DUE_NEXT_FIVE" hidden="1">"c710"</definedName>
    <definedName name="IQ_LTM" hidden="1">2000</definedName>
    <definedName name="IQ_LTM_REVENUE_OVER_EMPLOYEES" hidden="1">"c1437"</definedName>
    <definedName name="IQ_LTMMONTH" hidden="1">120000</definedName>
    <definedName name="IQ_M1" hidden="1">"c6906"</definedName>
    <definedName name="IQ_M1_APR" hidden="1">"c7566"</definedName>
    <definedName name="IQ_M1_APR_FC" hidden="1">"c8446"</definedName>
    <definedName name="IQ_M1_FC" hidden="1">"c7786"</definedName>
    <definedName name="IQ_M1_POP" hidden="1">"c7126"</definedName>
    <definedName name="IQ_M1_POP_FC" hidden="1">"c8006"</definedName>
    <definedName name="IQ_M1_YOY" hidden="1">"c7346"</definedName>
    <definedName name="IQ_M1_YOY_FC" hidden="1">"c8226"</definedName>
    <definedName name="IQ_M2" hidden="1">"c6907"</definedName>
    <definedName name="IQ_M2_APR" hidden="1">"c7567"</definedName>
    <definedName name="IQ_M2_APR_FC" hidden="1">"c8447"</definedName>
    <definedName name="IQ_M2_FC" hidden="1">"c7787"</definedName>
    <definedName name="IQ_M2_POP" hidden="1">"c7127"</definedName>
    <definedName name="IQ_M2_POP_FC" hidden="1">"c8007"</definedName>
    <definedName name="IQ_M2_YOY" hidden="1">"c7347"</definedName>
    <definedName name="IQ_M2_YOY_FC" hidden="1">"c8227"</definedName>
    <definedName name="IQ_M3" hidden="1">"c6908"</definedName>
    <definedName name="IQ_M3_APR" hidden="1">"c7568"</definedName>
    <definedName name="IQ_M3_APR_FC" hidden="1">"c8448"</definedName>
    <definedName name="IQ_M3_FC" hidden="1">"c7788"</definedName>
    <definedName name="IQ_M3_POP" hidden="1">"c7128"</definedName>
    <definedName name="IQ_M3_POP_FC" hidden="1">"c8008"</definedName>
    <definedName name="IQ_M3_YOY" hidden="1">"c7348"</definedName>
    <definedName name="IQ_M3_YOY_FC" hidden="1">"c8228"</definedName>
    <definedName name="IQ_MACHINERY" hidden="1">"c711"</definedName>
    <definedName name="IQ_MAINT_CAPEX" hidden="1">"c2947"</definedName>
    <definedName name="IQ_MAINT_CAPEX_ACT_OR_EST" hidden="1">"c4458"</definedName>
    <definedName name="IQ_MAINT_CAPEX_ACT_OR_EST_CIQ" hidden="1">"c4987"</definedName>
    <definedName name="IQ_MAINT_REPAIR" hidden="1">"c2087"</definedName>
    <definedName name="IQ_MAKE_WHOLE_END_DATE" hidden="1">"c2493"</definedName>
    <definedName name="IQ_MAKE_WHOLE_SPREAD" hidden="1">"c2494"</definedName>
    <definedName name="IQ_MAKE_WHOLE_START_DATE" hidden="1">"c2492"</definedName>
    <definedName name="IQ_MAN_INVENTORIES" hidden="1">"c6913"</definedName>
    <definedName name="IQ_MAN_INVENTORIES_APR" hidden="1">"c7573"</definedName>
    <definedName name="IQ_MAN_INVENTORIES_APR_FC" hidden="1">"c8453"</definedName>
    <definedName name="IQ_MAN_INVENTORIES_FC" hidden="1">"c7793"</definedName>
    <definedName name="IQ_MAN_INVENTORIES_POP" hidden="1">"c7133"</definedName>
    <definedName name="IQ_MAN_INVENTORIES_POP_FC" hidden="1">"c8013"</definedName>
    <definedName name="IQ_MAN_INVENTORIES_YOY" hidden="1">"c7353"</definedName>
    <definedName name="IQ_MAN_INVENTORIES_YOY_FC" hidden="1">"c8233"</definedName>
    <definedName name="IQ_MAN_IS_RATIO" hidden="1">"c6912"</definedName>
    <definedName name="IQ_MAN_IS_RATIO_APR" hidden="1">"c7572"</definedName>
    <definedName name="IQ_MAN_IS_RATIO_APR_FC" hidden="1">"c8452"</definedName>
    <definedName name="IQ_MAN_IS_RATIO_FC" hidden="1">"c7792"</definedName>
    <definedName name="IQ_MAN_IS_RATIO_POP" hidden="1">"c7132"</definedName>
    <definedName name="IQ_MAN_IS_RATIO_POP_FC" hidden="1">"c8012"</definedName>
    <definedName name="IQ_MAN_IS_RATIO_YOY" hidden="1">"c7352"</definedName>
    <definedName name="IQ_MAN_IS_RATIO_YOY_FC" hidden="1">"c8232"</definedName>
    <definedName name="IQ_MAN_ORDERS" hidden="1">"c6914"</definedName>
    <definedName name="IQ_MAN_ORDERS_APR" hidden="1">"c7574"</definedName>
    <definedName name="IQ_MAN_ORDERS_APR_FC" hidden="1">"c8454"</definedName>
    <definedName name="IQ_MAN_ORDERS_FC" hidden="1">"c7794"</definedName>
    <definedName name="IQ_MAN_ORDERS_POP" hidden="1">"c7134"</definedName>
    <definedName name="IQ_MAN_ORDERS_POP_FC" hidden="1">"c8014"</definedName>
    <definedName name="IQ_MAN_ORDERS_YOY" hidden="1">"c7354"</definedName>
    <definedName name="IQ_MAN_ORDERS_YOY_FC" hidden="1">"c8234"</definedName>
    <definedName name="IQ_MAN_OUTPUT_HR" hidden="1">"c6915"</definedName>
    <definedName name="IQ_MAN_OUTPUT_HR_APR" hidden="1">"c7575"</definedName>
    <definedName name="IQ_MAN_OUTPUT_HR_APR_FC" hidden="1">"c8455"</definedName>
    <definedName name="IQ_MAN_OUTPUT_HR_FC" hidden="1">"c7795"</definedName>
    <definedName name="IQ_MAN_OUTPUT_HR_POP" hidden="1">"c7135"</definedName>
    <definedName name="IQ_MAN_OUTPUT_HR_POP_FC" hidden="1">"c8015"</definedName>
    <definedName name="IQ_MAN_OUTPUT_HR_YOY" hidden="1">"c7355"</definedName>
    <definedName name="IQ_MAN_OUTPUT_HR_YOY_FC" hidden="1">"c8235"</definedName>
    <definedName name="IQ_MAN_PAYROLLS" hidden="1">"c6916"</definedName>
    <definedName name="IQ_MAN_PAYROLLS_APR" hidden="1">"c7576"</definedName>
    <definedName name="IQ_MAN_PAYROLLS_APR_FC" hidden="1">"c8456"</definedName>
    <definedName name="IQ_MAN_PAYROLLS_FC" hidden="1">"c7796"</definedName>
    <definedName name="IQ_MAN_PAYROLLS_POP" hidden="1">"c7136"</definedName>
    <definedName name="IQ_MAN_PAYROLLS_POP_FC" hidden="1">"c8016"</definedName>
    <definedName name="IQ_MAN_PAYROLLS_YOY" hidden="1">"c7356"</definedName>
    <definedName name="IQ_MAN_PAYROLLS_YOY_FC" hidden="1">"c8236"</definedName>
    <definedName name="IQ_MAN_SHIPMENTS" hidden="1">"c6917"</definedName>
    <definedName name="IQ_MAN_SHIPMENTS_APR" hidden="1">"c7577"</definedName>
    <definedName name="IQ_MAN_SHIPMENTS_APR_FC" hidden="1">"c8457"</definedName>
    <definedName name="IQ_MAN_SHIPMENTS_FC" hidden="1">"c7797"</definedName>
    <definedName name="IQ_MAN_SHIPMENTS_POP" hidden="1">"c7137"</definedName>
    <definedName name="IQ_MAN_SHIPMENTS_POP_FC" hidden="1">"c8017"</definedName>
    <definedName name="IQ_MAN_SHIPMENTS_YOY" hidden="1">"c7357"</definedName>
    <definedName name="IQ_MAN_SHIPMENTS_YOY_FC" hidden="1">"c8237"</definedName>
    <definedName name="IQ_MAN_TOTAL_HR" hidden="1">"c6918"</definedName>
    <definedName name="IQ_MAN_TOTAL_HR_APR" hidden="1">"c7578"</definedName>
    <definedName name="IQ_MAN_TOTAL_HR_APR_FC" hidden="1">"c8458"</definedName>
    <definedName name="IQ_MAN_TOTAL_HR_FC" hidden="1">"c7798"</definedName>
    <definedName name="IQ_MAN_TOTAL_HR_POP" hidden="1">"c7138"</definedName>
    <definedName name="IQ_MAN_TOTAL_HR_POP_FC" hidden="1">"c8018"</definedName>
    <definedName name="IQ_MAN_TOTAL_HR_YOY" hidden="1">"c7358"</definedName>
    <definedName name="IQ_MAN_TOTAL_HR_YOY_FC" hidden="1">"c8238"</definedName>
    <definedName name="IQ_MAN_TRADE_INVENTORIES" hidden="1">"c6910"</definedName>
    <definedName name="IQ_MAN_TRADE_INVENTORIES_APR" hidden="1">"c7570"</definedName>
    <definedName name="IQ_MAN_TRADE_INVENTORIES_APR_FC" hidden="1">"c8450"</definedName>
    <definedName name="IQ_MAN_TRADE_INVENTORIES_FC" hidden="1">"c7790"</definedName>
    <definedName name="IQ_MAN_TRADE_INVENTORIES_POP" hidden="1">"c7130"</definedName>
    <definedName name="IQ_MAN_TRADE_INVENTORIES_POP_FC" hidden="1">"c8010"</definedName>
    <definedName name="IQ_MAN_TRADE_INVENTORIES_YOY" hidden="1">"c7350"</definedName>
    <definedName name="IQ_MAN_TRADE_INVENTORIES_YOY_FC" hidden="1">"c8230"</definedName>
    <definedName name="IQ_MAN_TRADE_IS_RATIO" hidden="1">"c6909"</definedName>
    <definedName name="IQ_MAN_TRADE_IS_RATIO_FC" hidden="1">"c7789"</definedName>
    <definedName name="IQ_MAN_TRADE_IS_RATIO_POP" hidden="1">"c7129"</definedName>
    <definedName name="IQ_MAN_TRADE_IS_RATIO_POP_FC" hidden="1">"c8009"</definedName>
    <definedName name="IQ_MAN_TRADE_IS_RATIO_YOY" hidden="1">"c7349"</definedName>
    <definedName name="IQ_MAN_TRADE_IS_RATIO_YOY_FC" hidden="1">"c8229"</definedName>
    <definedName name="IQ_MAN_TRADE_SALES" hidden="1">"c6911"</definedName>
    <definedName name="IQ_MAN_TRADE_SALES_APR" hidden="1">"c7571"</definedName>
    <definedName name="IQ_MAN_TRADE_SALES_APR_FC" hidden="1">"c8451"</definedName>
    <definedName name="IQ_MAN_TRADE_SALES_FC" hidden="1">"c7791"</definedName>
    <definedName name="IQ_MAN_TRADE_SALES_POP" hidden="1">"c7131"</definedName>
    <definedName name="IQ_MAN_TRADE_SALES_POP_FC" hidden="1">"c8011"</definedName>
    <definedName name="IQ_MAN_TRADE_SALES_YOY" hidden="1">"c7351"</definedName>
    <definedName name="IQ_MAN_TRADE_SALES_YOY_FC" hidden="1">"c8231"</definedName>
    <definedName name="IQ_MAN_WAGES" hidden="1">"c6919"</definedName>
    <definedName name="IQ_MAN_WAGES_APR" hidden="1">"c7579"</definedName>
    <definedName name="IQ_MAN_WAGES_APR_FC" hidden="1">"c8459"</definedName>
    <definedName name="IQ_MAN_WAGES_FC" hidden="1">"c7799"</definedName>
    <definedName name="IQ_MAN_WAGES_POP" hidden="1">"c7139"</definedName>
    <definedName name="IQ_MAN_WAGES_POP_FC" hidden="1">"c8019"</definedName>
    <definedName name="IQ_MAN_WAGES_YOY" hidden="1">"c7359"</definedName>
    <definedName name="IQ_MAN_WAGES_YOY_FC" hidden="1">"c8239"</definedName>
    <definedName name="IQ_MANAGED_PROP" hidden="1">"c8763"</definedName>
    <definedName name="IQ_MANAGED_SQ_FT" hidden="1">"c8779"</definedName>
    <definedName name="IQ_MANAGED_UNITS" hidden="1">"c8771"</definedName>
    <definedName name="IQ_MARGIN_ANNUAL_PREMIUM_EQUIVALENT_NEW_BUSINESS" hidden="1">"c9970"</definedName>
    <definedName name="IQ_MARGIN_PV_PREMIUMS_NEW_BUSINESS" hidden="1">"c9971"</definedName>
    <definedName name="IQ_MARKET_CAP_LFCF" hidden="1">"c2209"</definedName>
    <definedName name="IQ_MARKETCAP" hidden="1">"c712"</definedName>
    <definedName name="IQ_MARKETING" hidden="1">"c2239"</definedName>
    <definedName name="IQ_MATURITY_DATE" hidden="1">"c2146"</definedName>
    <definedName name="IQ_MATURITY_ONE_YEAR_LESS_FDIC" hidden="1">"c6425"</definedName>
    <definedName name="IQ_MC_ASO_COVERED_LIVES" hidden="1">"c9918"</definedName>
    <definedName name="IQ_MC_ASO_MEMBERSHIP" hidden="1">"c9921"</definedName>
    <definedName name="IQ_MC_CLAIMS_RESERVES" hidden="1">"c9941"</definedName>
    <definedName name="IQ_MC_COMBINED_RATIO" hidden="1">"c9933"</definedName>
    <definedName name="IQ_MC_DAYS_CLAIMS_PAYABLE" hidden="1">"c9937"</definedName>
    <definedName name="IQ_MC_DAYS_CLAIMS_PAYABLE_EXCL_CAPITATION" hidden="1">"c9938"</definedName>
    <definedName name="IQ_MC_MEDICAL_COSTS_PMPM" hidden="1">"c9925"</definedName>
    <definedName name="IQ_MC_PARENT_CASH" hidden="1">"c9942"</definedName>
    <definedName name="IQ_MC_PREMIUMS_PMPM" hidden="1">"c9924"</definedName>
    <definedName name="IQ_MC_RATIO" hidden="1">"c2783"</definedName>
    <definedName name="IQ_MC_RECEIPT_CYCLE_TIME_DAYS" hidden="1">"c9939"</definedName>
    <definedName name="IQ_MC_RECEIPT_CYCLE_TIME_MONTHS" hidden="1">"c9940"</definedName>
    <definedName name="IQ_MC_RISK_COVERED_LIVES" hidden="1">"c9917"</definedName>
    <definedName name="IQ_MC_RISK_MEMBERSHIP" hidden="1">"c9920"</definedName>
    <definedName name="IQ_MC_SELLILNG_COSTS_RATIO" hidden="1">"c9928"</definedName>
    <definedName name="IQ_MC_SGA_PMPM" hidden="1">"c9926"</definedName>
    <definedName name="IQ_MC_STATUTORY_SURPLUS" hidden="1">"c2772"</definedName>
    <definedName name="IQ_MC_TOTAL_COVERED_LIVES" hidden="1">"c9919"</definedName>
    <definedName name="IQ_MC_TOTAL_MEMBERSHIP" hidden="1">"c9922"</definedName>
    <definedName name="IQ_MC_TOTAL_MEMBERSHIP_CAPITATION" hidden="1">"c9923"</definedName>
    <definedName name="IQ_MC_UNPROCESSED_CLAIMS_INVENTORY_DAYS" hidden="1">"c9936"</definedName>
    <definedName name="IQ_MC_UNPROCESSED_CLAIMS_INVENTORY_NUMBER" hidden="1">"c9934"</definedName>
    <definedName name="IQ_MC_UNPROCESSED_CLAIMS_INVENTORY_VALUE" hidden="1">"c9935"</definedName>
    <definedName name="IQ_MEASURED_ATTRIB_ORE_RESOURCES_ALUM" hidden="1">"c9237"</definedName>
    <definedName name="IQ_MEASURED_ATTRIB_ORE_RESOURCES_COP" hidden="1">"c9181"</definedName>
    <definedName name="IQ_MEASURED_ATTRIB_ORE_RESOURCES_DIAM" hidden="1">"c9661"</definedName>
    <definedName name="IQ_MEASURED_ATTRIB_ORE_RESOURCES_GOLD" hidden="1">"c9022"</definedName>
    <definedName name="IQ_MEASURED_ATTRIB_ORE_RESOURCES_IRON" hidden="1">"c9396"</definedName>
    <definedName name="IQ_MEASURED_ATTRIB_ORE_RESOURCES_LEAD" hidden="1">"c9449"</definedName>
    <definedName name="IQ_MEASURED_ATTRIB_ORE_RESOURCES_MANG" hidden="1">"c9502"</definedName>
    <definedName name="IQ_MEASURED_ATTRIB_ORE_RESOURCES_MOLYB" hidden="1">"c9714"</definedName>
    <definedName name="IQ_MEASURED_ATTRIB_ORE_RESOURCES_NICK" hidden="1">"c9290"</definedName>
    <definedName name="IQ_MEASURED_ATTRIB_ORE_RESOURCES_PLAT" hidden="1">"c9128"</definedName>
    <definedName name="IQ_MEASURED_ATTRIB_ORE_RESOURCES_SILVER" hidden="1">"c9075"</definedName>
    <definedName name="IQ_MEASURED_ATTRIB_ORE_RESOURCES_TITAN" hidden="1">"c9555"</definedName>
    <definedName name="IQ_MEASURED_ATTRIB_ORE_RESOURCES_URAN" hidden="1">"c9608"</definedName>
    <definedName name="IQ_MEASURED_ATTRIB_ORE_RESOURCES_ZINC" hidden="1">"c9343"</definedName>
    <definedName name="IQ_MEASURED_INDICATED_ATTRIB_ORE_RESOURCES_ALUM" hidden="1">"c9239"</definedName>
    <definedName name="IQ_MEASURED_INDICATED_ATTRIB_ORE_RESOURCES_COP" hidden="1">"c9183"</definedName>
    <definedName name="IQ_MEASURED_INDICATED_ATTRIB_ORE_RESOURCES_DIAM" hidden="1">"c9663"</definedName>
    <definedName name="IQ_MEASURED_INDICATED_ATTRIB_ORE_RESOURCES_GOLD" hidden="1">"c9024"</definedName>
    <definedName name="IQ_MEASURED_INDICATED_ATTRIB_ORE_RESOURCES_IRON" hidden="1">"c9398"</definedName>
    <definedName name="IQ_MEASURED_INDICATED_ATTRIB_ORE_RESOURCES_LEAD" hidden="1">"c9451"</definedName>
    <definedName name="IQ_MEASURED_INDICATED_ATTRIB_ORE_RESOURCES_MANG" hidden="1">"c9504"</definedName>
    <definedName name="IQ_MEASURED_INDICATED_ATTRIB_ORE_RESOURCES_MOLYB" hidden="1">"c9716"</definedName>
    <definedName name="IQ_MEASURED_INDICATED_ATTRIB_ORE_RESOURCES_NICK" hidden="1">"c9292"</definedName>
    <definedName name="IQ_MEASURED_INDICATED_ATTRIB_ORE_RESOURCES_PLAT" hidden="1">"c9130"</definedName>
    <definedName name="IQ_MEASURED_INDICATED_ATTRIB_ORE_RESOURCES_SILVER" hidden="1">"c9077"</definedName>
    <definedName name="IQ_MEASURED_INDICATED_ATTRIB_ORE_RESOURCES_TITAN" hidden="1">"c9557"</definedName>
    <definedName name="IQ_MEASURED_INDICATED_ATTRIB_ORE_RESOURCES_URAN" hidden="1">"c9610"</definedName>
    <definedName name="IQ_MEASURED_INDICATED_ATTRIB_ORE_RESOURCES_ZINC" hidden="1">"c9345"</definedName>
    <definedName name="IQ_MEASURED_INDICATED_ORE_RESOURCES_ALUM" hidden="1">"c9226"</definedName>
    <definedName name="IQ_MEASURED_INDICATED_ORE_RESOURCES_COP" hidden="1">"c9170"</definedName>
    <definedName name="IQ_MEASURED_INDICATED_ORE_RESOURCES_DIAM" hidden="1">"c9650"</definedName>
    <definedName name="IQ_MEASURED_INDICATED_ORE_RESOURCES_GOLD" hidden="1">"c9011"</definedName>
    <definedName name="IQ_MEASURED_INDICATED_ORE_RESOURCES_IRON" hidden="1">"c9385"</definedName>
    <definedName name="IQ_MEASURED_INDICATED_ORE_RESOURCES_LEAD" hidden="1">"c9438"</definedName>
    <definedName name="IQ_MEASURED_INDICATED_ORE_RESOURCES_MANG" hidden="1">"c9491"</definedName>
    <definedName name="IQ_MEASURED_INDICATED_ORE_RESOURCES_MOLYB" hidden="1">"c9703"</definedName>
    <definedName name="IQ_MEASURED_INDICATED_ORE_RESOURCES_NICK" hidden="1">"c9279"</definedName>
    <definedName name="IQ_MEASURED_INDICATED_ORE_RESOURCES_PLAT" hidden="1">"c9117"</definedName>
    <definedName name="IQ_MEASURED_INDICATED_ORE_RESOURCES_SILVER" hidden="1">"c9064"</definedName>
    <definedName name="IQ_MEASURED_INDICATED_ORE_RESOURCES_TITAN" hidden="1">"c9544"</definedName>
    <definedName name="IQ_MEASURED_INDICATED_ORE_RESOURCES_URAN" hidden="1">"c9597"</definedName>
    <definedName name="IQ_MEASURED_INDICATED_ORE_RESOURCES_ZINC" hidden="1">"c9332"</definedName>
    <definedName name="IQ_MEASURED_INDICATED_RECOV_RESOURCES_ALUM" hidden="1">"c9234"</definedName>
    <definedName name="IQ_MEASURED_INDICATED_RECOV_RESOURCES_COAL" hidden="1">"c9813"</definedName>
    <definedName name="IQ_MEASURED_INDICATED_RECOV_RESOURCES_COP" hidden="1">"c9178"</definedName>
    <definedName name="IQ_MEASURED_INDICATED_RECOV_RESOURCES_DIAM" hidden="1">"c9658"</definedName>
    <definedName name="IQ_MEASURED_INDICATED_RECOV_RESOURCES_GOLD" hidden="1">"c9019"</definedName>
    <definedName name="IQ_MEASURED_INDICATED_RECOV_RESOURCES_IRON" hidden="1">"c9393"</definedName>
    <definedName name="IQ_MEASURED_INDICATED_RECOV_RESOURCES_LEAD" hidden="1">"c9446"</definedName>
    <definedName name="IQ_MEASURED_INDICATED_RECOV_RESOURCES_MANG" hidden="1">"c9499"</definedName>
    <definedName name="IQ_MEASURED_INDICATED_RECOV_RESOURCES_MET_COAL" hidden="1">"c9753"</definedName>
    <definedName name="IQ_MEASURED_INDICATED_RECOV_RESOURCES_MOLYB" hidden="1">"c9711"</definedName>
    <definedName name="IQ_MEASURED_INDICATED_RECOV_RESOURCES_NICK" hidden="1">"c9287"</definedName>
    <definedName name="IQ_MEASURED_INDICATED_RECOV_RESOURCES_PLAT" hidden="1">"c9125"</definedName>
    <definedName name="IQ_MEASURED_INDICATED_RECOV_RESOURCES_SILVER" hidden="1">"c9072"</definedName>
    <definedName name="IQ_MEASURED_INDICATED_RECOV_RESOURCES_STEAM" hidden="1">"c9783"</definedName>
    <definedName name="IQ_MEASURED_INDICATED_RECOV_RESOURCES_TITAN" hidden="1">"c9552"</definedName>
    <definedName name="IQ_MEASURED_INDICATED_RECOV_RESOURCES_URAN" hidden="1">"c9605"</definedName>
    <definedName name="IQ_MEASURED_INDICATED_RECOV_RESOURCES_ZINC" hidden="1">"c9340"</definedName>
    <definedName name="IQ_MEASURED_INDICATED_RESOURCES_GRADE_ALUM" hidden="1">"c9227"</definedName>
    <definedName name="IQ_MEASURED_INDICATED_RESOURCES_GRADE_COP" hidden="1">"c9171"</definedName>
    <definedName name="IQ_MEASURED_INDICATED_RESOURCES_GRADE_DIAM" hidden="1">"c9651"</definedName>
    <definedName name="IQ_MEASURED_INDICATED_RESOURCES_GRADE_GOLD" hidden="1">"c9012"</definedName>
    <definedName name="IQ_MEASURED_INDICATED_RESOURCES_GRADE_IRON" hidden="1">"c9386"</definedName>
    <definedName name="IQ_MEASURED_INDICATED_RESOURCES_GRADE_LEAD" hidden="1">"c9439"</definedName>
    <definedName name="IQ_MEASURED_INDICATED_RESOURCES_GRADE_MANG" hidden="1">"c9492"</definedName>
    <definedName name="IQ_MEASURED_INDICATED_RESOURCES_GRADE_MOLYB" hidden="1">"c9704"</definedName>
    <definedName name="IQ_MEASURED_INDICATED_RESOURCES_GRADE_NICK" hidden="1">"c9280"</definedName>
    <definedName name="IQ_MEASURED_INDICATED_RESOURCES_GRADE_PLAT" hidden="1">"c9118"</definedName>
    <definedName name="IQ_MEASURED_INDICATED_RESOURCES_GRADE_SILVER" hidden="1">"c9065"</definedName>
    <definedName name="IQ_MEASURED_INDICATED_RESOURCES_GRADE_TITAN" hidden="1">"c9545"</definedName>
    <definedName name="IQ_MEASURED_INDICATED_RESOURCES_GRADE_URAN" hidden="1">"c9598"</definedName>
    <definedName name="IQ_MEASURED_INDICATED_RESOURCES_GRADE_ZINC" hidden="1">"c9333"</definedName>
    <definedName name="IQ_MEASURED_ORE_RESOURCES_ALUM" hidden="1">"c9222"</definedName>
    <definedName name="IQ_MEASURED_ORE_RESOURCES_COP" hidden="1">"c9166"</definedName>
    <definedName name="IQ_MEASURED_ORE_RESOURCES_DIAM" hidden="1">"c9646"</definedName>
    <definedName name="IQ_MEASURED_ORE_RESOURCES_GOLD" hidden="1">"c9007"</definedName>
    <definedName name="IQ_MEASURED_ORE_RESOURCES_IRON" hidden="1">"c9381"</definedName>
    <definedName name="IQ_MEASURED_ORE_RESOURCES_LEAD" hidden="1">"c9434"</definedName>
    <definedName name="IQ_MEASURED_ORE_RESOURCES_MANG" hidden="1">"c9487"</definedName>
    <definedName name="IQ_MEASURED_ORE_RESOURCES_MOLYB" hidden="1">"c9699"</definedName>
    <definedName name="IQ_MEASURED_ORE_RESOURCES_NICK" hidden="1">"c9275"</definedName>
    <definedName name="IQ_MEASURED_ORE_RESOURCES_PLAT" hidden="1">"c9113"</definedName>
    <definedName name="IQ_MEASURED_ORE_RESOURCES_SILVER" hidden="1">"c9060"</definedName>
    <definedName name="IQ_MEASURED_ORE_RESOURCES_TITAN" hidden="1">"c9540"</definedName>
    <definedName name="IQ_MEASURED_ORE_RESOURCES_URAN" hidden="1">"c9593"</definedName>
    <definedName name="IQ_MEASURED_ORE_RESOURCES_ZINC" hidden="1">"c9328"</definedName>
    <definedName name="IQ_MEASURED_RECOV_ATTRIB_RESOURCES_ALUM" hidden="1">"c9242"</definedName>
    <definedName name="IQ_MEASURED_RECOV_ATTRIB_RESOURCES_COAL" hidden="1">"c9816"</definedName>
    <definedName name="IQ_MEASURED_RECOV_ATTRIB_RESOURCES_COP" hidden="1">"c9186"</definedName>
    <definedName name="IQ_MEASURED_RECOV_ATTRIB_RESOURCES_DIAM" hidden="1">"c9666"</definedName>
    <definedName name="IQ_MEASURED_RECOV_ATTRIB_RESOURCES_GOLD" hidden="1">"c9027"</definedName>
    <definedName name="IQ_MEASURED_RECOV_ATTRIB_RESOURCES_IRON" hidden="1">"c9401"</definedName>
    <definedName name="IQ_MEASURED_RECOV_ATTRIB_RESOURCES_LEAD" hidden="1">"c9454"</definedName>
    <definedName name="IQ_MEASURED_RECOV_ATTRIB_RESOURCES_MANG" hidden="1">"c9507"</definedName>
    <definedName name="IQ_MEASURED_RECOV_ATTRIB_RESOURCES_MET_COAL" hidden="1">"c9756"</definedName>
    <definedName name="IQ_MEASURED_RECOV_ATTRIB_RESOURCES_MOLYB" hidden="1">"c9719"</definedName>
    <definedName name="IQ_MEASURED_RECOV_ATTRIB_RESOURCES_NICK" hidden="1">"c9295"</definedName>
    <definedName name="IQ_MEASURED_RECOV_ATTRIB_RESOURCES_PLAT" hidden="1">"c9133"</definedName>
    <definedName name="IQ_MEASURED_RECOV_ATTRIB_RESOURCES_SILVER" hidden="1">"c9080"</definedName>
    <definedName name="IQ_MEASURED_RECOV_ATTRIB_RESOURCES_STEAM" hidden="1">"c9786"</definedName>
    <definedName name="IQ_MEASURED_RECOV_ATTRIB_RESOURCES_TITAN" hidden="1">"c9560"</definedName>
    <definedName name="IQ_MEASURED_RECOV_ATTRIB_RESOURCES_URAN" hidden="1">"c9613"</definedName>
    <definedName name="IQ_MEASURED_RECOV_ATTRIB_RESOURCES_ZINC" hidden="1">"c9348"</definedName>
    <definedName name="IQ_MEASURED_RECOV_RESOURCES_ALUM" hidden="1">"c9232"</definedName>
    <definedName name="IQ_MEASURED_RECOV_RESOURCES_COAL" hidden="1">"c9811"</definedName>
    <definedName name="IQ_MEASURED_RECOV_RESOURCES_COP" hidden="1">"c9176"</definedName>
    <definedName name="IQ_MEASURED_RECOV_RESOURCES_DIAM" hidden="1">"c9656"</definedName>
    <definedName name="IQ_MEASURED_RECOV_RESOURCES_GOLD" hidden="1">"c9017"</definedName>
    <definedName name="IQ_MEASURED_RECOV_RESOURCES_IRON" hidden="1">"c9391"</definedName>
    <definedName name="IQ_MEASURED_RECOV_RESOURCES_LEAD" hidden="1">"c9444"</definedName>
    <definedName name="IQ_MEASURED_RECOV_RESOURCES_MANG" hidden="1">"c9497"</definedName>
    <definedName name="IQ_MEASURED_RECOV_RESOURCES_MET_COAL" hidden="1">"c9751"</definedName>
    <definedName name="IQ_MEASURED_RECOV_RESOURCES_MOLYB" hidden="1">"c9709"</definedName>
    <definedName name="IQ_MEASURED_RECOV_RESOURCES_NICK" hidden="1">"c9285"</definedName>
    <definedName name="IQ_MEASURED_RECOV_RESOURCES_PLAT" hidden="1">"c9123"</definedName>
    <definedName name="IQ_MEASURED_RECOV_RESOURCES_SILVER" hidden="1">"c9070"</definedName>
    <definedName name="IQ_MEASURED_RECOV_RESOURCES_STEAM" hidden="1">"c9781"</definedName>
    <definedName name="IQ_MEASURED_RECOV_RESOURCES_TITAN" hidden="1">"c9550"</definedName>
    <definedName name="IQ_MEASURED_RECOV_RESOURCES_URAN" hidden="1">"c9603"</definedName>
    <definedName name="IQ_MEASURED_RECOV_RESOURCES_ZINC" hidden="1">"c9338"</definedName>
    <definedName name="IQ_MEASURED_RESOURCES_CALORIFIC_VALUE_COAL" hidden="1">"c9806"</definedName>
    <definedName name="IQ_MEASURED_RESOURCES_CALORIFIC_VALUE_MET_COAL" hidden="1">"c9746"</definedName>
    <definedName name="IQ_MEASURED_RESOURCES_CALORIFIC_VALUE_STEAM" hidden="1">"c9776"</definedName>
    <definedName name="IQ_MEASURED_RESOURCES_GRADE_ALUM" hidden="1">"c9223"</definedName>
    <definedName name="IQ_MEASURED_RESOURCES_GRADE_COP" hidden="1">"c9167"</definedName>
    <definedName name="IQ_MEASURED_RESOURCES_GRADE_DIAM" hidden="1">"c9647"</definedName>
    <definedName name="IQ_MEASURED_RESOURCES_GRADE_GOLD" hidden="1">"c9008"</definedName>
    <definedName name="IQ_MEASURED_RESOURCES_GRADE_IRON" hidden="1">"c9382"</definedName>
    <definedName name="IQ_MEASURED_RESOURCES_GRADE_LEAD" hidden="1">"c9435"</definedName>
    <definedName name="IQ_MEASURED_RESOURCES_GRADE_MANG" hidden="1">"c9488"</definedName>
    <definedName name="IQ_MEASURED_RESOURCES_GRADE_MOLYB" hidden="1">"c9700"</definedName>
    <definedName name="IQ_MEASURED_RESOURCES_GRADE_NICK" hidden="1">"c9276"</definedName>
    <definedName name="IQ_MEASURED_RESOURCES_GRADE_PLAT" hidden="1">"c9114"</definedName>
    <definedName name="IQ_MEASURED_RESOURCES_GRADE_SILVER" hidden="1">"c9061"</definedName>
    <definedName name="IQ_MEASURED_RESOURCES_GRADE_TITAN" hidden="1">"c9541"</definedName>
    <definedName name="IQ_MEASURED_RESOURCES_GRADE_URAN" hidden="1">"c9594"</definedName>
    <definedName name="IQ_MEASURED_RESOURCES_GRADE_ZINC" hidden="1">"c9329"</definedName>
    <definedName name="IQ_MEDIAN_NEW_HOME_SALES_APR_FC_UNUSED_UNUSED_UNUSED" hidden="1">"c8460"</definedName>
    <definedName name="IQ_MEDIAN_NEW_HOME_SALES_APR_UNUSED_UNUSED_UNUSED" hidden="1">"c7580"</definedName>
    <definedName name="IQ_MEDIAN_NEW_HOME_SALES_FC_UNUSED_UNUSED_UNUSED" hidden="1">"c7800"</definedName>
    <definedName name="IQ_MEDIAN_NEW_HOME_SALES_POP_FC_UNUSED_UNUSED_UNUSED" hidden="1">"c8020"</definedName>
    <definedName name="IQ_MEDIAN_NEW_HOME_SALES_POP_UNUSED_UNUSED_UNUSED" hidden="1">"c7140"</definedName>
    <definedName name="IQ_MEDIAN_NEW_HOME_SALES_UNUSED_UNUSED_UNUSED" hidden="1">"c6920"</definedName>
    <definedName name="IQ_MEDIAN_NEW_HOME_SALES_YOY_FC_UNUSED_UNUSED_UNUSED" hidden="1">"c8240"</definedName>
    <definedName name="IQ_MEDIAN_NEW_HOME_SALES_YOY_UNUSED_UNUSED_UNUSED" hidden="1">"c7360"</definedName>
    <definedName name="IQ_MEDIAN_TARGET_PRICE" hidden="1">"c1650"</definedName>
    <definedName name="IQ_MEDIAN_TARGET_PRICE_CIQ" hidden="1">"c4658"</definedName>
    <definedName name="IQ_MEDIAN_TARGET_PRICE_REUT" hidden="1">"c5316"</definedName>
    <definedName name="IQ_MERGER" hidden="1">"c713"</definedName>
    <definedName name="IQ_MERGER_BNK" hidden="1">"c714"</definedName>
    <definedName name="IQ_MERGER_BR" hidden="1">"c715"</definedName>
    <definedName name="IQ_MERGER_FIN" hidden="1">"c716"</definedName>
    <definedName name="IQ_MERGER_INS" hidden="1">"c717"</definedName>
    <definedName name="IQ_MERGER_RE" hidden="1">"c6235"</definedName>
    <definedName name="IQ_MERGER_REIT" hidden="1">"c718"</definedName>
    <definedName name="IQ_MERGER_RESTRUCTURE" hidden="1">"c719"</definedName>
    <definedName name="IQ_MERGER_RESTRUCTURE_BNK" hidden="1">"c720"</definedName>
    <definedName name="IQ_MERGER_RESTRUCTURE_BR" hidden="1">"c721"</definedName>
    <definedName name="IQ_MERGER_RESTRUCTURE_FIN" hidden="1">"c722"</definedName>
    <definedName name="IQ_MERGER_RESTRUCTURE_INS" hidden="1">"c723"</definedName>
    <definedName name="IQ_MERGER_RESTRUCTURE_RE" hidden="1">"c6236"</definedName>
    <definedName name="IQ_MERGER_RESTRUCTURE_REIT" hidden="1">"c724"</definedName>
    <definedName name="IQ_MERGER_RESTRUCTURE_UTI" hidden="1">"c725"</definedName>
    <definedName name="IQ_MERGER_UTI" hidden="1">"c726"</definedName>
    <definedName name="IQ_MI_RECOV_ATTRIB_RESOURCES_ALUM" hidden="1">"c9244"</definedName>
    <definedName name="IQ_MI_RECOV_ATTRIB_RESOURCES_COAL" hidden="1">"c9818"</definedName>
    <definedName name="IQ_MI_RECOV_ATTRIB_RESOURCES_COP" hidden="1">"c9188"</definedName>
    <definedName name="IQ_MI_RECOV_ATTRIB_RESOURCES_DIAM" hidden="1">"c9668"</definedName>
    <definedName name="IQ_MI_RECOV_ATTRIB_RESOURCES_GOLD" hidden="1">"c9029"</definedName>
    <definedName name="IQ_MI_RECOV_ATTRIB_RESOURCES_IRON" hidden="1">"c9403"</definedName>
    <definedName name="IQ_MI_RECOV_ATTRIB_RESOURCES_LEAD" hidden="1">"c9456"</definedName>
    <definedName name="IQ_MI_RECOV_ATTRIB_RESOURCES_MANG" hidden="1">"c9509"</definedName>
    <definedName name="IQ_MI_RECOV_ATTRIB_RESOURCES_MET_COAL" hidden="1">"c9758"</definedName>
    <definedName name="IQ_MI_RECOV_ATTRIB_RESOURCES_MOLYB" hidden="1">"c9721"</definedName>
    <definedName name="IQ_MI_RECOV_ATTRIB_RESOURCES_NICK" hidden="1">"c9297"</definedName>
    <definedName name="IQ_MI_RECOV_ATTRIB_RESOURCES_PLAT" hidden="1">"c9135"</definedName>
    <definedName name="IQ_MI_RECOV_ATTRIB_RESOURCES_SILVER" hidden="1">"c9082"</definedName>
    <definedName name="IQ_MI_RECOV_ATTRIB_RESOURCES_STEAM" hidden="1">"c9788"</definedName>
    <definedName name="IQ_MI_RECOV_ATTRIB_RESOURCES_TITAN" hidden="1">"c9562"</definedName>
    <definedName name="IQ_MI_RECOV_ATTRIB_RESOURCES_URAN" hidden="1">"c9615"</definedName>
    <definedName name="IQ_MI_RECOV_ATTRIB_RESOURCES_ZINC" hidden="1">"c9350"</definedName>
    <definedName name="IQ_MI_RESOURCES_CALORIFIC_VALUE_COAL" hidden="1">"c9808"</definedName>
    <definedName name="IQ_MI_RESOURCES_CALORIFIC_VALUE_MET_COAL" hidden="1">"c9748"</definedName>
    <definedName name="IQ_MI_RESOURCES_CALORIFIC_VALUE_STEAM" hidden="1">"c9778"</definedName>
    <definedName name="IQ_MINORITY_INTEREST" hidden="1">"c727"</definedName>
    <definedName name="IQ_MINORITY_INTEREST_BNK" hidden="1">"c728"</definedName>
    <definedName name="IQ_MINORITY_INTEREST_BR" hidden="1">"c729"</definedName>
    <definedName name="IQ_MINORITY_INTEREST_CF" hidden="1">"c730"</definedName>
    <definedName name="IQ_MINORITY_INTEREST_FIN" hidden="1">"c731"</definedName>
    <definedName name="IQ_MINORITY_INTEREST_INS" hidden="1">"c732"</definedName>
    <definedName name="IQ_MINORITY_INTEREST_IS" hidden="1">"c733"</definedName>
    <definedName name="IQ_MINORITY_INTEREST_RE" hidden="1">"c6237"</definedName>
    <definedName name="IQ_MINORITY_INTEREST_REIT" hidden="1">"c734"</definedName>
    <definedName name="IQ_MINORITY_INTEREST_TOTAL" hidden="1">"c1905"</definedName>
    <definedName name="IQ_MINORITY_INTEREST_UTI" hidden="1">"c735"</definedName>
    <definedName name="IQ_MISC_ADJUST_CF" hidden="1">"c736"</definedName>
    <definedName name="IQ_MISC_EARN_ADJ" hidden="1">"c1603"</definedName>
    <definedName name="IQ_MKTCAP_EBT_EXCL" hidden="1">"c737"</definedName>
    <definedName name="IQ_MKTCAP_EBT_EXCL_AVG" hidden="1">"c738"</definedName>
    <definedName name="IQ_MKTCAP_EBT_INCL_AVG" hidden="1">"c739"</definedName>
    <definedName name="IQ_MKTCAP_TOTAL_REV" hidden="1">"c740"</definedName>
    <definedName name="IQ_MKTCAP_TOTAL_REV_AVG" hidden="1">"c741"</definedName>
    <definedName name="IQ_MKTCAP_TOTAL_REV_FWD" hidden="1">"c742"</definedName>
    <definedName name="IQ_MKTCAP_TOTAL_REV_FWD_CIQ" hidden="1">"c4041"</definedName>
    <definedName name="IQ_MKTCAP_TOTAL_REV_FWD_REUT" hidden="1">"c4048"</definedName>
    <definedName name="IQ_MM_ACCOUNT" hidden="1">"c743"</definedName>
    <definedName name="IQ_MM_ACCRETION_EXPENSE" hidden="1">"c9845"</definedName>
    <definedName name="IQ_MM_ARO_BEG" hidden="1">"c9842"</definedName>
    <definedName name="IQ_MM_ARO_TOTAL" hidden="1">"c9850"</definedName>
    <definedName name="IQ_MM_CURRENT_PORT_ARO" hidden="1">"c9851"</definedName>
    <definedName name="IQ_MM_DEVELOPED_ACREAGE" hidden="1">"c9832"</definedName>
    <definedName name="IQ_MM_DEVELOPED_SQ_KMS" hidden="1">"c9831"</definedName>
    <definedName name="IQ_MM_DEVELOPED_SQ_MILES" hidden="1">"c9833"</definedName>
    <definedName name="IQ_MM_EXPLORATION_EXPENDITURE_TOT" hidden="1">"c9840"</definedName>
    <definedName name="IQ_MM_FX_ADJUSTMENT" hidden="1">"c9847"</definedName>
    <definedName name="IQ_MM_LIABILITIES_INCURRED_ACQUIRED" hidden="1">"c9843"</definedName>
    <definedName name="IQ_MM_LIABILITIES_REL_SPIN_OFFS" hidden="1">"c9848"</definedName>
    <definedName name="IQ_MM_LIABILITIES_SETTLED_DISPOSED" hidden="1">"c9844"</definedName>
    <definedName name="IQ_MM_NON_CURRENT_PORT_ARO" hidden="1">"c9852"</definedName>
    <definedName name="IQ_MM_NUMBER_MINES" hidden="1">"c9839"</definedName>
    <definedName name="IQ_MM_OTHER_ADJUSTMENTS_ARO" hidden="1">"c9849"</definedName>
    <definedName name="IQ_MM_REMAINING_MINE_LIFE" hidden="1">"c9838"</definedName>
    <definedName name="IQ_MM_RESOURCES_INCL_EXCL_RESERVES" hidden="1">"c9841"</definedName>
    <definedName name="IQ_MM_REVISIONS_ESTIMATE" hidden="1">"c9846"</definedName>
    <definedName name="IQ_MM_STRIPPING_RATIO" hidden="1">"c9837"</definedName>
    <definedName name="IQ_MM_UNDEVELOPED_ACREAGE" hidden="1">"c9835"</definedName>
    <definedName name="IQ_MM_UNDEVELOPED_SQ_KMS" hidden="1">"c9834"</definedName>
    <definedName name="IQ_MM_UNDEVELOPED_SQ_MILES" hidden="1">"c9836"</definedName>
    <definedName name="IQ_MONEY_MARKET_DEPOSIT_ACCOUNTS_FDIC" hidden="1">"c6553"</definedName>
    <definedName name="IQ_MONTH" hidden="1">15000</definedName>
    <definedName name="IQ_MORT_BANK_ACT" hidden="1">"c744"</definedName>
    <definedName name="IQ_MORT_BANKING_FEE" hidden="1">"c745"</definedName>
    <definedName name="IQ_MORT_INT_INC" hidden="1">"c746"</definedName>
    <definedName name="IQ_MORT_LOANS" hidden="1">"c747"</definedName>
    <definedName name="IQ_MORT_SECURITY" hidden="1">"c748"</definedName>
    <definedName name="IQ_MORTGAGE_BACKED_SECURITIES_FDIC" hidden="1">"c6402"</definedName>
    <definedName name="IQ_MORTGAGE_SERV_RIGHTS" hidden="1">"c2242"</definedName>
    <definedName name="IQ_MORTGAGE_SERVICING_FDIC" hidden="1">"c6335"</definedName>
    <definedName name="IQ_MULTIFAMILY_RESIDENTIAL_LOANS_FDIC" hidden="1">"c6311"</definedName>
    <definedName name="IQ_NAMES_REVISION_DATE_" hidden="1">40494.4170949074</definedName>
    <definedName name="IQ_NAPM_BUS_CONDITIONS" hidden="1">"c6921"</definedName>
    <definedName name="IQ_NAPM_BUS_CONDITIONS_APR" hidden="1">"c7581"</definedName>
    <definedName name="IQ_NAPM_BUS_CONDITIONS_APR_FC" hidden="1">"c8461"</definedName>
    <definedName name="IQ_NAPM_BUS_CONDITIONS_FC" hidden="1">"c7801"</definedName>
    <definedName name="IQ_NAPM_BUS_CONDITIONS_POP" hidden="1">"c7141"</definedName>
    <definedName name="IQ_NAPM_BUS_CONDITIONS_POP_FC" hidden="1">"c8021"</definedName>
    <definedName name="IQ_NAPM_BUS_CONDITIONS_YOY" hidden="1">"c7361"</definedName>
    <definedName name="IQ_NAPM_BUS_CONDITIONS_YOY_FC" hidden="1">"c8241"</definedName>
    <definedName name="IQ_NET_CHANGE" hidden="1">"c749"</definedName>
    <definedName name="IQ_NET_CHARGE_OFFS_FDIC" hidden="1">"c6641"</definedName>
    <definedName name="IQ_NET_CHARGE_OFFS_LOANS_FDIC" hidden="1">"c6751"</definedName>
    <definedName name="IQ_NET_CLAIM_EXP_INCUR" hidden="1">"c2757"</definedName>
    <definedName name="IQ_NET_CLAIM_EXP_INCUR_CY" hidden="1">"c2761"</definedName>
    <definedName name="IQ_NET_CLAIM_EXP_INCUR_PY" hidden="1">"c2762"</definedName>
    <definedName name="IQ_NET_CLAIM_EXP_PAID" hidden="1">"c2760"</definedName>
    <definedName name="IQ_NET_CLAIM_EXP_PAID_CY" hidden="1">"c2763"</definedName>
    <definedName name="IQ_NET_CLAIM_EXP_PAID_PY" hidden="1">"c2764"</definedName>
    <definedName name="IQ_NET_CLAIM_EXP_RES" hidden="1">"c2754"</definedName>
    <definedName name="IQ_NET_DEBT" hidden="1">"c1584"</definedName>
    <definedName name="IQ_NET_DEBT_EBITDA" hidden="1">"c750"</definedName>
    <definedName name="IQ_NET_DEBT_EBITDA_CAPEX" hidden="1">"c2949"</definedName>
    <definedName name="IQ_NET_DEBT_ISSUED" hidden="1">"c751"</definedName>
    <definedName name="IQ_NET_DEBT_ISSUED_BNK" hidden="1">"c752"</definedName>
    <definedName name="IQ_NET_DEBT_ISSUED_BR" hidden="1">"c753"</definedName>
    <definedName name="IQ_NET_DEBT_ISSUED_FIN" hidden="1">"c754"</definedName>
    <definedName name="IQ_NET_DEBT_ISSUED_INS" hidden="1">"c755"</definedName>
    <definedName name="IQ_NET_DEBT_ISSUED_RE" hidden="1">"c6238"</definedName>
    <definedName name="IQ_NET_DEBT_ISSUED_REIT" hidden="1">"c756"</definedName>
    <definedName name="IQ_NET_DEBT_ISSUED_UTI" hidden="1">"c757"</definedName>
    <definedName name="IQ_NET_EARNED" hidden="1">"c2734"</definedName>
    <definedName name="IQ_NET_INC" hidden="1">"c1394"</definedName>
    <definedName name="IQ_NET_INC_BEFORE" hidden="1">"c1368"</definedName>
    <definedName name="IQ_NET_INC_CF" hidden="1">"c1397"</definedName>
    <definedName name="IQ_NET_INC_MARGIN" hidden="1">"c1398"</definedName>
    <definedName name="IQ_NET_INCOME_FDIC" hidden="1">"c6587"</definedName>
    <definedName name="IQ_NET_INT_INC_10YR_ANN_CAGR" hidden="1">"c6100"</definedName>
    <definedName name="IQ_NET_INT_INC_10YR_ANN_GROWTH" hidden="1">"c758"</definedName>
    <definedName name="IQ_NET_INT_INC_1YR_ANN_GROWTH" hidden="1">"c759"</definedName>
    <definedName name="IQ_NET_INT_INC_2YR_ANN_CAGR" hidden="1">"c6101"</definedName>
    <definedName name="IQ_NET_INT_INC_2YR_ANN_GROWTH" hidden="1">"c760"</definedName>
    <definedName name="IQ_NET_INT_INC_3YR_ANN_CAGR" hidden="1">"c6102"</definedName>
    <definedName name="IQ_NET_INT_INC_3YR_ANN_GROWTH" hidden="1">"c761"</definedName>
    <definedName name="IQ_NET_INT_INC_5YR_ANN_CAGR" hidden="1">"c6103"</definedName>
    <definedName name="IQ_NET_INT_INC_5YR_ANN_GROWTH" hidden="1">"c762"</definedName>
    <definedName name="IQ_NET_INT_INC_7YR_ANN_CAGR" hidden="1">"c6104"</definedName>
    <definedName name="IQ_NET_INT_INC_7YR_ANN_GROWTH" hidden="1">"c763"</definedName>
    <definedName name="IQ_NET_INT_INC_AFTER_LL_BNK_SUBTOTAL_AP" hidden="1">"c8979"</definedName>
    <definedName name="IQ_NET_INT_INC_BNK" hidden="1">"c764"</definedName>
    <definedName name="IQ_NET_INT_INC_BNK_AP" hidden="1">"c8874"</definedName>
    <definedName name="IQ_NET_INT_INC_BNK_AP_ABS" hidden="1">"c8893"</definedName>
    <definedName name="IQ_NET_INT_INC_BNK_FDIC" hidden="1">"c6570"</definedName>
    <definedName name="IQ_NET_INT_INC_BNK_NAME_AP" hidden="1">"c8912"</definedName>
    <definedName name="IQ_NET_INT_INC_BNK_NAME_AP_ABS" hidden="1">"c8931"</definedName>
    <definedName name="IQ_NET_INT_INC_BNK_SUBTOTAL_AP" hidden="1">"c8978"</definedName>
    <definedName name="IQ_NET_INT_INC_BR" hidden="1">"c765"</definedName>
    <definedName name="IQ_NET_INT_INC_FIN" hidden="1">"c766"</definedName>
    <definedName name="IQ_NET_INT_INC_TOTAL_REV" hidden="1">"c767"</definedName>
    <definedName name="IQ_NET_INT_MARGIN" hidden="1">"c768"</definedName>
    <definedName name="IQ_NET_INTEREST_EXP" hidden="1">"c769"</definedName>
    <definedName name="IQ_NET_INTEREST_EXP_RE" hidden="1">"c6239"</definedName>
    <definedName name="IQ_NET_INTEREST_EXP_REIT" hidden="1">"c770"</definedName>
    <definedName name="IQ_NET_INTEREST_EXP_UTI" hidden="1">"c771"</definedName>
    <definedName name="IQ_NET_INTEREST_INC" hidden="1">"c1392"</definedName>
    <definedName name="IQ_NET_INTEREST_INC_AFTER_LL" hidden="1">"c1604"</definedName>
    <definedName name="IQ_NET_INTEREST_MARGIN_FDIC" hidden="1">"c6726"</definedName>
    <definedName name="IQ_NET_LIFE_INS_IN_FORCE" hidden="1">"c2769"</definedName>
    <definedName name="IQ_NET_LOANS" hidden="1">"c772"</definedName>
    <definedName name="IQ_NET_LOANS_10YR_ANN_CAGR" hidden="1">"c6105"</definedName>
    <definedName name="IQ_NET_LOANS_10YR_ANN_GROWTH" hidden="1">"c773"</definedName>
    <definedName name="IQ_NET_LOANS_1YR_ANN_GROWTH" hidden="1">"c774"</definedName>
    <definedName name="IQ_NET_LOANS_2YR_ANN_CAGR" hidden="1">"c6106"</definedName>
    <definedName name="IQ_NET_LOANS_2YR_ANN_GROWTH" hidden="1">"c775"</definedName>
    <definedName name="IQ_NET_LOANS_3YR_ANN_CAGR" hidden="1">"c6107"</definedName>
    <definedName name="IQ_NET_LOANS_3YR_ANN_GROWTH" hidden="1">"c776"</definedName>
    <definedName name="IQ_NET_LOANS_5YR_ANN_CAGR" hidden="1">"c6108"</definedName>
    <definedName name="IQ_NET_LOANS_5YR_ANN_GROWTH" hidden="1">"c777"</definedName>
    <definedName name="IQ_NET_LOANS_7YR_ANN_CAGR" hidden="1">"c6109"</definedName>
    <definedName name="IQ_NET_LOANS_7YR_ANN_GROWTH" hidden="1">"c778"</definedName>
    <definedName name="IQ_NET_LOANS_LEASES_CORE_DEPOSITS_FDIC" hidden="1">"c6743"</definedName>
    <definedName name="IQ_NET_LOANS_LEASES_DEPOSITS_FDIC" hidden="1">"c6742"</definedName>
    <definedName name="IQ_NET_LOANS_TOTAL_DEPOSITS" hidden="1">"c779"</definedName>
    <definedName name="IQ_NET_OPERATING_INCOME_ASSETS_FDIC" hidden="1">"c6729"</definedName>
    <definedName name="IQ_NET_RENTAL_EXP_FN" hidden="1">"c780"</definedName>
    <definedName name="IQ_NET_SECURITIZATION_INCOME_FDIC" hidden="1">"c6669"</definedName>
    <definedName name="IQ_NET_SERVICING_FEES_FDIC" hidden="1">"c6668"</definedName>
    <definedName name="IQ_NET_TO_GROSS_EARNED" hidden="1">"c2750"</definedName>
    <definedName name="IQ_NET_TO_GROSS_WRITTEN" hidden="1">"c2729"</definedName>
    <definedName name="IQ_NET_WORKING_CAP" hidden="1">"c3493"</definedName>
    <definedName name="IQ_NET_WRITTEN" hidden="1">"c2728"</definedName>
    <definedName name="IQ_NEW_PREM" hidden="1">"c2785"</definedName>
    <definedName name="IQ_NEXT_CALL_DATE" hidden="1">"c2198"</definedName>
    <definedName name="IQ_NEXT_CALL_PRICE" hidden="1">"c2199"</definedName>
    <definedName name="IQ_NEXT_INT_DATE" hidden="1">"c2187"</definedName>
    <definedName name="IQ_NEXT_PUT_DATE" hidden="1">"c2200"</definedName>
    <definedName name="IQ_NEXT_PUT_PRICE" hidden="1">"c2201"</definedName>
    <definedName name="IQ_NEXT_SINK_FUND_AMOUNT" hidden="1">"c2490"</definedName>
    <definedName name="IQ_NEXT_SINK_FUND_DATE" hidden="1">"c2489"</definedName>
    <definedName name="IQ_NEXT_SINK_FUND_PRICE" hidden="1">"c2491"</definedName>
    <definedName name="IQ_NEXT_YR_PROD_EST_MAX_ALUM" hidden="1">"c9251"</definedName>
    <definedName name="IQ_NEXT_YR_PROD_EST_MAX_CATHODE_COP" hidden="1">"c9198"</definedName>
    <definedName name="IQ_NEXT_YR_PROD_EST_MAX_COP" hidden="1">"c9196"</definedName>
    <definedName name="IQ_NEXT_YR_PROD_EST_MAX_DIAM" hidden="1">"c9675"</definedName>
    <definedName name="IQ_NEXT_YR_PROD_EST_MAX_GOLD" hidden="1">"c9036"</definedName>
    <definedName name="IQ_NEXT_YR_PROD_EST_MAX_IRON" hidden="1">"c9410"</definedName>
    <definedName name="IQ_NEXT_YR_PROD_EST_MAX_LEAD" hidden="1">"c9463"</definedName>
    <definedName name="IQ_NEXT_YR_PROD_EST_MAX_MANG" hidden="1">"c9516"</definedName>
    <definedName name="IQ_NEXT_YR_PROD_EST_MAX_MOLYB" hidden="1">"c9728"</definedName>
    <definedName name="IQ_NEXT_YR_PROD_EST_MAX_NICK" hidden="1">"c9304"</definedName>
    <definedName name="IQ_NEXT_YR_PROD_EST_MAX_PLAT" hidden="1">"c9142"</definedName>
    <definedName name="IQ_NEXT_YR_PROD_EST_MAX_SILVER" hidden="1">"c9089"</definedName>
    <definedName name="IQ_NEXT_YR_PROD_EST_MAX_TITAN" hidden="1">"c9569"</definedName>
    <definedName name="IQ_NEXT_YR_PROD_EST_MAX_URAN" hidden="1">"c9622"</definedName>
    <definedName name="IQ_NEXT_YR_PROD_EST_MAX_ZINC" hidden="1">"c9357"</definedName>
    <definedName name="IQ_NEXT_YR_PROD_EST_MIN_ALUM" hidden="1">"c9250"</definedName>
    <definedName name="IQ_NEXT_YR_PROD_EST_MIN_CATHODE_COP" hidden="1">"c9197"</definedName>
    <definedName name="IQ_NEXT_YR_PROD_EST_MIN_COP" hidden="1">"c9195"</definedName>
    <definedName name="IQ_NEXT_YR_PROD_EST_MIN_DIAM" hidden="1">"c9674"</definedName>
    <definedName name="IQ_NEXT_YR_PROD_EST_MIN_GOLD" hidden="1">"c9035"</definedName>
    <definedName name="IQ_NEXT_YR_PROD_EST_MIN_IRON" hidden="1">"c9409"</definedName>
    <definedName name="IQ_NEXT_YR_PROD_EST_MIN_LEAD" hidden="1">"c9462"</definedName>
    <definedName name="IQ_NEXT_YR_PROD_EST_MIN_MANG" hidden="1">"c9515"</definedName>
    <definedName name="IQ_NEXT_YR_PROD_EST_MIN_MOLYB" hidden="1">"c9727"</definedName>
    <definedName name="IQ_NEXT_YR_PROD_EST_MIN_NICK" hidden="1">"c9303"</definedName>
    <definedName name="IQ_NEXT_YR_PROD_EST_MIN_PLAT" hidden="1">"c9141"</definedName>
    <definedName name="IQ_NEXT_YR_PROD_EST_MIN_SILVER" hidden="1">"c9088"</definedName>
    <definedName name="IQ_NEXT_YR_PROD_EST_MIN_TITAN" hidden="1">"c9568"</definedName>
    <definedName name="IQ_NEXT_YR_PROD_EST_MIN_URAN" hidden="1">"c9621"</definedName>
    <definedName name="IQ_NEXT_YR_PROD_EST_MIN_ZINC" hidden="1">"c9356"</definedName>
    <definedName name="IQ_NI" hidden="1">"c781"</definedName>
    <definedName name="IQ_NI_10YR_ANN_CAGR" hidden="1">"c6110"</definedName>
    <definedName name="IQ_NI_10YR_ANN_GROWTH" hidden="1">"c782"</definedName>
    <definedName name="IQ_NI_1YR_ANN_GROWTH" hidden="1">"c783"</definedName>
    <definedName name="IQ_NI_2YR_ANN_CAGR" hidden="1">"c6111"</definedName>
    <definedName name="IQ_NI_2YR_ANN_GROWTH" hidden="1">"c784"</definedName>
    <definedName name="IQ_NI_3YR_ANN_CAGR" hidden="1">"c6112"</definedName>
    <definedName name="IQ_NI_3YR_ANN_GROWTH" hidden="1">"c785"</definedName>
    <definedName name="IQ_NI_5YR_ANN_CAGR" hidden="1">"c6113"</definedName>
    <definedName name="IQ_NI_5YR_ANN_GROWTH" hidden="1">"c786"</definedName>
    <definedName name="IQ_NI_7YR_ANN_CAGR" hidden="1">"c6114"</definedName>
    <definedName name="IQ_NI_7YR_ANN_GROWTH" hidden="1">"c787"</definedName>
    <definedName name="IQ_NI_AFTER_CAPITALIZED" hidden="1">"c788"</definedName>
    <definedName name="IQ_NI_AVAIL_EXCL" hidden="1">"c789"</definedName>
    <definedName name="IQ_NI_AVAIL_EXCL_MARGIN" hidden="1">"c790"</definedName>
    <definedName name="IQ_NI_AVAIL_INCL" hidden="1">"c791"</definedName>
    <definedName name="IQ_NI_AVAIL_SUBTOTAL_AP" hidden="1">"c8984"</definedName>
    <definedName name="IQ_NI_BEFORE_CAPITALIZED" hidden="1">"c792"</definedName>
    <definedName name="IQ_NI_CF" hidden="1">"c793"</definedName>
    <definedName name="IQ_NI_CHARGES_AP" hidden="1">"c8879"</definedName>
    <definedName name="IQ_NI_CHARGES_AP_ABS" hidden="1">"c8898"</definedName>
    <definedName name="IQ_NI_CHARGES_NAME_AP" hidden="1">"c8917"</definedName>
    <definedName name="IQ_NI_CHARGES_NAME_AP_ABS" hidden="1">"c8936"</definedName>
    <definedName name="IQ_NI_MARGIN" hidden="1">"c794"</definedName>
    <definedName name="IQ_NI_NORM" hidden="1">"c1901"</definedName>
    <definedName name="IQ_NI_NORM_10YR_ANN_CAGR" hidden="1">"c6189"</definedName>
    <definedName name="IQ_NI_NORM_10YR_ANN_GROWTH" hidden="1">"c1960"</definedName>
    <definedName name="IQ_NI_NORM_1YR_ANN_GROWTH" hidden="1">"c1955"</definedName>
    <definedName name="IQ_NI_NORM_2YR_ANN_CAGR" hidden="1">"c6185"</definedName>
    <definedName name="IQ_NI_NORM_2YR_ANN_GROWTH" hidden="1">"c1956"</definedName>
    <definedName name="IQ_NI_NORM_3YR_ANN_CAGR" hidden="1">"c6186"</definedName>
    <definedName name="IQ_NI_NORM_3YR_ANN_GROWTH" hidden="1">"c1957"</definedName>
    <definedName name="IQ_NI_NORM_5YR_ANN_CAGR" hidden="1">"c6187"</definedName>
    <definedName name="IQ_NI_NORM_5YR_ANN_GROWTH" hidden="1">"c1958"</definedName>
    <definedName name="IQ_NI_NORM_7YR_ANN_CAGR" hidden="1">"c6188"</definedName>
    <definedName name="IQ_NI_NORM_7YR_ANN_GROWTH" hidden="1">"c1959"</definedName>
    <definedName name="IQ_NI_NORM_MARGIN" hidden="1">"c1964"</definedName>
    <definedName name="IQ_NI_SBC_ACT_OR_EST" hidden="1">"c4474"</definedName>
    <definedName name="IQ_NI_SBC_ACT_OR_EST_CIQ" hidden="1">"c5012"</definedName>
    <definedName name="IQ_NI_SBC_GW_ACT_OR_EST" hidden="1">"c4478"</definedName>
    <definedName name="IQ_NI_SBC_GW_ACT_OR_EST_CIQ" hidden="1">"c5016"</definedName>
    <definedName name="IQ_NI_SFAS" hidden="1">"c795"</definedName>
    <definedName name="IQ_NI_SUBTOTAL_AP" hidden="1">"c8983"</definedName>
    <definedName name="IQ_NLA_PCT_LEASED_CONSOL" hidden="1">"c8815"</definedName>
    <definedName name="IQ_NLA_PCT_LEASED_MANAGED" hidden="1">"c8817"</definedName>
    <definedName name="IQ_NLA_PCT_LEASED_OTHER" hidden="1">"c8818"</definedName>
    <definedName name="IQ_NLA_PCT_LEASED_TOTAL" hidden="1">"c8819"</definedName>
    <definedName name="IQ_NLA_PCT_LEASED_UNCONSOL" hidden="1">"c8816"</definedName>
    <definedName name="IQ_NLA_SQ_FT_CONSOL" hidden="1">"c8800"</definedName>
    <definedName name="IQ_NLA_SQ_FT_MANAGED" hidden="1">"c8802"</definedName>
    <definedName name="IQ_NLA_SQ_FT_OTHER" hidden="1">"c8803"</definedName>
    <definedName name="IQ_NLA_SQ_FT_TOTAL" hidden="1">"c8804"</definedName>
    <definedName name="IQ_NLA_SQ_FT_UNCONSOL" hidden="1">"c8801"</definedName>
    <definedName name="IQ_NLA_SQ_METER_CONSOL" hidden="1">"c8805"</definedName>
    <definedName name="IQ_NLA_SQ_METER_MANAGED" hidden="1">"c8807"</definedName>
    <definedName name="IQ_NLA_SQ_METER_OTHER" hidden="1">"c8808"</definedName>
    <definedName name="IQ_NLA_SQ_METER_TOTAL" hidden="1">"c8809"</definedName>
    <definedName name="IQ_NLA_SQ_METER_UNCONSOL" hidden="1">"c8806"</definedName>
    <definedName name="IQ_NOL_CF_1YR" hidden="1">"c3465"</definedName>
    <definedName name="IQ_NOL_CF_2YR" hidden="1">"c3466"</definedName>
    <definedName name="IQ_NOL_CF_3YR" hidden="1">"c3467"</definedName>
    <definedName name="IQ_NOL_CF_4YR" hidden="1">"c3468"</definedName>
    <definedName name="IQ_NOL_CF_5YR" hidden="1">"c3469"</definedName>
    <definedName name="IQ_NOL_CF_AFTER_FIVE" hidden="1">"c3470"</definedName>
    <definedName name="IQ_NOL_CF_MAX_YEAR" hidden="1">"c3473"</definedName>
    <definedName name="IQ_NOL_CF_NO_EXP" hidden="1">"c3471"</definedName>
    <definedName name="IQ_NOL_CF_TOTAL" hidden="1">"c3472"</definedName>
    <definedName name="IQ_NON_ACCRUAL_LOANS" hidden="1">"c796"</definedName>
    <definedName name="IQ_NON_CASH" hidden="1">"c1399"</definedName>
    <definedName name="IQ_NON_CASH_ITEMS" hidden="1">"c797"</definedName>
    <definedName name="IQ_NON_INS_EXP" hidden="1">"c798"</definedName>
    <definedName name="IQ_NON_INS_REV" hidden="1">"c799"</definedName>
    <definedName name="IQ_NON_INT_BEAR_CD" hidden="1">"c800"</definedName>
    <definedName name="IQ_NON_INT_BEARING_DEPOSITS" hidden="1">"c800"</definedName>
    <definedName name="IQ_NON_INT_EXP" hidden="1">"c801"</definedName>
    <definedName name="IQ_NON_INT_EXP_BNK_AP" hidden="1">"c8877"</definedName>
    <definedName name="IQ_NON_INT_EXP_BNK_AP_ABS" hidden="1">"c8896"</definedName>
    <definedName name="IQ_NON_INT_EXP_BNK_NAME_AP" hidden="1">"c8915"</definedName>
    <definedName name="IQ_NON_INT_EXP_BNK_NAME_AP_ABS" hidden="1">"c8934"</definedName>
    <definedName name="IQ_NON_INT_EXP_BNK_SUBTOTAL_AP" hidden="1">"c8981"</definedName>
    <definedName name="IQ_NON_INT_EXP_FDIC" hidden="1">"c6579"</definedName>
    <definedName name="IQ_NON_INT_INC" hidden="1">"c802"</definedName>
    <definedName name="IQ_NON_INT_INC_10YR_ANN_CAGR" hidden="1">"c6115"</definedName>
    <definedName name="IQ_NON_INT_INC_10YR_ANN_GROWTH" hidden="1">"c803"</definedName>
    <definedName name="IQ_NON_INT_INC_1YR_ANN_GROWTH" hidden="1">"c804"</definedName>
    <definedName name="IQ_NON_INT_INC_2YR_ANN_CAGR" hidden="1">"c6116"</definedName>
    <definedName name="IQ_NON_INT_INC_2YR_ANN_GROWTH" hidden="1">"c805"</definedName>
    <definedName name="IQ_NON_INT_INC_3YR_ANN_CAGR" hidden="1">"c6117"</definedName>
    <definedName name="IQ_NON_INT_INC_3YR_ANN_GROWTH" hidden="1">"c806"</definedName>
    <definedName name="IQ_NON_INT_INC_5YR_ANN_CAGR" hidden="1">"c6118"</definedName>
    <definedName name="IQ_NON_INT_INC_5YR_ANN_GROWTH" hidden="1">"c807"</definedName>
    <definedName name="IQ_NON_INT_INC_7YR_ANN_CAGR" hidden="1">"c6119"</definedName>
    <definedName name="IQ_NON_INT_INC_7YR_ANN_GROWTH" hidden="1">"c808"</definedName>
    <definedName name="IQ_NON_INT_INC_BNK_AP" hidden="1">"c8876"</definedName>
    <definedName name="IQ_NON_INT_INC_BNK_AP_ABS" hidden="1">"c8895"</definedName>
    <definedName name="IQ_NON_INT_INC_BNK_NAME_AP" hidden="1">"c8914"</definedName>
    <definedName name="IQ_NON_INT_INC_BNK_NAME_AP_ABS" hidden="1">"c8933"</definedName>
    <definedName name="IQ_NON_INT_INC_BNK_SUBTOTAL_AP" hidden="1">"c8980"</definedName>
    <definedName name="IQ_NON_INT_INC_FDIC" hidden="1">"c6575"</definedName>
    <definedName name="IQ_NON_INTEREST_EXP" hidden="1">"c1400"</definedName>
    <definedName name="IQ_NON_INTEREST_INC" hidden="1">"c1401"</definedName>
    <definedName name="IQ_NON_OPER_EXP" hidden="1">"c809"</definedName>
    <definedName name="IQ_NON_OPER_INC" hidden="1">"c810"</definedName>
    <definedName name="IQ_NON_PERF_ASSETS_10YR_ANN_CAGR" hidden="1">"c6120"</definedName>
    <definedName name="IQ_NON_PERF_ASSETS_10YR_ANN_GROWTH" hidden="1">"c811"</definedName>
    <definedName name="IQ_NON_PERF_ASSETS_1YR_ANN_GROWTH" hidden="1">"c812"</definedName>
    <definedName name="IQ_NON_PERF_ASSETS_2YR_ANN_CAGR" hidden="1">"c6121"</definedName>
    <definedName name="IQ_NON_PERF_ASSETS_2YR_ANN_GROWTH" hidden="1">"c813"</definedName>
    <definedName name="IQ_NON_PERF_ASSETS_3YR_ANN_CAGR" hidden="1">"c6122"</definedName>
    <definedName name="IQ_NON_PERF_ASSETS_3YR_ANN_GROWTH" hidden="1">"c814"</definedName>
    <definedName name="IQ_NON_PERF_ASSETS_5YR_ANN_CAGR" hidden="1">"c6123"</definedName>
    <definedName name="IQ_NON_PERF_ASSETS_5YR_ANN_GROWTH" hidden="1">"c815"</definedName>
    <definedName name="IQ_NON_PERF_ASSETS_7YR_ANN_CAGR" hidden="1">"c6124"</definedName>
    <definedName name="IQ_NON_PERF_ASSETS_7YR_ANN_GROWTH" hidden="1">"c816"</definedName>
    <definedName name="IQ_NON_PERF_ASSETS_TOTAL_ASSETS" hidden="1">"c817"</definedName>
    <definedName name="IQ_NON_PERF_LOANS_10YR_ANN_CAGR" hidden="1">"c6125"</definedName>
    <definedName name="IQ_NON_PERF_LOANS_10YR_ANN_GROWTH" hidden="1">"c818"</definedName>
    <definedName name="IQ_NON_PERF_LOANS_1YR_ANN_GROWTH" hidden="1">"c819"</definedName>
    <definedName name="IQ_NON_PERF_LOANS_2YR_ANN_CAGR" hidden="1">"c6126"</definedName>
    <definedName name="IQ_NON_PERF_LOANS_2YR_ANN_GROWTH" hidden="1">"c820"</definedName>
    <definedName name="IQ_NON_PERF_LOANS_3YR_ANN_CAGR" hidden="1">"c6127"</definedName>
    <definedName name="IQ_NON_PERF_LOANS_3YR_ANN_GROWTH" hidden="1">"c821"</definedName>
    <definedName name="IQ_NON_PERF_LOANS_5YR_ANN_CAGR" hidden="1">"c6128"</definedName>
    <definedName name="IQ_NON_PERF_LOANS_5YR_ANN_GROWTH" hidden="1">"c822"</definedName>
    <definedName name="IQ_NON_PERF_LOANS_7YR_ANN_CAGR" hidden="1">"c6129"</definedName>
    <definedName name="IQ_NON_PERF_LOANS_7YR_ANN_GROWTH" hidden="1">"c823"</definedName>
    <definedName name="IQ_NON_PERF_LOANS_TOTAL_ASSETS" hidden="1">"c824"</definedName>
    <definedName name="IQ_NON_PERF_LOANS_TOTAL_LOANS" hidden="1">"c825"</definedName>
    <definedName name="IQ_NON_PERFORMING_ASSETS" hidden="1">"c826"</definedName>
    <definedName name="IQ_NON_PERFORMING_LOANS" hidden="1">"c827"</definedName>
    <definedName name="IQ_NON_US_ADDRESSEES_TOTAL_LOANS_FOREIGN_FDIC" hidden="1">"c6443"</definedName>
    <definedName name="IQ_NON_US_CHARGE_OFFS_AND_RECOVERIES_FDIC" hidden="1">"c6650"</definedName>
    <definedName name="IQ_NON_US_CHARGE_OFFS_FDIC" hidden="1">"c6648"</definedName>
    <definedName name="IQ_NON_US_COMMERCIAL_INDUSTRIAL_CHARGE_OFFS_FDIC" hidden="1">"c6651"</definedName>
    <definedName name="IQ_NON_US_NET_LOANS_FDIC" hidden="1">"c6376"</definedName>
    <definedName name="IQ_NON_US_RECOVERIES_FDIC" hidden="1">"c6649"</definedName>
    <definedName name="IQ_NONCASH_PENSION_EXP" hidden="1">"c3000"</definedName>
    <definedName name="IQ_NONCURRENT_LOANS_1_4_FAMILY_FDIC" hidden="1">"c6770"</definedName>
    <definedName name="IQ_NONCURRENT_LOANS_COMMERCIAL_INDUSTRIAL_FDIC" hidden="1">"c6773"</definedName>
    <definedName name="IQ_NONCURRENT_LOANS_COMMERCIAL_RE_FDIC" hidden="1">"c6768"</definedName>
    <definedName name="IQ_NONCURRENT_LOANS_COMMERCIAL_RE_NOT_SECURED_FDIC" hidden="1">"c6778"</definedName>
    <definedName name="IQ_NONCURRENT_LOANS_CONSTRUCTION_LAND_DEV_FDIC" hidden="1">"c6767"</definedName>
    <definedName name="IQ_NONCURRENT_LOANS_CREDIT_CARD_FDIC" hidden="1">"c6775"</definedName>
    <definedName name="IQ_NONCURRENT_LOANS_GUARANTEED_FDIC" hidden="1">"c6358"</definedName>
    <definedName name="IQ_NONCURRENT_LOANS_HOME_EQUITY_FDIC" hidden="1">"c6771"</definedName>
    <definedName name="IQ_NONCURRENT_LOANS_INDIVIDUALS_FDIC" hidden="1">"c6774"</definedName>
    <definedName name="IQ_NONCURRENT_LOANS_LEASES_FDIC" hidden="1">"c6357"</definedName>
    <definedName name="IQ_NONCURRENT_LOANS_MULTIFAMILY_FDIC" hidden="1">"c6769"</definedName>
    <definedName name="IQ_NONCURRENT_LOANS_OTHER_FAMILY_FDIC" hidden="1">"c6772"</definedName>
    <definedName name="IQ_NONCURRENT_LOANS_OTHER_INDIVIDUAL_FDIC" hidden="1">"c6776"</definedName>
    <definedName name="IQ_NONCURRENT_LOANS_OTHER_LOANS_FDIC" hidden="1">"c6777"</definedName>
    <definedName name="IQ_NONCURRENT_LOANS_RE_FDIC" hidden="1">"c6766"</definedName>
    <definedName name="IQ_NONCURRENT_LOANS_TOTAL_LOANS_FDIC" hidden="1">"c6765"</definedName>
    <definedName name="IQ_NONCURRENT_OREO_ASSETS_FDIC" hidden="1">"c6741"</definedName>
    <definedName name="IQ_NONDEF_CAPITAL_GOODS_ORDERS" hidden="1">"c6932"</definedName>
    <definedName name="IQ_NONDEF_CAPITAL_GOODS_ORDERS_APR" hidden="1">"c7592"</definedName>
    <definedName name="IQ_NONDEF_CAPITAL_GOODS_ORDERS_APR_FC" hidden="1">"c8472"</definedName>
    <definedName name="IQ_NONDEF_CAPITAL_GOODS_ORDERS_FC" hidden="1">"c7812"</definedName>
    <definedName name="IQ_NONDEF_CAPITAL_GOODS_ORDERS_POP" hidden="1">"c7152"</definedName>
    <definedName name="IQ_NONDEF_CAPITAL_GOODS_ORDERS_POP_FC" hidden="1">"c8032"</definedName>
    <definedName name="IQ_NONDEF_CAPITAL_GOODS_ORDERS_YOY" hidden="1">"c7372"</definedName>
    <definedName name="IQ_NONDEF_CAPITAL_GOODS_ORDERS_YOY_FC" hidden="1">"c8252"</definedName>
    <definedName name="IQ_NONDEF_CAPITAL_GOODS_SHIPMENTS" hidden="1">"c6933"</definedName>
    <definedName name="IQ_NONDEF_CAPITAL_GOODS_SHIPMENTS_APR" hidden="1">"c7593"</definedName>
    <definedName name="IQ_NONDEF_CAPITAL_GOODS_SHIPMENTS_APR_FC" hidden="1">"c8473"</definedName>
    <definedName name="IQ_NONDEF_CAPITAL_GOODS_SHIPMENTS_FC" hidden="1">"c7813"</definedName>
    <definedName name="IQ_NONDEF_CAPITAL_GOODS_SHIPMENTS_POP" hidden="1">"c7153"</definedName>
    <definedName name="IQ_NONDEF_CAPITAL_GOODS_SHIPMENTS_POP_FC" hidden="1">"c8033"</definedName>
    <definedName name="IQ_NONDEF_CAPITAL_GOODS_SHIPMENTS_YOY" hidden="1">"c7373"</definedName>
    <definedName name="IQ_NONDEF_CAPITAL_GOODS_SHIPMENTS_YOY_FC" hidden="1">"c8253"</definedName>
    <definedName name="IQ_NONDEF_SPENDING_SAAR" hidden="1">"c6934"</definedName>
    <definedName name="IQ_NONDEF_SPENDING_SAAR_APR" hidden="1">"c7594"</definedName>
    <definedName name="IQ_NONDEF_SPENDING_SAAR_APR_FC" hidden="1">"c8474"</definedName>
    <definedName name="IQ_NONDEF_SPENDING_SAAR_FC" hidden="1">"c7814"</definedName>
    <definedName name="IQ_NONDEF_SPENDING_SAAR_POP" hidden="1">"c7154"</definedName>
    <definedName name="IQ_NONDEF_SPENDING_SAAR_POP_FC" hidden="1">"c8034"</definedName>
    <definedName name="IQ_NONDEF_SPENDING_SAAR_YOY" hidden="1">"c7374"</definedName>
    <definedName name="IQ_NONDEF_SPENDING_SAAR_YOY_FC" hidden="1">"c8254"</definedName>
    <definedName name="IQ_NONFARM_EMP_HRS_PCT_CHANGE" hidden="1">"c6935"</definedName>
    <definedName name="IQ_NONFARM_EMP_HRS_PCT_CHANGE_FC" hidden="1">"c7815"</definedName>
    <definedName name="IQ_NONFARM_EMP_HRS_PCT_CHANGE_POP" hidden="1">"c7155"</definedName>
    <definedName name="IQ_NONFARM_EMP_HRS_PCT_CHANGE_POP_FC" hidden="1">"c8035"</definedName>
    <definedName name="IQ_NONFARM_EMP_HRS_PCT_CHANGE_YOY" hidden="1">"c7375"</definedName>
    <definedName name="IQ_NONFARM_EMP_HRS_PCT_CHANGE_YOY_FC" hidden="1">"c8255"</definedName>
    <definedName name="IQ_NONFARM_OUTPUT_PER_HR" hidden="1">"c6936"</definedName>
    <definedName name="IQ_NONFARM_OUTPUT_PER_HR_APR" hidden="1">"c7596"</definedName>
    <definedName name="IQ_NONFARM_OUTPUT_PER_HR_APR_FC" hidden="1">"c8476"</definedName>
    <definedName name="IQ_NONFARM_OUTPUT_PER_HR_FC" hidden="1">"c7816"</definedName>
    <definedName name="IQ_NONFARM_OUTPUT_PER_HR_POP" hidden="1">"c7156"</definedName>
    <definedName name="IQ_NONFARM_OUTPUT_PER_HR_POP_FC" hidden="1">"c8036"</definedName>
    <definedName name="IQ_NONFARM_OUTPUT_PER_HR_YOY" hidden="1">"c7376"</definedName>
    <definedName name="IQ_NONFARM_OUTPUT_PER_HR_YOY_FC" hidden="1">"c8256"</definedName>
    <definedName name="IQ_NONFARM_PAYROLLS" hidden="1">"c6926"</definedName>
    <definedName name="IQ_NONFARM_PAYROLLS_APR" hidden="1">"c7586"</definedName>
    <definedName name="IQ_NONFARM_PAYROLLS_APR_FC" hidden="1">"c8466"</definedName>
    <definedName name="IQ_NONFARM_PAYROLLS_FC" hidden="1">"c7806"</definedName>
    <definedName name="IQ_NONFARM_PAYROLLS_POP" hidden="1">"c7146"</definedName>
    <definedName name="IQ_NONFARM_PAYROLLS_POP_FC" hidden="1">"c8026"</definedName>
    <definedName name="IQ_NONFARM_PAYROLLS_YOY" hidden="1">"c7366"</definedName>
    <definedName name="IQ_NONFARM_PAYROLLS_YOY_FC" hidden="1">"c8246"</definedName>
    <definedName name="IQ_NONFARM_TOTAL_HR_INDEX" hidden="1">"c6937"</definedName>
    <definedName name="IQ_NONFARM_TOTAL_HR_INDEX_APR" hidden="1">"c7597"</definedName>
    <definedName name="IQ_NONFARM_TOTAL_HR_INDEX_APR_FC" hidden="1">"c8477"</definedName>
    <definedName name="IQ_NONFARM_TOTAL_HR_INDEX_FC" hidden="1">"c7817"</definedName>
    <definedName name="IQ_NONFARM_TOTAL_HR_INDEX_POP" hidden="1">"c7157"</definedName>
    <definedName name="IQ_NONFARM_TOTAL_HR_INDEX_POP_FC" hidden="1">"c8037"</definedName>
    <definedName name="IQ_NONFARM_TOTAL_HR_INDEX_YOY" hidden="1">"c7377"</definedName>
    <definedName name="IQ_NONFARM_TOTAL_HR_INDEX_YOY_FC" hidden="1">"c8257"</definedName>
    <definedName name="IQ_NONFARM_WAGES" hidden="1">"c6938"</definedName>
    <definedName name="IQ_NONFARM_WAGES_APR" hidden="1">"c7598"</definedName>
    <definedName name="IQ_NONFARM_WAGES_APR_FC" hidden="1">"c8478"</definedName>
    <definedName name="IQ_NONFARM_WAGES_FC" hidden="1">"c7818"</definedName>
    <definedName name="IQ_NONFARM_WAGES_INDEX" hidden="1">"c6939"</definedName>
    <definedName name="IQ_NONFARM_WAGES_INDEX_APR" hidden="1">"c7599"</definedName>
    <definedName name="IQ_NONFARM_WAGES_INDEX_APR_FC" hidden="1">"c8479"</definedName>
    <definedName name="IQ_NONFARM_WAGES_INDEX_FC" hidden="1">"c7819"</definedName>
    <definedName name="IQ_NONFARM_WAGES_INDEX_POP" hidden="1">"c7159"</definedName>
    <definedName name="IQ_NONFARM_WAGES_INDEX_POP_FC" hidden="1">"c8039"</definedName>
    <definedName name="IQ_NONFARM_WAGES_INDEX_YOY" hidden="1">"c7379"</definedName>
    <definedName name="IQ_NONFARM_WAGES_INDEX_YOY_FC" hidden="1">"c8259"</definedName>
    <definedName name="IQ_NONFARM_WAGES_POP" hidden="1">"c7158"</definedName>
    <definedName name="IQ_NONFARM_WAGES_POP_FC" hidden="1">"c8038"</definedName>
    <definedName name="IQ_NONFARM_WAGES_YOY" hidden="1">"c7378"</definedName>
    <definedName name="IQ_NONFARM_WAGES_YOY_FC" hidden="1">"c8258"</definedName>
    <definedName name="IQ_NONINTEREST_BEARING_BALANCES_FDIC" hidden="1">"c6394"</definedName>
    <definedName name="IQ_NONINTEREST_BEARING_DEPOSITS_DOMESTIC_FDIC" hidden="1">"c6477"</definedName>
    <definedName name="IQ_NONINTEREST_BEARING_DEPOSITS_FOREIGN_FDIC" hidden="1">"c6484"</definedName>
    <definedName name="IQ_NONINTEREST_EXPENSE_EARNING_ASSETS_FDIC" hidden="1">"c6728"</definedName>
    <definedName name="IQ_NONINTEREST_INCOME_EARNING_ASSETS_FDIC" hidden="1">"c6727"</definedName>
    <definedName name="IQ_NONMORTGAGE_SERVICING_FDIC" hidden="1">"c6336"</definedName>
    <definedName name="IQ_NONRECOURSE_DEBT" hidden="1">"c2550"</definedName>
    <definedName name="IQ_NONRECOURSE_DEBT_PCT" hidden="1">"c2551"</definedName>
    <definedName name="IQ_NONRES_FIXED_INVEST" hidden="1">"c6931"</definedName>
    <definedName name="IQ_NONRES_FIXED_INVEST_APR" hidden="1">"c7591"</definedName>
    <definedName name="IQ_NONRES_FIXED_INVEST_POP" hidden="1">"c7151"</definedName>
    <definedName name="IQ_NONRES_FIXED_INVEST_PRIV_APR_FC_UNUSED_UNUSED_UNUSED" hidden="1">"c8468"</definedName>
    <definedName name="IQ_NONRES_FIXED_INVEST_PRIV_APR_UNUSED_UNUSED_UNUSED" hidden="1">"c7588"</definedName>
    <definedName name="IQ_NONRES_FIXED_INVEST_PRIV_FC_UNUSED_UNUSED_UNUSED" hidden="1">"c7808"</definedName>
    <definedName name="IQ_NONRES_FIXED_INVEST_PRIV_POP_FC_UNUSED_UNUSED_UNUSED" hidden="1">"c8028"</definedName>
    <definedName name="IQ_NONRES_FIXED_INVEST_PRIV_POP_UNUSED_UNUSED_UNUSED" hidden="1">"c7148"</definedName>
    <definedName name="IQ_NONRES_FIXED_INVEST_PRIV_REAL" hidden="1">"c6989"</definedName>
    <definedName name="IQ_NONRES_FIXED_INVEST_PRIV_REAL_APR" hidden="1">"c7649"</definedName>
    <definedName name="IQ_NONRES_FIXED_INVEST_PRIV_REAL_APR_FC" hidden="1">"c8529"</definedName>
    <definedName name="IQ_NONRES_FIXED_INVEST_PRIV_REAL_FC" hidden="1">"c7869"</definedName>
    <definedName name="IQ_NONRES_FIXED_INVEST_PRIV_REAL_POP" hidden="1">"c7209"</definedName>
    <definedName name="IQ_NONRES_FIXED_INVEST_PRIV_REAL_POP_FC" hidden="1">"c8089"</definedName>
    <definedName name="IQ_NONRES_FIXED_INVEST_PRIV_REAL_SAAR" hidden="1">"c6990"</definedName>
    <definedName name="IQ_NONRES_FIXED_INVEST_PRIV_REAL_SAAR_APR" hidden="1">"c7650"</definedName>
    <definedName name="IQ_NONRES_FIXED_INVEST_PRIV_REAL_SAAR_APR_FC" hidden="1">"c8530"</definedName>
    <definedName name="IQ_NONRES_FIXED_INVEST_PRIV_REAL_SAAR_FC" hidden="1">"c7870"</definedName>
    <definedName name="IQ_NONRES_FIXED_INVEST_PRIV_REAL_SAAR_POP" hidden="1">"c7210"</definedName>
    <definedName name="IQ_NONRES_FIXED_INVEST_PRIV_REAL_SAAR_POP_FC" hidden="1">"c8090"</definedName>
    <definedName name="IQ_NONRES_FIXED_INVEST_PRIV_REAL_SAAR_USD_APR_FC" hidden="1">"c11981"</definedName>
    <definedName name="IQ_NONRES_FIXED_INVEST_PRIV_REAL_SAAR_USD_FC" hidden="1">"c11978"</definedName>
    <definedName name="IQ_NONRES_FIXED_INVEST_PRIV_REAL_SAAR_USD_POP_FC" hidden="1">"c11979"</definedName>
    <definedName name="IQ_NONRES_FIXED_INVEST_PRIV_REAL_SAAR_USD_YOY_FC" hidden="1">"c11980"</definedName>
    <definedName name="IQ_NONRES_FIXED_INVEST_PRIV_REAL_SAAR_YOY" hidden="1">"c7430"</definedName>
    <definedName name="IQ_NONRES_FIXED_INVEST_PRIV_REAL_SAAR_YOY_FC" hidden="1">"c8310"</definedName>
    <definedName name="IQ_NONRES_FIXED_INVEST_PRIV_REAL_USD_APR_FC" hidden="1">"c11977"</definedName>
    <definedName name="IQ_NONRES_FIXED_INVEST_PRIV_REAL_USD_FC" hidden="1">"c11974"</definedName>
    <definedName name="IQ_NONRES_FIXED_INVEST_PRIV_REAL_USD_POP_FC" hidden="1">"c11975"</definedName>
    <definedName name="IQ_NONRES_FIXED_INVEST_PRIV_REAL_USD_YOY_FC" hidden="1">"c11976"</definedName>
    <definedName name="IQ_NONRES_FIXED_INVEST_PRIV_REAL_YOY" hidden="1">"c7429"</definedName>
    <definedName name="IQ_NONRES_FIXED_INVEST_PRIV_REAL_YOY_FC" hidden="1">"c8309"</definedName>
    <definedName name="IQ_NONRES_FIXED_INVEST_PRIV_SAAR" hidden="1">"c6929"</definedName>
    <definedName name="IQ_NONRES_FIXED_INVEST_PRIV_SAAR_APR" hidden="1">"c7589"</definedName>
    <definedName name="IQ_NONRES_FIXED_INVEST_PRIV_SAAR_APR_FC" hidden="1">"c8469"</definedName>
    <definedName name="IQ_NONRES_FIXED_INVEST_PRIV_SAAR_FC" hidden="1">"c7809"</definedName>
    <definedName name="IQ_NONRES_FIXED_INVEST_PRIV_SAAR_POP" hidden="1">"c7149"</definedName>
    <definedName name="IQ_NONRES_FIXED_INVEST_PRIV_SAAR_POP_FC" hidden="1">"c8029"</definedName>
    <definedName name="IQ_NONRES_FIXED_INVEST_PRIV_SAAR_USD_APR_FC" hidden="1">"c11877"</definedName>
    <definedName name="IQ_NONRES_FIXED_INVEST_PRIV_SAAR_USD_FC" hidden="1">"c11874"</definedName>
    <definedName name="IQ_NONRES_FIXED_INVEST_PRIV_SAAR_USD_POP_FC" hidden="1">"c11875"</definedName>
    <definedName name="IQ_NONRES_FIXED_INVEST_PRIV_SAAR_USD_YOY_FC" hidden="1">"c11876"</definedName>
    <definedName name="IQ_NONRES_FIXED_INVEST_PRIV_SAAR_YOY" hidden="1">"c7369"</definedName>
    <definedName name="IQ_NONRES_FIXED_INVEST_PRIV_SAAR_YOY_FC" hidden="1">"c8249"</definedName>
    <definedName name="IQ_NONRES_FIXED_INVEST_PRIV_UNUSED_UNUSED_UNUSED" hidden="1">"c6928"</definedName>
    <definedName name="IQ_NONRES_FIXED_INVEST_PRIV_USD_APR_FC" hidden="1">"c11873"</definedName>
    <definedName name="IQ_NONRES_FIXED_INVEST_PRIV_USD_FC" hidden="1">"c11870"</definedName>
    <definedName name="IQ_NONRES_FIXED_INVEST_PRIV_USD_POP_FC" hidden="1">"c11871"</definedName>
    <definedName name="IQ_NONRES_FIXED_INVEST_PRIV_USD_YOY_FC" hidden="1">"c11872"</definedName>
    <definedName name="IQ_NONRES_FIXED_INVEST_PRIV_YOY_FC_UNUSED_UNUSED_UNUSED" hidden="1">"c8248"</definedName>
    <definedName name="IQ_NONRES_FIXED_INVEST_PRIV_YOY_UNUSED_UNUSED_UNUSED" hidden="1">"c7368"</definedName>
    <definedName name="IQ_NONRES_FIXED_INVEST_REAL" hidden="1">"c6993"</definedName>
    <definedName name="IQ_NONRES_FIXED_INVEST_REAL_APR" hidden="1">"c7653"</definedName>
    <definedName name="IQ_NONRES_FIXED_INVEST_REAL_POP" hidden="1">"c7213"</definedName>
    <definedName name="IQ_NONRES_FIXED_INVEST_REAL_SAAR" hidden="1">"c6987"</definedName>
    <definedName name="IQ_NONRES_FIXED_INVEST_REAL_SAAR_APR" hidden="1">"c7647"</definedName>
    <definedName name="IQ_NONRES_FIXED_INVEST_REAL_SAAR_APR_FC" hidden="1">"c8527"</definedName>
    <definedName name="IQ_NONRES_FIXED_INVEST_REAL_SAAR_FC" hidden="1">"c7867"</definedName>
    <definedName name="IQ_NONRES_FIXED_INVEST_REAL_SAAR_POP" hidden="1">"c7207"</definedName>
    <definedName name="IQ_NONRES_FIXED_INVEST_REAL_SAAR_POP_FC" hidden="1">"c8087"</definedName>
    <definedName name="IQ_NONRES_FIXED_INVEST_REAL_SAAR_YOY" hidden="1">"c7427"</definedName>
    <definedName name="IQ_NONRES_FIXED_INVEST_REAL_SAAR_YOY_FC" hidden="1">"c8307"</definedName>
    <definedName name="IQ_NONRES_FIXED_INVEST_REAL_USD_APR_FC" hidden="1">"c11973"</definedName>
    <definedName name="IQ_NONRES_FIXED_INVEST_REAL_USD_FC" hidden="1">"c11970"</definedName>
    <definedName name="IQ_NONRES_FIXED_INVEST_REAL_USD_POP_FC" hidden="1">"c11971"</definedName>
    <definedName name="IQ_NONRES_FIXED_INVEST_REAL_USD_YOY_FC" hidden="1">"c11972"</definedName>
    <definedName name="IQ_NONRES_FIXED_INVEST_REAL_YOY" hidden="1">"c7433"</definedName>
    <definedName name="IQ_NONRES_FIXED_INVEST_STRUCT" hidden="1">"c6930"</definedName>
    <definedName name="IQ_NONRES_FIXED_INVEST_STRUCT_APR" hidden="1">"c7590"</definedName>
    <definedName name="IQ_NONRES_FIXED_INVEST_STRUCT_APR_FC" hidden="1">"c8470"</definedName>
    <definedName name="IQ_NONRES_FIXED_INVEST_STRUCT_FC" hidden="1">"c7810"</definedName>
    <definedName name="IQ_NONRES_FIXED_INVEST_STRUCT_POP" hidden="1">"c7150"</definedName>
    <definedName name="IQ_NONRES_FIXED_INVEST_STRUCT_POP_FC" hidden="1">"c8030"</definedName>
    <definedName name="IQ_NONRES_FIXED_INVEST_STRUCT_REAL" hidden="1">"c6992"</definedName>
    <definedName name="IQ_NONRES_FIXED_INVEST_STRUCT_REAL_APR" hidden="1">"c7652"</definedName>
    <definedName name="IQ_NONRES_FIXED_INVEST_STRUCT_REAL_APR_FC" hidden="1">"c8532"</definedName>
    <definedName name="IQ_NONRES_FIXED_INVEST_STRUCT_REAL_FC" hidden="1">"c7872"</definedName>
    <definedName name="IQ_NONRES_FIXED_INVEST_STRUCT_REAL_POP" hidden="1">"c7212"</definedName>
    <definedName name="IQ_NONRES_FIXED_INVEST_STRUCT_REAL_POP_FC" hidden="1">"c8092"</definedName>
    <definedName name="IQ_NONRES_FIXED_INVEST_STRUCT_REAL_SAAR" hidden="1">"c6991"</definedName>
    <definedName name="IQ_NONRES_FIXED_INVEST_STRUCT_REAL_SAAR_APR" hidden="1">"c7651"</definedName>
    <definedName name="IQ_NONRES_FIXED_INVEST_STRUCT_REAL_SAAR_APR_FC" hidden="1">"c8531"</definedName>
    <definedName name="IQ_NONRES_FIXED_INVEST_STRUCT_REAL_SAAR_FC" hidden="1">"c7871"</definedName>
    <definedName name="IQ_NONRES_FIXED_INVEST_STRUCT_REAL_SAAR_POP" hidden="1">"c7211"</definedName>
    <definedName name="IQ_NONRES_FIXED_INVEST_STRUCT_REAL_SAAR_POP_FC" hidden="1">"c8091"</definedName>
    <definedName name="IQ_NONRES_FIXED_INVEST_STRUCT_REAL_SAAR_YOY" hidden="1">"c7431"</definedName>
    <definedName name="IQ_NONRES_FIXED_INVEST_STRUCT_REAL_SAAR_YOY_FC" hidden="1">"c8311"</definedName>
    <definedName name="IQ_NONRES_FIXED_INVEST_STRUCT_REAL_USD_APR_FC" hidden="1">"c11985"</definedName>
    <definedName name="IQ_NONRES_FIXED_INVEST_STRUCT_REAL_USD_FC" hidden="1">"c11982"</definedName>
    <definedName name="IQ_NONRES_FIXED_INVEST_STRUCT_REAL_USD_POP_FC" hidden="1">"c11983"</definedName>
    <definedName name="IQ_NONRES_FIXED_INVEST_STRUCT_REAL_USD_YOY_FC" hidden="1">"c11984"</definedName>
    <definedName name="IQ_NONRES_FIXED_INVEST_STRUCT_REAL_YOY" hidden="1">"c7432"</definedName>
    <definedName name="IQ_NONRES_FIXED_INVEST_STRUCT_REAL_YOY_FC" hidden="1">"c8312"</definedName>
    <definedName name="IQ_NONRES_FIXED_INVEST_STRUCT_USD_APR_FC" hidden="1">"c11881"</definedName>
    <definedName name="IQ_NONRES_FIXED_INVEST_STRUCT_USD_FC" hidden="1">"c11878"</definedName>
    <definedName name="IQ_NONRES_FIXED_INVEST_STRUCT_USD_POP_FC" hidden="1">"c11879"</definedName>
    <definedName name="IQ_NONRES_FIXED_INVEST_STRUCT_USD_YOY_FC" hidden="1">"c11880"</definedName>
    <definedName name="IQ_NONRES_FIXED_INVEST_STRUCT_YOY" hidden="1">"c7370"</definedName>
    <definedName name="IQ_NONRES_FIXED_INVEST_STRUCT_YOY_FC" hidden="1">"c8250"</definedName>
    <definedName name="IQ_NONRES_FIXED_INVEST_USD_APR_FC" hidden="1">"c11869"</definedName>
    <definedName name="IQ_NONRES_FIXED_INVEST_USD_FC" hidden="1">"c11866"</definedName>
    <definedName name="IQ_NONRES_FIXED_INVEST_USD_POP_FC" hidden="1">"c11867"</definedName>
    <definedName name="IQ_NONRES_FIXED_INVEST_USD_YOY_FC" hidden="1">"c11868"</definedName>
    <definedName name="IQ_NONRES_FIXED_INVEST_YOY" hidden="1">"c7371"</definedName>
    <definedName name="IQ_NONTRANSACTION_ACCOUNTS_FDIC" hidden="1">"c6552"</definedName>
    <definedName name="IQ_NONUTIL_REV" hidden="1">"c2089"</definedName>
    <definedName name="IQ_NORM_EPS_ACT_OR_EST_CIQ" hidden="1">"c5069"</definedName>
    <definedName name="IQ_NORMAL_INC_AFTER" hidden="1">"c1605"</definedName>
    <definedName name="IQ_NORMAL_INC_AVAIL" hidden="1">"c1606"</definedName>
    <definedName name="IQ_NORMAL_INC_BEFORE" hidden="1">"c1607"</definedName>
    <definedName name="IQ_NOTES_PAY" hidden="1">"c1423"</definedName>
    <definedName name="IQ_NOTIONAL_AMOUNT_CREDIT_DERIVATIVES_FDIC" hidden="1">"c6507"</definedName>
    <definedName name="IQ_NOTIONAL_VALUE_EXCHANGE_SWAPS_FDIC" hidden="1">"c6516"</definedName>
    <definedName name="IQ_NOTIONAL_VALUE_OTHER_SWAPS_FDIC" hidden="1">"c6521"</definedName>
    <definedName name="IQ_NOTIONAL_VALUE_RATE_SWAPS_FDIC" hidden="1">"c6511"</definedName>
    <definedName name="IQ_NOW_ACCOUNT" hidden="1">"c828"</definedName>
    <definedName name="IQ_NPPE" hidden="1">"c829"</definedName>
    <definedName name="IQ_NPPE_10YR_ANN_CAGR" hidden="1">"c6130"</definedName>
    <definedName name="IQ_NPPE_10YR_ANN_GROWTH" hidden="1">"c830"</definedName>
    <definedName name="IQ_NPPE_1YR_ANN_GROWTH" hidden="1">"c831"</definedName>
    <definedName name="IQ_NPPE_2YR_ANN_CAGR" hidden="1">"c6131"</definedName>
    <definedName name="IQ_NPPE_2YR_ANN_GROWTH" hidden="1">"c832"</definedName>
    <definedName name="IQ_NPPE_3YR_ANN_CAGR" hidden="1">"c6132"</definedName>
    <definedName name="IQ_NPPE_3YR_ANN_GROWTH" hidden="1">"c833"</definedName>
    <definedName name="IQ_NPPE_5YR_ANN_CAGR" hidden="1">"c6133"</definedName>
    <definedName name="IQ_NPPE_5YR_ANN_GROWTH" hidden="1">"c834"</definedName>
    <definedName name="IQ_NPPE_7YR_ANN_CAGR" hidden="1">"c6134"</definedName>
    <definedName name="IQ_NPPE_7YR_ANN_GROWTH" hidden="1">"c835"</definedName>
    <definedName name="IQ_NTM" hidden="1">6000</definedName>
    <definedName name="IQ_NUKE" hidden="1">"c836"</definedName>
    <definedName name="IQ_NUKE_CF" hidden="1">"c837"</definedName>
    <definedName name="IQ_NUKE_CONTR" hidden="1">"c838"</definedName>
    <definedName name="IQ_NUM_BRANCHES" hidden="1">"c2088"</definedName>
    <definedName name="IQ_NUMBER_ADRHOLDERS" hidden="1">"c1970"</definedName>
    <definedName name="IQ_NUMBER_DAYS" hidden="1">"c1904"</definedName>
    <definedName name="IQ_NUMBER_DEPOSITS_LESS_THAN_100K_FDIC" hidden="1">"c6495"</definedName>
    <definedName name="IQ_NUMBER_DEPOSITS_MORE_THAN_100K_FDIC" hidden="1">"c6493"</definedName>
    <definedName name="IQ_NUMBER_MINES_ALUM" hidden="1">"c9248"</definedName>
    <definedName name="IQ_NUMBER_MINES_COAL" hidden="1">"c9822"</definedName>
    <definedName name="IQ_NUMBER_MINES_COP" hidden="1">"c9193"</definedName>
    <definedName name="IQ_NUMBER_MINES_DIAM" hidden="1">"c9672"</definedName>
    <definedName name="IQ_NUMBER_MINES_GOLD" hidden="1">"c9033"</definedName>
    <definedName name="IQ_NUMBER_MINES_IRON" hidden="1">"c9407"</definedName>
    <definedName name="IQ_NUMBER_MINES_LEAD" hidden="1">"c9460"</definedName>
    <definedName name="IQ_NUMBER_MINES_MANG" hidden="1">"c9513"</definedName>
    <definedName name="IQ_NUMBER_MINES_MOLYB" hidden="1">"c9725"</definedName>
    <definedName name="IQ_NUMBER_MINES_NICK" hidden="1">"c9301"</definedName>
    <definedName name="IQ_NUMBER_MINES_PLAT" hidden="1">"c9139"</definedName>
    <definedName name="IQ_NUMBER_MINES_SILVER" hidden="1">"c9086"</definedName>
    <definedName name="IQ_NUMBER_MINES_TITAN" hidden="1">"c9566"</definedName>
    <definedName name="IQ_NUMBER_MINES_URAN" hidden="1">"c9619"</definedName>
    <definedName name="IQ_NUMBER_MINES_ZINC" hidden="1">"c9354"</definedName>
    <definedName name="IQ_NUMBER_SHAREHOLDERS" hidden="1">"c1967"</definedName>
    <definedName name="IQ_NUMBER_SHAREHOLDERS_CLASSA" hidden="1">"c1968"</definedName>
    <definedName name="IQ_NUMBER_SHAREHOLDERS_OTHER" hidden="1">"c1969"</definedName>
    <definedName name="IQ_OBLIGATIONS_OF_STATES_TOTAL_LOANS_FOREIGN_FDIC" hidden="1">"c6447"</definedName>
    <definedName name="IQ_OBLIGATIONS_STATES_FDIC" hidden="1">"c6431"</definedName>
    <definedName name="IQ_OCCUPANCY_CONSOL" hidden="1">"c8840"</definedName>
    <definedName name="IQ_OCCUPANCY_MANAGED" hidden="1">"c8842"</definedName>
    <definedName name="IQ_OCCUPANCY_OTHER" hidden="1">"c8843"</definedName>
    <definedName name="IQ_OCCUPANCY_SAME_PROP" hidden="1">"c8845"</definedName>
    <definedName name="IQ_OCCUPANCY_TOTAL" hidden="1">"c8844"</definedName>
    <definedName name="IQ_OCCUPANCY_UNCONSOL" hidden="1">"c8841"</definedName>
    <definedName name="IQ_OCCUPY_EXP" hidden="1">"c839"</definedName>
    <definedName name="IQ_OFFER_AMOUNT" hidden="1">"c2152"</definedName>
    <definedName name="IQ_OFFER_COUPON" hidden="1">"c2147"</definedName>
    <definedName name="IQ_OFFER_COUPON_TYPE" hidden="1">"c2148"</definedName>
    <definedName name="IQ_OFFER_DATE" hidden="1">"c2149"</definedName>
    <definedName name="IQ_OFFER_PRICE" hidden="1">"c2150"</definedName>
    <definedName name="IQ_OFFER_YIELD" hidden="1">"c2151"</definedName>
    <definedName name="IQ_OG_10DISC" hidden="1">"c1998"</definedName>
    <definedName name="IQ_OG_10DISC_GAS" hidden="1">"c2018"</definedName>
    <definedName name="IQ_OG_10DISC_OIL" hidden="1">"c2008"</definedName>
    <definedName name="IQ_OG_ACQ_COST_PROVED" hidden="1">"c1975"</definedName>
    <definedName name="IQ_OG_ACQ_COST_PROVED_GAS" hidden="1">"c1987"</definedName>
    <definedName name="IQ_OG_ACQ_COST_PROVED_OIL" hidden="1">"c1981"</definedName>
    <definedName name="IQ_OG_ACQ_COST_UNPROVED" hidden="1">"c1976"</definedName>
    <definedName name="IQ_OG_ACQ_COST_UNPROVED_GAS" hidden="1">"c1988"</definedName>
    <definedName name="IQ_OG_ACQ_COST_UNPROVED_OIL" hidden="1">"c1982"</definedName>
    <definedName name="IQ_OG_AVG_DAILY_GAS_EQUIV_PRODUCTION_MMCFE" hidden="1">"c10061"</definedName>
    <definedName name="IQ_OG_AVG_DAILY_OIL_EQUIV_PRODUCTION_KBOE" hidden="1">"c10060"</definedName>
    <definedName name="IQ_OG_AVG_DAILY_PROD_GAS" hidden="1">"c2910"</definedName>
    <definedName name="IQ_OG_AVG_DAILY_PROD_NGL" hidden="1">"c2911"</definedName>
    <definedName name="IQ_OG_AVG_DAILY_PROD_OIL" hidden="1">"c2909"</definedName>
    <definedName name="IQ_OG_AVG_DAILY_PRODUCTION_GAS_MMCM" hidden="1">"c10059"</definedName>
    <definedName name="IQ_OG_AVG_DAILY_SALES_VOL_EQ_INC_GAS" hidden="1">"c5797"</definedName>
    <definedName name="IQ_OG_AVG_DAILY_SALES_VOL_EQ_INC_NGL" hidden="1">"c5798"</definedName>
    <definedName name="IQ_OG_AVG_DAILY_SALES_VOL_EQ_INC_OIL" hidden="1">"c5796"</definedName>
    <definedName name="IQ_OG_AVG_GAS_PRICE_CBM_HEDGED" hidden="1">"c10054"</definedName>
    <definedName name="IQ_OG_AVG_GAS_PRICE_CBM_UNHEDGED" hidden="1">"c10055"</definedName>
    <definedName name="IQ_OG_AVG_PRODUCTION_COST_BBL" hidden="1">"c10062"</definedName>
    <definedName name="IQ_OG_AVG_PRODUCTION_COST_BOE" hidden="1">"c10064"</definedName>
    <definedName name="IQ_OG_AVG_PRODUCTION_COST_MCF" hidden="1">"c10063"</definedName>
    <definedName name="IQ_OG_AVG_PRODUCTION_COST_MCFE" hidden="1">"c10065"</definedName>
    <definedName name="IQ_OG_CLOSE_BALANCE_GAS" hidden="1">"c2049"</definedName>
    <definedName name="IQ_OG_CLOSE_BALANCE_NGL" hidden="1">"c2920"</definedName>
    <definedName name="IQ_OG_CLOSE_BALANCE_OIL" hidden="1">"c2037"</definedName>
    <definedName name="IQ_OG_DAILY_PRODUCTION_GROWTH_GAS" hidden="1">"c10073"</definedName>
    <definedName name="IQ_OG_DAILY_PRODUCTION_GROWTH_GAS_EQUIVALENT" hidden="1">"c10076"</definedName>
    <definedName name="IQ_OG_DAILY_PRODUCTION_GROWTH_NGL" hidden="1">"c10074"</definedName>
    <definedName name="IQ_OG_DAILY_PRODUCTION_GROWTH_OIL" hidden="1">"c10072"</definedName>
    <definedName name="IQ_OG_DAILY_PRODUCTION_GROWTH_OIL_EQUIVALENT" hidden="1">"c10075"</definedName>
    <definedName name="IQ_OG_DCF_BEFORE_TAXES" hidden="1">"c2023"</definedName>
    <definedName name="IQ_OG_DCF_BEFORE_TAXES_GAS" hidden="1">"c2025"</definedName>
    <definedName name="IQ_OG_DCF_BEFORE_TAXES_OIL" hidden="1">"c2024"</definedName>
    <definedName name="IQ_OG_DEVELOPED_ACRE_GROSS_EQ_INC" hidden="1">"c5802"</definedName>
    <definedName name="IQ_OG_DEVELOPED_ACRE_NET_EQ_INC" hidden="1">"c5803"</definedName>
    <definedName name="IQ_OG_DEVELOPED_RESERVES_GAS" hidden="1">"c2053"</definedName>
    <definedName name="IQ_OG_DEVELOPED_RESERVES_GAS_BCM" hidden="1">"c10045"</definedName>
    <definedName name="IQ_OG_DEVELOPED_RESERVES_NGL" hidden="1">"c2922"</definedName>
    <definedName name="IQ_OG_DEVELOPED_RESERVES_OIL" hidden="1">"c2054"</definedName>
    <definedName name="IQ_OG_DEVELOPMENT_COSTS" hidden="1">"c1978"</definedName>
    <definedName name="IQ_OG_DEVELOPMENT_COSTS_GAS" hidden="1">"c1990"</definedName>
    <definedName name="IQ_OG_DEVELOPMENT_COSTS_OIL" hidden="1">"c1984"</definedName>
    <definedName name="IQ_OG_EQUITY_AFFILIATES_RESERVES_GAS_BCM" hidden="1">"c10047"</definedName>
    <definedName name="IQ_OG_EQUITY_DCF" hidden="1">"c2002"</definedName>
    <definedName name="IQ_OG_EQUITY_DCF_GAS" hidden="1">"c2022"</definedName>
    <definedName name="IQ_OG_EQUITY_DCF_OIL" hidden="1">"c2012"</definedName>
    <definedName name="IQ_OG_EQUTY_RESERVES_GAS" hidden="1">"c2050"</definedName>
    <definedName name="IQ_OG_EQUTY_RESERVES_NGL" hidden="1">"c2921"</definedName>
    <definedName name="IQ_OG_EQUTY_RESERVES_OIL" hidden="1">"c2038"</definedName>
    <definedName name="IQ_OG_EXPLORATION_COSTS" hidden="1">"c1977"</definedName>
    <definedName name="IQ_OG_EXPLORATION_COSTS_GAS" hidden="1">"c1989"</definedName>
    <definedName name="IQ_OG_EXPLORATION_COSTS_OIL" hidden="1">"c1983"</definedName>
    <definedName name="IQ_OG_EXPLORATION_DEVELOPMENT_COST" hidden="1">"c10081"</definedName>
    <definedName name="IQ_OG_EXT_DISC_GAS" hidden="1">"c2043"</definedName>
    <definedName name="IQ_OG_EXT_DISC_NGL" hidden="1">"c2914"</definedName>
    <definedName name="IQ_OG_EXT_DISC_OIL" hidden="1">"c2031"</definedName>
    <definedName name="IQ_OG_FUTURE_CASH_INFLOWS" hidden="1">"c1993"</definedName>
    <definedName name="IQ_OG_FUTURE_CASH_INFLOWS_GAS" hidden="1">"c2013"</definedName>
    <definedName name="IQ_OG_FUTURE_CASH_INFLOWS_OIL" hidden="1">"c2003"</definedName>
    <definedName name="IQ_OG_FUTURE_DEVELOPMENT_COSTS" hidden="1">"c1995"</definedName>
    <definedName name="IQ_OG_FUTURE_DEVELOPMENT_COSTS_GAS" hidden="1">"c2015"</definedName>
    <definedName name="IQ_OG_FUTURE_DEVELOPMENT_COSTS_OIL" hidden="1">"c2005"</definedName>
    <definedName name="IQ_OG_FUTURE_INC_TAXES" hidden="1">"c1997"</definedName>
    <definedName name="IQ_OG_FUTURE_INC_TAXES_GAS" hidden="1">"c2017"</definedName>
    <definedName name="IQ_OG_FUTURE_INC_TAXES_OIL" hidden="1">"c2007"</definedName>
    <definedName name="IQ_OG_FUTURE_PRODUCTION_COSTS" hidden="1">"c1994"</definedName>
    <definedName name="IQ_OG_FUTURE_PRODUCTION_COSTS_GAS" hidden="1">"c2014"</definedName>
    <definedName name="IQ_OG_FUTURE_PRODUCTION_COSTS_OIL" hidden="1">"c2004"</definedName>
    <definedName name="IQ_OG_GAS_PRICE_HEDGED" hidden="1">"c2056"</definedName>
    <definedName name="IQ_OG_GAS_PRICE_UNHEDGED" hidden="1">"c2058"</definedName>
    <definedName name="IQ_OG_GROSS_DEVELOPED_AREA_SQ_KM" hidden="1">"c10079"</definedName>
    <definedName name="IQ_OG_GROSS_DEVELOPMENT_DRY_WELLS_DRILLED" hidden="1">"c10098"</definedName>
    <definedName name="IQ_OG_GROSS_DEVELOPMENT_PRODUCTIVE_WELLS_DRILLED" hidden="1">"c10097"</definedName>
    <definedName name="IQ_OG_GROSS_DEVELOPMENT_TOTAL_WELLS_DRILLED" hidden="1">"c10099"</definedName>
    <definedName name="IQ_OG_GROSS_EXPLORATORY_DRY_WELLS_DRILLED" hidden="1">"c10095"</definedName>
    <definedName name="IQ_OG_GROSS_EXPLORATORY_PRODUCTIVE_WELLS_DRILLED" hidden="1">"c10094"</definedName>
    <definedName name="IQ_OG_GROSS_EXPLORATORY_TOTAL_WELLS_DRILLED" hidden="1">"c10096"</definedName>
    <definedName name="IQ_OG_GROSS_OPERATED_WELLS" hidden="1">"c10092"</definedName>
    <definedName name="IQ_OG_GROSS_PRODUCTIVE_WELLS_GAS" hidden="1">"c10087"</definedName>
    <definedName name="IQ_OG_GROSS_PRODUCTIVE_WELLS_OIL" hidden="1">"c10086"</definedName>
    <definedName name="IQ_OG_GROSS_PRODUCTIVE_WELLS_TOTAL" hidden="1">"c10088"</definedName>
    <definedName name="IQ_OG_GROSS_TOTAL_WELLS_DRILLED" hidden="1">"c10100"</definedName>
    <definedName name="IQ_OG_GROSS_UNDEVELOPED_AREA_SQ_KM" hidden="1">"c10077"</definedName>
    <definedName name="IQ_OG_GROSS_WELLS_DRILLING" hidden="1">"c10108"</definedName>
    <definedName name="IQ_OG_IMPROVED_RECOVERY_GAS" hidden="1">"c2044"</definedName>
    <definedName name="IQ_OG_IMPROVED_RECOVERY_NGL" hidden="1">"c2915"</definedName>
    <definedName name="IQ_OG_IMPROVED_RECOVERY_OIL" hidden="1">"c2032"</definedName>
    <definedName name="IQ_OG_LIQUID_GAS_PRICE_HEDGED" hidden="1">"c2233"</definedName>
    <definedName name="IQ_OG_LIQUID_GAS_PRICE_UNHEDGED" hidden="1">"c2234"</definedName>
    <definedName name="IQ_OG_NET_DEVELOPED_AREA_SQ_KM" hidden="1">"c10080"</definedName>
    <definedName name="IQ_OG_NET_DEVELOPMENT_DRY_WELLS_DRILLED" hidden="1">"c10105"</definedName>
    <definedName name="IQ_OG_NET_DEVELOPMENT_PRODUCTIVE_WELLS_DRILLED" hidden="1">"c10104"</definedName>
    <definedName name="IQ_OG_NET_DEVELOPMENT_TOTAL_WELLS_DRILLED" hidden="1">"c10106"</definedName>
    <definedName name="IQ_OG_NET_EXPLORATORY_DRY_WELLS_DRILLED" hidden="1">"c10102"</definedName>
    <definedName name="IQ_OG_NET_EXPLORATORY_PRODUCTIVE_WELLS_DRILLED" hidden="1">"c10101"</definedName>
    <definedName name="IQ_OG_NET_EXPLORATORY_TOTAL_WELLS_DRILLED" hidden="1">"c10103"</definedName>
    <definedName name="IQ_OG_NET_FUTURE_CASH_FLOWS" hidden="1">"c1996"</definedName>
    <definedName name="IQ_OG_NET_FUTURE_CASH_FLOWS_GAS" hidden="1">"c2016"</definedName>
    <definedName name="IQ_OG_NET_FUTURE_CASH_FLOWS_OIL" hidden="1">"c2006"</definedName>
    <definedName name="IQ_OG_NET_OPERATED_WELLS" hidden="1">"c10093"</definedName>
    <definedName name="IQ_OG_NET_PRODUCTIVE_WELLS_GAS" hidden="1">"c10090"</definedName>
    <definedName name="IQ_OG_NET_PRODUCTIVE_WELLS_OIL" hidden="1">"c10089"</definedName>
    <definedName name="IQ_OG_NET_PRODUCTIVE_WELLS_TOTAL" hidden="1">"c10091"</definedName>
    <definedName name="IQ_OG_NET_TOTAL_WELLS_DRILLED" hidden="1">"c10107"</definedName>
    <definedName name="IQ_OG_NET_UNDEVELOPED_AREA_SQ_KM" hidden="1">"c10078"</definedName>
    <definedName name="IQ_OG_NET_WELLS_DRILLING" hidden="1">"c10109"</definedName>
    <definedName name="IQ_OG_NUMBER_WELLS_NEW" hidden="1">"c10085"</definedName>
    <definedName name="IQ_OG_OIL_PRICE_HEDGED" hidden="1">"c2055"</definedName>
    <definedName name="IQ_OG_OIL_PRICE_UNHEDGED" hidden="1">"c2057"</definedName>
    <definedName name="IQ_OG_OPEN_BALANCE_GAS" hidden="1">"c2041"</definedName>
    <definedName name="IQ_OG_OPEN_BALANCE_NGL" hidden="1">"c2912"</definedName>
    <definedName name="IQ_OG_OPEN_BALANCE_OIL" hidden="1">"c2029"</definedName>
    <definedName name="IQ_OG_OTHER_ADJ_FCF" hidden="1">"c1999"</definedName>
    <definedName name="IQ_OG_OTHER_ADJ_FCF_GAS" hidden="1">"c2019"</definedName>
    <definedName name="IQ_OG_OTHER_ADJ_FCF_OIL" hidden="1">"c2009"</definedName>
    <definedName name="IQ_OG_OTHER_ADJ_GAS" hidden="1">"c2048"</definedName>
    <definedName name="IQ_OG_OTHER_ADJ_NGL" hidden="1">"c2919"</definedName>
    <definedName name="IQ_OG_OTHER_ADJ_OIL" hidden="1">"c2036"</definedName>
    <definedName name="IQ_OG_OTHER_COSTS" hidden="1">"c1979"</definedName>
    <definedName name="IQ_OG_OTHER_COSTS_GAS" hidden="1">"c1991"</definedName>
    <definedName name="IQ_OG_OTHER_COSTS_OIL" hidden="1">"c1985"</definedName>
    <definedName name="IQ_OG_PRODUCTION_GAS" hidden="1">"c2047"</definedName>
    <definedName name="IQ_OG_PRODUCTION_GROWTH_GAS" hidden="1">"c10067"</definedName>
    <definedName name="IQ_OG_PRODUCTION_GROWTH_GAS_EQUIVALENT" hidden="1">"c10070"</definedName>
    <definedName name="IQ_OG_PRODUCTION_GROWTH_NGL" hidden="1">"c10068"</definedName>
    <definedName name="IQ_OG_PRODUCTION_GROWTH_OIL" hidden="1">"c10066"</definedName>
    <definedName name="IQ_OG_PRODUCTION_GROWTH_OIL_EQUIVALENT" hidden="1">"c10069"</definedName>
    <definedName name="IQ_OG_PRODUCTION_GROWTH_TOTAL" hidden="1">"c10071"</definedName>
    <definedName name="IQ_OG_PRODUCTION_NGL" hidden="1">"c2918"</definedName>
    <definedName name="IQ_OG_PRODUCTION_OIL" hidden="1">"c2035"</definedName>
    <definedName name="IQ_OG_PURCHASES_GAS" hidden="1">"c2045"</definedName>
    <definedName name="IQ_OG_PURCHASES_NGL" hidden="1">"c2916"</definedName>
    <definedName name="IQ_OG_PURCHASES_OIL" hidden="1">"c2033"</definedName>
    <definedName name="IQ_OG_RESERVE_REPLACEMENT_RATIO" hidden="1">"c5799"</definedName>
    <definedName name="IQ_OG_REVISIONS_GAS" hidden="1">"c2042"</definedName>
    <definedName name="IQ_OG_REVISIONS_NGL" hidden="1">"c2913"</definedName>
    <definedName name="IQ_OG_REVISIONS_OIL" hidden="1">"c2030"</definedName>
    <definedName name="IQ_OG_RIGS_NON_OPERATED" hidden="1">"c10083"</definedName>
    <definedName name="IQ_OG_RIGS_OPERATED" hidden="1">"c10082"</definedName>
    <definedName name="IQ_OG_RIGS_TOTAL" hidden="1">"c10084"</definedName>
    <definedName name="IQ_OG_SALES_IN_PLACE_GAS" hidden="1">"c2046"</definedName>
    <definedName name="IQ_OG_SALES_IN_PLACE_NGL" hidden="1">"c2917"</definedName>
    <definedName name="IQ_OG_SALES_IN_PLACE_OIL" hidden="1">"c2034"</definedName>
    <definedName name="IQ_OG_SALES_VOL_EQ_INC_GAS" hidden="1">"c5794"</definedName>
    <definedName name="IQ_OG_SALES_VOL_EQ_INC_NGL" hidden="1">"c5795"</definedName>
    <definedName name="IQ_OG_SALES_VOL_EQ_INC_OIL" hidden="1">"c5793"</definedName>
    <definedName name="IQ_OG_STANDARDIZED_DCF" hidden="1">"c2000"</definedName>
    <definedName name="IQ_OG_STANDARDIZED_DCF_GAS" hidden="1">"c2020"</definedName>
    <definedName name="IQ_OG_STANDARDIZED_DCF_HEDGED" hidden="1">"c2001"</definedName>
    <definedName name="IQ_OG_STANDARDIZED_DCF_HEDGED_GAS" hidden="1">"c2021"</definedName>
    <definedName name="IQ_OG_STANDARDIZED_DCF_HEDGED_OIL" hidden="1">"c2011"</definedName>
    <definedName name="IQ_OG_STANDARDIZED_DCF_OIL" hidden="1">"c2010"</definedName>
    <definedName name="IQ_OG_TAXES" hidden="1">"c2026"</definedName>
    <definedName name="IQ_OG_TAXES_GAS" hidden="1">"c2028"</definedName>
    <definedName name="IQ_OG_TAXES_OIL" hidden="1">"c2027"</definedName>
    <definedName name="IQ_OG_TOTAL_COSTS" hidden="1">"c1980"</definedName>
    <definedName name="IQ_OG_TOTAL_COSTS_GAS" hidden="1">"c1992"</definedName>
    <definedName name="IQ_OG_TOTAL_COSTS_OIL" hidden="1">"c1986"</definedName>
    <definedName name="IQ_OG_TOTAL_EST_PROVED_RESERVES_GAS" hidden="1">"c2052"</definedName>
    <definedName name="IQ_OG_TOTAL_GAS_EQUIV_PRODUCTION_BCFE" hidden="1">"c10058"</definedName>
    <definedName name="IQ_OG_TOTAL_GAS_PRODUCTION" hidden="1">"c2060"</definedName>
    <definedName name="IQ_OG_TOTAL_LIQUID_GAS_PRODUCTION" hidden="1">"c2235"</definedName>
    <definedName name="IQ_OG_TOTAL_OIL_EQUIV_PRODUCTION_MMBOE" hidden="1">"c10057"</definedName>
    <definedName name="IQ_OG_TOTAL_OIL_PRODUCTION" hidden="1">"c2059"</definedName>
    <definedName name="IQ_OG_TOTAL_POSSIBLE_RESERVES_GAS_BCF" hidden="1">"c10050"</definedName>
    <definedName name="IQ_OG_TOTAL_POSSIBLE_RESERVES_GAS_BCM" hidden="1">"c10051"</definedName>
    <definedName name="IQ_OG_TOTAL_POSSIBLE_RESERVES_OIL_MMBBLS" hidden="1">"c10053"</definedName>
    <definedName name="IQ_OG_TOTAL_PROBABLE_RESERVES_GAS_BCF" hidden="1">"c10048"</definedName>
    <definedName name="IQ_OG_TOTAL_PROBABLE_RESERVES_GAS_BCM" hidden="1">"c10049"</definedName>
    <definedName name="IQ_OG_TOTAL_PROBABLE_RESERVES_OIL_MMBBLS" hidden="1">"c10052"</definedName>
    <definedName name="IQ_OG_TOTAL_PRODUCTION_GAS_BCM" hidden="1">"c10056"</definedName>
    <definedName name="IQ_OG_TOTAL_PROVED_RESERVES_GAS_BCM" hidden="1">"c10046"</definedName>
    <definedName name="IQ_OG_UNDEVELOPED_ACRE_GROSS_EQ_INC" hidden="1">"c5800"</definedName>
    <definedName name="IQ_OG_UNDEVELOPED_ACRE_NET_EQ_INC" hidden="1">"c5801"</definedName>
    <definedName name="IQ_OG_UNDEVELOPED_RESERVES_GAS" hidden="1">"c2051"</definedName>
    <definedName name="IQ_OG_UNDEVELOPED_RESERVES_GAS_BCM" hidden="1">"c10044"</definedName>
    <definedName name="IQ_OG_UNDEVELOPED_RESERVES_NGL" hidden="1">"c2923"</definedName>
    <definedName name="IQ_OG_UNDEVELOPED_RESERVES_OIL" hidden="1">"c2039"</definedName>
    <definedName name="IQ_OIL_IMPAIR" hidden="1">"c840"</definedName>
    <definedName name="IQ_OL_COMM_AFTER_FIVE" hidden="1">"c841"</definedName>
    <definedName name="IQ_OL_COMM_CY" hidden="1">"c842"</definedName>
    <definedName name="IQ_OL_COMM_CY1" hidden="1">"c843"</definedName>
    <definedName name="IQ_OL_COMM_CY2" hidden="1">"c844"</definedName>
    <definedName name="IQ_OL_COMM_CY3" hidden="1">"c845"</definedName>
    <definedName name="IQ_OL_COMM_CY4" hidden="1">"c846"</definedName>
    <definedName name="IQ_OL_COMM_NEXT_FIVE" hidden="1">"c847"</definedName>
    <definedName name="IQ_OPEB_ACCRUED_LIAB" hidden="1">"c3308"</definedName>
    <definedName name="IQ_OPEB_ACCRUED_LIAB_DOM" hidden="1">"c3306"</definedName>
    <definedName name="IQ_OPEB_ACCRUED_LIAB_FOREIGN" hidden="1">"c3307"</definedName>
    <definedName name="IQ_OPEB_ACCUM_OTHER_CI" hidden="1">"c3314"</definedName>
    <definedName name="IQ_OPEB_ACCUM_OTHER_CI_DOM" hidden="1">"c3312"</definedName>
    <definedName name="IQ_OPEB_ACCUM_OTHER_CI_FOREIGN" hidden="1">"c3313"</definedName>
    <definedName name="IQ_OPEB_ACT_NEXT" hidden="1">"c5774"</definedName>
    <definedName name="IQ_OPEB_ACT_NEXT_DOM" hidden="1">"c5772"</definedName>
    <definedName name="IQ_OPEB_ACT_NEXT_FOREIGN" hidden="1">"c5773"</definedName>
    <definedName name="IQ_OPEB_AMT_RECOG_NEXT" hidden="1">"c5783"</definedName>
    <definedName name="IQ_OPEB_AMT_RECOG_NEXT_DOM" hidden="1">"c5781"</definedName>
    <definedName name="IQ_OPEB_AMT_RECOG_NEXT_FOREIGN" hidden="1">"c5782"</definedName>
    <definedName name="IQ_OPEB_ASSETS" hidden="1">"c3356"</definedName>
    <definedName name="IQ_OPEB_ASSETS_ACQ" hidden="1">"c3347"</definedName>
    <definedName name="IQ_OPEB_ASSETS_ACQ_DOM" hidden="1">"c3345"</definedName>
    <definedName name="IQ_OPEB_ASSETS_ACQ_FOREIGN" hidden="1">"c3346"</definedName>
    <definedName name="IQ_OPEB_ASSETS_ACTUAL_RETURN" hidden="1">"c3332"</definedName>
    <definedName name="IQ_OPEB_ASSETS_ACTUAL_RETURN_DOM" hidden="1">"c3330"</definedName>
    <definedName name="IQ_OPEB_ASSETS_ACTUAL_RETURN_FOREIGN" hidden="1">"c3331"</definedName>
    <definedName name="IQ_OPEB_ASSETS_BEG" hidden="1">"c3329"</definedName>
    <definedName name="IQ_OPEB_ASSETS_BEG_DOM" hidden="1">"c3327"</definedName>
    <definedName name="IQ_OPEB_ASSETS_BEG_FOREIGN" hidden="1">"c3328"</definedName>
    <definedName name="IQ_OPEB_ASSETS_BENEFITS_PAID" hidden="1">"c3341"</definedName>
    <definedName name="IQ_OPEB_ASSETS_BENEFITS_PAID_DOM" hidden="1">"c3339"</definedName>
    <definedName name="IQ_OPEB_ASSETS_BENEFITS_PAID_FOREIGN" hidden="1">"c3340"</definedName>
    <definedName name="IQ_OPEB_ASSETS_CURTAIL" hidden="1">"c3350"</definedName>
    <definedName name="IQ_OPEB_ASSETS_CURTAIL_DOM" hidden="1">"c3348"</definedName>
    <definedName name="IQ_OPEB_ASSETS_CURTAIL_FOREIGN" hidden="1">"c3349"</definedName>
    <definedName name="IQ_OPEB_ASSETS_DOM" hidden="1">"c3354"</definedName>
    <definedName name="IQ_OPEB_ASSETS_EMPLOYER_CONTRIBUTIONS" hidden="1">"c3335"</definedName>
    <definedName name="IQ_OPEB_ASSETS_EMPLOYER_CONTRIBUTIONS_DOM" hidden="1">"c3333"</definedName>
    <definedName name="IQ_OPEB_ASSETS_EMPLOYER_CONTRIBUTIONS_FOREIGN" hidden="1">"c3334"</definedName>
    <definedName name="IQ_OPEB_ASSETS_FOREIGN" hidden="1">"c3355"</definedName>
    <definedName name="IQ_OPEB_ASSETS_FX_ADJ" hidden="1">"c3344"</definedName>
    <definedName name="IQ_OPEB_ASSETS_FX_ADJ_DOM" hidden="1">"c3342"</definedName>
    <definedName name="IQ_OPEB_ASSETS_FX_ADJ_FOREIGN" hidden="1">"c3343"</definedName>
    <definedName name="IQ_OPEB_ASSETS_OTHER_PLAN_ADJ" hidden="1">"c3353"</definedName>
    <definedName name="IQ_OPEB_ASSETS_OTHER_PLAN_ADJ_DOM" hidden="1">"c3351"</definedName>
    <definedName name="IQ_OPEB_ASSETS_OTHER_PLAN_ADJ_FOREIGN" hidden="1">"c3352"</definedName>
    <definedName name="IQ_OPEB_ASSETS_PARTICIP_CONTRIBUTIONS" hidden="1">"c3338"</definedName>
    <definedName name="IQ_OPEB_ASSETS_PARTICIP_CONTRIBUTIONS_DOM" hidden="1">"c3336"</definedName>
    <definedName name="IQ_OPEB_ASSETS_PARTICIP_CONTRIBUTIONS_FOREIGN" hidden="1">"c3337"</definedName>
    <definedName name="IQ_OPEB_BENEFIT_INFO_DATE" hidden="1">"c3410"</definedName>
    <definedName name="IQ_OPEB_BENEFIT_INFO_DATE_DOM" hidden="1">"c3408"</definedName>
    <definedName name="IQ_OPEB_BENEFIT_INFO_DATE_FOREIGN" hidden="1">"c3409"</definedName>
    <definedName name="IQ_OPEB_BREAKDOWN_EQ" hidden="1">"c3275"</definedName>
    <definedName name="IQ_OPEB_BREAKDOWN_EQ_DOM" hidden="1">"c3273"</definedName>
    <definedName name="IQ_OPEB_BREAKDOWN_EQ_FOREIGN" hidden="1">"c3274"</definedName>
    <definedName name="IQ_OPEB_BREAKDOWN_FI" hidden="1">"c3278"</definedName>
    <definedName name="IQ_OPEB_BREAKDOWN_FI_DOM" hidden="1">"c3276"</definedName>
    <definedName name="IQ_OPEB_BREAKDOWN_FI_FOREIGN" hidden="1">"c3277"</definedName>
    <definedName name="IQ_OPEB_BREAKDOWN_OTHER" hidden="1">"c3284"</definedName>
    <definedName name="IQ_OPEB_BREAKDOWN_OTHER_DOM" hidden="1">"c3282"</definedName>
    <definedName name="IQ_OPEB_BREAKDOWN_OTHER_FOREIGN" hidden="1">"c3283"</definedName>
    <definedName name="IQ_OPEB_BREAKDOWN_PCT_EQ" hidden="1">"c3263"</definedName>
    <definedName name="IQ_OPEB_BREAKDOWN_PCT_EQ_DOM" hidden="1">"c3261"</definedName>
    <definedName name="IQ_OPEB_BREAKDOWN_PCT_EQ_FOREIGN" hidden="1">"c3262"</definedName>
    <definedName name="IQ_OPEB_BREAKDOWN_PCT_FI" hidden="1">"c3266"</definedName>
    <definedName name="IQ_OPEB_BREAKDOWN_PCT_FI_DOM" hidden="1">"c3264"</definedName>
    <definedName name="IQ_OPEB_BREAKDOWN_PCT_FI_FOREIGN" hidden="1">"c3265"</definedName>
    <definedName name="IQ_OPEB_BREAKDOWN_PCT_OTHER" hidden="1">"c3272"</definedName>
    <definedName name="IQ_OPEB_BREAKDOWN_PCT_OTHER_DOM" hidden="1">"c3270"</definedName>
    <definedName name="IQ_OPEB_BREAKDOWN_PCT_OTHER_FOREIGN" hidden="1">"c3271"</definedName>
    <definedName name="IQ_OPEB_BREAKDOWN_PCT_RE" hidden="1">"c3269"</definedName>
    <definedName name="IQ_OPEB_BREAKDOWN_PCT_RE_DOM" hidden="1">"c3267"</definedName>
    <definedName name="IQ_OPEB_BREAKDOWN_PCT_RE_FOREIGN" hidden="1">"c3268"</definedName>
    <definedName name="IQ_OPEB_BREAKDOWN_RE" hidden="1">"c3281"</definedName>
    <definedName name="IQ_OPEB_BREAKDOWN_RE_DOM" hidden="1">"c3279"</definedName>
    <definedName name="IQ_OPEB_BREAKDOWN_RE_FOREIGN" hidden="1">"c3280"</definedName>
    <definedName name="IQ_OPEB_CI_ACT" hidden="1">"c5759"</definedName>
    <definedName name="IQ_OPEB_CI_ACT_DOM" hidden="1">"c5757"</definedName>
    <definedName name="IQ_OPEB_CI_ACT_FOREIGN" hidden="1">"c5758"</definedName>
    <definedName name="IQ_OPEB_CI_NET_AMT_RECOG" hidden="1">"c5771"</definedName>
    <definedName name="IQ_OPEB_CI_NET_AMT_RECOG_DOM" hidden="1">"c5769"</definedName>
    <definedName name="IQ_OPEB_CI_NET_AMT_RECOG_FOREIGN" hidden="1">"c5770"</definedName>
    <definedName name="IQ_OPEB_CI_OTHER_MISC_ADJ" hidden="1">"c5768"</definedName>
    <definedName name="IQ_OPEB_CI_OTHER_MISC_ADJ_DOM" hidden="1">"c5766"</definedName>
    <definedName name="IQ_OPEB_CI_OTHER_MISC_ADJ_FOREIGN" hidden="1">"c5767"</definedName>
    <definedName name="IQ_OPEB_CI_PRIOR_SERVICE" hidden="1">"c5762"</definedName>
    <definedName name="IQ_OPEB_CI_PRIOR_SERVICE_DOM" hidden="1">"c5760"</definedName>
    <definedName name="IQ_OPEB_CI_PRIOR_SERVICE_FOREIGN" hidden="1">"c5761"</definedName>
    <definedName name="IQ_OPEB_CI_TRANSITION" hidden="1">"c5765"</definedName>
    <definedName name="IQ_OPEB_CI_TRANSITION_DOM" hidden="1">"c5763"</definedName>
    <definedName name="IQ_OPEB_CI_TRANSITION_FOREIGN" hidden="1">"c5764"</definedName>
    <definedName name="IQ_OPEB_CL" hidden="1">"c5789"</definedName>
    <definedName name="IQ_OPEB_CL_DOM" hidden="1">"c5787"</definedName>
    <definedName name="IQ_OPEB_CL_FOREIGN" hidden="1">"c5788"</definedName>
    <definedName name="IQ_OPEB_DECREASE_EFFECT_PBO" hidden="1">"c3458"</definedName>
    <definedName name="IQ_OPEB_DECREASE_EFFECT_PBO_DOM" hidden="1">"c3456"</definedName>
    <definedName name="IQ_OPEB_DECREASE_EFFECT_PBO_FOREIGN" hidden="1">"c3457"</definedName>
    <definedName name="IQ_OPEB_DECREASE_EFFECT_SERVICE_INT_COST" hidden="1">"c3455"</definedName>
    <definedName name="IQ_OPEB_DECREASE_EFFECT_SERVICE_INT_COST_DOM" hidden="1">"c3453"</definedName>
    <definedName name="IQ_OPEB_DECREASE_EFFECT_SERVICE_INT_COST_FOREIGN" hidden="1">"c3454"</definedName>
    <definedName name="IQ_OPEB_DISC_RATE_MAX" hidden="1">"c3422"</definedName>
    <definedName name="IQ_OPEB_DISC_RATE_MAX_DOM" hidden="1">"c3420"</definedName>
    <definedName name="IQ_OPEB_DISC_RATE_MAX_FOREIGN" hidden="1">"c3421"</definedName>
    <definedName name="IQ_OPEB_DISC_RATE_MIN" hidden="1">"c3419"</definedName>
    <definedName name="IQ_OPEB_DISC_RATE_MIN_DOM" hidden="1">"c3417"</definedName>
    <definedName name="IQ_OPEB_DISC_RATE_MIN_FOREIGN" hidden="1">"c3418"</definedName>
    <definedName name="IQ_OPEB_EST_BENEFIT_1YR" hidden="1">"c3287"</definedName>
    <definedName name="IQ_OPEB_EST_BENEFIT_1YR_DOM" hidden="1">"c3285"</definedName>
    <definedName name="IQ_OPEB_EST_BENEFIT_1YR_FOREIGN" hidden="1">"c3286"</definedName>
    <definedName name="IQ_OPEB_EST_BENEFIT_2YR" hidden="1">"c3290"</definedName>
    <definedName name="IQ_OPEB_EST_BENEFIT_2YR_DOM" hidden="1">"c3288"</definedName>
    <definedName name="IQ_OPEB_EST_BENEFIT_2YR_FOREIGN" hidden="1">"c3289"</definedName>
    <definedName name="IQ_OPEB_EST_BENEFIT_3YR" hidden="1">"c3293"</definedName>
    <definedName name="IQ_OPEB_EST_BENEFIT_3YR_DOM" hidden="1">"c3291"</definedName>
    <definedName name="IQ_OPEB_EST_BENEFIT_3YR_FOREIGN" hidden="1">"c3292"</definedName>
    <definedName name="IQ_OPEB_EST_BENEFIT_4YR" hidden="1">"c3296"</definedName>
    <definedName name="IQ_OPEB_EST_BENEFIT_4YR_DOM" hidden="1">"c3294"</definedName>
    <definedName name="IQ_OPEB_EST_BENEFIT_4YR_FOREIGN" hidden="1">"c3295"</definedName>
    <definedName name="IQ_OPEB_EST_BENEFIT_5YR" hidden="1">"c3299"</definedName>
    <definedName name="IQ_OPEB_EST_BENEFIT_5YR_DOM" hidden="1">"c3297"</definedName>
    <definedName name="IQ_OPEB_EST_BENEFIT_5YR_FOREIGN" hidden="1">"c3298"</definedName>
    <definedName name="IQ_OPEB_EST_BENEFIT_AFTER5" hidden="1">"c3302"</definedName>
    <definedName name="IQ_OPEB_EST_BENEFIT_AFTER5_DOM" hidden="1">"c3300"</definedName>
    <definedName name="IQ_OPEB_EST_BENEFIT_AFTER5_FOREIGN" hidden="1">"c3301"</definedName>
    <definedName name="IQ_OPEB_EXP_RATE_RETURN_MAX" hidden="1">"c3434"</definedName>
    <definedName name="IQ_OPEB_EXP_RATE_RETURN_MAX_DOM" hidden="1">"c3432"</definedName>
    <definedName name="IQ_OPEB_EXP_RATE_RETURN_MAX_FOREIGN" hidden="1">"c3433"</definedName>
    <definedName name="IQ_OPEB_EXP_RATE_RETURN_MIN" hidden="1">"c3431"</definedName>
    <definedName name="IQ_OPEB_EXP_RATE_RETURN_MIN_DOM" hidden="1">"c3429"</definedName>
    <definedName name="IQ_OPEB_EXP_RATE_RETURN_MIN_FOREIGN" hidden="1">"c3430"</definedName>
    <definedName name="IQ_OPEB_EXP_RETURN" hidden="1">"c3398"</definedName>
    <definedName name="IQ_OPEB_EXP_RETURN_DOM" hidden="1">"c3396"</definedName>
    <definedName name="IQ_OPEB_EXP_RETURN_FOREIGN" hidden="1">"c3397"</definedName>
    <definedName name="IQ_OPEB_HEALTH_COST_TREND_INITIAL" hidden="1">"c3413"</definedName>
    <definedName name="IQ_OPEB_HEALTH_COST_TREND_INITIAL_DOM" hidden="1">"c3411"</definedName>
    <definedName name="IQ_OPEB_HEALTH_COST_TREND_INITIAL_FOREIGN" hidden="1">"c3412"</definedName>
    <definedName name="IQ_OPEB_HEALTH_COST_TREND_ULTIMATE" hidden="1">"c3416"</definedName>
    <definedName name="IQ_OPEB_HEALTH_COST_TREND_ULTIMATE_DOM" hidden="1">"c3414"</definedName>
    <definedName name="IQ_OPEB_HEALTH_COST_TREND_ULTIMATE_FOREIGN" hidden="1">"c3415"</definedName>
    <definedName name="IQ_OPEB_INCREASE_EFFECT_PBO" hidden="1">"c3452"</definedName>
    <definedName name="IQ_OPEB_INCREASE_EFFECT_PBO_DOM" hidden="1">"c3450"</definedName>
    <definedName name="IQ_OPEB_INCREASE_EFFECT_PBO_FOREIGN" hidden="1">"c3451"</definedName>
    <definedName name="IQ_OPEB_INCREASE_EFFECT_SERVICE_INT_COST" hidden="1">"c3449"</definedName>
    <definedName name="IQ_OPEB_INCREASE_EFFECT_SERVICE_INT_COST_DOM" hidden="1">"c3447"</definedName>
    <definedName name="IQ_OPEB_INCREASE_EFFECT_SERVICE_INT_COST_FOREIGN" hidden="1">"c3448"</definedName>
    <definedName name="IQ_OPEB_INTAN_ASSETS" hidden="1">"c3311"</definedName>
    <definedName name="IQ_OPEB_INTAN_ASSETS_DOM" hidden="1">"c3309"</definedName>
    <definedName name="IQ_OPEB_INTAN_ASSETS_FOREIGN" hidden="1">"c3310"</definedName>
    <definedName name="IQ_OPEB_INTEREST_COST" hidden="1">"c3395"</definedName>
    <definedName name="IQ_OPEB_INTEREST_COST_DOM" hidden="1">"c3393"</definedName>
    <definedName name="IQ_OPEB_INTEREST_COST_FOREIGN" hidden="1">"c3394"</definedName>
    <definedName name="IQ_OPEB_LT_ASSETS" hidden="1">"c5786"</definedName>
    <definedName name="IQ_OPEB_LT_ASSETS_DOM" hidden="1">"c5784"</definedName>
    <definedName name="IQ_OPEB_LT_ASSETS_FOREIGN" hidden="1">"c5785"</definedName>
    <definedName name="IQ_OPEB_LT_LIAB" hidden="1">"c5792"</definedName>
    <definedName name="IQ_OPEB_LT_LIAB_DOM" hidden="1">"c5790"</definedName>
    <definedName name="IQ_OPEB_LT_LIAB_FOREIGN" hidden="1">"c5791"</definedName>
    <definedName name="IQ_OPEB_NET_ASSET_RECOG" hidden="1">"c3326"</definedName>
    <definedName name="IQ_OPEB_NET_ASSET_RECOG_DOM" hidden="1">"c3324"</definedName>
    <definedName name="IQ_OPEB_NET_ASSET_RECOG_FOREIGN" hidden="1">"c3325"</definedName>
    <definedName name="IQ_OPEB_OBLIGATION_ACCUMULATED" hidden="1">"c3407"</definedName>
    <definedName name="IQ_OPEB_OBLIGATION_ACCUMULATED_DOM" hidden="1">"c3405"</definedName>
    <definedName name="IQ_OPEB_OBLIGATION_ACCUMULATED_FOREIGN" hidden="1">"c3406"</definedName>
    <definedName name="IQ_OPEB_OBLIGATION_ACQ" hidden="1">"c3380"</definedName>
    <definedName name="IQ_OPEB_OBLIGATION_ACQ_DOM" hidden="1">"c3378"</definedName>
    <definedName name="IQ_OPEB_OBLIGATION_ACQ_FOREIGN" hidden="1">"c3379"</definedName>
    <definedName name="IQ_OPEB_OBLIGATION_ACTUARIAL_GAIN_LOSS" hidden="1">"c3371"</definedName>
    <definedName name="IQ_OPEB_OBLIGATION_ACTUARIAL_GAIN_LOSS_DOM" hidden="1">"c3369"</definedName>
    <definedName name="IQ_OPEB_OBLIGATION_ACTUARIAL_GAIN_LOSS_FOREIGN" hidden="1">"c3370"</definedName>
    <definedName name="IQ_OPEB_OBLIGATION_BEG" hidden="1">"c3359"</definedName>
    <definedName name="IQ_OPEB_OBLIGATION_BEG_DOM" hidden="1">"c3357"</definedName>
    <definedName name="IQ_OPEB_OBLIGATION_BEG_FOREIGN" hidden="1">"c3358"</definedName>
    <definedName name="IQ_OPEB_OBLIGATION_CURTAIL" hidden="1">"c3383"</definedName>
    <definedName name="IQ_OPEB_OBLIGATION_CURTAIL_DOM" hidden="1">"c3381"</definedName>
    <definedName name="IQ_OPEB_OBLIGATION_CURTAIL_FOREIGN" hidden="1">"c3382"</definedName>
    <definedName name="IQ_OPEB_OBLIGATION_EMPLOYEE_CONTRIBUTIONS" hidden="1">"c3368"</definedName>
    <definedName name="IQ_OPEB_OBLIGATION_EMPLOYEE_CONTRIBUTIONS_DOM" hidden="1">"c3366"</definedName>
    <definedName name="IQ_OPEB_OBLIGATION_EMPLOYEE_CONTRIBUTIONS_FOREIGN" hidden="1">"c3367"</definedName>
    <definedName name="IQ_OPEB_OBLIGATION_FX_ADJ" hidden="1">"c3377"</definedName>
    <definedName name="IQ_OPEB_OBLIGATION_FX_ADJ_DOM" hidden="1">"c3375"</definedName>
    <definedName name="IQ_OPEB_OBLIGATION_FX_ADJ_FOREIGN" hidden="1">"c3376"</definedName>
    <definedName name="IQ_OPEB_OBLIGATION_INTEREST_COST" hidden="1">"c3365"</definedName>
    <definedName name="IQ_OPEB_OBLIGATION_INTEREST_COST_DOM" hidden="1">"c3363"</definedName>
    <definedName name="IQ_OPEB_OBLIGATION_INTEREST_COST_FOREIGN" hidden="1">"c3364"</definedName>
    <definedName name="IQ_OPEB_OBLIGATION_OTHER_PLAN_ADJ" hidden="1">"c3386"</definedName>
    <definedName name="IQ_OPEB_OBLIGATION_OTHER_PLAN_ADJ_DOM" hidden="1">"c3384"</definedName>
    <definedName name="IQ_OPEB_OBLIGATION_OTHER_PLAN_ADJ_FOREIGN" hidden="1">"c3385"</definedName>
    <definedName name="IQ_OPEB_OBLIGATION_PAID" hidden="1">"c3374"</definedName>
    <definedName name="IQ_OPEB_OBLIGATION_PAID_DOM" hidden="1">"c3372"</definedName>
    <definedName name="IQ_OPEB_OBLIGATION_PAID_FOREIGN" hidden="1">"c3373"</definedName>
    <definedName name="IQ_OPEB_OBLIGATION_PROJECTED" hidden="1">"c3389"</definedName>
    <definedName name="IQ_OPEB_OBLIGATION_PROJECTED_DOM" hidden="1">"c3387"</definedName>
    <definedName name="IQ_OPEB_OBLIGATION_PROJECTED_FOREIGN" hidden="1">"c3388"</definedName>
    <definedName name="IQ_OPEB_OBLIGATION_SERVICE_COST" hidden="1">"c3362"</definedName>
    <definedName name="IQ_OPEB_OBLIGATION_SERVICE_COST_DOM" hidden="1">"c3360"</definedName>
    <definedName name="IQ_OPEB_OBLIGATION_SERVICE_COST_FOREIGN" hidden="1">"c3361"</definedName>
    <definedName name="IQ_OPEB_OTHER" hidden="1">"c3317"</definedName>
    <definedName name="IQ_OPEB_OTHER_ADJ" hidden="1">"c3323"</definedName>
    <definedName name="IQ_OPEB_OTHER_ADJ_DOM" hidden="1">"c3321"</definedName>
    <definedName name="IQ_OPEB_OTHER_ADJ_FOREIGN" hidden="1">"c3322"</definedName>
    <definedName name="IQ_OPEB_OTHER_COST" hidden="1">"c3401"</definedName>
    <definedName name="IQ_OPEB_OTHER_COST_DOM" hidden="1">"c3399"</definedName>
    <definedName name="IQ_OPEB_OTHER_COST_FOREIGN" hidden="1">"c3400"</definedName>
    <definedName name="IQ_OPEB_OTHER_DOM" hidden="1">"c3315"</definedName>
    <definedName name="IQ_OPEB_OTHER_FOREIGN" hidden="1">"c3316"</definedName>
    <definedName name="IQ_OPEB_PBO_ASSUMED_RATE_RET_MAX" hidden="1">"c3440"</definedName>
    <definedName name="IQ_OPEB_PBO_ASSUMED_RATE_RET_MAX_DOM" hidden="1">"c3438"</definedName>
    <definedName name="IQ_OPEB_PBO_ASSUMED_RATE_RET_MAX_FOREIGN" hidden="1">"c3439"</definedName>
    <definedName name="IQ_OPEB_PBO_ASSUMED_RATE_RET_MIN" hidden="1">"c3437"</definedName>
    <definedName name="IQ_OPEB_PBO_ASSUMED_RATE_RET_MIN_DOM" hidden="1">"c3435"</definedName>
    <definedName name="IQ_OPEB_PBO_ASSUMED_RATE_RET_MIN_FOREIGN" hidden="1">"c3436"</definedName>
    <definedName name="IQ_OPEB_PBO_RATE_COMP_INCREASE_MAX" hidden="1">"c3446"</definedName>
    <definedName name="IQ_OPEB_PBO_RATE_COMP_INCREASE_MAX_DOM" hidden="1">"c3444"</definedName>
    <definedName name="IQ_OPEB_PBO_RATE_COMP_INCREASE_MAX_FOREIGN" hidden="1">"c3445"</definedName>
    <definedName name="IQ_OPEB_PBO_RATE_COMP_INCREASE_MIN" hidden="1">"c3443"</definedName>
    <definedName name="IQ_OPEB_PBO_RATE_COMP_INCREASE_MIN_DOM" hidden="1">"c3441"</definedName>
    <definedName name="IQ_OPEB_PBO_RATE_COMP_INCREASE_MIN_FOREIGN" hidden="1">"c3442"</definedName>
    <definedName name="IQ_OPEB_PREPAID_COST" hidden="1">"c3305"</definedName>
    <definedName name="IQ_OPEB_PREPAID_COST_DOM" hidden="1">"c3303"</definedName>
    <definedName name="IQ_OPEB_PREPAID_COST_FOREIGN" hidden="1">"c3304"</definedName>
    <definedName name="IQ_OPEB_PRIOR_SERVICE_NEXT" hidden="1">"c5777"</definedName>
    <definedName name="IQ_OPEB_PRIOR_SERVICE_NEXT_DOM" hidden="1">"c5775"</definedName>
    <definedName name="IQ_OPEB_PRIOR_SERVICE_NEXT_FOREIGN" hidden="1">"c5776"</definedName>
    <definedName name="IQ_OPEB_RATE_COMP_INCREASE_MAX" hidden="1">"c3428"</definedName>
    <definedName name="IQ_OPEB_RATE_COMP_INCREASE_MAX_DOM" hidden="1">"c3426"</definedName>
    <definedName name="IQ_OPEB_RATE_COMP_INCREASE_MAX_FOREIGN" hidden="1">"c3427"</definedName>
    <definedName name="IQ_OPEB_RATE_COMP_INCREASE_MIN" hidden="1">"c3425"</definedName>
    <definedName name="IQ_OPEB_RATE_COMP_INCREASE_MIN_DOM" hidden="1">"c3423"</definedName>
    <definedName name="IQ_OPEB_RATE_COMP_INCREASE_MIN_FOREIGN" hidden="1">"c3424"</definedName>
    <definedName name="IQ_OPEB_SERVICE_COST" hidden="1">"c3392"</definedName>
    <definedName name="IQ_OPEB_SERVICE_COST_DOM" hidden="1">"c3390"</definedName>
    <definedName name="IQ_OPEB_SERVICE_COST_FOREIGN" hidden="1">"c3391"</definedName>
    <definedName name="IQ_OPEB_TOTAL_COST" hidden="1">"c3404"</definedName>
    <definedName name="IQ_OPEB_TOTAL_COST_DOM" hidden="1">"c3402"</definedName>
    <definedName name="IQ_OPEB_TOTAL_COST_FOREIGN" hidden="1">"c3403"</definedName>
    <definedName name="IQ_OPEB_TRANSITION_NEXT" hidden="1">"c5780"</definedName>
    <definedName name="IQ_OPEB_TRANSITION_NEXT_DOM" hidden="1">"c5778"</definedName>
    <definedName name="IQ_OPEB_TRANSITION_NEXT_FOREIGN" hidden="1">"c5779"</definedName>
    <definedName name="IQ_OPEB_UNRECOG_PRIOR" hidden="1">"c3320"</definedName>
    <definedName name="IQ_OPEB_UNRECOG_PRIOR_DOM" hidden="1">"c3318"</definedName>
    <definedName name="IQ_OPEB_UNRECOG_PRIOR_FOREIGN" hidden="1">"c3319"</definedName>
    <definedName name="IQ_OPENPRICE" hidden="1">"c848"</definedName>
    <definedName name="IQ_OPER_INC" hidden="1">"c849"</definedName>
    <definedName name="IQ_OPER_INC_BR" hidden="1">"c850"</definedName>
    <definedName name="IQ_OPER_INC_FIN" hidden="1">"c851"</definedName>
    <definedName name="IQ_OPER_INC_INS" hidden="1">"c852"</definedName>
    <definedName name="IQ_OPER_INC_MARGIN" hidden="1">"c1448"</definedName>
    <definedName name="IQ_OPER_INC_RE" hidden="1">"c6240"</definedName>
    <definedName name="IQ_OPER_INC_REIT" hidden="1">"c853"</definedName>
    <definedName name="IQ_OPER_INC_UTI" hidden="1">"c854"</definedName>
    <definedName name="IQ_OPERATIONS_EXP" hidden="1">"c855"</definedName>
    <definedName name="IQ_OPTIONS_BEG_OS" hidden="1">"c1572"</definedName>
    <definedName name="IQ_OPTIONS_CANCELLED" hidden="1">"c856"</definedName>
    <definedName name="IQ_OPTIONS_END_OS" hidden="1">"c1573"</definedName>
    <definedName name="IQ_OPTIONS_EXERCISABLE_END_OS" hidden="1">"c5804"</definedName>
    <definedName name="IQ_OPTIONS_EXERCISED" hidden="1">"c2116"</definedName>
    <definedName name="IQ_OPTIONS_GRANTED" hidden="1">"c2673"</definedName>
    <definedName name="IQ_OPTIONS_ISSUED" hidden="1">"c857"</definedName>
    <definedName name="IQ_OPTIONS_STRIKE_PRICE_BEG_OS" hidden="1">"c5805"</definedName>
    <definedName name="IQ_OPTIONS_STRIKE_PRICE_CANCELLED" hidden="1">"c5807"</definedName>
    <definedName name="IQ_OPTIONS_STRIKE_PRICE_EXERCISABLE" hidden="1">"c5808"</definedName>
    <definedName name="IQ_OPTIONS_STRIKE_PRICE_EXERCISED" hidden="1">"c5806"</definedName>
    <definedName name="IQ_OPTIONS_STRIKE_PRICE_GRANTED" hidden="1">"c2678"</definedName>
    <definedName name="IQ_OPTIONS_STRIKE_PRICE_OS" hidden="1">"c2677"</definedName>
    <definedName name="IQ_ORDER_BACKLOG" hidden="1">"c2090"</definedName>
    <definedName name="IQ_OREO_1_4_RESIDENTIAL_FDIC" hidden="1">"c6454"</definedName>
    <definedName name="IQ_OREO_COMMERCIAL_RE_FDIC" hidden="1">"c6456"</definedName>
    <definedName name="IQ_OREO_CONSTRUCTION_DEVELOPMENT_FDIC" hidden="1">"c6457"</definedName>
    <definedName name="IQ_OREO_FARMLAND_FDIC" hidden="1">"c6458"</definedName>
    <definedName name="IQ_OREO_FOREIGN_FDIC" hidden="1">"c6460"</definedName>
    <definedName name="IQ_OREO_MULTI_FAMILY_RESIDENTIAL_FDIC" hidden="1">"c6455"</definedName>
    <definedName name="IQ_OTHER_ADJUST_GROSS_LOANS" hidden="1">"c859"</definedName>
    <definedName name="IQ_OTHER_ADJUSTMENTS_COVERED" hidden="1">"c9961"</definedName>
    <definedName name="IQ_OTHER_ADJUSTMENTS_GROUP" hidden="1">"c9947"</definedName>
    <definedName name="IQ_OTHER_AMORT" hidden="1">"c5563"</definedName>
    <definedName name="IQ_OTHER_AMORT_BNK" hidden="1">"c5565"</definedName>
    <definedName name="IQ_OTHER_AMORT_BR" hidden="1">"c5566"</definedName>
    <definedName name="IQ_OTHER_AMORT_FIN" hidden="1">"c5567"</definedName>
    <definedName name="IQ_OTHER_AMORT_INS" hidden="1">"c5568"</definedName>
    <definedName name="IQ_OTHER_AMORT_RE" hidden="1">"c6287"</definedName>
    <definedName name="IQ_OTHER_AMORT_REIT" hidden="1">"c5569"</definedName>
    <definedName name="IQ_OTHER_AMORT_UTI" hidden="1">"c5570"</definedName>
    <definedName name="IQ_OTHER_ASSETS" hidden="1">"c860"</definedName>
    <definedName name="IQ_OTHER_ASSETS_BNK" hidden="1">"c861"</definedName>
    <definedName name="IQ_OTHER_ASSETS_BR" hidden="1">"c862"</definedName>
    <definedName name="IQ_OTHER_ASSETS_FDIC" hidden="1">"c6338"</definedName>
    <definedName name="IQ_OTHER_ASSETS_FIN" hidden="1">"c863"</definedName>
    <definedName name="IQ_OTHER_ASSETS_INS" hidden="1">"c864"</definedName>
    <definedName name="IQ_OTHER_ASSETS_RE" hidden="1">"c6241"</definedName>
    <definedName name="IQ_OTHER_ASSETS_REIT" hidden="1">"c865"</definedName>
    <definedName name="IQ_OTHER_ASSETS_SERV_RIGHTS" hidden="1">"c2243"</definedName>
    <definedName name="IQ_OTHER_ASSETS_UTI" hidden="1">"c866"</definedName>
    <definedName name="IQ_OTHER_BEARING_LIAB" hidden="1">"c1608"</definedName>
    <definedName name="IQ_OTHER_BEDS" hidden="1">"c8784"</definedName>
    <definedName name="IQ_OTHER_BENEFITS_OBLIGATION" hidden="1">"c867"</definedName>
    <definedName name="IQ_OTHER_BORROWED_FUNDS_FDIC" hidden="1">"c6345"</definedName>
    <definedName name="IQ_OTHER_CA" hidden="1">"c868"</definedName>
    <definedName name="IQ_OTHER_CA_SUPPL" hidden="1">"c869"</definedName>
    <definedName name="IQ_OTHER_CA_SUPPL_BNK" hidden="1">"c870"</definedName>
    <definedName name="IQ_OTHER_CA_SUPPL_BR" hidden="1">"c871"</definedName>
    <definedName name="IQ_OTHER_CA_SUPPL_FIN" hidden="1">"c872"</definedName>
    <definedName name="IQ_OTHER_CA_SUPPL_INS" hidden="1">"c873"</definedName>
    <definedName name="IQ_OTHER_CA_SUPPL_RE" hidden="1">"c6242"</definedName>
    <definedName name="IQ_OTHER_CA_SUPPL_REIT" hidden="1">"c874"</definedName>
    <definedName name="IQ_OTHER_CA_SUPPL_UTI" hidden="1">"c875"</definedName>
    <definedName name="IQ_OTHER_CA_UTI" hidden="1">"c876"</definedName>
    <definedName name="IQ_OTHER_CL" hidden="1">"c877"</definedName>
    <definedName name="IQ_OTHER_CL_SUPPL" hidden="1">"c878"</definedName>
    <definedName name="IQ_OTHER_CL_SUPPL_BNK" hidden="1">"c879"</definedName>
    <definedName name="IQ_OTHER_CL_SUPPL_BR" hidden="1">"c880"</definedName>
    <definedName name="IQ_OTHER_CL_SUPPL_FIN" hidden="1">"c881"</definedName>
    <definedName name="IQ_OTHER_CL_SUPPL_INS" hidden="1">"C6021"</definedName>
    <definedName name="IQ_OTHER_CL_SUPPL_RE" hidden="1">"c6243"</definedName>
    <definedName name="IQ_OTHER_CL_SUPPL_REIT" hidden="1">"c882"</definedName>
    <definedName name="IQ_OTHER_CL_SUPPL_UTI" hidden="1">"c883"</definedName>
    <definedName name="IQ_OTHER_CL_UTI" hidden="1">"c884"</definedName>
    <definedName name="IQ_OTHER_COMPREHENSIVE_INCOME_FDIC" hidden="1">"c6503"</definedName>
    <definedName name="IQ_OTHER_CURRENT_ASSETS" hidden="1">"c1403"</definedName>
    <definedName name="IQ_OTHER_CURRENT_LIAB" hidden="1">"c1404"</definedName>
    <definedName name="IQ_OTHER_DEBT" hidden="1">"c2507"</definedName>
    <definedName name="IQ_OTHER_DEBT_PCT" hidden="1">"c2508"</definedName>
    <definedName name="IQ_OTHER_DEP" hidden="1">"c885"</definedName>
    <definedName name="IQ_OTHER_DEPOSITORY_INSTITUTIONS_LOANS_FDIC" hidden="1">"c6436"</definedName>
    <definedName name="IQ_OTHER_DEPOSITORY_INSTITUTIONS_TOTAL_LOANS_FOREIGN_FDIC" hidden="1">"c6442"</definedName>
    <definedName name="IQ_OTHER_DOMESTIC_DEBT_SECURITIES_FDIC" hidden="1">"c6302"</definedName>
    <definedName name="IQ_OTHER_EARNING" hidden="1">"c1609"</definedName>
    <definedName name="IQ_OTHER_EQUITY" hidden="1">"c886"</definedName>
    <definedName name="IQ_OTHER_EQUITY_BNK" hidden="1">"c887"</definedName>
    <definedName name="IQ_OTHER_EQUITY_BR" hidden="1">"c888"</definedName>
    <definedName name="IQ_OTHER_EQUITY_FIN" hidden="1">"c889"</definedName>
    <definedName name="IQ_OTHER_EQUITY_INS" hidden="1">"c890"</definedName>
    <definedName name="IQ_OTHER_EQUITY_RE" hidden="1">"c6244"</definedName>
    <definedName name="IQ_OTHER_EQUITY_REIT" hidden="1">"c891"</definedName>
    <definedName name="IQ_OTHER_EQUITY_UTI" hidden="1">"c892"</definedName>
    <definedName name="IQ_OTHER_FINANCE_ACT" hidden="1">"c893"</definedName>
    <definedName name="IQ_OTHER_FINANCE_ACT_BNK" hidden="1">"c894"</definedName>
    <definedName name="IQ_OTHER_FINANCE_ACT_BR" hidden="1">"c895"</definedName>
    <definedName name="IQ_OTHER_FINANCE_ACT_FIN" hidden="1">"c896"</definedName>
    <definedName name="IQ_OTHER_FINANCE_ACT_INS" hidden="1">"c897"</definedName>
    <definedName name="IQ_OTHER_FINANCE_ACT_RE" hidden="1">"c6245"</definedName>
    <definedName name="IQ_OTHER_FINANCE_ACT_REIT" hidden="1">"c898"</definedName>
    <definedName name="IQ_OTHER_FINANCE_ACT_SUPPL" hidden="1">"c899"</definedName>
    <definedName name="IQ_OTHER_FINANCE_ACT_SUPPL_BNK" hidden="1">"c900"</definedName>
    <definedName name="IQ_OTHER_FINANCE_ACT_SUPPL_BR" hidden="1">"c901"</definedName>
    <definedName name="IQ_OTHER_FINANCE_ACT_SUPPL_FIN" hidden="1">"c902"</definedName>
    <definedName name="IQ_OTHER_FINANCE_ACT_SUPPL_INS" hidden="1">"c903"</definedName>
    <definedName name="IQ_OTHER_FINANCE_ACT_SUPPL_RE" hidden="1">"c6246"</definedName>
    <definedName name="IQ_OTHER_FINANCE_ACT_SUPPL_REIT" hidden="1">"c904"</definedName>
    <definedName name="IQ_OTHER_FINANCE_ACT_SUPPL_UTI" hidden="1">"c905"</definedName>
    <definedName name="IQ_OTHER_FINANCE_ACT_UTI" hidden="1">"c906"</definedName>
    <definedName name="IQ_OTHER_INSURANCE_FEES_FDIC" hidden="1">"c6672"</definedName>
    <definedName name="IQ_OTHER_INTAN" hidden="1">"c907"</definedName>
    <definedName name="IQ_OTHER_INTAN_BNK" hidden="1">"c908"</definedName>
    <definedName name="IQ_OTHER_INTAN_BR" hidden="1">"c909"</definedName>
    <definedName name="IQ_OTHER_INTAN_FIN" hidden="1">"c910"</definedName>
    <definedName name="IQ_OTHER_INTAN_INS" hidden="1">"c911"</definedName>
    <definedName name="IQ_OTHER_INTAN_RE" hidden="1">"c6247"</definedName>
    <definedName name="IQ_OTHER_INTAN_REIT" hidden="1">"c912"</definedName>
    <definedName name="IQ_OTHER_INTAN_UTI" hidden="1">"c913"</definedName>
    <definedName name="IQ_OTHER_INTANGIBLE_FDIC" hidden="1">"c6337"</definedName>
    <definedName name="IQ_OTHER_INV" hidden="1">"c914"</definedName>
    <definedName name="IQ_OTHER_INVEST" hidden="1">"c915"</definedName>
    <definedName name="IQ_OTHER_INVEST_ACT" hidden="1">"c916"</definedName>
    <definedName name="IQ_OTHER_INVEST_ACT_BNK" hidden="1">"c917"</definedName>
    <definedName name="IQ_OTHER_INVEST_ACT_BR" hidden="1">"c918"</definedName>
    <definedName name="IQ_OTHER_INVEST_ACT_FIN" hidden="1">"c919"</definedName>
    <definedName name="IQ_OTHER_INVEST_ACT_INS" hidden="1">"c920"</definedName>
    <definedName name="IQ_OTHER_INVEST_ACT_RE" hidden="1">"c6248"</definedName>
    <definedName name="IQ_OTHER_INVEST_ACT_REIT" hidden="1">"c921"</definedName>
    <definedName name="IQ_OTHER_INVEST_ACT_SUPPL" hidden="1">"c922"</definedName>
    <definedName name="IQ_OTHER_INVEST_ACT_SUPPL_BNK" hidden="1">"c923"</definedName>
    <definedName name="IQ_OTHER_INVEST_ACT_SUPPL_BR" hidden="1">"c924"</definedName>
    <definedName name="IQ_OTHER_INVEST_ACT_SUPPL_FIN" hidden="1">"c925"</definedName>
    <definedName name="IQ_OTHER_INVEST_ACT_SUPPL_INS" hidden="1">"c926"</definedName>
    <definedName name="IQ_OTHER_INVEST_ACT_SUPPL_RE" hidden="1">"c6249"</definedName>
    <definedName name="IQ_OTHER_INVEST_ACT_SUPPL_REIT" hidden="1">"c927"</definedName>
    <definedName name="IQ_OTHER_INVEST_ACT_SUPPL_UTI" hidden="1">"c928"</definedName>
    <definedName name="IQ_OTHER_INVEST_ACT_UTI" hidden="1">"c929"</definedName>
    <definedName name="IQ_OTHER_INVESTING" hidden="1">"c1408"</definedName>
    <definedName name="IQ_OTHER_LIAB" hidden="1">"c930"</definedName>
    <definedName name="IQ_OTHER_LIAB_BNK" hidden="1">"c931"</definedName>
    <definedName name="IQ_OTHER_LIAB_BR" hidden="1">"c932"</definedName>
    <definedName name="IQ_OTHER_LIAB_FIN" hidden="1">"c933"</definedName>
    <definedName name="IQ_OTHER_LIAB_INS" hidden="1">"c934"</definedName>
    <definedName name="IQ_OTHER_LIAB_LT" hidden="1">"c935"</definedName>
    <definedName name="IQ_OTHER_LIAB_LT_BNK" hidden="1">"c936"</definedName>
    <definedName name="IQ_OTHER_LIAB_LT_BR" hidden="1">"c937"</definedName>
    <definedName name="IQ_OTHER_LIAB_LT_FIN" hidden="1">"c938"</definedName>
    <definedName name="IQ_OTHER_LIAB_LT_INS" hidden="1">"c939"</definedName>
    <definedName name="IQ_OTHER_LIAB_LT_RE" hidden="1">"c6250"</definedName>
    <definedName name="IQ_OTHER_LIAB_LT_REIT" hidden="1">"c940"</definedName>
    <definedName name="IQ_OTHER_LIAB_LT_UTI" hidden="1">"c941"</definedName>
    <definedName name="IQ_OTHER_LIAB_RE" hidden="1">"c6251"</definedName>
    <definedName name="IQ_OTHER_LIAB_REIT" hidden="1">"c942"</definedName>
    <definedName name="IQ_OTHER_LIAB_UTI" hidden="1">"c943"</definedName>
    <definedName name="IQ_OTHER_LIAB_WRITTEN" hidden="1">"c944"</definedName>
    <definedName name="IQ_OTHER_LIABILITIES_FDIC" hidden="1">"c6347"</definedName>
    <definedName name="IQ_OTHER_LOANS" hidden="1">"c945"</definedName>
    <definedName name="IQ_OTHER_LOANS_CHARGE_OFFS_FDIC" hidden="1">"c6601"</definedName>
    <definedName name="IQ_OTHER_LOANS_FOREIGN_FDIC" hidden="1">"c6446"</definedName>
    <definedName name="IQ_OTHER_LOANS_LEASES_FDIC" hidden="1">"c6322"</definedName>
    <definedName name="IQ_OTHER_LOANS_NET_CHARGE_OFFS_FDIC" hidden="1">"c6639"</definedName>
    <definedName name="IQ_OTHER_LOANS_RECOVERIES_FDIC" hidden="1">"c6620"</definedName>
    <definedName name="IQ_OTHER_LOANS_TOTAL_FDIC" hidden="1">"c6432"</definedName>
    <definedName name="IQ_OTHER_LONG_TERM" hidden="1">"c1409"</definedName>
    <definedName name="IQ_OTHER_LT_ASSETS" hidden="1">"c946"</definedName>
    <definedName name="IQ_OTHER_LT_ASSETS_BNK" hidden="1">"c947"</definedName>
    <definedName name="IQ_OTHER_LT_ASSETS_BR" hidden="1">"c948"</definedName>
    <definedName name="IQ_OTHER_LT_ASSETS_FIN" hidden="1">"c949"</definedName>
    <definedName name="IQ_OTHER_LT_ASSETS_INS" hidden="1">"c950"</definedName>
    <definedName name="IQ_OTHER_LT_ASSETS_RE" hidden="1">"c6252"</definedName>
    <definedName name="IQ_OTHER_LT_ASSETS_REIT" hidden="1">"c951"</definedName>
    <definedName name="IQ_OTHER_LT_ASSETS_UTI" hidden="1">"c952"</definedName>
    <definedName name="IQ_OTHER_NET" hidden="1">"c1453"</definedName>
    <definedName name="IQ_OTHER_NON_INT_EXP" hidden="1">"c953"</definedName>
    <definedName name="IQ_OTHER_NON_INT_EXP_FDIC" hidden="1">"c6578"</definedName>
    <definedName name="IQ_OTHER_NON_INT_EXP_TOTAL" hidden="1">"c954"</definedName>
    <definedName name="IQ_OTHER_NON_INT_EXPENSE_FDIC" hidden="1">"c6679"</definedName>
    <definedName name="IQ_OTHER_NON_INT_INC" hidden="1">"c955"</definedName>
    <definedName name="IQ_OTHER_NON_INT_INC_FDIC" hidden="1">"c6676"</definedName>
    <definedName name="IQ_OTHER_NON_OPER_EXP" hidden="1">"c956"</definedName>
    <definedName name="IQ_OTHER_NON_OPER_EXP_BR" hidden="1">"c957"</definedName>
    <definedName name="IQ_OTHER_NON_OPER_EXP_FIN" hidden="1">"c958"</definedName>
    <definedName name="IQ_OTHER_NON_OPER_EXP_INS" hidden="1">"c959"</definedName>
    <definedName name="IQ_OTHER_NON_OPER_EXP_RE" hidden="1">"c6253"</definedName>
    <definedName name="IQ_OTHER_NON_OPER_EXP_REIT" hidden="1">"c960"</definedName>
    <definedName name="IQ_OTHER_NON_OPER_EXP_SUPPL" hidden="1">"c961"</definedName>
    <definedName name="IQ_OTHER_NON_OPER_EXP_SUPPL_BR" hidden="1">"c962"</definedName>
    <definedName name="IQ_OTHER_NON_OPER_EXP_SUPPL_FIN" hidden="1">"c963"</definedName>
    <definedName name="IQ_OTHER_NON_OPER_EXP_SUPPL_INS" hidden="1">"c964"</definedName>
    <definedName name="IQ_OTHER_NON_OPER_EXP_SUPPL_RE" hidden="1">"c6254"</definedName>
    <definedName name="IQ_OTHER_NON_OPER_EXP_SUPPL_REIT" hidden="1">"c965"</definedName>
    <definedName name="IQ_OTHER_NON_OPER_EXP_SUPPL_UTI" hidden="1">"c966"</definedName>
    <definedName name="IQ_OTHER_NON_OPER_EXP_UTI" hidden="1">"c967"</definedName>
    <definedName name="IQ_OTHER_OFF_BS_LIAB_FDIC" hidden="1">"c6533"</definedName>
    <definedName name="IQ_OTHER_OPER" hidden="1">"c982"</definedName>
    <definedName name="IQ_OTHER_OPER_ACT" hidden="1">"c983"</definedName>
    <definedName name="IQ_OTHER_OPER_ACT_BNK" hidden="1">"c984"</definedName>
    <definedName name="IQ_OTHER_OPER_ACT_BR" hidden="1">"c985"</definedName>
    <definedName name="IQ_OTHER_OPER_ACT_FIN" hidden="1">"c986"</definedName>
    <definedName name="IQ_OTHER_OPER_ACT_INS" hidden="1">"c987"</definedName>
    <definedName name="IQ_OTHER_OPER_ACT_RE" hidden="1">"c6255"</definedName>
    <definedName name="IQ_OTHER_OPER_ACT_REIT" hidden="1">"c988"</definedName>
    <definedName name="IQ_OTHER_OPER_ACT_UTI" hidden="1">"c989"</definedName>
    <definedName name="IQ_OTHER_OPER_BR" hidden="1">"c990"</definedName>
    <definedName name="IQ_OTHER_OPER_FIN" hidden="1">"c991"</definedName>
    <definedName name="IQ_OTHER_OPER_INS" hidden="1">"c992"</definedName>
    <definedName name="IQ_OTHER_OPER_RE" hidden="1">"c6256"</definedName>
    <definedName name="IQ_OTHER_OPER_REIT" hidden="1">"c993"</definedName>
    <definedName name="IQ_OTHER_OPER_SUPPL_BR" hidden="1">"c994"</definedName>
    <definedName name="IQ_OTHER_OPER_SUPPL_FIN" hidden="1">"c995"</definedName>
    <definedName name="IQ_OTHER_OPER_SUPPL_INS" hidden="1">"c996"</definedName>
    <definedName name="IQ_OTHER_OPER_SUPPL_RE" hidden="1">"c6257"</definedName>
    <definedName name="IQ_OTHER_OPER_SUPPL_REIT" hidden="1">"c997"</definedName>
    <definedName name="IQ_OTHER_OPER_SUPPL_UTI" hidden="1">"c998"</definedName>
    <definedName name="IQ_OTHER_OPER_TOT_BNK" hidden="1">"c999"</definedName>
    <definedName name="IQ_OTHER_OPER_TOT_BR" hidden="1">"c1000"</definedName>
    <definedName name="IQ_OTHER_OPER_TOT_FIN" hidden="1">"c1001"</definedName>
    <definedName name="IQ_OTHER_OPER_TOT_INS" hidden="1">"c1002"</definedName>
    <definedName name="IQ_OTHER_OPER_TOT_RE" hidden="1">"c6258"</definedName>
    <definedName name="IQ_OTHER_OPER_TOT_REIT" hidden="1">"c1003"</definedName>
    <definedName name="IQ_OTHER_OPER_TOT_UTI" hidden="1">"c1004"</definedName>
    <definedName name="IQ_OTHER_OPER_UTI" hidden="1">"c1005"</definedName>
    <definedName name="IQ_OTHER_OPTIONS_BEG_OS" hidden="1">"c2686"</definedName>
    <definedName name="IQ_OTHER_OPTIONS_CANCELLED" hidden="1">"c2689"</definedName>
    <definedName name="IQ_OTHER_OPTIONS_END_OS" hidden="1">"c2690"</definedName>
    <definedName name="IQ_OTHER_OPTIONS_EXERCISABLE_END_OS" hidden="1">"c5814"</definedName>
    <definedName name="IQ_OTHER_OPTIONS_EXERCISED" hidden="1">"c2688"</definedName>
    <definedName name="IQ_OTHER_OPTIONS_GRANTED" hidden="1">"c2687"</definedName>
    <definedName name="IQ_OTHER_OPTIONS_STRIKE_PRICE_BEG_OS" hidden="1">"c5815"</definedName>
    <definedName name="IQ_OTHER_OPTIONS_STRIKE_PRICE_CANCELLED" hidden="1">"c5817"</definedName>
    <definedName name="IQ_OTHER_OPTIONS_STRIKE_PRICE_EXERCISABLE" hidden="1">"c5818"</definedName>
    <definedName name="IQ_OTHER_OPTIONS_STRIKE_PRICE_EXERCISED" hidden="1">"c5816"</definedName>
    <definedName name="IQ_OTHER_OPTIONS_STRIKE_PRICE_OS" hidden="1">"c2691"</definedName>
    <definedName name="IQ_OTHER_OUTSTANDING_BS_DATE" hidden="1">"c1972"</definedName>
    <definedName name="IQ_OTHER_OUTSTANDING_FILING_DATE" hidden="1">"c1974"</definedName>
    <definedName name="IQ_OTHER_PC_WRITTEN" hidden="1">"c1006"</definedName>
    <definedName name="IQ_OTHER_PROP" hidden="1">"c8764"</definedName>
    <definedName name="IQ_OTHER_RE_OWNED_FDIC" hidden="1">"c6330"</definedName>
    <definedName name="IQ_OTHER_REAL_ESTATE" hidden="1">"c1007"</definedName>
    <definedName name="IQ_OTHER_RECEIV" hidden="1">"c1008"</definedName>
    <definedName name="IQ_OTHER_RECEIV_INS" hidden="1">"c1009"</definedName>
    <definedName name="IQ_OTHER_REV" hidden="1">"c1010"</definedName>
    <definedName name="IQ_OTHER_REV_BR" hidden="1">"c1011"</definedName>
    <definedName name="IQ_OTHER_REV_FIN" hidden="1">"c1012"</definedName>
    <definedName name="IQ_OTHER_REV_INS" hidden="1">"c1013"</definedName>
    <definedName name="IQ_OTHER_REV_RE" hidden="1">"c6259"</definedName>
    <definedName name="IQ_OTHER_REV_REIT" hidden="1">"c1014"</definedName>
    <definedName name="IQ_OTHER_REV_SUPPL" hidden="1">"c1015"</definedName>
    <definedName name="IQ_OTHER_REV_SUPPL_BR" hidden="1">"c1016"</definedName>
    <definedName name="IQ_OTHER_REV_SUPPL_FIN" hidden="1">"c1017"</definedName>
    <definedName name="IQ_OTHER_REV_SUPPL_INS" hidden="1">"c1018"</definedName>
    <definedName name="IQ_OTHER_REV_SUPPL_RE" hidden="1">"c6260"</definedName>
    <definedName name="IQ_OTHER_REV_SUPPL_REIT" hidden="1">"c1019"</definedName>
    <definedName name="IQ_OTHER_REV_SUPPL_UTI" hidden="1">"c1020"</definedName>
    <definedName name="IQ_OTHER_REV_UTI" hidden="1">"c1021"</definedName>
    <definedName name="IQ_OTHER_REVENUE" hidden="1">"c1410"</definedName>
    <definedName name="IQ_OTHER_ROOMS" hidden="1">"c8788"</definedName>
    <definedName name="IQ_OTHER_SAVINGS_DEPOSITS_FDIC" hidden="1">"c6554"</definedName>
    <definedName name="IQ_OTHER_SQ_FT" hidden="1">"c8780"</definedName>
    <definedName name="IQ_OTHER_STRIKE_PRICE_GRANTED" hidden="1">"c2692"</definedName>
    <definedName name="IQ_OTHER_TRANSACTIONS_FDIC" hidden="1">"c6504"</definedName>
    <definedName name="IQ_OTHER_UNDRAWN" hidden="1">"c2522"</definedName>
    <definedName name="IQ_OTHER_UNITS" hidden="1">"c8772"</definedName>
    <definedName name="IQ_OTHER_UNUSED_COMMITMENTS_FDIC" hidden="1">"c6530"</definedName>
    <definedName name="IQ_OTHER_UNUSUAL" hidden="1">"c1488"</definedName>
    <definedName name="IQ_OTHER_UNUSUAL_BNK" hidden="1">"c1560"</definedName>
    <definedName name="IQ_OTHER_UNUSUAL_BR" hidden="1">"c1561"</definedName>
    <definedName name="IQ_OTHER_UNUSUAL_FIN" hidden="1">"c1562"</definedName>
    <definedName name="IQ_OTHER_UNUSUAL_INS" hidden="1">"c1563"</definedName>
    <definedName name="IQ_OTHER_UNUSUAL_RE" hidden="1">"c6282"</definedName>
    <definedName name="IQ_OTHER_UNUSUAL_REIT" hidden="1">"c1564"</definedName>
    <definedName name="IQ_OTHER_UNUSUAL_SUPPL" hidden="1">"c1494"</definedName>
    <definedName name="IQ_OTHER_UNUSUAL_SUPPL_BNK" hidden="1">"c1495"</definedName>
    <definedName name="IQ_OTHER_UNUSUAL_SUPPL_BR" hidden="1">"c1496"</definedName>
    <definedName name="IQ_OTHER_UNUSUAL_SUPPL_FIN" hidden="1">"c1497"</definedName>
    <definedName name="IQ_OTHER_UNUSUAL_SUPPL_INS" hidden="1">"c1498"</definedName>
    <definedName name="IQ_OTHER_UNUSUAL_SUPPL_RE" hidden="1">"c6281"</definedName>
    <definedName name="IQ_OTHER_UNUSUAL_SUPPL_REIT" hidden="1">"c1499"</definedName>
    <definedName name="IQ_OTHER_UNUSUAL_SUPPL_UTI" hidden="1">"c1500"</definedName>
    <definedName name="IQ_OTHER_UNUSUAL_UTI" hidden="1">"c1565"</definedName>
    <definedName name="IQ_OTHER_WARRANTS_BEG_OS" hidden="1">"c2712"</definedName>
    <definedName name="IQ_OTHER_WARRANTS_CANCELLED" hidden="1">"c2715"</definedName>
    <definedName name="IQ_OTHER_WARRANTS_END_OS" hidden="1">"c2716"</definedName>
    <definedName name="IQ_OTHER_WARRANTS_EXERCISED" hidden="1">"c2714"</definedName>
    <definedName name="IQ_OTHER_WARRANTS_ISSUED" hidden="1">"c2713"</definedName>
    <definedName name="IQ_OTHER_WARRANTS_STRIKE_PRICE_ISSUED" hidden="1">"c2718"</definedName>
    <definedName name="IQ_OTHER_WARRANTS_STRIKE_PRICE_OS" hidden="1">"c2717"</definedName>
    <definedName name="IQ_OUTSTANDING_BS_DATE" hidden="1">"c2128"</definedName>
    <definedName name="IQ_OUTSTANDING_FILING_DATE" hidden="1">"c1023"</definedName>
    <definedName name="IQ_OVER_FIFETEEN_YEAR_MORTGAGE_PASS_THROUGHS_FDIC" hidden="1">"c6416"</definedName>
    <definedName name="IQ_OVER_FIFTEEN_YEAR_FIXED_AND_FLOATING_RATE_FDIC" hidden="1">"c6424"</definedName>
    <definedName name="IQ_OVER_THREE_YEARS_FDIC" hidden="1">"c6418"</definedName>
    <definedName name="IQ_OWNERSHIP" hidden="1">"c2160"</definedName>
    <definedName name="IQ_PART_TIME" hidden="1">"c1024"</definedName>
    <definedName name="IQ_PARTICIPATION_POOLS_RESIDENTIAL_MORTGAGES_FDIC" hidden="1">"c6403"</definedName>
    <definedName name="IQ_PARTNERSHIP_INC_RE" hidden="1">"c12039"</definedName>
    <definedName name="IQ_PAST_DUE_30_1_4_FAMILY_LOANS_FDIC" hidden="1">"c6693"</definedName>
    <definedName name="IQ_PAST_DUE_30_AUTO_LOANS_FDIC" hidden="1">"c6687"</definedName>
    <definedName name="IQ_PAST_DUE_30_CL_LOANS_FDIC" hidden="1">"c6688"</definedName>
    <definedName name="IQ_PAST_DUE_30_CREDIT_CARDS_RECEIVABLES_FDIC" hidden="1">"c6690"</definedName>
    <definedName name="IQ_PAST_DUE_30_HOME_EQUITY_LINES_FDIC" hidden="1">"c6691"</definedName>
    <definedName name="IQ_PAST_DUE_30_OTHER_CONSUMER_LOANS_FDIC" hidden="1">"c6689"</definedName>
    <definedName name="IQ_PAST_DUE_30_OTHER_LOANS_FDIC" hidden="1">"c6692"</definedName>
    <definedName name="IQ_PAST_DUE_90_1_4_FAMILY_LOANS_FDIC" hidden="1">"c6700"</definedName>
    <definedName name="IQ_PAST_DUE_90_AUTO_LOANS_FDIC" hidden="1">"c6694"</definedName>
    <definedName name="IQ_PAST_DUE_90_CL_LOANS_FDIC" hidden="1">"c6695"</definedName>
    <definedName name="IQ_PAST_DUE_90_CREDIT_CARDS_RECEIVABLES_FDIC" hidden="1">"c6697"</definedName>
    <definedName name="IQ_PAST_DUE_90_HOME_EQUITY_LINES_FDIC" hidden="1">"c6698"</definedName>
    <definedName name="IQ_PAST_DUE_90_OTHER_CONSUMER_LOANS_FDIC" hidden="1">"c6696"</definedName>
    <definedName name="IQ_PAST_DUE_90_OTHER_LOANS_FDIC" hidden="1">"c6699"</definedName>
    <definedName name="IQ_PAY_ACCRUED" hidden="1">"c1457"</definedName>
    <definedName name="IQ_PAYOUT_RATIO" hidden="1">"c1900"</definedName>
    <definedName name="IQ_PBV" hidden="1">"c1025"</definedName>
    <definedName name="IQ_PBV_AVG" hidden="1">"c1026"</definedName>
    <definedName name="IQ_PC_EARNED" hidden="1">"c2749"</definedName>
    <definedName name="IQ_PC_GAAP_COMBINED_RATIO" hidden="1">"c2781"</definedName>
    <definedName name="IQ_PC_GAAP_COMBINED_RATIO_EXCL_CL" hidden="1">"c2782"</definedName>
    <definedName name="IQ_PC_GAAP_EXPENSE_RATIO" hidden="1">"c2780"</definedName>
    <definedName name="IQ_PC_GAAP_LOSS" hidden="1">"c2779"</definedName>
    <definedName name="IQ_PC_POLICY_BENEFITS_EXP" hidden="1">"c2790"</definedName>
    <definedName name="IQ_PC_STAT_COMBINED_RATIO" hidden="1">"c2778"</definedName>
    <definedName name="IQ_PC_STAT_COMBINED_RATIO_EXCL_DIV" hidden="1">"c2777"</definedName>
    <definedName name="IQ_PC_STAT_DIVIDEND_RATIO" hidden="1">"c2776"</definedName>
    <definedName name="IQ_PC_STAT_EXPENSE_RATIO" hidden="1">"c2775"</definedName>
    <definedName name="IQ_PC_STAT_LOSS_RATIO" hidden="1">"c2774"</definedName>
    <definedName name="IQ_PC_STATUTORY_SURPLUS" hidden="1">"c2770"</definedName>
    <definedName name="IQ_PC_WRITTEN" hidden="1">"c1027"</definedName>
    <definedName name="IQ_PE_EXCL" hidden="1">"c1028"</definedName>
    <definedName name="IQ_PE_EXCL_AVG" hidden="1">"c1029"</definedName>
    <definedName name="IQ_PE_EXCL_FWD" hidden="1">"c1030"</definedName>
    <definedName name="IQ_PE_EXCL_FWD_CIQ" hidden="1">"c4042"</definedName>
    <definedName name="IQ_PE_EXCL_FWD_REUT" hidden="1">"c4049"</definedName>
    <definedName name="IQ_PE_NORMALIZED" hidden="1">"c2207"</definedName>
    <definedName name="IQ_PE_RATIO" hidden="1">"c1610"</definedName>
    <definedName name="IQ_PEG_FWD" hidden="1">"c1863"</definedName>
    <definedName name="IQ_PEG_FWD_CIQ" hidden="1">"c4045"</definedName>
    <definedName name="IQ_PEG_FWD_REUT" hidden="1">"c4052"</definedName>
    <definedName name="IQ_PENSION" hidden="1">"c1031"</definedName>
    <definedName name="IQ_PENSION_ACCRUED_LIAB" hidden="1">"c3134"</definedName>
    <definedName name="IQ_PENSION_ACCRUED_LIAB_DOM" hidden="1">"c3132"</definedName>
    <definedName name="IQ_PENSION_ACCRUED_LIAB_FOREIGN" hidden="1">"c3133"</definedName>
    <definedName name="IQ_PENSION_ACCUM_OTHER_CI" hidden="1">"c3140"</definedName>
    <definedName name="IQ_PENSION_ACCUM_OTHER_CI_DOM" hidden="1">"c3138"</definedName>
    <definedName name="IQ_PENSION_ACCUM_OTHER_CI_FOREIGN" hidden="1">"c3139"</definedName>
    <definedName name="IQ_PENSION_ACCUMULATED_OBLIGATION" hidden="1">"c3570"</definedName>
    <definedName name="IQ_PENSION_ACCUMULATED_OBLIGATION_DOMESTIC" hidden="1">"c3568"</definedName>
    <definedName name="IQ_PENSION_ACCUMULATED_OBLIGATION_FOREIGN" hidden="1">"c3569"</definedName>
    <definedName name="IQ_PENSION_ACT_NEXT" hidden="1">"c5738"</definedName>
    <definedName name="IQ_PENSION_ACT_NEXT_DOM" hidden="1">"c5736"</definedName>
    <definedName name="IQ_PENSION_ACT_NEXT_FOREIGN" hidden="1">"c5737"</definedName>
    <definedName name="IQ_PENSION_AMT_RECOG_NEXT_DOM" hidden="1">"c5745"</definedName>
    <definedName name="IQ_PENSION_AMT_RECOG_NEXT_FOREIGN" hidden="1">"c5746"</definedName>
    <definedName name="IQ_PENSION_AMT_RECOG_PERIOD" hidden="1">"c5747"</definedName>
    <definedName name="IQ_PENSION_ASSETS" hidden="1">"c3182"</definedName>
    <definedName name="IQ_PENSION_ASSETS_ACQ" hidden="1">"c3173"</definedName>
    <definedName name="IQ_PENSION_ASSETS_ACQ_DOM" hidden="1">"c3171"</definedName>
    <definedName name="IQ_PENSION_ASSETS_ACQ_FOREIGN" hidden="1">"c3172"</definedName>
    <definedName name="IQ_PENSION_ASSETS_ACTUAL_RETURN" hidden="1">"c3158"</definedName>
    <definedName name="IQ_PENSION_ASSETS_ACTUAL_RETURN_DOM" hidden="1">"c3156"</definedName>
    <definedName name="IQ_PENSION_ASSETS_ACTUAL_RETURN_FOREIGN" hidden="1">"c3157"</definedName>
    <definedName name="IQ_PENSION_ASSETS_BEG" hidden="1">"c3155"</definedName>
    <definedName name="IQ_PENSION_ASSETS_BEG_DOM" hidden="1">"c3153"</definedName>
    <definedName name="IQ_PENSION_ASSETS_BEG_FOREIGN" hidden="1">"c3154"</definedName>
    <definedName name="IQ_PENSION_ASSETS_BENEFITS_PAID" hidden="1">"c3167"</definedName>
    <definedName name="IQ_PENSION_ASSETS_BENEFITS_PAID_DOM" hidden="1">"c3165"</definedName>
    <definedName name="IQ_PENSION_ASSETS_BENEFITS_PAID_FOREIGN" hidden="1">"c3166"</definedName>
    <definedName name="IQ_PENSION_ASSETS_CURTAIL" hidden="1">"c3176"</definedName>
    <definedName name="IQ_PENSION_ASSETS_CURTAIL_DOM" hidden="1">"c3174"</definedName>
    <definedName name="IQ_PENSION_ASSETS_CURTAIL_FOREIGN" hidden="1">"c3175"</definedName>
    <definedName name="IQ_PENSION_ASSETS_DOM" hidden="1">"c3180"</definedName>
    <definedName name="IQ_PENSION_ASSETS_EMPLOYER_CONTRIBUTIONS" hidden="1">"c3161"</definedName>
    <definedName name="IQ_PENSION_ASSETS_EMPLOYER_CONTRIBUTIONS_DOM" hidden="1">"c3159"</definedName>
    <definedName name="IQ_PENSION_ASSETS_EMPLOYER_CONTRIBUTIONS_FOREIGN" hidden="1">"c3160"</definedName>
    <definedName name="IQ_PENSION_ASSETS_FOREIGN" hidden="1">"c3181"</definedName>
    <definedName name="IQ_PENSION_ASSETS_FX_ADJ" hidden="1">"c3170"</definedName>
    <definedName name="IQ_PENSION_ASSETS_FX_ADJ_DOM" hidden="1">"c3168"</definedName>
    <definedName name="IQ_PENSION_ASSETS_FX_ADJ_FOREIGN" hidden="1">"c3169"</definedName>
    <definedName name="IQ_PENSION_ASSETS_OTHER_PLAN_ADJ" hidden="1">"c3179"</definedName>
    <definedName name="IQ_PENSION_ASSETS_OTHER_PLAN_ADJ_DOM" hidden="1">"c3177"</definedName>
    <definedName name="IQ_PENSION_ASSETS_OTHER_PLAN_ADJ_FOREIGN" hidden="1">"c3178"</definedName>
    <definedName name="IQ_PENSION_ASSETS_PARTICIP_CONTRIBUTIONS" hidden="1">"c3164"</definedName>
    <definedName name="IQ_PENSION_ASSETS_PARTICIP_CONTRIBUTIONS_DOM" hidden="1">"c3162"</definedName>
    <definedName name="IQ_PENSION_ASSETS_PARTICIP_CONTRIBUTIONS_FOREIGN" hidden="1">"c3163"</definedName>
    <definedName name="IQ_PENSION_BENEFIT_INFO_DATE" hidden="1">"c3230"</definedName>
    <definedName name="IQ_PENSION_BENEFIT_INFO_DATE_DOM" hidden="1">"c3228"</definedName>
    <definedName name="IQ_PENSION_BENEFIT_INFO_DATE_FOREIGN" hidden="1">"c3229"</definedName>
    <definedName name="IQ_PENSION_BREAKDOWN_EQ" hidden="1">"c3101"</definedName>
    <definedName name="IQ_PENSION_BREAKDOWN_EQ_DOM" hidden="1">"c3099"</definedName>
    <definedName name="IQ_PENSION_BREAKDOWN_EQ_FOREIGN" hidden="1">"c3100"</definedName>
    <definedName name="IQ_PENSION_BREAKDOWN_FI" hidden="1">"c3104"</definedName>
    <definedName name="IQ_PENSION_BREAKDOWN_FI_DOM" hidden="1">"c3102"</definedName>
    <definedName name="IQ_PENSION_BREAKDOWN_FI_FOREIGN" hidden="1">"c3103"</definedName>
    <definedName name="IQ_PENSION_BREAKDOWN_OTHER" hidden="1">"c3110"</definedName>
    <definedName name="IQ_PENSION_BREAKDOWN_OTHER_DOM" hidden="1">"c3108"</definedName>
    <definedName name="IQ_PENSION_BREAKDOWN_OTHER_FOREIGN" hidden="1">"c3109"</definedName>
    <definedName name="IQ_PENSION_BREAKDOWN_PCT_EQ" hidden="1">"c3089"</definedName>
    <definedName name="IQ_PENSION_BREAKDOWN_PCT_EQ_DOM" hidden="1">"c3087"</definedName>
    <definedName name="IQ_PENSION_BREAKDOWN_PCT_EQ_FOREIGN" hidden="1">"c3088"</definedName>
    <definedName name="IQ_PENSION_BREAKDOWN_PCT_FI" hidden="1">"c3092"</definedName>
    <definedName name="IQ_PENSION_BREAKDOWN_PCT_FI_DOM" hidden="1">"c3090"</definedName>
    <definedName name="IQ_PENSION_BREAKDOWN_PCT_FI_FOREIGN" hidden="1">"c3091"</definedName>
    <definedName name="IQ_PENSION_BREAKDOWN_PCT_OTHER" hidden="1">"c3098"</definedName>
    <definedName name="IQ_PENSION_BREAKDOWN_PCT_OTHER_DOM" hidden="1">"c3096"</definedName>
    <definedName name="IQ_PENSION_BREAKDOWN_PCT_OTHER_FOREIGN" hidden="1">"c3097"</definedName>
    <definedName name="IQ_PENSION_BREAKDOWN_PCT_RE" hidden="1">"c3095"</definedName>
    <definedName name="IQ_PENSION_BREAKDOWN_PCT_RE_DOM" hidden="1">"c3093"</definedName>
    <definedName name="IQ_PENSION_BREAKDOWN_PCT_RE_FOREIGN" hidden="1">"c3094"</definedName>
    <definedName name="IQ_PENSION_BREAKDOWN_RE" hidden="1">"c3107"</definedName>
    <definedName name="IQ_PENSION_BREAKDOWN_RE_DOM" hidden="1">"c3105"</definedName>
    <definedName name="IQ_PENSION_BREAKDOWN_RE_FOREIGN" hidden="1">"c3106"</definedName>
    <definedName name="IQ_PENSION_CI_ACT" hidden="1">"c5723"</definedName>
    <definedName name="IQ_PENSION_CI_ACT_DOM" hidden="1">"c5721"</definedName>
    <definedName name="IQ_PENSION_CI_ACT_FOREIGN" hidden="1">"c5722"</definedName>
    <definedName name="IQ_PENSION_CI_NET_AMT_RECOG" hidden="1">"c5735"</definedName>
    <definedName name="IQ_PENSION_CI_NET_AMT_RECOG_DOM" hidden="1">"c5733"</definedName>
    <definedName name="IQ_PENSION_CI_NET_AMT_RECOG_FOREIGN" hidden="1">"c5734"</definedName>
    <definedName name="IQ_PENSION_CI_OTHER_MISC_ADJ" hidden="1">"c5732"</definedName>
    <definedName name="IQ_PENSION_CI_OTHER_MISC_ADJ_DOM" hidden="1">"c5730"</definedName>
    <definedName name="IQ_PENSION_CI_OTHER_MISC_ADJ_FOREIGN" hidden="1">"c5731"</definedName>
    <definedName name="IQ_PENSION_CI_PRIOR_SERVICE" hidden="1">"c5726"</definedName>
    <definedName name="IQ_PENSION_CI_PRIOR_SERVICE_DOM" hidden="1">"c5724"</definedName>
    <definedName name="IQ_PENSION_CI_PRIOR_SERVICE_FOREIGN" hidden="1">"c5725"</definedName>
    <definedName name="IQ_PENSION_CI_TRANSITION" hidden="1">"c5729"</definedName>
    <definedName name="IQ_PENSION_CI_TRANSITION_DOM" hidden="1">"c5727"</definedName>
    <definedName name="IQ_PENSION_CI_TRANSITION_FOREIGN" hidden="1">"c5728"</definedName>
    <definedName name="IQ_PENSION_CL" hidden="1">"c5753"</definedName>
    <definedName name="IQ_PENSION_CL_DOM" hidden="1">"c5751"</definedName>
    <definedName name="IQ_PENSION_CL_FOREIGN" hidden="1">"c5752"</definedName>
    <definedName name="IQ_PENSION_CONTRIBUTION_TOTAL_COST" hidden="1">"c3559"</definedName>
    <definedName name="IQ_PENSION_DISC_RATE_MAX" hidden="1">"c3236"</definedName>
    <definedName name="IQ_PENSION_DISC_RATE_MAX_DOM" hidden="1">"c3234"</definedName>
    <definedName name="IQ_PENSION_DISC_RATE_MAX_FOREIGN" hidden="1">"c3235"</definedName>
    <definedName name="IQ_PENSION_DISC_RATE_MIN" hidden="1">"c3233"</definedName>
    <definedName name="IQ_PENSION_DISC_RATE_MIN_DOM" hidden="1">"c3231"</definedName>
    <definedName name="IQ_PENSION_DISC_RATE_MIN_FOREIGN" hidden="1">"c3232"</definedName>
    <definedName name="IQ_PENSION_DISCOUNT_RATE_DOMESTIC" hidden="1">"c3573"</definedName>
    <definedName name="IQ_PENSION_DISCOUNT_RATE_FOREIGN" hidden="1">"c3574"</definedName>
    <definedName name="IQ_PENSION_EST_BENEFIT_1YR" hidden="1">"c3113"</definedName>
    <definedName name="IQ_PENSION_EST_BENEFIT_1YR_DOM" hidden="1">"c3111"</definedName>
    <definedName name="IQ_PENSION_EST_BENEFIT_1YR_FOREIGN" hidden="1">"c3112"</definedName>
    <definedName name="IQ_PENSION_EST_BENEFIT_2YR" hidden="1">"c3116"</definedName>
    <definedName name="IQ_PENSION_EST_BENEFIT_2YR_DOM" hidden="1">"c3114"</definedName>
    <definedName name="IQ_PENSION_EST_BENEFIT_2YR_FOREIGN" hidden="1">"c3115"</definedName>
    <definedName name="IQ_PENSION_EST_BENEFIT_3YR" hidden="1">"c3119"</definedName>
    <definedName name="IQ_PENSION_EST_BENEFIT_3YR_DOM" hidden="1">"c3117"</definedName>
    <definedName name="IQ_PENSION_EST_BENEFIT_3YR_FOREIGN" hidden="1">"c3118"</definedName>
    <definedName name="IQ_PENSION_EST_BENEFIT_4YR" hidden="1">"c3122"</definedName>
    <definedName name="IQ_PENSION_EST_BENEFIT_4YR_DOM" hidden="1">"c3120"</definedName>
    <definedName name="IQ_PENSION_EST_BENEFIT_4YR_FOREIGN" hidden="1">"c3121"</definedName>
    <definedName name="IQ_PENSION_EST_BENEFIT_5YR" hidden="1">"c3125"</definedName>
    <definedName name="IQ_PENSION_EST_BENEFIT_5YR_DOM" hidden="1">"c3123"</definedName>
    <definedName name="IQ_PENSION_EST_BENEFIT_5YR_FOREIGN" hidden="1">"c3124"</definedName>
    <definedName name="IQ_PENSION_EST_BENEFIT_AFTER5" hidden="1">"c3128"</definedName>
    <definedName name="IQ_PENSION_EST_BENEFIT_AFTER5_DOM" hidden="1">"c3126"</definedName>
    <definedName name="IQ_PENSION_EST_BENEFIT_AFTER5_FOREIGN" hidden="1">"c3127"</definedName>
    <definedName name="IQ_PENSION_EST_CONTRIBUTIONS_NEXTYR" hidden="1">"c3218"</definedName>
    <definedName name="IQ_PENSION_EST_CONTRIBUTIONS_NEXTYR_DOM" hidden="1">"c3216"</definedName>
    <definedName name="IQ_PENSION_EST_CONTRIBUTIONS_NEXTYR_FOREIGN" hidden="1">"c3217"</definedName>
    <definedName name="IQ_PENSION_EXP_RATE_RETURN_MAX" hidden="1">"c3248"</definedName>
    <definedName name="IQ_PENSION_EXP_RATE_RETURN_MAX_DOM" hidden="1">"c3246"</definedName>
    <definedName name="IQ_PENSION_EXP_RATE_RETURN_MAX_FOREIGN" hidden="1">"c3247"</definedName>
    <definedName name="IQ_PENSION_EXP_RATE_RETURN_MIN" hidden="1">"c3245"</definedName>
    <definedName name="IQ_PENSION_EXP_RATE_RETURN_MIN_DOM" hidden="1">"c3243"</definedName>
    <definedName name="IQ_PENSION_EXP_RATE_RETURN_MIN_FOREIGN" hidden="1">"c3244"</definedName>
    <definedName name="IQ_PENSION_EXP_RETURN_DOMESTIC" hidden="1">"c3571"</definedName>
    <definedName name="IQ_PENSION_EXP_RETURN_FOREIGN" hidden="1">"c3572"</definedName>
    <definedName name="IQ_PENSION_INTAN_ASSETS" hidden="1">"c3137"</definedName>
    <definedName name="IQ_PENSION_INTAN_ASSETS_DOM" hidden="1">"c3135"</definedName>
    <definedName name="IQ_PENSION_INTAN_ASSETS_FOREIGN" hidden="1">"c3136"</definedName>
    <definedName name="IQ_PENSION_INTEREST_COST" hidden="1">"c3582"</definedName>
    <definedName name="IQ_PENSION_INTEREST_COST_DOM" hidden="1">"c3580"</definedName>
    <definedName name="IQ_PENSION_INTEREST_COST_FOREIGN" hidden="1">"c3581"</definedName>
    <definedName name="IQ_PENSION_LT_ASSETS" hidden="1">"c5750"</definedName>
    <definedName name="IQ_PENSION_LT_ASSETS_DOM" hidden="1">"c5748"</definedName>
    <definedName name="IQ_PENSION_LT_ASSETS_FOREIGN" hidden="1">"c5749"</definedName>
    <definedName name="IQ_PENSION_LT_LIAB" hidden="1">"c5756"</definedName>
    <definedName name="IQ_PENSION_LT_LIAB_DOM" hidden="1">"c5754"</definedName>
    <definedName name="IQ_PENSION_LT_LIAB_FOREIGN" hidden="1">"c5755"</definedName>
    <definedName name="IQ_PENSION_NET_ASSET_RECOG" hidden="1">"c3152"</definedName>
    <definedName name="IQ_PENSION_NET_ASSET_RECOG_DOM" hidden="1">"c3150"</definedName>
    <definedName name="IQ_PENSION_NET_ASSET_RECOG_FOREIGN" hidden="1">"c3151"</definedName>
    <definedName name="IQ_PENSION_OBLIGATION_ACQ" hidden="1">"c3206"</definedName>
    <definedName name="IQ_PENSION_OBLIGATION_ACQ_DOM" hidden="1">"c3204"</definedName>
    <definedName name="IQ_PENSION_OBLIGATION_ACQ_FOREIGN" hidden="1">"c3205"</definedName>
    <definedName name="IQ_PENSION_OBLIGATION_ACTUARIAL_GAIN_LOSS" hidden="1">"c3197"</definedName>
    <definedName name="IQ_PENSION_OBLIGATION_ACTUARIAL_GAIN_LOSS_DOM" hidden="1">"c3195"</definedName>
    <definedName name="IQ_PENSION_OBLIGATION_ACTUARIAL_GAIN_LOSS_FOREIGN" hidden="1">"c3196"</definedName>
    <definedName name="IQ_PENSION_OBLIGATION_BEG" hidden="1">"c3185"</definedName>
    <definedName name="IQ_PENSION_OBLIGATION_BEG_DOM" hidden="1">"c3183"</definedName>
    <definedName name="IQ_PENSION_OBLIGATION_BEG_FOREIGN" hidden="1">"c3184"</definedName>
    <definedName name="IQ_PENSION_OBLIGATION_CURTAIL" hidden="1">"c3209"</definedName>
    <definedName name="IQ_PENSION_OBLIGATION_CURTAIL_DOM" hidden="1">"c3207"</definedName>
    <definedName name="IQ_PENSION_OBLIGATION_CURTAIL_FOREIGN" hidden="1">"c3208"</definedName>
    <definedName name="IQ_PENSION_OBLIGATION_EMPLOYEE_CONTRIBUTIONS" hidden="1">"c3194"</definedName>
    <definedName name="IQ_PENSION_OBLIGATION_EMPLOYEE_CONTRIBUTIONS_DOM" hidden="1">"c3192"</definedName>
    <definedName name="IQ_PENSION_OBLIGATION_EMPLOYEE_CONTRIBUTIONS_FOREIGN" hidden="1">"c3193"</definedName>
    <definedName name="IQ_PENSION_OBLIGATION_FX_ADJ" hidden="1">"c3203"</definedName>
    <definedName name="IQ_PENSION_OBLIGATION_FX_ADJ_DOM" hidden="1">"c3201"</definedName>
    <definedName name="IQ_PENSION_OBLIGATION_FX_ADJ_FOREIGN" hidden="1">"c3202"</definedName>
    <definedName name="IQ_PENSION_OBLIGATION_INTEREST_COST" hidden="1">"c3191"</definedName>
    <definedName name="IQ_PENSION_OBLIGATION_INTEREST_COST_DOM" hidden="1">"c3189"</definedName>
    <definedName name="IQ_PENSION_OBLIGATION_INTEREST_COST_FOREIGN" hidden="1">"c3190"</definedName>
    <definedName name="IQ_PENSION_OBLIGATION_OTHER_COST" hidden="1">"c3555"</definedName>
    <definedName name="IQ_PENSION_OBLIGATION_OTHER_COST_DOM" hidden="1">"c3553"</definedName>
    <definedName name="IQ_PENSION_OBLIGATION_OTHER_COST_FOREIGN" hidden="1">"c3554"</definedName>
    <definedName name="IQ_PENSION_OBLIGATION_OTHER_PLAN_ADJ" hidden="1">"c3212"</definedName>
    <definedName name="IQ_PENSION_OBLIGATION_OTHER_PLAN_ADJ_DOM" hidden="1">"c3210"</definedName>
    <definedName name="IQ_PENSION_OBLIGATION_OTHER_PLAN_ADJ_FOREIGN" hidden="1">"c3211"</definedName>
    <definedName name="IQ_PENSION_OBLIGATION_PAID" hidden="1">"c3200"</definedName>
    <definedName name="IQ_PENSION_OBLIGATION_PAID_DOM" hidden="1">"c3198"</definedName>
    <definedName name="IQ_PENSION_OBLIGATION_PAID_FOREIGN" hidden="1">"c3199"</definedName>
    <definedName name="IQ_PENSION_OBLIGATION_PROJECTED" hidden="1">"c3215"</definedName>
    <definedName name="IQ_PENSION_OBLIGATION_PROJECTED_DOM" hidden="1">"c3213"</definedName>
    <definedName name="IQ_PENSION_OBLIGATION_PROJECTED_FOREIGN" hidden="1">"c3214"</definedName>
    <definedName name="IQ_PENSION_OBLIGATION_ROA" hidden="1">"c3552"</definedName>
    <definedName name="IQ_PENSION_OBLIGATION_ROA_DOM" hidden="1">"c3550"</definedName>
    <definedName name="IQ_PENSION_OBLIGATION_ROA_FOREIGN" hidden="1">"c3551"</definedName>
    <definedName name="IQ_PENSION_OBLIGATION_SERVICE_COST" hidden="1">"c3188"</definedName>
    <definedName name="IQ_PENSION_OBLIGATION_SERVICE_COST_DOM" hidden="1">"c3186"</definedName>
    <definedName name="IQ_PENSION_OBLIGATION_SERVICE_COST_FOREIGN" hidden="1">"c3187"</definedName>
    <definedName name="IQ_PENSION_OBLIGATION_TOTAL_COST" hidden="1">"c3558"</definedName>
    <definedName name="IQ_PENSION_OBLIGATION_TOTAL_COST_DOM" hidden="1">"c3556"</definedName>
    <definedName name="IQ_PENSION_OBLIGATION_TOTAL_COST_FOREIGN" hidden="1">"c3557"</definedName>
    <definedName name="IQ_PENSION_OTHER" hidden="1">"c3143"</definedName>
    <definedName name="IQ_PENSION_OTHER_ADJ" hidden="1">"c3149"</definedName>
    <definedName name="IQ_PENSION_OTHER_ADJ_DOM" hidden="1">"c3147"</definedName>
    <definedName name="IQ_PENSION_OTHER_ADJ_FOREIGN" hidden="1">"c3148"</definedName>
    <definedName name="IQ_PENSION_OTHER_DOM" hidden="1">"c3141"</definedName>
    <definedName name="IQ_PENSION_OTHER_FOREIGN" hidden="1">"c3142"</definedName>
    <definedName name="IQ_PENSION_PBO_ASSUMED_RATE_RET_MAX" hidden="1">"c3254"</definedName>
    <definedName name="IQ_PENSION_PBO_ASSUMED_RATE_RET_MAX_DOM" hidden="1">"c3252"</definedName>
    <definedName name="IQ_PENSION_PBO_ASSUMED_RATE_RET_MAX_FOREIGN" hidden="1">"c3253"</definedName>
    <definedName name="IQ_PENSION_PBO_ASSUMED_RATE_RET_MIN" hidden="1">"c3251"</definedName>
    <definedName name="IQ_PENSION_PBO_ASSUMED_RATE_RET_MIN_DOM" hidden="1">"c3249"</definedName>
    <definedName name="IQ_PENSION_PBO_ASSUMED_RATE_RET_MIN_FOREIGN" hidden="1">"c3250"</definedName>
    <definedName name="IQ_PENSION_PBO_RATE_COMP_INCREASE_MAX" hidden="1">"c3260"</definedName>
    <definedName name="IQ_PENSION_PBO_RATE_COMP_INCREASE_MAX_DOM" hidden="1">"c3258"</definedName>
    <definedName name="IQ_PENSION_PBO_RATE_COMP_INCREASE_MAX_FOREIGN" hidden="1">"c3259"</definedName>
    <definedName name="IQ_PENSION_PBO_RATE_COMP_INCREASE_MIN" hidden="1">"c3257"</definedName>
    <definedName name="IQ_PENSION_PBO_RATE_COMP_INCREASE_MIN_DOM" hidden="1">"c3255"</definedName>
    <definedName name="IQ_PENSION_PBO_RATE_COMP_INCREASE_MIN_FOREIGN" hidden="1">"c3256"</definedName>
    <definedName name="IQ_PENSION_PREPAID_COST" hidden="1">"c3131"</definedName>
    <definedName name="IQ_PENSION_PREPAID_COST_DOM" hidden="1">"c3129"</definedName>
    <definedName name="IQ_PENSION_PREPAID_COST_FOREIGN" hidden="1">"c3130"</definedName>
    <definedName name="IQ_PENSION_PRIOR_SERVICE_NEXT" hidden="1">"c5741"</definedName>
    <definedName name="IQ_PENSION_PRIOR_SERVICE_NEXT_DOM" hidden="1">"c5739"</definedName>
    <definedName name="IQ_PENSION_PRIOR_SERVICE_NEXT_FOREIGN" hidden="1">"c5740"</definedName>
    <definedName name="IQ_PENSION_PROJECTED_OBLIGATION" hidden="1">"c3566"</definedName>
    <definedName name="IQ_PENSION_PROJECTED_OBLIGATION_DOMESTIC" hidden="1">"c3564"</definedName>
    <definedName name="IQ_PENSION_PROJECTED_OBLIGATION_FOREIGN" hidden="1">"c3565"</definedName>
    <definedName name="IQ_PENSION_QUART_ADDL_CONTRIBUTIONS_EXP" hidden="1">"c3224"</definedName>
    <definedName name="IQ_PENSION_QUART_ADDL_CONTRIBUTIONS_EXP_DOM" hidden="1">"c3222"</definedName>
    <definedName name="IQ_PENSION_QUART_ADDL_CONTRIBUTIONS_EXP_FOREIGN" hidden="1">"c3223"</definedName>
    <definedName name="IQ_PENSION_QUART_EMPLOYER_CONTRIBUTIONS" hidden="1">"c3221"</definedName>
    <definedName name="IQ_PENSION_QUART_EMPLOYER_CONTRIBUTIONS_DOM" hidden="1">"c3219"</definedName>
    <definedName name="IQ_PENSION_QUART_EMPLOYER_CONTRIBUTIONS_FOREIGN" hidden="1">"c3220"</definedName>
    <definedName name="IQ_PENSION_RATE_COMP_GROWTH_DOMESTIC" hidden="1">"c3575"</definedName>
    <definedName name="IQ_PENSION_RATE_COMP_GROWTH_FOREIGN" hidden="1">"c3576"</definedName>
    <definedName name="IQ_PENSION_RATE_COMP_INCREASE_MAX" hidden="1">"c3242"</definedName>
    <definedName name="IQ_PENSION_RATE_COMP_INCREASE_MAX_DOM" hidden="1">"c3240"</definedName>
    <definedName name="IQ_PENSION_RATE_COMP_INCREASE_MAX_FOREIGN" hidden="1">"c3241"</definedName>
    <definedName name="IQ_PENSION_RATE_COMP_INCREASE_MIN" hidden="1">"c3239"</definedName>
    <definedName name="IQ_PENSION_RATE_COMP_INCREASE_MIN_DOM" hidden="1">"c3237"</definedName>
    <definedName name="IQ_PENSION_RATE_COMP_INCREASE_MIN_FOREIGN" hidden="1">"c3238"</definedName>
    <definedName name="IQ_PENSION_SERVICE_COST" hidden="1">"c3579"</definedName>
    <definedName name="IQ_PENSION_SERVICE_COST_DOM" hidden="1">"c3577"</definedName>
    <definedName name="IQ_PENSION_SERVICE_COST_FOREIGN" hidden="1">"c3578"</definedName>
    <definedName name="IQ_PENSION_TOTAL_ASSETS" hidden="1">"c3563"</definedName>
    <definedName name="IQ_PENSION_TOTAL_ASSETS_DOMESTIC" hidden="1">"c3561"</definedName>
    <definedName name="IQ_PENSION_TOTAL_ASSETS_FOREIGN" hidden="1">"c3562"</definedName>
    <definedName name="IQ_PENSION_TOTAL_EXP" hidden="1">"c3560"</definedName>
    <definedName name="IQ_PENSION_TRANSITION_NEXT" hidden="1">"c5744"</definedName>
    <definedName name="IQ_PENSION_TRANSITION_NEXT_DOM" hidden="1">"c5742"</definedName>
    <definedName name="IQ_PENSION_TRANSITION_NEXT_FOREIGN" hidden="1">"c5743"</definedName>
    <definedName name="IQ_PENSION_UNFUNDED_ADDL_MIN_LIAB" hidden="1">"c3227"</definedName>
    <definedName name="IQ_PENSION_UNFUNDED_ADDL_MIN_LIAB_DOM" hidden="1">"c3225"</definedName>
    <definedName name="IQ_PENSION_UNFUNDED_ADDL_MIN_LIAB_FOREIGN" hidden="1">"c3226"</definedName>
    <definedName name="IQ_PENSION_UNRECOG_PRIOR" hidden="1">"c3146"</definedName>
    <definedName name="IQ_PENSION_UNRECOG_PRIOR_DOM" hidden="1">"c3144"</definedName>
    <definedName name="IQ_PENSION_UNRECOG_PRIOR_FOREIGN" hidden="1">"c3145"</definedName>
    <definedName name="IQ_PENSION_UV_LIAB" hidden="1">"c3567"</definedName>
    <definedName name="IQ_PERCENT_CHANGE_EST_5YR_GROWTH_RATE_12MONTHS" hidden="1">"c1852"</definedName>
    <definedName name="IQ_PERCENT_CHANGE_EST_5YR_GROWTH_RATE_12MONTHS_CIQ" hidden="1">"c3790"</definedName>
    <definedName name="IQ_PERCENT_CHANGE_EST_5YR_GROWTH_RATE_18MONTHS" hidden="1">"c1853"</definedName>
    <definedName name="IQ_PERCENT_CHANGE_EST_5YR_GROWTH_RATE_18MONTHS_CIQ" hidden="1">"c3791"</definedName>
    <definedName name="IQ_PERCENT_CHANGE_EST_5YR_GROWTH_RATE_3MONTHS" hidden="1">"c1849"</definedName>
    <definedName name="IQ_PERCENT_CHANGE_EST_5YR_GROWTH_RATE_3MONTHS_CIQ" hidden="1">"c3787"</definedName>
    <definedName name="IQ_PERCENT_CHANGE_EST_5YR_GROWTH_RATE_6MONTHS" hidden="1">"c1850"</definedName>
    <definedName name="IQ_PERCENT_CHANGE_EST_5YR_GROWTH_RATE_6MONTHS_CIQ" hidden="1">"c3788"</definedName>
    <definedName name="IQ_PERCENT_CHANGE_EST_5YR_GROWTH_RATE_9MONTHS" hidden="1">"c1851"</definedName>
    <definedName name="IQ_PERCENT_CHANGE_EST_5YR_GROWTH_RATE_9MONTHS_CIQ" hidden="1">"c3789"</definedName>
    <definedName name="IQ_PERCENT_CHANGE_EST_5YR_GROWTH_RATE_DAY" hidden="1">"c1846"</definedName>
    <definedName name="IQ_PERCENT_CHANGE_EST_5YR_GROWTH_RATE_DAY_CIQ" hidden="1">"c3785"</definedName>
    <definedName name="IQ_PERCENT_CHANGE_EST_5YR_GROWTH_RATE_MONTH" hidden="1">"c1848"</definedName>
    <definedName name="IQ_PERCENT_CHANGE_EST_5YR_GROWTH_RATE_MONTH_CIQ" hidden="1">"c3786"</definedName>
    <definedName name="IQ_PERCENT_CHANGE_EST_5YR_GROWTH_RATE_WEEK" hidden="1">"c1847"</definedName>
    <definedName name="IQ_PERCENT_CHANGE_EST_5YR_GROWTH_RATE_WEEK_CIQ" hidden="1">"c3797"</definedName>
    <definedName name="IQ_PERCENT_CHANGE_EST_EBITDA_12MONTHS" hidden="1">"c1804"</definedName>
    <definedName name="IQ_PERCENT_CHANGE_EST_EBITDA_12MONTHS_CIQ" hidden="1">"c3748"</definedName>
    <definedName name="IQ_PERCENT_CHANGE_EST_EBITDA_18MONTHS" hidden="1">"c1805"</definedName>
    <definedName name="IQ_PERCENT_CHANGE_EST_EBITDA_18MONTHS_CIQ" hidden="1">"c3749"</definedName>
    <definedName name="IQ_PERCENT_CHANGE_EST_EBITDA_3MONTHS" hidden="1">"c1801"</definedName>
    <definedName name="IQ_PERCENT_CHANGE_EST_EBITDA_3MONTHS_CIQ" hidden="1">"c3745"</definedName>
    <definedName name="IQ_PERCENT_CHANGE_EST_EBITDA_6MONTHS" hidden="1">"c1802"</definedName>
    <definedName name="IQ_PERCENT_CHANGE_EST_EBITDA_6MONTHS_CIQ" hidden="1">"c3746"</definedName>
    <definedName name="IQ_PERCENT_CHANGE_EST_EBITDA_9MONTHS" hidden="1">"c1803"</definedName>
    <definedName name="IQ_PERCENT_CHANGE_EST_EBITDA_9MONTHS_CIQ" hidden="1">"c3747"</definedName>
    <definedName name="IQ_PERCENT_CHANGE_EST_EBITDA_DAY" hidden="1">"c1798"</definedName>
    <definedName name="IQ_PERCENT_CHANGE_EST_EBITDA_DAY_CIQ" hidden="1">"c3743"</definedName>
    <definedName name="IQ_PERCENT_CHANGE_EST_EBITDA_MONTH" hidden="1">"c1800"</definedName>
    <definedName name="IQ_PERCENT_CHANGE_EST_EBITDA_MONTH_CIQ" hidden="1">"c3744"</definedName>
    <definedName name="IQ_PERCENT_CHANGE_EST_EBITDA_WEEK" hidden="1">"c1799"</definedName>
    <definedName name="IQ_PERCENT_CHANGE_EST_EBITDA_WEEK_CIQ" hidden="1">"c3792"</definedName>
    <definedName name="IQ_PERCENT_CHANGE_EST_EPS_12MONTHS" hidden="1">"c1788"</definedName>
    <definedName name="IQ_PERCENT_CHANGE_EST_EPS_12MONTHS_CIQ" hidden="1">"c3733"</definedName>
    <definedName name="IQ_PERCENT_CHANGE_EST_EPS_18MONTHS" hidden="1">"c1789"</definedName>
    <definedName name="IQ_PERCENT_CHANGE_EST_EPS_18MONTHS_CIQ" hidden="1">"c3734"</definedName>
    <definedName name="IQ_PERCENT_CHANGE_EST_EPS_3MONTHS" hidden="1">"c1785"</definedName>
    <definedName name="IQ_PERCENT_CHANGE_EST_EPS_3MONTHS_CIQ" hidden="1">"c3730"</definedName>
    <definedName name="IQ_PERCENT_CHANGE_EST_EPS_6MONTHS" hidden="1">"c1786"</definedName>
    <definedName name="IQ_PERCENT_CHANGE_EST_EPS_6MONTHS_CIQ" hidden="1">"c3731"</definedName>
    <definedName name="IQ_PERCENT_CHANGE_EST_EPS_9MONTHS" hidden="1">"c1787"</definedName>
    <definedName name="IQ_PERCENT_CHANGE_EST_EPS_9MONTHS_CIQ" hidden="1">"c3732"</definedName>
    <definedName name="IQ_PERCENT_CHANGE_EST_EPS_DAY" hidden="1">"c1782"</definedName>
    <definedName name="IQ_PERCENT_CHANGE_EST_EPS_DAY_CIQ" hidden="1">"c3727"</definedName>
    <definedName name="IQ_PERCENT_CHANGE_EST_EPS_MONTH" hidden="1">"c1784"</definedName>
    <definedName name="IQ_PERCENT_CHANGE_EST_EPS_MONTH_CIQ" hidden="1">"c3729"</definedName>
    <definedName name="IQ_PERCENT_CHANGE_EST_EPS_WEEK" hidden="1">"c1783"</definedName>
    <definedName name="IQ_PERCENT_CHANGE_EST_EPS_WEEK_CIQ" hidden="1">"c3728"</definedName>
    <definedName name="IQ_PERCENT_CHANGE_EST_PRICE_TARGET_12MONTHS" hidden="1">"c1844"</definedName>
    <definedName name="IQ_PERCENT_CHANGE_EST_PRICE_TARGET_12MONTHS_CIQ" hidden="1">"c3783"</definedName>
    <definedName name="IQ_PERCENT_CHANGE_EST_PRICE_TARGET_18MONTHS" hidden="1">"c1845"</definedName>
    <definedName name="IQ_PERCENT_CHANGE_EST_PRICE_TARGET_18MONTHS_CIQ" hidden="1">"c3784"</definedName>
    <definedName name="IQ_PERCENT_CHANGE_EST_PRICE_TARGET_3MONTHS" hidden="1">"c1841"</definedName>
    <definedName name="IQ_PERCENT_CHANGE_EST_PRICE_TARGET_3MONTHS_CIQ" hidden="1">"c3780"</definedName>
    <definedName name="IQ_PERCENT_CHANGE_EST_PRICE_TARGET_6MONTHS" hidden="1">"c1842"</definedName>
    <definedName name="IQ_PERCENT_CHANGE_EST_PRICE_TARGET_6MONTHS_CIQ" hidden="1">"c3781"</definedName>
    <definedName name="IQ_PERCENT_CHANGE_EST_PRICE_TARGET_9MONTHS" hidden="1">"c1843"</definedName>
    <definedName name="IQ_PERCENT_CHANGE_EST_PRICE_TARGET_9MONTHS_CIQ" hidden="1">"c3782"</definedName>
    <definedName name="IQ_PERCENT_CHANGE_EST_PRICE_TARGET_DAY" hidden="1">"c1838"</definedName>
    <definedName name="IQ_PERCENT_CHANGE_EST_PRICE_TARGET_DAY_CIQ" hidden="1">"c3778"</definedName>
    <definedName name="IQ_PERCENT_CHANGE_EST_PRICE_TARGET_MONTH" hidden="1">"c1840"</definedName>
    <definedName name="IQ_PERCENT_CHANGE_EST_PRICE_TARGET_MONTH_CIQ" hidden="1">"c3779"</definedName>
    <definedName name="IQ_PERCENT_CHANGE_EST_PRICE_TARGET_WEEK" hidden="1">"c1839"</definedName>
    <definedName name="IQ_PERCENT_CHANGE_EST_PRICE_TARGET_WEEK_CIQ" hidden="1">"c3798"</definedName>
    <definedName name="IQ_PERCENT_CHANGE_EST_RECO_12MONTHS" hidden="1">"c1836"</definedName>
    <definedName name="IQ_PERCENT_CHANGE_EST_RECO_12MONTHS_CIQ" hidden="1">"c3776"</definedName>
    <definedName name="IQ_PERCENT_CHANGE_EST_RECO_18MONTHS" hidden="1">"c1837"</definedName>
    <definedName name="IQ_PERCENT_CHANGE_EST_RECO_18MONTHS_CIQ" hidden="1">"c3777"</definedName>
    <definedName name="IQ_PERCENT_CHANGE_EST_RECO_3MONTHS" hidden="1">"c1833"</definedName>
    <definedName name="IQ_PERCENT_CHANGE_EST_RECO_3MONTHS_CIQ" hidden="1">"c3773"</definedName>
    <definedName name="IQ_PERCENT_CHANGE_EST_RECO_6MONTHS" hidden="1">"c1834"</definedName>
    <definedName name="IQ_PERCENT_CHANGE_EST_RECO_6MONTHS_CIQ" hidden="1">"c3774"</definedName>
    <definedName name="IQ_PERCENT_CHANGE_EST_RECO_9MONTHS" hidden="1">"c1835"</definedName>
    <definedName name="IQ_PERCENT_CHANGE_EST_RECO_9MONTHS_CIQ" hidden="1">"c3775"</definedName>
    <definedName name="IQ_PERCENT_CHANGE_EST_RECO_DAY" hidden="1">"c1830"</definedName>
    <definedName name="IQ_PERCENT_CHANGE_EST_RECO_DAY_CIQ" hidden="1">"c3771"</definedName>
    <definedName name="IQ_PERCENT_CHANGE_EST_RECO_MONTH" hidden="1">"c1832"</definedName>
    <definedName name="IQ_PERCENT_CHANGE_EST_RECO_MONTH_CIQ" hidden="1">"c3772"</definedName>
    <definedName name="IQ_PERCENT_CHANGE_EST_RECO_WEEK" hidden="1">"c1831"</definedName>
    <definedName name="IQ_PERCENT_CHANGE_EST_RECO_WEEK_CIQ" hidden="1">"c3796"</definedName>
    <definedName name="IQ_PERCENT_CHANGE_EST_REV_12MONTHS" hidden="1">"c1796"</definedName>
    <definedName name="IQ_PERCENT_CHANGE_EST_REV_12MONTHS_CIQ" hidden="1">"c3741"</definedName>
    <definedName name="IQ_PERCENT_CHANGE_EST_REV_18MONTHS" hidden="1">"c1797"</definedName>
    <definedName name="IQ_PERCENT_CHANGE_EST_REV_18MONTHS_CIQ" hidden="1">"c3742"</definedName>
    <definedName name="IQ_PERCENT_CHANGE_EST_REV_3MONTHS" hidden="1">"c1793"</definedName>
    <definedName name="IQ_PERCENT_CHANGE_EST_REV_3MONTHS_CIQ" hidden="1">"c3738"</definedName>
    <definedName name="IQ_PERCENT_CHANGE_EST_REV_6MONTHS" hidden="1">"c1794"</definedName>
    <definedName name="IQ_PERCENT_CHANGE_EST_REV_6MONTHS_CIQ" hidden="1">"c3739"</definedName>
    <definedName name="IQ_PERCENT_CHANGE_EST_REV_9MONTHS" hidden="1">"c1795"</definedName>
    <definedName name="IQ_PERCENT_CHANGE_EST_REV_9MONTHS_CIQ" hidden="1">"c3740"</definedName>
    <definedName name="IQ_PERCENT_CHANGE_EST_REV_DAY" hidden="1">"c1790"</definedName>
    <definedName name="IQ_PERCENT_CHANGE_EST_REV_DAY_CIQ" hidden="1">"c3735"</definedName>
    <definedName name="IQ_PERCENT_CHANGE_EST_REV_MONTH" hidden="1">"c1792"</definedName>
    <definedName name="IQ_PERCENT_CHANGE_EST_REV_MONTH_CIQ" hidden="1">"c3737"</definedName>
    <definedName name="IQ_PERCENT_CHANGE_EST_REV_WEEK" hidden="1">"c1791"</definedName>
    <definedName name="IQ_PERCENT_CHANGE_EST_REV_WEEK_CIQ" hidden="1">"c3736"</definedName>
    <definedName name="IQ_PERCENT_INSURED_FDIC" hidden="1">"c6374"</definedName>
    <definedName name="IQ_PERIODDATE" hidden="1">"c1414"</definedName>
    <definedName name="IQ_PERIODDATE_AP" hidden="1">"c11745"</definedName>
    <definedName name="IQ_PERIODDATE_BS" hidden="1">"c1032"</definedName>
    <definedName name="IQ_PERIODDATE_CF" hidden="1">"c1033"</definedName>
    <definedName name="IQ_PERIODDATE_IS" hidden="1">"c1034"</definedName>
    <definedName name="IQ_PERIODLENGTH_AP" hidden="1">"c11746"</definedName>
    <definedName name="IQ_PERIODLENGTH_CF" hidden="1">"c1502"</definedName>
    <definedName name="IQ_PERIODLENGTH_IS" hidden="1">"c1503"</definedName>
    <definedName name="IQ_PERSONAL_CONSUMER_SPENDING_DURABLE" hidden="1">"c6942"</definedName>
    <definedName name="IQ_PERSONAL_CONSUMER_SPENDING_DURABLE_APR" hidden="1">"c7602"</definedName>
    <definedName name="IQ_PERSONAL_CONSUMER_SPENDING_DURABLE_APR_FC" hidden="1">"c8482"</definedName>
    <definedName name="IQ_PERSONAL_CONSUMER_SPENDING_DURABLE_FC" hidden="1">"c7822"</definedName>
    <definedName name="IQ_PERSONAL_CONSUMER_SPENDING_DURABLE_POP" hidden="1">"c7162"</definedName>
    <definedName name="IQ_PERSONAL_CONSUMER_SPENDING_DURABLE_POP_FC" hidden="1">"c8042"</definedName>
    <definedName name="IQ_PERSONAL_CONSUMER_SPENDING_DURABLE_YOY" hidden="1">"c7382"</definedName>
    <definedName name="IQ_PERSONAL_CONSUMER_SPENDING_DURABLE_YOY_FC" hidden="1">"c8262"</definedName>
    <definedName name="IQ_PERSONAL_CONSUMER_SPENDING_NONDURABLE" hidden="1">"c6940"</definedName>
    <definedName name="IQ_PERSONAL_CONSUMER_SPENDING_NONDURABLE_APR" hidden="1">"c7600"</definedName>
    <definedName name="IQ_PERSONAL_CONSUMER_SPENDING_NONDURABLE_APR_FC" hidden="1">"c8480"</definedName>
    <definedName name="IQ_PERSONAL_CONSUMER_SPENDING_NONDURABLE_FC" hidden="1">"c7820"</definedName>
    <definedName name="IQ_PERSONAL_CONSUMER_SPENDING_NONDURABLE_POP" hidden="1">"c7160"</definedName>
    <definedName name="IQ_PERSONAL_CONSUMER_SPENDING_NONDURABLE_POP_FC" hidden="1">"c8040"</definedName>
    <definedName name="IQ_PERSONAL_CONSUMER_SPENDING_NONDURABLE_YOY" hidden="1">"c7380"</definedName>
    <definedName name="IQ_PERSONAL_CONSUMER_SPENDING_NONDURABLE_YOY_FC" hidden="1">"c8260"</definedName>
    <definedName name="IQ_PERSONAL_CONSUMER_SPENDING_REAL" hidden="1">"c6994"</definedName>
    <definedName name="IQ_PERSONAL_CONSUMER_SPENDING_REAL_APR" hidden="1">"c7654"</definedName>
    <definedName name="IQ_PERSONAL_CONSUMER_SPENDING_REAL_APR_FC" hidden="1">"c8534"</definedName>
    <definedName name="IQ_PERSONAL_CONSUMER_SPENDING_REAL_FC" hidden="1">"c7874"</definedName>
    <definedName name="IQ_PERSONAL_CONSUMER_SPENDING_REAL_POP" hidden="1">"c7214"</definedName>
    <definedName name="IQ_PERSONAL_CONSUMER_SPENDING_REAL_POP_FC" hidden="1">"c8094"</definedName>
    <definedName name="IQ_PERSONAL_CONSUMER_SPENDING_REAL_YOY" hidden="1">"c7434"</definedName>
    <definedName name="IQ_PERSONAL_CONSUMER_SPENDING_REAL_YOY_FC" hidden="1">"c8314"</definedName>
    <definedName name="IQ_PERSONAL_CONSUMER_SPENDING_SERVICES" hidden="1">"c6941"</definedName>
    <definedName name="IQ_PERSONAL_CONSUMER_SPENDING_SERVICES_APR" hidden="1">"c7601"</definedName>
    <definedName name="IQ_PERSONAL_CONSUMER_SPENDING_SERVICES_APR_FC" hidden="1">"c8481"</definedName>
    <definedName name="IQ_PERSONAL_CONSUMER_SPENDING_SERVICES_FC" hidden="1">"c7821"</definedName>
    <definedName name="IQ_PERSONAL_CONSUMER_SPENDING_SERVICES_POP" hidden="1">"c7161"</definedName>
    <definedName name="IQ_PERSONAL_CONSUMER_SPENDING_SERVICES_POP_FC" hidden="1">"c8041"</definedName>
    <definedName name="IQ_PERSONAL_CONSUMER_SPENDING_SERVICES_YOY" hidden="1">"c7381"</definedName>
    <definedName name="IQ_PERSONAL_CONSUMER_SPENDING_SERVICES_YOY_FC" hidden="1">"c8261"</definedName>
    <definedName name="IQ_PERSONAL_INCOME" hidden="1">"c6943"</definedName>
    <definedName name="IQ_PERSONAL_INCOME_APR" hidden="1">"c7603"</definedName>
    <definedName name="IQ_PERSONAL_INCOME_APR_FC" hidden="1">"c8483"</definedName>
    <definedName name="IQ_PERSONAL_INCOME_FC" hidden="1">"c7823"</definedName>
    <definedName name="IQ_PERSONAL_INCOME_POP" hidden="1">"c7163"</definedName>
    <definedName name="IQ_PERSONAL_INCOME_POP_FC" hidden="1">"c8043"</definedName>
    <definedName name="IQ_PERSONAL_INCOME_SAAR" hidden="1">"c6944"</definedName>
    <definedName name="IQ_PERSONAL_INCOME_SAAR_APR" hidden="1">"c7604"</definedName>
    <definedName name="IQ_PERSONAL_INCOME_SAAR_APR_FC" hidden="1">"c8484"</definedName>
    <definedName name="IQ_PERSONAL_INCOME_SAAR_FC" hidden="1">"c7824"</definedName>
    <definedName name="IQ_PERSONAL_INCOME_SAAR_POP" hidden="1">"c7164"</definedName>
    <definedName name="IQ_PERSONAL_INCOME_SAAR_POP_FC" hidden="1">"c8044"</definedName>
    <definedName name="IQ_PERSONAL_INCOME_SAAR_YOY" hidden="1">"c7384"</definedName>
    <definedName name="IQ_PERSONAL_INCOME_SAAR_YOY_FC" hidden="1">"c8264"</definedName>
    <definedName name="IQ_PERSONAL_INCOME_USD_APR_FC" hidden="1">"c11885"</definedName>
    <definedName name="IQ_PERSONAL_INCOME_USD_FC" hidden="1">"c11882"</definedName>
    <definedName name="IQ_PERSONAL_INCOME_USD_POP_FC" hidden="1">"c11883"</definedName>
    <definedName name="IQ_PERSONAL_INCOME_USD_YOY_FC" hidden="1">"c11884"</definedName>
    <definedName name="IQ_PERSONAL_INCOME_YOY" hidden="1">"c7383"</definedName>
    <definedName name="IQ_PERSONAL_INCOME_YOY_FC" hidden="1">"c8263"</definedName>
    <definedName name="IQ_PERTYPE" hidden="1">"c1611"</definedName>
    <definedName name="IQ_PHARMBIO_NUMBER_LICENSED_PATENT_APP" hidden="1">"c10018"</definedName>
    <definedName name="IQ_PHARMBIO_NUMBER_LICENSED_PATENTS" hidden="1">"c10017"</definedName>
    <definedName name="IQ_PHARMBIO_NUMBER_PATENTS" hidden="1">"c10015"</definedName>
    <definedName name="IQ_PHARMBIO_NUMBER_PROD_APPROVED_DURING_PERIOD" hidden="1">"c10027"</definedName>
    <definedName name="IQ_PHARMBIO_NUMBER_PROD_CLINICAL_DEV" hidden="1">"c10022"</definedName>
    <definedName name="IQ_PHARMBIO_NUMBER_PROD_DISCOVERY_RESEARCH" hidden="1">"c10019"</definedName>
    <definedName name="IQ_PHARMBIO_NUMBER_PROD_LAUNCHED_DURING_PERIOD" hidden="1">"c10028"</definedName>
    <definedName name="IQ_PHARMBIO_NUMBER_PROD_PHASE_I" hidden="1">"c10023"</definedName>
    <definedName name="IQ_PHARMBIO_NUMBER_PROD_PHASE_II" hidden="1">"c10024"</definedName>
    <definedName name="IQ_PHARMBIO_NUMBER_PROD_PHASE_III" hidden="1">"c10025"</definedName>
    <definedName name="IQ_PHARMBIO_NUMBER_PROD_PRE_CLINICAL_TRIALS" hidden="1">"c10021"</definedName>
    <definedName name="IQ_PHARMBIO_NUMBER_PROD_PRE_REGISTRATION" hidden="1">"c10026"</definedName>
    <definedName name="IQ_PHARMBIO_NUMBER_PROD_RESEARCH_DEV" hidden="1">"c10020"</definedName>
    <definedName name="IQ_PHARMBIO_PATENT_APP" hidden="1">"c10016"</definedName>
    <definedName name="IQ_PHILADELPHIA_FED_DIFFUSION_INDEX" hidden="1">"c6945"</definedName>
    <definedName name="IQ_PHILADELPHIA_FED_DIFFUSION_INDEX_APR" hidden="1">"c7605"</definedName>
    <definedName name="IQ_PHILADELPHIA_FED_DIFFUSION_INDEX_APR_FC" hidden="1">"c8485"</definedName>
    <definedName name="IQ_PHILADELPHIA_FED_DIFFUSION_INDEX_FC" hidden="1">"c7825"</definedName>
    <definedName name="IQ_PHILADELPHIA_FED_DIFFUSION_INDEX_POP" hidden="1">"c7165"</definedName>
    <definedName name="IQ_PHILADELPHIA_FED_DIFFUSION_INDEX_POP_FC" hidden="1">"c8045"</definedName>
    <definedName name="IQ_PHILADELPHIA_FED_DIFFUSION_INDEX_YOY" hidden="1">"c7385"</definedName>
    <definedName name="IQ_PHILADELPHIA_FED_DIFFUSION_INDEX_YOY_FC" hidden="1">"c8265"</definedName>
    <definedName name="IQ_PLEDGED_SECURITIES_FDIC" hidden="1">"c6401"</definedName>
    <definedName name="IQ_PLL" hidden="1">"c2114"</definedName>
    <definedName name="IQ_PMAC_DIFFUSION_INDEX" hidden="1">"c6946"</definedName>
    <definedName name="IQ_PMAC_DIFFUSION_INDEX_APR" hidden="1">"c7606"</definedName>
    <definedName name="IQ_PMAC_DIFFUSION_INDEX_APR_FC" hidden="1">"c8486"</definedName>
    <definedName name="IQ_PMAC_DIFFUSION_INDEX_FC" hidden="1">"c7826"</definedName>
    <definedName name="IQ_PMAC_DIFFUSION_INDEX_POP" hidden="1">"c7166"</definedName>
    <definedName name="IQ_PMAC_DIFFUSION_INDEX_POP_FC" hidden="1">"c8046"</definedName>
    <definedName name="IQ_PMAC_DIFFUSION_INDEX_YOY" hidden="1">"c7386"</definedName>
    <definedName name="IQ_PMAC_DIFFUSION_INDEX_YOY_FC" hidden="1">"c8266"</definedName>
    <definedName name="IQ_PMT_FREQ" hidden="1">"c2236"</definedName>
    <definedName name="IQ_POISON_PUT_EFFECT_DATE" hidden="1">"c2486"</definedName>
    <definedName name="IQ_POISON_PUT_EXPIRATION_DATE" hidden="1">"c2487"</definedName>
    <definedName name="IQ_POISON_PUT_PRICE" hidden="1">"c2488"</definedName>
    <definedName name="IQ_POLICY_BENEFITS" hidden="1">"c1036"</definedName>
    <definedName name="IQ_POLICY_COST" hidden="1">"c1037"</definedName>
    <definedName name="IQ_POLICY_LIAB" hidden="1">"c1612"</definedName>
    <definedName name="IQ_POLICY_LOANS" hidden="1">"c1038"</definedName>
    <definedName name="IQ_POOL_AMT_ORIGINAL" hidden="1">"c8970"</definedName>
    <definedName name="IQ_POOL_NAME" hidden="1">"c8967"</definedName>
    <definedName name="IQ_POOL_NUMBER" hidden="1">"c8968"</definedName>
    <definedName name="IQ_POOL_TYPE" hidden="1">"c8969"</definedName>
    <definedName name="IQ_POST_RETIRE_EXP" hidden="1">"c1039"</definedName>
    <definedName name="IQ_POSTPAID_CHURN" hidden="1">"c2121"</definedName>
    <definedName name="IQ_POSTPAID_SUBS" hidden="1">"c2118"</definedName>
    <definedName name="IQ_PP_ATTRIB_ORE_RESERVES_ALUM" hidden="1">"c9218"</definedName>
    <definedName name="IQ_PP_ATTRIB_ORE_RESERVES_COP" hidden="1">"c9162"</definedName>
    <definedName name="IQ_PP_ATTRIB_ORE_RESERVES_DIAM" hidden="1">"c9642"</definedName>
    <definedName name="IQ_PP_ATTRIB_ORE_RESERVES_GOLD" hidden="1">"c9003"</definedName>
    <definedName name="IQ_PP_ATTRIB_ORE_RESERVES_IRON" hidden="1">"c9377"</definedName>
    <definedName name="IQ_PP_ATTRIB_ORE_RESERVES_LEAD" hidden="1">"c9430"</definedName>
    <definedName name="IQ_PP_ATTRIB_ORE_RESERVES_MANG" hidden="1">"c9483"</definedName>
    <definedName name="IQ_PP_ATTRIB_ORE_RESERVES_MOLYB" hidden="1">"c9695"</definedName>
    <definedName name="IQ_PP_ATTRIB_ORE_RESERVES_NICK" hidden="1">"c9271"</definedName>
    <definedName name="IQ_PP_ATTRIB_ORE_RESERVES_PLAT" hidden="1">"c9109"</definedName>
    <definedName name="IQ_PP_ATTRIB_ORE_RESERVES_SILVER" hidden="1">"c9056"</definedName>
    <definedName name="IQ_PP_ATTRIB_ORE_RESERVES_TITAN" hidden="1">"c9536"</definedName>
    <definedName name="IQ_PP_ATTRIB_ORE_RESERVES_URAN" hidden="1">"c9589"</definedName>
    <definedName name="IQ_PP_ATTRIB_ORE_RESERVES_ZINC" hidden="1">"c9324"</definedName>
    <definedName name="IQ_PP_ORE_RESERVES_ALUM" hidden="1">"c9211"</definedName>
    <definedName name="IQ_PP_ORE_RESERVES_COP" hidden="1">"c9155"</definedName>
    <definedName name="IQ_PP_ORE_RESERVES_DIAM" hidden="1">"c9635"</definedName>
    <definedName name="IQ_PP_ORE_RESERVES_GOLD" hidden="1">"c8996"</definedName>
    <definedName name="IQ_PP_ORE_RESERVES_IRON" hidden="1">"c9370"</definedName>
    <definedName name="IQ_PP_ORE_RESERVES_LEAD" hidden="1">"c9423"</definedName>
    <definedName name="IQ_PP_ORE_RESERVES_MANG" hidden="1">"c9476"</definedName>
    <definedName name="IQ_PP_ORE_RESERVES_MOLYB" hidden="1">"c9688"</definedName>
    <definedName name="IQ_PP_ORE_RESERVES_NICK" hidden="1">"c9264"</definedName>
    <definedName name="IQ_PP_ORE_RESERVES_PLAT" hidden="1">"c9102"</definedName>
    <definedName name="IQ_PP_ORE_RESERVES_SILVER" hidden="1">"c9049"</definedName>
    <definedName name="IQ_PP_ORE_RESERVES_TITAN" hidden="1">"c9529"</definedName>
    <definedName name="IQ_PP_ORE_RESERVES_URAN" hidden="1">"c9582"</definedName>
    <definedName name="IQ_PP_ORE_RESERVES_ZINC" hidden="1">"c9317"</definedName>
    <definedName name="IQ_PP_RECOV_ATTRIB_RESERVES_ALUM" hidden="1">"c9221"</definedName>
    <definedName name="IQ_PP_RECOV_ATTRIB_RESERVES_COAL" hidden="1">"c9805"</definedName>
    <definedName name="IQ_PP_RECOV_ATTRIB_RESERVES_COP" hidden="1">"c9165"</definedName>
    <definedName name="IQ_PP_RECOV_ATTRIB_RESERVES_DIAM" hidden="1">"c9645"</definedName>
    <definedName name="IQ_PP_RECOV_ATTRIB_RESERVES_GOLD" hidden="1">"c9006"</definedName>
    <definedName name="IQ_PP_RECOV_ATTRIB_RESERVES_IRON" hidden="1">"c9380"</definedName>
    <definedName name="IQ_PP_RECOV_ATTRIB_RESERVES_LEAD" hidden="1">"c9433"</definedName>
    <definedName name="IQ_PP_RECOV_ATTRIB_RESERVES_MANG" hidden="1">"c9486"</definedName>
    <definedName name="IQ_PP_RECOV_ATTRIB_RESERVES_MET_COAL" hidden="1">"c9745"</definedName>
    <definedName name="IQ_PP_RECOV_ATTRIB_RESERVES_MOLYB" hidden="1">"c9698"</definedName>
    <definedName name="IQ_PP_RECOV_ATTRIB_RESERVES_NICK" hidden="1">"c9274"</definedName>
    <definedName name="IQ_PP_RECOV_ATTRIB_RESERVES_PLAT" hidden="1">"c9112"</definedName>
    <definedName name="IQ_PP_RECOV_ATTRIB_RESERVES_SILVER" hidden="1">"c9059"</definedName>
    <definedName name="IQ_PP_RECOV_ATTRIB_RESERVES_STEAM" hidden="1">"c9775"</definedName>
    <definedName name="IQ_PP_RECOV_ATTRIB_RESERVES_TITAN" hidden="1">"c9539"</definedName>
    <definedName name="IQ_PP_RECOV_ATTRIB_RESERVES_URAN" hidden="1">"c9592"</definedName>
    <definedName name="IQ_PP_RECOV_ATTRIB_RESERVES_ZINC" hidden="1">"c9327"</definedName>
    <definedName name="IQ_PP_RECOV_RESERVES_ALUM" hidden="1">"c9215"</definedName>
    <definedName name="IQ_PP_RECOV_RESERVES_COAL" hidden="1">"c9802"</definedName>
    <definedName name="IQ_PP_RECOV_RESERVES_COP" hidden="1">"c9159"</definedName>
    <definedName name="IQ_PP_RECOV_RESERVES_DIAM" hidden="1">"c9639"</definedName>
    <definedName name="IQ_PP_RECOV_RESERVES_GOLD" hidden="1">"c9000"</definedName>
    <definedName name="IQ_PP_RECOV_RESERVES_IRON" hidden="1">"c9374"</definedName>
    <definedName name="IQ_PP_RECOV_RESERVES_LEAD" hidden="1">"c9427"</definedName>
    <definedName name="IQ_PP_RECOV_RESERVES_MANG" hidden="1">"c9480"</definedName>
    <definedName name="IQ_PP_RECOV_RESERVES_MET_COAL" hidden="1">"c9742"</definedName>
    <definedName name="IQ_PP_RECOV_RESERVES_MOLYB" hidden="1">"c9692"</definedName>
    <definedName name="IQ_PP_RECOV_RESERVES_NICK" hidden="1">"c9268"</definedName>
    <definedName name="IQ_PP_RECOV_RESERVES_PLAT" hidden="1">"c9106"</definedName>
    <definedName name="IQ_PP_RECOV_RESERVES_SILVER" hidden="1">"c9053"</definedName>
    <definedName name="IQ_PP_RECOV_RESERVES_STEAM" hidden="1">"c9772"</definedName>
    <definedName name="IQ_PP_RECOV_RESERVES_TITAN" hidden="1">"c9533"</definedName>
    <definedName name="IQ_PP_RECOV_RESERVES_URAN" hidden="1">"c9586"</definedName>
    <definedName name="IQ_PP_RECOV_RESERVES_ZINC" hidden="1">"c9321"</definedName>
    <definedName name="IQ_PP_RESERVES_CALORIFIC_VALUE_COAL" hidden="1">"c9799"</definedName>
    <definedName name="IQ_PP_RESERVES_CALORIFIC_VALUE_MET_COAL" hidden="1">"c9739"</definedName>
    <definedName name="IQ_PP_RESERVES_CALORIFIC_VALUE_STEAM" hidden="1">"c9769"</definedName>
    <definedName name="IQ_PP_RESERVES_GRADE_ALUM" hidden="1">"c9212"</definedName>
    <definedName name="IQ_PP_RESERVES_GRADE_COP" hidden="1">"c9156"</definedName>
    <definedName name="IQ_PP_RESERVES_GRADE_DIAM" hidden="1">"c9636"</definedName>
    <definedName name="IQ_PP_RESERVES_GRADE_GOLD" hidden="1">"c8997"</definedName>
    <definedName name="IQ_PP_RESERVES_GRADE_IRON" hidden="1">"c9371"</definedName>
    <definedName name="IQ_PP_RESERVES_GRADE_LEAD" hidden="1">"c9424"</definedName>
    <definedName name="IQ_PP_RESERVES_GRADE_MANG" hidden="1">"c9477"</definedName>
    <definedName name="IQ_PP_RESERVES_GRADE_MOLYB" hidden="1">"c9689"</definedName>
    <definedName name="IQ_PP_RESERVES_GRADE_NICK" hidden="1">"c9265"</definedName>
    <definedName name="IQ_PP_RESERVES_GRADE_PLAT" hidden="1">"c9103"</definedName>
    <definedName name="IQ_PP_RESERVES_GRADE_SILVER" hidden="1">"c9050"</definedName>
    <definedName name="IQ_PP_RESERVES_GRADE_TITAN" hidden="1">"c9530"</definedName>
    <definedName name="IQ_PP_RESERVES_GRADE_URAN" hidden="1">"c9583"</definedName>
    <definedName name="IQ_PP_RESERVES_GRADE_ZINC" hidden="1">"c9318"</definedName>
    <definedName name="IQ_PPI" hidden="1">"c6810"</definedName>
    <definedName name="IQ_PPI_APR" hidden="1">"c7470"</definedName>
    <definedName name="IQ_PPI_APR_FC" hidden="1">"c8350"</definedName>
    <definedName name="IQ_PPI_CORE" hidden="1">"c6840"</definedName>
    <definedName name="IQ_PPI_CORE_APR" hidden="1">"c7500"</definedName>
    <definedName name="IQ_PPI_CORE_APR_FC" hidden="1">"c8380"</definedName>
    <definedName name="IQ_PPI_CORE_FC" hidden="1">"c7720"</definedName>
    <definedName name="IQ_PPI_CORE_POP" hidden="1">"c7060"</definedName>
    <definedName name="IQ_PPI_CORE_POP_FC" hidden="1">"c7940"</definedName>
    <definedName name="IQ_PPI_CORE_YOY" hidden="1">"c7280"</definedName>
    <definedName name="IQ_PPI_CORE_YOY_FC" hidden="1">"c8160"</definedName>
    <definedName name="IQ_PPI_FC" hidden="1">"c7690"</definedName>
    <definedName name="IQ_PPI_POP" hidden="1">"c7030"</definedName>
    <definedName name="IQ_PPI_POP_FC" hidden="1">"c7910"</definedName>
    <definedName name="IQ_PPI_YOY" hidden="1">"c7250"</definedName>
    <definedName name="IQ_PPI_YOY_FC" hidden="1">"c8130"</definedName>
    <definedName name="IQ_PRE_OPEN_COST" hidden="1">"c1040"</definedName>
    <definedName name="IQ_PRE_TAX_INCOME_FDIC" hidden="1">"c6581"</definedName>
    <definedName name="IQ_PREF_CONVERT" hidden="1">"c1041"</definedName>
    <definedName name="IQ_PREF_DIV_CF" hidden="1">"c1042"</definedName>
    <definedName name="IQ_PREF_DIV_OTHER" hidden="1">"c1043"</definedName>
    <definedName name="IQ_PREF_DIVID" hidden="1">"c1461"</definedName>
    <definedName name="IQ_PREF_EQUITY" hidden="1">"c1044"</definedName>
    <definedName name="IQ_PREF_ISSUED" hidden="1">"c1045"</definedName>
    <definedName name="IQ_PREF_ISSUED_BNK" hidden="1">"c1046"</definedName>
    <definedName name="IQ_PREF_ISSUED_BR" hidden="1">"c1047"</definedName>
    <definedName name="IQ_PREF_ISSUED_FIN" hidden="1">"c1048"</definedName>
    <definedName name="IQ_PREF_ISSUED_INS" hidden="1">"c1049"</definedName>
    <definedName name="IQ_PREF_ISSUED_RE" hidden="1">"c6261"</definedName>
    <definedName name="IQ_PREF_ISSUED_REIT" hidden="1">"c1050"</definedName>
    <definedName name="IQ_PREF_ISSUED_UTI" hidden="1">"c1051"</definedName>
    <definedName name="IQ_PREF_NON_REDEEM" hidden="1">"c1052"</definedName>
    <definedName name="IQ_PREF_OTHER" hidden="1">"c1053"</definedName>
    <definedName name="IQ_PREF_OTHER_BNK" hidden="1">"c1054"</definedName>
    <definedName name="IQ_PREF_OTHER_BR" hidden="1">"c1055"</definedName>
    <definedName name="IQ_PREF_OTHER_FIN" hidden="1">"c1056"</definedName>
    <definedName name="IQ_PREF_OTHER_INS" hidden="1">"c1057"</definedName>
    <definedName name="IQ_PREF_OTHER_RE" hidden="1">"c6262"</definedName>
    <definedName name="IQ_PREF_OTHER_REIT" hidden="1">"c1058"</definedName>
    <definedName name="IQ_PREF_OTHER_UTI" hidden="1">"C6022"</definedName>
    <definedName name="IQ_PREF_REDEEM" hidden="1">"c1059"</definedName>
    <definedName name="IQ_PREF_REP" hidden="1">"c1060"</definedName>
    <definedName name="IQ_PREF_REP_BNK" hidden="1">"c1061"</definedName>
    <definedName name="IQ_PREF_REP_BR" hidden="1">"c1062"</definedName>
    <definedName name="IQ_PREF_REP_FIN" hidden="1">"c1063"</definedName>
    <definedName name="IQ_PREF_REP_INS" hidden="1">"c1064"</definedName>
    <definedName name="IQ_PREF_REP_RE" hidden="1">"c6263"</definedName>
    <definedName name="IQ_PREF_REP_REIT" hidden="1">"c1065"</definedName>
    <definedName name="IQ_PREF_REP_UTI" hidden="1">"c1066"</definedName>
    <definedName name="IQ_PREF_STOCK" hidden="1">"c1416"</definedName>
    <definedName name="IQ_PREF_TOT" hidden="1">"c1415"</definedName>
    <definedName name="IQ_PREFERRED_FDIC" hidden="1">"c6349"</definedName>
    <definedName name="IQ_PREMISES_EQUIPMENT_FDIC" hidden="1">"c6577"</definedName>
    <definedName name="IQ_PREMIUMS_ANNUITY_REV" hidden="1">"c1067"</definedName>
    <definedName name="IQ_PREPAID_CHURN" hidden="1">"c2120"</definedName>
    <definedName name="IQ_PREPAID_EXP" hidden="1">"c1068"</definedName>
    <definedName name="IQ_PREPAID_EXPEN" hidden="1">"c1418"</definedName>
    <definedName name="IQ_PREPAID_SUBS" hidden="1">"c2117"</definedName>
    <definedName name="IQ_PRETAX_RETURN_ASSETS_FDIC" hidden="1">"c6731"</definedName>
    <definedName name="IQ_PREV_MONTHLY_FACTOR" hidden="1">"c8973"</definedName>
    <definedName name="IQ_PREV_MONTHLY_FACTOR_DATE" hidden="1">"c8974"</definedName>
    <definedName name="IQ_PRICE_OVER_BVPS" hidden="1">"c1412"</definedName>
    <definedName name="IQ_PRICE_OVER_LTM_EPS" hidden="1">"c1413"</definedName>
    <definedName name="IQ_PRICE_PAID_FARM_INDEX" hidden="1">"c6948"</definedName>
    <definedName name="IQ_PRICE_PAID_FARM_INDEX_APR" hidden="1">"c7608"</definedName>
    <definedName name="IQ_PRICE_PAID_FARM_INDEX_APR_FC" hidden="1">"c8488"</definedName>
    <definedName name="IQ_PRICE_PAID_FARM_INDEX_FC" hidden="1">"c7828"</definedName>
    <definedName name="IQ_PRICE_PAID_FARM_INDEX_POP" hidden="1">"c7168"</definedName>
    <definedName name="IQ_PRICE_PAID_FARM_INDEX_POP_FC" hidden="1">"c8048"</definedName>
    <definedName name="IQ_PRICE_PAID_FARM_INDEX_YOY" hidden="1">"c7388"</definedName>
    <definedName name="IQ_PRICE_PAID_FARM_INDEX_YOY_FC" hidden="1">"c8268"</definedName>
    <definedName name="IQ_PRICE_TARGET" hidden="1">"c82"</definedName>
    <definedName name="IQ_PRICE_TARGET_CIQ" hidden="1">"c3613"</definedName>
    <definedName name="IQ_PRICE_TARGET_REUT" hidden="1">"c3631"</definedName>
    <definedName name="IQ_PRICEDATE" hidden="1">"c1069"</definedName>
    <definedName name="IQ_PRICING_DATE" hidden="1">"c1613"</definedName>
    <definedName name="IQ_PRIMARY_INDUSTRY" hidden="1">"c1070"</definedName>
    <definedName name="IQ_PRINCIPAL_AMT" hidden="1">"c2157"</definedName>
    <definedName name="IQ_PRIVATE_CONST_TOTAL_APR_FC_UNUSED_UNUSED_UNUSED" hidden="1">"c8559"</definedName>
    <definedName name="IQ_PRIVATE_CONST_TOTAL_APR_UNUSED_UNUSED_UNUSED" hidden="1">"c7679"</definedName>
    <definedName name="IQ_PRIVATE_CONST_TOTAL_FC_UNUSED_UNUSED_UNUSED" hidden="1">"c7899"</definedName>
    <definedName name="IQ_PRIVATE_CONST_TOTAL_POP_FC_UNUSED_UNUSED_UNUSED" hidden="1">"c8119"</definedName>
    <definedName name="IQ_PRIVATE_CONST_TOTAL_POP_UNUSED_UNUSED_UNUSED" hidden="1">"c7239"</definedName>
    <definedName name="IQ_PRIVATE_CONST_TOTAL_UNUSED_UNUSED_UNUSED" hidden="1">"c7019"</definedName>
    <definedName name="IQ_PRIVATE_CONST_TOTAL_YOY_FC_UNUSED_UNUSED_UNUSED" hidden="1">"c8339"</definedName>
    <definedName name="IQ_PRIVATE_CONST_TOTAL_YOY_UNUSED_UNUSED_UNUSED" hidden="1">"c7459"</definedName>
    <definedName name="IQ_PRIVATE_FIXED_INVEST_TOTAL" hidden="1">"c12006"</definedName>
    <definedName name="IQ_PRIVATE_FIXED_INVEST_TOTAL_APR" hidden="1">"c12009"</definedName>
    <definedName name="IQ_PRIVATE_FIXED_INVEST_TOTAL_POP" hidden="1">"c12007"</definedName>
    <definedName name="IQ_PRIVATE_FIXED_INVEST_TOTAL_YOY" hidden="1">"c12008"</definedName>
    <definedName name="IQ_PRIVATE_NONRES_CONST_IMPROV" hidden="1">"c6949"</definedName>
    <definedName name="IQ_PRIVATE_NONRES_CONST_IMPROV_APR" hidden="1">"c7609"</definedName>
    <definedName name="IQ_PRIVATE_NONRES_CONST_IMPROV_APR_FC" hidden="1">"c8489"</definedName>
    <definedName name="IQ_PRIVATE_NONRES_CONST_IMPROV_FC" hidden="1">"c7829"</definedName>
    <definedName name="IQ_PRIVATE_NONRES_CONST_IMPROV_POP" hidden="1">"c7169"</definedName>
    <definedName name="IQ_PRIVATE_NONRES_CONST_IMPROV_POP_FC" hidden="1">"c8049"</definedName>
    <definedName name="IQ_PRIVATE_NONRES_CONST_IMPROV_YOY" hidden="1">"c7389"</definedName>
    <definedName name="IQ_PRIVATE_NONRES_CONST_IMPROV_YOY_FC" hidden="1">"c8269"</definedName>
    <definedName name="IQ_PRIVATE_RES_CONST_IMPROV" hidden="1">"c6950"</definedName>
    <definedName name="IQ_PRIVATE_RES_CONST_IMPROV_APR" hidden="1">"c7610"</definedName>
    <definedName name="IQ_PRIVATE_RES_CONST_IMPROV_APR_FC" hidden="1">"c8490"</definedName>
    <definedName name="IQ_PRIVATE_RES_CONST_IMPROV_FC" hidden="1">"c7830"</definedName>
    <definedName name="IQ_PRIVATE_RES_CONST_IMPROV_POP" hidden="1">"c7170"</definedName>
    <definedName name="IQ_PRIVATE_RES_CONST_IMPROV_POP_FC" hidden="1">"c8050"</definedName>
    <definedName name="IQ_PRIVATE_RES_CONST_IMPROV_YOY" hidden="1">"c7390"</definedName>
    <definedName name="IQ_PRIVATE_RES_CONST_IMPROV_YOY_FC" hidden="1">"c8270"</definedName>
    <definedName name="IQ_PRIVATE_RES_CONST_REAL_APR_FC_UNUSED_UNUSED_UNUSED" hidden="1">"c8535"</definedName>
    <definedName name="IQ_PRIVATE_RES_CONST_REAL_APR_UNUSED_UNUSED_UNUSED" hidden="1">"c7655"</definedName>
    <definedName name="IQ_PRIVATE_RES_CONST_REAL_FC_UNUSED_UNUSED_UNUSED" hidden="1">"c7875"</definedName>
    <definedName name="IQ_PRIVATE_RES_CONST_REAL_POP_FC_UNUSED_UNUSED_UNUSED" hidden="1">"c8095"</definedName>
    <definedName name="IQ_PRIVATE_RES_CONST_REAL_POP_UNUSED_UNUSED_UNUSED" hidden="1">"c7215"</definedName>
    <definedName name="IQ_PRIVATE_RES_CONST_REAL_UNUSED_UNUSED_UNUSED" hidden="1">"c6995"</definedName>
    <definedName name="IQ_PRIVATE_RES_CONST_REAL_YOY_FC_UNUSED_UNUSED_UNUSED" hidden="1">"c8315"</definedName>
    <definedName name="IQ_PRIVATE_RES_CONST_REAL_YOY_UNUSED_UNUSED_UNUSED" hidden="1">"c7435"</definedName>
    <definedName name="IQ_PRIVATE_RES_FIXED_INVEST_REAL" hidden="1">"c11986"</definedName>
    <definedName name="IQ_PRIVATE_RES_FIXED_INVEST_REAL_APR" hidden="1">"c11989"</definedName>
    <definedName name="IQ_PRIVATE_RES_FIXED_INVEST_REAL_POP" hidden="1">"c11987"</definedName>
    <definedName name="IQ_PRIVATE_RES_FIXED_INVEST_REAL_YOY" hidden="1">"c11988"</definedName>
    <definedName name="IQ_PRIVATELY_ISSUED_MORTGAGE_BACKED_SECURITIES_FDIC" hidden="1">"c6407"</definedName>
    <definedName name="IQ_PRIVATELY_ISSUED_MORTGAGE_PASS_THROUGHS_FDIC" hidden="1">"c6405"</definedName>
    <definedName name="IQ_PRO_FORMA_BASIC_EPS" hidden="1">"c1614"</definedName>
    <definedName name="IQ_PRO_FORMA_DILUT_EPS" hidden="1">"c1615"</definedName>
    <definedName name="IQ_PRO_FORMA_NET_INC" hidden="1">"c1452"</definedName>
    <definedName name="IQ_PROBABLE_ATTRIB_ORE_RESERVES_ALUM" hidden="1">"c9217"</definedName>
    <definedName name="IQ_PROBABLE_ATTRIB_ORE_RESERVES_COP" hidden="1">"c9161"</definedName>
    <definedName name="IQ_PROBABLE_ATTRIB_ORE_RESERVES_DIAM" hidden="1">"c9641"</definedName>
    <definedName name="IQ_PROBABLE_ATTRIB_ORE_RESERVES_GOLD" hidden="1">"c9002"</definedName>
    <definedName name="IQ_PROBABLE_ATTRIB_ORE_RESERVES_IRON" hidden="1">"c9376"</definedName>
    <definedName name="IQ_PROBABLE_ATTRIB_ORE_RESERVES_LEAD" hidden="1">"c9429"</definedName>
    <definedName name="IQ_PROBABLE_ATTRIB_ORE_RESERVES_MANG" hidden="1">"c9482"</definedName>
    <definedName name="IQ_PROBABLE_ATTRIB_ORE_RESERVES_MOLYB" hidden="1">"c9694"</definedName>
    <definedName name="IQ_PROBABLE_ATTRIB_ORE_RESERVES_NICK" hidden="1">"c9270"</definedName>
    <definedName name="IQ_PROBABLE_ATTRIB_ORE_RESERVES_PLAT" hidden="1">"c9108"</definedName>
    <definedName name="IQ_PROBABLE_ATTRIB_ORE_RESERVES_SILVER" hidden="1">"c9055"</definedName>
    <definedName name="IQ_PROBABLE_ATTRIB_ORE_RESERVES_TITAN" hidden="1">"c9535"</definedName>
    <definedName name="IQ_PROBABLE_ATTRIB_ORE_RESERVES_URAN" hidden="1">"c9588"</definedName>
    <definedName name="IQ_PROBABLE_ATTRIB_ORE_RESERVES_ZINC" hidden="1">"c9323"</definedName>
    <definedName name="IQ_PROBABLE_ORE_RESERVES_ALUM" hidden="1">"c9209"</definedName>
    <definedName name="IQ_PROBABLE_ORE_RESERVES_COP" hidden="1">"c9153"</definedName>
    <definedName name="IQ_PROBABLE_ORE_RESERVES_DIAM" hidden="1">"c9633"</definedName>
    <definedName name="IQ_PROBABLE_ORE_RESERVES_GOLD" hidden="1">"c8994"</definedName>
    <definedName name="IQ_PROBABLE_ORE_RESERVES_IRON" hidden="1">"c9368"</definedName>
    <definedName name="IQ_PROBABLE_ORE_RESERVES_LEAD" hidden="1">"c9421"</definedName>
    <definedName name="IQ_PROBABLE_ORE_RESERVES_MANG" hidden="1">"c9474"</definedName>
    <definedName name="IQ_PROBABLE_ORE_RESERVES_MOLYB" hidden="1">"c9686"</definedName>
    <definedName name="IQ_PROBABLE_ORE_RESERVES_NICK" hidden="1">"c9262"</definedName>
    <definedName name="IQ_PROBABLE_ORE_RESERVES_PLAT" hidden="1">"c9100"</definedName>
    <definedName name="IQ_PROBABLE_ORE_RESERVES_SILVER" hidden="1">"c9047"</definedName>
    <definedName name="IQ_PROBABLE_ORE_RESERVES_TITAN" hidden="1">"c9527"</definedName>
    <definedName name="IQ_PROBABLE_ORE_RESERVES_URAN" hidden="1">"c9580"</definedName>
    <definedName name="IQ_PROBABLE_ORE_RESERVES_ZINC" hidden="1">"c9315"</definedName>
    <definedName name="IQ_PROBABLE_RECOV_ATTRIB_RESERVES_ALUM" hidden="1">"c9220"</definedName>
    <definedName name="IQ_PROBABLE_RECOV_ATTRIB_RESERVES_COAL" hidden="1">"c9804"</definedName>
    <definedName name="IQ_PROBABLE_RECOV_ATTRIB_RESERVES_COP" hidden="1">"c9164"</definedName>
    <definedName name="IQ_PROBABLE_RECOV_ATTRIB_RESERVES_DIAM" hidden="1">"c9644"</definedName>
    <definedName name="IQ_PROBABLE_RECOV_ATTRIB_RESERVES_GOLD" hidden="1">"c9005"</definedName>
    <definedName name="IQ_PROBABLE_RECOV_ATTRIB_RESERVES_IRON" hidden="1">"c9379"</definedName>
    <definedName name="IQ_PROBABLE_RECOV_ATTRIB_RESERVES_LEAD" hidden="1">"c9432"</definedName>
    <definedName name="IQ_PROBABLE_RECOV_ATTRIB_RESERVES_MANG" hidden="1">"c9485"</definedName>
    <definedName name="IQ_PROBABLE_RECOV_ATTRIB_RESERVES_MET_COAL" hidden="1">"c9744"</definedName>
    <definedName name="IQ_PROBABLE_RECOV_ATTRIB_RESERVES_MOLYB" hidden="1">"c9697"</definedName>
    <definedName name="IQ_PROBABLE_RECOV_ATTRIB_RESERVES_NICK" hidden="1">"c9273"</definedName>
    <definedName name="IQ_PROBABLE_RECOV_ATTRIB_RESERVES_PLAT" hidden="1">"c9111"</definedName>
    <definedName name="IQ_PROBABLE_RECOV_ATTRIB_RESERVES_SILVER" hidden="1">"c9058"</definedName>
    <definedName name="IQ_PROBABLE_RECOV_ATTRIB_RESERVES_STEAM" hidden="1">"c9774"</definedName>
    <definedName name="IQ_PROBABLE_RECOV_ATTRIB_RESERVES_TITAN" hidden="1">"c9538"</definedName>
    <definedName name="IQ_PROBABLE_RECOV_ATTRIB_RESERVES_URAN" hidden="1">"c9591"</definedName>
    <definedName name="IQ_PROBABLE_RECOV_ATTRIB_RESERVES_ZINC" hidden="1">"c9326"</definedName>
    <definedName name="IQ_PROBABLE_RECOV_RESERVES_ALUM" hidden="1">"c9214"</definedName>
    <definedName name="IQ_PROBABLE_RECOV_RESERVES_COAL" hidden="1">"c9801"</definedName>
    <definedName name="IQ_PROBABLE_RECOV_RESERVES_COP" hidden="1">"c9158"</definedName>
    <definedName name="IQ_PROBABLE_RECOV_RESERVES_DIAM" hidden="1">"c9638"</definedName>
    <definedName name="IQ_PROBABLE_RECOV_RESERVES_GOLD" hidden="1">"c8999"</definedName>
    <definedName name="IQ_PROBABLE_RECOV_RESERVES_IRON" hidden="1">"c9373"</definedName>
    <definedName name="IQ_PROBABLE_RECOV_RESERVES_LEAD" hidden="1">"c9426"</definedName>
    <definedName name="IQ_PROBABLE_RECOV_RESERVES_MANG" hidden="1">"c9479"</definedName>
    <definedName name="IQ_PROBABLE_RECOV_RESERVES_MET_COAL" hidden="1">"c9741"</definedName>
    <definedName name="IQ_PROBABLE_RECOV_RESERVES_MOLYB" hidden="1">"c9691"</definedName>
    <definedName name="IQ_PROBABLE_RECOV_RESERVES_NICK" hidden="1">"c9267"</definedName>
    <definedName name="IQ_PROBABLE_RECOV_RESERVES_PLAT" hidden="1">"c9105"</definedName>
    <definedName name="IQ_PROBABLE_RECOV_RESERVES_SILVER" hidden="1">"c9052"</definedName>
    <definedName name="IQ_PROBABLE_RECOV_RESERVES_STEAM" hidden="1">"c9771"</definedName>
    <definedName name="IQ_PROBABLE_RECOV_RESERVES_TITAN" hidden="1">"c9532"</definedName>
    <definedName name="IQ_PROBABLE_RECOV_RESERVES_URAN" hidden="1">"c9585"</definedName>
    <definedName name="IQ_PROBABLE_RECOV_RESERVES_ZINC" hidden="1">"c9320"</definedName>
    <definedName name="IQ_PROBABLE_RESERVES_CALORIFIC_VALUE_COAL" hidden="1">"c9798"</definedName>
    <definedName name="IQ_PROBABLE_RESERVES_CALORIFIC_VALUE_MET_COAL" hidden="1">"c9738"</definedName>
    <definedName name="IQ_PROBABLE_RESERVES_CALORIFIC_VALUE_STEAM" hidden="1">"c9768"</definedName>
    <definedName name="IQ_PROBABLE_RESERVES_GRADE_ALUM" hidden="1">"c9210"</definedName>
    <definedName name="IQ_PROBABLE_RESERVES_GRADE_COP" hidden="1">"c9154"</definedName>
    <definedName name="IQ_PROBABLE_RESERVES_GRADE_DIAM" hidden="1">"c9634"</definedName>
    <definedName name="IQ_PROBABLE_RESERVES_GRADE_GOLD" hidden="1">"c8995"</definedName>
    <definedName name="IQ_PROBABLE_RESERVES_GRADE_IRON" hidden="1">"c9369"</definedName>
    <definedName name="IQ_PROBABLE_RESERVES_GRADE_LEAD" hidden="1">"c9422"</definedName>
    <definedName name="IQ_PROBABLE_RESERVES_GRADE_MANG" hidden="1">"c9475"</definedName>
    <definedName name="IQ_PROBABLE_RESERVES_GRADE_MOLYB" hidden="1">"c9687"</definedName>
    <definedName name="IQ_PROBABLE_RESERVES_GRADE_NICK" hidden="1">"c9263"</definedName>
    <definedName name="IQ_PROBABLE_RESERVES_GRADE_PLAT" hidden="1">"c9101"</definedName>
    <definedName name="IQ_PROBABLE_RESERVES_GRADE_SILVER" hidden="1">"c9048"</definedName>
    <definedName name="IQ_PROBABLE_RESERVES_GRADE_TITAN" hidden="1">"c9528"</definedName>
    <definedName name="IQ_PROBABLE_RESERVES_GRADE_URAN" hidden="1">"c9581"</definedName>
    <definedName name="IQ_PROBABLE_RESERVES_GRADE_ZINC" hidden="1">"c9316"</definedName>
    <definedName name="IQ_PRODUCTION_COST_ALUM" hidden="1">"c9253"</definedName>
    <definedName name="IQ_PRODUCTION_COST_COAL" hidden="1">"c9826"</definedName>
    <definedName name="IQ_PRODUCTION_COST_COP" hidden="1">"c9200"</definedName>
    <definedName name="IQ_PRODUCTION_COST_DIAM" hidden="1">"c9677"</definedName>
    <definedName name="IQ_PRODUCTION_COST_GOLD" hidden="1">"c9038"</definedName>
    <definedName name="IQ_PRODUCTION_COST_IRON" hidden="1">"c9412"</definedName>
    <definedName name="IQ_PRODUCTION_COST_LEAD" hidden="1">"c9465"</definedName>
    <definedName name="IQ_PRODUCTION_COST_MANG" hidden="1">"c9518"</definedName>
    <definedName name="IQ_PRODUCTION_COST_MET_COAL" hidden="1">"c9763"</definedName>
    <definedName name="IQ_PRODUCTION_COST_MOLYB" hidden="1">"c9730"</definedName>
    <definedName name="IQ_PRODUCTION_COST_NICK" hidden="1">"c9306"</definedName>
    <definedName name="IQ_PRODUCTION_COST_PLAT" hidden="1">"c9144"</definedName>
    <definedName name="IQ_PRODUCTION_COST_SILVER" hidden="1">"c9091"</definedName>
    <definedName name="IQ_PRODUCTION_COST_STEAM" hidden="1">"c9793"</definedName>
    <definedName name="IQ_PRODUCTION_COST_TITAN" hidden="1">"c9571"</definedName>
    <definedName name="IQ_PRODUCTION_COST_URAN" hidden="1">"c9624"</definedName>
    <definedName name="IQ_PRODUCTION_COST_ZINC" hidden="1">"c9359"</definedName>
    <definedName name="IQ_PROFESSIONAL" hidden="1">"c1071"</definedName>
    <definedName name="IQ_PROFESSIONAL_TITLE" hidden="1">"c1072"</definedName>
    <definedName name="IQ_PROFIT_AFTER_COST_CAPITAL_NEW_BUSINESS" hidden="1">"c9969"</definedName>
    <definedName name="IQ_PROFIT_BEFORE_COST_CAPITAL_NEW_BUSINESS" hidden="1">"c9967"</definedName>
    <definedName name="IQ_PROJECTED_PENSION_OBLIGATION" hidden="1">"c1292"</definedName>
    <definedName name="IQ_PROJECTED_PENSION_OBLIGATION_DOMESTIC" hidden="1">"c2656"</definedName>
    <definedName name="IQ_PROJECTED_PENSION_OBLIGATION_FOREIGN" hidden="1">"c2664"</definedName>
    <definedName name="IQ_PROPERTY_EXP" hidden="1">"c1073"</definedName>
    <definedName name="IQ_PROPERTY_GROSS" hidden="1">"c1379"</definedName>
    <definedName name="IQ_PROPERTY_MGMT_FEE" hidden="1">"c1074"</definedName>
    <definedName name="IQ_PROPERTY_NET" hidden="1">"c1402"</definedName>
    <definedName name="IQ_PROV_BAD_DEBTS" hidden="1">"c1075"</definedName>
    <definedName name="IQ_PROV_BAD_DEBTS_CF" hidden="1">"c1076"</definedName>
    <definedName name="IQ_PROVED_ATTRIB_ORE_RESERVES_ALUM" hidden="1">"c9216"</definedName>
    <definedName name="IQ_PROVED_ATTRIB_ORE_RESERVES_COP" hidden="1">"c9160"</definedName>
    <definedName name="IQ_PROVED_ATTRIB_ORE_RESERVES_DIAM" hidden="1">"c9640"</definedName>
    <definedName name="IQ_PROVED_ATTRIB_ORE_RESERVES_GOLD" hidden="1">"c9001"</definedName>
    <definedName name="IQ_PROVED_ATTRIB_ORE_RESERVES_IRON" hidden="1">"c9375"</definedName>
    <definedName name="IQ_PROVED_ATTRIB_ORE_RESERVES_LEAD" hidden="1">"c9428"</definedName>
    <definedName name="IQ_PROVED_ATTRIB_ORE_RESERVES_MANG" hidden="1">"c9481"</definedName>
    <definedName name="IQ_PROVED_ATTRIB_ORE_RESERVES_MOLYB" hidden="1">"c9693"</definedName>
    <definedName name="IQ_PROVED_ATTRIB_ORE_RESERVES_NICK" hidden="1">"c9269"</definedName>
    <definedName name="IQ_PROVED_ATTRIB_ORE_RESERVES_PLAT" hidden="1">"c9107"</definedName>
    <definedName name="IQ_PROVED_ATTRIB_ORE_RESERVES_SILVER" hidden="1">"c9054"</definedName>
    <definedName name="IQ_PROVED_ATTRIB_ORE_RESERVES_TITAN" hidden="1">"c9534"</definedName>
    <definedName name="IQ_PROVED_ATTRIB_ORE_RESERVES_URAN" hidden="1">"c9587"</definedName>
    <definedName name="IQ_PROVED_ATTRIB_ORE_RESERVES_ZINC" hidden="1">"c9322"</definedName>
    <definedName name="IQ_PROVED_ORE_RESERVES_ALUM" hidden="1">"c9207"</definedName>
    <definedName name="IQ_PROVED_ORE_RESERVES_COP" hidden="1">"c9151"</definedName>
    <definedName name="IQ_PROVED_ORE_RESERVES_DIAM" hidden="1">"c9631"</definedName>
    <definedName name="IQ_PROVED_ORE_RESERVES_GOLD" hidden="1">"c8992"</definedName>
    <definedName name="IQ_PROVED_ORE_RESERVES_IRON" hidden="1">"c9366"</definedName>
    <definedName name="IQ_PROVED_ORE_RESERVES_LEAD" hidden="1">"c9419"</definedName>
    <definedName name="IQ_PROVED_ORE_RESERVES_MANG" hidden="1">"c9472"</definedName>
    <definedName name="IQ_PROVED_ORE_RESERVES_MOLYB" hidden="1">"c9684"</definedName>
    <definedName name="IQ_PROVED_ORE_RESERVES_NICK" hidden="1">"c9260"</definedName>
    <definedName name="IQ_PROVED_ORE_RESERVES_PLAT" hidden="1">"c9098"</definedName>
    <definedName name="IQ_PROVED_ORE_RESERVES_SILVER" hidden="1">"c9045"</definedName>
    <definedName name="IQ_PROVED_ORE_RESERVES_TITAN" hidden="1">"c9525"</definedName>
    <definedName name="IQ_PROVED_ORE_RESERVES_URAN" hidden="1">"c9578"</definedName>
    <definedName name="IQ_PROVED_ORE_RESERVES_ZINC" hidden="1">"c9313"</definedName>
    <definedName name="IQ_PROVED_RECOV_ATTRIB_RESERVES_ALUM" hidden="1">"c9219"</definedName>
    <definedName name="IQ_PROVED_RECOV_ATTRIB_RESERVES_COAL" hidden="1">"c9803"</definedName>
    <definedName name="IQ_PROVED_RECOV_ATTRIB_RESERVES_COP" hidden="1">"c9163"</definedName>
    <definedName name="IQ_PROVED_RECOV_ATTRIB_RESERVES_DIAM" hidden="1">"c9643"</definedName>
    <definedName name="IQ_PROVED_RECOV_ATTRIB_RESERVES_GOLD" hidden="1">"c9004"</definedName>
    <definedName name="IQ_PROVED_RECOV_ATTRIB_RESERVES_IRON" hidden="1">"c9378"</definedName>
    <definedName name="IQ_PROVED_RECOV_ATTRIB_RESERVES_LEAD" hidden="1">"c9431"</definedName>
    <definedName name="IQ_PROVED_RECOV_ATTRIB_RESERVES_MANG" hidden="1">"c9484"</definedName>
    <definedName name="IQ_PROVED_RECOV_ATTRIB_RESERVES_MET_COAL" hidden="1">"c9743"</definedName>
    <definedName name="IQ_PROVED_RECOV_ATTRIB_RESERVES_MOLYB" hidden="1">"c9696"</definedName>
    <definedName name="IQ_PROVED_RECOV_ATTRIB_RESERVES_NICK" hidden="1">"c9272"</definedName>
    <definedName name="IQ_PROVED_RECOV_ATTRIB_RESERVES_PLAT" hidden="1">"c9110"</definedName>
    <definedName name="IQ_PROVED_RECOV_ATTRIB_RESERVES_SILVER" hidden="1">"c9057"</definedName>
    <definedName name="IQ_PROVED_RECOV_ATTRIB_RESERVES_STEAM" hidden="1">"c9773"</definedName>
    <definedName name="IQ_PROVED_RECOV_ATTRIB_RESERVES_TITAN" hidden="1">"c9537"</definedName>
    <definedName name="IQ_PROVED_RECOV_ATTRIB_RESERVES_URAN" hidden="1">"c9590"</definedName>
    <definedName name="IQ_PROVED_RECOV_ATTRIB_RESERVES_ZINC" hidden="1">"c9325"</definedName>
    <definedName name="IQ_PROVED_RECOV_RESERVES_ALUM" hidden="1">"c9213"</definedName>
    <definedName name="IQ_PROVED_RECOV_RESERVES_COAL" hidden="1">"c9800"</definedName>
    <definedName name="IQ_PROVED_RECOV_RESERVES_COP" hidden="1">"c9157"</definedName>
    <definedName name="IQ_PROVED_RECOV_RESERVES_DIAM" hidden="1">"c9637"</definedName>
    <definedName name="IQ_PROVED_RECOV_RESERVES_GOLD" hidden="1">"c8998"</definedName>
    <definedName name="IQ_PROVED_RECOV_RESERVES_IRON" hidden="1">"c9372"</definedName>
    <definedName name="IQ_PROVED_RECOV_RESERVES_LEAD" hidden="1">"c9425"</definedName>
    <definedName name="IQ_PROVED_RECOV_RESERVES_MANG" hidden="1">"c9478"</definedName>
    <definedName name="IQ_PROVED_RECOV_RESERVES_MET_COAL" hidden="1">"c9740"</definedName>
    <definedName name="IQ_PROVED_RECOV_RESERVES_MOLYB" hidden="1">"c9690"</definedName>
    <definedName name="IQ_PROVED_RECOV_RESERVES_NICK" hidden="1">"c9266"</definedName>
    <definedName name="IQ_PROVED_RECOV_RESERVES_PLAT" hidden="1">"c9104"</definedName>
    <definedName name="IQ_PROVED_RECOV_RESERVES_SILVER" hidden="1">"c9051"</definedName>
    <definedName name="IQ_PROVED_RECOV_RESERVES_STEAM" hidden="1">"c9770"</definedName>
    <definedName name="IQ_PROVED_RECOV_RESERVES_TITAN" hidden="1">"c9531"</definedName>
    <definedName name="IQ_PROVED_RECOV_RESERVES_URAN" hidden="1">"c9584"</definedName>
    <definedName name="IQ_PROVED_RECOV_RESERVES_ZINC" hidden="1">"c9319"</definedName>
    <definedName name="IQ_PROVED_RESERVES_CALORIFIC_VALUE_COAL" hidden="1">"c9797"</definedName>
    <definedName name="IQ_PROVED_RESERVES_CALORIFIC_VALUE_MET_COAL" hidden="1">"c9737"</definedName>
    <definedName name="IQ_PROVED_RESERVES_CALORIFIC_VALUE_STEAM" hidden="1">"c9767"</definedName>
    <definedName name="IQ_PROVED_RESERVES_GRADE_ALUM" hidden="1">"c9208"</definedName>
    <definedName name="IQ_PROVED_RESERVES_GRADE_COP" hidden="1">"c9152"</definedName>
    <definedName name="IQ_PROVED_RESERVES_GRADE_DIAM" hidden="1">"c9632"</definedName>
    <definedName name="IQ_PROVED_RESERVES_GRADE_GOLD" hidden="1">"c8993"</definedName>
    <definedName name="IQ_PROVED_RESERVES_GRADE_IRON" hidden="1">"c9367"</definedName>
    <definedName name="IQ_PROVED_RESERVES_GRADE_LEAD" hidden="1">"c9420"</definedName>
    <definedName name="IQ_PROVED_RESERVES_GRADE_MANG" hidden="1">"c9473"</definedName>
    <definedName name="IQ_PROVED_RESERVES_GRADE_MOLYB" hidden="1">"c9685"</definedName>
    <definedName name="IQ_PROVED_RESERVES_GRADE_NICK" hidden="1">"c9261"</definedName>
    <definedName name="IQ_PROVED_RESERVES_GRADE_PLAT" hidden="1">"c9099"</definedName>
    <definedName name="IQ_PROVED_RESERVES_GRADE_SILVER" hidden="1">"c9046"</definedName>
    <definedName name="IQ_PROVED_RESERVES_GRADE_TITAN" hidden="1">"c9526"</definedName>
    <definedName name="IQ_PROVED_RESERVES_GRADE_URAN" hidden="1">"c9579"</definedName>
    <definedName name="IQ_PROVED_RESERVES_GRADE_ZINC" hidden="1">"c9314"</definedName>
    <definedName name="IQ_PROVISION_10YR_ANN_CAGR" hidden="1">"c6135"</definedName>
    <definedName name="IQ_PROVISION_10YR_ANN_GROWTH" hidden="1">"c1077"</definedName>
    <definedName name="IQ_PROVISION_1YR_ANN_GROWTH" hidden="1">"c1078"</definedName>
    <definedName name="IQ_PROVISION_2YR_ANN_CAGR" hidden="1">"c6136"</definedName>
    <definedName name="IQ_PROVISION_2YR_ANN_GROWTH" hidden="1">"c1079"</definedName>
    <definedName name="IQ_PROVISION_3YR_ANN_CAGR" hidden="1">"c6137"</definedName>
    <definedName name="IQ_PROVISION_3YR_ANN_GROWTH" hidden="1">"c1080"</definedName>
    <definedName name="IQ_PROVISION_5YR_ANN_CAGR" hidden="1">"c6138"</definedName>
    <definedName name="IQ_PROVISION_5YR_ANN_GROWTH" hidden="1">"c1081"</definedName>
    <definedName name="IQ_PROVISION_7YR_ANN_CAGR" hidden="1">"c6139"</definedName>
    <definedName name="IQ_PROVISION_7YR_ANN_GROWTH" hidden="1">"c1082"</definedName>
    <definedName name="IQ_PROVISION_CHARGE_OFFS" hidden="1">"c1083"</definedName>
    <definedName name="IQ_PTBV" hidden="1">"c1084"</definedName>
    <definedName name="IQ_PTBV_AVG" hidden="1">"c1085"</definedName>
    <definedName name="IQ_PURCHASE_FOREIGN_CURRENCIES_FDIC" hidden="1">"c6513"</definedName>
    <definedName name="IQ_PURCHASED_OPTION_CONTRACTS_FDIC" hidden="1">"c6510"</definedName>
    <definedName name="IQ_PURCHASED_OPTION_CONTRACTS_FX_RISK_FDIC" hidden="1">"c6515"</definedName>
    <definedName name="IQ_PURCHASED_OPTION_CONTRACTS_NON_FX_IR_FDIC" hidden="1">"c6520"</definedName>
    <definedName name="IQ_PURCHASES_EQUIP_NONRES_SAAR_APR_FC_UNUSED_UNUSED_UNUSED" hidden="1">"c8491"</definedName>
    <definedName name="IQ_PURCHASES_EQUIP_NONRES_SAAR_APR_UNUSED_UNUSED_UNUSED" hidden="1">"c7611"</definedName>
    <definedName name="IQ_PURCHASES_EQUIP_NONRES_SAAR_FC_UNUSED_UNUSED_UNUSED" hidden="1">"c7831"</definedName>
    <definedName name="IQ_PURCHASES_EQUIP_NONRES_SAAR_POP_FC_UNUSED_UNUSED_UNUSED" hidden="1">"c8051"</definedName>
    <definedName name="IQ_PURCHASES_EQUIP_NONRES_SAAR_POP_UNUSED_UNUSED_UNUSED" hidden="1">"c7171"</definedName>
    <definedName name="IQ_PURCHASES_EQUIP_NONRES_SAAR_UNUSED_UNUSED_UNUSED" hidden="1">"c6951"</definedName>
    <definedName name="IQ_PURCHASES_EQUIP_NONRES_SAAR_YOY_FC_UNUSED_UNUSED_UNUSED" hidden="1">"c8271"</definedName>
    <definedName name="IQ_PURCHASES_EQUIP_NONRES_SAAR_YOY_UNUSED_UNUSED_UNUSED" hidden="1">"c7391"</definedName>
    <definedName name="IQ_PUT_DATE_SCHEDULE" hidden="1">"c2483"</definedName>
    <definedName name="IQ_PUT_NOTIFICATION" hidden="1">"c2485"</definedName>
    <definedName name="IQ_PUT_PRICE_SCHEDULE" hidden="1">"c2484"</definedName>
    <definedName name="IQ_PV_PREMIUMS_NEW_BUSINESS" hidden="1">"c9973"</definedName>
    <definedName name="IQ_QUICK_RATIO" hidden="1">"c1086"</definedName>
    <definedName name="IQ_RATE_COMP_GROWTH_DOMESTIC" hidden="1">"c1087"</definedName>
    <definedName name="IQ_RATE_COMP_GROWTH_FOREIGN" hidden="1">"c1088"</definedName>
    <definedName name="IQ_RAW_INV" hidden="1">"c1089"</definedName>
    <definedName name="IQ_RC" hidden="1">"c2497"</definedName>
    <definedName name="IQ_RC_PCT" hidden="1">"c2498"</definedName>
    <definedName name="IQ_RD_EXP" hidden="1">"c1090"</definedName>
    <definedName name="IQ_RD_EXP_FN" hidden="1">"c1091"</definedName>
    <definedName name="IQ_RE" hidden="1">"c1092"</definedName>
    <definedName name="IQ_RE_DEPR_AMORT" hidden="1">"c8750"</definedName>
    <definedName name="IQ_RE_FCCR" hidden="1">"c8858"</definedName>
    <definedName name="IQ_RE_FCCR_CONT_OPS" hidden="1">"c8859"</definedName>
    <definedName name="IQ_RE_FCCR_INCL_DISC_OPS" hidden="1">"c8860"</definedName>
    <definedName name="IQ_RE_FCCR_INCL_PREF_DIV" hidden="1">"c8861"</definedName>
    <definedName name="IQ_RE_FCCR_INCL_PREF_DIV_CONT_OPS" hidden="1">"c8862"</definedName>
    <definedName name="IQ_RE_FCCR_INCL_PREF_DIV_INCL_DISC_OPS" hidden="1">"c8863"</definedName>
    <definedName name="IQ_RE_FIXED_CHARGES" hidden="1">"c8856"</definedName>
    <definedName name="IQ_RE_FIXED_CHARGES_INCL_PREF_DIV" hidden="1">"c8857"</definedName>
    <definedName name="IQ_RE_FORECLOSURE_FDIC" hidden="1">"c6332"</definedName>
    <definedName name="IQ_RE_GAIN_LOSS_SALE_ASSETS" hidden="1">"c8751"</definedName>
    <definedName name="IQ_RE_INVEST_FDIC" hidden="1">"c6331"</definedName>
    <definedName name="IQ_RE_LOANS_DOMESTIC_CHARGE_OFFS_FDIC" hidden="1">"c6589"</definedName>
    <definedName name="IQ_RE_LOANS_DOMESTIC_FDIC" hidden="1">"c6309"</definedName>
    <definedName name="IQ_RE_LOANS_DOMESTIC_NET_CHARGE_OFFS_FDIC" hidden="1">"c6627"</definedName>
    <definedName name="IQ_RE_LOANS_DOMESTIC_RECOVERIES_FDIC" hidden="1">"c6608"</definedName>
    <definedName name="IQ_RE_LOANS_FDIC" hidden="1">"c6308"</definedName>
    <definedName name="IQ_RE_LOANS_FOREIGN_CHARGE_OFFS_FDIC" hidden="1">"c6595"</definedName>
    <definedName name="IQ_RE_LOANS_FOREIGN_NET_CHARGE_OFFS_FDIC" hidden="1">"c6633"</definedName>
    <definedName name="IQ_RE_LOANS_FOREIGN_RECOVERIES_FDIC" hidden="1">"c6614"</definedName>
    <definedName name="IQ_RE_MAINT_CAPEX" hidden="1">"c8755"</definedName>
    <definedName name="IQ_RE_MINORITY_INTEREST" hidden="1">"c8752"</definedName>
    <definedName name="IQ_RE_NET_INCOME" hidden="1">"c8749"</definedName>
    <definedName name="IQ_RE_NOI" hidden="1">"c8864"</definedName>
    <definedName name="IQ_RE_NOI_GROWTH_SAME_PROP" hidden="1">"c8866"</definedName>
    <definedName name="IQ_RE_NOI_SAME_PROP" hidden="1">"c8865"</definedName>
    <definedName name="IQ_RE_OTHER_ITEMS" hidden="1">"c8753"</definedName>
    <definedName name="IQ_REAL_ESTATE" hidden="1">"c1093"</definedName>
    <definedName name="IQ_REAL_ESTATE_ASSETS" hidden="1">"c1094"</definedName>
    <definedName name="IQ_RECOVERIES_1_4_FAMILY_LOANS_FDIC" hidden="1">"c6707"</definedName>
    <definedName name="IQ_RECOVERIES_AUTO_LOANS_FDIC" hidden="1">"c6701"</definedName>
    <definedName name="IQ_RECOVERIES_CL_LOANS_FDIC" hidden="1">"c6702"</definedName>
    <definedName name="IQ_RECOVERIES_CREDIT_CARDS_RECEIVABLES_FDIC" hidden="1">"c6704"</definedName>
    <definedName name="IQ_RECOVERIES_HOME_EQUITY_LINES_FDIC" hidden="1">"c6705"</definedName>
    <definedName name="IQ_RECOVERIES_OTHER_CONSUMER_LOANS_FDIC" hidden="1">"c6703"</definedName>
    <definedName name="IQ_RECOVERIES_OTHER_LOANS_FDIC" hidden="1">"c6706"</definedName>
    <definedName name="IQ_RECURRING_PROFIT_ACT_OR_EST" hidden="1">"c4507"</definedName>
    <definedName name="IQ_RECURRING_PROFIT_ACT_OR_EST_CIQ" hidden="1">"c5045"</definedName>
    <definedName name="IQ_RECURRING_PROFIT_SHARE_ACT_OR_EST" hidden="1">"c4508"</definedName>
    <definedName name="IQ_RECURRING_PROFIT_SHARE_ACT_OR_EST_CIQ" hidden="1">"c5046"</definedName>
    <definedName name="IQ_REDEEM_PREF_STOCK" hidden="1">"c1417"</definedName>
    <definedName name="IQ_REF_ENTITY" hidden="1">"c6033"</definedName>
    <definedName name="IQ_REF_ENTITY_CIQID" hidden="1">"c6024"</definedName>
    <definedName name="IQ_REF_ENTITY_TICKER" hidden="1">"c6023"</definedName>
    <definedName name="IQ_REG_ASSETS" hidden="1">"c1095"</definedName>
    <definedName name="IQ_REINSUR_PAY" hidden="1">"c1096"</definedName>
    <definedName name="IQ_REINSUR_PAY_CF" hidden="1">"c1097"</definedName>
    <definedName name="IQ_REINSUR_RECOVER" hidden="1">"c1098"</definedName>
    <definedName name="IQ_REINSUR_RECOVER_CF" hidden="1">"c1099"</definedName>
    <definedName name="IQ_REINSURANCE" hidden="1">"c1100"</definedName>
    <definedName name="IQ_RELATED_PLANS_FDIC" hidden="1">"c6320"</definedName>
    <definedName name="IQ_RENT_PER_SQ_FT_AVG_CONSOL" hidden="1">"c8846"</definedName>
    <definedName name="IQ_RENT_PER_SQ_FT_AVG_MANAGED" hidden="1">"c8848"</definedName>
    <definedName name="IQ_RENT_PER_SQ_FT_AVG_OTHER" hidden="1">"c8849"</definedName>
    <definedName name="IQ_RENT_PER_SQ_FT_AVG_TOTAL" hidden="1">"c8850"</definedName>
    <definedName name="IQ_RENT_PER_SQ_FT_AVG_UNCONSOL" hidden="1">"c8847"</definedName>
    <definedName name="IQ_RENT_PER_SQ_METER_AVG_CONSOL" hidden="1">"c8851"</definedName>
    <definedName name="IQ_RENT_PER_SQ_METER_AVG_MANAGED" hidden="1">"c8853"</definedName>
    <definedName name="IQ_RENT_PER_SQ_METER_AVG_OTHER" hidden="1">"c8854"</definedName>
    <definedName name="IQ_RENT_PER_SQ_METER_AVG_TOTAL" hidden="1">"c8855"</definedName>
    <definedName name="IQ_RENT_PER_SQ_METER_AVG_UNCONSOL" hidden="1">"c8852"</definedName>
    <definedName name="IQ_RENTAL_REV" hidden="1">"c1101"</definedName>
    <definedName name="IQ_RES_CONST_REAL_APR_FC_UNUSED_UNUSED_UNUSED" hidden="1">"c8536"</definedName>
    <definedName name="IQ_RES_CONST_REAL_APR_UNUSED_UNUSED_UNUSED" hidden="1">"c7656"</definedName>
    <definedName name="IQ_RES_CONST_REAL_FC_UNUSED_UNUSED_UNUSED" hidden="1">"c7876"</definedName>
    <definedName name="IQ_RES_CONST_REAL_POP_FC_UNUSED_UNUSED_UNUSED" hidden="1">"c8096"</definedName>
    <definedName name="IQ_RES_CONST_REAL_POP_UNUSED_UNUSED_UNUSED" hidden="1">"c7216"</definedName>
    <definedName name="IQ_RES_CONST_REAL_SAAR_APR_FC_UNUSED_UNUSED_UNUSED" hidden="1">"c8537"</definedName>
    <definedName name="IQ_RES_CONST_REAL_SAAR_APR_UNUSED_UNUSED_UNUSED" hidden="1">"c7657"</definedName>
    <definedName name="IQ_RES_CONST_REAL_SAAR_FC_UNUSED_UNUSED_UNUSED" hidden="1">"c7877"</definedName>
    <definedName name="IQ_RES_CONST_REAL_SAAR_POP_FC_UNUSED_UNUSED_UNUSED" hidden="1">"c8097"</definedName>
    <definedName name="IQ_RES_CONST_REAL_SAAR_POP_UNUSED_UNUSED_UNUSED" hidden="1">"c7217"</definedName>
    <definedName name="IQ_RES_CONST_REAL_SAAR_UNUSED_UNUSED_UNUSED" hidden="1">"c6997"</definedName>
    <definedName name="IQ_RES_CONST_REAL_SAAR_YOY_FC_UNUSED_UNUSED_UNUSED" hidden="1">"c8317"</definedName>
    <definedName name="IQ_RES_CONST_REAL_SAAR_YOY_UNUSED_UNUSED_UNUSED" hidden="1">"c7437"</definedName>
    <definedName name="IQ_RES_CONST_REAL_UNUSED_UNUSED_UNUSED" hidden="1">"c6996"</definedName>
    <definedName name="IQ_RES_CONST_REAL_YOY_FC_UNUSED_UNUSED_UNUSED" hidden="1">"c8316"</definedName>
    <definedName name="IQ_RES_CONST_REAL_YOY_UNUSED_UNUSED_UNUSED" hidden="1">"c7436"</definedName>
    <definedName name="IQ_RES_CONST_SAAR_APR_FC_UNUSED_UNUSED_UNUSED" hidden="1">"c8540"</definedName>
    <definedName name="IQ_RES_CONST_SAAR_APR_UNUSED_UNUSED_UNUSED" hidden="1">"c7660"</definedName>
    <definedName name="IQ_RES_CONST_SAAR_FC_UNUSED_UNUSED_UNUSED" hidden="1">"c7880"</definedName>
    <definedName name="IQ_RES_CONST_SAAR_POP_FC_UNUSED_UNUSED_UNUSED" hidden="1">"c8100"</definedName>
    <definedName name="IQ_RES_CONST_SAAR_POP_UNUSED_UNUSED_UNUSED" hidden="1">"c7220"</definedName>
    <definedName name="IQ_RES_CONST_SAAR_UNUSED_UNUSED_UNUSED" hidden="1">"c7000"</definedName>
    <definedName name="IQ_RES_CONST_SAAR_YOY_FC_UNUSED_UNUSED_UNUSED" hidden="1">"c8320"</definedName>
    <definedName name="IQ_RES_CONST_SAAR_YOY_UNUSED_UNUSED_UNUSED" hidden="1">"c7440"</definedName>
    <definedName name="IQ_RES_FIXED_INVEST" hidden="1">"c7001"</definedName>
    <definedName name="IQ_RES_FIXED_INVEST_APR" hidden="1">"c7661"</definedName>
    <definedName name="IQ_RES_FIXED_INVEST_APR_FC" hidden="1">"c8541"</definedName>
    <definedName name="IQ_RES_FIXED_INVEST_FC" hidden="1">"c7881"</definedName>
    <definedName name="IQ_RES_FIXED_INVEST_POP" hidden="1">"c7221"</definedName>
    <definedName name="IQ_RES_FIXED_INVEST_POP_FC" hidden="1">"c8101"</definedName>
    <definedName name="IQ_RES_FIXED_INVEST_REAL" hidden="1">"c6998"</definedName>
    <definedName name="IQ_RES_FIXED_INVEST_REAL_APR" hidden="1">"c7658"</definedName>
    <definedName name="IQ_RES_FIXED_INVEST_REAL_APR_FC" hidden="1">"c8538"</definedName>
    <definedName name="IQ_RES_FIXED_INVEST_REAL_FC" hidden="1">"c7878"</definedName>
    <definedName name="IQ_RES_FIXED_INVEST_REAL_POP" hidden="1">"c7218"</definedName>
    <definedName name="IQ_RES_FIXED_INVEST_REAL_POP_FC" hidden="1">"c8098"</definedName>
    <definedName name="IQ_RES_FIXED_INVEST_REAL_YOY" hidden="1">"c7438"</definedName>
    <definedName name="IQ_RES_FIXED_INVEST_REAL_YOY_FC" hidden="1">"c8318"</definedName>
    <definedName name="IQ_RES_FIXED_INVEST_SAAR" hidden="1">"c11994"</definedName>
    <definedName name="IQ_RES_FIXED_INVEST_SAAR_APR" hidden="1">"c11997"</definedName>
    <definedName name="IQ_RES_FIXED_INVEST_SAAR_POP" hidden="1">"c11995"</definedName>
    <definedName name="IQ_RES_FIXED_INVEST_SAAR_REAL" hidden="1">"c11990"</definedName>
    <definedName name="IQ_RES_FIXED_INVEST_SAAR_REAL_APR" hidden="1">"c11993"</definedName>
    <definedName name="IQ_RES_FIXED_INVEST_SAAR_REAL_POP" hidden="1">"c11991"</definedName>
    <definedName name="IQ_RES_FIXED_INVEST_SAAR_REAL_YOY" hidden="1">"c11992"</definedName>
    <definedName name="IQ_RES_FIXED_INVEST_SAAR_YOY" hidden="1">"c11996"</definedName>
    <definedName name="IQ_RES_FIXED_INVEST_YOY" hidden="1">"c7441"</definedName>
    <definedName name="IQ_RES_FIXED_INVEST_YOY_FC" hidden="1">"c8321"</definedName>
    <definedName name="IQ_RESEARCH_DEV" hidden="1">"c1419"</definedName>
    <definedName name="IQ_RESIDENTIAL_LOANS" hidden="1">"c1102"</definedName>
    <definedName name="IQ_REST_ACQUIRED_AFFILIATED_OTHER_RESTAURANTS" hidden="1">"c9873"</definedName>
    <definedName name="IQ_REST_ACQUIRED_FRANCHISE_RESTAURANTS" hidden="1">"c9867"</definedName>
    <definedName name="IQ_REST_ACQUIRED_OWNED_RESTAURANTS" hidden="1">"c9861"</definedName>
    <definedName name="IQ_REST_ACQUIRED_RESTAURANTS" hidden="1">"c9855"</definedName>
    <definedName name="IQ_REST_AFFILIATED_OTHER_RESTAURANTS_BEG" hidden="1">"c9871"</definedName>
    <definedName name="IQ_REST_AVG_VALUE_TRANSACTION" hidden="1">"c9887"</definedName>
    <definedName name="IQ_REST_AVG_VALUE_TRANSACTION_GROWTH" hidden="1">"c9888"</definedName>
    <definedName name="IQ_REST_AVG_WEEKLY_SALES" hidden="1">"c9879"</definedName>
    <definedName name="IQ_REST_AVG_WEEKLY_SALES_FRANCHISE" hidden="1">"c9877"</definedName>
    <definedName name="IQ_REST_AVG_WEEKLY_SALES_OWNED" hidden="1">"c9878"</definedName>
    <definedName name="IQ_REST_CLOSED_AFFILIATED_OTHER_RESTAURANTS" hidden="1">"c9874"</definedName>
    <definedName name="IQ_REST_CLOSED_FRANCHISE_RESTAURANTS" hidden="1">"c9868"</definedName>
    <definedName name="IQ_REST_CLOSED_OWNED_RESTAURANTS" hidden="1">"c9862"</definedName>
    <definedName name="IQ_REST_CLOSED_RESTAURANTS" hidden="1">"c9856"</definedName>
    <definedName name="IQ_REST_FRANCHISE_RESTAURANTS_BEG" hidden="1">"c9865"</definedName>
    <definedName name="IQ_REST_GUEST_COUNT_GROWTH" hidden="1">"c9889"</definedName>
    <definedName name="IQ_REST_OPENED_AFFILIATED_OTHER_RESTAURANTS" hidden="1">"c9872"</definedName>
    <definedName name="IQ_REST_OPENED_FRANCHISE_RESTAURANTS" hidden="1">"c9866"</definedName>
    <definedName name="IQ_REST_OPENED_OWNED_RESTAURANTS" hidden="1">"c9860"</definedName>
    <definedName name="IQ_REST_OPENED_RESTAURANTS" hidden="1">"c9854"</definedName>
    <definedName name="IQ_REST_OPERATING_MARGIN" hidden="1">"c9886"</definedName>
    <definedName name="IQ_REST_OWNED_RESTAURANTS_BEG" hidden="1">"c9859"</definedName>
    <definedName name="IQ_REST_RESTAURANTS_BEG" hidden="1">"c9853"</definedName>
    <definedName name="IQ_REST_SAME_RESTAURANT_SALES" hidden="1">"c9885"</definedName>
    <definedName name="IQ_REST_SAME_RESTAURANT_SALES_FRANCHISE" hidden="1">"c9883"</definedName>
    <definedName name="IQ_REST_SAME_RESTAURANT_SALES_GROWTH" hidden="1">"c9882"</definedName>
    <definedName name="IQ_REST_SAME_RESTAURANT_SALES_GROWTH_FRANCHISE" hidden="1">"c9880"</definedName>
    <definedName name="IQ_REST_SAME_RESTAURANT_SALES_GROWTH_OWNED" hidden="1">"c9881"</definedName>
    <definedName name="IQ_REST_SAME_RESTAURANT_SALES_OWNED" hidden="1">"c9884"</definedName>
    <definedName name="IQ_REST_SOLD_AFFILIATED_OTHER_RESTAURANTS" hidden="1">"c9875"</definedName>
    <definedName name="IQ_REST_SOLD_FRANCHISE_RESTAURANTS" hidden="1">"c9869"</definedName>
    <definedName name="IQ_REST_SOLD_OWNED_RESTAURANTS" hidden="1">"c9863"</definedName>
    <definedName name="IQ_REST_SOLD_RESTAURANTS" hidden="1">"c9857"</definedName>
    <definedName name="IQ_REST_TOTAL_AFFILIATED_OTHER_RESTAURANTS" hidden="1">"c9876"</definedName>
    <definedName name="IQ_REST_TOTAL_FRANCHISE_RESTAURANTS" hidden="1">"c9870"</definedName>
    <definedName name="IQ_REST_TOTAL_OWNED_RESTAURANTS" hidden="1">"c9864"</definedName>
    <definedName name="IQ_REST_TOTAL_RESTAURANTS" hidden="1">"c9858"</definedName>
    <definedName name="IQ_RESTATEMENT_BS" hidden="1">"c1643"</definedName>
    <definedName name="IQ_RESTATEMENT_CF" hidden="1">"c1644"</definedName>
    <definedName name="IQ_RESTATEMENT_IS" hidden="1">"c1642"</definedName>
    <definedName name="IQ_RESTATEMENTS_NET_FDIC" hidden="1">"c6500"</definedName>
    <definedName name="IQ_RESTR_STOCK_COMP" hidden="1">"c3506"</definedName>
    <definedName name="IQ_RESTR_STOCK_COMP_PRETAX" hidden="1">"c3504"</definedName>
    <definedName name="IQ_RESTR_STOCK_COMP_TAX" hidden="1">"c3505"</definedName>
    <definedName name="IQ_RESTRICTED_CASH" hidden="1">"c1103"</definedName>
    <definedName name="IQ_RESTRICTED_CASH_NON_CURRENT" hidden="1">"c6192"</definedName>
    <definedName name="IQ_RESTRICTED_CASH_TOTAL" hidden="1">"c6193"</definedName>
    <definedName name="IQ_RESTRUCTURE" hidden="1">"c1104"</definedName>
    <definedName name="IQ_RESTRUCTURE_BNK" hidden="1">"c1105"</definedName>
    <definedName name="IQ_RESTRUCTURE_BR" hidden="1">"c1106"</definedName>
    <definedName name="IQ_RESTRUCTURE_CF" hidden="1">"c1107"</definedName>
    <definedName name="IQ_RESTRUCTURE_FIN" hidden="1">"c1108"</definedName>
    <definedName name="IQ_RESTRUCTURE_INS" hidden="1">"c1109"</definedName>
    <definedName name="IQ_RESTRUCTURE_RE" hidden="1">"c6264"</definedName>
    <definedName name="IQ_RESTRUCTURE_REIT" hidden="1">"c1110"</definedName>
    <definedName name="IQ_RESTRUCTURE_UTI" hidden="1">"c1111"</definedName>
    <definedName name="IQ_RESTRUCTURED_LOANS" hidden="1">"c1112"</definedName>
    <definedName name="IQ_RESTRUCTURED_LOANS_1_4_RESIDENTIAL_FDIC" hidden="1">"c6378"</definedName>
    <definedName name="IQ_RESTRUCTURED_LOANS_LEASES_FDIC" hidden="1">"c6377"</definedName>
    <definedName name="IQ_RESTRUCTURED_LOANS_NON_1_4_FDIC" hidden="1">"c6379"</definedName>
    <definedName name="IQ_RETAIL_ACQUIRED_AFFILIATED_OTHER_STORES" hidden="1">"c9892"</definedName>
    <definedName name="IQ_RETAIL_ACQUIRED_FRANCHISE_STORES" hidden="1">"c2895"</definedName>
    <definedName name="IQ_RETAIL_ACQUIRED_OWNED_STORES" hidden="1">"c2903"</definedName>
    <definedName name="IQ_RETAIL_ACQUIRED_STORES" hidden="1">"c2887"</definedName>
    <definedName name="IQ_RETAIL_AFFILIATED_OTHER_STORES_BEG" hidden="1">"c9890"</definedName>
    <definedName name="IQ_RETAIL_AVG_SQ_METERS_GROSS" hidden="1">"c9908"</definedName>
    <definedName name="IQ_RETAIL_AVG_SQ_METERS_NET" hidden="1">"c9907"</definedName>
    <definedName name="IQ_RETAIL_AVG_STORE_SIZE_GROSS" hidden="1">"c2066"</definedName>
    <definedName name="IQ_RETAIL_AVG_STORE_SIZE_NET" hidden="1">"c2067"</definedName>
    <definedName name="IQ_RETAIL_AVG_VALUE_TRANSACTION" hidden="1">"c9915"</definedName>
    <definedName name="IQ_RETAIL_AVG_VALUE_TRANSACTION_GROWTH" hidden="1">"c9916"</definedName>
    <definedName name="IQ_RETAIL_AVG_WK_SALES" hidden="1">"c2891"</definedName>
    <definedName name="IQ_RETAIL_AVG_WK_SALES_FRANCHISE" hidden="1">"c2899"</definedName>
    <definedName name="IQ_RETAIL_AVG_WK_SALES_OWNED" hidden="1">"c2907"</definedName>
    <definedName name="IQ_RETAIL_CLOSED_AFFILIATED_OTHER_STORES" hidden="1">"c9893"</definedName>
    <definedName name="IQ_RETAIL_CLOSED_FRANCHISE_STORES" hidden="1">"c2896"</definedName>
    <definedName name="IQ_RETAIL_CLOSED_OWNED_STORES" hidden="1">"c2904"</definedName>
    <definedName name="IQ_RETAIL_CLOSED_STORES" hidden="1">"c2063"</definedName>
    <definedName name="IQ_RETAIL_DEPOSITS_FDIC" hidden="1">"c6488"</definedName>
    <definedName name="IQ_RETAIL_FRANCHISE_STORES_BEG" hidden="1">"c2893"</definedName>
    <definedName name="IQ_RETAIL_GROSS_MARGIN" hidden="1">"c9899"</definedName>
    <definedName name="IQ_RETAIL_IS_RATIO" hidden="1">"c7002"</definedName>
    <definedName name="IQ_RETAIL_IS_RATIO_FC" hidden="1">"c7882"</definedName>
    <definedName name="IQ_RETAIL_IS_RATIO_POP" hidden="1">"c7222"</definedName>
    <definedName name="IQ_RETAIL_IS_RATIO_POP_FC" hidden="1">"c8102"</definedName>
    <definedName name="IQ_RETAIL_IS_RATIO_YOY" hidden="1">"c7442"</definedName>
    <definedName name="IQ_RETAIL_IS_RATIO_YOY_FC" hidden="1">"c8322"</definedName>
    <definedName name="IQ_RETAIL_MERCHANDISE_MARGIN" hidden="1">"c9901"</definedName>
    <definedName name="IQ_RETAIL_OPENED_AFFILIATED_OTHER_STORES" hidden="1">"c9891"</definedName>
    <definedName name="IQ_RETAIL_OPENED_FRANCHISE_STORES" hidden="1">"c2894"</definedName>
    <definedName name="IQ_RETAIL_OPENED_OWNED_STORES" hidden="1">"c2902"</definedName>
    <definedName name="IQ_RETAIL_OPENED_STORES" hidden="1">"c2062"</definedName>
    <definedName name="IQ_RETAIL_OPERATING_MARGIN" hidden="1">"c9900"</definedName>
    <definedName name="IQ_RETAIL_OWNED_STORES_BEG" hidden="1">"c2901"</definedName>
    <definedName name="IQ_RETAIL_SALES" hidden="1">"c7003"</definedName>
    <definedName name="IQ_RETAIL_SALES_APR" hidden="1">"c7663"</definedName>
    <definedName name="IQ_RETAIL_SALES_APR_FC" hidden="1">"c8543"</definedName>
    <definedName name="IQ_RETAIL_SALES_CATALOG" hidden="1">"c9903"</definedName>
    <definedName name="IQ_RETAIL_SALES_FC" hidden="1">"c7883"</definedName>
    <definedName name="IQ_RETAIL_SALES_FOOD" hidden="1">"c7004"</definedName>
    <definedName name="IQ_RETAIL_SALES_FOOD_APR" hidden="1">"c7664"</definedName>
    <definedName name="IQ_RETAIL_SALES_FOOD_APR_FC" hidden="1">"c8544"</definedName>
    <definedName name="IQ_RETAIL_SALES_FOOD_EXCL_VEHICLE" hidden="1">"c7005"</definedName>
    <definedName name="IQ_RETAIL_SALES_FOOD_EXCL_VEHICLE_APR" hidden="1">"c7665"</definedName>
    <definedName name="IQ_RETAIL_SALES_FOOD_EXCL_VEHICLE_APR_FC" hidden="1">"c8545"</definedName>
    <definedName name="IQ_RETAIL_SALES_FOOD_EXCL_VEHICLE_FC" hidden="1">"c7885"</definedName>
    <definedName name="IQ_RETAIL_SALES_FOOD_EXCL_VEHICLE_POP" hidden="1">"c7225"</definedName>
    <definedName name="IQ_RETAIL_SALES_FOOD_EXCL_VEHICLE_POP_FC" hidden="1">"c8105"</definedName>
    <definedName name="IQ_RETAIL_SALES_FOOD_EXCL_VEHICLE_YOY" hidden="1">"c7445"</definedName>
    <definedName name="IQ_RETAIL_SALES_FOOD_EXCL_VEHICLE_YOY_FC" hidden="1">"c8325"</definedName>
    <definedName name="IQ_RETAIL_SALES_FOOD_FC" hidden="1">"c7884"</definedName>
    <definedName name="IQ_RETAIL_SALES_FOOD_POP" hidden="1">"c7224"</definedName>
    <definedName name="IQ_RETAIL_SALES_FOOD_POP_FC" hidden="1">"c8104"</definedName>
    <definedName name="IQ_RETAIL_SALES_FOOD_YOY" hidden="1">"c7444"</definedName>
    <definedName name="IQ_RETAIL_SALES_FOOD_YOY_FC" hidden="1">"c8324"</definedName>
    <definedName name="IQ_RETAIL_SALES_ONLINE" hidden="1">"c9904"</definedName>
    <definedName name="IQ_RETAIL_SALES_POP" hidden="1">"c7223"</definedName>
    <definedName name="IQ_RETAIL_SALES_POP_FC" hidden="1">"c8103"</definedName>
    <definedName name="IQ_RETAIL_SALES_RETAIL" hidden="1">"c9902"</definedName>
    <definedName name="IQ_RETAIL_SALES_SAAR" hidden="1">"c7009"</definedName>
    <definedName name="IQ_RETAIL_SALES_SAAR_APR" hidden="1">"c7669"</definedName>
    <definedName name="IQ_RETAIL_SALES_SAAR_APR_FC" hidden="1">"c8549"</definedName>
    <definedName name="IQ_RETAIL_SALES_SAAR_FC" hidden="1">"c7889"</definedName>
    <definedName name="IQ_RETAIL_SALES_SAAR_POP" hidden="1">"c7229"</definedName>
    <definedName name="IQ_RETAIL_SALES_SAAR_POP_FC" hidden="1">"c8109"</definedName>
    <definedName name="IQ_RETAIL_SALES_SAAR_YOY" hidden="1">"c7449"</definedName>
    <definedName name="IQ_RETAIL_SALES_SAAR_YOY_FC" hidden="1">"c8329"</definedName>
    <definedName name="IQ_RETAIL_SALES_SQ_METER_COMPARABLE_GROSS" hidden="1">"c9914"</definedName>
    <definedName name="IQ_RETAIL_SALES_SQ_METER_COMPARABLE_NET" hidden="1">"c9913"</definedName>
    <definedName name="IQ_RETAIL_SALES_SQ_METER_GROSS" hidden="1">"c9910"</definedName>
    <definedName name="IQ_RETAIL_SALES_SQ_METER_NET" hidden="1">"c9909"</definedName>
    <definedName name="IQ_RETAIL_SALES_SQ_METER_OWNED_GROSS" hidden="1">"c9912"</definedName>
    <definedName name="IQ_RETAIL_SALES_SQ_METER_OWNED_NET" hidden="1">"c9911"</definedName>
    <definedName name="IQ_RETAIL_SALES_SQFT_ALL_GROSS" hidden="1">"c2138"</definedName>
    <definedName name="IQ_RETAIL_SALES_SQFT_ALL_NET" hidden="1">"c2139"</definedName>
    <definedName name="IQ_RETAIL_SALES_SQFT_COMPARABLE_GROSS" hidden="1">"c2136"</definedName>
    <definedName name="IQ_RETAIL_SALES_SQFT_COMPARABLE_NET" hidden="1">"c2137"</definedName>
    <definedName name="IQ_RETAIL_SALES_SQFT_OWNED_GROSS" hidden="1">"c2134"</definedName>
    <definedName name="IQ_RETAIL_SALES_SQFT_OWNED_NET" hidden="1">"c2135"</definedName>
    <definedName name="IQ_RETAIL_SALES_VALUE_INDEX" hidden="1">"c7006"</definedName>
    <definedName name="IQ_RETAIL_SALES_VALUE_INDEX_APR" hidden="1">"c7666"</definedName>
    <definedName name="IQ_RETAIL_SALES_VALUE_INDEX_APR_FC" hidden="1">"c8546"</definedName>
    <definedName name="IQ_RETAIL_SALES_VALUE_INDEX_FC" hidden="1">"c7886"</definedName>
    <definedName name="IQ_RETAIL_SALES_VALUE_INDEX_POP" hidden="1">"c7226"</definedName>
    <definedName name="IQ_RETAIL_SALES_VALUE_INDEX_POP_FC" hidden="1">"c8106"</definedName>
    <definedName name="IQ_RETAIL_SALES_VALUE_INDEX_YOY" hidden="1">"c7446"</definedName>
    <definedName name="IQ_RETAIL_SALES_VALUE_INDEX_YOY_FC" hidden="1">"c8326"</definedName>
    <definedName name="IQ_RETAIL_SALES_VOL_INDEX" hidden="1">"c7007"</definedName>
    <definedName name="IQ_RETAIL_SALES_VOL_INDEX_APR" hidden="1">"c7667"</definedName>
    <definedName name="IQ_RETAIL_SALES_VOL_INDEX_APR_FC" hidden="1">"c8547"</definedName>
    <definedName name="IQ_RETAIL_SALES_VOL_INDEX_EXCL_MOTOR" hidden="1">"c7008"</definedName>
    <definedName name="IQ_RETAIL_SALES_VOL_INDEX_EXCL_MOTOR_APR" hidden="1">"c7668"</definedName>
    <definedName name="IQ_RETAIL_SALES_VOL_INDEX_EXCL_MOTOR_APR_FC" hidden="1">"c8548"</definedName>
    <definedName name="IQ_RETAIL_SALES_VOL_INDEX_EXCL_MOTOR_FC" hidden="1">"c7888"</definedName>
    <definedName name="IQ_RETAIL_SALES_VOL_INDEX_EXCL_MOTOR_POP" hidden="1">"c7228"</definedName>
    <definedName name="IQ_RETAIL_SALES_VOL_INDEX_EXCL_MOTOR_POP_FC" hidden="1">"c8108"</definedName>
    <definedName name="IQ_RETAIL_SALES_VOL_INDEX_EXCL_MOTOR_YOY" hidden="1">"c7448"</definedName>
    <definedName name="IQ_RETAIL_SALES_VOL_INDEX_EXCL_MOTOR_YOY_FC" hidden="1">"c8328"</definedName>
    <definedName name="IQ_RETAIL_SALES_VOL_INDEX_FC" hidden="1">"c7887"</definedName>
    <definedName name="IQ_RETAIL_SALES_VOL_INDEX_POP" hidden="1">"c7227"</definedName>
    <definedName name="IQ_RETAIL_SALES_VOL_INDEX_POP_FC" hidden="1">"c8107"</definedName>
    <definedName name="IQ_RETAIL_SALES_VOL_INDEX_YOY" hidden="1">"c7447"</definedName>
    <definedName name="IQ_RETAIL_SALES_VOL_INDEX_YOY_FC" hidden="1">"c8327"</definedName>
    <definedName name="IQ_RETAIL_SALES_YOY" hidden="1">"c7443"</definedName>
    <definedName name="IQ_RETAIL_SALES_YOY_FC" hidden="1">"c8323"</definedName>
    <definedName name="IQ_RETAIL_SAME_STORE_SALES" hidden="1">"c9898"</definedName>
    <definedName name="IQ_RETAIL_SAME_STORE_SALES_FRANCHISE" hidden="1">"c9896"</definedName>
    <definedName name="IQ_RETAIL_SAME_STORE_SALES_OWNED" hidden="1">"c9897"</definedName>
    <definedName name="IQ_RETAIL_SOLD_AFFILIATED_OTHER_STORES" hidden="1">"c9894"</definedName>
    <definedName name="IQ_RETAIL_SOLD_FRANCHISE_STORES" hidden="1">"c2897"</definedName>
    <definedName name="IQ_RETAIL_SOLD_OWNED_STORES" hidden="1">"c2905"</definedName>
    <definedName name="IQ_RETAIL_SOLD_STORES" hidden="1">"c2889"</definedName>
    <definedName name="IQ_RETAIL_SQ_FOOTAGE" hidden="1">"c2064"</definedName>
    <definedName name="IQ_RETAIL_STORE_SELLING_AREA" hidden="1">"c2065"</definedName>
    <definedName name="IQ_RETAIL_STORES_BEG" hidden="1">"c2885"</definedName>
    <definedName name="IQ_RETAIL_TOTAL_AFFILIATED_OTHER_STORES" hidden="1">"c9895"</definedName>
    <definedName name="IQ_RETAIL_TOTAL_FRANCHISE_STORES" hidden="1">"c2898"</definedName>
    <definedName name="IQ_RETAIL_TOTAL_OWNED_STORES" hidden="1">"c2906"</definedName>
    <definedName name="IQ_RETAIL_TOTAL_SQ_METERS_GROSS" hidden="1">"c9906"</definedName>
    <definedName name="IQ_RETAIL_TOTAL_SQ_METERS_NET" hidden="1">"c9905"</definedName>
    <definedName name="IQ_RETAIL_TOTAL_STORES" hidden="1">"c2061"</definedName>
    <definedName name="IQ_RETAINED_EARN" hidden="1">"c1420"</definedName>
    <definedName name="IQ_RETAINED_EARNINGS_AVERAGE_EQUITY_FDIC" hidden="1">"c6733"</definedName>
    <definedName name="IQ_RETURN_ASSETS" hidden="1">"c1113"</definedName>
    <definedName name="IQ_RETURN_ASSETS_BANK" hidden="1">"c1114"</definedName>
    <definedName name="IQ_RETURN_ASSETS_BROK" hidden="1">"c1115"</definedName>
    <definedName name="IQ_RETURN_ASSETS_FDIC" hidden="1">"c6730"</definedName>
    <definedName name="IQ_RETURN_ASSETS_FS" hidden="1">"c1116"</definedName>
    <definedName name="IQ_RETURN_CAPITAL" hidden="1">"c1117"</definedName>
    <definedName name="IQ_RETURN_EMBEDDED_VALUE" hidden="1">"c9974"</definedName>
    <definedName name="IQ_RETURN_EQUITY" hidden="1">"c1118"</definedName>
    <definedName name="IQ_RETURN_EQUITY_BANK" hidden="1">"c1119"</definedName>
    <definedName name="IQ_RETURN_EQUITY_BROK" hidden="1">"c1120"</definedName>
    <definedName name="IQ_RETURN_EQUITY_FDIC" hidden="1">"c6732"</definedName>
    <definedName name="IQ_RETURN_EQUITY_FS" hidden="1">"c1121"</definedName>
    <definedName name="IQ_RETURN_INVESTMENT" hidden="1">"c1421"</definedName>
    <definedName name="IQ_REV" hidden="1">"c1122"</definedName>
    <definedName name="IQ_REV_AP" hidden="1">"c8873"</definedName>
    <definedName name="IQ_REV_AP_ABS" hidden="1">"c8892"</definedName>
    <definedName name="IQ_REV_BEFORE_LL" hidden="1">"c1123"</definedName>
    <definedName name="IQ_REV_NAME_AP" hidden="1">"c8911"</definedName>
    <definedName name="IQ_REV_NAME_AP_ABS" hidden="1">"c8930"</definedName>
    <definedName name="IQ_REV_STDDEV_EST" hidden="1">"c1124"</definedName>
    <definedName name="IQ_REV_STDDEV_EST_CIQ" hidden="1">"c3621"</definedName>
    <definedName name="IQ_REV_STDDEV_EST_REUT" hidden="1">"c3639"</definedName>
    <definedName name="IQ_REV_UTI" hidden="1">"c1125"</definedName>
    <definedName name="IQ_REVALUATION_GAINS_FDIC" hidden="1">"c6428"</definedName>
    <definedName name="IQ_REVALUATION_LOSSES_FDIC" hidden="1">"c6429"</definedName>
    <definedName name="IQ_REVENUE" hidden="1">"c1422"</definedName>
    <definedName name="IQ_REVENUE_ACT_OR_EST_CIQ" hidden="1">"c5059"</definedName>
    <definedName name="IQ_REVENUE_EST" hidden="1">"c1126"</definedName>
    <definedName name="IQ_REVENUE_EST_CIQ" hidden="1">"c3616"</definedName>
    <definedName name="IQ_REVENUE_EST_REUT" hidden="1">"c3634"</definedName>
    <definedName name="IQ_REVENUE_HIGH_EST" hidden="1">"c1127"</definedName>
    <definedName name="IQ_REVENUE_HIGH_EST_CIQ" hidden="1">"c3618"</definedName>
    <definedName name="IQ_REVENUE_HIGH_EST_REUT" hidden="1">"c3636"</definedName>
    <definedName name="IQ_REVENUE_LOW_EST" hidden="1">"c1128"</definedName>
    <definedName name="IQ_REVENUE_LOW_EST_CIQ" hidden="1">"c3619"</definedName>
    <definedName name="IQ_REVENUE_LOW_EST_REUT" hidden="1">"c3637"</definedName>
    <definedName name="IQ_REVENUE_MEDIAN_EST" hidden="1">"c1662"</definedName>
    <definedName name="IQ_REVENUE_MEDIAN_EST_CIQ" hidden="1">"c3617"</definedName>
    <definedName name="IQ_REVENUE_MEDIAN_EST_REUT" hidden="1">"c3635"</definedName>
    <definedName name="IQ_REVENUE_NUM_EST" hidden="1">"c1129"</definedName>
    <definedName name="IQ_REVENUE_NUM_EST_CIQ" hidden="1">"c3620"</definedName>
    <definedName name="IQ_REVENUE_NUM_EST_REUT" hidden="1">"c3638"</definedName>
    <definedName name="IQ_REVISION_DATE_" hidden="1">39710.6726967593</definedName>
    <definedName name="IQ_RISK_ADJ_BANK_ASSETS" hidden="1">"c2670"</definedName>
    <definedName name="IQ_RISK_WEIGHTED_ASSETS_FDIC" hidden="1">"c6370"</definedName>
    <definedName name="IQ_SALARIED_WORKFORCE" hidden="1">"c7010"</definedName>
    <definedName name="IQ_SALARIED_WORKFORCE_APR" hidden="1">"c7670"</definedName>
    <definedName name="IQ_SALARIED_WORKFORCE_APR_FC" hidden="1">"c8550"</definedName>
    <definedName name="IQ_SALARIED_WORKFORCE_FC" hidden="1">"c7890"</definedName>
    <definedName name="IQ_SALARIED_WORKFORCE_POP" hidden="1">"c7230"</definedName>
    <definedName name="IQ_SALARIED_WORKFORCE_POP_FC" hidden="1">"c8110"</definedName>
    <definedName name="IQ_SALARIED_WORKFORCE_YOY" hidden="1">"c7450"</definedName>
    <definedName name="IQ_SALARIED_WORKFORCE_YOY_FC" hidden="1">"c8330"</definedName>
    <definedName name="IQ_SALARY" hidden="1">"c1130"</definedName>
    <definedName name="IQ_SALARY_FDIC" hidden="1">"c6576"</definedName>
    <definedName name="IQ_SALE_CONVERSION_RETIREMENT_STOCK_FDIC" hidden="1">"c6661"</definedName>
    <definedName name="IQ_SALE_INTAN_CF" hidden="1">"c1131"</definedName>
    <definedName name="IQ_SALE_INTAN_CF_BNK" hidden="1">"c1132"</definedName>
    <definedName name="IQ_SALE_INTAN_CF_BR" hidden="1">"c1133"</definedName>
    <definedName name="IQ_SALE_INTAN_CF_FIN" hidden="1">"c1134"</definedName>
    <definedName name="IQ_SALE_INTAN_CF_INS" hidden="1">"c1135"</definedName>
    <definedName name="IQ_SALE_INTAN_CF_RE" hidden="1">"c6284"</definedName>
    <definedName name="IQ_SALE_INTAN_CF_REIT" hidden="1">"c1627"</definedName>
    <definedName name="IQ_SALE_INTAN_CF_UTI" hidden="1">"c1136"</definedName>
    <definedName name="IQ_SALE_PPE_CF" hidden="1">"c1137"</definedName>
    <definedName name="IQ_SALE_PPE_CF_BNK" hidden="1">"c1138"</definedName>
    <definedName name="IQ_SALE_PPE_CF_BR" hidden="1">"c1139"</definedName>
    <definedName name="IQ_SALE_PPE_CF_FIN" hidden="1">"c1140"</definedName>
    <definedName name="IQ_SALE_PPE_CF_INS" hidden="1">"c1141"</definedName>
    <definedName name="IQ_SALE_PPE_CF_UTI" hidden="1">"c1142"</definedName>
    <definedName name="IQ_SALE_RE_ASSETS" hidden="1">"c1629"</definedName>
    <definedName name="IQ_SALE_REAL_ESTATE_CF" hidden="1">"c1143"</definedName>
    <definedName name="IQ_SALE_REAL_ESTATE_CF_BNK" hidden="1">"c1144"</definedName>
    <definedName name="IQ_SALE_REAL_ESTATE_CF_BR" hidden="1">"c1145"</definedName>
    <definedName name="IQ_SALE_REAL_ESTATE_CF_FIN" hidden="1">"c1146"</definedName>
    <definedName name="IQ_SALE_REAL_ESTATE_CF_INS" hidden="1">"c1147"</definedName>
    <definedName name="IQ_SALE_REAL_ESTATE_CF_UTI" hidden="1">"c1148"</definedName>
    <definedName name="IQ_SALES_MARKETING" hidden="1">"c2240"</definedName>
    <definedName name="IQ_SAME_STORE" hidden="1">"c1149"</definedName>
    <definedName name="IQ_SAME_STORE_FRANCHISE" hidden="1">"c2900"</definedName>
    <definedName name="IQ_SAME_STORE_OWNED" hidden="1">"c2908"</definedName>
    <definedName name="IQ_SAME_STORE_TOTAL" hidden="1">"c2892"</definedName>
    <definedName name="IQ_SAVING_DEP" hidden="1">"c1150"</definedName>
    <definedName name="IQ_SAVINGS_RATE_DISP_INC_PCT" hidden="1">"c7011"</definedName>
    <definedName name="IQ_SAVINGS_RATE_DISP_INC_PCT_FC" hidden="1">"c7891"</definedName>
    <definedName name="IQ_SAVINGS_RATE_DISP_INC_PCT_POP" hidden="1">"c7231"</definedName>
    <definedName name="IQ_SAVINGS_RATE_DISP_INC_PCT_POP_FC" hidden="1">"c8111"</definedName>
    <definedName name="IQ_SAVINGS_RATE_DISP_INC_PCT_YOY" hidden="1">"c7451"</definedName>
    <definedName name="IQ_SAVINGS_RATE_DISP_INC_PCT_YOY_FC" hidden="1">"c8331"</definedName>
    <definedName name="IQ_SAVINGS_RATE_GDP_PCT" hidden="1">"c7012"</definedName>
    <definedName name="IQ_SAVINGS_RATE_GDP_PCT_FC" hidden="1">"c7892"</definedName>
    <definedName name="IQ_SAVINGS_RATE_GDP_PCT_POP" hidden="1">"c7232"</definedName>
    <definedName name="IQ_SAVINGS_RATE_GDP_PCT_POP_FC" hidden="1">"c8112"</definedName>
    <definedName name="IQ_SAVINGS_RATE_GDP_PCT_YOY" hidden="1">"c7452"</definedName>
    <definedName name="IQ_SAVINGS_RATE_GDP_PCT_YOY_FC" hidden="1">"c8332"</definedName>
    <definedName name="IQ_SAVINGS_RATE_PERSONAL_INC_PCT" hidden="1">"c7013"</definedName>
    <definedName name="IQ_SAVINGS_RATE_PERSONAL_INC_PCT_FC" hidden="1">"c7893"</definedName>
    <definedName name="IQ_SAVINGS_RATE_PERSONAL_INC_PCT_POP" hidden="1">"c7233"</definedName>
    <definedName name="IQ_SAVINGS_RATE_PERSONAL_INC_PCT_POP_FC" hidden="1">"c8113"</definedName>
    <definedName name="IQ_SAVINGS_RATE_PERSONAL_INC_PCT_YOY" hidden="1">"c7453"</definedName>
    <definedName name="IQ_SAVINGS_RATE_PERSONAL_INC_PCT_YOY_FC" hidden="1">"c8333"</definedName>
    <definedName name="IQ_SEC_PURCHASED_RESELL" hidden="1">"c5513"</definedName>
    <definedName name="IQ_SECUR_RECEIV" hidden="1">"c1151"</definedName>
    <definedName name="IQ_SECURED_1_4_FAMILY_RESIDENTIAL_CHARGE_OFFS_FDIC" hidden="1">"c6590"</definedName>
    <definedName name="IQ_SECURED_1_4_FAMILY_RESIDENTIAL_NET_CHARGE_OFFS_FDIC" hidden="1">"c6628"</definedName>
    <definedName name="IQ_SECURED_1_4_FAMILY_RESIDENTIAL_RECOVERIES_FDIC" hidden="1">"c6609"</definedName>
    <definedName name="IQ_SECURED_DEBT" hidden="1">"c2546"</definedName>
    <definedName name="IQ_SECURED_DEBT_PCT" hidden="1">"c2547"</definedName>
    <definedName name="IQ_SECURED_FARMLAND_CHARGE_OFFS_FDIC" hidden="1">"c6593"</definedName>
    <definedName name="IQ_SECURED_FARMLAND_NET_CHARGE_OFFS_FDIC" hidden="1">"c6631"</definedName>
    <definedName name="IQ_SECURED_FARMLAND_RECOVERIES_FDIC" hidden="1">"c6612"</definedName>
    <definedName name="IQ_SECURED_MULTIFAMILY_RESIDENTIAL_CHARGE_OFFS_FDIC" hidden="1">"c6591"</definedName>
    <definedName name="IQ_SECURED_MULTIFAMILY_RESIDENTIAL_NET_CHARGE_OFFS_FDIC" hidden="1">"c6629"</definedName>
    <definedName name="IQ_SECURED_MULTIFAMILY_RESIDENTIAL_RECOVERIES_FDIC" hidden="1">"c6610"</definedName>
    <definedName name="IQ_SECURED_NONFARM_NONRESIDENTIAL_CHARGE_OFFS_FDIC" hidden="1">"c6592"</definedName>
    <definedName name="IQ_SECURED_NONFARM_NONRESIDENTIAL_NET_CHARGE_OFFS_FDIC" hidden="1">"c6630"</definedName>
    <definedName name="IQ_SECURED_NONFARM_NONRESIDENTIAL_RECOVERIES_FDIC" hidden="1">"c6611"</definedName>
    <definedName name="IQ_SECURITIES_GAINS_FDIC" hidden="1">"c6584"</definedName>
    <definedName name="IQ_SECURITIES_ISSUED_STATES_FDIC" hidden="1">"c6300"</definedName>
    <definedName name="IQ_SECURITIES_LENT_FDIC" hidden="1">"c6532"</definedName>
    <definedName name="IQ_SECURITIES_UNDERWRITING_FDIC" hidden="1">"c6529"</definedName>
    <definedName name="IQ_SECURITY_BORROW" hidden="1">"c1152"</definedName>
    <definedName name="IQ_SECURITY_LEVEL" hidden="1">"c2159"</definedName>
    <definedName name="IQ_SECURITY_NOTES" hidden="1">"c2202"</definedName>
    <definedName name="IQ_SECURITY_OWN" hidden="1">"c1153"</definedName>
    <definedName name="IQ_SECURITY_RESELL" hidden="1">"c1154"</definedName>
    <definedName name="IQ_SECURITY_TYPE" hidden="1">"c2158"</definedName>
    <definedName name="IQ_SEMI_BACKLOG" hidden="1">"c10005"</definedName>
    <definedName name="IQ_SEMI_BACKLOG_AVG_PRICE" hidden="1">"c10006"</definedName>
    <definedName name="IQ_SEMI_BACKLOG_VALUE" hidden="1">"c10007"</definedName>
    <definedName name="IQ_SEMI_BOOK_TO_BILL_RATIO" hidden="1">"c10008"</definedName>
    <definedName name="IQ_SEMI_ORDER_AVG_PRICE" hidden="1">"c10002"</definedName>
    <definedName name="IQ_SEMI_ORDER_VALUE" hidden="1">"c10003"</definedName>
    <definedName name="IQ_SEMI_ORDER_VALUE_CHANGE" hidden="1">"c10004"</definedName>
    <definedName name="IQ_SEMI_ORDERS" hidden="1">"c10001"</definedName>
    <definedName name="IQ_SEMI_WARRANTY_RES_ACQ" hidden="1">"c10011"</definedName>
    <definedName name="IQ_SEMI_WARRANTY_RES_BEG" hidden="1">"c10009"</definedName>
    <definedName name="IQ_SEMI_WARRANTY_RES_END" hidden="1">"c10014"</definedName>
    <definedName name="IQ_SEMI_WARRANTY_RES_ISS" hidden="1">"c10010"</definedName>
    <definedName name="IQ_SEMI_WARRANTY_RES_OTHER" hidden="1">"c10013"</definedName>
    <definedName name="IQ_SEMI_WARRANTY_RES_PAY" hidden="1">"c10012"</definedName>
    <definedName name="IQ_SEPARATE_ACCT_ASSETS" hidden="1">"c1155"</definedName>
    <definedName name="IQ_SEPARATE_ACCT_LIAB" hidden="1">"c1156"</definedName>
    <definedName name="IQ_SERV_CHARGE_DEPOSITS" hidden="1">"c1157"</definedName>
    <definedName name="IQ_SERVICE_CHARGES_FDIC" hidden="1">"c6572"</definedName>
    <definedName name="IQ_SERVICE_FEE" hidden="1">"c8951"</definedName>
    <definedName name="IQ_SGA" hidden="1">"c1158"</definedName>
    <definedName name="IQ_SGA_BNK" hidden="1">"c1159"</definedName>
    <definedName name="IQ_SGA_INS" hidden="1">"c1160"</definedName>
    <definedName name="IQ_SGA_MARGIN" hidden="1">"c1898"</definedName>
    <definedName name="IQ_SGA_RE" hidden="1">"c6265"</definedName>
    <definedName name="IQ_SGA_REIT" hidden="1">"c1161"</definedName>
    <definedName name="IQ_SGA_SUPPL" hidden="1">"c1162"</definedName>
    <definedName name="IQ_SGA_UTI" hidden="1">"c1163"</definedName>
    <definedName name="IQ_SHAREOUTSTANDING" hidden="1">"c1347"</definedName>
    <definedName name="IQ_SHARES_PURCHASED_AVERAGE_PRICE" hidden="1">"c5821"</definedName>
    <definedName name="IQ_SHARES_PURCHASED_QUARTER" hidden="1">"c5820"</definedName>
    <definedName name="IQ_SHARESOUTSTANDING" hidden="1">"c1164"</definedName>
    <definedName name="IQ_SHORT_INTEREST" hidden="1">"c1165"</definedName>
    <definedName name="IQ_SHORT_INTEREST_OVER_FLOAT" hidden="1">"c1577"</definedName>
    <definedName name="IQ_SHORT_INTEREST_PERCENT" hidden="1">"c1576"</definedName>
    <definedName name="IQ_SHORT_TERM_INVEST" hidden="1">"c1425"</definedName>
    <definedName name="IQ_SMALL_INT_BEAR_CD" hidden="1">"c1166"</definedName>
    <definedName name="IQ_SOC_SEC_RECEIPTS_SAAR_USD_APR_FC" hidden="1">"c12005"</definedName>
    <definedName name="IQ_SOC_SEC_RECEIPTS_SAAR_USD_FC" hidden="1">"c12002"</definedName>
    <definedName name="IQ_SOC_SEC_RECEIPTS_SAAR_USD_POP_FC" hidden="1">"c12003"</definedName>
    <definedName name="IQ_SOC_SEC_RECEIPTS_SAAR_USD_YOY_FC" hidden="1">"c12004"</definedName>
    <definedName name="IQ_SOC_SEC_RECEIPTS_USD_APR_FC" hidden="1">"c12001"</definedName>
    <definedName name="IQ_SOC_SEC_RECEIPTS_USD_FC" hidden="1">"c11998"</definedName>
    <definedName name="IQ_SOC_SEC_RECEIPTS_USD_POP_FC" hidden="1">"c11999"</definedName>
    <definedName name="IQ_SOC_SEC_RECEIPTS_USD_YOY_FC" hidden="1">"c12000"</definedName>
    <definedName name="IQ_SOCIAL_SEC_RECEIPTS" hidden="1">"c7015"</definedName>
    <definedName name="IQ_SOCIAL_SEC_RECEIPTS_APR" hidden="1">"c7675"</definedName>
    <definedName name="IQ_SOCIAL_SEC_RECEIPTS_APR_FC" hidden="1">"c8555"</definedName>
    <definedName name="IQ_SOCIAL_SEC_RECEIPTS_FC" hidden="1">"c7895"</definedName>
    <definedName name="IQ_SOCIAL_SEC_RECEIPTS_POP" hidden="1">"c7235"</definedName>
    <definedName name="IQ_SOCIAL_SEC_RECEIPTS_POP_FC" hidden="1">"c8115"</definedName>
    <definedName name="IQ_SOCIAL_SEC_RECEIPTS_SAAR" hidden="1">"c7016"</definedName>
    <definedName name="IQ_SOCIAL_SEC_RECEIPTS_SAAR_APR" hidden="1">"c7676"</definedName>
    <definedName name="IQ_SOCIAL_SEC_RECEIPTS_SAAR_APR_FC" hidden="1">"c8556"</definedName>
    <definedName name="IQ_SOCIAL_SEC_RECEIPTS_SAAR_FC" hidden="1">"c7896"</definedName>
    <definedName name="IQ_SOCIAL_SEC_RECEIPTS_SAAR_POP" hidden="1">"c7236"</definedName>
    <definedName name="IQ_SOCIAL_SEC_RECEIPTS_SAAR_POP_FC" hidden="1">"c8116"</definedName>
    <definedName name="IQ_SOCIAL_SEC_RECEIPTS_SAAR_YOY" hidden="1">"c7456"</definedName>
    <definedName name="IQ_SOCIAL_SEC_RECEIPTS_SAAR_YOY_FC" hidden="1">"c8336"</definedName>
    <definedName name="IQ_SOCIAL_SEC_RECEIPTS_YOY" hidden="1">"c7455"</definedName>
    <definedName name="IQ_SOCIAL_SEC_RECEIPTS_YOY_FC" hidden="1">"c8335"</definedName>
    <definedName name="IQ_SOFTWARE" hidden="1">"c1167"</definedName>
    <definedName name="IQ_SOURCE" hidden="1">"c1168"</definedName>
    <definedName name="IQ_SP" hidden="1">"c2171"</definedName>
    <definedName name="IQ_SP_BANK" hidden="1">"c2637"</definedName>
    <definedName name="IQ_SP_BANK_ACTION" hidden="1">"c2636"</definedName>
    <definedName name="IQ_SP_BANK_DATE" hidden="1">"c2635"</definedName>
    <definedName name="IQ_SP_DATE" hidden="1">"c2172"</definedName>
    <definedName name="IQ_SP_FIN_ENHANCE_FX" hidden="1">"c2631"</definedName>
    <definedName name="IQ_SP_FIN_ENHANCE_FX_ACTION" hidden="1">"c2630"</definedName>
    <definedName name="IQ_SP_FIN_ENHANCE_FX_DATE" hidden="1">"c2629"</definedName>
    <definedName name="IQ_SP_FIN_ENHANCE_LC" hidden="1">"c2634"</definedName>
    <definedName name="IQ_SP_FIN_ENHANCE_LC_ACTION" hidden="1">"c2633"</definedName>
    <definedName name="IQ_SP_FIN_ENHANCE_LC_DATE" hidden="1">"c2632"</definedName>
    <definedName name="IQ_SP_FIN_STRENGTH_LC_ACTION_LT" hidden="1">"c2625"</definedName>
    <definedName name="IQ_SP_FIN_STRENGTH_LC_ACTION_ST" hidden="1">"c2626"</definedName>
    <definedName name="IQ_SP_FIN_STRENGTH_LC_DATE_LT" hidden="1">"c2623"</definedName>
    <definedName name="IQ_SP_FIN_STRENGTH_LC_DATE_ST" hidden="1">"c2624"</definedName>
    <definedName name="IQ_SP_FIN_STRENGTH_LC_LT" hidden="1">"c2627"</definedName>
    <definedName name="IQ_SP_FIN_STRENGTH_LC_ST" hidden="1">"c2628"</definedName>
    <definedName name="IQ_SP_FX_ACTION_LT" hidden="1">"c2613"</definedName>
    <definedName name="IQ_SP_FX_ACTION_ST" hidden="1">"c2614"</definedName>
    <definedName name="IQ_SP_FX_DATE_LT" hidden="1">"c2611"</definedName>
    <definedName name="IQ_SP_FX_DATE_ST" hidden="1">"c2612"</definedName>
    <definedName name="IQ_SP_FX_LT" hidden="1">"c2615"</definedName>
    <definedName name="IQ_SP_FX_ST" hidden="1">"c2616"</definedName>
    <definedName name="IQ_SP_ISSUE_ACTION" hidden="1">"c2644"</definedName>
    <definedName name="IQ_SP_ISSUE_DATE" hidden="1">"c2643"</definedName>
    <definedName name="IQ_SP_ISSUE_LT" hidden="1">"c2645"</definedName>
    <definedName name="IQ_SP_ISSUE_OUTLOOK_WATCH" hidden="1">"c2650"</definedName>
    <definedName name="IQ_SP_ISSUE_OUTLOOK_WATCH_DATE" hidden="1">"c2649"</definedName>
    <definedName name="IQ_SP_ISSUE_RECOVER" hidden="1">"c2648"</definedName>
    <definedName name="IQ_SP_ISSUE_RECOVER_ACTION" hidden="1">"c2647"</definedName>
    <definedName name="IQ_SP_ISSUE_RECOVER_DATE" hidden="1">"c2646"</definedName>
    <definedName name="IQ_SP_LC_ACTION_LT" hidden="1">"c2619"</definedName>
    <definedName name="IQ_SP_LC_ACTION_ST" hidden="1">"c2620"</definedName>
    <definedName name="IQ_SP_LC_DATE_LT" hidden="1">"c2617"</definedName>
    <definedName name="IQ_SP_LC_DATE_ST" hidden="1">"c2618"</definedName>
    <definedName name="IQ_SP_LC_LT" hidden="1">"c2621"</definedName>
    <definedName name="IQ_SP_LC_ST" hidden="1">"c2622"</definedName>
    <definedName name="IQ_SP_OUTLOOK_WATCH" hidden="1">"c2639"</definedName>
    <definedName name="IQ_SP_OUTLOOK_WATCH_DATE" hidden="1">"c2638"</definedName>
    <definedName name="IQ_SP_REASON" hidden="1">"c2174"</definedName>
    <definedName name="IQ_SP_STATUS" hidden="1">"c2173"</definedName>
    <definedName name="IQ_SPECIAL_DIV_CF" hidden="1">"c1169"</definedName>
    <definedName name="IQ_SPECIAL_DIV_CF_BNK" hidden="1">"c1170"</definedName>
    <definedName name="IQ_SPECIAL_DIV_CF_BR" hidden="1">"c1171"</definedName>
    <definedName name="IQ_SPECIAL_DIV_CF_FIN" hidden="1">"c1172"</definedName>
    <definedName name="IQ_SPECIAL_DIV_CF_INS" hidden="1">"c1173"</definedName>
    <definedName name="IQ_SPECIAL_DIV_CF_RE" hidden="1">"c6266"</definedName>
    <definedName name="IQ_SPECIAL_DIV_CF_REIT" hidden="1">"c1174"</definedName>
    <definedName name="IQ_SPECIAL_DIV_CF_UTI" hidden="1">"c1175"</definedName>
    <definedName name="IQ_SPECIAL_DIV_SHARE" hidden="1">"c3007"</definedName>
    <definedName name="IQ_SQ_FT_LEASED_GROSS_CONSOL" hidden="1">"c8820"</definedName>
    <definedName name="IQ_SQ_FT_LEASED_GROSS_MANAGED" hidden="1">"c8822"</definedName>
    <definedName name="IQ_SQ_FT_LEASED_GROSS_OTHER" hidden="1">"c8823"</definedName>
    <definedName name="IQ_SQ_FT_LEASED_GROSS_TOTAL" hidden="1">"c8824"</definedName>
    <definedName name="IQ_SQ_FT_LEASED_GROSS_UNCONSOL" hidden="1">"c8821"</definedName>
    <definedName name="IQ_SQ_FT_LEASED_NET_CONSOL" hidden="1">"c8825"</definedName>
    <definedName name="IQ_SQ_FT_LEASED_NET_MANAGED" hidden="1">"c8827"</definedName>
    <definedName name="IQ_SQ_FT_LEASED_NET_OTHER" hidden="1">"c8828"</definedName>
    <definedName name="IQ_SQ_FT_LEASED_NET_TOTAL" hidden="1">"c8829"</definedName>
    <definedName name="IQ_SQ_FT_LEASED_NET_UNCONSOL" hidden="1">"c8826"</definedName>
    <definedName name="IQ_SQ_METER_LEASED_GROSS_CONSOL" hidden="1">"c8830"</definedName>
    <definedName name="IQ_SQ_METER_LEASED_GROSS_MANAGED" hidden="1">"c8832"</definedName>
    <definedName name="IQ_SQ_METER_LEASED_GROSS_OTHER" hidden="1">"c8833"</definedName>
    <definedName name="IQ_SQ_METER_LEASED_GROSS_TOTAL" hidden="1">"c8834"</definedName>
    <definedName name="IQ_SQ_METER_LEASED_GROSS_UNCONSOL" hidden="1">"c8831"</definedName>
    <definedName name="IQ_SQ_METER_LEASED_NET_CONSOL" hidden="1">"c8835"</definedName>
    <definedName name="IQ_SQ_METER_LEASED_NET_MANAGED" hidden="1">"c8837"</definedName>
    <definedName name="IQ_SQ_METER_LEASED_NET_OTHER" hidden="1">"c8838"</definedName>
    <definedName name="IQ_SQ_METER_LEASED_NET_TOTAL" hidden="1">"c8839"</definedName>
    <definedName name="IQ_SQ_METER_LEASED_NET_UNCONSOL" hidden="1">"c8836"</definedName>
    <definedName name="IQ_SR_BONDS_NOTES" hidden="1">"c2501"</definedName>
    <definedName name="IQ_SR_BONDS_NOTES_PCT" hidden="1">"c2502"</definedName>
    <definedName name="IQ_SR_DEBT" hidden="1">"c2526"</definedName>
    <definedName name="IQ_SR_DEBT_EBITDA" hidden="1">"c2552"</definedName>
    <definedName name="IQ_SR_DEBT_EBITDA_CAPEX" hidden="1">"c2553"</definedName>
    <definedName name="IQ_SR_DEBT_PCT" hidden="1">"c2527"</definedName>
    <definedName name="IQ_SR_SUB_DEBT" hidden="1">"c2530"</definedName>
    <definedName name="IQ_SR_SUB_DEBT_EBITDA" hidden="1">"c2556"</definedName>
    <definedName name="IQ_SR_SUB_DEBT_EBITDA_CAPEX" hidden="1">"c2557"</definedName>
    <definedName name="IQ_SR_SUB_DEBT_PCT" hidden="1">"c2531"</definedName>
    <definedName name="IQ_ST_DEBT" hidden="1">"c1176"</definedName>
    <definedName name="IQ_ST_DEBT_BNK" hidden="1">"c1177"</definedName>
    <definedName name="IQ_ST_DEBT_BR" hidden="1">"c1178"</definedName>
    <definedName name="IQ_ST_DEBT_FIN" hidden="1">"c1179"</definedName>
    <definedName name="IQ_ST_DEBT_INS" hidden="1">"c1180"</definedName>
    <definedName name="IQ_ST_DEBT_ISSUED" hidden="1">"c1181"</definedName>
    <definedName name="IQ_ST_DEBT_ISSUED_BNK" hidden="1">"c1182"</definedName>
    <definedName name="IQ_ST_DEBT_ISSUED_BR" hidden="1">"c1183"</definedName>
    <definedName name="IQ_ST_DEBT_ISSUED_FIN" hidden="1">"c1184"</definedName>
    <definedName name="IQ_ST_DEBT_ISSUED_INS" hidden="1">"c1185"</definedName>
    <definedName name="IQ_ST_DEBT_ISSUED_RE" hidden="1">"c6267"</definedName>
    <definedName name="IQ_ST_DEBT_ISSUED_REIT" hidden="1">"c1186"</definedName>
    <definedName name="IQ_ST_DEBT_ISSUED_UTI" hidden="1">"c1187"</definedName>
    <definedName name="IQ_ST_DEBT_PCT" hidden="1">"c2539"</definedName>
    <definedName name="IQ_ST_DEBT_RE" hidden="1">"c6268"</definedName>
    <definedName name="IQ_ST_DEBT_REIT" hidden="1">"c1188"</definedName>
    <definedName name="IQ_ST_DEBT_REPAID" hidden="1">"c1189"</definedName>
    <definedName name="IQ_ST_DEBT_REPAID_BNK" hidden="1">"c1190"</definedName>
    <definedName name="IQ_ST_DEBT_REPAID_BR" hidden="1">"c1191"</definedName>
    <definedName name="IQ_ST_DEBT_REPAID_FIN" hidden="1">"c1192"</definedName>
    <definedName name="IQ_ST_DEBT_REPAID_INS" hidden="1">"c1193"</definedName>
    <definedName name="IQ_ST_DEBT_REPAID_RE" hidden="1">"c6269"</definedName>
    <definedName name="IQ_ST_DEBT_REPAID_REIT" hidden="1">"c1194"</definedName>
    <definedName name="IQ_ST_DEBT_REPAID_UTI" hidden="1">"c1195"</definedName>
    <definedName name="IQ_ST_DEBT_UTI" hidden="1">"c1196"</definedName>
    <definedName name="IQ_ST_FHLB_DEBT" hidden="1">"c5658"</definedName>
    <definedName name="IQ_ST_INVEST" hidden="1">"c1197"</definedName>
    <definedName name="IQ_ST_INVEST_UTI" hidden="1">"c1198"</definedName>
    <definedName name="IQ_ST_NOTE_RECEIV" hidden="1">"c1199"</definedName>
    <definedName name="IQ_STATE" hidden="1">"c1200"</definedName>
    <definedName name="IQ_STATE_LOCAL_SPENDING_SAAR" hidden="1">"c7017"</definedName>
    <definedName name="IQ_STATE_LOCAL_SPENDING_SAAR_APR" hidden="1">"c7677"</definedName>
    <definedName name="IQ_STATE_LOCAL_SPENDING_SAAR_APR_FC" hidden="1">"c8557"</definedName>
    <definedName name="IQ_STATE_LOCAL_SPENDING_SAAR_FC" hidden="1">"c7897"</definedName>
    <definedName name="IQ_STATE_LOCAL_SPENDING_SAAR_POP" hidden="1">"c7237"</definedName>
    <definedName name="IQ_STATE_LOCAL_SPENDING_SAAR_POP_FC" hidden="1">"c8117"</definedName>
    <definedName name="IQ_STATE_LOCAL_SPENDING_SAAR_YOY" hidden="1">"c7457"</definedName>
    <definedName name="IQ_STATE_LOCAL_SPENDING_SAAR_YOY_FC" hidden="1">"c8337"</definedName>
    <definedName name="IQ_STATES_NONTRANSACTION_ACCOUNTS_FDIC" hidden="1">"c6547"</definedName>
    <definedName name="IQ_STATES_TOTAL_DEPOSITS_FDIC" hidden="1">"c6473"</definedName>
    <definedName name="IQ_STATES_TRANSACTION_ACCOUNTS_FDIC" hidden="1">"c6539"</definedName>
    <definedName name="IQ_STATUTORY_SURPLUS" hidden="1">"c1201"</definedName>
    <definedName name="IQ_STOCK_BASED" hidden="1">"c1202"</definedName>
    <definedName name="IQ_STOCK_BASED_AT" hidden="1">"c2999"</definedName>
    <definedName name="IQ_STOCK_BASED_CF" hidden="1">"c1203"</definedName>
    <definedName name="IQ_STOCK_BASED_COGS" hidden="1">"c2990"</definedName>
    <definedName name="IQ_STOCK_BASED_COMP" hidden="1">"c3512"</definedName>
    <definedName name="IQ_STOCK_BASED_COMP_PRETAX" hidden="1">"c3510"</definedName>
    <definedName name="IQ_STOCK_BASED_COMP_TAX" hidden="1">"c3511"</definedName>
    <definedName name="IQ_STOCK_BASED_GA" hidden="1">"c2993"</definedName>
    <definedName name="IQ_STOCK_BASED_OTHER" hidden="1">"c2995"</definedName>
    <definedName name="IQ_STOCK_BASED_RD" hidden="1">"c2991"</definedName>
    <definedName name="IQ_STOCK_BASED_SGA" hidden="1">"c2994"</definedName>
    <definedName name="IQ_STOCK_BASED_SM" hidden="1">"c2992"</definedName>
    <definedName name="IQ_STOCK_BASED_TOTAL" hidden="1">"c3040"</definedName>
    <definedName name="IQ_STOCK_OPTIONS_COMP" hidden="1">"c3509"</definedName>
    <definedName name="IQ_STOCK_OPTIONS_COMP_PRETAX" hidden="1">"c3507"</definedName>
    <definedName name="IQ_STOCK_OPTIONS_COMP_TAX" hidden="1">"c3508"</definedName>
    <definedName name="IQ_STRATEGY_NOTE" hidden="1">"c6791"</definedName>
    <definedName name="IQ_STRIKE_PRICE_ISSUED" hidden="1">"c1645"</definedName>
    <definedName name="IQ_STRIKE_PRICE_OS" hidden="1">"c1646"</definedName>
    <definedName name="IQ_STRUCT_FIN_CLASS" hidden="1">"c8950"</definedName>
    <definedName name="IQ_STRUCT_FIN_SERIES" hidden="1">"c8956"</definedName>
    <definedName name="IQ_STW" hidden="1">"c2166"</definedName>
    <definedName name="IQ_SUB_BONDS_NOTES" hidden="1">"c2503"</definedName>
    <definedName name="IQ_SUB_BONDS_NOTES_PCT" hidden="1">"c2504"</definedName>
    <definedName name="IQ_SUB_DEBT" hidden="1">"c2532"</definedName>
    <definedName name="IQ_SUB_DEBT_EBITDA" hidden="1">"c2558"</definedName>
    <definedName name="IQ_SUB_DEBT_EBITDA_CAPEX" hidden="1">"c2559"</definedName>
    <definedName name="IQ_SUB_DEBT_FDIC" hidden="1">"c6346"</definedName>
    <definedName name="IQ_SUB_DEBT_PCT" hidden="1">"c2533"</definedName>
    <definedName name="IQ_SUB_LEASE_AFTER_FIVE" hidden="1">"c1207"</definedName>
    <definedName name="IQ_SUB_LEASE_INC_CY" hidden="1">"c1208"</definedName>
    <definedName name="IQ_SUB_LEASE_INC_CY1" hidden="1">"c1209"</definedName>
    <definedName name="IQ_SUB_LEASE_INC_CY2" hidden="1">"c1210"</definedName>
    <definedName name="IQ_SUB_LEASE_INC_CY3" hidden="1">"c1211"</definedName>
    <definedName name="IQ_SUB_LEASE_INC_CY4" hidden="1">"c1212"</definedName>
    <definedName name="IQ_SUB_LEASE_NEXT_FIVE" hidden="1">"c1213"</definedName>
    <definedName name="IQ_SURPLUS_FDIC" hidden="1">"c6351"</definedName>
    <definedName name="IQ_SVA" hidden="1">"c1214"</definedName>
    <definedName name="IQ_TARGET_PRICE_NUM" hidden="1">"c1653"</definedName>
    <definedName name="IQ_TARGET_PRICE_NUM_CIQ" hidden="1">"c4661"</definedName>
    <definedName name="IQ_TARGET_PRICE_NUM_REUT" hidden="1">"c5319"</definedName>
    <definedName name="IQ_TARGET_PRICE_STDDEV" hidden="1">"c1654"</definedName>
    <definedName name="IQ_TARGET_PRICE_STDDEV_CIQ" hidden="1">"c4662"</definedName>
    <definedName name="IQ_TARGET_PRICE_STDDEV_REUT" hidden="1">"c5320"</definedName>
    <definedName name="IQ_TAX_BENEFIT_CF_1YR" hidden="1">"c3483"</definedName>
    <definedName name="IQ_TAX_BENEFIT_CF_2YR" hidden="1">"c3484"</definedName>
    <definedName name="IQ_TAX_BENEFIT_CF_3YR" hidden="1">"c3485"</definedName>
    <definedName name="IQ_TAX_BENEFIT_CF_4YR" hidden="1">"c3486"</definedName>
    <definedName name="IQ_TAX_BENEFIT_CF_5YR" hidden="1">"c3487"</definedName>
    <definedName name="IQ_TAX_BENEFIT_CF_AFTER_FIVE" hidden="1">"c3488"</definedName>
    <definedName name="IQ_TAX_BENEFIT_CF_MAX_YEAR" hidden="1">"c3491"</definedName>
    <definedName name="IQ_TAX_BENEFIT_CF_NO_EXP" hidden="1">"c3489"</definedName>
    <definedName name="IQ_TAX_BENEFIT_CF_TOTAL" hidden="1">"c3490"</definedName>
    <definedName name="IQ_TAX_BENEFIT_OPTIONS" hidden="1">"c1215"</definedName>
    <definedName name="IQ_TAX_EQUIV_NET_INT_INC" hidden="1">"c1216"</definedName>
    <definedName name="IQ_TAX_OTHER_EXP_AP" hidden="1">"c8878"</definedName>
    <definedName name="IQ_TAX_OTHER_EXP_AP_ABS" hidden="1">"c8897"</definedName>
    <definedName name="IQ_TAX_OTHER_EXP_NAME_AP" hidden="1">"c8916"</definedName>
    <definedName name="IQ_TAX_OTHER_EXP_NAME_AP_ABS" hidden="1">"c8935"</definedName>
    <definedName name="IQ_TBV" hidden="1">"c1906"</definedName>
    <definedName name="IQ_TBV_10YR_ANN_CAGR" hidden="1">"c6169"</definedName>
    <definedName name="IQ_TBV_10YR_ANN_GROWTH" hidden="1">"c1936"</definedName>
    <definedName name="IQ_TBV_1YR_ANN_GROWTH" hidden="1">"c1931"</definedName>
    <definedName name="IQ_TBV_2YR_ANN_CAGR" hidden="1">"c6165"</definedName>
    <definedName name="IQ_TBV_2YR_ANN_GROWTH" hidden="1">"c1932"</definedName>
    <definedName name="IQ_TBV_3YR_ANN_CAGR" hidden="1">"c6166"</definedName>
    <definedName name="IQ_TBV_3YR_ANN_GROWTH" hidden="1">"c1933"</definedName>
    <definedName name="IQ_TBV_5YR_ANN_CAGR" hidden="1">"c6167"</definedName>
    <definedName name="IQ_TBV_5YR_ANN_GROWTH" hidden="1">"c1934"</definedName>
    <definedName name="IQ_TBV_7YR_ANN_CAGR" hidden="1">"c6168"</definedName>
    <definedName name="IQ_TBV_7YR_ANN_GROWTH" hidden="1">"c1935"</definedName>
    <definedName name="IQ_TBV_SHARE" hidden="1">"c1217"</definedName>
    <definedName name="IQ_TEMPLATE" hidden="1">"c1521"</definedName>
    <definedName name="IQ_TENANT" hidden="1">"c1218"</definedName>
    <definedName name="IQ_TERM_LOANS" hidden="1">"c2499"</definedName>
    <definedName name="IQ_TERM_LOANS_PCT" hidden="1">"c2500"</definedName>
    <definedName name="IQ_TEV" hidden="1">"c1219"</definedName>
    <definedName name="IQ_TEV_EBIT" hidden="1">"c1220"</definedName>
    <definedName name="IQ_TEV_EBIT_AVG" hidden="1">"c1221"</definedName>
    <definedName name="IQ_TEV_EBITDA" hidden="1">"c1222"</definedName>
    <definedName name="IQ_TEV_EBITDA_AVG" hidden="1">"c1223"</definedName>
    <definedName name="IQ_TEV_EBITDA_FWD" hidden="1">"c1224"</definedName>
    <definedName name="IQ_TEV_EBITDA_FWD_CIQ" hidden="1">"c4043"</definedName>
    <definedName name="IQ_TEV_EBITDA_FWD_REUT" hidden="1">"c4050"</definedName>
    <definedName name="IQ_TEV_EMPLOYEE_AVG" hidden="1">"c1225"</definedName>
    <definedName name="IQ_TEV_TOTAL_REV" hidden="1">"c1226"</definedName>
    <definedName name="IQ_TEV_TOTAL_REV_AVG" hidden="1">"c1227"</definedName>
    <definedName name="IQ_TEV_TOTAL_REV_FWD" hidden="1">"c1228"</definedName>
    <definedName name="IQ_TEV_TOTAL_REV_FWD_CIQ" hidden="1">"c4044"</definedName>
    <definedName name="IQ_TEV_TOTAL_REV_FWD_REUT" hidden="1">"c4051"</definedName>
    <definedName name="IQ_TEV_UFCF" hidden="1">"c2208"</definedName>
    <definedName name="IQ_THREE_MONTHS_FIXED_AND_FLOATING_FDIC" hidden="1">"c6419"</definedName>
    <definedName name="IQ_THREE_MONTHS_MORTGAGE_PASS_THROUGHS_FDIC" hidden="1">"c6411"</definedName>
    <definedName name="IQ_THREE_YEAR_FIXED_AND_FLOATING_RATE_FDIC" hidden="1">"c6421"</definedName>
    <definedName name="IQ_THREE_YEAR_MORTGAGE_PASS_THROUGHS_FDIC" hidden="1">"c6413"</definedName>
    <definedName name="IQ_THREE_YEARS_LESS_FDIC" hidden="1">"c6417"</definedName>
    <definedName name="IQ_TIER_1_RISK_BASED_CAPITAL_RATIO_FDIC" hidden="1">"c6746"</definedName>
    <definedName name="IQ_TIER_ONE_CAPITAL" hidden="1">"c2667"</definedName>
    <definedName name="IQ_TIER_ONE_FDIC" hidden="1">"c6369"</definedName>
    <definedName name="IQ_TIER_ONE_RATIO" hidden="1">"c1229"</definedName>
    <definedName name="IQ_TIER_TWO_CAPITAL" hidden="1">"c2669"</definedName>
    <definedName name="IQ_TIME_DEP" hidden="1">"c1230"</definedName>
    <definedName name="IQ_TIME_DEPOSITS_LESS_THAN_100K_FDIC" hidden="1">"c6465"</definedName>
    <definedName name="IQ_TIME_DEPOSITS_MORE_THAN_100K_FDIC" hidden="1">"c6470"</definedName>
    <definedName name="IQ_TODAY" hidden="1">0</definedName>
    <definedName name="IQ_TOT_ADJ_INC" hidden="1">"c1616"</definedName>
    <definedName name="IQ_TOTAL_AR_BR" hidden="1">"c1231"</definedName>
    <definedName name="IQ_TOTAL_AR_RE" hidden="1">"c6270"</definedName>
    <definedName name="IQ_TOTAL_AR_REIT" hidden="1">"c1232"</definedName>
    <definedName name="IQ_TOTAL_AR_UTI" hidden="1">"c1233"</definedName>
    <definedName name="IQ_TOTAL_ASSETS" hidden="1">"c1234"</definedName>
    <definedName name="IQ_TOTAL_ASSETS_10YR_ANN_CAGR" hidden="1">"c6140"</definedName>
    <definedName name="IQ_TOTAL_ASSETS_10YR_ANN_GROWTH" hidden="1">"c1235"</definedName>
    <definedName name="IQ_TOTAL_ASSETS_1YR_ANN_GROWTH" hidden="1">"c1236"</definedName>
    <definedName name="IQ_TOTAL_ASSETS_2YR_ANN_CAGR" hidden="1">"c6141"</definedName>
    <definedName name="IQ_TOTAL_ASSETS_2YR_ANN_GROWTH" hidden="1">"c1237"</definedName>
    <definedName name="IQ_TOTAL_ASSETS_3YR_ANN_CAGR" hidden="1">"c6142"</definedName>
    <definedName name="IQ_TOTAL_ASSETS_3YR_ANN_GROWTH" hidden="1">"c1238"</definedName>
    <definedName name="IQ_TOTAL_ASSETS_5YR_ANN_CAGR" hidden="1">"c6143"</definedName>
    <definedName name="IQ_TOTAL_ASSETS_5YR_ANN_GROWTH" hidden="1">"c1239"</definedName>
    <definedName name="IQ_TOTAL_ASSETS_7YR_ANN_CAGR" hidden="1">"c6144"</definedName>
    <definedName name="IQ_TOTAL_ASSETS_7YR_ANN_GROWTH" hidden="1">"c1240"</definedName>
    <definedName name="IQ_TOTAL_ASSETS_FDIC" hidden="1">"c6339"</definedName>
    <definedName name="IQ_TOTAL_ASSETS_SUBTOTAL_AP" hidden="1">"c8985"</definedName>
    <definedName name="IQ_TOTAL_ATTRIB_ORE_RESOURCES_ALUM" hidden="1">"c9241"</definedName>
    <definedName name="IQ_TOTAL_ATTRIB_ORE_RESOURCES_COP" hidden="1">"c9185"</definedName>
    <definedName name="IQ_TOTAL_ATTRIB_ORE_RESOURCES_DIAM" hidden="1">"c9665"</definedName>
    <definedName name="IQ_TOTAL_ATTRIB_ORE_RESOURCES_GOLD" hidden="1">"c9026"</definedName>
    <definedName name="IQ_TOTAL_ATTRIB_ORE_RESOURCES_IRON" hidden="1">"c9400"</definedName>
    <definedName name="IQ_TOTAL_ATTRIB_ORE_RESOURCES_LEAD" hidden="1">"c9453"</definedName>
    <definedName name="IQ_TOTAL_ATTRIB_ORE_RESOURCES_MANG" hidden="1">"c9506"</definedName>
    <definedName name="IQ_TOTAL_ATTRIB_ORE_RESOURCES_MOLYB" hidden="1">"c9718"</definedName>
    <definedName name="IQ_TOTAL_ATTRIB_ORE_RESOURCES_NICK" hidden="1">"c9294"</definedName>
    <definedName name="IQ_TOTAL_ATTRIB_ORE_RESOURCES_PLAT" hidden="1">"c9132"</definedName>
    <definedName name="IQ_TOTAL_ATTRIB_ORE_RESOURCES_SILVER" hidden="1">"c9079"</definedName>
    <definedName name="IQ_TOTAL_ATTRIB_ORE_RESOURCES_TITAN" hidden="1">"c9559"</definedName>
    <definedName name="IQ_TOTAL_ATTRIB_ORE_RESOURCES_URAN" hidden="1">"c9612"</definedName>
    <definedName name="IQ_TOTAL_ATTRIB_ORE_RESOURCES_ZINC" hidden="1">"c9347"</definedName>
    <definedName name="IQ_TOTAL_AVG_CE_TOTAL_AVG_ASSETS" hidden="1">"c1241"</definedName>
    <definedName name="IQ_TOTAL_AVG_EQUITY_TOTAL_AVG_ASSETS" hidden="1">"c1242"</definedName>
    <definedName name="IQ_TOTAL_BANK_CAPITAL" hidden="1">"c2668"</definedName>
    <definedName name="IQ_TOTAL_BEDS" hidden="1">"c8785"</definedName>
    <definedName name="IQ_TOTAL_CA" hidden="1">"c1243"</definedName>
    <definedName name="IQ_TOTAL_CA_SUBTOTAL_AP" hidden="1">"c8986"</definedName>
    <definedName name="IQ_TOTAL_CAP" hidden="1">"c1507"</definedName>
    <definedName name="IQ_TOTAL_CAPITAL_RATIO" hidden="1">"c1244"</definedName>
    <definedName name="IQ_TOTAL_CASH_DIVID" hidden="1">"c1455"</definedName>
    <definedName name="IQ_TOTAL_CASH_FINAN" hidden="1">"c1352"</definedName>
    <definedName name="IQ_TOTAL_CASH_INVEST" hidden="1">"c1353"</definedName>
    <definedName name="IQ_TOTAL_CASH_OPER" hidden="1">"c1354"</definedName>
    <definedName name="IQ_TOTAL_CHARGE_OFFS_FDIC" hidden="1">"c6603"</definedName>
    <definedName name="IQ_TOTAL_CHURN" hidden="1">"c2122"</definedName>
    <definedName name="IQ_TOTAL_CL" hidden="1">"c1245"</definedName>
    <definedName name="IQ_TOTAL_CL_SUBTOTAL_AP" hidden="1">"c8987"</definedName>
    <definedName name="IQ_TOTAL_COAL_PRODUCTION_COAL" hidden="1">"c9824"</definedName>
    <definedName name="IQ_TOTAL_COMMON" hidden="1">"c1411"</definedName>
    <definedName name="IQ_TOTAL_COMMON_EQUITY" hidden="1">"c1246"</definedName>
    <definedName name="IQ_TOTAL_CURRENT_ASSETS" hidden="1">"c1430"</definedName>
    <definedName name="IQ_TOTAL_CURRENT_LIAB" hidden="1">"c1431"</definedName>
    <definedName name="IQ_TOTAL_DEBT" hidden="1">"c1247"</definedName>
    <definedName name="IQ_TOTAL_DEBT_CAPITAL" hidden="1">"c1248"</definedName>
    <definedName name="IQ_TOTAL_DEBT_CURRENT" hidden="1">"c6190"</definedName>
    <definedName name="IQ_TOTAL_DEBT_EBITDA" hidden="1">"c1249"</definedName>
    <definedName name="IQ_TOTAL_DEBT_EBITDA_CAPEX" hidden="1">"c2948"</definedName>
    <definedName name="IQ_TOTAL_DEBT_EQUITY" hidden="1">"c1250"</definedName>
    <definedName name="IQ_TOTAL_DEBT_EXCL_FIN" hidden="1">"c2937"</definedName>
    <definedName name="IQ_TOTAL_DEBT_ISSUED" hidden="1">"c1251"</definedName>
    <definedName name="IQ_TOTAL_DEBT_ISSUED_BNK" hidden="1">"c1252"</definedName>
    <definedName name="IQ_TOTAL_DEBT_ISSUED_BR" hidden="1">"c1253"</definedName>
    <definedName name="IQ_TOTAL_DEBT_ISSUED_FIN" hidden="1">"c1254"</definedName>
    <definedName name="IQ_TOTAL_DEBT_ISSUED_RE" hidden="1">"c6271"</definedName>
    <definedName name="IQ_TOTAL_DEBT_ISSUED_REIT" hidden="1">"c1255"</definedName>
    <definedName name="IQ_TOTAL_DEBT_ISSUED_UTI" hidden="1">"c1256"</definedName>
    <definedName name="IQ_TOTAL_DEBT_ISSUES_INS" hidden="1">"c1257"</definedName>
    <definedName name="IQ_TOTAL_DEBT_NON_CURRENT" hidden="1">"c6191"</definedName>
    <definedName name="IQ_TOTAL_DEBT_OVER_EBITDA" hidden="1">"c1433"</definedName>
    <definedName name="IQ_TOTAL_DEBT_OVER_TOTAL_BV" hidden="1">"c1434"</definedName>
    <definedName name="IQ_TOTAL_DEBT_OVER_TOTAL_CAP" hidden="1">"c1432"</definedName>
    <definedName name="IQ_TOTAL_DEBT_REPAID" hidden="1">"c1258"</definedName>
    <definedName name="IQ_TOTAL_DEBT_REPAID_BNK" hidden="1">"c1259"</definedName>
    <definedName name="IQ_TOTAL_DEBT_REPAID_BR" hidden="1">"c1260"</definedName>
    <definedName name="IQ_TOTAL_DEBT_REPAID_FIN" hidden="1">"c1261"</definedName>
    <definedName name="IQ_TOTAL_DEBT_REPAID_INS" hidden="1">"c1262"</definedName>
    <definedName name="IQ_TOTAL_DEBT_REPAID_RE" hidden="1">"c6272"</definedName>
    <definedName name="IQ_TOTAL_DEBT_REPAID_REIT" hidden="1">"c1263"</definedName>
    <definedName name="IQ_TOTAL_DEBT_REPAID_UTI" hidden="1">"c1264"</definedName>
    <definedName name="IQ_TOTAL_DEBT_SECURITIES_FDIC" hidden="1">"c6410"</definedName>
    <definedName name="IQ_TOTAL_DEPOSITS" hidden="1">"c1265"</definedName>
    <definedName name="IQ_TOTAL_DEPOSITS_FDIC" hidden="1">"c6342"</definedName>
    <definedName name="IQ_TOTAL_DIV_PAID_CF" hidden="1">"c1266"</definedName>
    <definedName name="IQ_TOTAL_EMPLOYEE" hidden="1">"c2141"</definedName>
    <definedName name="IQ_TOTAL_EMPLOYEES" hidden="1">"c1522"</definedName>
    <definedName name="IQ_TOTAL_EMPLOYEES_FDIC" hidden="1">"c6355"</definedName>
    <definedName name="IQ_TOTAL_EQUITY" hidden="1">"c1267"</definedName>
    <definedName name="IQ_TOTAL_EQUITY_10YR_ANN_CAGR" hidden="1">"c6145"</definedName>
    <definedName name="IQ_TOTAL_EQUITY_10YR_ANN_GROWTH" hidden="1">"c1268"</definedName>
    <definedName name="IQ_TOTAL_EQUITY_1YR_ANN_GROWTH" hidden="1">"c1269"</definedName>
    <definedName name="IQ_TOTAL_EQUITY_2YR_ANN_CAGR" hidden="1">"c6146"</definedName>
    <definedName name="IQ_TOTAL_EQUITY_2YR_ANN_GROWTH" hidden="1">"c1270"</definedName>
    <definedName name="IQ_TOTAL_EQUITY_3YR_ANN_CAGR" hidden="1">"c6147"</definedName>
    <definedName name="IQ_TOTAL_EQUITY_3YR_ANN_GROWTH" hidden="1">"c1271"</definedName>
    <definedName name="IQ_TOTAL_EQUITY_5YR_ANN_CAGR" hidden="1">"c6148"</definedName>
    <definedName name="IQ_TOTAL_EQUITY_5YR_ANN_GROWTH" hidden="1">"c1272"</definedName>
    <definedName name="IQ_TOTAL_EQUITY_7YR_ANN_CAGR" hidden="1">"c6149"</definedName>
    <definedName name="IQ_TOTAL_EQUITY_7YR_ANN_GROWTH" hidden="1">"c1273"</definedName>
    <definedName name="IQ_TOTAL_EQUITY_ALLOWANCE_TOTAL_LOANS" hidden="1">"c1274"</definedName>
    <definedName name="IQ_TOTAL_EQUITY_SUBTOTAL_AP" hidden="1">"c8989"</definedName>
    <definedName name="IQ_TOTAL_INTEREST_EXP" hidden="1">"c1382"</definedName>
    <definedName name="IQ_TOTAL_INVENTORY" hidden="1">"c1385"</definedName>
    <definedName name="IQ_TOTAL_INVEST" hidden="1">"c1275"</definedName>
    <definedName name="IQ_TOTAL_LIAB" hidden="1">"c1276"</definedName>
    <definedName name="IQ_TOTAL_LIAB_BNK" hidden="1">"c1277"</definedName>
    <definedName name="IQ_TOTAL_LIAB_BR" hidden="1">"c1278"</definedName>
    <definedName name="IQ_TOTAL_LIAB_EQUITY" hidden="1">"c1279"</definedName>
    <definedName name="IQ_TOTAL_LIAB_EQUITY_FDIC" hidden="1">"c6354"</definedName>
    <definedName name="IQ_TOTAL_LIAB_EQUITY_SUBTOTAL_AP" hidden="1">"c8988"</definedName>
    <definedName name="IQ_TOTAL_LIAB_FIN" hidden="1">"c1280"</definedName>
    <definedName name="IQ_TOTAL_LIAB_INS" hidden="1">"c1281"</definedName>
    <definedName name="IQ_TOTAL_LIAB_RE" hidden="1">"c6273"</definedName>
    <definedName name="IQ_TOTAL_LIAB_REIT" hidden="1">"c1282"</definedName>
    <definedName name="IQ_TOTAL_LIAB_SHAREHOLD" hidden="1">"c1435"</definedName>
    <definedName name="IQ_TOTAL_LIAB_TOTAL_ASSETS" hidden="1">"c1283"</definedName>
    <definedName name="IQ_TOTAL_LIABILITIES_FDIC" hidden="1">"c6348"</definedName>
    <definedName name="IQ_TOTAL_LOANS" hidden="1">"c5653"</definedName>
    <definedName name="IQ_TOTAL_LONG_DEBT" hidden="1">"c1617"</definedName>
    <definedName name="IQ_TOTAL_NON_REC" hidden="1">"c1444"</definedName>
    <definedName name="IQ_TOTAL_OPER_EXP_BR" hidden="1">"c1284"</definedName>
    <definedName name="IQ_TOTAL_OPER_EXP_FIN" hidden="1">"c1285"</definedName>
    <definedName name="IQ_TOTAL_OPER_EXP_INS" hidden="1">"c1286"</definedName>
    <definedName name="IQ_TOTAL_OPER_EXP_RE" hidden="1">"c6274"</definedName>
    <definedName name="IQ_TOTAL_OPER_EXP_REIT" hidden="1">"c1287"</definedName>
    <definedName name="IQ_TOTAL_OPER_EXP_UTI" hidden="1">"c1288"</definedName>
    <definedName name="IQ_TOTAL_OPER_EXPEN" hidden="1">"c1445"</definedName>
    <definedName name="IQ_TOTAL_OPTIONS_BEG_OS" hidden="1">"c2693"</definedName>
    <definedName name="IQ_TOTAL_OPTIONS_CANCELLED" hidden="1">"c2696"</definedName>
    <definedName name="IQ_TOTAL_OPTIONS_END_OS" hidden="1">"c2697"</definedName>
    <definedName name="IQ_TOTAL_OPTIONS_EXERCISABLE_END_OS" hidden="1">"c5819"</definedName>
    <definedName name="IQ_TOTAL_OPTIONS_EXERCISED" hidden="1">"c2695"</definedName>
    <definedName name="IQ_TOTAL_OPTIONS_GRANTED" hidden="1">"c2694"</definedName>
    <definedName name="IQ_TOTAL_ORE_RESOURCES_ALUM" hidden="1">"c9230"</definedName>
    <definedName name="IQ_TOTAL_ORE_RESOURCES_COP" hidden="1">"c9174"</definedName>
    <definedName name="IQ_TOTAL_ORE_RESOURCES_DIAM" hidden="1">"c9654"</definedName>
    <definedName name="IQ_TOTAL_ORE_RESOURCES_GOLD" hidden="1">"c9015"</definedName>
    <definedName name="IQ_TOTAL_ORE_RESOURCES_IRON" hidden="1">"c9389"</definedName>
    <definedName name="IQ_TOTAL_ORE_RESOURCES_LEAD" hidden="1">"c9442"</definedName>
    <definedName name="IQ_TOTAL_ORE_RESOURCES_MANG" hidden="1">"c9495"</definedName>
    <definedName name="IQ_TOTAL_ORE_RESOURCES_MOLYB" hidden="1">"c9707"</definedName>
    <definedName name="IQ_TOTAL_ORE_RESOURCES_NICK" hidden="1">"c9283"</definedName>
    <definedName name="IQ_TOTAL_ORE_RESOURCES_PLAT" hidden="1">"c9121"</definedName>
    <definedName name="IQ_TOTAL_ORE_RESOURCES_SILVER" hidden="1">"c9068"</definedName>
    <definedName name="IQ_TOTAL_ORE_RESOURCES_TITAN" hidden="1">"c9548"</definedName>
    <definedName name="IQ_TOTAL_ORE_RESOURCES_URAN" hidden="1">"c9601"</definedName>
    <definedName name="IQ_TOTAL_ORE_RESOURCES_ZINC" hidden="1">"c9336"</definedName>
    <definedName name="IQ_TOTAL_OTHER_OPER" hidden="1">"c1289"</definedName>
    <definedName name="IQ_TOTAL_OUTSTANDING_BS_DATE" hidden="1">"c1022"</definedName>
    <definedName name="IQ_TOTAL_OUTSTANDING_FILING_DATE" hidden="1">"c2107"</definedName>
    <definedName name="IQ_TOTAL_PENSION_ASSETS" hidden="1">"c1290"</definedName>
    <definedName name="IQ_TOTAL_PENSION_ASSETS_DOMESTIC" hidden="1">"c2658"</definedName>
    <definedName name="IQ_TOTAL_PENSION_ASSETS_FOREIGN" hidden="1">"c2666"</definedName>
    <definedName name="IQ_TOTAL_PENSION_EXP" hidden="1">"c1291"</definedName>
    <definedName name="IQ_TOTAL_PRINCIPAL" hidden="1">"c2509"</definedName>
    <definedName name="IQ_TOTAL_PRINCIPAL_PCT" hidden="1">"c2510"</definedName>
    <definedName name="IQ_TOTAL_PROP" hidden="1">"c8765"</definedName>
    <definedName name="IQ_TOTAL_PROVED_RESERVES_NGL" hidden="1">"c2924"</definedName>
    <definedName name="IQ_TOTAL_PROVED_RESERVES_OIL" hidden="1">"c2040"</definedName>
    <definedName name="IQ_TOTAL_RECEIV" hidden="1">"c1293"</definedName>
    <definedName name="IQ_TOTAL_RECOV_ATTRIB_RESOURCES_ALUM" hidden="1">"c9246"</definedName>
    <definedName name="IQ_TOTAL_RECOV_ATTRIB_RESOURCES_COAL" hidden="1">"c9820"</definedName>
    <definedName name="IQ_TOTAL_RECOV_ATTRIB_RESOURCES_COP" hidden="1">"c9190"</definedName>
    <definedName name="IQ_TOTAL_RECOV_ATTRIB_RESOURCES_DIAM" hidden="1">"c9670"</definedName>
    <definedName name="IQ_TOTAL_RECOV_ATTRIB_RESOURCES_GOLD" hidden="1">"c9031"</definedName>
    <definedName name="IQ_TOTAL_RECOV_ATTRIB_RESOURCES_IRON" hidden="1">"c9405"</definedName>
    <definedName name="IQ_TOTAL_RECOV_ATTRIB_RESOURCES_LEAD" hidden="1">"c9458"</definedName>
    <definedName name="IQ_TOTAL_RECOV_ATTRIB_RESOURCES_MANG" hidden="1">"c9511"</definedName>
    <definedName name="IQ_TOTAL_RECOV_ATTRIB_RESOURCES_MET_COAL" hidden="1">"c9760"</definedName>
    <definedName name="IQ_TOTAL_RECOV_ATTRIB_RESOURCES_MOLYB" hidden="1">"c9723"</definedName>
    <definedName name="IQ_TOTAL_RECOV_ATTRIB_RESOURCES_NICK" hidden="1">"c9299"</definedName>
    <definedName name="IQ_TOTAL_RECOV_ATTRIB_RESOURCES_PLAT" hidden="1">"c9137"</definedName>
    <definedName name="IQ_TOTAL_RECOV_ATTRIB_RESOURCES_SILVER" hidden="1">"c9084"</definedName>
    <definedName name="IQ_TOTAL_RECOV_ATTRIB_RESOURCES_STEAM" hidden="1">"c9790"</definedName>
    <definedName name="IQ_TOTAL_RECOV_ATTRIB_RESOURCES_TITAN" hidden="1">"c9564"</definedName>
    <definedName name="IQ_TOTAL_RECOV_ATTRIB_RESOURCES_URAN" hidden="1">"c9617"</definedName>
    <definedName name="IQ_TOTAL_RECOV_ATTRIB_RESOURCES_ZINC" hidden="1">"c9352"</definedName>
    <definedName name="IQ_TOTAL_RECOV_RESOURCES_ALUM" hidden="1">"c9236"</definedName>
    <definedName name="IQ_TOTAL_RECOV_RESOURCES_COAL" hidden="1">"c9815"</definedName>
    <definedName name="IQ_TOTAL_RECOV_RESOURCES_COP" hidden="1">"c9180"</definedName>
    <definedName name="IQ_TOTAL_RECOV_RESOURCES_DIAM" hidden="1">"c9660"</definedName>
    <definedName name="IQ_TOTAL_RECOV_RESOURCES_GOLD" hidden="1">"c9021"</definedName>
    <definedName name="IQ_TOTAL_RECOV_RESOURCES_IRON" hidden="1">"c9395"</definedName>
    <definedName name="IQ_TOTAL_RECOV_RESOURCES_LEAD" hidden="1">"c9448"</definedName>
    <definedName name="IQ_TOTAL_RECOV_RESOURCES_MANG" hidden="1">"c9501"</definedName>
    <definedName name="IQ_TOTAL_RECOV_RESOURCES_MET_COAL" hidden="1">"c9755"</definedName>
    <definedName name="IQ_TOTAL_RECOV_RESOURCES_MOLYB" hidden="1">"c9713"</definedName>
    <definedName name="IQ_TOTAL_RECOV_RESOURCES_NICK" hidden="1">"c9289"</definedName>
    <definedName name="IQ_TOTAL_RECOV_RESOURCES_PLAT" hidden="1">"c9127"</definedName>
    <definedName name="IQ_TOTAL_RECOV_RESOURCES_SILVER" hidden="1">"c9074"</definedName>
    <definedName name="IQ_TOTAL_RECOV_RESOURCES_STEAM" hidden="1">"c9785"</definedName>
    <definedName name="IQ_TOTAL_RECOV_RESOURCES_TITAN" hidden="1">"c9554"</definedName>
    <definedName name="IQ_TOTAL_RECOV_RESOURCES_URAN" hidden="1">"c9607"</definedName>
    <definedName name="IQ_TOTAL_RECOV_RESOURCES_ZINC" hidden="1">"c9342"</definedName>
    <definedName name="IQ_TOTAL_RECOVERIES_FDIC" hidden="1">"c6622"</definedName>
    <definedName name="IQ_TOTAL_RESOURCES_CALORIFIC_VALUE_COAL" hidden="1">"c9810"</definedName>
    <definedName name="IQ_TOTAL_RESOURCES_CALORIFIC_VALUE_MET_COAL" hidden="1">"c9750"</definedName>
    <definedName name="IQ_TOTAL_RESOURCES_CALORIFIC_VALUE_STEAM" hidden="1">"c9780"</definedName>
    <definedName name="IQ_TOTAL_RESOURCES_GRADE_ALUM" hidden="1">"c9231"</definedName>
    <definedName name="IQ_TOTAL_RESOURCES_GRADE_COP" hidden="1">"c9175"</definedName>
    <definedName name="IQ_TOTAL_RESOURCES_GRADE_DIAM" hidden="1">"c9655"</definedName>
    <definedName name="IQ_TOTAL_RESOURCES_GRADE_GOLD" hidden="1">"c9016"</definedName>
    <definedName name="IQ_TOTAL_RESOURCES_GRADE_IRON" hidden="1">"c9390"</definedName>
    <definedName name="IQ_TOTAL_RESOURCES_GRADE_LEAD" hidden="1">"c9443"</definedName>
    <definedName name="IQ_TOTAL_RESOURCES_GRADE_MANG" hidden="1">"c9496"</definedName>
    <definedName name="IQ_TOTAL_RESOURCES_GRADE_MOLYB" hidden="1">"c9708"</definedName>
    <definedName name="IQ_TOTAL_RESOURCES_GRADE_NICK" hidden="1">"c9284"</definedName>
    <definedName name="IQ_TOTAL_RESOURCES_GRADE_PLAT" hidden="1">"c9122"</definedName>
    <definedName name="IQ_TOTAL_RESOURCES_GRADE_SILVER" hidden="1">"c9069"</definedName>
    <definedName name="IQ_TOTAL_RESOURCES_GRADE_TITAN" hidden="1">"c9549"</definedName>
    <definedName name="IQ_TOTAL_RESOURCES_GRADE_URAN" hidden="1">"c9602"</definedName>
    <definedName name="IQ_TOTAL_RESOURCES_GRADE_ZINC" hidden="1">"c9337"</definedName>
    <definedName name="IQ_TOTAL_REV" hidden="1">"c1294"</definedName>
    <definedName name="IQ_TOTAL_REV_10YR_ANN_CAGR" hidden="1">"c6150"</definedName>
    <definedName name="IQ_TOTAL_REV_10YR_ANN_GROWTH" hidden="1">"c1295"</definedName>
    <definedName name="IQ_TOTAL_REV_1YR_ANN_GROWTH" hidden="1">"c1296"</definedName>
    <definedName name="IQ_TOTAL_REV_2YR_ANN_CAGR" hidden="1">"c6151"</definedName>
    <definedName name="IQ_TOTAL_REV_2YR_ANN_GROWTH" hidden="1">"c1297"</definedName>
    <definedName name="IQ_TOTAL_REV_3YR_ANN_CAGR" hidden="1">"c6152"</definedName>
    <definedName name="IQ_TOTAL_REV_3YR_ANN_GROWTH" hidden="1">"c1298"</definedName>
    <definedName name="IQ_TOTAL_REV_5YR_ANN_CAGR" hidden="1">"c6153"</definedName>
    <definedName name="IQ_TOTAL_REV_5YR_ANN_GROWTH" hidden="1">"c1299"</definedName>
    <definedName name="IQ_TOTAL_REV_7YR_ANN_CAGR" hidden="1">"c6154"</definedName>
    <definedName name="IQ_TOTAL_REV_7YR_ANN_GROWTH" hidden="1">"c1300"</definedName>
    <definedName name="IQ_TOTAL_REV_AS_REPORTED" hidden="1">"c1301"</definedName>
    <definedName name="IQ_TOTAL_REV_BNK" hidden="1">"c1302"</definedName>
    <definedName name="IQ_TOTAL_REV_BNK_FDIC" hidden="1">"c6786"</definedName>
    <definedName name="IQ_TOTAL_REV_BR" hidden="1">"c1303"</definedName>
    <definedName name="IQ_TOTAL_REV_EMPLOYEE" hidden="1">"c1304"</definedName>
    <definedName name="IQ_TOTAL_REV_FIN" hidden="1">"c1305"</definedName>
    <definedName name="IQ_TOTAL_REV_INS" hidden="1">"c1306"</definedName>
    <definedName name="IQ_TOTAL_REV_RE" hidden="1">"c6275"</definedName>
    <definedName name="IQ_TOTAL_REV_REIT" hidden="1">"c1307"</definedName>
    <definedName name="IQ_TOTAL_REV_SHARE" hidden="1">"c1912"</definedName>
    <definedName name="IQ_TOTAL_REV_SUBTOTAL_AP" hidden="1">"c8975"</definedName>
    <definedName name="IQ_TOTAL_REV_UTI" hidden="1">"c1308"</definedName>
    <definedName name="IQ_TOTAL_REVENUE" hidden="1">"c1436"</definedName>
    <definedName name="IQ_TOTAL_RISK_BASED_CAPITAL_RATIO_FDIC" hidden="1">"c6747"</definedName>
    <definedName name="IQ_TOTAL_ROOMS" hidden="1">"c8789"</definedName>
    <definedName name="IQ_TOTAL_SECURITIES_FDIC" hidden="1">"c6306"</definedName>
    <definedName name="IQ_TOTAL_SPECIAL" hidden="1">"c1618"</definedName>
    <definedName name="IQ_TOTAL_SQ_FT" hidden="1">"c8781"</definedName>
    <definedName name="IQ_TOTAL_ST_BORROW" hidden="1">"c1424"</definedName>
    <definedName name="IQ_TOTAL_SUB_DEBT" hidden="1">"c2528"</definedName>
    <definedName name="IQ_TOTAL_SUB_DEBT_EBITDA" hidden="1">"c2554"</definedName>
    <definedName name="IQ_TOTAL_SUB_DEBT_EBITDA_CAPEX" hidden="1">"c2555"</definedName>
    <definedName name="IQ_TOTAL_SUB_DEBT_PCT" hidden="1">"c2529"</definedName>
    <definedName name="IQ_TOTAL_SUBS" hidden="1">"c2119"</definedName>
    <definedName name="IQ_TOTAL_TIME_DEPOSITS_FDIC" hidden="1">"c6497"</definedName>
    <definedName name="IQ_TOTAL_TIME_SAVINGS_DEPOSITS_FDIC" hidden="1">"c6498"</definedName>
    <definedName name="IQ_TOTAL_UNITS" hidden="1">"c8773"</definedName>
    <definedName name="IQ_TOTAL_UNUSED_COMMITMENTS_FDIC" hidden="1">"c6536"</definedName>
    <definedName name="IQ_TOTAL_UNUSUAL" hidden="1">"c1508"</definedName>
    <definedName name="IQ_TOTAL_UNUSUAL_BNK" hidden="1">"c5516"</definedName>
    <definedName name="IQ_TOTAL_UNUSUAL_BR" hidden="1">"c5517"</definedName>
    <definedName name="IQ_TOTAL_UNUSUAL_FIN" hidden="1">"c5518"</definedName>
    <definedName name="IQ_TOTAL_UNUSUAL_INS" hidden="1">"c5519"</definedName>
    <definedName name="IQ_TOTAL_UNUSUAL_RE" hidden="1">"c6286"</definedName>
    <definedName name="IQ_TOTAL_UNUSUAL_REIT" hidden="1">"c5520"</definedName>
    <definedName name="IQ_TOTAL_UNUSUAL_UTI" hidden="1">"c5521"</definedName>
    <definedName name="IQ_TOTAL_WARRANTS_BEG_OS" hidden="1">"c2719"</definedName>
    <definedName name="IQ_TOTAL_WARRANTS_CANCELLED" hidden="1">"c2722"</definedName>
    <definedName name="IQ_TOTAL_WARRANTS_END_OS" hidden="1">"c2723"</definedName>
    <definedName name="IQ_TOTAL_WARRANTS_EXERCISED" hidden="1">"c2721"</definedName>
    <definedName name="IQ_TOTAL_WARRANTS_ISSUED" hidden="1">"c2720"</definedName>
    <definedName name="IQ_TR_ACCT_METHOD" hidden="1">"c2363"</definedName>
    <definedName name="IQ_TR_ACQ_52_WK_HI_PCT" hidden="1">"c2348"</definedName>
    <definedName name="IQ_TR_ACQ_52_WK_LOW_PCT" hidden="1">"c2347"</definedName>
    <definedName name="IQ_TR_ACQ_CASH_ST_INVEST" hidden="1">"c2372"</definedName>
    <definedName name="IQ_TR_ACQ_CLOSEPRICE_1D" hidden="1">"c3027"</definedName>
    <definedName name="IQ_TR_ACQ_DILUT_EPS_EXCL" hidden="1">"c3028"</definedName>
    <definedName name="IQ_TR_ACQ_EARNING_CO" hidden="1">"c2379"</definedName>
    <definedName name="IQ_TR_ACQ_EBIT" hidden="1">"c2380"</definedName>
    <definedName name="IQ_TR_ACQ_EBIT_EQ_INC" hidden="1">"c3611"</definedName>
    <definedName name="IQ_TR_ACQ_EBITDA" hidden="1">"c2381"</definedName>
    <definedName name="IQ_TR_ACQ_EBITDA_EQ_INC" hidden="1">"c3610"</definedName>
    <definedName name="IQ_TR_ACQ_FILING_CURRENCY" hidden="1">"c3033"</definedName>
    <definedName name="IQ_TR_ACQ_FILINGDATE" hidden="1">"c3607"</definedName>
    <definedName name="IQ_TR_ACQ_MCAP_1DAY" hidden="1">"c2345"</definedName>
    <definedName name="IQ_TR_ACQ_MIN_INT" hidden="1">"c2374"</definedName>
    <definedName name="IQ_TR_ACQ_NET_DEBT" hidden="1">"c2373"</definedName>
    <definedName name="IQ_TR_ACQ_NI" hidden="1">"c2378"</definedName>
    <definedName name="IQ_TR_ACQ_PERIODDATE" hidden="1">"c3606"</definedName>
    <definedName name="IQ_TR_ACQ_PRICEDATE_1D" hidden="1">"c2346"</definedName>
    <definedName name="IQ_TR_ACQ_RETURN" hidden="1">"c2349"</definedName>
    <definedName name="IQ_TR_ACQ_STOCKYEARHIGH_1D" hidden="1">"c2343"</definedName>
    <definedName name="IQ_TR_ACQ_STOCKYEARLOW_1D" hidden="1">"c2344"</definedName>
    <definedName name="IQ_TR_ACQ_TOTAL_ASSETS" hidden="1">"c2371"</definedName>
    <definedName name="IQ_TR_ACQ_TOTAL_COMMON_EQ" hidden="1">"c2377"</definedName>
    <definedName name="IQ_TR_ACQ_TOTAL_DEBT" hidden="1">"c2376"</definedName>
    <definedName name="IQ_TR_ACQ_TOTAL_PREF" hidden="1">"c2375"</definedName>
    <definedName name="IQ_TR_ACQ_TOTAL_REV" hidden="1">"c2382"</definedName>
    <definedName name="IQ_TR_ADJ_SIZE" hidden="1">"c3024"</definedName>
    <definedName name="IQ_TR_ANN_DATE" hidden="1">"c2395"</definedName>
    <definedName name="IQ_TR_ANN_DATE_BL" hidden="1">"c2394"</definedName>
    <definedName name="IQ_TR_BID_DATE" hidden="1">"c2357"</definedName>
    <definedName name="IQ_TR_BLUESKY_FEES" hidden="1">"c2277"</definedName>
    <definedName name="IQ_TR_BUY_ACC_ADVISORS" hidden="1">"c3048"</definedName>
    <definedName name="IQ_TR_BUY_FIN_ADVISORS" hidden="1">"c3045"</definedName>
    <definedName name="IQ_TR_BUY_LEG_ADVISORS" hidden="1">"c2387"</definedName>
    <definedName name="IQ_TR_BUYER_ID" hidden="1">"c2404"</definedName>
    <definedName name="IQ_TR_BUYERNAME" hidden="1">"c2401"</definedName>
    <definedName name="IQ_TR_CANCELLED_DATE" hidden="1">"c2284"</definedName>
    <definedName name="IQ_TR_CASH_CONSID_PCT" hidden="1">"c2296"</definedName>
    <definedName name="IQ_TR_CASH_ST_INVEST" hidden="1">"c3025"</definedName>
    <definedName name="IQ_TR_CHANGE_CONTROL" hidden="1">"c2365"</definedName>
    <definedName name="IQ_TR_CLOSED_DATE" hidden="1">"c2283"</definedName>
    <definedName name="IQ_TR_CO_NET_PROCEEDS" hidden="1">"c2268"</definedName>
    <definedName name="IQ_TR_CO_NET_PROCEEDS_PCT" hidden="1">"c2270"</definedName>
    <definedName name="IQ_TR_COMMENTS" hidden="1">"c2383"</definedName>
    <definedName name="IQ_TR_CURRENCY" hidden="1">"c3016"</definedName>
    <definedName name="IQ_TR_DEAL_ATTITUDE" hidden="1">"c2364"</definedName>
    <definedName name="IQ_TR_DEAL_CONDITIONS" hidden="1">"c2367"</definedName>
    <definedName name="IQ_TR_DEAL_RESOLUTION" hidden="1">"c2391"</definedName>
    <definedName name="IQ_TR_DEAL_RESPONSES" hidden="1">"c2366"</definedName>
    <definedName name="IQ_TR_DEBT_CONSID_PCT" hidden="1">"c2299"</definedName>
    <definedName name="IQ_TR_DEF_AGRMT_DATE" hidden="1">"c2285"</definedName>
    <definedName name="IQ_TR_DISCLOSED_FEES_EXP" hidden="1">"c2288"</definedName>
    <definedName name="IQ_TR_EARNOUTS" hidden="1">"c3023"</definedName>
    <definedName name="IQ_TR_EXPIRED_DATE" hidden="1">"c2412"</definedName>
    <definedName name="IQ_TR_GROSS_OFFERING_AMT" hidden="1">"c2262"</definedName>
    <definedName name="IQ_TR_HYBRID_CONSID_PCT" hidden="1">"c2300"</definedName>
    <definedName name="IQ_TR_IMPLIED_EQ" hidden="1">"c3018"</definedName>
    <definedName name="IQ_TR_IMPLIED_EQ_BV" hidden="1">"c3019"</definedName>
    <definedName name="IQ_TR_IMPLIED_EQ_NI_LTM" hidden="1">"c3020"</definedName>
    <definedName name="IQ_TR_IMPLIED_EV" hidden="1">"c2301"</definedName>
    <definedName name="IQ_TR_IMPLIED_EV_BV" hidden="1">"c2306"</definedName>
    <definedName name="IQ_TR_IMPLIED_EV_EBIT" hidden="1">"c2302"</definedName>
    <definedName name="IQ_TR_IMPLIED_EV_EBITDA" hidden="1">"c2303"</definedName>
    <definedName name="IQ_TR_IMPLIED_EV_NI_LTM" hidden="1">"c2307"</definedName>
    <definedName name="IQ_TR_IMPLIED_EV_REV" hidden="1">"c2304"</definedName>
    <definedName name="IQ_TR_INIT_FILED_DATE" hidden="1">"c3495"</definedName>
    <definedName name="IQ_TR_LOI_DATE" hidden="1">"c2282"</definedName>
    <definedName name="IQ_TR_MAJ_MIN_STAKE" hidden="1">"c2389"</definedName>
    <definedName name="IQ_TR_NEGOTIATED_BUYBACK_PRICE" hidden="1">"c2414"</definedName>
    <definedName name="IQ_TR_NET_ASSUM_LIABILITIES" hidden="1">"c2308"</definedName>
    <definedName name="IQ_TR_NET_PROCEEDS" hidden="1">"c2267"</definedName>
    <definedName name="IQ_TR_OFFER_DATE" hidden="1">"c2265"</definedName>
    <definedName name="IQ_TR_OFFER_DATE_MA" hidden="1">"c3035"</definedName>
    <definedName name="IQ_TR_OFFER_PER_SHARE" hidden="1">"c3017"</definedName>
    <definedName name="IQ_TR_OPTIONS_CONSID_PCT" hidden="1">"c2311"</definedName>
    <definedName name="IQ_TR_OTHER_CONSID" hidden="1">"c3022"</definedName>
    <definedName name="IQ_TR_PCT_SOUGHT" hidden="1">"c2309"</definedName>
    <definedName name="IQ_TR_PFEATURES" hidden="1">"c2384"</definedName>
    <definedName name="IQ_TR_PIPE_CONV_PRICE_SHARE" hidden="1">"c2292"</definedName>
    <definedName name="IQ_TR_PIPE_CPN_PCT" hidden="1">"c2291"</definedName>
    <definedName name="IQ_TR_PIPE_NUMBER_SHARES" hidden="1">"c2293"</definedName>
    <definedName name="IQ_TR_PIPE_PPS" hidden="1">"c2290"</definedName>
    <definedName name="IQ_TR_POSTMONEY_VAL" hidden="1">"c2286"</definedName>
    <definedName name="IQ_TR_PREDEAL_SITUATION" hidden="1">"c2390"</definedName>
    <definedName name="IQ_TR_PREF_CONSID_PCT" hidden="1">"c2310"</definedName>
    <definedName name="IQ_TR_PREMONEY_VAL" hidden="1">"c2287"</definedName>
    <definedName name="IQ_TR_PRINTING_FEES" hidden="1">"c2276"</definedName>
    <definedName name="IQ_TR_PT_MONETARY_VALUES" hidden="1">"c2415"</definedName>
    <definedName name="IQ_TR_PT_NUMBER_SHARES" hidden="1">"c2417"</definedName>
    <definedName name="IQ_TR_PT_PCT_SHARES" hidden="1">"c2416"</definedName>
    <definedName name="IQ_TR_RATING_FEES" hidden="1">"c2275"</definedName>
    <definedName name="IQ_TR_REG_EFFECT_DATE" hidden="1">"c2264"</definedName>
    <definedName name="IQ_TR_REG_FILED_DATE" hidden="1">"c2263"</definedName>
    <definedName name="IQ_TR_RENEWAL_BUYBACK" hidden="1">"c2413"</definedName>
    <definedName name="IQ_TR_ROUND_NUMBER" hidden="1">"c2295"</definedName>
    <definedName name="IQ_TR_SEC_FEES" hidden="1">"c2274"</definedName>
    <definedName name="IQ_TR_SECURITY_TYPE_REG" hidden="1">"c2279"</definedName>
    <definedName name="IQ_TR_SELL_ACC_ADVISORS" hidden="1">"c3049"</definedName>
    <definedName name="IQ_TR_SELL_FIN_ADVISORS" hidden="1">"c3046"</definedName>
    <definedName name="IQ_TR_SELL_LEG_ADVISORS" hidden="1">"c2388"</definedName>
    <definedName name="IQ_TR_SELLER_ID" hidden="1">"c2406"</definedName>
    <definedName name="IQ_TR_SELLERNAME" hidden="1">"c2402"</definedName>
    <definedName name="IQ_TR_SFEATURES" hidden="1">"c2385"</definedName>
    <definedName name="IQ_TR_SH_NET_PROCEEDS" hidden="1">"c2269"</definedName>
    <definedName name="IQ_TR_SH_NET_PROCEEDS_PCT" hidden="1">"c2271"</definedName>
    <definedName name="IQ_TR_SPECIAL_COMMITTEE" hidden="1">"c2362"</definedName>
    <definedName name="IQ_TR_STATUS" hidden="1">"c2399"</definedName>
    <definedName name="IQ_TR_STOCK_CONSID_PCT" hidden="1">"c2312"</definedName>
    <definedName name="IQ_TR_SUSPENDED_DATE" hidden="1">"c2407"</definedName>
    <definedName name="IQ_TR_TARGET_52WKHI_PCT" hidden="1">"c2351"</definedName>
    <definedName name="IQ_TR_TARGET_52WKLOW_PCT" hidden="1">"c2350"</definedName>
    <definedName name="IQ_TR_TARGET_ACC_ADVISORS" hidden="1">"c3047"</definedName>
    <definedName name="IQ_TR_TARGET_CASH_ST_INVEST" hidden="1">"c2327"</definedName>
    <definedName name="IQ_TR_TARGET_CLOSEPRICE_1D" hidden="1">"c2352"</definedName>
    <definedName name="IQ_TR_TARGET_CLOSEPRICE_1M" hidden="1">"c2354"</definedName>
    <definedName name="IQ_TR_TARGET_CLOSEPRICE_1W" hidden="1">"c2353"</definedName>
    <definedName name="IQ_TR_TARGET_DILUT_EPS_EXCL" hidden="1">"c2324"</definedName>
    <definedName name="IQ_TR_TARGET_EARNING_CO" hidden="1">"c2332"</definedName>
    <definedName name="IQ_TR_TARGET_EBIT" hidden="1">"c2333"</definedName>
    <definedName name="IQ_TR_TARGET_EBIT_EQ_INC" hidden="1">"c3609"</definedName>
    <definedName name="IQ_TR_TARGET_EBITDA" hidden="1">"c2334"</definedName>
    <definedName name="IQ_TR_TARGET_EBITDA_EQ_INC" hidden="1">"c3608"</definedName>
    <definedName name="IQ_TR_TARGET_FILING_CURRENCY" hidden="1">"c3034"</definedName>
    <definedName name="IQ_TR_TARGET_FILINGDATE" hidden="1">"c3605"</definedName>
    <definedName name="IQ_TR_TARGET_FIN_ADVISORS" hidden="1">"c3044"</definedName>
    <definedName name="IQ_TR_TARGET_ID" hidden="1">"c2405"</definedName>
    <definedName name="IQ_TR_TARGET_LEG_ADVISORS" hidden="1">"c2386"</definedName>
    <definedName name="IQ_TR_TARGET_MARKETCAP" hidden="1">"c2342"</definedName>
    <definedName name="IQ_TR_TARGET_MIN_INT" hidden="1">"c2328"</definedName>
    <definedName name="IQ_TR_TARGET_NET_DEBT" hidden="1">"c2326"</definedName>
    <definedName name="IQ_TR_TARGET_NI" hidden="1">"c2331"</definedName>
    <definedName name="IQ_TR_TARGET_PERIODDATE" hidden="1">"c3604"</definedName>
    <definedName name="IQ_TR_TARGET_PRICEDATE_1D" hidden="1">"c2341"</definedName>
    <definedName name="IQ_TR_TARGET_RETURN" hidden="1">"c2355"</definedName>
    <definedName name="IQ_TR_TARGET_SEC_DETAIL" hidden="1">"c3021"</definedName>
    <definedName name="IQ_TR_TARGET_SEC_TI_ID" hidden="1">"c2368"</definedName>
    <definedName name="IQ_TR_TARGET_SEC_TYPE" hidden="1">"c2369"</definedName>
    <definedName name="IQ_TR_TARGET_SPD" hidden="1">"c2313"</definedName>
    <definedName name="IQ_TR_TARGET_SPD_PCT" hidden="1">"c2314"</definedName>
    <definedName name="IQ_TR_TARGET_STOCKPREMIUM_1D" hidden="1">"c2336"</definedName>
    <definedName name="IQ_TR_TARGET_STOCKPREMIUM_1M" hidden="1">"c2337"</definedName>
    <definedName name="IQ_TR_TARGET_STOCKPREMIUM_1W" hidden="1">"c2338"</definedName>
    <definedName name="IQ_TR_TARGET_STOCKYEARHIGH_1D" hidden="1">"c2339"</definedName>
    <definedName name="IQ_TR_TARGET_STOCKYEARLOW_1D" hidden="1">"c2340"</definedName>
    <definedName name="IQ_TR_TARGET_TOTAL_ASSETS" hidden="1">"c2325"</definedName>
    <definedName name="IQ_TR_TARGET_TOTAL_COMMON_EQ" hidden="1">"c2421"</definedName>
    <definedName name="IQ_TR_TARGET_TOTAL_DEBT" hidden="1">"c2330"</definedName>
    <definedName name="IQ_TR_TARGET_TOTAL_PREF" hidden="1">"c2329"</definedName>
    <definedName name="IQ_TR_TARGET_TOTAL_REV" hidden="1">"c2335"</definedName>
    <definedName name="IQ_TR_TARGETNAME" hidden="1">"c2403"</definedName>
    <definedName name="IQ_TR_TERM_FEE" hidden="1">"c2298"</definedName>
    <definedName name="IQ_TR_TERM_FEE_PCT" hidden="1">"c2297"</definedName>
    <definedName name="IQ_TR_TODATE" hidden="1">"c3036"</definedName>
    <definedName name="IQ_TR_TODATE_MONETARY_VALUE" hidden="1">"c2418"</definedName>
    <definedName name="IQ_TR_TODATE_NUMBER_SHARES" hidden="1">"c2420"</definedName>
    <definedName name="IQ_TR_TODATE_PCT_SHARES" hidden="1">"c2419"</definedName>
    <definedName name="IQ_TR_TOTAL_ACCT_FEES" hidden="1">"c2273"</definedName>
    <definedName name="IQ_TR_TOTAL_CASH" hidden="1">"c2315"</definedName>
    <definedName name="IQ_TR_TOTAL_CONSID_SH" hidden="1">"c2316"</definedName>
    <definedName name="IQ_TR_TOTAL_DEBT" hidden="1">"c2317"</definedName>
    <definedName name="IQ_TR_TOTAL_GROSS_TV" hidden="1">"c2318"</definedName>
    <definedName name="IQ_TR_TOTAL_HYBRID" hidden="1">"c2319"</definedName>
    <definedName name="IQ_TR_TOTAL_LEGAL_FEES" hidden="1">"c2272"</definedName>
    <definedName name="IQ_TR_TOTAL_NET_TV" hidden="1">"c2320"</definedName>
    <definedName name="IQ_TR_TOTAL_NEWMONEY" hidden="1">"c2289"</definedName>
    <definedName name="IQ_TR_TOTAL_OPTIONS" hidden="1">"c2322"</definedName>
    <definedName name="IQ_TR_TOTAL_OPTIONS_BUYER" hidden="1">"c3026"</definedName>
    <definedName name="IQ_TR_TOTAL_PREFERRED" hidden="1">"c2321"</definedName>
    <definedName name="IQ_TR_TOTAL_REG_AMT" hidden="1">"c2261"</definedName>
    <definedName name="IQ_TR_TOTAL_STOCK" hidden="1">"c2323"</definedName>
    <definedName name="IQ_TR_TOTAL_TAKEDOWNS" hidden="1">"c2278"</definedName>
    <definedName name="IQ_TR_TOTAL_UW_COMP" hidden="1">"c2280"</definedName>
    <definedName name="IQ_TR_TOTALVALUE" hidden="1">"c2400"</definedName>
    <definedName name="IQ_TR_TRANSACTION_TYPE" hidden="1">"c2398"</definedName>
    <definedName name="IQ_TR_WITHDRAWN_DTE" hidden="1">"c2266"</definedName>
    <definedName name="IQ_TRADE_AR" hidden="1">"c1345"</definedName>
    <definedName name="IQ_TRADE_PRINCIPAL" hidden="1">"c1309"</definedName>
    <definedName name="IQ_TRADING_ACCOUNT_GAINS_FEES_FDIC" hidden="1">"c6573"</definedName>
    <definedName name="IQ_TRADING_ASSETS" hidden="1">"c1310"</definedName>
    <definedName name="IQ_TRADING_ASSETS_FDIC" hidden="1">"c6328"</definedName>
    <definedName name="IQ_TRADING_CURRENCY" hidden="1">"c2212"</definedName>
    <definedName name="IQ_TRADING_ITEM_CIQID" hidden="1">"c8949"</definedName>
    <definedName name="IQ_TRADING_LIABILITIES_FDIC" hidden="1">"c6344"</definedName>
    <definedName name="IQ_TRANSACTION_ACCOUNTS_FDIC" hidden="1">"c6544"</definedName>
    <definedName name="IQ_TREASURY" hidden="1">"c1311"</definedName>
    <definedName name="IQ_TREASURY_OTHER_EQUITY" hidden="1">"c1312"</definedName>
    <definedName name="IQ_TREASURY_OTHER_EQUITY_BNK" hidden="1">"c1313"</definedName>
    <definedName name="IQ_TREASURY_OTHER_EQUITY_BR" hidden="1">"c1314"</definedName>
    <definedName name="IQ_TREASURY_OTHER_EQUITY_FIN" hidden="1">"c1315"</definedName>
    <definedName name="IQ_TREASURY_OTHER_EQUITY_INS" hidden="1">"c1316"</definedName>
    <definedName name="IQ_TREASURY_OTHER_EQUITY_RE" hidden="1">"c6276"</definedName>
    <definedName name="IQ_TREASURY_OTHER_EQUITY_REIT" hidden="1">"c1317"</definedName>
    <definedName name="IQ_TREASURY_OTHER_EQUITY_UTI" hidden="1">"c1318"</definedName>
    <definedName name="IQ_TREASURY_STOCK" hidden="1">"c1438"</definedName>
    <definedName name="IQ_TREASURY_STOCK_TRANSACTIONS_FDIC" hidden="1">"c6501"</definedName>
    <definedName name="IQ_TRUCK_ASSEMBLIES" hidden="1">"c7021"</definedName>
    <definedName name="IQ_TRUCK_ASSEMBLIES_APR" hidden="1">"c7681"</definedName>
    <definedName name="IQ_TRUCK_ASSEMBLIES_APR_FC" hidden="1">"c8561"</definedName>
    <definedName name="IQ_TRUCK_ASSEMBLIES_FC" hidden="1">"c7901"</definedName>
    <definedName name="IQ_TRUCK_ASSEMBLIES_POP" hidden="1">"c7241"</definedName>
    <definedName name="IQ_TRUCK_ASSEMBLIES_POP_FC" hidden="1">"c8121"</definedName>
    <definedName name="IQ_TRUCK_ASSEMBLIES_YOY" hidden="1">"c7461"</definedName>
    <definedName name="IQ_TRUCK_ASSEMBLIES_YOY_FC" hidden="1">"c8341"</definedName>
    <definedName name="IQ_TRUST_INC" hidden="1">"c1319"</definedName>
    <definedName name="IQ_TRUST_PREF" hidden="1">"c1320"</definedName>
    <definedName name="IQ_TRUST_PREFERRED" hidden="1">"c3029"</definedName>
    <definedName name="IQ_TRUST_PREFERRED_PCT" hidden="1">"c3030"</definedName>
    <definedName name="IQ_TRUSTEE" hidden="1">"c8959"</definedName>
    <definedName name="IQ_TWELVE_MONTHS_FIXED_AND_FLOATING_FDIC" hidden="1">"c6420"</definedName>
    <definedName name="IQ_TWELVE_MONTHS_MORTGAGE_PASS_THROUGHS_FDIC" hidden="1">"c6412"</definedName>
    <definedName name="IQ_UFCF_10YR_ANN_CAGR" hidden="1">"c6179"</definedName>
    <definedName name="IQ_UFCF_10YR_ANN_GROWTH" hidden="1">"c1948"</definedName>
    <definedName name="IQ_UFCF_1YR_ANN_GROWTH" hidden="1">"c1943"</definedName>
    <definedName name="IQ_UFCF_2YR_ANN_CAGR" hidden="1">"c6175"</definedName>
    <definedName name="IQ_UFCF_2YR_ANN_GROWTH" hidden="1">"c1944"</definedName>
    <definedName name="IQ_UFCF_3YR_ANN_CAGR" hidden="1">"c6176"</definedName>
    <definedName name="IQ_UFCF_3YR_ANN_GROWTH" hidden="1">"c1945"</definedName>
    <definedName name="IQ_UFCF_5YR_ANN_CAGR" hidden="1">"c6177"</definedName>
    <definedName name="IQ_UFCF_5YR_ANN_GROWTH" hidden="1">"c1946"</definedName>
    <definedName name="IQ_UFCF_7YR_ANN_CAGR" hidden="1">"c6178"</definedName>
    <definedName name="IQ_UFCF_7YR_ANN_GROWTH" hidden="1">"c1947"</definedName>
    <definedName name="IQ_UFCF_MARGIN" hidden="1">"c1962"</definedName>
    <definedName name="IQ_ULT_PARENT" hidden="1">"c3037"</definedName>
    <definedName name="IQ_ULT_PARENT_CIQID" hidden="1">"c3039"</definedName>
    <definedName name="IQ_ULT_PARENT_TICKER" hidden="1">"c3038"</definedName>
    <definedName name="IQ_UNAMORT_DISC" hidden="1">"c2513"</definedName>
    <definedName name="IQ_UNAMORT_DISC_PCT" hidden="1">"c2514"</definedName>
    <definedName name="IQ_UNAMORT_PREMIUM" hidden="1">"c2511"</definedName>
    <definedName name="IQ_UNAMORT_PREMIUM_PCT" hidden="1">"c2512"</definedName>
    <definedName name="IQ_UNCONSOL_BEDS" hidden="1">"c8783"</definedName>
    <definedName name="IQ_UNCONSOL_PROP" hidden="1">"c8762"</definedName>
    <definedName name="IQ_UNCONSOL_ROOMS" hidden="1">"c8787"</definedName>
    <definedName name="IQ_UNCONSOL_SQ_FT" hidden="1">"c8778"</definedName>
    <definedName name="IQ_UNCONSOL_UNITS" hidden="1">"c8770"</definedName>
    <definedName name="IQ_UNDERWRITER" hidden="1">"c8958"</definedName>
    <definedName name="IQ_UNDERWRITING_PROFIT" hidden="1">"c9975"</definedName>
    <definedName name="IQ_UNDIVIDED_PROFITS_FDIC" hidden="1">"c6352"</definedName>
    <definedName name="IQ_UNDRAWN_CP" hidden="1">"c2518"</definedName>
    <definedName name="IQ_UNDRAWN_CREDIT" hidden="1">"c3032"</definedName>
    <definedName name="IQ_UNDRAWN_RC" hidden="1">"c2517"</definedName>
    <definedName name="IQ_UNDRAWN_TL" hidden="1">"c2519"</definedName>
    <definedName name="IQ_UNEARN_PREMIUM" hidden="1">"c1321"</definedName>
    <definedName name="IQ_UNEARN_REV_CURRENT" hidden="1">"c1322"</definedName>
    <definedName name="IQ_UNEARN_REV_CURRENT_BNK" hidden="1">"c1323"</definedName>
    <definedName name="IQ_UNEARN_REV_CURRENT_BR" hidden="1">"c1324"</definedName>
    <definedName name="IQ_UNEARN_REV_CURRENT_FIN" hidden="1">"c1325"</definedName>
    <definedName name="IQ_UNEARN_REV_CURRENT_INS" hidden="1">"c1326"</definedName>
    <definedName name="IQ_UNEARN_REV_CURRENT_RE" hidden="1">"c6277"</definedName>
    <definedName name="IQ_UNEARN_REV_CURRENT_REIT" hidden="1">"c1327"</definedName>
    <definedName name="IQ_UNEARN_REV_CURRENT_UTI" hidden="1">"c1328"</definedName>
    <definedName name="IQ_UNEARN_REV_LT" hidden="1">"c1329"</definedName>
    <definedName name="IQ_UNEARNED_INCOME_FDIC" hidden="1">"c6324"</definedName>
    <definedName name="IQ_UNEARNED_INCOME_FOREIGN_FDIC" hidden="1">"c6385"</definedName>
    <definedName name="IQ_UNEMPLOYMENT_RATE" hidden="1">"c7023"</definedName>
    <definedName name="IQ_UNEMPLOYMENT_RATE_FC" hidden="1">"c7903"</definedName>
    <definedName name="IQ_UNEMPLOYMENT_RATE_POP" hidden="1">"c7243"</definedName>
    <definedName name="IQ_UNEMPLOYMENT_RATE_POP_FC" hidden="1">"c8123"</definedName>
    <definedName name="IQ_UNEMPLOYMENT_RATE_YOY" hidden="1">"c7463"</definedName>
    <definedName name="IQ_UNEMPLOYMENT_RATE_YOY_FC" hidden="1">"c8343"</definedName>
    <definedName name="IQ_UNIT_LABOR_COST_INDEX" hidden="1">"c7025"</definedName>
    <definedName name="IQ_UNIT_LABOR_COST_INDEX_APR" hidden="1">"c7685"</definedName>
    <definedName name="IQ_UNIT_LABOR_COST_INDEX_APR_FC" hidden="1">"c8565"</definedName>
    <definedName name="IQ_UNIT_LABOR_COST_INDEX_FC" hidden="1">"c7905"</definedName>
    <definedName name="IQ_UNIT_LABOR_COST_INDEX_PCT_CHANGE" hidden="1">"c7024"</definedName>
    <definedName name="IQ_UNIT_LABOR_COST_INDEX_PCT_CHANGE_FC" hidden="1">"c7904"</definedName>
    <definedName name="IQ_UNIT_LABOR_COST_INDEX_PCT_CHANGE_POP" hidden="1">"c7244"</definedName>
    <definedName name="IQ_UNIT_LABOR_COST_INDEX_PCT_CHANGE_POP_FC" hidden="1">"c8124"</definedName>
    <definedName name="IQ_UNIT_LABOR_COST_INDEX_PCT_CHANGE_YOY" hidden="1">"c7464"</definedName>
    <definedName name="IQ_UNIT_LABOR_COST_INDEX_PCT_CHANGE_YOY_FC" hidden="1">"c8344"</definedName>
    <definedName name="IQ_UNIT_LABOR_COST_INDEX_POP" hidden="1">"c7245"</definedName>
    <definedName name="IQ_UNIT_LABOR_COST_INDEX_POP_FC" hidden="1">"c8125"</definedName>
    <definedName name="IQ_UNIT_LABOR_COST_INDEX_YOY" hidden="1">"c7465"</definedName>
    <definedName name="IQ_UNIT_LABOR_COST_INDEX_YOY_FC" hidden="1">"c8345"</definedName>
    <definedName name="IQ_UNLEVERED_FCF" hidden="1">"c1908"</definedName>
    <definedName name="IQ_UNPAID_CLAIMS" hidden="1">"c1330"</definedName>
    <definedName name="IQ_UNPROFITABLE_INSTITUTIONS_FDIC" hidden="1">"c6722"</definedName>
    <definedName name="IQ_UNREALIZED_GAIN" hidden="1">"c1619"</definedName>
    <definedName name="IQ_UNSECURED_DEBT" hidden="1">"c2548"</definedName>
    <definedName name="IQ_UNSECURED_DEBT_PCT" hidden="1">"c2549"</definedName>
    <definedName name="IQ_UNUSED_LOAN_COMMITMENTS_FDIC" hidden="1">"c6368"</definedName>
    <definedName name="IQ_UNUSUAL_EXP" hidden="1">"c1456"</definedName>
    <definedName name="IQ_US_BRANCHES_FOREIGN_BANK_LOANS_FDIC" hidden="1">"c6435"</definedName>
    <definedName name="IQ_US_BRANCHES_FOREIGN_BANKS_FDIC" hidden="1">"c6390"</definedName>
    <definedName name="IQ_US_GAAP" hidden="1">"c1331"</definedName>
    <definedName name="IQ_US_GAAP_BASIC_EPS_EXCL" hidden="1">"c2984"</definedName>
    <definedName name="IQ_US_GAAP_BASIC_EPS_INCL" hidden="1">"c2982"</definedName>
    <definedName name="IQ_US_GAAP_BASIC_WEIGHT" hidden="1">"c2980"</definedName>
    <definedName name="IQ_US_GAAP_CA_ADJ" hidden="1">"c2925"</definedName>
    <definedName name="IQ_US_GAAP_CASH_FINAN" hidden="1">"c2945"</definedName>
    <definedName name="IQ_US_GAAP_CASH_FINAN_ADJ" hidden="1">"c2941"</definedName>
    <definedName name="IQ_US_GAAP_CASH_INVEST" hidden="1">"c2944"</definedName>
    <definedName name="IQ_US_GAAP_CASH_INVEST_ADJ" hidden="1">"c2940"</definedName>
    <definedName name="IQ_US_GAAP_CASH_OPER" hidden="1">"c2943"</definedName>
    <definedName name="IQ_US_GAAP_CASH_OPER_ADJ" hidden="1">"c2939"</definedName>
    <definedName name="IQ_US_GAAP_CL_ADJ" hidden="1">"c2927"</definedName>
    <definedName name="IQ_US_GAAP_COST_REV_ADJ" hidden="1">"c2951"</definedName>
    <definedName name="IQ_US_GAAP_DILUT_EPS_EXCL" hidden="1">"c2985"</definedName>
    <definedName name="IQ_US_GAAP_DILUT_EPS_INCL" hidden="1">"c2983"</definedName>
    <definedName name="IQ_US_GAAP_DILUT_NI" hidden="1">"c2979"</definedName>
    <definedName name="IQ_US_GAAP_DILUT_WEIGHT" hidden="1">"c2981"</definedName>
    <definedName name="IQ_US_GAAP_DO_ADJ" hidden="1">"c2959"</definedName>
    <definedName name="IQ_US_GAAP_EXTRA_ACC_ITEMS_ADJ" hidden="1">"c2958"</definedName>
    <definedName name="IQ_US_GAAP_INC_TAX_ADJ" hidden="1">"c2961"</definedName>
    <definedName name="IQ_US_GAAP_INTEREST_EXP_ADJ" hidden="1">"c2957"</definedName>
    <definedName name="IQ_US_GAAP_LIAB_LT_ADJ" hidden="1">"c2928"</definedName>
    <definedName name="IQ_US_GAAP_LIAB_TOTAL_LIAB" hidden="1">"c2933"</definedName>
    <definedName name="IQ_US_GAAP_MINORITY_INTEREST_IS_ADJ" hidden="1">"c2960"</definedName>
    <definedName name="IQ_US_GAAP_NCA_ADJ" hidden="1">"c2926"</definedName>
    <definedName name="IQ_US_GAAP_NET_CHANGE" hidden="1">"c2946"</definedName>
    <definedName name="IQ_US_GAAP_NET_CHANGE_ADJ" hidden="1">"c2942"</definedName>
    <definedName name="IQ_US_GAAP_NI" hidden="1">"c2976"</definedName>
    <definedName name="IQ_US_GAAP_NI_ADJ" hidden="1">"c2963"</definedName>
    <definedName name="IQ_US_GAAP_NI_AVAIL_INCL" hidden="1">"c2978"</definedName>
    <definedName name="IQ_US_GAAP_OTHER_ADJ_ADJ" hidden="1">"c2962"</definedName>
    <definedName name="IQ_US_GAAP_OTHER_NON_OPER_ADJ" hidden="1">"c2955"</definedName>
    <definedName name="IQ_US_GAAP_OTHER_OPER_ADJ" hidden="1">"c2954"</definedName>
    <definedName name="IQ_US_GAAP_RD_ADJ" hidden="1">"c2953"</definedName>
    <definedName name="IQ_US_GAAP_SGA_ADJ" hidden="1">"c2952"</definedName>
    <definedName name="IQ_US_GAAP_TOTAL_ASSETS" hidden="1">"c2931"</definedName>
    <definedName name="IQ_US_GAAP_TOTAL_EQUITY" hidden="1">"c2934"</definedName>
    <definedName name="IQ_US_GAAP_TOTAL_EQUITY_ADJ" hidden="1">"c2929"</definedName>
    <definedName name="IQ_US_GAAP_TOTAL_REV_ADJ" hidden="1">"c2950"</definedName>
    <definedName name="IQ_US_GAAP_TOTAL_UNUSUAL_ADJ" hidden="1">"c2956"</definedName>
    <definedName name="IQ_US_GOV_AGENCIES_FDIC" hidden="1">"c6395"</definedName>
    <definedName name="IQ_US_GOV_DEPOSITS_FDIC" hidden="1">"c6483"</definedName>
    <definedName name="IQ_US_GOV_ENTERPRISES_FDIC" hidden="1">"c6396"</definedName>
    <definedName name="IQ_US_GOV_NONCURRENT_LOANS_TOTAL_NONCURRENT_FDIC" hidden="1">"c6779"</definedName>
    <definedName name="IQ_US_GOV_NONTRANSACTION_ACCOUNTS_FDIC" hidden="1">"c6546"</definedName>
    <definedName name="IQ_US_GOV_OBLIGATIONS_FDIC" hidden="1">"c6299"</definedName>
    <definedName name="IQ_US_GOV_SECURITIES_FDIC" hidden="1">"c6297"</definedName>
    <definedName name="IQ_US_GOV_TOTAL_DEPOSITS_FDIC" hidden="1">"c6472"</definedName>
    <definedName name="IQ_US_GOV_TRANSACTION_ACCOUNTS_FDIC" hidden="1">"c6538"</definedName>
    <definedName name="IQ_US_TREASURY_SECURITIES_FDIC" hidden="1">"c6298"</definedName>
    <definedName name="IQ_UTIL_PPE_NET" hidden="1">"c1620"</definedName>
    <definedName name="IQ_UTIL_REV" hidden="1">"c2091"</definedName>
    <definedName name="IQ_UV_PENSION_LIAB" hidden="1">"c1332"</definedName>
    <definedName name="IQ_VALUATION_ALLOWANCES_FDIC" hidden="1">"c6400"</definedName>
    <definedName name="IQ_VALUE_TRADED" hidden="1">"c1519"</definedName>
    <definedName name="IQ_VALUE_TRADED_LAST_3MTH" hidden="1">"c1530"</definedName>
    <definedName name="IQ_VALUE_TRADED_LAST_6MTH" hidden="1">"c1531"</definedName>
    <definedName name="IQ_VALUE_TRADED_LAST_MTH" hidden="1">"c1529"</definedName>
    <definedName name="IQ_VALUE_TRADED_LAST_WK" hidden="1">"c1528"</definedName>
    <definedName name="IQ_VALUE_TRADED_LAST_YR" hidden="1">"c1532"</definedName>
    <definedName name="IQ_VC_REVENUE_FDIC" hidden="1">"c6667"</definedName>
    <definedName name="IQ_VEHICLE_ASSEMBLIES_LIGHT" hidden="1">"c6905"</definedName>
    <definedName name="IQ_VEHICLE_ASSEMBLIES_LIGHT_APR" hidden="1">"c7565"</definedName>
    <definedName name="IQ_VEHICLE_ASSEMBLIES_LIGHT_APR_FC" hidden="1">"c8445"</definedName>
    <definedName name="IQ_VEHICLE_ASSEMBLIES_LIGHT_FC" hidden="1">"c7785"</definedName>
    <definedName name="IQ_VEHICLE_ASSEMBLIES_LIGHT_NEW" hidden="1">"c6925"</definedName>
    <definedName name="IQ_VEHICLE_ASSEMBLIES_LIGHT_NEW_APR" hidden="1">"c7585"</definedName>
    <definedName name="IQ_VEHICLE_ASSEMBLIES_LIGHT_NEW_APR_FC" hidden="1">"c8465"</definedName>
    <definedName name="IQ_VEHICLE_ASSEMBLIES_LIGHT_NEW_FC" hidden="1">"c7805"</definedName>
    <definedName name="IQ_VEHICLE_ASSEMBLIES_LIGHT_NEW_POP" hidden="1">"c7145"</definedName>
    <definedName name="IQ_VEHICLE_ASSEMBLIES_LIGHT_NEW_POP_FC" hidden="1">"c8025"</definedName>
    <definedName name="IQ_VEHICLE_ASSEMBLIES_LIGHT_NEW_YOY" hidden="1">"c7365"</definedName>
    <definedName name="IQ_VEHICLE_ASSEMBLIES_LIGHT_NEW_YOY_FC" hidden="1">"c8245"</definedName>
    <definedName name="IQ_VEHICLE_ASSEMBLIES_LIGHT_POP" hidden="1">"c7125"</definedName>
    <definedName name="IQ_VEHICLE_ASSEMBLIES_LIGHT_POP_FC" hidden="1">"c8005"</definedName>
    <definedName name="IQ_VEHICLE_ASSEMBLIES_LIGHT_YOY" hidden="1">"c7345"</definedName>
    <definedName name="IQ_VEHICLE_ASSEMBLIES_LIGHT_YOY_FC" hidden="1">"c8225"</definedName>
    <definedName name="IQ_VEHICLE_ASSEMBLIES_TOTAL" hidden="1">"c7020"</definedName>
    <definedName name="IQ_VEHICLE_ASSEMBLIES_TOTAL_APR" hidden="1">"c7680"</definedName>
    <definedName name="IQ_VEHICLE_ASSEMBLIES_TOTAL_APR_FC" hidden="1">"c8560"</definedName>
    <definedName name="IQ_VEHICLE_ASSEMBLIES_TOTAL_FC" hidden="1">"c7900"</definedName>
    <definedName name="IQ_VEHICLE_ASSEMBLIES_TOTAL_POP" hidden="1">"c7240"</definedName>
    <definedName name="IQ_VEHICLE_ASSEMBLIES_TOTAL_POP_FC" hidden="1">"c8120"</definedName>
    <definedName name="IQ_VEHICLE_ASSEMBLIES_TOTAL_YOY" hidden="1">"c7460"</definedName>
    <definedName name="IQ_VEHICLE_ASSEMBLIES_TOTAL_YOY_FC" hidden="1">"c8340"</definedName>
    <definedName name="IQ_VIF_AFTER_COST_CAPITAL_COVERED" hidden="1">"c9966"</definedName>
    <definedName name="IQ_VIF_AFTER_COST_CAPITAL_GROUP" hidden="1">"c9952"</definedName>
    <definedName name="IQ_VIF_BEFORE_COST_CAPITAL_COVERED" hidden="1">"c9964"</definedName>
    <definedName name="IQ_VIF_BEFORE_COST_CAPITAL_GROUP" hidden="1">"c9950"</definedName>
    <definedName name="IQ_VOL_LAST_3MTH" hidden="1">"c1525"</definedName>
    <definedName name="IQ_VOL_LAST_6MTH" hidden="1">"c1526"</definedName>
    <definedName name="IQ_VOL_LAST_MTH" hidden="1">"c1524"</definedName>
    <definedName name="IQ_VOL_LAST_WK" hidden="1">"c1523"</definedName>
    <definedName name="IQ_VOL_LAST_YR" hidden="1">"c1527"</definedName>
    <definedName name="IQ_VOLATILE_LIABILITIES_FDIC" hidden="1">"c6364"</definedName>
    <definedName name="IQ_VOLUME" hidden="1">"c1333"</definedName>
    <definedName name="IQ_WAC_CURRENT" hidden="1">"c8961"</definedName>
    <definedName name="IQ_WAC_ORIGINAL" hidden="1">"c8953"</definedName>
    <definedName name="IQ_WAM_CURRENT" hidden="1">"c8962"</definedName>
    <definedName name="IQ_WAM_ORIGINAL" hidden="1">"c8952"</definedName>
    <definedName name="IQ_WARRANTS_BEG_OS" hidden="1">"c2698"</definedName>
    <definedName name="IQ_WARRANTS_CANCELLED" hidden="1">"c2701"</definedName>
    <definedName name="IQ_WARRANTS_END_OS" hidden="1">"c2702"</definedName>
    <definedName name="IQ_WARRANTS_EXERCISED" hidden="1">"c2700"</definedName>
    <definedName name="IQ_WARRANTS_ISSUED" hidden="1">"c2699"</definedName>
    <definedName name="IQ_WARRANTS_STRIKE_PRICE_ISSUED" hidden="1">"c2704"</definedName>
    <definedName name="IQ_WARRANTS_STRIKE_PRICE_OS" hidden="1">"c2703"</definedName>
    <definedName name="IQ_WEEK" hidden="1">50000</definedName>
    <definedName name="IQ_WEIGHTED_AVG_PRICE" hidden="1">"c1334"</definedName>
    <definedName name="IQ_WHOLESALE_INVENTORIES" hidden="1">"c7027"</definedName>
    <definedName name="IQ_WHOLESALE_INVENTORIES_APR" hidden="1">"c7687"</definedName>
    <definedName name="IQ_WHOLESALE_INVENTORIES_APR_FC" hidden="1">"c8567"</definedName>
    <definedName name="IQ_WHOLESALE_INVENTORIES_FC" hidden="1">"c7907"</definedName>
    <definedName name="IQ_WHOLESALE_INVENTORIES_POP" hidden="1">"c7247"</definedName>
    <definedName name="IQ_WHOLESALE_INVENTORIES_POP_FC" hidden="1">"c8127"</definedName>
    <definedName name="IQ_WHOLESALE_INVENTORIES_YOY" hidden="1">"c7467"</definedName>
    <definedName name="IQ_WHOLESALE_INVENTORIES_YOY_FC" hidden="1">"c8347"</definedName>
    <definedName name="IQ_WHOLESALE_IS_RATIO" hidden="1">"c7026"</definedName>
    <definedName name="IQ_WHOLESALE_IS_RATIO_FC" hidden="1">"c7906"</definedName>
    <definedName name="IQ_WHOLESALE_IS_RATIO_POP" hidden="1">"c7246"</definedName>
    <definedName name="IQ_WHOLESALE_IS_RATIO_POP_FC" hidden="1">"c8126"</definedName>
    <definedName name="IQ_WHOLESALE_IS_RATIO_YOY" hidden="1">"c7466"</definedName>
    <definedName name="IQ_WHOLESALE_IS_RATIO_YOY_FC" hidden="1">"c8346"</definedName>
    <definedName name="IQ_WHOLESALE_SALES" hidden="1">"c7028"</definedName>
    <definedName name="IQ_WHOLESALE_SALES_APR" hidden="1">"c7688"</definedName>
    <definedName name="IQ_WHOLESALE_SALES_APR_FC" hidden="1">"c8568"</definedName>
    <definedName name="IQ_WHOLESALE_SALES_FC" hidden="1">"c7908"</definedName>
    <definedName name="IQ_WHOLESALE_SALES_INDEX" hidden="1">"c7029"</definedName>
    <definedName name="IQ_WHOLESALE_SALES_INDEX_APR" hidden="1">"c7689"</definedName>
    <definedName name="IQ_WHOLESALE_SALES_INDEX_APR_FC" hidden="1">"c8569"</definedName>
    <definedName name="IQ_WHOLESALE_SALES_INDEX_FC" hidden="1">"c7909"</definedName>
    <definedName name="IQ_WHOLESALE_SALES_INDEX_POP" hidden="1">"c7249"</definedName>
    <definedName name="IQ_WHOLESALE_SALES_INDEX_POP_FC" hidden="1">"c8129"</definedName>
    <definedName name="IQ_WHOLESALE_SALES_INDEX_YOY" hidden="1">"c7469"</definedName>
    <definedName name="IQ_WHOLESALE_SALES_INDEX_YOY_FC" hidden="1">"c8349"</definedName>
    <definedName name="IQ_WHOLESALE_SALES_POP" hidden="1">"c7248"</definedName>
    <definedName name="IQ_WHOLESALE_SALES_POP_FC" hidden="1">"c8128"</definedName>
    <definedName name="IQ_WHOLESALE_SALES_YOY" hidden="1">"c7468"</definedName>
    <definedName name="IQ_WHOLESALE_SALES_YOY_FC" hidden="1">"c8348"</definedName>
    <definedName name="IQ_WIP_INV" hidden="1">"c1335"</definedName>
    <definedName name="IQ_WORKING_CAP" hidden="1">"c3494"</definedName>
    <definedName name="IQ_WORKMEN_WRITTEN" hidden="1">"c1336"</definedName>
    <definedName name="IQ_WRITTEN_OPTION_CONTRACTS_FDIC" hidden="1">"c6509"</definedName>
    <definedName name="IQ_WRITTEN_OPTION_CONTRACTS_FX_RISK_FDIC" hidden="1">"c6514"</definedName>
    <definedName name="IQ_WRITTEN_OPTION_CONTRACTS_NON_FX_IR_FDIC" hidden="1">"c6519"</definedName>
    <definedName name="IQ_XDIV_DATE" hidden="1">"c2104"</definedName>
    <definedName name="IQ_YEAR_FOUNDED" hidden="1">"c6793"</definedName>
    <definedName name="IQ_YEARHIGH" hidden="1">"c1337"</definedName>
    <definedName name="IQ_YEARHIGH_DATE" hidden="1">"c2250"</definedName>
    <definedName name="IQ_YEARLOW" hidden="1">"c1338"</definedName>
    <definedName name="IQ_YEARLOW_DATE" hidden="1">"c2251"</definedName>
    <definedName name="IQ_YTD" hidden="1">3000</definedName>
    <definedName name="IQ_YTDMONTH" hidden="1">130000</definedName>
    <definedName name="IQ_YTW" hidden="1">"c2163"</definedName>
    <definedName name="IQ_YTW_DATE" hidden="1">"c2164"</definedName>
    <definedName name="IQ_YTW_DATE_TYPE" hidden="1">"c2165"</definedName>
    <definedName name="IQ_Z_SCORE" hidden="1">"c1339"</definedName>
    <definedName name="irr">#REF!</definedName>
    <definedName name="Item1">#REF!</definedName>
    <definedName name="Item10">#REF!</definedName>
    <definedName name="Item2">#REF!</definedName>
    <definedName name="Item3">#REF!</definedName>
    <definedName name="Item4">#REF!</definedName>
    <definedName name="Item5">#REF!</definedName>
    <definedName name="Item6">#REF!</definedName>
    <definedName name="Item7">#REF!</definedName>
    <definedName name="Item8">#REF!</definedName>
    <definedName name="Item9">#REF!</definedName>
    <definedName name="ItemLabel1">#REF!</definedName>
    <definedName name="ItemLabel10">#REF!</definedName>
    <definedName name="ItemLabel2">#REF!</definedName>
    <definedName name="ItemLabel3">#REF!</definedName>
    <definedName name="ItemLabel4">#REF!</definedName>
    <definedName name="ItemLabel5">#REF!</definedName>
    <definedName name="ItemLabel6">#REF!</definedName>
    <definedName name="ItemLabel7">#REF!</definedName>
    <definedName name="ItemLabel8">#REF!</definedName>
    <definedName name="ItemLabel9">#REF!</definedName>
    <definedName name="jkj" hidden="1">{"mult96",#N/A,FALSE,"PETCOMP";"est96",#N/A,FALSE,"PETCOMP";"mult95",#N/A,FALSE,"PETCOMP";"est95",#N/A,FALSE,"PETCOMP";"multltm",#N/A,FALSE,"PETCOMP";"resultltm",#N/A,FALSE,"PETCOMP"}</definedName>
    <definedName name="Key">#REF!</definedName>
    <definedName name="KNE">#REF!</definedName>
    <definedName name="L">#REF!</definedName>
    <definedName name="lag">#REF!</definedName>
    <definedName name="lan" hidden="1">{#N/A,#N/A,TRUE,"BT M200 da 10x20"}</definedName>
    <definedName name="LatestFYE">#REF!</definedName>
    <definedName name="LBO">#REF!</definedName>
    <definedName name="Less__Cash_and_Equivalents">#REF!</definedName>
    <definedName name="LFQ">#REF!</definedName>
    <definedName name="LFY">#REF!</definedName>
    <definedName name="LIBOR">#REF!</definedName>
    <definedName name="Long_Term_Debt">#REF!</definedName>
    <definedName name="Look1Area">#REF!</definedName>
    <definedName name="Look2Area">#REF!</definedName>
    <definedName name="Look3Area">#REF!</definedName>
    <definedName name="Look4Area">#REF!</definedName>
    <definedName name="Look5Area">#REF!</definedName>
    <definedName name="LowDate">#REF!</definedName>
    <definedName name="LowPrice">#REF!</definedName>
    <definedName name="ltdebtinterestrate">#REF!</definedName>
    <definedName name="LTEPSGrowth">#REF!</definedName>
    <definedName name="LTM">#REF!</definedName>
    <definedName name="LTM_Asset_Sales">#REF!</definedName>
    <definedName name="LTM_ATCF___LTM_Revenues">#REF!</definedName>
    <definedName name="LTM_Capex">#REF!</definedName>
    <definedName name="LTM_Capitalized_Interest">#REF!</definedName>
    <definedName name="LTM_Cash_Flow">#REF!</definedName>
    <definedName name="LTM_Current_Income_Tax">#REF!</definedName>
    <definedName name="LTM_DD_A">#REF!</definedName>
    <definedName name="LTM_Deferred_Income_Tax">#REF!</definedName>
    <definedName name="LTM_EBIT">#REF!</definedName>
    <definedName name="LTM_EBITDAX">#REF!</definedName>
    <definedName name="LTM_Exploration_Expense">#REF!</definedName>
    <definedName name="LTM_High">#REF!</definedName>
    <definedName name="LTM_Interest_Expense">#REF!</definedName>
    <definedName name="LTM_Low">#REF!</definedName>
    <definedName name="LTM_Minority_Interest">#REF!</definedName>
    <definedName name="LTM_Net_Income">#REF!</definedName>
    <definedName name="LTM_Non_Cash_Items">#REF!</definedName>
    <definedName name="LTM_Other_Income">#REF!</definedName>
    <definedName name="LTM_Revenue">#REF!</definedName>
    <definedName name="LTM_Weighted_Average_Shares_Outstanding">#REF!</definedName>
    <definedName name="LTMBal">#REF!</definedName>
    <definedName name="LTMCapEx">#REF!</definedName>
    <definedName name="LTMCashFlow">#REF!</definedName>
    <definedName name="LTMEBIT">#REF!</definedName>
    <definedName name="LTMEBITDA">#REF!</definedName>
    <definedName name="LTMGrossProfit">#REF!</definedName>
    <definedName name="LTMInc">#REF!</definedName>
    <definedName name="LTMNetInc">#REF!</definedName>
    <definedName name="LTMOther1">#REF!</definedName>
    <definedName name="LTMOther2">#REF!</definedName>
    <definedName name="LTMOther3">#REF!</definedName>
    <definedName name="LTMRevenues">#REF!</definedName>
    <definedName name="LTMShares">#REF!</definedName>
    <definedName name="Market____Book_Value">#REF!</definedName>
    <definedName name="Market_Value">#REF!</definedName>
    <definedName name="Market_Value___Book_Value">#REF!</definedName>
    <definedName name="Market_Value_1">#REF!</definedName>
    <definedName name="Market_Value_of_Reserves___After_Tax_SEC_10_Value">#REF!</definedName>
    <definedName name="Market_Value_of_Reserves___Proved_BOE">#REF!</definedName>
    <definedName name="Market_Value_of_Reserves___Proved_BOE_10">#REF!</definedName>
    <definedName name="MarketCap">#REF!</definedName>
    <definedName name="marketprice">#REF!</definedName>
    <definedName name="MATrig">#REF!</definedName>
    <definedName name="Median1">#REF!</definedName>
    <definedName name="Median2">#REF!</definedName>
    <definedName name="Median3">#REF!</definedName>
    <definedName name="Median4">#REF!</definedName>
    <definedName name="Median5">#REF!</definedName>
    <definedName name="Median6">#REF!</definedName>
    <definedName name="Median7">#REF!</definedName>
    <definedName name="Median8">#REF!</definedName>
    <definedName name="Median9">#REF!</definedName>
    <definedName name="mincash">#REF!</definedName>
    <definedName name="MinInt">#REF!</definedName>
    <definedName name="MinIntInc">#REF!</definedName>
    <definedName name="MinIntMarket">#REF!</definedName>
    <definedName name="Minority_Interest">#REF!</definedName>
    <definedName name="MktVal">#REF!</definedName>
    <definedName name="mm" hidden="1">{"adj95mult",#N/A,FALSE,"COMPCO";"adj95est",#N/A,FALSE,"COMPCO"}</definedName>
    <definedName name="MultDCFValue">#REF!</definedName>
    <definedName name="MULTIPLES">#REF!</definedName>
    <definedName name="MultStep">#REF!</definedName>
    <definedName name="MV___1997E_Cash_Flow">#REF!</definedName>
    <definedName name="MV___1997E_Net_Income">#REF!</definedName>
    <definedName name="MV___1998E_Cash_Flow">#REF!</definedName>
    <definedName name="MV___1998E_Net_Income">#REF!</definedName>
    <definedName name="MV___LTM_Cash_Flow">#REF!</definedName>
    <definedName name="MV___LTM_Net_Income">#REF!</definedName>
    <definedName name="NCA">#REF!</definedName>
    <definedName name="Net_Total_Book_Capitalization">#REF!</definedName>
    <definedName name="netdebt">#REF!</definedName>
    <definedName name="NetDebtBook">#REF!</definedName>
    <definedName name="NetDebtEBITDA">#REF!</definedName>
    <definedName name="NetDebtEnt">#REF!</definedName>
    <definedName name="NetInc">#REF!</definedName>
    <definedName name="NetIncGrowth">#REF!</definedName>
    <definedName name="NetIncMargin">#REF!</definedName>
    <definedName name="new" hidden="1">{"Graphic",#N/A,TRUE,"Graphic"}</definedName>
    <definedName name="NGL">#REF!</definedName>
    <definedName name="nnn" hidden="1">{"Graphic",#N/A,TRUE,"Graphic"}</definedName>
    <definedName name="NonOpExp">#REF!</definedName>
    <definedName name="Number">#REF!</definedName>
    <definedName name="Number_Shares">#REF!</definedName>
    <definedName name="NWC">#REF!</definedName>
    <definedName name="NWCMargin">#REF!</definedName>
    <definedName name="one" hidden="1">{"adj95mult",#N/A,FALSE,"COMPCO";"adj95est",#N/A,FALSE,"COMPCO"}</definedName>
    <definedName name="ooo" hidden="1">{"Graphic",#N/A,TRUE,"Graphic"}</definedName>
    <definedName name="opcase">#REF!</definedName>
    <definedName name="OptionPrice">#REF!</definedName>
    <definedName name="Options">#REF!</definedName>
    <definedName name="OptionsTrig">#REF!</definedName>
    <definedName name="OtherLabel1">#REF!</definedName>
    <definedName name="OtherLabel2">#REF!</definedName>
    <definedName name="OtherLabel3">#REF!</definedName>
    <definedName name="OtherOpExp">#REF!</definedName>
    <definedName name="OtherRiskPremium">#REF!</definedName>
    <definedName name="Over">#REF!</definedName>
    <definedName name="OWN">#REF!</definedName>
    <definedName name="PageNum">#REF!</definedName>
    <definedName name="PBV">#REF!</definedName>
    <definedName name="PCT">#REF!</definedName>
    <definedName name="Peers">OFFSET(#REF!,0,0,MATCH("*",#REF!,-1),1)</definedName>
    <definedName name="PEERS2">OFFSET(#REF!,0,0,MATCH("*",#REF!,-1),1)</definedName>
    <definedName name="PEL">#REF!</definedName>
    <definedName name="PELTM">#REF!</definedName>
    <definedName name="PFQ">#REF!</definedName>
    <definedName name="PHPXrate">#REF!</definedName>
    <definedName name="pik">#REF!</definedName>
    <definedName name="PipeEq">#REF!</definedName>
    <definedName name="PoliticalRiskPremium">#REF!</definedName>
    <definedName name="postdep">#REF!</definedName>
    <definedName name="ppp" hidden="1">{"DCF","UPSIDE CASE",FALSE,"Sheet1";"DCF","BASE CASE",FALSE,"Sheet1";"DCF","DOWNSIDE CASE",FALSE,"Sheet1"}</definedName>
    <definedName name="predep">#REF!</definedName>
    <definedName name="PrefDivPaid">#REF!</definedName>
    <definedName name="Preferred">#REF!</definedName>
    <definedName name="Preferred_Stock">#REF!</definedName>
    <definedName name="PrefPrice1">#REF!</definedName>
    <definedName name="PrefPrice2">#REF!</definedName>
    <definedName name="PrefShares1">#REF!</definedName>
    <definedName name="PrefShares2">#REF!</definedName>
    <definedName name="PretaxInc">#REF!</definedName>
    <definedName name="PretaxIncMargin">#REF!</definedName>
    <definedName name="PretaxItems1">#REF!</definedName>
    <definedName name="PretaxItems2">#REF!</definedName>
    <definedName name="PretaxItems3">#REF!</definedName>
    <definedName name="PretaxItems4">#REF!</definedName>
    <definedName name="Price">#REF!</definedName>
    <definedName name="PriceDate">#REF!</definedName>
    <definedName name="Prices">#REF!</definedName>
    <definedName name="_xlnm.Print_Titles" localSheetId="0">Read_python!$1:$1</definedName>
    <definedName name="Print_Titles_MI">#N/A</definedName>
    <definedName name="Proj">#REF!</definedName>
    <definedName name="ProjectName">#REF!</definedName>
    <definedName name="PS_Exec">#REF!</definedName>
    <definedName name="PS_Others">#REF!</definedName>
    <definedName name="PS_Sales">#REF!</definedName>
    <definedName name="PS_SMT">#REF!</definedName>
    <definedName name="PT_BusDev">#REF!</definedName>
    <definedName name="PT_Others">#REF!</definedName>
    <definedName name="PT_SMT">#REF!</definedName>
    <definedName name="PTBV">#REF!</definedName>
    <definedName name="PVOther">#REF!</definedName>
    <definedName name="q">#REF!</definedName>
    <definedName name="qact">#REF!</definedName>
    <definedName name="qq" hidden="1">{"adj95mult",#N/A,FALSE,"COMPCO";"adj95est",#N/A,FALSE,"COMPCO"}</definedName>
    <definedName name="QuickRatio">#REF!</definedName>
    <definedName name="RD">#REF!</definedName>
    <definedName name="RDMargin">#REF!</definedName>
    <definedName name="remainpredep">#REF!</definedName>
    <definedName name="Rent">#REF!</definedName>
    <definedName name="rep" hidden="1">{#N/A,#N/A,FALSE,"COVER";#N/A,#N/A,FALSE,"VALUATION";#N/A,#N/A,FALSE,"FORECAST";#N/A,#N/A,FALSE,"FY ANALYSIS ";#N/A,#N/A,FALSE," HY ANALYSIS"}</definedName>
    <definedName name="ReportEPS">#REF!</definedName>
    <definedName name="ReportEPSLTM">#REF!</definedName>
    <definedName name="ReportNetInc">#REF!</definedName>
    <definedName name="ReportPELTM">#REF!</definedName>
    <definedName name="RepurchShares">#REF!</definedName>
    <definedName name="ResearchSource">#REF!</definedName>
    <definedName name="RevenueGrowth">#REF!</definedName>
    <definedName name="Revenues">#REF!</definedName>
    <definedName name="RiskFreeRate">#REF!</definedName>
    <definedName name="RMonth1">#REF!</definedName>
    <definedName name="rms" hidden="1">{"adj95mult",#N/A,FALSE,"COMPCO";"adj95est",#N/A,FALSE,"COMPCO"}</definedName>
    <definedName name="ROA">#REF!</definedName>
    <definedName name="ROE">#REF!</definedName>
    <definedName name="rows_array">{"Country",0,"Auto","Auto",""}</definedName>
    <definedName name="rt" hidden="1">{"EVA",#N/A,FALSE,"EVA";"WACC",#N/A,FALSE,"WACC"}</definedName>
    <definedName name="rtgh" hidden="1">{TRUE,TRUE,-2,-16.25,774,494.25,FALSE,TRUE,TRUE,TRUE,0,32,#N/A,1,#N/A,31.0666666666667,63.6451612903226,1,FALSE,FALSE,3,TRUE,1,FALSE,75,"Swvu.Page3.","ACwvu.Page3.",#N/A,FALSE,FALSE,0.236220472440945,0.275590551181102,0.236220472440945,0.275590551181102,2,"","",TRUE,TRUE,FALSE,FALSE,1,83,#N/A,#N/A,"=R4C48:R64C71",FALSE,"Rwvu.Page3.","Cwvu.Page3.",FALSE,FALSE,TRUE,1,#N/A,#N/A,FALSE,FALSE,TRUE,TRUE,TRUE}</definedName>
    <definedName name="Rwvu.Page1." hidden="1">#REF!</definedName>
    <definedName name="Rwvu.Page2." hidden="1">#REF!</definedName>
    <definedName name="Rwvu.Page3." hidden="1">#REF!</definedName>
    <definedName name="Rwvu.Page4." hidden="1">#REF!</definedName>
    <definedName name="s">{"EVA",#N/A,FALSE,"EVA";"WACC",#N/A,FALSE,"WACC"}</definedName>
    <definedName name="sad">#REF!</definedName>
    <definedName name="SARPrice">#REF!</definedName>
    <definedName name="SARs">#REF!</definedName>
    <definedName name="Scenario">#REF!</definedName>
    <definedName name="Sens">#REF!</definedName>
    <definedName name="SGA">#REF!</definedName>
    <definedName name="SGAMargin">#REF!</definedName>
    <definedName name="Share_Price" localSheetId="3">#REF!</definedName>
    <definedName name="Share_Price">Inputs!$E$17</definedName>
    <definedName name="Shares">#REF!</definedName>
    <definedName name="Shares_Outstanding">#REF!</definedName>
    <definedName name="SharesConv">#REF!</definedName>
    <definedName name="SharesOptions">#REF!</definedName>
    <definedName name="Short_Term_Debt">#REF!</definedName>
    <definedName name="SIC">#REF!</definedName>
    <definedName name="Sites_Others">#REF!</definedName>
    <definedName name="Sites_PIs">#REF!</definedName>
    <definedName name="sizes">FALSE</definedName>
    <definedName name="sName">#N/A</definedName>
    <definedName name="SNT">#REF!</definedName>
    <definedName name="solver_lin" hidden="1">0</definedName>
    <definedName name="solver_num" hidden="1">0</definedName>
    <definedName name="solver_typ" hidden="1">3</definedName>
    <definedName name="solver_val" hidden="1">0</definedName>
    <definedName name="Special">#REF!</definedName>
    <definedName name="Spot_FX">#REF!</definedName>
    <definedName name="spotAUD">#REF!</definedName>
    <definedName name="SpreadsheetBuilder_1" hidden="1">#REF!</definedName>
    <definedName name="Stat1">#REF!</definedName>
    <definedName name="Stat10">#REF!</definedName>
    <definedName name="Stat2">#REF!</definedName>
    <definedName name="Stat3">#REF!</definedName>
    <definedName name="Stat4">#REF!</definedName>
    <definedName name="Stat5">#REF!</definedName>
    <definedName name="Stat6">#REF!</definedName>
    <definedName name="Stat7">#REF!</definedName>
    <definedName name="Stat8">#REF!</definedName>
    <definedName name="Stat9">#REF!</definedName>
    <definedName name="StatLabel1">#REF!</definedName>
    <definedName name="StatLabel10">#REF!</definedName>
    <definedName name="StatLabel2">#REF!</definedName>
    <definedName name="StatLabel3">#REF!</definedName>
    <definedName name="StatLabel4">#REF!</definedName>
    <definedName name="StatLabel5">#REF!</definedName>
    <definedName name="StatLabel6">#REF!</definedName>
    <definedName name="StatLabel7">#REF!</definedName>
    <definedName name="StatLabel8">#REF!</definedName>
    <definedName name="StatLabel9">#REF!</definedName>
    <definedName name="STDebt">#REF!</definedName>
    <definedName name="stdebtinterestrate">#REF!</definedName>
    <definedName name="StkPr">#REF!</definedName>
    <definedName name="StockExch">#REF!</definedName>
    <definedName name="StrLTDebt">#REF!</definedName>
    <definedName name="StrPref">#REF!</definedName>
    <definedName name="StrPrefLiq">#REF!</definedName>
    <definedName name="SWN">#REF!</definedName>
    <definedName name="Swvu.Page4." hidden="1">#REF!</definedName>
    <definedName name="Symbol">#REF!</definedName>
    <definedName name="t">#REF!</definedName>
    <definedName name="Tar">#REF!</definedName>
    <definedName name="target_price">Valuation!$H$124</definedName>
    <definedName name="TargetPrice" localSheetId="3">#REF!</definedName>
    <definedName name="TargetPrice">#REF!</definedName>
    <definedName name="TargetTaxRate">#REF!</definedName>
    <definedName name="tax">#REF!</definedName>
    <definedName name="Tax_Rate" localSheetId="3">#REF!</definedName>
    <definedName name="Tax_Rate">Inputs!$L$4</definedName>
    <definedName name="Taxes">#REF!</definedName>
    <definedName name="taxrate">#REF!</definedName>
    <definedName name="TaxRate1">#REF!</definedName>
    <definedName name="TaxRate2">#REF!</definedName>
    <definedName name="TaxRate3">#REF!</definedName>
    <definedName name="TaxRate4">#REF!</definedName>
    <definedName name="TBV">#REF!</definedName>
    <definedName name="te" hidden="1">{"EVA",#N/A,FALSE,"EVA";"WACC",#N/A,FALSE,"WACC"}</definedName>
    <definedName name="TEJ">#REF!</definedName>
    <definedName name="TemplatePrintArea">#REF!</definedName>
    <definedName name="test" hidden="1">{"DCF","UPSIDE CASE",FALSE,"Sheet1";"DCF","BASE CASE",FALSE,"Sheet1";"DCF","DOWNSIDE CASE",FALSE,"Sheet1"}</definedName>
    <definedName name="Third">#REF!</definedName>
    <definedName name="THX">#REF!</definedName>
    <definedName name="Ticker" localSheetId="3">#REF!</definedName>
    <definedName name="Ticker">Inputs!$E$5</definedName>
    <definedName name="Ticker_Symbol">#REF!</definedName>
    <definedName name="TickerCell">#REF!</definedName>
    <definedName name="TK">#REF!</definedName>
    <definedName name="Total__MMboe___Year__Production">#REF!</definedName>
    <definedName name="Total__MMboe__Reserves">#REF!</definedName>
    <definedName name="Total_Book_Capitalization">#REF!</definedName>
    <definedName name="Total_Debt___Total_Book_Capitalization">#REF!</definedName>
    <definedName name="Total_Debt___Total_Market_Capitalization">#REF!</definedName>
    <definedName name="TotalAssets">#REF!</definedName>
    <definedName name="TotalDebt">#REF!</definedName>
    <definedName name="TotalPref">#REF!</definedName>
    <definedName name="TPC">#REF!</definedName>
    <definedName name="TPLT">#REF!</definedName>
    <definedName name="tr" hidden="1">{"adj95mult",#N/A,FALSE,"COMPCO";"adj95est",#N/A,FALSE,"COMPCO"}</definedName>
    <definedName name="trancase">#REF!</definedName>
    <definedName name="tre" hidden="1">{"mult96",#N/A,FALSE,"PETCOMP";"est96",#N/A,FALSE,"PETCOMP";"mult95",#N/A,FALSE,"PETCOMP";"est95",#N/A,FALSE,"PETCOMP";"multltm",#N/A,FALSE,"PETCOMP";"resultltm",#N/A,FALSE,"PETCOMP"}</definedName>
    <definedName name="TRP">#REF!</definedName>
    <definedName name="type">#REF!</definedName>
    <definedName name="UnleveredBetas">#REF!</definedName>
    <definedName name="UpdateCell">#REF!</definedName>
    <definedName name="upper">#REF!</definedName>
    <definedName name="US">#REF!</definedName>
    <definedName name="User">#REF!</definedName>
    <definedName name="USInflation">#REF!</definedName>
    <definedName name="ValidationList_Currency">#REF!</definedName>
    <definedName name="ValidationList_Period">#REF!</definedName>
    <definedName name="ValidationList_Sort">#REF!</definedName>
    <definedName name="Valuation_Date" localSheetId="3">#REF!</definedName>
    <definedName name="Valuation_Date">Inputs!$E$7</definedName>
    <definedName name="vvv" hidden="1">{"DCF","UPSIDE CASE",FALSE,"Sheet1";"DCF","BASE CASE",FALSE,"Sheet1";"DCF","DOWNSIDE CASE",FALSE,"Sheet1"}</definedName>
    <definedName name="WACC" localSheetId="3">#REF!</definedName>
    <definedName name="WACC">WACC!$F$42</definedName>
    <definedName name="WACC_Switch">#REF!</definedName>
    <definedName name="WACCStep">#REF!</definedName>
    <definedName name="WarrantPrice">#REF!</definedName>
    <definedName name="Warrants">#REF!</definedName>
    <definedName name="WE" hidden="1">{"EVA",#N/A,FALSE,"EVA";"WACC",#N/A,FALSE,"WACC"}</definedName>
    <definedName name="WER" hidden="1">{"DCF","UPSIDE CASE",FALSE,"Sheet1";"DCF","BASE CASE",FALSE,"Sheet1";"DCF","DOWNSIDE CASE",FALSE,"Sheet1"}</definedName>
    <definedName name="WGR">#REF!</definedName>
    <definedName name="WMB">#REF!</definedName>
    <definedName name="wnx" hidden="1">{"EVA",#N/A,FALSE,"EVA";"WACC",#N/A,FALSE,"WACC"}</definedName>
    <definedName name="wrn.2._.pagers." hidden="1">{"Cover",#N/A,FALSE,"Cover";"Summary",#N/A,FALSE,"Summarpage"}</definedName>
    <definedName name="wrn.Acquisition_matrix." hidden="1">{"Acq_matrix",#N/A,FALSE,"Acquisition Matrix"}</definedName>
    <definedName name="wrn.adj95." hidden="1">{"adj95mult",#N/A,FALSE,"COMPCO";"adj95est",#N/A,FALSE,"COMPCO"}</definedName>
    <definedName name="wrn.All._.Pages." hidden="1">{"Summary",#N/A,TRUE,"Summary";"Market",#N/A,TRUE,"Market";"PriceModel",#N/A,TRUE,"Price";"UpBasic",#N/A,TRUE,"Upstream";"PriceC2C3",#N/A,TRUE,"Price";"PriceBTpX",#N/A,TRUE,"Price";"PriceOXKeroRefo",#N/A,TRUE,"Price";"PriceFuel",#N/A,TRUE,"Price";"UpVariable",#N/A,TRUE,"Upstream";"UpFixed",#N/A,TRUE,"Upstream";"UpRevenueFromDown",#N/A,TRUE,"Upstream";"UpIncome",#N/A,TRUE,"Upstream";"UpLoan",#N/A,TRUE,"Upstream";"UpCashFlow",#N/A,TRUE,"Upstream";"UpTax",#N/A,TRUE,"Upstream";"UpBS",#N/A,TRUE,"Upstream";"SMSummary",#N/A,TRUE,"EB-SM";"SMMarketRaw",#N/A,TRUE,"EB-SM";"SMMarketProduct",#N/A,TRUE,"EB-SM";"SMVariable",#N/A,TRUE,"EB-SM";"SMFixed",#N/A,TRUE,"EB-SM";"SMLoan",#N/A,TRUE,"EB-SM";"SMWorkingCapital",#N/A,TRUE,"EB-SM";"SMIncome",#N/A,TRUE,"EB-SM";"SMCashFlow",#N/A,TRUE,"EB-SM";"SMTax",#N/A,TRUE,"EB-SM";"SMBS",#N/A,TRUE,"EB-SM";"LDSummary",#N/A,TRUE,"LDPE-EVA";"LDMarketRaw",#N/A,TRUE,"LDPE-EVA";"LDMarketProduct",#N/A,TRUE,"LDPE-EVA";"LDMarketProduct2",#N/A,TRUE,"LDPE-EVA";"LDVariable",#N/A,TRUE,"LDPE-EVA";"LDFixed",#N/A,TRUE,"LDPE-EVA";"LDLoan",#N/A,TRUE,"LDPE-EVA";"LDIncome",#N/A,TRUE,"LDPE-EVA";"LDCashFlow",#N/A,TRUE,"LDPE-EVA";"LDTax",#N/A,TRUE,"LDPE-EVA";"LDBS",#N/A,TRUE,"LDPE-EVA";"HDSummary",#N/A,TRUE,"HDPE";"HDMarketRaw",#N/A,TRUE,"HDPE";"HDMarketProduct",#N/A,TRUE,"HDPE";"HDVariable",#N/A,TRUE,"HDPE";"HDFixed",#N/A,TRUE,"HDPE";"HDLoan",#N/A,TRUE,"HDPE";"HDIncome",#N/A,TRUE,"HDPE";"HDCashFlow",#N/A,TRUE,"HDPE";"HDTax",#N/A,TRUE,"HDPE";"HDBS",#N/A,TRUE,"HDPE";"PPSummary",#N/A,TRUE,"PP";"PPMarketRaw",#N/A,TRUE,"PP";"PPMarketProduct",#N/A,TRUE,"PP";"PPMarketProduct2",#N/A,TRUE,"PP";"PPVariable",#N/A,TRUE,"PP";"PPFixed",#N/A,TRUE,"PP";"PPLoan",#N/A,TRUE,"PP";"PPIncome",#N/A,TRUE,"PP";"PPCashFlow",#N/A,TRUE,"PP";"PPTax",#N/A,TRUE,"PP";"PPBS",#N/A,TRUE,"PP"}</definedName>
    <definedName name="wrn.allpages." hidden="1">{#N/A,#N/A,TRUE,"Historicals";#N/A,#N/A,TRUE,"Charts";#N/A,#N/A,TRUE,"Forecasts"}</definedName>
    <definedName name="wrn.Annual._.Operating._.Earnings." hidden="1">{"Annual 1996",#N/A,FALSE,"Ann-Op (Mng)";"Annual 1996",#N/A,FALSE,"Ann-Op (Rep)";"Operating Vs. Reported Earnings",#N/A,FALSE,"Rpt-Op Inc"}</definedName>
    <definedName name="wrn.Annual._.Operating._.Earnings1." hidden="1">{"Annual 1996",#N/A,FALSE,"Ann-Op (Mng)";"Annual 1996",#N/A,FALSE,"Ann-Op (Rep)";"Operating Vs. Reported Earnings",#N/A,FALSE,"Rpt-Op Inc"}</definedName>
    <definedName name="wrn.AQUIROR._.DCF." hidden="1">{"AQUIRORDCF",#N/A,FALSE,"Merger consequences";"Acquirorassns",#N/A,FALSE,"Merger consequences"}</definedName>
    <definedName name="wrn.cellular." hidden="1">{#N/A,#N/A,TRUE,"TITLE";#N/A,#N/A,TRUE,"MKT Cellular Subs";#N/A,#N/A,TRUE,"Cellular sub ";#N/A,#N/A,TRUE,"P&amp;L - Cell";#N/A,#N/A,TRUE,"Rev &amp; Usage assump - Cell";#N/A,#N/A,TRUE,"Cost -  Cellular";"cellular",#N/A,TRUE,"Capex "}</definedName>
    <definedName name="wrn.chi._.tiÆt." hidden="1">{#N/A,#N/A,FALSE,"Chi tiÆt"}</definedName>
    <definedName name="wrn.compco." hidden="1">{"mult96",#N/A,FALSE,"PETCOMP";"est96",#N/A,FALSE,"PETCOMP";"mult95",#N/A,FALSE,"PETCOMP";"est95",#N/A,FALSE,"PETCOMP";"multltm",#N/A,FALSE,"PETCOMP";"resultltm",#N/A,FALSE,"PETCOMP"}</definedName>
    <definedName name="wrn.Complete." hidden="1">{"Cover",#N/A,FALSE,"Cover";"Summary",#N/A,FALSE,"Summarpage";"Assumptions",#N/A,FALSE,"Assumptions";"Earnings",#N/A,FALSE,"Earnings";"CF Oper.",#N/A,FALSE,"Earnings";"Balance Sheet",#N/A,FALSE,"balance";"Cash Flow",#N/A,FALSE,"cash flow";"Paper Production",#N/A,FALSE,"Paper";"Paper Earnings",#N/A,FALSE,"Paper";"Wood Production",#N/A,FALSE,"Wood Products";"Wood Earnings",#N/A,FALSE,"Wood Products";"Pulp Production",#N/A,FALSE,"Pulp";"Pulp Earnings",#N/A,FALSE,"Pulp"}</definedName>
    <definedName name="wrn.DCF_Terminal_Value_qchm." hidden="1">{"qchm_dcf",#N/A,FALSE,"QCHMDCF2";"qchm_terminal",#N/A,FALSE,"QCHMDCF2"}</definedName>
    <definedName name="wrn.dcf." hidden="1">{"mgmt forecast",#N/A,FALSE,"Mgmt Forecast";"dcf table",#N/A,FALSE,"Mgmt Forecast";"sensitivity",#N/A,FALSE,"Mgmt Forecast";"table inputs",#N/A,FALSE,"Mgmt Forecast";"calculations",#N/A,FALSE,"Mgmt Forecast"}</definedName>
    <definedName name="wrn.Economic._.Value._.Added._.Analysis." hidden="1">{"EVA",#N/A,FALSE,"EVA";"WACC",#N/A,FALSE,"WACC"}</definedName>
    <definedName name="wrn.EO." hidden="1">{#N/A,#N/A,TRUE,"TITLE";#N/A,#N/A,TRUE,"Macro assumptions";#N/A,#N/A,TRUE,"Line roll out schedule";#N/A,#N/A,TRUE,"P&amp;L 109";#N/A,#N/A,TRUE,"EO109 BIZ ";#N/A,#N/A,TRUE,"Rev - 109";#N/A,#N/A,TRUE,"Costs-109";#N/A,#N/A,TRUE,"Capex - 109";#N/A,#N/A,TRUE,"Revenue shares"}</definedName>
    <definedName name="wrn.Forecast._.Q1." hidden="1">{"cover a","1q",FALSE,"Cover";"Op Earn Mgd Q1",#N/A,FALSE,"Op-Earn (Mng)";"Op Earn Rpt Q1",#N/A,FALSE,"Op-Earn (Rpt)";"Loans",#N/A,FALSE,"Loans";"Credit Costs",#N/A,FALSE,"CCosts";"Net Interest Margin",#N/A,FALSE,"Margin";"Nonint Income",#N/A,FALSE,"NonII";"Nonint Exp",#N/A,FALSE,"NonIE";"Valuation",#N/A,FALSE,"Valuation"}</definedName>
    <definedName name="wrn.Forecast._.Q2." hidden="1">{"cover a","2q",FALSE,"Cover";"Op Earn Mgd Q2",#N/A,FALSE,"Op-Earn (Mng)";"Op Earn Rpt Q2",#N/A,FALSE,"Op-Earn (Rpt)";"Loans",#N/A,FALSE,"Loans";"Credit Costs",#N/A,FALSE,"CCosts";"Net Interest Margin",#N/A,FALSE,"Margin";"Nonint Income",#N/A,FALSE,"NonII";"Nonint Exp",#N/A,FALSE,"NonIE";"Valuation",#N/A,FALSE,"Valuation"}</definedName>
    <definedName name="wrn.Forecast._.Q2a." hidden="1">{"cover a","2q",FALSE,"Cover";"Op Earn Mgd Q2",#N/A,FALSE,"Op-Earn (Mng)";"Op Earn Rpt Q2",#N/A,FALSE,"Op-Earn (Rpt)";"Loans",#N/A,FALSE,"Loans";"Credit Costs",#N/A,FALSE,"CCosts";"Net Interest Margin",#N/A,FALSE,"Margin";"Nonint Income",#N/A,FALSE,"NonII";"Nonint Exp",#N/A,FALSE,"NonIE";"Valuation",#N/A,FALSE,"Valuation"}</definedName>
    <definedName name="wrn.Forecast._.Q3." hidden="1">{"cover a","3q",FALSE,"Cover";"Op Earn Mgd Q3",#N/A,FALSE,"Op-Earn (Mng)";"Op Earn Rpt Q3",#N/A,FALSE,"Op-Earn (Rpt)";"Loans",#N/A,FALSE,"Loans";"Credit Costs",#N/A,FALSE,"CCosts";"Net Interest Margin",#N/A,FALSE,"Margin";"Nonint Income",#N/A,FALSE,"NonII";"Nonint Exp",#N/A,FALSE,"NonIE";"Valuation",#N/A,FALSE,"Valuation"}</definedName>
    <definedName name="wrn.Forecast._.Q4." hidden="1">{"cover a","4q",FALSE,"Cover";"Op Earn Mgd Q4",#N/A,FALSE,"Op-Earn (Mng)";"Op Earn Rpt Q4",#N/A,FALSE,"Op-Earn (Rpt)";"Loans",#N/A,FALSE,"Loans";"Credit Costs",#N/A,FALSE,"CCosts";"Net Interest Margin",#N/A,FALSE,"Margin";"Nonint Income",#N/A,FALSE,"NonII";"Nonint Exp",#N/A,FALSE,"NonIE";"Valuation",#N/A,FALSE,"Valuation"}</definedName>
    <definedName name="wrn.Forecast._.Q4a" hidden="1">{"cover a","4q",FALSE,"Cover";"Op Earn Mgd Q4",#N/A,FALSE,"Op-Earn (Mng)";"Op Earn Rpt Q4",#N/A,FALSE,"Op-Earn (Rpt)";"Loans",#N/A,FALSE,"Loans";"Credit Costs",#N/A,FALSE,"CCosts";"Net Interest Margin",#N/A,FALSE,"Margin";"Nonint Income",#N/A,FALSE,"NonII";"Nonint Exp",#N/A,FALSE,"NonIE";"Valuation",#N/A,FALSE,"Valuation"}</definedName>
    <definedName name="wrn.full." hidden="1">{#N/A,#N/A,FALSE,"Income Statement";#N/A,#N/A,FALSE,"Balance Sheet";#N/A,#N/A,FALSE,"Cash Flow";#N/A,#N/A,FALSE,"D&amp;A";#N/A,#N/A,FALSE,"Capitalization";#N/A,#N/A,FALSE,"Debt Amortization";#N/A,#N/A,FALSE,"Deferred Taxes"}</definedName>
    <definedName name="wrn.Full._.Report." hidden="1">{#N/A,#N/A,FALSE,"COVER";#N/A,#N/A,FALSE,"VALUATION";#N/A,#N/A,FALSE,"FORECAST";#N/A,#N/A,FALSE,"FY ANALYSIS ";#N/A,#N/A,FALSE," HY ANALYSIS"}</definedName>
    <definedName name="wrn.Global._.CompCo." hidden="1">{"Outputs",#N/A,TRUE,"North America";"Outputs",#N/A,TRUE,"Europe";"Outputs",#N/A,TRUE,"Asia Pacific";"Outputs",#N/A,TRUE,"Latin America";"Outputs",#N/A,TRUE,"Wireless"}</definedName>
    <definedName name="wrn.Industry.xls." hidden="1">{#N/A,#N/A,FALSE,"Earnings";#N/A,#N/A,FALSE,"Overview";#N/A,#N/A,FALSE,"Summary";#N/A,#N/A,FALSE,"Summary II";#N/A,#N/A,FALSE,"R&amp;D";#N/A,#N/A,FALSE,"R&amp;D Forecast";#N/A,#N/A,FALSE,"Tax Adj";#N/A,#N/A,FALSE,"Goodwill";#N/A,#N/A,FALSE,"FX ";#N/A,#N/A,FALSE,"Consolidation";#N/A,#N/A,FALSE,"Provisions"}</definedName>
    <definedName name="wrn.Inputs." hidden="1">{"Inputs",#N/A,TRUE,"North America";"Inputs",#N/A,TRUE,"Europe";"Inputs",#N/A,TRUE,"Asia Pacific";"Inputs",#N/A,TRUE,"Latin America";"Inputs",#N/A,TRUE,"Wireless"}</definedName>
    <definedName name="wrn.OUTPUT." hidden="1">{"DCF","UPSIDE CASE",FALSE,"Sheet1";"DCF","BASE CASE",FALSE,"Sheet1";"DCF","DOWNSIDE CASE",FALSE,"Sheet1"}</definedName>
    <definedName name="wrn.paging." hidden="1">{"paging",#N/A,TRUE,"TITLE";#N/A,#N/A,TRUE,"Paging subs";#N/A,#N/A,TRUE,"P&amp;L - Paging";#N/A,#N/A,TRUE,"Rev &amp; Usage Assump - Paging";#N/A,#N/A,TRUE,"Cost - Paging";"paging",#N/A,TRUE,"Capex "}</definedName>
    <definedName name="wrn.PEWC1." hidden="1">{"Graphic",#N/A,TRUE,"Graphic"}</definedName>
    <definedName name="wrn.Print._.all." hidden="1">{#N/A,#N/A,FALSE,"DCF";#N/A,#N/A,FALSE,"P&amp;L";#N/A,#N/A,FALSE,"BS";#N/A,#N/A,FALSE,"CF";#N/A,#N/A,FALSE,"debt schedule";#N/A,#N/A,FALSE,"WorkCap";#N/A,#N/A,FALSE,"ETACS";#N/A,#N/A,FALSE,"GSM";#N/A,#N/A,FALSE,"LEC";#N/A,#N/A,FALSE,"IGF";#N/A,#N/A,FALSE,"Expenses";#N/A,#N/A,FALSE,"Labour Expenses";#N/A,#N/A,FALSE,"Capex&amp;Depn";#N/A,#N/A,FALSE,"Fixed assets";#N/A,#N/A,FALSE,"WACC_Fixed";#N/A,#N/A,FALSE,"WACC_Cel"}</definedName>
    <definedName name="wrn.Pulp." hidden="1">{"Pulp Production",#N/A,FALSE,"Pulp";"Pulp Earnings",#N/A,FALSE,"Pulp"}</definedName>
    <definedName name="wrn.Qtr_.Op._.Q4." hidden="1">{"Qtr Op Mgd Q3",#N/A,FALSE,"Qtr-Op (Mng)";"Qtr Op Rpt Q4",#N/A,FALSE,"Qtr-Op (Rpt)";"Operating Vs Reported",#N/A,FALSE,"Rpt-Op Inc"}</definedName>
    <definedName name="wrn.Qtr._.Op._.Q1." hidden="1">{"Qtr Op Mgd Q1",#N/A,FALSE,"Qtr-Op (Mng)";"Qtr Op Rpt Q1",#N/A,FALSE,"Qtr-Op (Rpt)";"Operating Vs Reported",#N/A,FALSE,"Rpt-Op Inc"}</definedName>
    <definedName name="wrn.Qtr._.Op._.Q2." hidden="1">{"Qtr Op Mgd Q2",#N/A,FALSE,"Qtr-Op (Mng)";"Qtr Op Rpt Q2",#N/A,FALSE,"Qtr-Op (Rpt)";"Operating Vs Reported",#N/A,FALSE,"Rpt-Op Inc"}</definedName>
    <definedName name="wrn.Qtr._.Op._.Q3." hidden="1">{"Qtr Op Mgd Q3",#N/A,FALSE,"Qtr-Op (Mng)";"Qtr Op Rpt Q3",#N/A,FALSE,"Qtr-Op (Rpt)";"Operating Vs Reported",#N/A,FALSE,"Rpt-Op Inc"}</definedName>
    <definedName name="wrn.Qtr._.Op._.Q4." hidden="1">{"Qtr Op Mgd Q3",#N/A,FALSE,"Qtr-Op (Mng)";"Qtr Op Rpt Q4",#N/A,FALSE,"Qtr-Op (Rpt)";"Operating Vs Reported",#N/A,FALSE,"Rpt-Op Inc"}</definedName>
    <definedName name="wrn.Qtr._.Op._Q2a." hidden="1">{"Qtr Op Mgd Q2",#N/A,FALSE,"Qtr-Op (Mng)";"Qtr Op Rpt Q2",#N/A,FALSE,"Qtr-Op (Rpt)";"Operating Vs Reported",#N/A,FALSE,"Rpt-Op Inc"}</definedName>
    <definedName name="wrn.Report_Summary." hidden="1">{"Fin_Report",#N/A,TRUE,"FS";"Revenue",#N/A,TRUE,"Print";"OpCost",#N/A,TRUE,"Print"}</definedName>
    <definedName name="wrn.Report." hidden="1">{#N/A,#N/A,FALSE,"COVER";#N/A,#N/A,FALSE,"FORECAST";#N/A,#N/A,FALSE,"VALUATION";#N/A,#N/A,FALSE,"FY ANALYSIS ";#N/A,#N/A,FALSE," HY ANALYSIS"}</definedName>
    <definedName name="wrn.Report1." hidden="1">{"CapCost",#N/A,TRUE,"CAP";"Revenue",#N/A,TRUE,"Rev";"OpCost",#N/A,TRUE,"Costs";"Debt",#N/A,TRUE,"DS";"Depreciation",#N/A,TRUE,"Dep";"Fin_Report",#N/A,TRUE,"FS"}</definedName>
    <definedName name="wrn.RTS." hidden="1">{"rts",#N/A,TRUE,"TITLE";#N/A,#N/A,TRUE,"P&amp;L - RTS";#N/A,#N/A,TRUE,"RTS biz";#N/A,#N/A,TRUE,"Cost - RTS";"RTS",#N/A,TRUE,"Capex "}</definedName>
    <definedName name="wrn.Summary." hidden="1">{"Section 1",#N/A,TRUE,"Summary";"Section 2",#N/A,TRUE,"Summary";"Section 3",#N/A,TRUE,"Summary";"Section 4",#N/A,TRUE,"Summary"}</definedName>
    <definedName name="wrn.TARGET._.DCF." hidden="1">{"targetdcf",#N/A,FALSE,"Merger consequences";"TARGETASSU",#N/A,FALSE,"Merger consequences";"TERMINAL VALUE",#N/A,FALSE,"Merger consequences"}</definedName>
    <definedName name="wrn.Telstra._.Inputs." hidden="1">{"Inputs",#N/A,FALSE,"US_FL";"Inputs",#N/A,FALSE,"EUROPE_FL";"Inputs",#N/A,FALSE,"ASIA_FL"}</definedName>
    <definedName name="wrn.Telstra._.Output." hidden="1">{"Output",#N/A,FALSE,"US_FL";"Output",#N/A,FALSE,"EUROPE_FL";"Output",#N/A,FALSE,"ASIA_FL"}</definedName>
    <definedName name="wrn.Upstream." hidden="1">{"UpBasic",#N/A,FALSE,"Upstream";"UpBS",#N/A,FALSE,"Upstream";"UpCashFlow",#N/A,FALSE,"Upstream";"UpFixed",#N/A,FALSE,"Upstream";"UpIncome",#N/A,FALSE,"Upstream";"UpLoan",#N/A,FALSE,"Upstream";"UpRevenueFromDown",#N/A,FALSE,"Upstream";"UpTax",#N/A,FALSE,"Upstream";"UpVariable",#N/A,FALSE,"Upstream"}</definedName>
    <definedName name="wrn.Variance._.3." hidden="1">{"Variance Q3",#N/A,FALSE,"Var"}</definedName>
    <definedName name="wrn.Variance._.Q1." hidden="1">{"Variance Q1",#N/A,FALSE,"Var"}</definedName>
    <definedName name="wrn.Variance._.Q2." hidden="1">{"Variance Q2",#N/A,FALSE,"Var"}</definedName>
    <definedName name="wrn.Variance._.Q3." hidden="1">{"Variance Q3",#N/A,FALSE,"Var"}</definedName>
    <definedName name="wrn.Variance._.Q4" hidden="1">{"Variance Q4",#N/A,FALSE,"Var"}</definedName>
    <definedName name="wrn.Variance._.Q4." hidden="1">{"Variance Q4",#N/A,FALSE,"Var"}</definedName>
    <definedName name="wrn.vd." hidden="1">{#N/A,#N/A,TRUE,"BT M200 da 10x20"}</definedName>
    <definedName name="wrn.Wacc." hidden="1">{"Area1",#N/A,FALSE,"OREWACC";"Area2",#N/A,FALSE,"OREWACC"}</definedName>
    <definedName name="wvu.Page1." hidden="1">{TRUE,TRUE,-2,-16.25,774,494.25,FALSE,TRUE,TRUE,TRUE,0,1,#N/A,1,#N/A,27.1,63.6451612903226,1,FALSE,FALSE,3,TRUE,1,FALSE,75,"Swvu.Page1.","ACwvu.Page1.",#N/A,FALSE,FALSE,0.236220472440945,0.275590551181102,0.236220472440945,0.275590551181102,2,"","",TRUE,TRUE,FALSE,FALSE,1,83,#N/A,#N/A,"=R4C1:R64C22",FALSE,"Rwvu.Page1.","Cwvu.Page1.",FALSE,FALSE,TRUE,1,#N/A,#N/A,FALSE,FALSE,TRUE,TRUE,TRUE}</definedName>
    <definedName name="wvu.Page2." hidden="1">{TRUE,TRUE,-2,-16.25,774,494.25,FALSE,TRUE,TRUE,TRUE,0,6,#N/A,1,#N/A,33.1333333333333,63.6451612903226,1,FALSE,FALSE,3,TRUE,1,FALSE,75,"Swvu.Page2.","ACwvu.Page2.",#N/A,FALSE,FALSE,0.236220472440945,0.275590551181102,0.236220472440945,0.275590551181102,2,"","",TRUE,TRUE,FALSE,FALSE,1,83,#N/A,#N/A,"=R4C25:R64C47",FALSE,"Rwvu.Page2.","Cwvu.Page2.",FALSE,FALSE,TRUE,1,#N/A,#N/A,FALSE,FALSE,TRUE,TRUE,TRUE}</definedName>
    <definedName name="wvu.Page3." hidden="1">{TRUE,TRUE,-2,-16.25,774,494.25,FALSE,TRUE,TRUE,TRUE,0,32,#N/A,1,#N/A,31.0666666666667,63.6451612903226,1,FALSE,FALSE,3,TRUE,1,FALSE,75,"Swvu.Page3.","ACwvu.Page3.",#N/A,FALSE,FALSE,0.236220472440945,0.275590551181102,0.236220472440945,0.275590551181102,2,"","",TRUE,TRUE,FALSE,FALSE,1,83,#N/A,#N/A,"=R4C48:R64C71",FALSE,"Rwvu.Page3.","Cwvu.Page3.",FALSE,FALSE,TRUE,1,#N/A,#N/A,FALSE,FALSE,TRUE,TRUE,TRUE}</definedName>
    <definedName name="wvu.Page4." hidden="1">{TRUE,TRUE,-2,-16.25,774,494.25,FALSE,TRUE,TRUE,TRUE,0,70,#N/A,1,#N/A,28.5666666666667,63.6451612903226,1,FALSE,FALSE,3,TRUE,1,FALSE,75,"Swvu.Page4.","ACwvu.Page4.",#N/A,FALSE,FALSE,0.236220472440945,0.275590551181102,0.236220472440945,0.275590551181102,2,"","",TRUE,TRUE,FALSE,FALSE,1,83,#N/A,#N/A,"=R4C72:R64C94",FALSE,"Rwvu.Page4.","Cwvu.Page4.",FALSE,FALSE,TRUE,1,#N/A,#N/A,FALSE,FALSE,TRUE,TRUE,TRUE}</definedName>
    <definedName name="www" hidden="1">{"DCF","UPSIDE CASE",FALSE,"Sheet1";"DCF","BASE CASE",FALSE,"Sheet1";"DCF","DOWNSIDE CASE",FALSE,"Sheet1"}</definedName>
    <definedName name="xrate">#REF!</definedName>
    <definedName name="xxx" hidden="1">{"EVA",#N/A,FALSE,"EVA";"WACC",#N/A,FALSE,"WACC"}</definedName>
    <definedName name="yc_Cash_flow_per_share">#REF!</definedName>
    <definedName name="Year">#REF!</definedName>
    <definedName name="Year1">#REF!</definedName>
    <definedName name="Year2">#REF!</definedName>
    <definedName name="Year3">#REF!</definedName>
    <definedName name="ythg">{"Country",0,"Auto","Auto",""}</definedName>
    <definedName name="yu" hidden="1">{"DCF","UPSIDE CASE",FALSE,"Sheet1";"DCF","BASE CASE",FALSE,"Sheet1";"DCF","DOWNSIDE CASE",FALSE,"Sheet1"}</definedName>
  </definedNames>
  <calcPr calcId="191028" iterate="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E89" i="62" l="1"/>
  <c r="G102" i="62" l="1"/>
  <c r="N506" i="69"/>
  <c r="K22" i="102" l="1"/>
  <c r="J22" i="102"/>
  <c r="K21" i="102"/>
  <c r="J21" i="102"/>
  <c r="K20" i="102"/>
  <c r="J20" i="102"/>
  <c r="K19" i="102"/>
  <c r="J19" i="102"/>
  <c r="K18" i="102"/>
  <c r="J18" i="102"/>
  <c r="K17" i="102"/>
  <c r="J17" i="102"/>
  <c r="K16" i="102"/>
  <c r="J16" i="102"/>
  <c r="K15" i="102"/>
  <c r="J15" i="102"/>
  <c r="K14" i="102"/>
  <c r="J14" i="102"/>
  <c r="K13" i="102"/>
  <c r="J13" i="102"/>
  <c r="K12" i="102"/>
  <c r="J12" i="102"/>
  <c r="K11" i="102"/>
  <c r="J11" i="102"/>
  <c r="K10" i="102"/>
  <c r="J10" i="102"/>
  <c r="K9" i="102"/>
  <c r="J9" i="102"/>
  <c r="K8" i="102"/>
  <c r="J8" i="102"/>
  <c r="K7" i="102"/>
  <c r="J7" i="102"/>
  <c r="K6" i="102"/>
  <c r="J6" i="102"/>
  <c r="K5" i="102"/>
  <c r="J5" i="102"/>
  <c r="K4" i="102"/>
  <c r="J4" i="102"/>
  <c r="K3" i="102"/>
  <c r="J3" i="102"/>
  <c r="K2" i="102"/>
  <c r="J2" i="102"/>
  <c r="A11" i="101"/>
  <c r="I82" i="64"/>
  <c r="H82" i="64"/>
  <c r="E9" i="101"/>
  <c r="E8" i="101"/>
  <c r="P2" i="101"/>
  <c r="Q2" i="101"/>
  <c r="M2" i="101"/>
  <c r="N2" i="101"/>
  <c r="O2" i="101"/>
  <c r="G2" i="101"/>
  <c r="H2" i="101"/>
  <c r="I2" i="101"/>
  <c r="J2" i="101"/>
  <c r="K2" i="101"/>
  <c r="L2" i="101"/>
  <c r="F2" i="101"/>
  <c r="BL43" i="63" l="1"/>
  <c r="CR42" i="63"/>
  <c r="BI87" i="62" l="1"/>
  <c r="BI111" i="62" l="1"/>
  <c r="BL111" i="62"/>
  <c r="P33" i="19"/>
  <c r="P259" i="4"/>
  <c r="AH29" i="38"/>
  <c r="AI29" i="38"/>
  <c r="AJ29" i="38"/>
  <c r="AK29" i="38"/>
  <c r="AL29" i="38"/>
  <c r="AM29" i="38"/>
  <c r="AN29" i="38"/>
  <c r="AO29" i="38"/>
  <c r="BB29" i="38"/>
  <c r="BC29" i="38"/>
  <c r="BD29" i="38"/>
  <c r="BE29" i="38"/>
  <c r="BF29" i="38"/>
  <c r="BG29" i="38"/>
  <c r="BH29" i="38"/>
  <c r="BI29" i="38"/>
  <c r="BJ29" i="38"/>
  <c r="BK29" i="38"/>
  <c r="BL29" i="38"/>
  <c r="BM29" i="38"/>
  <c r="BN29" i="38"/>
  <c r="BO29" i="38"/>
  <c r="BP29" i="38"/>
  <c r="BQ29" i="38"/>
  <c r="BR29" i="38"/>
  <c r="BS29" i="38"/>
  <c r="BT29" i="38"/>
  <c r="Y32" i="93"/>
  <c r="Y31" i="93"/>
  <c r="U27" i="39"/>
  <c r="V27" i="39"/>
  <c r="W27" i="39"/>
  <c r="U28" i="39"/>
  <c r="V28" i="39"/>
  <c r="W28" i="39"/>
  <c r="BE111" i="62"/>
  <c r="BH111" i="62"/>
  <c r="K444" i="69"/>
  <c r="G535" i="69" l="1"/>
  <c r="G536" i="69"/>
  <c r="M508" i="69" l="1"/>
  <c r="BA111" i="62"/>
  <c r="V168" i="62" l="1"/>
  <c r="V167" i="62"/>
  <c r="CQ58" i="63" l="1"/>
  <c r="D445" i="69"/>
  <c r="BD87" i="62"/>
  <c r="AY39" i="62"/>
  <c r="AL62" i="54"/>
  <c r="AM56" i="54"/>
  <c r="AM55" i="54"/>
  <c r="L258" i="62" l="1"/>
  <c r="AY124" i="62"/>
  <c r="AW122" i="62"/>
  <c r="G545" i="69"/>
  <c r="N29" i="93"/>
  <c r="N28" i="93"/>
  <c r="M28" i="93"/>
  <c r="AT34" i="93"/>
  <c r="AY127" i="62"/>
  <c r="AY49" i="62"/>
  <c r="AZ49" i="62"/>
  <c r="AX49" i="62"/>
  <c r="AX52" i="62"/>
  <c r="AY58" i="62"/>
  <c r="AX58" i="62"/>
  <c r="AY54" i="62"/>
  <c r="AY55" i="62"/>
  <c r="AY56" i="62"/>
  <c r="AY51" i="62"/>
  <c r="AY52" i="62"/>
  <c r="AY48" i="62"/>
  <c r="AR36" i="93"/>
  <c r="AR31" i="93"/>
  <c r="BZ116" i="63"/>
  <c r="CK116" i="63"/>
  <c r="CL116" i="63"/>
  <c r="CM116" i="63"/>
  <c r="BY116" i="63"/>
  <c r="CP57" i="63" l="1"/>
  <c r="CP58" i="63"/>
  <c r="CG110" i="63"/>
  <c r="CL25" i="63"/>
  <c r="CM25" i="63"/>
  <c r="CL12" i="63"/>
  <c r="CM12" i="63"/>
  <c r="U525" i="69"/>
  <c r="V525" i="69" l="1"/>
  <c r="W525" i="69"/>
  <c r="X525" i="69"/>
  <c r="T525" i="69"/>
  <c r="U523" i="69"/>
  <c r="U507" i="69"/>
  <c r="V523" i="69"/>
  <c r="W523" i="69"/>
  <c r="X523" i="69"/>
  <c r="T523" i="69"/>
  <c r="S507" i="69"/>
  <c r="T507" i="69"/>
  <c r="V507" i="69"/>
  <c r="W507" i="69"/>
  <c r="X507" i="69"/>
  <c r="E498" i="69" l="1"/>
  <c r="L523" i="69"/>
  <c r="L172" i="62" l="1"/>
  <c r="DH42" i="63"/>
  <c r="DI42" i="63" s="1"/>
  <c r="DJ42" i="63" s="1"/>
  <c r="C514" i="69" l="1"/>
  <c r="C513" i="69"/>
  <c r="AP80" i="4"/>
  <c r="M504" i="69"/>
  <c r="G438" i="69"/>
  <c r="G439" i="69"/>
  <c r="B421" i="69"/>
  <c r="E98" i="62" l="1"/>
  <c r="F98" i="62"/>
  <c r="I437" i="69"/>
  <c r="N534" i="69"/>
  <c r="E438" i="69"/>
  <c r="P533" i="69"/>
  <c r="P532" i="69"/>
  <c r="L522" i="69"/>
  <c r="M505" i="69"/>
  <c r="L530" i="69"/>
  <c r="Q94" i="4"/>
  <c r="G84" i="64"/>
  <c r="I56" i="64"/>
  <c r="I55" i="64"/>
  <c r="G56" i="64"/>
  <c r="G55" i="64"/>
  <c r="F55" i="64"/>
  <c r="N532" i="69" l="1"/>
  <c r="L525" i="69"/>
  <c r="L526" i="69" s="1"/>
  <c r="L110" i="64" l="1"/>
  <c r="L113" i="64" s="1"/>
  <c r="L63" i="64" s="1"/>
  <c r="S110" i="4"/>
  <c r="T110" i="4" s="1"/>
  <c r="U110" i="4" s="1"/>
  <c r="N520" i="69"/>
  <c r="O520" i="69"/>
  <c r="M520" i="69"/>
  <c r="L521" i="69"/>
  <c r="I436" i="69"/>
  <c r="M506" i="69"/>
  <c r="AJ45" i="19"/>
  <c r="A17" i="101" l="1"/>
  <c r="A21" i="101"/>
  <c r="A13" i="101"/>
  <c r="A20" i="101"/>
  <c r="A19" i="101"/>
  <c r="A7" i="101"/>
  <c r="A4" i="101"/>
  <c r="AH87" i="4"/>
  <c r="AH88" i="4"/>
  <c r="AH89" i="4"/>
  <c r="AH90" i="4"/>
  <c r="AH82" i="4"/>
  <c r="AH83" i="4"/>
  <c r="AH84" i="4"/>
  <c r="N508" i="69" l="1"/>
  <c r="O508" i="69"/>
  <c r="S88" i="4"/>
  <c r="T88" i="4"/>
  <c r="U88" i="4"/>
  <c r="S90" i="4"/>
  <c r="T90" i="4"/>
  <c r="U90" i="4"/>
  <c r="K86" i="64"/>
  <c r="N260" i="69"/>
  <c r="O268" i="69"/>
  <c r="H167" i="62"/>
  <c r="G167" i="62"/>
  <c r="N3" i="64"/>
  <c r="O3" i="64"/>
  <c r="K40" i="64"/>
  <c r="L40" i="64"/>
  <c r="M40" i="64" s="1"/>
  <c r="N40" i="64" s="1"/>
  <c r="O40" i="64" s="1"/>
  <c r="N42" i="64"/>
  <c r="O42" i="64"/>
  <c r="N43" i="64"/>
  <c r="O43" i="64"/>
  <c r="O45" i="64"/>
  <c r="K47" i="64"/>
  <c r="L47" i="64" s="1"/>
  <c r="M47" i="64" s="1"/>
  <c r="N47" i="64"/>
  <c r="O47" i="64"/>
  <c r="K61" i="64"/>
  <c r="L61" i="64"/>
  <c r="M61" i="64"/>
  <c r="N67" i="64"/>
  <c r="K75" i="64"/>
  <c r="L75" i="64" s="1"/>
  <c r="M75" i="64" s="1"/>
  <c r="N75" i="64" s="1"/>
  <c r="O75" i="64" s="1"/>
  <c r="K76" i="64"/>
  <c r="L76" i="64" s="1"/>
  <c r="N78" i="64"/>
  <c r="O78" i="64"/>
  <c r="N79" i="64"/>
  <c r="O79" i="64"/>
  <c r="K80" i="64"/>
  <c r="L80" i="64" s="1"/>
  <c r="M80" i="64" s="1"/>
  <c r="N80" i="64" s="1"/>
  <c r="O80" i="64" s="1"/>
  <c r="K81" i="64"/>
  <c r="L81" i="64" s="1"/>
  <c r="M81" i="64" s="1"/>
  <c r="N81" i="64" s="1"/>
  <c r="O81" i="64" s="1"/>
  <c r="K85" i="64"/>
  <c r="L85" i="64"/>
  <c r="M85" i="64"/>
  <c r="N85" i="64"/>
  <c r="O85" i="64" s="1"/>
  <c r="N88" i="64"/>
  <c r="N89" i="64"/>
  <c r="K94" i="64"/>
  <c r="N94" i="64"/>
  <c r="K96" i="64"/>
  <c r="N96" i="64"/>
  <c r="K98" i="64"/>
  <c r="N98" i="64"/>
  <c r="N99" i="64" s="1"/>
  <c r="K99" i="64"/>
  <c r="K111" i="64"/>
  <c r="L111" i="64"/>
  <c r="M111" i="64"/>
  <c r="M115" i="64"/>
  <c r="AX107" i="62"/>
  <c r="K8" i="101" s="1"/>
  <c r="AW107" i="62"/>
  <c r="J8" i="101" s="1"/>
  <c r="AV107" i="62"/>
  <c r="AU107" i="62"/>
  <c r="H8" i="101" s="1"/>
  <c r="AT107" i="62"/>
  <c r="G8" i="101" s="1"/>
  <c r="AS107" i="62"/>
  <c r="F8" i="101" s="1"/>
  <c r="AR107" i="62"/>
  <c r="AQ107" i="62"/>
  <c r="AP107" i="62"/>
  <c r="AO107" i="62"/>
  <c r="AN107" i="62"/>
  <c r="I107" i="62" s="1"/>
  <c r="AM107" i="62"/>
  <c r="AL107" i="62"/>
  <c r="AK107" i="62"/>
  <c r="AJ107" i="62"/>
  <c r="H107" i="62" s="1"/>
  <c r="AI107" i="62"/>
  <c r="AH107" i="62"/>
  <c r="AG107" i="62"/>
  <c r="AF107" i="62"/>
  <c r="G107" i="62" s="1"/>
  <c r="AE107" i="62"/>
  <c r="AD107" i="62"/>
  <c r="AC107" i="62"/>
  <c r="AB107" i="62"/>
  <c r="AA107" i="62"/>
  <c r="Z107" i="62"/>
  <c r="Y107" i="62"/>
  <c r="X107" i="62"/>
  <c r="W107" i="62"/>
  <c r="V107" i="62"/>
  <c r="U107" i="62"/>
  <c r="U76" i="62"/>
  <c r="V76" i="62"/>
  <c r="W76" i="62"/>
  <c r="X76" i="62"/>
  <c r="Y76" i="62"/>
  <c r="Z76" i="62"/>
  <c r="AA76" i="62"/>
  <c r="AB76" i="62"/>
  <c r="AC76" i="62"/>
  <c r="AD76" i="62"/>
  <c r="AE76" i="62"/>
  <c r="AF76" i="62"/>
  <c r="AG76" i="62"/>
  <c r="AH76" i="62"/>
  <c r="AI76" i="62"/>
  <c r="AJ76" i="62"/>
  <c r="AK76" i="62"/>
  <c r="AL76" i="62"/>
  <c r="AN76" i="62"/>
  <c r="AO76" i="62"/>
  <c r="AQ76" i="62"/>
  <c r="AR76" i="62"/>
  <c r="AS76" i="62"/>
  <c r="AT76" i="62"/>
  <c r="AX76" i="62"/>
  <c r="AT4" i="62"/>
  <c r="AU4" i="62"/>
  <c r="AV4" i="62"/>
  <c r="AW4" i="62"/>
  <c r="AX4" i="62"/>
  <c r="AY4" i="62"/>
  <c r="AZ4" i="62"/>
  <c r="BA4" i="62"/>
  <c r="BB4" i="62"/>
  <c r="BC4" i="62"/>
  <c r="BD4" i="62"/>
  <c r="BE4" i="62"/>
  <c r="BF4" i="62"/>
  <c r="BG4" i="62"/>
  <c r="BH4" i="62"/>
  <c r="BI4" i="62"/>
  <c r="BJ4" i="62"/>
  <c r="BK4" i="62"/>
  <c r="BL4" i="62"/>
  <c r="BM4" i="62"/>
  <c r="BN4" i="62"/>
  <c r="BO4" i="62"/>
  <c r="BP4" i="62"/>
  <c r="BQ4" i="62"/>
  <c r="BR4" i="62"/>
  <c r="BS4" i="62"/>
  <c r="BT4" i="62"/>
  <c r="BU4" i="62"/>
  <c r="BV4" i="62"/>
  <c r="BW4" i="62"/>
  <c r="BX4" i="62"/>
  <c r="BY4" i="62"/>
  <c r="BZ4" i="62"/>
  <c r="CA4" i="62"/>
  <c r="CB4" i="62"/>
  <c r="CC4" i="62"/>
  <c r="CD4" i="62"/>
  <c r="CE4" i="62"/>
  <c r="CF4" i="62"/>
  <c r="CG4" i="62"/>
  <c r="CH4" i="62"/>
  <c r="CI4" i="62"/>
  <c r="CJ4" i="62"/>
  <c r="CK4" i="62"/>
  <c r="CL4" i="62"/>
  <c r="CM4" i="62"/>
  <c r="CN4" i="62"/>
  <c r="CO4" i="62"/>
  <c r="CP4" i="62"/>
  <c r="CQ4" i="62"/>
  <c r="CR4" i="62"/>
  <c r="CS4" i="62"/>
  <c r="CT4" i="62"/>
  <c r="CU4" i="62"/>
  <c r="CV4" i="62"/>
  <c r="CW4" i="62"/>
  <c r="CX4" i="62"/>
  <c r="CY4" i="62"/>
  <c r="CZ4" i="62"/>
  <c r="AO4" i="62"/>
  <c r="AP4" i="62"/>
  <c r="AQ4" i="62"/>
  <c r="AR4" i="62"/>
  <c r="AS4" i="62"/>
  <c r="CG3" i="63"/>
  <c r="CD3" i="63"/>
  <c r="CA3" i="63"/>
  <c r="BX3" i="63"/>
  <c r="BU3" i="63"/>
  <c r="BR3" i="63"/>
  <c r="BO3" i="63"/>
  <c r="BL3" i="63"/>
  <c r="DT3" i="63"/>
  <c r="DW3" i="63"/>
  <c r="DZ3" i="63"/>
  <c r="EC3" i="63"/>
  <c r="EF3" i="63"/>
  <c r="EI3" i="63"/>
  <c r="EL3" i="63"/>
  <c r="EO3" i="63"/>
  <c r="ER3" i="63"/>
  <c r="EU3" i="63"/>
  <c r="EX3" i="63"/>
  <c r="FA3" i="63"/>
  <c r="FD3" i="63"/>
  <c r="FG3" i="63"/>
  <c r="FJ3" i="63"/>
  <c r="FM3" i="63"/>
  <c r="FP3" i="63"/>
  <c r="FS3" i="63"/>
  <c r="FV3" i="63"/>
  <c r="FY3" i="63"/>
  <c r="GB3" i="63"/>
  <c r="GE3" i="63"/>
  <c r="GH3" i="63"/>
  <c r="GK3" i="63"/>
  <c r="GN3" i="63"/>
  <c r="GQ3" i="63"/>
  <c r="GT3" i="63"/>
  <c r="GW3" i="63"/>
  <c r="GZ3" i="63"/>
  <c r="HC3" i="63"/>
  <c r="HF3" i="63"/>
  <c r="HI3" i="63"/>
  <c r="DQ3" i="63"/>
  <c r="DN3" i="63"/>
  <c r="DK3" i="63"/>
  <c r="DH3" i="63"/>
  <c r="DE3" i="63"/>
  <c r="DB3" i="63"/>
  <c r="CY3" i="63"/>
  <c r="CV3" i="63"/>
  <c r="CS3" i="63"/>
  <c r="CM3" i="63"/>
  <c r="CJ3" i="63"/>
  <c r="V64" i="62"/>
  <c r="W64" i="62"/>
  <c r="X64" i="62"/>
  <c r="Y64" i="62"/>
  <c r="Z64" i="62"/>
  <c r="AA64" i="62"/>
  <c r="AB64" i="62"/>
  <c r="AC64" i="62"/>
  <c r="AD64" i="62"/>
  <c r="AE64" i="62"/>
  <c r="AF64" i="62"/>
  <c r="AG64" i="62"/>
  <c r="AH64" i="62"/>
  <c r="AI64" i="62"/>
  <c r="AJ64" i="62"/>
  <c r="AK64" i="62"/>
  <c r="AL64" i="62"/>
  <c r="AM64" i="62"/>
  <c r="U64" i="62"/>
  <c r="CE315" i="62"/>
  <c r="CF315" i="62" s="1"/>
  <c r="CG315" i="62" s="1"/>
  <c r="CH315" i="62" s="1"/>
  <c r="CI315" i="62" s="1"/>
  <c r="CJ315" i="62" s="1"/>
  <c r="CK315" i="62" s="1"/>
  <c r="CL315" i="62" s="1"/>
  <c r="CM315" i="62" s="1"/>
  <c r="CN315" i="62" s="1"/>
  <c r="CO315" i="62" s="1"/>
  <c r="CP315" i="62" s="1"/>
  <c r="CQ315" i="62" s="1"/>
  <c r="CR315" i="62" s="1"/>
  <c r="CS315" i="62" s="1"/>
  <c r="CT315" i="62" s="1"/>
  <c r="CU315" i="62" s="1"/>
  <c r="CV315" i="62" s="1"/>
  <c r="CW315" i="62" s="1"/>
  <c r="CX315" i="62" s="1"/>
  <c r="CY315" i="62" s="1"/>
  <c r="CZ315" i="62" s="1"/>
  <c r="DA315" i="62" s="1"/>
  <c r="CD315" i="62"/>
  <c r="BY315" i="62"/>
  <c r="CC315" i="62" s="1"/>
  <c r="BZ315" i="62"/>
  <c r="CA315" i="62"/>
  <c r="BX315" i="62"/>
  <c r="CB315" i="62" s="1"/>
  <c r="BU315" i="62"/>
  <c r="BV315" i="62"/>
  <c r="BW315" i="62"/>
  <c r="BT315" i="62"/>
  <c r="BS313" i="62"/>
  <c r="BO313" i="62"/>
  <c r="BP313" i="62" s="1"/>
  <c r="BB316" i="62"/>
  <c r="BF316" i="62" s="1"/>
  <c r="BJ316" i="62" s="1"/>
  <c r="BN316" i="62" s="1"/>
  <c r="BR316" i="62" s="1"/>
  <c r="BV316" i="62" s="1"/>
  <c r="BZ316" i="62" s="1"/>
  <c r="CD316" i="62" s="1"/>
  <c r="CH316" i="62" s="1"/>
  <c r="CL316" i="62" s="1"/>
  <c r="CP316" i="62" s="1"/>
  <c r="CT316" i="62" s="1"/>
  <c r="CX316" i="62" s="1"/>
  <c r="BC316" i="62"/>
  <c r="BG316" i="62" s="1"/>
  <c r="BK316" i="62" s="1"/>
  <c r="BO316" i="62" s="1"/>
  <c r="BS316" i="62" s="1"/>
  <c r="BW316" i="62" s="1"/>
  <c r="CA316" i="62" s="1"/>
  <c r="CE316" i="62" s="1"/>
  <c r="CI316" i="62" s="1"/>
  <c r="CM316" i="62" s="1"/>
  <c r="CQ316" i="62" s="1"/>
  <c r="CU316" i="62" s="1"/>
  <c r="CY316" i="62" s="1"/>
  <c r="BD316" i="62"/>
  <c r="BE316" i="62"/>
  <c r="BI316" i="62" s="1"/>
  <c r="BM316" i="62" s="1"/>
  <c r="BQ316" i="62" s="1"/>
  <c r="BU316" i="62" s="1"/>
  <c r="BY316" i="62" s="1"/>
  <c r="CC316" i="62" s="1"/>
  <c r="CG316" i="62" s="1"/>
  <c r="CK316" i="62" s="1"/>
  <c r="CO316" i="62" s="1"/>
  <c r="CS316" i="62" s="1"/>
  <c r="CW316" i="62" s="1"/>
  <c r="BH316" i="62"/>
  <c r="BL316" i="62" s="1"/>
  <c r="BP316" i="62" s="1"/>
  <c r="BT316" i="62" s="1"/>
  <c r="BX316" i="62" s="1"/>
  <c r="CB316" i="62" s="1"/>
  <c r="CF316" i="62" s="1"/>
  <c r="CJ316" i="62" s="1"/>
  <c r="CN316" i="62" s="1"/>
  <c r="CR316" i="62" s="1"/>
  <c r="CV316" i="62" s="1"/>
  <c r="CZ316" i="62" s="1"/>
  <c r="BA316" i="62"/>
  <c r="AZ316" i="62"/>
  <c r="AX317" i="62"/>
  <c r="AY316" i="62"/>
  <c r="AX316" i="62"/>
  <c r="AW316" i="62"/>
  <c r="BN313" i="62"/>
  <c r="BM313" i="62"/>
  <c r="BJ313" i="62"/>
  <c r="S154" i="4"/>
  <c r="T154" i="4"/>
  <c r="U154" i="4"/>
  <c r="S159" i="4"/>
  <c r="T159" i="4"/>
  <c r="U159" i="4"/>
  <c r="S25" i="19"/>
  <c r="T25" i="19"/>
  <c r="U25" i="19" s="1"/>
  <c r="V25" i="19" s="1"/>
  <c r="W25" i="19" s="1"/>
  <c r="X25" i="19" s="1"/>
  <c r="Y25" i="19" s="1"/>
  <c r="Z25" i="19" s="1"/>
  <c r="AA25" i="19" s="1"/>
  <c r="S33" i="19"/>
  <c r="T33" i="19"/>
  <c r="U33" i="19"/>
  <c r="V33" i="19"/>
  <c r="W33" i="19"/>
  <c r="X33" i="19"/>
  <c r="W34" i="19"/>
  <c r="X34" i="19"/>
  <c r="V46" i="19"/>
  <c r="X46" i="19"/>
  <c r="S56" i="19"/>
  <c r="T56" i="19"/>
  <c r="U56" i="19"/>
  <c r="V56" i="19" s="1"/>
  <c r="W56" i="19" s="1"/>
  <c r="X56" i="19" s="1"/>
  <c r="Y56" i="19" s="1"/>
  <c r="Z56" i="19" s="1"/>
  <c r="AA56" i="19" s="1"/>
  <c r="S59" i="19"/>
  <c r="T59" i="19"/>
  <c r="U59" i="19"/>
  <c r="V59" i="19" s="1"/>
  <c r="W59" i="19" s="1"/>
  <c r="X59" i="19" s="1"/>
  <c r="Y59" i="19" s="1"/>
  <c r="Z59" i="19" s="1"/>
  <c r="AA59" i="19" s="1"/>
  <c r="S62" i="19"/>
  <c r="T62" i="19"/>
  <c r="U62" i="19"/>
  <c r="V62" i="19" s="1"/>
  <c r="W62" i="19" s="1"/>
  <c r="X62" i="19" s="1"/>
  <c r="Y62" i="19" s="1"/>
  <c r="Z62" i="19" s="1"/>
  <c r="AA62" i="19" s="1"/>
  <c r="S65" i="19"/>
  <c r="T65" i="19"/>
  <c r="U65" i="19"/>
  <c r="S68" i="19"/>
  <c r="T68" i="19"/>
  <c r="U68" i="19"/>
  <c r="V68" i="19" s="1"/>
  <c r="W68" i="19" s="1"/>
  <c r="X68" i="19" s="1"/>
  <c r="Y68" i="19" s="1"/>
  <c r="Z68" i="19" s="1"/>
  <c r="AA68" i="19" s="1"/>
  <c r="V69" i="19"/>
  <c r="W69" i="19"/>
  <c r="X69" i="19"/>
  <c r="S74" i="19"/>
  <c r="T74" i="19" s="1"/>
  <c r="U74" i="19" s="1"/>
  <c r="V74" i="19" s="1"/>
  <c r="W74" i="19" s="1"/>
  <c r="X74" i="19" s="1"/>
  <c r="Y74" i="19" s="1"/>
  <c r="Z74" i="19" s="1"/>
  <c r="AA74" i="19" s="1"/>
  <c r="S76" i="19"/>
  <c r="T76" i="19"/>
  <c r="U76" i="19"/>
  <c r="V76" i="19" s="1"/>
  <c r="W76" i="19" s="1"/>
  <c r="X76" i="19" s="1"/>
  <c r="Y76" i="19" s="1"/>
  <c r="Z76" i="19" s="1"/>
  <c r="AA76" i="19" s="1"/>
  <c r="S15" i="4"/>
  <c r="T15" i="4"/>
  <c r="U15" i="4"/>
  <c r="S17" i="4"/>
  <c r="T17" i="4"/>
  <c r="U17" i="4"/>
  <c r="T82" i="4"/>
  <c r="U82" i="4"/>
  <c r="AU312" i="62"/>
  <c r="AV312" i="62" s="1"/>
  <c r="AW312" i="62"/>
  <c r="AW302" i="62" s="1"/>
  <c r="AW303" i="62" s="1"/>
  <c r="AX312" i="62"/>
  <c r="AX302" i="62" s="1"/>
  <c r="AX303" i="62" s="1"/>
  <c r="AS312" i="62"/>
  <c r="AT312" i="62"/>
  <c r="AO312" i="62"/>
  <c r="AP312" i="62"/>
  <c r="AQ312" i="62" s="1"/>
  <c r="AR312" i="62" s="1"/>
  <c r="AS303" i="62"/>
  <c r="AV300" i="62"/>
  <c r="AX301" i="62"/>
  <c r="AX300" i="62"/>
  <c r="P92" i="4"/>
  <c r="Q92" i="4" s="1"/>
  <c r="O97" i="62"/>
  <c r="P97" i="62" s="1"/>
  <c r="Q97" i="62" s="1"/>
  <c r="O101" i="62"/>
  <c r="P101" i="62"/>
  <c r="Q101" i="62"/>
  <c r="O142" i="62"/>
  <c r="P142" i="62"/>
  <c r="Q142" i="62"/>
  <c r="O183" i="62"/>
  <c r="P183" i="62"/>
  <c r="Q183" i="62" s="1"/>
  <c r="O186" i="62"/>
  <c r="P186" i="62" s="1"/>
  <c r="O188" i="62"/>
  <c r="P188" i="62" s="1"/>
  <c r="O254" i="62"/>
  <c r="P254" i="62"/>
  <c r="Q254" i="62"/>
  <c r="O264" i="62"/>
  <c r="P264" i="62"/>
  <c r="Q264" i="62" s="1"/>
  <c r="O40" i="62"/>
  <c r="P40" i="62" s="1"/>
  <c r="Q40" i="62" s="1"/>
  <c r="R268" i="62"/>
  <c r="R269" i="62" s="1"/>
  <c r="R270" i="62"/>
  <c r="BI89" i="62"/>
  <c r="Z33" i="19"/>
  <c r="AA33" i="19"/>
  <c r="Y34" i="19"/>
  <c r="Z34" i="19"/>
  <c r="Y46" i="19"/>
  <c r="Z46" i="19"/>
  <c r="AA46" i="19"/>
  <c r="Y47" i="19"/>
  <c r="Z47" i="19"/>
  <c r="Y48" i="19"/>
  <c r="Z48" i="19"/>
  <c r="Y69" i="19"/>
  <c r="Z69" i="19"/>
  <c r="AA69" i="19"/>
  <c r="S106" i="19"/>
  <c r="S109" i="19"/>
  <c r="ER42" i="63"/>
  <c r="EQ42" i="63"/>
  <c r="EF42" i="63"/>
  <c r="EE42" i="63"/>
  <c r="DT42" i="63"/>
  <c r="DS42" i="63"/>
  <c r="DG42" i="63"/>
  <c r="DM42" i="63"/>
  <c r="DN42" i="63"/>
  <c r="DO42" i="63"/>
  <c r="DP42" i="63"/>
  <c r="DQ42" i="63" s="1"/>
  <c r="EF19" i="63"/>
  <c r="EG19" i="63"/>
  <c r="EH19" i="63"/>
  <c r="EI19" i="63"/>
  <c r="EJ19" i="63"/>
  <c r="EK19" i="63"/>
  <c r="EL19" i="63"/>
  <c r="EM19" i="63"/>
  <c r="EN19" i="63"/>
  <c r="EO19" i="63"/>
  <c r="EP19" i="63"/>
  <c r="EQ19" i="63"/>
  <c r="ER19" i="63"/>
  <c r="ES19" i="63"/>
  <c r="ET19" i="63"/>
  <c r="EU19" i="63"/>
  <c r="EV19" i="63"/>
  <c r="EW19" i="63"/>
  <c r="EX19" i="63"/>
  <c r="EY19" i="63"/>
  <c r="EZ19" i="63"/>
  <c r="FA19" i="63"/>
  <c r="FB19" i="63"/>
  <c r="FC19" i="63"/>
  <c r="FD19" i="63"/>
  <c r="FE19" i="63"/>
  <c r="FF19" i="63"/>
  <c r="FG19" i="63"/>
  <c r="FH19" i="63"/>
  <c r="FI19" i="63"/>
  <c r="FJ19" i="63"/>
  <c r="FK19" i="63"/>
  <c r="FL19" i="63"/>
  <c r="FM19" i="63"/>
  <c r="FN19" i="63"/>
  <c r="FO19" i="63"/>
  <c r="FP19" i="63"/>
  <c r="FQ19" i="63"/>
  <c r="FR19" i="63"/>
  <c r="FS19" i="63"/>
  <c r="FT19" i="63"/>
  <c r="FU19" i="63"/>
  <c r="FV19" i="63"/>
  <c r="FW19" i="63"/>
  <c r="FX19" i="63"/>
  <c r="FY19" i="63"/>
  <c r="EE19" i="63"/>
  <c r="DS31" i="63"/>
  <c r="DT31" i="63"/>
  <c r="DU31" i="63"/>
  <c r="DV31" i="63"/>
  <c r="DW31" i="63"/>
  <c r="DX31" i="63"/>
  <c r="DY31" i="63"/>
  <c r="EB31" i="63"/>
  <c r="EC31" i="63"/>
  <c r="ED31" i="63"/>
  <c r="EE31" i="63"/>
  <c r="EF31" i="63"/>
  <c r="EG31" i="63"/>
  <c r="EH31" i="63"/>
  <c r="EI31" i="63"/>
  <c r="EJ31" i="63"/>
  <c r="EK31" i="63"/>
  <c r="EN31" i="63"/>
  <c r="EO31" i="63"/>
  <c r="EP31" i="63"/>
  <c r="EQ31" i="63"/>
  <c r="ER31" i="63"/>
  <c r="ES31" i="63"/>
  <c r="ET31" i="63"/>
  <c r="EU31" i="63"/>
  <c r="EV31" i="63"/>
  <c r="EW31" i="63"/>
  <c r="EZ31" i="63"/>
  <c r="FA31" i="63"/>
  <c r="FB31" i="63"/>
  <c r="FC31" i="63"/>
  <c r="FD31" i="63"/>
  <c r="FE31" i="63"/>
  <c r="FF31" i="63"/>
  <c r="FG31" i="63"/>
  <c r="FH31" i="63"/>
  <c r="FI31" i="63"/>
  <c r="FL31" i="63"/>
  <c r="FM31" i="63"/>
  <c r="FN31" i="63"/>
  <c r="FO31" i="63"/>
  <c r="FP31" i="63"/>
  <c r="FQ31" i="63"/>
  <c r="FR31" i="63"/>
  <c r="FS31" i="63"/>
  <c r="FT31" i="63"/>
  <c r="FU31" i="63"/>
  <c r="FX31" i="63"/>
  <c r="FY31" i="63"/>
  <c r="DS64" i="63"/>
  <c r="DT64" i="63"/>
  <c r="DU64" i="63"/>
  <c r="DV64" i="63"/>
  <c r="DW64" i="63"/>
  <c r="DX64" i="63"/>
  <c r="DY64" i="63"/>
  <c r="DZ64" i="63"/>
  <c r="EA64" i="63"/>
  <c r="EB64" i="63"/>
  <c r="EC64" i="63"/>
  <c r="ED64" i="63"/>
  <c r="EE64" i="63"/>
  <c r="EF64" i="63"/>
  <c r="EG64" i="63"/>
  <c r="EH64" i="63"/>
  <c r="EI64" i="63"/>
  <c r="EJ64" i="63"/>
  <c r="EK64" i="63"/>
  <c r="EL64" i="63"/>
  <c r="EM64" i="63"/>
  <c r="EN64" i="63"/>
  <c r="EO64" i="63"/>
  <c r="EP64" i="63"/>
  <c r="EQ64" i="63"/>
  <c r="ER64" i="63"/>
  <c r="ES64" i="63"/>
  <c r="ET64" i="63"/>
  <c r="EU64" i="63"/>
  <c r="EV64" i="63"/>
  <c r="EW64" i="63"/>
  <c r="EX64" i="63"/>
  <c r="EY64" i="63"/>
  <c r="EZ64" i="63"/>
  <c r="FA64" i="63"/>
  <c r="FB64" i="63"/>
  <c r="FC64" i="63"/>
  <c r="FD64" i="63"/>
  <c r="FE64" i="63"/>
  <c r="FF64" i="63"/>
  <c r="FG64" i="63"/>
  <c r="FH64" i="63"/>
  <c r="FI64" i="63"/>
  <c r="FJ64" i="63"/>
  <c r="FK64" i="63"/>
  <c r="FL64" i="63"/>
  <c r="FM64" i="63"/>
  <c r="FN64" i="63"/>
  <c r="FO64" i="63"/>
  <c r="FP64" i="63"/>
  <c r="FQ64" i="63"/>
  <c r="FR64" i="63"/>
  <c r="FS64" i="63"/>
  <c r="FT64" i="63"/>
  <c r="FU64" i="63"/>
  <c r="FV64" i="63"/>
  <c r="FW64" i="63"/>
  <c r="FX64" i="63"/>
  <c r="FY64" i="63"/>
  <c r="DU1" i="63"/>
  <c r="DW1" i="63"/>
  <c r="DZ1" i="63"/>
  <c r="ED1" i="63"/>
  <c r="EG1" i="63"/>
  <c r="EI1" i="63"/>
  <c r="EL1" i="63"/>
  <c r="EP1" i="63"/>
  <c r="ES1" i="63"/>
  <c r="EU1" i="63"/>
  <c r="EX1" i="63"/>
  <c r="FB1" i="63"/>
  <c r="FE1" i="63"/>
  <c r="FG1" i="63"/>
  <c r="FJ1" i="63"/>
  <c r="FN1" i="63"/>
  <c r="FQ1" i="63"/>
  <c r="FS1" i="63"/>
  <c r="FV1" i="63"/>
  <c r="FZ1" i="63"/>
  <c r="GC1" i="63"/>
  <c r="GE1" i="63"/>
  <c r="GH1" i="63"/>
  <c r="GL1" i="63"/>
  <c r="GO1" i="63"/>
  <c r="GQ1" i="63"/>
  <c r="GT1" i="63"/>
  <c r="GX1" i="63"/>
  <c r="HA1" i="63"/>
  <c r="HC1" i="63"/>
  <c r="HF1" i="63"/>
  <c r="DS2" i="63"/>
  <c r="DS1" i="63" s="1"/>
  <c r="DT2" i="63"/>
  <c r="DT1" i="63" s="1"/>
  <c r="DU2" i="63"/>
  <c r="DV2" i="63"/>
  <c r="DV1" i="63" s="1"/>
  <c r="DW2" i="63"/>
  <c r="DX2" i="63"/>
  <c r="DX1" i="63" s="1"/>
  <c r="DY2" i="63"/>
  <c r="DY1" i="63" s="1"/>
  <c r="DZ2" i="63"/>
  <c r="EA2" i="63"/>
  <c r="EA1" i="63" s="1"/>
  <c r="EB2" i="63"/>
  <c r="EB1" i="63" s="1"/>
  <c r="EC2" i="63"/>
  <c r="EC1" i="63" s="1"/>
  <c r="ED2" i="63"/>
  <c r="EE2" i="63"/>
  <c r="EE1" i="63" s="1"/>
  <c r="EF2" i="63"/>
  <c r="EF1" i="63" s="1"/>
  <c r="EG2" i="63"/>
  <c r="EH2" i="63"/>
  <c r="EH1" i="63" s="1"/>
  <c r="EI2" i="63"/>
  <c r="EJ2" i="63"/>
  <c r="EJ1" i="63" s="1"/>
  <c r="EK2" i="63"/>
  <c r="EK1" i="63" s="1"/>
  <c r="EL2" i="63"/>
  <c r="EM2" i="63"/>
  <c r="EM1" i="63" s="1"/>
  <c r="EN2" i="63"/>
  <c r="EN1" i="63" s="1"/>
  <c r="EO2" i="63"/>
  <c r="EO1" i="63" s="1"/>
  <c r="EP2" i="63"/>
  <c r="EQ2" i="63"/>
  <c r="EQ1" i="63" s="1"/>
  <c r="ER2" i="63"/>
  <c r="ER1" i="63" s="1"/>
  <c r="ES2" i="63"/>
  <c r="ET2" i="63"/>
  <c r="ET1" i="63" s="1"/>
  <c r="EU2" i="63"/>
  <c r="EV2" i="63"/>
  <c r="EV1" i="63" s="1"/>
  <c r="EW2" i="63"/>
  <c r="EW1" i="63" s="1"/>
  <c r="EX2" i="63"/>
  <c r="EY2" i="63"/>
  <c r="EY1" i="63" s="1"/>
  <c r="EZ2" i="63"/>
  <c r="EZ1" i="63" s="1"/>
  <c r="FA2" i="63"/>
  <c r="FA1" i="63" s="1"/>
  <c r="FB2" i="63"/>
  <c r="FC2" i="63"/>
  <c r="FC1" i="63" s="1"/>
  <c r="FD2" i="63"/>
  <c r="FD1" i="63" s="1"/>
  <c r="FE2" i="63"/>
  <c r="FF2" i="63"/>
  <c r="FF1" i="63" s="1"/>
  <c r="FG2" i="63"/>
  <c r="FH2" i="63"/>
  <c r="FH1" i="63" s="1"/>
  <c r="FI2" i="63"/>
  <c r="FI1" i="63" s="1"/>
  <c r="FJ2" i="63"/>
  <c r="FK2" i="63"/>
  <c r="FK1" i="63" s="1"/>
  <c r="FL2" i="63"/>
  <c r="FL1" i="63" s="1"/>
  <c r="FM2" i="63"/>
  <c r="FM1" i="63" s="1"/>
  <c r="FN2" i="63"/>
  <c r="FO2" i="63"/>
  <c r="FO1" i="63" s="1"/>
  <c r="FP2" i="63"/>
  <c r="FP1" i="63" s="1"/>
  <c r="FQ2" i="63"/>
  <c r="FR2" i="63"/>
  <c r="FR1" i="63" s="1"/>
  <c r="FS2" i="63"/>
  <c r="FT2" i="63"/>
  <c r="FT1" i="63" s="1"/>
  <c r="FU2" i="63"/>
  <c r="FU1" i="63" s="1"/>
  <c r="FV2" i="63"/>
  <c r="FW2" i="63"/>
  <c r="FW1" i="63" s="1"/>
  <c r="FX2" i="63"/>
  <c r="FX1" i="63" s="1"/>
  <c r="FY2" i="63"/>
  <c r="FY1" i="63" s="1"/>
  <c r="FZ2" i="63"/>
  <c r="GA2" i="63"/>
  <c r="GA1" i="63" s="1"/>
  <c r="GB2" i="63"/>
  <c r="GB1" i="63" s="1"/>
  <c r="GC2" i="63"/>
  <c r="GD2" i="63"/>
  <c r="GD1" i="63" s="1"/>
  <c r="GE2" i="63"/>
  <c r="GF2" i="63"/>
  <c r="GF1" i="63" s="1"/>
  <c r="GG2" i="63"/>
  <c r="GG1" i="63" s="1"/>
  <c r="GH2" i="63"/>
  <c r="GI2" i="63"/>
  <c r="GI1" i="63" s="1"/>
  <c r="GJ2" i="63"/>
  <c r="GJ1" i="63" s="1"/>
  <c r="GK2" i="63"/>
  <c r="GK1" i="63" s="1"/>
  <c r="GL2" i="63"/>
  <c r="GM2" i="63"/>
  <c r="GM1" i="63" s="1"/>
  <c r="GN2" i="63"/>
  <c r="GN1" i="63" s="1"/>
  <c r="GO2" i="63"/>
  <c r="GP2" i="63"/>
  <c r="GP1" i="63" s="1"/>
  <c r="GQ2" i="63"/>
  <c r="GR2" i="63"/>
  <c r="GR1" i="63" s="1"/>
  <c r="GS2" i="63"/>
  <c r="GS1" i="63" s="1"/>
  <c r="GT2" i="63"/>
  <c r="GU2" i="63"/>
  <c r="GU1" i="63" s="1"/>
  <c r="GV2" i="63"/>
  <c r="GV1" i="63" s="1"/>
  <c r="GW2" i="63"/>
  <c r="GW1" i="63" s="1"/>
  <c r="GX2" i="63"/>
  <c r="GY2" i="63"/>
  <c r="GY1" i="63" s="1"/>
  <c r="GZ2" i="63"/>
  <c r="GZ1" i="63" s="1"/>
  <c r="HA2" i="63"/>
  <c r="HB2" i="63"/>
  <c r="HB1" i="63" s="1"/>
  <c r="HC2" i="63"/>
  <c r="HD2" i="63"/>
  <c r="HD1" i="63" s="1"/>
  <c r="HE2" i="63"/>
  <c r="HE1" i="63" s="1"/>
  <c r="HF2" i="63"/>
  <c r="HG2" i="63"/>
  <c r="HG1" i="63" s="1"/>
  <c r="HH2" i="63"/>
  <c r="HH1" i="63" s="1"/>
  <c r="HI2" i="63"/>
  <c r="HI1" i="63" s="1"/>
  <c r="BE87" i="62"/>
  <c r="BM87" i="62" s="1"/>
  <c r="BQ87" i="62" s="1"/>
  <c r="BU87" i="62" s="1"/>
  <c r="BY87" i="62" s="1"/>
  <c r="BA138" i="62"/>
  <c r="BA139" i="62" s="1"/>
  <c r="BI313" i="62"/>
  <c r="BK313" i="62"/>
  <c r="BL313" i="62" s="1"/>
  <c r="S82" i="4"/>
  <c r="R159" i="4"/>
  <c r="U371" i="39"/>
  <c r="V371" i="39"/>
  <c r="W371" i="39"/>
  <c r="T371" i="39"/>
  <c r="T366" i="39"/>
  <c r="U366" i="39"/>
  <c r="V366" i="39"/>
  <c r="W366" i="39"/>
  <c r="T367" i="39"/>
  <c r="U367" i="39"/>
  <c r="V367" i="39"/>
  <c r="W367" i="39"/>
  <c r="T368" i="39"/>
  <c r="U368" i="39"/>
  <c r="V368" i="39"/>
  <c r="W368" i="39"/>
  <c r="T369" i="39"/>
  <c r="U369" i="39"/>
  <c r="V369" i="39"/>
  <c r="W369" i="39"/>
  <c r="S367" i="39"/>
  <c r="S368" i="39"/>
  <c r="S369" i="39"/>
  <c r="S366" i="39"/>
  <c r="Q365" i="39"/>
  <c r="R365" i="39"/>
  <c r="S365" i="39"/>
  <c r="T365" i="39"/>
  <c r="U365" i="39"/>
  <c r="V365" i="39"/>
  <c r="W365" i="39"/>
  <c r="P365" i="39"/>
  <c r="P358" i="39"/>
  <c r="Q358" i="39"/>
  <c r="R358" i="39"/>
  <c r="S358" i="39"/>
  <c r="T358" i="39"/>
  <c r="U358" i="39"/>
  <c r="V358" i="39"/>
  <c r="W358" i="39"/>
  <c r="P359" i="39"/>
  <c r="Q359" i="39"/>
  <c r="R359" i="39"/>
  <c r="S359" i="39"/>
  <c r="T359" i="39"/>
  <c r="U359" i="39"/>
  <c r="V359" i="39"/>
  <c r="W359" i="39"/>
  <c r="P360" i="39"/>
  <c r="Q360" i="39"/>
  <c r="R360" i="39"/>
  <c r="S360" i="39"/>
  <c r="T360" i="39"/>
  <c r="U360" i="39"/>
  <c r="V360" i="39"/>
  <c r="W360" i="39"/>
  <c r="P361" i="39"/>
  <c r="Q361" i="39"/>
  <c r="R361" i="39"/>
  <c r="S361" i="39"/>
  <c r="T361" i="39"/>
  <c r="U361" i="39"/>
  <c r="V361" i="39"/>
  <c r="W361" i="39"/>
  <c r="P362" i="39"/>
  <c r="Q362" i="39"/>
  <c r="R362" i="39"/>
  <c r="S362" i="39"/>
  <c r="T362" i="39"/>
  <c r="U362" i="39"/>
  <c r="V362" i="39"/>
  <c r="W362" i="39"/>
  <c r="P363" i="39"/>
  <c r="Q363" i="39"/>
  <c r="R363" i="39"/>
  <c r="S363" i="39"/>
  <c r="T363" i="39"/>
  <c r="U363" i="39"/>
  <c r="V363" i="39"/>
  <c r="W363" i="39"/>
  <c r="P357" i="39"/>
  <c r="Q357" i="39"/>
  <c r="R357" i="39"/>
  <c r="S357" i="39"/>
  <c r="T357" i="39"/>
  <c r="U357" i="39"/>
  <c r="V357" i="39"/>
  <c r="W357" i="39"/>
  <c r="CO69" i="63"/>
  <c r="CO68" i="63"/>
  <c r="CO42" i="63"/>
  <c r="CN10" i="63"/>
  <c r="J107" i="62" l="1"/>
  <c r="R107" i="62" s="1"/>
  <c r="K107" i="62"/>
  <c r="I8" i="101"/>
  <c r="AC84" i="62"/>
  <c r="N87" i="64"/>
  <c r="N97" i="64" s="1"/>
  <c r="L86" i="64"/>
  <c r="O77" i="64"/>
  <c r="N77" i="64"/>
  <c r="M76" i="64"/>
  <c r="D139" i="62"/>
  <c r="AX64" i="62"/>
  <c r="BR313" i="62"/>
  <c r="BT313" i="62" s="1"/>
  <c r="BU313" i="62" s="1"/>
  <c r="BV313" i="62" s="1"/>
  <c r="BW313" i="62" s="1"/>
  <c r="BX313" i="62" s="1"/>
  <c r="BY313" i="62" s="1"/>
  <c r="BZ313" i="62" s="1"/>
  <c r="CA313" i="62" s="1"/>
  <c r="CB313" i="62" s="1"/>
  <c r="CC313" i="62" s="1"/>
  <c r="CD313" i="62" s="1"/>
  <c r="CE313" i="62" s="1"/>
  <c r="CF313" i="62" s="1"/>
  <c r="CG313" i="62" s="1"/>
  <c r="CH313" i="62" s="1"/>
  <c r="CI313" i="62" s="1"/>
  <c r="CJ313" i="62" s="1"/>
  <c r="CK313" i="62" s="1"/>
  <c r="CL313" i="62" s="1"/>
  <c r="CM313" i="62" s="1"/>
  <c r="CN313" i="62" s="1"/>
  <c r="CO313" i="62" s="1"/>
  <c r="CP313" i="62" s="1"/>
  <c r="CQ313" i="62" s="1"/>
  <c r="CR313" i="62" s="1"/>
  <c r="CS313" i="62" s="1"/>
  <c r="CT313" i="62" s="1"/>
  <c r="CU313" i="62" s="1"/>
  <c r="CV313" i="62" s="1"/>
  <c r="CW313" i="62" s="1"/>
  <c r="CX313" i="62" s="1"/>
  <c r="CY313" i="62" s="1"/>
  <c r="CZ313" i="62" s="1"/>
  <c r="BQ313" i="62"/>
  <c r="V65" i="19"/>
  <c r="Q188" i="62"/>
  <c r="Q186" i="62"/>
  <c r="BM89" i="62"/>
  <c r="DU42" i="63"/>
  <c r="DV42" i="63" s="1"/>
  <c r="DW42" i="63" s="1"/>
  <c r="DX42" i="63" s="1"/>
  <c r="DY42" i="63" s="1"/>
  <c r="DZ42" i="63" s="1"/>
  <c r="EA42" i="63" s="1"/>
  <c r="EB42" i="63" s="1"/>
  <c r="EC42" i="63" s="1"/>
  <c r="O11" i="100"/>
  <c r="N15" i="100" a="1"/>
  <c r="N15" i="100" s="1"/>
  <c r="N12" i="100"/>
  <c r="M86" i="64" l="1"/>
  <c r="N86" i="64" s="1"/>
  <c r="N76" i="64"/>
  <c r="O76" i="64" s="1"/>
  <c r="W65" i="19"/>
  <c r="BQ89" i="62"/>
  <c r="N7" i="100"/>
  <c r="P1" i="100"/>
  <c r="N5" i="100"/>
  <c r="AX263" i="62"/>
  <c r="AW263" i="62"/>
  <c r="AR258" i="62"/>
  <c r="AS258" i="62"/>
  <c r="AT258" i="62"/>
  <c r="AU258" i="62"/>
  <c r="AV258" i="62"/>
  <c r="AW258" i="62"/>
  <c r="AX258" i="62"/>
  <c r="X69" i="39"/>
  <c r="CR49" i="63"/>
  <c r="CS49" i="63"/>
  <c r="CT49" i="63"/>
  <c r="CK47" i="63"/>
  <c r="CL43" i="63"/>
  <c r="CM43" i="63"/>
  <c r="CN42" i="63"/>
  <c r="BX161" i="38"/>
  <c r="BW161" i="38"/>
  <c r="AS53" i="98"/>
  <c r="AR52" i="98"/>
  <c r="AS52" i="98"/>
  <c r="AT52" i="98"/>
  <c r="AU52" i="98"/>
  <c r="AV52" i="98"/>
  <c r="AW52" i="98"/>
  <c r="AR53" i="98"/>
  <c r="AS54" i="98"/>
  <c r="AT53" i="98"/>
  <c r="AU53" i="98"/>
  <c r="AV53" i="98"/>
  <c r="AV54" i="98" s="1"/>
  <c r="AW53" i="98"/>
  <c r="AW54" i="98" s="1"/>
  <c r="AR54" i="98"/>
  <c r="AT54" i="98"/>
  <c r="AU54" i="98"/>
  <c r="V53" i="98"/>
  <c r="W53" i="98"/>
  <c r="W54" i="98" s="1"/>
  <c r="X53" i="98"/>
  <c r="X54" i="98" s="1"/>
  <c r="Y53" i="98"/>
  <c r="Z53" i="98"/>
  <c r="Z54" i="98" s="1"/>
  <c r="AA53" i="98"/>
  <c r="AA54" i="98" s="1"/>
  <c r="AB53" i="98"/>
  <c r="AB54" i="98" s="1"/>
  <c r="AC53" i="98"/>
  <c r="AD53" i="98"/>
  <c r="AE53" i="98"/>
  <c r="AF53" i="98"/>
  <c r="AG53" i="98"/>
  <c r="AG54" i="98" s="1"/>
  <c r="AH53" i="98"/>
  <c r="AI53" i="98"/>
  <c r="AI54" i="98" s="1"/>
  <c r="AJ53" i="98"/>
  <c r="AJ54" i="98" s="1"/>
  <c r="AK53" i="98"/>
  <c r="AL53" i="98"/>
  <c r="AL54" i="98" s="1"/>
  <c r="AM53" i="98"/>
  <c r="AN53" i="98"/>
  <c r="AN54" i="98" s="1"/>
  <c r="AO53" i="98"/>
  <c r="AP53" i="98"/>
  <c r="AQ53" i="98"/>
  <c r="U53" i="98"/>
  <c r="U54" i="98" s="1"/>
  <c r="AI52" i="98"/>
  <c r="AJ52" i="98"/>
  <c r="AK52" i="98"/>
  <c r="AL52" i="98"/>
  <c r="AM52" i="98"/>
  <c r="AN52" i="98"/>
  <c r="AO52" i="98"/>
  <c r="AP52" i="98"/>
  <c r="AQ52" i="98"/>
  <c r="AK54" i="98"/>
  <c r="AM54" i="98"/>
  <c r="AO54" i="98"/>
  <c r="AP54" i="98"/>
  <c r="AQ54" i="98"/>
  <c r="V54" i="98"/>
  <c r="Y54" i="98"/>
  <c r="AC54" i="98"/>
  <c r="AD54" i="98"/>
  <c r="AE54" i="98"/>
  <c r="AF54" i="98"/>
  <c r="AH54" i="98"/>
  <c r="V52" i="98"/>
  <c r="W52" i="98"/>
  <c r="X52" i="98"/>
  <c r="Y52" i="98"/>
  <c r="Z52" i="98"/>
  <c r="AA52" i="98"/>
  <c r="AB52" i="98"/>
  <c r="AC52" i="98"/>
  <c r="AD52" i="98"/>
  <c r="AE52" i="98"/>
  <c r="AF52" i="98"/>
  <c r="AG52" i="98"/>
  <c r="AH52" i="98"/>
  <c r="U52" i="98"/>
  <c r="F50" i="98"/>
  <c r="G50" i="98"/>
  <c r="H50" i="98"/>
  <c r="I50" i="98"/>
  <c r="J50" i="98"/>
  <c r="K50" i="98"/>
  <c r="L50" i="98"/>
  <c r="M50" i="98"/>
  <c r="N50" i="98"/>
  <c r="O50" i="98"/>
  <c r="P50" i="98"/>
  <c r="Q50" i="98"/>
  <c r="R50" i="98"/>
  <c r="S50" i="98"/>
  <c r="T50" i="98"/>
  <c r="U50" i="98"/>
  <c r="V50" i="98"/>
  <c r="W50" i="98"/>
  <c r="X50" i="98"/>
  <c r="Y50" i="98"/>
  <c r="Z50" i="98"/>
  <c r="AA50" i="98"/>
  <c r="AB50" i="98"/>
  <c r="AC50" i="98"/>
  <c r="AD50" i="98"/>
  <c r="AE50" i="98"/>
  <c r="AF50" i="98"/>
  <c r="AG50" i="98"/>
  <c r="AH50" i="98"/>
  <c r="AI50" i="98"/>
  <c r="B49" i="98"/>
  <c r="C49" i="98"/>
  <c r="D49" i="98"/>
  <c r="E49" i="98"/>
  <c r="F49" i="98"/>
  <c r="G49" i="98"/>
  <c r="H49" i="98"/>
  <c r="I49" i="98"/>
  <c r="J49" i="98"/>
  <c r="K49" i="98"/>
  <c r="L49" i="98"/>
  <c r="M49" i="98"/>
  <c r="N49" i="98"/>
  <c r="O49" i="98"/>
  <c r="P49" i="98"/>
  <c r="Q49" i="98"/>
  <c r="R49" i="98"/>
  <c r="S49" i="98"/>
  <c r="T49" i="98"/>
  <c r="U49" i="98"/>
  <c r="V49" i="98"/>
  <c r="W49" i="98"/>
  <c r="X49" i="98"/>
  <c r="Y49" i="98"/>
  <c r="Z49" i="98"/>
  <c r="AA49" i="98"/>
  <c r="AB49" i="98"/>
  <c r="AC49" i="98"/>
  <c r="AD49" i="98"/>
  <c r="AE49" i="98"/>
  <c r="AF49" i="98"/>
  <c r="AG49" i="98"/>
  <c r="AH49" i="98"/>
  <c r="AI49" i="98"/>
  <c r="B48" i="98"/>
  <c r="C48" i="98"/>
  <c r="D48" i="98"/>
  <c r="E48" i="98"/>
  <c r="F48" i="98"/>
  <c r="G48" i="98"/>
  <c r="H48" i="98"/>
  <c r="I48" i="98"/>
  <c r="J48" i="98"/>
  <c r="K48" i="98"/>
  <c r="L48" i="98"/>
  <c r="M48" i="98"/>
  <c r="N48" i="98"/>
  <c r="O48" i="98"/>
  <c r="P48" i="98"/>
  <c r="Q48" i="98"/>
  <c r="R48" i="98"/>
  <c r="S48" i="98"/>
  <c r="T48" i="98"/>
  <c r="U48" i="98"/>
  <c r="V48" i="98"/>
  <c r="W48" i="98"/>
  <c r="X48" i="98"/>
  <c r="Y48" i="98"/>
  <c r="Z48" i="98"/>
  <c r="AA48" i="98"/>
  <c r="AB48" i="98"/>
  <c r="AC48" i="98"/>
  <c r="AD48" i="98"/>
  <c r="AE48" i="98"/>
  <c r="AF48" i="98"/>
  <c r="AG48" i="98"/>
  <c r="AH48" i="98"/>
  <c r="AI48" i="98"/>
  <c r="A1" i="98"/>
  <c r="O305" i="69"/>
  <c r="N305" i="69"/>
  <c r="AH23" i="54"/>
  <c r="AH36" i="54"/>
  <c r="M137" i="62"/>
  <c r="AX259" i="62" l="1"/>
  <c r="AW259" i="62"/>
  <c r="O86" i="64"/>
  <c r="N110" i="64"/>
  <c r="M110" i="64"/>
  <c r="X65" i="19"/>
  <c r="BU89" i="62"/>
  <c r="DT52" i="63"/>
  <c r="DS52" i="63"/>
  <c r="AH28" i="54"/>
  <c r="AX53" i="62"/>
  <c r="AW53" i="62"/>
  <c r="AW49" i="62"/>
  <c r="AX56" i="62"/>
  <c r="AX54" i="62"/>
  <c r="AX55" i="62"/>
  <c r="AX48" i="62"/>
  <c r="AX47" i="62" s="1"/>
  <c r="M301" i="69"/>
  <c r="H464" i="69"/>
  <c r="L27" i="2"/>
  <c r="N142" i="62"/>
  <c r="P500" i="69"/>
  <c r="M113" i="64" l="1"/>
  <c r="M63" i="64" s="1"/>
  <c r="BY89" i="62"/>
  <c r="CC87" i="62"/>
  <c r="DW52" i="63"/>
  <c r="DV52" i="63"/>
  <c r="DU52" i="63"/>
  <c r="K476" i="69"/>
  <c r="I476" i="69"/>
  <c r="O110" i="64" l="1"/>
  <c r="CG87" i="62"/>
  <c r="CC89" i="62"/>
  <c r="Y65" i="19"/>
  <c r="DX52" i="63"/>
  <c r="BA3" i="94"/>
  <c r="BA4" i="94"/>
  <c r="BA5" i="94"/>
  <c r="BA6" i="94"/>
  <c r="BA7" i="94"/>
  <c r="BA8" i="94"/>
  <c r="BA9" i="94"/>
  <c r="BA10" i="94"/>
  <c r="BA11" i="94"/>
  <c r="BA12" i="94"/>
  <c r="BA13" i="94"/>
  <c r="BA14" i="94"/>
  <c r="BA15" i="94"/>
  <c r="BA16" i="94"/>
  <c r="BA17" i="94"/>
  <c r="BA18" i="94"/>
  <c r="BA19" i="94"/>
  <c r="BA20" i="94"/>
  <c r="BA21" i="94"/>
  <c r="BA22" i="94"/>
  <c r="BA23" i="94"/>
  <c r="BA24" i="94"/>
  <c r="BA25" i="94"/>
  <c r="BA26" i="94"/>
  <c r="BA27" i="94"/>
  <c r="BA28" i="94"/>
  <c r="BA29" i="94"/>
  <c r="BA30" i="94"/>
  <c r="BA31" i="94"/>
  <c r="BA32" i="94"/>
  <c r="BA33" i="94"/>
  <c r="BA34" i="94"/>
  <c r="BA35" i="94"/>
  <c r="BA36" i="94"/>
  <c r="BA37" i="94"/>
  <c r="BA38" i="94"/>
  <c r="BA2" i="94"/>
  <c r="CG89" i="62" l="1"/>
  <c r="CK87" i="62"/>
  <c r="Z65" i="19"/>
  <c r="DZ52" i="63"/>
  <c r="DY52" i="63"/>
  <c r="EA52" i="63"/>
  <c r="I493" i="69"/>
  <c r="G465" i="69"/>
  <c r="BA313" i="62"/>
  <c r="AW313" i="62"/>
  <c r="AX313" i="62" s="1"/>
  <c r="AY313" i="62" l="1"/>
  <c r="CK89" i="62"/>
  <c r="AA65" i="19"/>
  <c r="EB52" i="63"/>
  <c r="CO87" i="62"/>
  <c r="B466" i="69"/>
  <c r="B467" i="69"/>
  <c r="B468" i="69"/>
  <c r="B465" i="69"/>
  <c r="C491" i="69"/>
  <c r="F40" i="64"/>
  <c r="G40" i="64"/>
  <c r="K55" i="4"/>
  <c r="L55" i="4"/>
  <c r="M55" i="4"/>
  <c r="N55" i="4"/>
  <c r="O55" i="4"/>
  <c r="K441" i="69"/>
  <c r="EC52" i="63" l="1"/>
  <c r="CO89" i="62"/>
  <c r="CS87" i="62"/>
  <c r="B499" i="69"/>
  <c r="B498" i="69"/>
  <c r="AB41" i="95"/>
  <c r="AA42" i="95"/>
  <c r="AA41" i="95"/>
  <c r="AA40" i="95"/>
  <c r="N101" i="62"/>
  <c r="N254" i="62"/>
  <c r="Z40" i="95"/>
  <c r="Z39" i="95"/>
  <c r="ED52" i="63" l="1"/>
  <c r="CW87" i="62"/>
  <c r="CS89" i="62"/>
  <c r="AA43" i="95"/>
  <c r="K442" i="69"/>
  <c r="EF52" i="63" l="1"/>
  <c r="EE52" i="63"/>
  <c r="CW89" i="62"/>
  <c r="C448" i="69"/>
  <c r="G433" i="69"/>
  <c r="BE37" i="94"/>
  <c r="BB4" i="94"/>
  <c r="BE4" i="94" s="1"/>
  <c r="BB5" i="94"/>
  <c r="BE5" i="94" s="1"/>
  <c r="BB6" i="94"/>
  <c r="BE6" i="94" s="1"/>
  <c r="BB7" i="94"/>
  <c r="BE7" i="94" s="1"/>
  <c r="BB8" i="94"/>
  <c r="BE8" i="94" s="1"/>
  <c r="BB9" i="94"/>
  <c r="BE9" i="94" s="1"/>
  <c r="BB10" i="94"/>
  <c r="BE10" i="94" s="1"/>
  <c r="BB11" i="94"/>
  <c r="BE11" i="94" s="1"/>
  <c r="BB12" i="94"/>
  <c r="BE12" i="94" s="1"/>
  <c r="BB13" i="94"/>
  <c r="BE13" i="94" s="1"/>
  <c r="BB14" i="94"/>
  <c r="BE14" i="94" s="1"/>
  <c r="BB15" i="94"/>
  <c r="BE15" i="94" s="1"/>
  <c r="BB16" i="94"/>
  <c r="BE16" i="94" s="1"/>
  <c r="BB17" i="94"/>
  <c r="BE17" i="94" s="1"/>
  <c r="BB18" i="94"/>
  <c r="BE18" i="94" s="1"/>
  <c r="BB19" i="94"/>
  <c r="BE19" i="94" s="1"/>
  <c r="BB20" i="94"/>
  <c r="BE20" i="94" s="1"/>
  <c r="BB21" i="94"/>
  <c r="BE21" i="94" s="1"/>
  <c r="BB22" i="94"/>
  <c r="BE22" i="94" s="1"/>
  <c r="BB23" i="94"/>
  <c r="BE23" i="94" s="1"/>
  <c r="BB24" i="94"/>
  <c r="BE24" i="94" s="1"/>
  <c r="BB25" i="94"/>
  <c r="BE25" i="94" s="1"/>
  <c r="BB26" i="94"/>
  <c r="BE26" i="94" s="1"/>
  <c r="BB27" i="94"/>
  <c r="BE27" i="94" s="1"/>
  <c r="BB28" i="94"/>
  <c r="BE28" i="94" s="1"/>
  <c r="BB29" i="94"/>
  <c r="BE29" i="94" s="1"/>
  <c r="BB30" i="94"/>
  <c r="BE30" i="94" s="1"/>
  <c r="BB31" i="94"/>
  <c r="BE31" i="94" s="1"/>
  <c r="BB32" i="94"/>
  <c r="BE32" i="94" s="1"/>
  <c r="BB33" i="94"/>
  <c r="BE33" i="94" s="1"/>
  <c r="BB34" i="94"/>
  <c r="BE34" i="94" s="1"/>
  <c r="BB35" i="94"/>
  <c r="BE35" i="94" s="1"/>
  <c r="BB36" i="94"/>
  <c r="BE36" i="94" s="1"/>
  <c r="BB38" i="94"/>
  <c r="BE38" i="94" s="1"/>
  <c r="BB3" i="94"/>
  <c r="BE3" i="94" s="1"/>
  <c r="BB2" i="94"/>
  <c r="BE2" i="94" s="1"/>
  <c r="AW135" i="62"/>
  <c r="AW48" i="62"/>
  <c r="EG42" i="63" l="1"/>
  <c r="EG52" i="63" s="1"/>
  <c r="AW58" i="62"/>
  <c r="AW51" i="62"/>
  <c r="AX51" i="62" s="1"/>
  <c r="AW54" i="62"/>
  <c r="AW55" i="62"/>
  <c r="AW56" i="62"/>
  <c r="EH42" i="63" l="1"/>
  <c r="EH52" i="63" s="1"/>
  <c r="CZ52" i="63"/>
  <c r="DA52" i="63"/>
  <c r="DB52" i="63"/>
  <c r="DC52" i="63"/>
  <c r="DD52" i="63"/>
  <c r="DE52" i="63"/>
  <c r="DF52" i="63"/>
  <c r="X18" i="39"/>
  <c r="X13" i="39"/>
  <c r="E64" i="4"/>
  <c r="E65" i="4" s="1"/>
  <c r="F64" i="4"/>
  <c r="F65" i="4" s="1"/>
  <c r="G64" i="4"/>
  <c r="G65" i="4" s="1"/>
  <c r="H64" i="4"/>
  <c r="E66" i="4"/>
  <c r="F66" i="4"/>
  <c r="G66" i="4"/>
  <c r="H66" i="4"/>
  <c r="E67" i="4"/>
  <c r="E68" i="4" s="1"/>
  <c r="E70" i="4"/>
  <c r="E71" i="4" s="1"/>
  <c r="E73" i="4"/>
  <c r="E74" i="4"/>
  <c r="E80" i="4"/>
  <c r="F80" i="4"/>
  <c r="G80" i="4"/>
  <c r="H80" i="4"/>
  <c r="E81" i="4"/>
  <c r="F81" i="4"/>
  <c r="G81" i="4"/>
  <c r="H81" i="4"/>
  <c r="E82" i="4"/>
  <c r="F82" i="4"/>
  <c r="G82" i="4"/>
  <c r="H82" i="4"/>
  <c r="E83" i="4"/>
  <c r="F83" i="4"/>
  <c r="G83" i="4"/>
  <c r="H83" i="4"/>
  <c r="E85" i="4"/>
  <c r="F85" i="4"/>
  <c r="G85" i="4"/>
  <c r="H85" i="4"/>
  <c r="E86" i="4"/>
  <c r="F86" i="4"/>
  <c r="G86" i="4"/>
  <c r="H86" i="4"/>
  <c r="E87" i="4"/>
  <c r="F87" i="4"/>
  <c r="G87" i="4"/>
  <c r="H87" i="4"/>
  <c r="E88" i="4"/>
  <c r="F88" i="4"/>
  <c r="G88" i="4"/>
  <c r="H88" i="4"/>
  <c r="E90" i="4"/>
  <c r="F90" i="4"/>
  <c r="G90" i="4"/>
  <c r="H90" i="4"/>
  <c r="E93" i="4"/>
  <c r="F93" i="4"/>
  <c r="G93" i="4"/>
  <c r="H93" i="4"/>
  <c r="E94" i="4"/>
  <c r="F94" i="4"/>
  <c r="G94" i="4"/>
  <c r="H94" i="4"/>
  <c r="E99" i="4"/>
  <c r="F99" i="4"/>
  <c r="G99" i="4"/>
  <c r="H99" i="4"/>
  <c r="E100" i="4"/>
  <c r="F100" i="4"/>
  <c r="G100" i="4"/>
  <c r="H100" i="4"/>
  <c r="E103" i="4"/>
  <c r="F103" i="4"/>
  <c r="G103" i="4"/>
  <c r="H103" i="4"/>
  <c r="O436" i="69"/>
  <c r="F117" i="64"/>
  <c r="E106" i="64"/>
  <c r="F106" i="64"/>
  <c r="G106" i="64"/>
  <c r="D106" i="64"/>
  <c r="E102" i="64"/>
  <c r="F102" i="64"/>
  <c r="G102" i="64"/>
  <c r="E103" i="64"/>
  <c r="F103" i="64"/>
  <c r="G103" i="64"/>
  <c r="E104" i="64"/>
  <c r="F104" i="64"/>
  <c r="G104" i="64"/>
  <c r="E105" i="64"/>
  <c r="F105" i="64"/>
  <c r="G105" i="64"/>
  <c r="E108" i="64"/>
  <c r="F108" i="64"/>
  <c r="G108" i="64"/>
  <c r="D108" i="64"/>
  <c r="D105" i="64"/>
  <c r="D104" i="64"/>
  <c r="D103" i="64"/>
  <c r="D102" i="64"/>
  <c r="X240" i="39"/>
  <c r="U44" i="98"/>
  <c r="AD45" i="98"/>
  <c r="AD46" i="98" s="1"/>
  <c r="AC45" i="98"/>
  <c r="AC46" i="98" s="1"/>
  <c r="AF35" i="98"/>
  <c r="B35" i="98"/>
  <c r="C35" i="98"/>
  <c r="D35" i="98"/>
  <c r="E35" i="98"/>
  <c r="F35" i="98"/>
  <c r="G35" i="98"/>
  <c r="H35" i="98"/>
  <c r="I35" i="98"/>
  <c r="J35" i="98"/>
  <c r="K35" i="98"/>
  <c r="L35" i="98"/>
  <c r="M35" i="98"/>
  <c r="N35" i="98"/>
  <c r="O35" i="98"/>
  <c r="P35" i="98"/>
  <c r="Q35" i="98"/>
  <c r="R35" i="98"/>
  <c r="S35" i="98"/>
  <c r="T35" i="98"/>
  <c r="U35" i="98"/>
  <c r="V35" i="98"/>
  <c r="W35" i="98"/>
  <c r="X35" i="98"/>
  <c r="Y35" i="98"/>
  <c r="Z35" i="98"/>
  <c r="AA35" i="98"/>
  <c r="AB35" i="98"/>
  <c r="AC35" i="98"/>
  <c r="AD35" i="98"/>
  <c r="AE35" i="98"/>
  <c r="AG35" i="98"/>
  <c r="B5" i="94"/>
  <c r="B6" i="94"/>
  <c r="C134" i="94"/>
  <c r="D134" i="94"/>
  <c r="E134" i="94"/>
  <c r="F134" i="94"/>
  <c r="G134" i="94"/>
  <c r="D131" i="94"/>
  <c r="E131" i="94"/>
  <c r="F131" i="94"/>
  <c r="G131" i="94"/>
  <c r="C131" i="94"/>
  <c r="C129" i="94"/>
  <c r="C130" i="94"/>
  <c r="D129" i="94"/>
  <c r="E129" i="94"/>
  <c r="F129" i="94"/>
  <c r="D130" i="94"/>
  <c r="E130" i="94"/>
  <c r="F130" i="94"/>
  <c r="G129" i="94"/>
  <c r="G130" i="94"/>
  <c r="B21" i="98"/>
  <c r="C21" i="98"/>
  <c r="D21" i="98"/>
  <c r="E21" i="98"/>
  <c r="F21" i="98"/>
  <c r="G21" i="98"/>
  <c r="H21" i="98"/>
  <c r="I21" i="98"/>
  <c r="J21" i="98"/>
  <c r="K21" i="98"/>
  <c r="L21" i="98"/>
  <c r="M21" i="98"/>
  <c r="N21" i="98"/>
  <c r="O21" i="98"/>
  <c r="P21" i="98"/>
  <c r="Q21" i="98"/>
  <c r="R21" i="98"/>
  <c r="S21" i="98"/>
  <c r="T21" i="98"/>
  <c r="U21" i="98"/>
  <c r="V21" i="98"/>
  <c r="W21" i="98"/>
  <c r="X21" i="98"/>
  <c r="Y21" i="98"/>
  <c r="Z21" i="98"/>
  <c r="AA21" i="98"/>
  <c r="AB21" i="98"/>
  <c r="AC21" i="98"/>
  <c r="AD21" i="98"/>
  <c r="AH22" i="98" s="1"/>
  <c r="AE21" i="98"/>
  <c r="AE22" i="98" s="1"/>
  <c r="AF21" i="98"/>
  <c r="AF22" i="98" s="1"/>
  <c r="AG21" i="98"/>
  <c r="AG13" i="98"/>
  <c r="AF13" i="98"/>
  <c r="AE13" i="98"/>
  <c r="AD13" i="98"/>
  <c r="AC13" i="98"/>
  <c r="AB13" i="98"/>
  <c r="AA13" i="98"/>
  <c r="Z13" i="98"/>
  <c r="Y13" i="98"/>
  <c r="X13" i="98"/>
  <c r="W13" i="98"/>
  <c r="V13" i="98"/>
  <c r="U13" i="98"/>
  <c r="T13" i="98"/>
  <c r="S13" i="98"/>
  <c r="R13" i="98"/>
  <c r="Q13" i="98"/>
  <c r="P13" i="98"/>
  <c r="O13" i="98"/>
  <c r="N13" i="98"/>
  <c r="M13" i="98"/>
  <c r="L13" i="98"/>
  <c r="K13" i="98"/>
  <c r="J13" i="98"/>
  <c r="I13" i="98"/>
  <c r="H13" i="98"/>
  <c r="G13" i="98"/>
  <c r="F13" i="98"/>
  <c r="E13" i="98"/>
  <c r="D13" i="98"/>
  <c r="C13" i="98"/>
  <c r="A13" i="98"/>
  <c r="AG12" i="98"/>
  <c r="AF12" i="98"/>
  <c r="AE12" i="98"/>
  <c r="AD12" i="98"/>
  <c r="AC12" i="98"/>
  <c r="AB12" i="98"/>
  <c r="AA12" i="98"/>
  <c r="Z12" i="98"/>
  <c r="Y12" i="98"/>
  <c r="X12" i="98"/>
  <c r="W12" i="98"/>
  <c r="V12" i="98"/>
  <c r="U12" i="98"/>
  <c r="T12" i="98"/>
  <c r="S12" i="98"/>
  <c r="R12" i="98"/>
  <c r="Q12" i="98"/>
  <c r="P12" i="98"/>
  <c r="O12" i="98"/>
  <c r="N12" i="98"/>
  <c r="M12" i="98"/>
  <c r="L12" i="98"/>
  <c r="K12" i="98"/>
  <c r="J12" i="98"/>
  <c r="I12" i="98"/>
  <c r="H12" i="98"/>
  <c r="G12" i="98"/>
  <c r="F12" i="98"/>
  <c r="E12" i="98"/>
  <c r="D12" i="98"/>
  <c r="C12" i="98"/>
  <c r="A12" i="98"/>
  <c r="AG11" i="98"/>
  <c r="AF11" i="98"/>
  <c r="AE11" i="98"/>
  <c r="AD11" i="98"/>
  <c r="AC11" i="98"/>
  <c r="AB11" i="98"/>
  <c r="AA11" i="98"/>
  <c r="Z11" i="98"/>
  <c r="Y11" i="98"/>
  <c r="X11" i="98"/>
  <c r="W11" i="98"/>
  <c r="V11" i="98"/>
  <c r="U11" i="98"/>
  <c r="T11" i="98"/>
  <c r="S11" i="98"/>
  <c r="R11" i="98"/>
  <c r="Q11" i="98"/>
  <c r="P11" i="98"/>
  <c r="O11" i="98"/>
  <c r="N11" i="98"/>
  <c r="M11" i="98"/>
  <c r="L11" i="98"/>
  <c r="K11" i="98"/>
  <c r="J11" i="98"/>
  <c r="I11" i="98"/>
  <c r="H11" i="98"/>
  <c r="G11" i="98"/>
  <c r="F11" i="98"/>
  <c r="E11" i="98"/>
  <c r="D11" i="98"/>
  <c r="C11" i="98"/>
  <c r="A11" i="98"/>
  <c r="F92" i="4" l="1"/>
  <c r="E92" i="4"/>
  <c r="H98" i="4"/>
  <c r="F98" i="4"/>
  <c r="EI42" i="63"/>
  <c r="E98" i="4"/>
  <c r="G107" i="64"/>
  <c r="H92" i="4"/>
  <c r="G92" i="4"/>
  <c r="H65" i="4"/>
  <c r="AG22" i="98"/>
  <c r="E75" i="4"/>
  <c r="E77" i="4" s="1"/>
  <c r="G98" i="4"/>
  <c r="D107" i="64"/>
  <c r="F107" i="64"/>
  <c r="E107" i="64"/>
  <c r="E72" i="4"/>
  <c r="E69" i="4"/>
  <c r="CF59" i="63"/>
  <c r="K6" i="62"/>
  <c r="BX59" i="63"/>
  <c r="BY59" i="63" s="1"/>
  <c r="BZ59" i="63" s="1"/>
  <c r="BZ55" i="63" s="1"/>
  <c r="BX55" i="63"/>
  <c r="CB55" i="63"/>
  <c r="CC55" i="63"/>
  <c r="O81" i="4"/>
  <c r="G74" i="64"/>
  <c r="O80" i="4"/>
  <c r="I264" i="69"/>
  <c r="J264" i="69" s="1"/>
  <c r="L264" i="69" s="1"/>
  <c r="L265" i="69" s="1"/>
  <c r="E18" i="64"/>
  <c r="F18" i="64"/>
  <c r="G18" i="64"/>
  <c r="E16" i="64"/>
  <c r="F16" i="64"/>
  <c r="G16" i="64"/>
  <c r="E19" i="64"/>
  <c r="F19" i="64"/>
  <c r="G19" i="64"/>
  <c r="E12" i="64"/>
  <c r="E117" i="64" s="1"/>
  <c r="F12" i="64"/>
  <c r="G12" i="64"/>
  <c r="E13" i="64"/>
  <c r="F13" i="64"/>
  <c r="G13" i="64"/>
  <c r="G9" i="64"/>
  <c r="G46" i="64"/>
  <c r="EJ42" i="63" l="1"/>
  <c r="EI52" i="63"/>
  <c r="E76" i="4"/>
  <c r="E78" i="4"/>
  <c r="E79" i="4" s="1"/>
  <c r="G112" i="64"/>
  <c r="F112" i="64"/>
  <c r="CG59" i="63"/>
  <c r="CH59" i="63" s="1"/>
  <c r="BY55" i="63"/>
  <c r="EK42" i="63" l="1"/>
  <c r="EJ52" i="63"/>
  <c r="E96" i="4"/>
  <c r="E97" i="4" s="1"/>
  <c r="E101" i="4" l="1"/>
  <c r="E104" i="4" s="1"/>
  <c r="EL42" i="63"/>
  <c r="EK52" i="63"/>
  <c r="AE55" i="4"/>
  <c r="AE54" i="4"/>
  <c r="AE56" i="4" s="1"/>
  <c r="AA53" i="4"/>
  <c r="AD53" i="4" s="1"/>
  <c r="E102" i="4" l="1"/>
  <c r="EM42" i="63"/>
  <c r="EL52" i="63"/>
  <c r="E105" i="4"/>
  <c r="E106" i="4"/>
  <c r="AE40" i="4"/>
  <c r="AE42" i="4"/>
  <c r="AE43" i="4"/>
  <c r="AE47" i="4"/>
  <c r="EM52" i="63" l="1"/>
  <c r="EN42" i="63"/>
  <c r="D2" i="94"/>
  <c r="E2" i="94"/>
  <c r="F2" i="94"/>
  <c r="C2" i="94"/>
  <c r="Y86" i="4" a="1"/>
  <c r="Y86" i="4" s="1"/>
  <c r="D473" i="69"/>
  <c r="EO42" i="63" l="1"/>
  <c r="EN52" i="63"/>
  <c r="E8" i="64"/>
  <c r="F8" i="64"/>
  <c r="G8" i="64"/>
  <c r="S82" i="62"/>
  <c r="AT56" i="62"/>
  <c r="AE36" i="54"/>
  <c r="AF36" i="54"/>
  <c r="AG36" i="54"/>
  <c r="AD36" i="54"/>
  <c r="S40" i="54"/>
  <c r="F46" i="64"/>
  <c r="G73" i="64"/>
  <c r="G75" i="64"/>
  <c r="G76" i="64"/>
  <c r="G78" i="64"/>
  <c r="G79" i="64"/>
  <c r="G80" i="64"/>
  <c r="G81" i="64"/>
  <c r="G83" i="64"/>
  <c r="G85" i="64"/>
  <c r="G86" i="64"/>
  <c r="G96" i="64"/>
  <c r="S102" i="62"/>
  <c r="K41" i="62"/>
  <c r="K42" i="62"/>
  <c r="K34" i="62"/>
  <c r="O6" i="4"/>
  <c r="O27" i="4"/>
  <c r="O32" i="4"/>
  <c r="O33" i="4" s="1"/>
  <c r="O39" i="4"/>
  <c r="O40" i="4"/>
  <c r="O64" i="4"/>
  <c r="O290" i="4" s="1"/>
  <c r="O66" i="4"/>
  <c r="O74" i="4"/>
  <c r="O82" i="4"/>
  <c r="O83" i="4"/>
  <c r="O85" i="4"/>
  <c r="O86" i="4"/>
  <c r="O87" i="4"/>
  <c r="O88" i="4"/>
  <c r="O90" i="4"/>
  <c r="O93" i="4"/>
  <c r="O94" i="4"/>
  <c r="O99" i="4"/>
  <c r="O100" i="4"/>
  <c r="O103" i="4"/>
  <c r="O111" i="4"/>
  <c r="O124" i="4"/>
  <c r="O115" i="4" s="1"/>
  <c r="O126" i="4"/>
  <c r="O127" i="4"/>
  <c r="O128" i="4"/>
  <c r="O129" i="4"/>
  <c r="O130" i="4"/>
  <c r="O135" i="4"/>
  <c r="O136" i="4"/>
  <c r="O137" i="4"/>
  <c r="O138" i="4"/>
  <c r="O139" i="4"/>
  <c r="O142" i="4"/>
  <c r="O143" i="4"/>
  <c r="O147" i="4"/>
  <c r="O148" i="4"/>
  <c r="O154" i="4"/>
  <c r="O155" i="4"/>
  <c r="O156" i="4"/>
  <c r="O157" i="4"/>
  <c r="O158" i="4"/>
  <c r="O159" i="4"/>
  <c r="O160" i="4"/>
  <c r="O166" i="4"/>
  <c r="O167" i="4"/>
  <c r="O168" i="4"/>
  <c r="O169" i="4"/>
  <c r="O170" i="4"/>
  <c r="O171" i="4"/>
  <c r="O172" i="4"/>
  <c r="O176" i="4"/>
  <c r="O258" i="4"/>
  <c r="O268" i="4"/>
  <c r="O277" i="4"/>
  <c r="AV58" i="62"/>
  <c r="AV56" i="62"/>
  <c r="AV55" i="62"/>
  <c r="AV54" i="62"/>
  <c r="AV48" i="62"/>
  <c r="BT54" i="62" l="1"/>
  <c r="CX54" i="62"/>
  <c r="BA54" i="62"/>
  <c r="BC54" i="62"/>
  <c r="BQ54" i="62"/>
  <c r="CT54" i="62"/>
  <c r="CC54" i="62"/>
  <c r="BW54" i="62"/>
  <c r="CS54" i="62"/>
  <c r="CI54" i="62"/>
  <c r="CA54" i="62"/>
  <c r="CD54" i="62"/>
  <c r="CY54" i="62"/>
  <c r="CK54" i="62"/>
  <c r="CM54" i="62"/>
  <c r="BE54" i="62"/>
  <c r="CQ54" i="62"/>
  <c r="BR54" i="62"/>
  <c r="BP54" i="62"/>
  <c r="BF54" i="62"/>
  <c r="CB54" i="62"/>
  <c r="BL54" i="62"/>
  <c r="CN54" i="62"/>
  <c r="CR54" i="62"/>
  <c r="CJ54" i="62"/>
  <c r="CF54" i="62"/>
  <c r="BK54" i="62"/>
  <c r="BG54" i="62"/>
  <c r="BM54" i="62"/>
  <c r="CW54" i="62"/>
  <c r="CP54" i="62"/>
  <c r="BS54" i="62"/>
  <c r="CV54" i="62"/>
  <c r="BO54" i="62"/>
  <c r="BY54" i="62"/>
  <c r="BV54" i="62"/>
  <c r="BH54" i="62"/>
  <c r="CO54" i="62"/>
  <c r="CU54" i="62"/>
  <c r="BN54" i="62"/>
  <c r="CE54" i="62"/>
  <c r="BZ54" i="62"/>
  <c r="CL54" i="62"/>
  <c r="BD54" i="62"/>
  <c r="BB54" i="62"/>
  <c r="BI54" i="62"/>
  <c r="BX54" i="62"/>
  <c r="CZ54" i="62"/>
  <c r="BU54" i="62"/>
  <c r="CG54" i="62"/>
  <c r="CH54" i="62"/>
  <c r="BJ54" i="62"/>
  <c r="EO52" i="63"/>
  <c r="G77" i="64"/>
  <c r="O92" i="4"/>
  <c r="R131" i="62" s="1"/>
  <c r="K43" i="62"/>
  <c r="O98" i="4"/>
  <c r="O150" i="4"/>
  <c r="O162" i="4"/>
  <c r="O173" i="4"/>
  <c r="O164" i="4"/>
  <c r="O134" i="4"/>
  <c r="O291" i="4" s="1"/>
  <c r="O161" i="4"/>
  <c r="O165" i="4"/>
  <c r="T2" i="93"/>
  <c r="K195" i="62" l="1"/>
  <c r="EP52" i="63"/>
  <c r="F84" i="62"/>
  <c r="EQ52" i="63" l="1"/>
  <c r="ES42" i="63" l="1"/>
  <c r="ES52" i="63" s="1"/>
  <c r="ER52" i="63"/>
  <c r="D98" i="94"/>
  <c r="E98" i="94"/>
  <c r="F98" i="94"/>
  <c r="G98" i="94"/>
  <c r="H98" i="94"/>
  <c r="C98" i="94"/>
  <c r="D100" i="94"/>
  <c r="E100" i="94"/>
  <c r="G100" i="94"/>
  <c r="D93" i="94"/>
  <c r="E93" i="94"/>
  <c r="H92" i="94"/>
  <c r="H100" i="94" s="1"/>
  <c r="G92" i="94"/>
  <c r="G93" i="94" s="1"/>
  <c r="F92" i="94"/>
  <c r="F100" i="94" s="1"/>
  <c r="C92" i="94"/>
  <c r="C100" i="94" s="1"/>
  <c r="B93" i="94"/>
  <c r="B92" i="94"/>
  <c r="P77" i="94"/>
  <c r="P76" i="94"/>
  <c r="P80" i="94" s="1"/>
  <c r="O77" i="94"/>
  <c r="O76" i="94"/>
  <c r="N79" i="94"/>
  <c r="N77" i="94"/>
  <c r="N76" i="94"/>
  <c r="M78" i="94"/>
  <c r="M77" i="94"/>
  <c r="M76" i="94"/>
  <c r="Q80" i="94"/>
  <c r="L77" i="94"/>
  <c r="L76" i="94"/>
  <c r="K79" i="94"/>
  <c r="K76" i="94"/>
  <c r="H79" i="94"/>
  <c r="H78" i="94"/>
  <c r="H77" i="94"/>
  <c r="H76" i="94"/>
  <c r="G79" i="94"/>
  <c r="G78" i="94"/>
  <c r="G77" i="94"/>
  <c r="G76" i="94"/>
  <c r="F79" i="94"/>
  <c r="F78" i="94"/>
  <c r="F77" i="94"/>
  <c r="F76" i="94"/>
  <c r="E79" i="94"/>
  <c r="E78" i="94"/>
  <c r="E90" i="94" s="1"/>
  <c r="E99" i="94" s="1"/>
  <c r="E77" i="94"/>
  <c r="E76" i="94"/>
  <c r="D79" i="94"/>
  <c r="D78" i="94"/>
  <c r="D77" i="94"/>
  <c r="D76" i="94"/>
  <c r="C79" i="94"/>
  <c r="C76" i="94"/>
  <c r="C90" i="94" s="1"/>
  <c r="E17" i="2"/>
  <c r="P473" i="95"/>
  <c r="ET42" i="63" l="1"/>
  <c r="N80" i="94"/>
  <c r="E80" i="94"/>
  <c r="C93" i="94"/>
  <c r="H80" i="94"/>
  <c r="C80" i="94"/>
  <c r="H93" i="94"/>
  <c r="D90" i="94"/>
  <c r="D99" i="94" s="1"/>
  <c r="F90" i="94"/>
  <c r="F99" i="94" s="1"/>
  <c r="G90" i="94"/>
  <c r="G99" i="94" s="1"/>
  <c r="C91" i="94"/>
  <c r="C99" i="94"/>
  <c r="G91" i="94"/>
  <c r="E91" i="94"/>
  <c r="H90" i="94"/>
  <c r="F93" i="94"/>
  <c r="K80" i="94"/>
  <c r="L80" i="94"/>
  <c r="D80" i="94"/>
  <c r="G80" i="94"/>
  <c r="O80" i="94"/>
  <c r="M80" i="94"/>
  <c r="F80" i="94"/>
  <c r="F421" i="69"/>
  <c r="E421" i="69"/>
  <c r="CH68" i="63"/>
  <c r="EU42" i="63" l="1"/>
  <c r="ET52" i="63"/>
  <c r="D91" i="94"/>
  <c r="F91" i="94"/>
  <c r="H91" i="94"/>
  <c r="H99" i="94"/>
  <c r="C308" i="69"/>
  <c r="B431" i="69"/>
  <c r="B428" i="69"/>
  <c r="H85" i="64"/>
  <c r="Q13" i="94"/>
  <c r="Q15" i="94" s="1"/>
  <c r="P16" i="94"/>
  <c r="Q16" i="94"/>
  <c r="L18" i="94"/>
  <c r="M18" i="94"/>
  <c r="EV42" i="63" l="1"/>
  <c r="EU52" i="63"/>
  <c r="Q17" i="94"/>
  <c r="EW42" i="63" l="1"/>
  <c r="EV52" i="63"/>
  <c r="H47" i="64"/>
  <c r="S45" i="64"/>
  <c r="P83" i="4"/>
  <c r="Q83" i="4" s="1"/>
  <c r="R83" i="4" s="1"/>
  <c r="S83" i="4" s="1"/>
  <c r="T83" i="4" l="1"/>
  <c r="EX42" i="63"/>
  <c r="EW52" i="63"/>
  <c r="H75" i="64"/>
  <c r="I75" i="64" s="1"/>
  <c r="Q82" i="4" s="1"/>
  <c r="AV46" i="62"/>
  <c r="AU46" i="62"/>
  <c r="AU55" i="62"/>
  <c r="BD315" i="62"/>
  <c r="BH315" i="62" s="1"/>
  <c r="BB313" i="62"/>
  <c r="BC313" i="62" s="1"/>
  <c r="BD313" i="62" s="1"/>
  <c r="R313" i="62"/>
  <c r="S313" i="62"/>
  <c r="AU306" i="62"/>
  <c r="AQ315" i="62"/>
  <c r="AR315" i="62"/>
  <c r="AS315" i="62"/>
  <c r="AT315" i="62"/>
  <c r="AU315" i="62"/>
  <c r="AX315" i="62"/>
  <c r="BB315" i="62" s="1"/>
  <c r="AY315" i="62"/>
  <c r="BC315" i="62" s="1"/>
  <c r="BG315" i="62" s="1"/>
  <c r="AV314" i="62"/>
  <c r="U83" i="4" l="1"/>
  <c r="EY42" i="63"/>
  <c r="EX52" i="63"/>
  <c r="AW315" i="62"/>
  <c r="BA315" i="62" s="1"/>
  <c r="P82" i="4"/>
  <c r="J75" i="64"/>
  <c r="R82" i="4" s="1"/>
  <c r="AW314" i="62" l="1"/>
  <c r="EZ42" i="63"/>
  <c r="EY52" i="63"/>
  <c r="AY314" i="62" l="1"/>
  <c r="AZ314" i="62" s="1"/>
  <c r="BA314" i="62" s="1"/>
  <c r="BB314" i="62" s="1"/>
  <c r="BC314" i="62" s="1"/>
  <c r="BD314" i="62" s="1"/>
  <c r="BE314" i="62" s="1"/>
  <c r="BF314" i="62" s="1"/>
  <c r="BG314" i="62" s="1"/>
  <c r="BH314" i="62" s="1"/>
  <c r="BI314" i="62" s="1"/>
  <c r="BJ314" i="62" s="1"/>
  <c r="BK314" i="62" s="1"/>
  <c r="BL314" i="62" s="1"/>
  <c r="BM314" i="62" s="1"/>
  <c r="BN314" i="62" s="1"/>
  <c r="BO314" i="62" s="1"/>
  <c r="BP314" i="62" s="1"/>
  <c r="BQ314" i="62" s="1"/>
  <c r="BR314" i="62" s="1"/>
  <c r="BS314" i="62" s="1"/>
  <c r="BT314" i="62" s="1"/>
  <c r="BU314" i="62" s="1"/>
  <c r="BV314" i="62" s="1"/>
  <c r="BW314" i="62" s="1"/>
  <c r="BX314" i="62" s="1"/>
  <c r="BY314" i="62" s="1"/>
  <c r="BZ314" i="62" s="1"/>
  <c r="CA314" i="62" s="1"/>
  <c r="CB314" i="62" s="1"/>
  <c r="CC314" i="62" s="1"/>
  <c r="CD314" i="62" s="1"/>
  <c r="CE314" i="62" s="1"/>
  <c r="CF314" i="62" s="1"/>
  <c r="CG314" i="62" s="1"/>
  <c r="CH314" i="62" s="1"/>
  <c r="CI314" i="62" s="1"/>
  <c r="CJ314" i="62" s="1"/>
  <c r="CK314" i="62" s="1"/>
  <c r="CL314" i="62" s="1"/>
  <c r="CM314" i="62" s="1"/>
  <c r="CN314" i="62" s="1"/>
  <c r="CO314" i="62" s="1"/>
  <c r="CP314" i="62" s="1"/>
  <c r="CQ314" i="62" s="1"/>
  <c r="CR314" i="62" s="1"/>
  <c r="CS314" i="62" s="1"/>
  <c r="CT314" i="62" s="1"/>
  <c r="CU314" i="62" s="1"/>
  <c r="CV314" i="62" s="1"/>
  <c r="CW314" i="62" s="1"/>
  <c r="CX314" i="62" s="1"/>
  <c r="CY314" i="62" s="1"/>
  <c r="CZ314" i="62" s="1"/>
  <c r="FA42" i="63"/>
  <c r="EZ52" i="63"/>
  <c r="FB42" i="63" l="1"/>
  <c r="FA52" i="63"/>
  <c r="AX319" i="62"/>
  <c r="AY303" i="62"/>
  <c r="FC42" i="63" l="1"/>
  <c r="FB52" i="63"/>
  <c r="AY312" i="62"/>
  <c r="AZ303" i="62"/>
  <c r="FD42" i="63" l="1"/>
  <c r="FC52" i="63"/>
  <c r="AZ312" i="62"/>
  <c r="AZ51" i="62" s="1"/>
  <c r="BA303" i="62"/>
  <c r="FE42" i="63" l="1"/>
  <c r="FD52" i="63"/>
  <c r="BA312" i="62"/>
  <c r="BA51" i="62" s="1"/>
  <c r="BA304" i="62"/>
  <c r="BB303" i="62"/>
  <c r="FF42" i="63" l="1"/>
  <c r="FE52" i="63"/>
  <c r="BB312" i="62"/>
  <c r="BB51" i="62" s="1"/>
  <c r="BB304" i="62"/>
  <c r="BC303" i="62"/>
  <c r="FG42" i="63" l="1"/>
  <c r="FF52" i="63"/>
  <c r="BC312" i="62"/>
  <c r="BC51" i="62" s="1"/>
  <c r="BC304" i="62"/>
  <c r="BD303" i="62"/>
  <c r="FH42" i="63" l="1"/>
  <c r="FG52" i="63"/>
  <c r="BF303" i="62"/>
  <c r="BD312" i="62"/>
  <c r="BD304" i="62"/>
  <c r="BE303" i="62"/>
  <c r="FI42" i="63" l="1"/>
  <c r="FH52" i="63"/>
  <c r="BF312" i="62"/>
  <c r="BF304" i="62"/>
  <c r="Q85" i="4"/>
  <c r="AF77" i="4" s="1"/>
  <c r="BD51" i="62"/>
  <c r="BG303" i="62"/>
  <c r="BE312" i="62"/>
  <c r="BE304" i="62"/>
  <c r="BE51" i="62" l="1"/>
  <c r="FJ42" i="63"/>
  <c r="FI52" i="63"/>
  <c r="BH303" i="62"/>
  <c r="BG312" i="62"/>
  <c r="BG51" i="62" s="1"/>
  <c r="BG304" i="62"/>
  <c r="R85" i="4"/>
  <c r="BF51" i="62"/>
  <c r="K67" i="94"/>
  <c r="L67" i="94"/>
  <c r="M67" i="94"/>
  <c r="T85" i="4" l="1"/>
  <c r="S85" i="4"/>
  <c r="FK42" i="63"/>
  <c r="FJ52" i="63"/>
  <c r="BI303" i="62"/>
  <c r="BH304" i="62"/>
  <c r="BH312" i="62"/>
  <c r="C64" i="94"/>
  <c r="D64" i="94" s="1"/>
  <c r="E64" i="94" s="1"/>
  <c r="F64" i="94" s="1"/>
  <c r="G64" i="94" s="1"/>
  <c r="H64" i="94" s="1"/>
  <c r="I64" i="94" s="1"/>
  <c r="J64" i="94" s="1"/>
  <c r="K64" i="94" s="1"/>
  <c r="L64" i="94" s="1"/>
  <c r="M64" i="94" s="1"/>
  <c r="M65" i="94" s="1"/>
  <c r="CD58" i="63"/>
  <c r="AU124" i="62"/>
  <c r="BH51" i="62" l="1"/>
  <c r="U85" i="4" s="1"/>
  <c r="FL42" i="63"/>
  <c r="FK52" i="63"/>
  <c r="BI312" i="62"/>
  <c r="BI304" i="62"/>
  <c r="BJ303" i="62"/>
  <c r="AU58" i="62"/>
  <c r="AU56" i="62"/>
  <c r="AU54" i="62"/>
  <c r="AU48" i="62"/>
  <c r="BI51" i="62" l="1"/>
  <c r="FM42" i="63"/>
  <c r="FL52" i="63"/>
  <c r="BJ312" i="62"/>
  <c r="BJ51" i="62" s="1"/>
  <c r="BJ304" i="62"/>
  <c r="BK303" i="62"/>
  <c r="D418" i="69"/>
  <c r="E418" i="69" s="1"/>
  <c r="C420" i="69" a="1"/>
  <c r="C420" i="69" s="1"/>
  <c r="J408" i="69"/>
  <c r="Q399" i="69"/>
  <c r="FN42" i="63" l="1"/>
  <c r="FM52" i="63"/>
  <c r="BK312" i="62"/>
  <c r="BK51" i="62" s="1"/>
  <c r="BK304" i="62"/>
  <c r="BL303" i="62"/>
  <c r="D421" i="69"/>
  <c r="F418" i="69"/>
  <c r="G418" i="69" s="1"/>
  <c r="H418" i="69" s="1"/>
  <c r="I418" i="69" s="1"/>
  <c r="FO42" i="63" l="1"/>
  <c r="FN52" i="63"/>
  <c r="BL312" i="62"/>
  <c r="BL304" i="62"/>
  <c r="BM303" i="62"/>
  <c r="L476" i="95"/>
  <c r="L477" i="95" s="1"/>
  <c r="L478" i="95" s="1"/>
  <c r="L479" i="95" s="1"/>
  <c r="L480" i="95" s="1"/>
  <c r="L481" i="95" s="1"/>
  <c r="BY93" i="63"/>
  <c r="CC58" i="63"/>
  <c r="CB24" i="63"/>
  <c r="P13" i="94"/>
  <c r="P88" i="4"/>
  <c r="R92" i="4" l="1"/>
  <c r="S92" i="4" s="1"/>
  <c r="T92" i="4" s="1"/>
  <c r="U92" i="4" s="1"/>
  <c r="AF78" i="4"/>
  <c r="BL51" i="62"/>
  <c r="FP42" i="63"/>
  <c r="FO52" i="63"/>
  <c r="BM312" i="62"/>
  <c r="BM304" i="62"/>
  <c r="BN303" i="62"/>
  <c r="P15" i="94"/>
  <c r="P17" i="94"/>
  <c r="AB44" i="4"/>
  <c r="AE44" i="4" s="1"/>
  <c r="AA44" i="4"/>
  <c r="AA43" i="4"/>
  <c r="BM51" i="62" l="1"/>
  <c r="FQ42" i="63"/>
  <c r="FP52" i="63"/>
  <c r="BN312" i="62"/>
  <c r="BN51" i="62" s="1"/>
  <c r="BN304" i="62"/>
  <c r="BO303" i="62"/>
  <c r="AA32" i="4"/>
  <c r="AS48" i="62"/>
  <c r="AO303" i="62"/>
  <c r="AO316" i="62" s="1"/>
  <c r="AT300" i="62"/>
  <c r="AT303" i="62" s="1"/>
  <c r="AU303" i="62" s="1"/>
  <c r="AV303" i="62" s="1"/>
  <c r="AT51" i="62"/>
  <c r="AT319" i="62" s="1"/>
  <c r="AS51" i="62"/>
  <c r="AS56" i="62"/>
  <c r="CA80" i="63"/>
  <c r="CB79" i="63"/>
  <c r="AT123" i="62"/>
  <c r="AS123" i="62"/>
  <c r="AO123" i="62"/>
  <c r="AP123" i="62"/>
  <c r="AQ123" i="62"/>
  <c r="AR123" i="62"/>
  <c r="AH236" i="62"/>
  <c r="FR42" i="63" l="1"/>
  <c r="FQ52" i="63"/>
  <c r="BO312" i="62"/>
  <c r="BO304" i="62"/>
  <c r="BP303" i="62"/>
  <c r="AU316" i="62"/>
  <c r="AU305" i="62"/>
  <c r="AY304" i="62"/>
  <c r="AT317" i="62"/>
  <c r="AS317" i="62"/>
  <c r="AD77" i="4"/>
  <c r="AL76" i="4" s="1"/>
  <c r="AS316" i="62"/>
  <c r="AS304" i="62"/>
  <c r="AW304" i="62"/>
  <c r="AP303" i="62"/>
  <c r="AP316" i="62" s="1"/>
  <c r="AU51" i="62"/>
  <c r="AU319" i="62" s="1"/>
  <c r="AS319" i="62"/>
  <c r="J123" i="62"/>
  <c r="AS122" i="62"/>
  <c r="BO51" i="62" l="1"/>
  <c r="FS42" i="63"/>
  <c r="FR52" i="63"/>
  <c r="BP312" i="62"/>
  <c r="BP51" i="62" s="1"/>
  <c r="BP304" i="62"/>
  <c r="BQ303" i="62"/>
  <c r="AQ303" i="62"/>
  <c r="AR303" i="62" s="1"/>
  <c r="AV316" i="62"/>
  <c r="AZ304" i="62"/>
  <c r="AV51" i="62"/>
  <c r="K317" i="62"/>
  <c r="AT316" i="62"/>
  <c r="AT304" i="62"/>
  <c r="AX304" i="62"/>
  <c r="P85" i="4"/>
  <c r="AG40" i="4"/>
  <c r="AI40" i="4"/>
  <c r="BX69" i="63"/>
  <c r="BX70" i="63"/>
  <c r="BX68" i="63"/>
  <c r="BX67" i="63"/>
  <c r="AT149" i="62"/>
  <c r="AQ316" i="62" l="1"/>
  <c r="AU304" i="62"/>
  <c r="FT42" i="63"/>
  <c r="FS52" i="63"/>
  <c r="BQ312" i="62"/>
  <c r="BQ304" i="62"/>
  <c r="BR303" i="62"/>
  <c r="AV317" i="62"/>
  <c r="AU317" i="62"/>
  <c r="AU313" i="62"/>
  <c r="AE77" i="4"/>
  <c r="D490" i="69"/>
  <c r="AR316" i="62"/>
  <c r="AV304" i="62"/>
  <c r="N302" i="69"/>
  <c r="BQ51" i="62" l="1"/>
  <c r="FU42" i="63"/>
  <c r="FT52" i="63"/>
  <c r="BR312" i="62"/>
  <c r="BR51" i="62" s="1"/>
  <c r="BR304" i="62"/>
  <c r="BS303" i="62"/>
  <c r="M394" i="69"/>
  <c r="CB16" i="63"/>
  <c r="B108" i="63"/>
  <c r="FV42" i="63" l="1"/>
  <c r="FU52" i="63"/>
  <c r="BS312" i="62"/>
  <c r="BS304" i="62"/>
  <c r="BT303" i="62"/>
  <c r="O42" i="63"/>
  <c r="P42" i="63"/>
  <c r="Q42" i="63"/>
  <c r="R42" i="63"/>
  <c r="S42" i="63"/>
  <c r="T42" i="63"/>
  <c r="U42" i="63"/>
  <c r="V42" i="63"/>
  <c r="W42" i="63"/>
  <c r="X42" i="63"/>
  <c r="Y42" i="63"/>
  <c r="N42" i="63"/>
  <c r="D5" i="64"/>
  <c r="BV132" i="63"/>
  <c r="BW132" i="63" s="1"/>
  <c r="BW130" i="63"/>
  <c r="BW131" i="63" s="1"/>
  <c r="BS51" i="62" l="1"/>
  <c r="FW42" i="63"/>
  <c r="FV52" i="63"/>
  <c r="BT312" i="62"/>
  <c r="BT51" i="62" s="1"/>
  <c r="BT304" i="62"/>
  <c r="BU303" i="62"/>
  <c r="BV133" i="63"/>
  <c r="BY25" i="63"/>
  <c r="H394" i="69"/>
  <c r="I394" i="69"/>
  <c r="G394" i="69"/>
  <c r="FX42" i="63" l="1"/>
  <c r="FW52" i="63"/>
  <c r="BU312" i="62"/>
  <c r="BU51" i="62" s="1"/>
  <c r="BU304" i="62"/>
  <c r="BV303" i="62"/>
  <c r="CA58" i="63"/>
  <c r="CA57" i="63" s="1"/>
  <c r="G311" i="69"/>
  <c r="AT58" i="62"/>
  <c r="CA24" i="63"/>
  <c r="BY32" i="63"/>
  <c r="BY54" i="63" s="1"/>
  <c r="AT48" i="62"/>
  <c r="FY42" i="63" l="1"/>
  <c r="FY52" i="63" s="1"/>
  <c r="FX52" i="63"/>
  <c r="BV312" i="62"/>
  <c r="BV51" i="62" s="1"/>
  <c r="BV304" i="62"/>
  <c r="BW303" i="62"/>
  <c r="CB58" i="63"/>
  <c r="CA55" i="63"/>
  <c r="AT55" i="62"/>
  <c r="AT54" i="62"/>
  <c r="AS52" i="62"/>
  <c r="AT124" i="62"/>
  <c r="AV124" i="62" s="1"/>
  <c r="BW312" i="62" l="1"/>
  <c r="BW51" i="62" s="1"/>
  <c r="BW304" i="62"/>
  <c r="BX303" i="62"/>
  <c r="AV126" i="62"/>
  <c r="AT52" i="62"/>
  <c r="AU52" i="62" s="1"/>
  <c r="BY47" i="63"/>
  <c r="BZ47" i="63"/>
  <c r="CL47" i="63" s="1"/>
  <c r="BX49" i="63"/>
  <c r="CA42" i="63"/>
  <c r="CE52" i="63" s="1"/>
  <c r="CA11" i="63"/>
  <c r="B44" i="64"/>
  <c r="AU361" i="38"/>
  <c r="AV361" i="38"/>
  <c r="AW361" i="38"/>
  <c r="AX361" i="38"/>
  <c r="AY361" i="38"/>
  <c r="AZ361" i="38"/>
  <c r="BA361" i="38"/>
  <c r="BB361" i="38"/>
  <c r="BC361" i="38"/>
  <c r="BD361" i="38"/>
  <c r="BE361" i="38"/>
  <c r="BF361" i="38"/>
  <c r="BG361" i="38"/>
  <c r="BH361" i="38"/>
  <c r="BI361" i="38"/>
  <c r="BJ361" i="38"/>
  <c r="BK361" i="38"/>
  <c r="BL361" i="38"/>
  <c r="BM361" i="38"/>
  <c r="BN361" i="38"/>
  <c r="BO361" i="38"/>
  <c r="BP361" i="38"/>
  <c r="BQ361" i="38"/>
  <c r="BR361" i="38"/>
  <c r="BS361" i="38"/>
  <c r="BT361" i="38"/>
  <c r="AT361" i="38"/>
  <c r="M372" i="69" a="1"/>
  <c r="M372" i="69" s="1"/>
  <c r="I375" i="69"/>
  <c r="J375" i="69"/>
  <c r="H375" i="69"/>
  <c r="B391" i="69"/>
  <c r="C391" i="69" s="1"/>
  <c r="E387" i="69"/>
  <c r="F387" i="69" s="1"/>
  <c r="E391" i="69"/>
  <c r="H391" i="69" s="1"/>
  <c r="D287" i="69" a="1"/>
  <c r="D287" i="69" s="1"/>
  <c r="E56" i="94"/>
  <c r="C1" i="95"/>
  <c r="AA1" i="95"/>
  <c r="Z1" i="95" a="1"/>
  <c r="Z1" i="95" s="1"/>
  <c r="W1837" i="95"/>
  <c r="W1836" i="95"/>
  <c r="W1835" i="95"/>
  <c r="W1834" i="95"/>
  <c r="W1833" i="95"/>
  <c r="W1832" i="95"/>
  <c r="W1831" i="95"/>
  <c r="W1830" i="95"/>
  <c r="W1829" i="95"/>
  <c r="W1828" i="95"/>
  <c r="W1827" i="95"/>
  <c r="W1826" i="95"/>
  <c r="W1825" i="95"/>
  <c r="W1824" i="95"/>
  <c r="W1823" i="95"/>
  <c r="W1822" i="95"/>
  <c r="W1821" i="95"/>
  <c r="W1820" i="95"/>
  <c r="W1819" i="95"/>
  <c r="W1818" i="95"/>
  <c r="W1817" i="95"/>
  <c r="W1816" i="95"/>
  <c r="W1815" i="95"/>
  <c r="W1814" i="95"/>
  <c r="W1813" i="95"/>
  <c r="W1812" i="95"/>
  <c r="W1811" i="95"/>
  <c r="W1810" i="95"/>
  <c r="W1809" i="95"/>
  <c r="W1808" i="95"/>
  <c r="W1807" i="95"/>
  <c r="W1806" i="95"/>
  <c r="W1805" i="95"/>
  <c r="W1804" i="95"/>
  <c r="W1803" i="95"/>
  <c r="W1802" i="95"/>
  <c r="W1801" i="95"/>
  <c r="W1800" i="95"/>
  <c r="W1799" i="95"/>
  <c r="W1798" i="95"/>
  <c r="W1797" i="95"/>
  <c r="W1796" i="95"/>
  <c r="W1795" i="95"/>
  <c r="W1794" i="95"/>
  <c r="W1793" i="95"/>
  <c r="W1792" i="95"/>
  <c r="W1791" i="95"/>
  <c r="W1790" i="95"/>
  <c r="W1789" i="95"/>
  <c r="W1788" i="95"/>
  <c r="W1787" i="95"/>
  <c r="W1786" i="95"/>
  <c r="W1785" i="95"/>
  <c r="W1784" i="95"/>
  <c r="W1783" i="95"/>
  <c r="W1782" i="95"/>
  <c r="W1781" i="95"/>
  <c r="W1780" i="95"/>
  <c r="W1779" i="95"/>
  <c r="W1778" i="95"/>
  <c r="W1777" i="95"/>
  <c r="W1776" i="95"/>
  <c r="W1775" i="95"/>
  <c r="W1774" i="95"/>
  <c r="W1773" i="95"/>
  <c r="W1772" i="95"/>
  <c r="W1771" i="95"/>
  <c r="W1770" i="95"/>
  <c r="W1769" i="95"/>
  <c r="W1768" i="95"/>
  <c r="W1767" i="95"/>
  <c r="W1766" i="95"/>
  <c r="W1765" i="95"/>
  <c r="W1764" i="95"/>
  <c r="W1763" i="95"/>
  <c r="W1762" i="95"/>
  <c r="W1761" i="95"/>
  <c r="W1760" i="95"/>
  <c r="W1759" i="95"/>
  <c r="W1758" i="95"/>
  <c r="W1757" i="95"/>
  <c r="W1756" i="95"/>
  <c r="W1755" i="95"/>
  <c r="W1754" i="95"/>
  <c r="W1753" i="95"/>
  <c r="W1752" i="95"/>
  <c r="W1751" i="95"/>
  <c r="W1750" i="95"/>
  <c r="W1749" i="95"/>
  <c r="W1748" i="95"/>
  <c r="W1747" i="95"/>
  <c r="W1746" i="95"/>
  <c r="W1745" i="95"/>
  <c r="W1744" i="95"/>
  <c r="W1743" i="95"/>
  <c r="W1742" i="95"/>
  <c r="W1741" i="95"/>
  <c r="W1740" i="95"/>
  <c r="W1739" i="95"/>
  <c r="W1738" i="95"/>
  <c r="W1737" i="95"/>
  <c r="W1736" i="95"/>
  <c r="W1735" i="95"/>
  <c r="W1734" i="95"/>
  <c r="W1733" i="95"/>
  <c r="W1732" i="95"/>
  <c r="W1731" i="95"/>
  <c r="W1730" i="95"/>
  <c r="W1729" i="95"/>
  <c r="W1728" i="95"/>
  <c r="W1727" i="95"/>
  <c r="W1726" i="95"/>
  <c r="W1725" i="95"/>
  <c r="W1724" i="95"/>
  <c r="W1723" i="95"/>
  <c r="W1722" i="95"/>
  <c r="W1721" i="95"/>
  <c r="W1720" i="95"/>
  <c r="W1719" i="95"/>
  <c r="W1718" i="95"/>
  <c r="W1717" i="95"/>
  <c r="W1716" i="95"/>
  <c r="W1715" i="95"/>
  <c r="W1714" i="95"/>
  <c r="W1713" i="95"/>
  <c r="W1712" i="95"/>
  <c r="W1711" i="95"/>
  <c r="W1710" i="95"/>
  <c r="W1709" i="95"/>
  <c r="W1708" i="95"/>
  <c r="W1707" i="95"/>
  <c r="W1706" i="95"/>
  <c r="W1705" i="95"/>
  <c r="W1704" i="95"/>
  <c r="W1703" i="95"/>
  <c r="W1702" i="95"/>
  <c r="W1701" i="95"/>
  <c r="W1700" i="95"/>
  <c r="W1699" i="95"/>
  <c r="W1698" i="95"/>
  <c r="W1697" i="95"/>
  <c r="W1696" i="95"/>
  <c r="W1695" i="95"/>
  <c r="W1694" i="95"/>
  <c r="W1693" i="95"/>
  <c r="W1692" i="95"/>
  <c r="W1691" i="95"/>
  <c r="W1690" i="95"/>
  <c r="W1689" i="95"/>
  <c r="W1688" i="95"/>
  <c r="W1687" i="95"/>
  <c r="W1686" i="95"/>
  <c r="W1685" i="95"/>
  <c r="W1684" i="95"/>
  <c r="W1683" i="95"/>
  <c r="W1682" i="95"/>
  <c r="W1681" i="95"/>
  <c r="W1680" i="95"/>
  <c r="W1679" i="95"/>
  <c r="W1678" i="95"/>
  <c r="W1677" i="95"/>
  <c r="W1676" i="95"/>
  <c r="W1675" i="95"/>
  <c r="W1674" i="95"/>
  <c r="W1673" i="95"/>
  <c r="W1672" i="95"/>
  <c r="W1671" i="95"/>
  <c r="W1670" i="95"/>
  <c r="W1669" i="95"/>
  <c r="W1668" i="95"/>
  <c r="W1667" i="95"/>
  <c r="W1666" i="95"/>
  <c r="W1665" i="95"/>
  <c r="W1664" i="95"/>
  <c r="W1663" i="95"/>
  <c r="W1662" i="95"/>
  <c r="W1661" i="95"/>
  <c r="W1660" i="95"/>
  <c r="W1659" i="95"/>
  <c r="W1658" i="95"/>
  <c r="W1657" i="95"/>
  <c r="W1656" i="95"/>
  <c r="W1655" i="95"/>
  <c r="W1654" i="95"/>
  <c r="W1653" i="95"/>
  <c r="W1652" i="95"/>
  <c r="W1651" i="95"/>
  <c r="W1650" i="95"/>
  <c r="W1649" i="95"/>
  <c r="W1648" i="95"/>
  <c r="W1647" i="95"/>
  <c r="W1646" i="95"/>
  <c r="W1645" i="95"/>
  <c r="W1644" i="95"/>
  <c r="W1643" i="95"/>
  <c r="W1642" i="95"/>
  <c r="W1641" i="95"/>
  <c r="W1640" i="95"/>
  <c r="W1639" i="95"/>
  <c r="W1638" i="95"/>
  <c r="W1637" i="95"/>
  <c r="W1636" i="95"/>
  <c r="W1635" i="95"/>
  <c r="W1634" i="95"/>
  <c r="W1633" i="95"/>
  <c r="W1632" i="95"/>
  <c r="W1631" i="95"/>
  <c r="W1630" i="95"/>
  <c r="W1629" i="95"/>
  <c r="W1628" i="95"/>
  <c r="W1627" i="95"/>
  <c r="W1626" i="95"/>
  <c r="W1625" i="95"/>
  <c r="W1624" i="95"/>
  <c r="W1623" i="95"/>
  <c r="W1622" i="95"/>
  <c r="W1621" i="95"/>
  <c r="W1620" i="95"/>
  <c r="W1619" i="95"/>
  <c r="W1618" i="95"/>
  <c r="W1617" i="95"/>
  <c r="W1616" i="95"/>
  <c r="W1615" i="95"/>
  <c r="W1614" i="95"/>
  <c r="W1613" i="95"/>
  <c r="W1612" i="95"/>
  <c r="W1611" i="95"/>
  <c r="W1610" i="95"/>
  <c r="W1609" i="95"/>
  <c r="W1608" i="95"/>
  <c r="W1607" i="95"/>
  <c r="W1606" i="95"/>
  <c r="W1605" i="95"/>
  <c r="W1604" i="95"/>
  <c r="W1603" i="95"/>
  <c r="W1602" i="95"/>
  <c r="W1601" i="95"/>
  <c r="W1600" i="95"/>
  <c r="W1599" i="95"/>
  <c r="W1598" i="95"/>
  <c r="W1597" i="95"/>
  <c r="W1596" i="95"/>
  <c r="W1595" i="95"/>
  <c r="W1594" i="95"/>
  <c r="W1593" i="95"/>
  <c r="W1592" i="95"/>
  <c r="W1591" i="95"/>
  <c r="W1590" i="95"/>
  <c r="W1589" i="95"/>
  <c r="W1588" i="95"/>
  <c r="W1587" i="95"/>
  <c r="W1586" i="95"/>
  <c r="W1585" i="95"/>
  <c r="W1584" i="95"/>
  <c r="W1583" i="95"/>
  <c r="W1582" i="95"/>
  <c r="W1581" i="95"/>
  <c r="W1580" i="95"/>
  <c r="W1579" i="95"/>
  <c r="W1578" i="95"/>
  <c r="W1577" i="95"/>
  <c r="W1576" i="95"/>
  <c r="W1575" i="95"/>
  <c r="W1574" i="95"/>
  <c r="W1573" i="95"/>
  <c r="W1572" i="95"/>
  <c r="W1571" i="95"/>
  <c r="W1570" i="95"/>
  <c r="W1569" i="95"/>
  <c r="W1568" i="95"/>
  <c r="W1567" i="95"/>
  <c r="W1566" i="95"/>
  <c r="W1565" i="95"/>
  <c r="W1564" i="95"/>
  <c r="W1563" i="95"/>
  <c r="W1562" i="95"/>
  <c r="W1561" i="95"/>
  <c r="W1560" i="95"/>
  <c r="W1559" i="95"/>
  <c r="W1558" i="95"/>
  <c r="W1557" i="95"/>
  <c r="W1556" i="95"/>
  <c r="W1555" i="95"/>
  <c r="W1554" i="95"/>
  <c r="W1553" i="95"/>
  <c r="W1552" i="95"/>
  <c r="W1551" i="95"/>
  <c r="W1550" i="95"/>
  <c r="W1549" i="95"/>
  <c r="W1548" i="95"/>
  <c r="W1547" i="95"/>
  <c r="W1546" i="95"/>
  <c r="W1545" i="95"/>
  <c r="W1544" i="95"/>
  <c r="W1543" i="95"/>
  <c r="W1542" i="95"/>
  <c r="W1541" i="95"/>
  <c r="W1540" i="95"/>
  <c r="W1539" i="95"/>
  <c r="W1538" i="95"/>
  <c r="W1537" i="95"/>
  <c r="W1536" i="95"/>
  <c r="W1535" i="95"/>
  <c r="W1534" i="95"/>
  <c r="W1533" i="95"/>
  <c r="W1532" i="95"/>
  <c r="W1531" i="95"/>
  <c r="W1530" i="95"/>
  <c r="W1529" i="95"/>
  <c r="W1528" i="95"/>
  <c r="W1527" i="95"/>
  <c r="W1526" i="95"/>
  <c r="W1525" i="95"/>
  <c r="W1524" i="95"/>
  <c r="W1523" i="95"/>
  <c r="W1522" i="95"/>
  <c r="W1521" i="95"/>
  <c r="W1520" i="95"/>
  <c r="W1519" i="95"/>
  <c r="W1518" i="95"/>
  <c r="W1517" i="95"/>
  <c r="W1516" i="95"/>
  <c r="W1515" i="95"/>
  <c r="W1514" i="95"/>
  <c r="W1513" i="95"/>
  <c r="W1512" i="95"/>
  <c r="W1511" i="95"/>
  <c r="W1510" i="95"/>
  <c r="W1509" i="95"/>
  <c r="W1508" i="95"/>
  <c r="W1507" i="95"/>
  <c r="W1506" i="95"/>
  <c r="W1505" i="95"/>
  <c r="W1504" i="95"/>
  <c r="W1503" i="95"/>
  <c r="W1502" i="95"/>
  <c r="W1501" i="95"/>
  <c r="W1500" i="95"/>
  <c r="W1499" i="95"/>
  <c r="W1498" i="95"/>
  <c r="W1497" i="95"/>
  <c r="W1496" i="95"/>
  <c r="W1495" i="95"/>
  <c r="W1494" i="95"/>
  <c r="W1493" i="95"/>
  <c r="W1492" i="95"/>
  <c r="W1491" i="95"/>
  <c r="W1490" i="95"/>
  <c r="W1489" i="95"/>
  <c r="W1488" i="95"/>
  <c r="W1487" i="95"/>
  <c r="W1486" i="95"/>
  <c r="W1485" i="95"/>
  <c r="W1484" i="95"/>
  <c r="W1483" i="95"/>
  <c r="W1482" i="95"/>
  <c r="W1481" i="95"/>
  <c r="W1480" i="95"/>
  <c r="W1479" i="95"/>
  <c r="W1478" i="95"/>
  <c r="W1477" i="95"/>
  <c r="W1476" i="95"/>
  <c r="W1475" i="95"/>
  <c r="W1474" i="95"/>
  <c r="W1473" i="95"/>
  <c r="W1472" i="95"/>
  <c r="W1471" i="95"/>
  <c r="W1470" i="95"/>
  <c r="W1469" i="95"/>
  <c r="W1468" i="95"/>
  <c r="W1467" i="95"/>
  <c r="W1466" i="95"/>
  <c r="W1465" i="95"/>
  <c r="W1464" i="95"/>
  <c r="W1463" i="95"/>
  <c r="W1462" i="95"/>
  <c r="W1461" i="95"/>
  <c r="W1460" i="95"/>
  <c r="W1459" i="95"/>
  <c r="W1458" i="95"/>
  <c r="W1457" i="95"/>
  <c r="W1456" i="95"/>
  <c r="W1455" i="95"/>
  <c r="W1454" i="95"/>
  <c r="W1453" i="95"/>
  <c r="W1452" i="95"/>
  <c r="W1451" i="95"/>
  <c r="W1450" i="95"/>
  <c r="W1449" i="95"/>
  <c r="W1448" i="95"/>
  <c r="W1447" i="95"/>
  <c r="W1446" i="95"/>
  <c r="W1445" i="95"/>
  <c r="W1444" i="95"/>
  <c r="W1443" i="95"/>
  <c r="W1442" i="95"/>
  <c r="W1441" i="95"/>
  <c r="W1440" i="95"/>
  <c r="W1439" i="95"/>
  <c r="W1438" i="95"/>
  <c r="W1437" i="95"/>
  <c r="W1436" i="95"/>
  <c r="W1435" i="95"/>
  <c r="W1434" i="95"/>
  <c r="W1433" i="95"/>
  <c r="W1432" i="95"/>
  <c r="W1431" i="95"/>
  <c r="W1430" i="95"/>
  <c r="W1429" i="95"/>
  <c r="W1428" i="95"/>
  <c r="W1427" i="95"/>
  <c r="W1426" i="95"/>
  <c r="W1425" i="95"/>
  <c r="W1424" i="95"/>
  <c r="W1423" i="95"/>
  <c r="W1422" i="95"/>
  <c r="W1421" i="95"/>
  <c r="W1420" i="95"/>
  <c r="W1419" i="95"/>
  <c r="W1418" i="95"/>
  <c r="W1417" i="95"/>
  <c r="W1416" i="95"/>
  <c r="W1415" i="95"/>
  <c r="W1414" i="95"/>
  <c r="W1413" i="95"/>
  <c r="W1412" i="95"/>
  <c r="W1411" i="95"/>
  <c r="W1410" i="95"/>
  <c r="W1409" i="95"/>
  <c r="W1408" i="95"/>
  <c r="W1407" i="95"/>
  <c r="W1406" i="95"/>
  <c r="W1405" i="95"/>
  <c r="W1404" i="95"/>
  <c r="W1403" i="95"/>
  <c r="W1402" i="95"/>
  <c r="W1401" i="95"/>
  <c r="W1400" i="95"/>
  <c r="W1399" i="95"/>
  <c r="W1398" i="95"/>
  <c r="W1397" i="95"/>
  <c r="W1396" i="95"/>
  <c r="W1395" i="95"/>
  <c r="W1394" i="95"/>
  <c r="W1393" i="95"/>
  <c r="W1392" i="95"/>
  <c r="W1391" i="95"/>
  <c r="W1390" i="95"/>
  <c r="W1389" i="95"/>
  <c r="W1388" i="95"/>
  <c r="W1387" i="95"/>
  <c r="W1386" i="95"/>
  <c r="W1385" i="95"/>
  <c r="W1384" i="95"/>
  <c r="W1383" i="95"/>
  <c r="W1382" i="95"/>
  <c r="W1381" i="95"/>
  <c r="W1380" i="95"/>
  <c r="W1379" i="95"/>
  <c r="W1378" i="95"/>
  <c r="W1377" i="95"/>
  <c r="W1376" i="95"/>
  <c r="W1375" i="95"/>
  <c r="W1374" i="95"/>
  <c r="W1373" i="95"/>
  <c r="W1372" i="95"/>
  <c r="W1371" i="95"/>
  <c r="W1370" i="95"/>
  <c r="W1369" i="95"/>
  <c r="W1368" i="95"/>
  <c r="W1367" i="95"/>
  <c r="W1366" i="95"/>
  <c r="W1365" i="95"/>
  <c r="W1364" i="95"/>
  <c r="W1363" i="95"/>
  <c r="W1362" i="95"/>
  <c r="W1361" i="95"/>
  <c r="W1360" i="95"/>
  <c r="W1359" i="95"/>
  <c r="W1358" i="95"/>
  <c r="W1357" i="95"/>
  <c r="W1356" i="95"/>
  <c r="W1355" i="95"/>
  <c r="W1354" i="95"/>
  <c r="W1353" i="95"/>
  <c r="W1352" i="95"/>
  <c r="W1351" i="95"/>
  <c r="W1350" i="95"/>
  <c r="W1349" i="95"/>
  <c r="W1348" i="95"/>
  <c r="W1347" i="95"/>
  <c r="W1346" i="95"/>
  <c r="W1345" i="95"/>
  <c r="W1344" i="95"/>
  <c r="W1343" i="95"/>
  <c r="W1342" i="95"/>
  <c r="W1341" i="95"/>
  <c r="W1340" i="95"/>
  <c r="W1339" i="95"/>
  <c r="W1338" i="95"/>
  <c r="W1337" i="95"/>
  <c r="W1336" i="95"/>
  <c r="W1335" i="95"/>
  <c r="W1334" i="95"/>
  <c r="W1333" i="95"/>
  <c r="W1332" i="95"/>
  <c r="W1331" i="95"/>
  <c r="W1330" i="95"/>
  <c r="W1329" i="95"/>
  <c r="W1328" i="95"/>
  <c r="W1327" i="95"/>
  <c r="W1326" i="95"/>
  <c r="W1325" i="95"/>
  <c r="W1324" i="95"/>
  <c r="W1323" i="95"/>
  <c r="W1322" i="95"/>
  <c r="W1321" i="95"/>
  <c r="W1320" i="95"/>
  <c r="W1319" i="95"/>
  <c r="W1318" i="95"/>
  <c r="W1317" i="95"/>
  <c r="W1316" i="95"/>
  <c r="W1315" i="95"/>
  <c r="W1314" i="95"/>
  <c r="W1313" i="95"/>
  <c r="W1312" i="95"/>
  <c r="W1311" i="95"/>
  <c r="W1310" i="95"/>
  <c r="W1309" i="95"/>
  <c r="W1308" i="95"/>
  <c r="W1307" i="95"/>
  <c r="W1306" i="95"/>
  <c r="W1305" i="95"/>
  <c r="W1304" i="95"/>
  <c r="W1303" i="95"/>
  <c r="W1302" i="95"/>
  <c r="W1301" i="95"/>
  <c r="W1300" i="95"/>
  <c r="W1299" i="95"/>
  <c r="W1298" i="95"/>
  <c r="W1297" i="95"/>
  <c r="W1296" i="95"/>
  <c r="W1295" i="95"/>
  <c r="W1294" i="95"/>
  <c r="W1293" i="95"/>
  <c r="W1292" i="95"/>
  <c r="W1291" i="95"/>
  <c r="W1290" i="95"/>
  <c r="W1289" i="95"/>
  <c r="W1288" i="95"/>
  <c r="W1287" i="95"/>
  <c r="W1286" i="95"/>
  <c r="W1285" i="95"/>
  <c r="W1284" i="95"/>
  <c r="W1283" i="95"/>
  <c r="W1282" i="95"/>
  <c r="W1281" i="95"/>
  <c r="W1280" i="95"/>
  <c r="W1279" i="95"/>
  <c r="W1278" i="95"/>
  <c r="W1277" i="95"/>
  <c r="W1276" i="95"/>
  <c r="W1275" i="95"/>
  <c r="W1274" i="95"/>
  <c r="W1273" i="95"/>
  <c r="W1272" i="95"/>
  <c r="W1271" i="95"/>
  <c r="W1270" i="95"/>
  <c r="W1269" i="95"/>
  <c r="W1268" i="95"/>
  <c r="W1267" i="95"/>
  <c r="W1266" i="95"/>
  <c r="W1265" i="95"/>
  <c r="W1264" i="95"/>
  <c r="W1263" i="95"/>
  <c r="W1262" i="95"/>
  <c r="W1261" i="95"/>
  <c r="W1260" i="95"/>
  <c r="W1259" i="95"/>
  <c r="W1258" i="95"/>
  <c r="W1257" i="95"/>
  <c r="W1256" i="95"/>
  <c r="W1255" i="95"/>
  <c r="W1254" i="95"/>
  <c r="W1253" i="95"/>
  <c r="W1252" i="95"/>
  <c r="W1251" i="95"/>
  <c r="W1250" i="95"/>
  <c r="W1249" i="95"/>
  <c r="W1248" i="95"/>
  <c r="W1247" i="95"/>
  <c r="W1246" i="95"/>
  <c r="W1245" i="95"/>
  <c r="W1244" i="95"/>
  <c r="W1243" i="95"/>
  <c r="W1242" i="95"/>
  <c r="W1241" i="95"/>
  <c r="W1240" i="95"/>
  <c r="W1239" i="95"/>
  <c r="W1238" i="95"/>
  <c r="W1237" i="95"/>
  <c r="W1236" i="95"/>
  <c r="W1235" i="95"/>
  <c r="W1234" i="95"/>
  <c r="W1233" i="95"/>
  <c r="W1232" i="95"/>
  <c r="W1231" i="95"/>
  <c r="W1230" i="95"/>
  <c r="W1229" i="95"/>
  <c r="W1228" i="95"/>
  <c r="W1227" i="95"/>
  <c r="W1226" i="95"/>
  <c r="W1225" i="95"/>
  <c r="W1224" i="95"/>
  <c r="W1223" i="95"/>
  <c r="W1222" i="95"/>
  <c r="W1221" i="95"/>
  <c r="W1220" i="95"/>
  <c r="W1219" i="95"/>
  <c r="W1218" i="95"/>
  <c r="W1217" i="95"/>
  <c r="W1216" i="95"/>
  <c r="W1215" i="95"/>
  <c r="W1214" i="95"/>
  <c r="W1213" i="95"/>
  <c r="W1212" i="95"/>
  <c r="W1211" i="95"/>
  <c r="W1210" i="95"/>
  <c r="W1209" i="95"/>
  <c r="W1208" i="95"/>
  <c r="W1207" i="95"/>
  <c r="W1206" i="95"/>
  <c r="W1205" i="95"/>
  <c r="W1204" i="95"/>
  <c r="W1203" i="95"/>
  <c r="W1202" i="95"/>
  <c r="W1201" i="95"/>
  <c r="W1200" i="95"/>
  <c r="W1199" i="95"/>
  <c r="W1198" i="95"/>
  <c r="W1197" i="95"/>
  <c r="W1196" i="95"/>
  <c r="W1195" i="95"/>
  <c r="W1194" i="95"/>
  <c r="W1193" i="95"/>
  <c r="W1192" i="95"/>
  <c r="W1191" i="95"/>
  <c r="W1190" i="95"/>
  <c r="W1189" i="95"/>
  <c r="W1188" i="95"/>
  <c r="W1187" i="95"/>
  <c r="W1186" i="95"/>
  <c r="W1185" i="95"/>
  <c r="W1184" i="95"/>
  <c r="W1183" i="95"/>
  <c r="W1182" i="95"/>
  <c r="W1181" i="95"/>
  <c r="W1180" i="95"/>
  <c r="W1179" i="95"/>
  <c r="W1178" i="95"/>
  <c r="W1177" i="95"/>
  <c r="W1176" i="95"/>
  <c r="W1175" i="95"/>
  <c r="W1174" i="95"/>
  <c r="W1173" i="95"/>
  <c r="W1172" i="95"/>
  <c r="W1171" i="95"/>
  <c r="W1170" i="95"/>
  <c r="W1169" i="95"/>
  <c r="W1168" i="95"/>
  <c r="W1167" i="95"/>
  <c r="W1166" i="95"/>
  <c r="W1165" i="95"/>
  <c r="W1164" i="95"/>
  <c r="W1163" i="95"/>
  <c r="W1162" i="95"/>
  <c r="W1161" i="95"/>
  <c r="W1160" i="95"/>
  <c r="W1159" i="95"/>
  <c r="W1158" i="95"/>
  <c r="W1157" i="95"/>
  <c r="W1156" i="95"/>
  <c r="W1155" i="95"/>
  <c r="W1154" i="95"/>
  <c r="W1153" i="95"/>
  <c r="W1152" i="95"/>
  <c r="W1151" i="95"/>
  <c r="W1150" i="95"/>
  <c r="W1149" i="95"/>
  <c r="W1148" i="95"/>
  <c r="W1147" i="95"/>
  <c r="W1146" i="95"/>
  <c r="W1145" i="95"/>
  <c r="W1144" i="95"/>
  <c r="W1143" i="95"/>
  <c r="W1142" i="95"/>
  <c r="W1141" i="95"/>
  <c r="W1140" i="95"/>
  <c r="W1139" i="95"/>
  <c r="W1138" i="95"/>
  <c r="W1137" i="95"/>
  <c r="W1136" i="95"/>
  <c r="W1135" i="95"/>
  <c r="W1134" i="95"/>
  <c r="W1133" i="95"/>
  <c r="W1132" i="95"/>
  <c r="W1131" i="95"/>
  <c r="W1130" i="95"/>
  <c r="W1129" i="95"/>
  <c r="W1128" i="95"/>
  <c r="W1127" i="95"/>
  <c r="W1126" i="95"/>
  <c r="W1125" i="95"/>
  <c r="W1124" i="95"/>
  <c r="W1123" i="95"/>
  <c r="W1122" i="95"/>
  <c r="W1121" i="95"/>
  <c r="W1120" i="95"/>
  <c r="W1119" i="95"/>
  <c r="W1118" i="95"/>
  <c r="W1117" i="95"/>
  <c r="W1116" i="95"/>
  <c r="W1115" i="95"/>
  <c r="W1114" i="95"/>
  <c r="W1113" i="95"/>
  <c r="W1112" i="95"/>
  <c r="W1111" i="95"/>
  <c r="W1110" i="95"/>
  <c r="W1109" i="95"/>
  <c r="W1108" i="95"/>
  <c r="W1107" i="95"/>
  <c r="W1106" i="95"/>
  <c r="W1105" i="95"/>
  <c r="W1104" i="95"/>
  <c r="W1103" i="95"/>
  <c r="W1102" i="95"/>
  <c r="W1101" i="95"/>
  <c r="W1100" i="95"/>
  <c r="W1099" i="95"/>
  <c r="W1098" i="95"/>
  <c r="W1097" i="95"/>
  <c r="W1096" i="95"/>
  <c r="W1095" i="95"/>
  <c r="W1094" i="95"/>
  <c r="W1093" i="95"/>
  <c r="W1092" i="95"/>
  <c r="W1091" i="95"/>
  <c r="W1090" i="95"/>
  <c r="W1089" i="95"/>
  <c r="W1088" i="95"/>
  <c r="W1087" i="95"/>
  <c r="W1086" i="95"/>
  <c r="W1085" i="95"/>
  <c r="W1084" i="95"/>
  <c r="W1083" i="95"/>
  <c r="W1082" i="95"/>
  <c r="W1081" i="95"/>
  <c r="W1080" i="95"/>
  <c r="W1079" i="95"/>
  <c r="W1078" i="95"/>
  <c r="W1077" i="95"/>
  <c r="W1076" i="95"/>
  <c r="W1075" i="95"/>
  <c r="W1074" i="95"/>
  <c r="W1073" i="95"/>
  <c r="W1072" i="95"/>
  <c r="W1071" i="95"/>
  <c r="W1070" i="95"/>
  <c r="W1069" i="95"/>
  <c r="W1068" i="95"/>
  <c r="W1067" i="95"/>
  <c r="W1066" i="95"/>
  <c r="W1065" i="95"/>
  <c r="W1064" i="95"/>
  <c r="W1063" i="95"/>
  <c r="W1062" i="95"/>
  <c r="W1061" i="95"/>
  <c r="W1060" i="95"/>
  <c r="W1059" i="95"/>
  <c r="W1058" i="95"/>
  <c r="W1057" i="95"/>
  <c r="W1056" i="95"/>
  <c r="W1055" i="95"/>
  <c r="W1054" i="95"/>
  <c r="W1053" i="95"/>
  <c r="W1052" i="95"/>
  <c r="W1051" i="95"/>
  <c r="W1050" i="95"/>
  <c r="W1049" i="95"/>
  <c r="W1048" i="95"/>
  <c r="W1047" i="95"/>
  <c r="W1046" i="95"/>
  <c r="W1045" i="95"/>
  <c r="W1044" i="95"/>
  <c r="W1043" i="95"/>
  <c r="W1042" i="95"/>
  <c r="W1041" i="95"/>
  <c r="W1040" i="95"/>
  <c r="W1039" i="95"/>
  <c r="W1038" i="95"/>
  <c r="W1037" i="95"/>
  <c r="W1036" i="95"/>
  <c r="W1035" i="95"/>
  <c r="W1034" i="95"/>
  <c r="W1033" i="95"/>
  <c r="W1032" i="95"/>
  <c r="W1031" i="95"/>
  <c r="W1030" i="95"/>
  <c r="W1029" i="95"/>
  <c r="W1028" i="95"/>
  <c r="W1027" i="95"/>
  <c r="W1026" i="95"/>
  <c r="W1025" i="95"/>
  <c r="W1024" i="95"/>
  <c r="W1023" i="95"/>
  <c r="W1022" i="95"/>
  <c r="W1021" i="95"/>
  <c r="W1020" i="95"/>
  <c r="W1019" i="95"/>
  <c r="W1018" i="95"/>
  <c r="W1017" i="95"/>
  <c r="W1016" i="95"/>
  <c r="W1015" i="95"/>
  <c r="W1014" i="95"/>
  <c r="W1013" i="95"/>
  <c r="W1012" i="95"/>
  <c r="W1011" i="95"/>
  <c r="W1010" i="95"/>
  <c r="W1009" i="95"/>
  <c r="W1008" i="95"/>
  <c r="W1007" i="95"/>
  <c r="W1006" i="95"/>
  <c r="W1005" i="95"/>
  <c r="W1004" i="95"/>
  <c r="W1003" i="95"/>
  <c r="W1002" i="95"/>
  <c r="W1001" i="95"/>
  <c r="W1000" i="95"/>
  <c r="W999" i="95"/>
  <c r="W998" i="95"/>
  <c r="W997" i="95"/>
  <c r="W996" i="95"/>
  <c r="W995" i="95"/>
  <c r="W994" i="95"/>
  <c r="W993" i="95"/>
  <c r="W992" i="95"/>
  <c r="W991" i="95"/>
  <c r="W990" i="95"/>
  <c r="W989" i="95"/>
  <c r="W988" i="95"/>
  <c r="W987" i="95"/>
  <c r="W986" i="95"/>
  <c r="W985" i="95"/>
  <c r="W984" i="95"/>
  <c r="W983" i="95"/>
  <c r="W982" i="95"/>
  <c r="W981" i="95"/>
  <c r="W980" i="95"/>
  <c r="W979" i="95"/>
  <c r="W978" i="95"/>
  <c r="W977" i="95"/>
  <c r="W976" i="95"/>
  <c r="W975" i="95"/>
  <c r="W974" i="95"/>
  <c r="W973" i="95"/>
  <c r="W972" i="95"/>
  <c r="W971" i="95"/>
  <c r="W970" i="95"/>
  <c r="W969" i="95"/>
  <c r="W968" i="95"/>
  <c r="W967" i="95"/>
  <c r="W966" i="95"/>
  <c r="W965" i="95"/>
  <c r="W964" i="95"/>
  <c r="W963" i="95"/>
  <c r="W962" i="95"/>
  <c r="W961" i="95"/>
  <c r="W960" i="95"/>
  <c r="W959" i="95"/>
  <c r="W958" i="95"/>
  <c r="W957" i="95"/>
  <c r="W956" i="95"/>
  <c r="W955" i="95"/>
  <c r="W954" i="95"/>
  <c r="W953" i="95"/>
  <c r="W952" i="95"/>
  <c r="W951" i="95"/>
  <c r="W950" i="95"/>
  <c r="W949" i="95"/>
  <c r="W948" i="95"/>
  <c r="W947" i="95"/>
  <c r="W946" i="95"/>
  <c r="W945" i="95"/>
  <c r="W944" i="95"/>
  <c r="W943" i="95"/>
  <c r="W942" i="95"/>
  <c r="W941" i="95"/>
  <c r="W940" i="95"/>
  <c r="W939" i="95"/>
  <c r="W938" i="95"/>
  <c r="W937" i="95"/>
  <c r="W936" i="95"/>
  <c r="W935" i="95"/>
  <c r="W934" i="95"/>
  <c r="W933" i="95"/>
  <c r="W932" i="95"/>
  <c r="W931" i="95"/>
  <c r="W930" i="95"/>
  <c r="W929" i="95"/>
  <c r="W928" i="95"/>
  <c r="W927" i="95"/>
  <c r="W926" i="95"/>
  <c r="W925" i="95"/>
  <c r="W924" i="95"/>
  <c r="W923" i="95"/>
  <c r="W922" i="95"/>
  <c r="W921" i="95"/>
  <c r="W920" i="95"/>
  <c r="W919" i="95"/>
  <c r="W918" i="95"/>
  <c r="W917" i="95"/>
  <c r="W916" i="95"/>
  <c r="W915" i="95"/>
  <c r="W914" i="95"/>
  <c r="W913" i="95"/>
  <c r="W912" i="95"/>
  <c r="W911" i="95"/>
  <c r="W910" i="95"/>
  <c r="W909" i="95"/>
  <c r="W908" i="95"/>
  <c r="W907" i="95"/>
  <c r="W906" i="95"/>
  <c r="W905" i="95"/>
  <c r="W904" i="95"/>
  <c r="W903" i="95"/>
  <c r="W902" i="95"/>
  <c r="W901" i="95"/>
  <c r="W900" i="95"/>
  <c r="W899" i="95"/>
  <c r="W898" i="95"/>
  <c r="W897" i="95"/>
  <c r="W896" i="95"/>
  <c r="W895" i="95"/>
  <c r="W894" i="95"/>
  <c r="W893" i="95"/>
  <c r="W892" i="95"/>
  <c r="W891" i="95"/>
  <c r="W890" i="95"/>
  <c r="W889" i="95"/>
  <c r="W888" i="95"/>
  <c r="W887" i="95"/>
  <c r="W886" i="95"/>
  <c r="W885" i="95"/>
  <c r="W884" i="95"/>
  <c r="W883" i="95"/>
  <c r="W882" i="95"/>
  <c r="W881" i="95"/>
  <c r="W880" i="95"/>
  <c r="W879" i="95"/>
  <c r="W878" i="95"/>
  <c r="W877" i="95"/>
  <c r="W876" i="95"/>
  <c r="W875" i="95"/>
  <c r="W874" i="95"/>
  <c r="W873" i="95"/>
  <c r="W872" i="95"/>
  <c r="W871" i="95"/>
  <c r="W870" i="95"/>
  <c r="W869" i="95"/>
  <c r="W868" i="95"/>
  <c r="W867" i="95"/>
  <c r="W866" i="95"/>
  <c r="W865" i="95"/>
  <c r="W864" i="95"/>
  <c r="W863" i="95"/>
  <c r="W862" i="95"/>
  <c r="W861" i="95"/>
  <c r="W860" i="95"/>
  <c r="W859" i="95"/>
  <c r="W858" i="95"/>
  <c r="W857" i="95"/>
  <c r="W856" i="95"/>
  <c r="W855" i="95"/>
  <c r="W854" i="95"/>
  <c r="W853" i="95"/>
  <c r="W852" i="95"/>
  <c r="W851" i="95"/>
  <c r="W850" i="95"/>
  <c r="W849" i="95"/>
  <c r="W848" i="95"/>
  <c r="W847" i="95"/>
  <c r="W846" i="95"/>
  <c r="W845" i="95"/>
  <c r="W844" i="95"/>
  <c r="W843" i="95"/>
  <c r="W842" i="95"/>
  <c r="W841" i="95"/>
  <c r="W840" i="95"/>
  <c r="W839" i="95"/>
  <c r="W838" i="95"/>
  <c r="W837" i="95"/>
  <c r="W836" i="95"/>
  <c r="W835" i="95"/>
  <c r="W834" i="95"/>
  <c r="W833" i="95"/>
  <c r="W832" i="95"/>
  <c r="W831" i="95"/>
  <c r="W830" i="95"/>
  <c r="W829" i="95"/>
  <c r="W828" i="95"/>
  <c r="W827" i="95"/>
  <c r="W826" i="95"/>
  <c r="W825" i="95"/>
  <c r="W824" i="95"/>
  <c r="W823" i="95"/>
  <c r="W822" i="95"/>
  <c r="W821" i="95"/>
  <c r="W820" i="95"/>
  <c r="W819" i="95"/>
  <c r="W818" i="95"/>
  <c r="W817" i="95"/>
  <c r="W816" i="95"/>
  <c r="W815" i="95"/>
  <c r="W814" i="95"/>
  <c r="W813" i="95"/>
  <c r="W812" i="95"/>
  <c r="W811" i="95"/>
  <c r="W810" i="95"/>
  <c r="W809" i="95"/>
  <c r="W808" i="95"/>
  <c r="W807" i="95"/>
  <c r="W806" i="95"/>
  <c r="W805" i="95"/>
  <c r="W804" i="95"/>
  <c r="W803" i="95"/>
  <c r="W802" i="95"/>
  <c r="W801" i="95"/>
  <c r="W800" i="95"/>
  <c r="W799" i="95"/>
  <c r="W798" i="95"/>
  <c r="W797" i="95"/>
  <c r="W796" i="95"/>
  <c r="W795" i="95"/>
  <c r="W794" i="95"/>
  <c r="W793" i="95"/>
  <c r="W792" i="95"/>
  <c r="W791" i="95"/>
  <c r="W790" i="95"/>
  <c r="W789" i="95"/>
  <c r="W788" i="95"/>
  <c r="W787" i="95"/>
  <c r="W786" i="95"/>
  <c r="W785" i="95"/>
  <c r="W784" i="95"/>
  <c r="W783" i="95"/>
  <c r="W782" i="95"/>
  <c r="W781" i="95"/>
  <c r="W780" i="95"/>
  <c r="W779" i="95"/>
  <c r="W778" i="95"/>
  <c r="W777" i="95"/>
  <c r="W776" i="95"/>
  <c r="W775" i="95"/>
  <c r="W774" i="95"/>
  <c r="W773" i="95"/>
  <c r="W772" i="95"/>
  <c r="W771" i="95"/>
  <c r="W770" i="95"/>
  <c r="W769" i="95"/>
  <c r="W768" i="95"/>
  <c r="W767" i="95"/>
  <c r="W766" i="95"/>
  <c r="W765" i="95"/>
  <c r="W764" i="95"/>
  <c r="W763" i="95"/>
  <c r="W762" i="95"/>
  <c r="W761" i="95"/>
  <c r="W760" i="95"/>
  <c r="W759" i="95"/>
  <c r="W758" i="95"/>
  <c r="W757" i="95"/>
  <c r="W756" i="95"/>
  <c r="W755" i="95"/>
  <c r="W754" i="95"/>
  <c r="W753" i="95"/>
  <c r="W752" i="95"/>
  <c r="W751" i="95"/>
  <c r="W750" i="95"/>
  <c r="W749" i="95"/>
  <c r="W748" i="95"/>
  <c r="W747" i="95"/>
  <c r="W746" i="95"/>
  <c r="W745" i="95"/>
  <c r="W744" i="95"/>
  <c r="W743" i="95"/>
  <c r="W742" i="95"/>
  <c r="W741" i="95"/>
  <c r="W740" i="95"/>
  <c r="W739" i="95"/>
  <c r="W738" i="95"/>
  <c r="W737" i="95"/>
  <c r="W736" i="95"/>
  <c r="W735" i="95"/>
  <c r="W734" i="95"/>
  <c r="W733" i="95"/>
  <c r="W732" i="95"/>
  <c r="W731" i="95"/>
  <c r="W730" i="95"/>
  <c r="W729" i="95"/>
  <c r="W728" i="95"/>
  <c r="W727" i="95"/>
  <c r="W726" i="95"/>
  <c r="W725" i="95"/>
  <c r="W724" i="95"/>
  <c r="W723" i="95"/>
  <c r="W722" i="95"/>
  <c r="W721" i="95"/>
  <c r="W720" i="95"/>
  <c r="W719" i="95"/>
  <c r="W718" i="95"/>
  <c r="W717" i="95"/>
  <c r="W716" i="95"/>
  <c r="W715" i="95"/>
  <c r="W714" i="95"/>
  <c r="W713" i="95"/>
  <c r="W712" i="95"/>
  <c r="W711" i="95"/>
  <c r="W710" i="95"/>
  <c r="W709" i="95"/>
  <c r="W708" i="95"/>
  <c r="W707" i="95"/>
  <c r="W706" i="95"/>
  <c r="W705" i="95"/>
  <c r="W704" i="95"/>
  <c r="W703" i="95"/>
  <c r="W702" i="95"/>
  <c r="W701" i="95"/>
  <c r="W700" i="95"/>
  <c r="W699" i="95"/>
  <c r="W698" i="95"/>
  <c r="W697" i="95"/>
  <c r="W696" i="95"/>
  <c r="W695" i="95"/>
  <c r="W694" i="95"/>
  <c r="W693" i="95"/>
  <c r="W692" i="95"/>
  <c r="W691" i="95"/>
  <c r="W690" i="95"/>
  <c r="W689" i="95"/>
  <c r="W688" i="95"/>
  <c r="W687" i="95"/>
  <c r="W686" i="95"/>
  <c r="W685" i="95"/>
  <c r="W684" i="95"/>
  <c r="W683" i="95"/>
  <c r="W682" i="95"/>
  <c r="W681" i="95"/>
  <c r="W680" i="95"/>
  <c r="W679" i="95"/>
  <c r="W678" i="95"/>
  <c r="W677" i="95"/>
  <c r="W676" i="95"/>
  <c r="W675" i="95"/>
  <c r="W674" i="95"/>
  <c r="W673" i="95"/>
  <c r="W672" i="95"/>
  <c r="W671" i="95"/>
  <c r="W670" i="95"/>
  <c r="W669" i="95"/>
  <c r="W668" i="95"/>
  <c r="W667" i="95"/>
  <c r="W666" i="95"/>
  <c r="W665" i="95"/>
  <c r="W664" i="95"/>
  <c r="W663" i="95"/>
  <c r="W662" i="95"/>
  <c r="W661" i="95"/>
  <c r="W660" i="95"/>
  <c r="W659" i="95"/>
  <c r="W658" i="95"/>
  <c r="W657" i="95"/>
  <c r="W656" i="95"/>
  <c r="W655" i="95"/>
  <c r="W654" i="95"/>
  <c r="W653" i="95"/>
  <c r="W652" i="95"/>
  <c r="W651" i="95"/>
  <c r="W650" i="95"/>
  <c r="W649" i="95"/>
  <c r="W648" i="95"/>
  <c r="W647" i="95"/>
  <c r="W646" i="95"/>
  <c r="W645" i="95"/>
  <c r="W644" i="95"/>
  <c r="W643" i="95"/>
  <c r="W642" i="95"/>
  <c r="W641" i="95"/>
  <c r="W640" i="95"/>
  <c r="W639" i="95"/>
  <c r="W638" i="95"/>
  <c r="W637" i="95"/>
  <c r="W636" i="95"/>
  <c r="W635" i="95"/>
  <c r="W634" i="95"/>
  <c r="W633" i="95"/>
  <c r="W632" i="95"/>
  <c r="W631" i="95"/>
  <c r="W630" i="95"/>
  <c r="W629" i="95"/>
  <c r="W628" i="95"/>
  <c r="W627" i="95"/>
  <c r="W626" i="95"/>
  <c r="W625" i="95"/>
  <c r="W624" i="95"/>
  <c r="W623" i="95"/>
  <c r="W622" i="95"/>
  <c r="W621" i="95"/>
  <c r="W620" i="95"/>
  <c r="W619" i="95"/>
  <c r="W618" i="95"/>
  <c r="W617" i="95"/>
  <c r="W616" i="95"/>
  <c r="W615" i="95"/>
  <c r="W614" i="95"/>
  <c r="W613" i="95"/>
  <c r="W612" i="95"/>
  <c r="W611" i="95"/>
  <c r="W610" i="95"/>
  <c r="W609" i="95"/>
  <c r="W608" i="95"/>
  <c r="W607" i="95"/>
  <c r="W606" i="95"/>
  <c r="W605" i="95"/>
  <c r="W604" i="95"/>
  <c r="W603" i="95"/>
  <c r="W602" i="95"/>
  <c r="W601" i="95"/>
  <c r="W600" i="95"/>
  <c r="W599" i="95"/>
  <c r="W598" i="95"/>
  <c r="W597" i="95"/>
  <c r="W596" i="95"/>
  <c r="W595" i="95"/>
  <c r="W594" i="95"/>
  <c r="W593" i="95"/>
  <c r="W592" i="95"/>
  <c r="W591" i="95"/>
  <c r="W590" i="95"/>
  <c r="W589" i="95"/>
  <c r="W588" i="95"/>
  <c r="W587" i="95"/>
  <c r="W586" i="95"/>
  <c r="W585" i="95"/>
  <c r="W584" i="95"/>
  <c r="W583" i="95"/>
  <c r="W582" i="95"/>
  <c r="W581" i="95"/>
  <c r="W580" i="95"/>
  <c r="W579" i="95"/>
  <c r="W578" i="95"/>
  <c r="W577" i="95"/>
  <c r="W576" i="95"/>
  <c r="W575" i="95"/>
  <c r="W574" i="95"/>
  <c r="W573" i="95"/>
  <c r="W572" i="95"/>
  <c r="W571" i="95"/>
  <c r="W570" i="95"/>
  <c r="W569" i="95"/>
  <c r="W568" i="95"/>
  <c r="W567" i="95"/>
  <c r="W566" i="95"/>
  <c r="W565" i="95"/>
  <c r="W564" i="95"/>
  <c r="W563" i="95"/>
  <c r="W562" i="95"/>
  <c r="W561" i="95"/>
  <c r="W560" i="95"/>
  <c r="W559" i="95"/>
  <c r="W558" i="95"/>
  <c r="W557" i="95"/>
  <c r="W556" i="95"/>
  <c r="W555" i="95"/>
  <c r="W554" i="95"/>
  <c r="W553" i="95"/>
  <c r="W552" i="95"/>
  <c r="W551" i="95"/>
  <c r="W550" i="95"/>
  <c r="W549" i="95"/>
  <c r="W548" i="95"/>
  <c r="W547" i="95"/>
  <c r="W546" i="95"/>
  <c r="W545" i="95"/>
  <c r="W544" i="95"/>
  <c r="W543" i="95"/>
  <c r="W542" i="95"/>
  <c r="W541" i="95"/>
  <c r="W540" i="95"/>
  <c r="W539" i="95"/>
  <c r="W538" i="95"/>
  <c r="W537" i="95"/>
  <c r="W536" i="95"/>
  <c r="W535" i="95"/>
  <c r="W534" i="95"/>
  <c r="W533" i="95"/>
  <c r="W532" i="95"/>
  <c r="W531" i="95"/>
  <c r="W530" i="95"/>
  <c r="W529" i="95"/>
  <c r="W528" i="95"/>
  <c r="W527" i="95"/>
  <c r="W526" i="95"/>
  <c r="W525" i="95"/>
  <c r="W524" i="95"/>
  <c r="W523" i="95"/>
  <c r="W522" i="95"/>
  <c r="W521" i="95"/>
  <c r="W520" i="95"/>
  <c r="W519" i="95"/>
  <c r="W518" i="95"/>
  <c r="W517" i="95"/>
  <c r="W516" i="95"/>
  <c r="W515" i="95"/>
  <c r="W514" i="95"/>
  <c r="W513" i="95"/>
  <c r="W512" i="95"/>
  <c r="W511" i="95"/>
  <c r="W510" i="95"/>
  <c r="W509" i="95"/>
  <c r="W508" i="95"/>
  <c r="W507" i="95"/>
  <c r="W506" i="95"/>
  <c r="W505" i="95"/>
  <c r="W504" i="95"/>
  <c r="W503" i="95"/>
  <c r="W502" i="95"/>
  <c r="W501" i="95"/>
  <c r="W500" i="95"/>
  <c r="W499" i="95"/>
  <c r="W498" i="95"/>
  <c r="W497" i="95"/>
  <c r="W496" i="95"/>
  <c r="W495" i="95"/>
  <c r="W494" i="95"/>
  <c r="W493" i="95"/>
  <c r="W492" i="95"/>
  <c r="W491" i="95"/>
  <c r="W490" i="95"/>
  <c r="W489" i="95"/>
  <c r="W488" i="95"/>
  <c r="W487" i="95"/>
  <c r="W486" i="95"/>
  <c r="W485" i="95"/>
  <c r="W484" i="95"/>
  <c r="W483" i="95"/>
  <c r="W482" i="95"/>
  <c r="W481" i="95"/>
  <c r="W480" i="95"/>
  <c r="W479" i="95"/>
  <c r="W478" i="95"/>
  <c r="W477" i="95"/>
  <c r="W476" i="95"/>
  <c r="W475" i="95"/>
  <c r="W474" i="95"/>
  <c r="W473" i="95"/>
  <c r="W472" i="95"/>
  <c r="W471" i="95"/>
  <c r="W470" i="95"/>
  <c r="W469" i="95"/>
  <c r="W468" i="95"/>
  <c r="W467" i="95"/>
  <c r="W466" i="95"/>
  <c r="W465" i="95"/>
  <c r="W464" i="95"/>
  <c r="W463" i="95"/>
  <c r="W462" i="95"/>
  <c r="W461" i="95"/>
  <c r="W460" i="95"/>
  <c r="W459" i="95"/>
  <c r="W458" i="95"/>
  <c r="W457" i="95"/>
  <c r="W456" i="95"/>
  <c r="W455" i="95"/>
  <c r="W454" i="95"/>
  <c r="W453" i="95"/>
  <c r="W452" i="95"/>
  <c r="W451" i="95"/>
  <c r="W450" i="95"/>
  <c r="W449" i="95"/>
  <c r="W448" i="95"/>
  <c r="W447" i="95"/>
  <c r="W446" i="95"/>
  <c r="W445" i="95"/>
  <c r="W444" i="95"/>
  <c r="W443" i="95"/>
  <c r="W442" i="95"/>
  <c r="W441" i="95"/>
  <c r="W440" i="95"/>
  <c r="W439" i="95"/>
  <c r="W438" i="95"/>
  <c r="W437" i="95"/>
  <c r="W436" i="95"/>
  <c r="W435" i="95"/>
  <c r="W434" i="95"/>
  <c r="W433" i="95"/>
  <c r="W432" i="95"/>
  <c r="W431" i="95"/>
  <c r="W430" i="95"/>
  <c r="W429" i="95"/>
  <c r="W428" i="95"/>
  <c r="W427" i="95"/>
  <c r="W426" i="95"/>
  <c r="W425" i="95"/>
  <c r="W424" i="95"/>
  <c r="W423" i="95"/>
  <c r="W422" i="95"/>
  <c r="W421" i="95"/>
  <c r="W420" i="95"/>
  <c r="W419" i="95"/>
  <c r="W418" i="95"/>
  <c r="W417" i="95"/>
  <c r="W416" i="95"/>
  <c r="W415" i="95"/>
  <c r="W414" i="95"/>
  <c r="W413" i="95"/>
  <c r="W412" i="95"/>
  <c r="W411" i="95"/>
  <c r="W410" i="95"/>
  <c r="W409" i="95"/>
  <c r="W408" i="95"/>
  <c r="W407" i="95"/>
  <c r="W406" i="95"/>
  <c r="W405" i="95"/>
  <c r="W404" i="95"/>
  <c r="W403" i="95"/>
  <c r="W402" i="95"/>
  <c r="W401" i="95"/>
  <c r="W400" i="95"/>
  <c r="W399" i="95"/>
  <c r="W398" i="95"/>
  <c r="W397" i="95"/>
  <c r="W396" i="95"/>
  <c r="W395" i="95"/>
  <c r="W394" i="95"/>
  <c r="W393" i="95"/>
  <c r="W392" i="95"/>
  <c r="W391" i="95"/>
  <c r="W390" i="95"/>
  <c r="W389" i="95"/>
  <c r="W388" i="95"/>
  <c r="W387" i="95"/>
  <c r="W386" i="95"/>
  <c r="W385" i="95"/>
  <c r="W384" i="95"/>
  <c r="W383" i="95"/>
  <c r="W382" i="95"/>
  <c r="W381" i="95"/>
  <c r="W380" i="95"/>
  <c r="W379" i="95"/>
  <c r="W378" i="95"/>
  <c r="W377" i="95"/>
  <c r="W376" i="95"/>
  <c r="W375" i="95"/>
  <c r="W374" i="95"/>
  <c r="W373" i="95"/>
  <c r="W372" i="95"/>
  <c r="W371" i="95"/>
  <c r="W370" i="95"/>
  <c r="W369" i="95"/>
  <c r="W368" i="95"/>
  <c r="W367" i="95"/>
  <c r="W366" i="95"/>
  <c r="W365" i="95"/>
  <c r="W364" i="95"/>
  <c r="W363" i="95"/>
  <c r="W362" i="95"/>
  <c r="W361" i="95"/>
  <c r="W360" i="95"/>
  <c r="W359" i="95"/>
  <c r="W358" i="95"/>
  <c r="W357" i="95"/>
  <c r="W356" i="95"/>
  <c r="W355" i="95"/>
  <c r="W354" i="95"/>
  <c r="W353" i="95"/>
  <c r="W352" i="95"/>
  <c r="W351" i="95"/>
  <c r="W350" i="95"/>
  <c r="W349" i="95"/>
  <c r="W348" i="95"/>
  <c r="W347" i="95"/>
  <c r="W346" i="95"/>
  <c r="W345" i="95"/>
  <c r="W344" i="95"/>
  <c r="W343" i="95"/>
  <c r="W342" i="95"/>
  <c r="W341" i="95"/>
  <c r="W340" i="95"/>
  <c r="W339" i="95"/>
  <c r="W338" i="95"/>
  <c r="W337" i="95"/>
  <c r="W336" i="95"/>
  <c r="W335" i="95"/>
  <c r="W334" i="95"/>
  <c r="W333" i="95"/>
  <c r="W332" i="95"/>
  <c r="W331" i="95"/>
  <c r="W330" i="95"/>
  <c r="W329" i="95"/>
  <c r="W328" i="95"/>
  <c r="W327" i="95"/>
  <c r="W326" i="95"/>
  <c r="W325" i="95"/>
  <c r="W324" i="95"/>
  <c r="W323" i="95"/>
  <c r="W322" i="95"/>
  <c r="W321" i="95"/>
  <c r="W320" i="95"/>
  <c r="W319" i="95"/>
  <c r="W318" i="95"/>
  <c r="W317" i="95"/>
  <c r="W316" i="95"/>
  <c r="W315" i="95"/>
  <c r="W314" i="95"/>
  <c r="W313" i="95"/>
  <c r="W312" i="95"/>
  <c r="W311" i="95"/>
  <c r="W310" i="95"/>
  <c r="W309" i="95"/>
  <c r="W308" i="95"/>
  <c r="W307" i="95"/>
  <c r="W306" i="95"/>
  <c r="W305" i="95"/>
  <c r="W304" i="95"/>
  <c r="W303" i="95"/>
  <c r="W302" i="95"/>
  <c r="W301" i="95"/>
  <c r="W300" i="95"/>
  <c r="W299" i="95"/>
  <c r="W298" i="95"/>
  <c r="W297" i="95"/>
  <c r="W296" i="95"/>
  <c r="W295" i="95"/>
  <c r="W294" i="95"/>
  <c r="W293" i="95"/>
  <c r="W292" i="95"/>
  <c r="W291" i="95"/>
  <c r="W290" i="95"/>
  <c r="W289" i="95"/>
  <c r="W288" i="95"/>
  <c r="W287" i="95"/>
  <c r="W286" i="95"/>
  <c r="W285" i="95"/>
  <c r="W284" i="95"/>
  <c r="W283" i="95"/>
  <c r="W282" i="95"/>
  <c r="W281" i="95"/>
  <c r="W280" i="95"/>
  <c r="W279" i="95"/>
  <c r="W278" i="95"/>
  <c r="W277" i="95"/>
  <c r="W276" i="95"/>
  <c r="W275" i="95"/>
  <c r="W274" i="95"/>
  <c r="W273" i="95"/>
  <c r="W272" i="95"/>
  <c r="W271" i="95"/>
  <c r="W270" i="95"/>
  <c r="W269" i="95"/>
  <c r="W268" i="95"/>
  <c r="W267" i="95"/>
  <c r="W266" i="95"/>
  <c r="W265" i="95"/>
  <c r="W264" i="95"/>
  <c r="W263" i="95"/>
  <c r="W262" i="95"/>
  <c r="W261" i="95"/>
  <c r="W260" i="95"/>
  <c r="W259" i="95"/>
  <c r="W258" i="95"/>
  <c r="W257" i="95"/>
  <c r="W256" i="95"/>
  <c r="W255" i="95"/>
  <c r="W254" i="95"/>
  <c r="W253" i="95"/>
  <c r="W252" i="95"/>
  <c r="W251" i="95"/>
  <c r="W250" i="95"/>
  <c r="W249" i="95"/>
  <c r="W248" i="95"/>
  <c r="W247" i="95"/>
  <c r="W246" i="95"/>
  <c r="W245" i="95"/>
  <c r="W244" i="95"/>
  <c r="W243" i="95"/>
  <c r="W242" i="95"/>
  <c r="W241" i="95"/>
  <c r="W240" i="95"/>
  <c r="W239" i="95"/>
  <c r="W238" i="95"/>
  <c r="W237" i="95"/>
  <c r="W236" i="95"/>
  <c r="W235" i="95"/>
  <c r="W234" i="95"/>
  <c r="W233" i="95"/>
  <c r="W232" i="95"/>
  <c r="W231" i="95"/>
  <c r="W230" i="95"/>
  <c r="W229" i="95"/>
  <c r="W228" i="95"/>
  <c r="W227" i="95"/>
  <c r="W226" i="95"/>
  <c r="W225" i="95"/>
  <c r="W224" i="95"/>
  <c r="W223" i="95"/>
  <c r="W222" i="95"/>
  <c r="W221" i="95"/>
  <c r="W220" i="95"/>
  <c r="W219" i="95"/>
  <c r="W218" i="95"/>
  <c r="W217" i="95"/>
  <c r="W216" i="95"/>
  <c r="W215" i="95"/>
  <c r="W214" i="95"/>
  <c r="W213" i="95"/>
  <c r="W212" i="95"/>
  <c r="W211" i="95"/>
  <c r="W210" i="95"/>
  <c r="W209" i="95"/>
  <c r="W208" i="95"/>
  <c r="W207" i="95"/>
  <c r="W206" i="95"/>
  <c r="W205" i="95"/>
  <c r="W204" i="95"/>
  <c r="W203" i="95"/>
  <c r="W202" i="95"/>
  <c r="W201" i="95"/>
  <c r="W200" i="95"/>
  <c r="W199" i="95"/>
  <c r="W198" i="95"/>
  <c r="W197" i="95"/>
  <c r="W196" i="95"/>
  <c r="W195" i="95"/>
  <c r="W194" i="95"/>
  <c r="W193" i="95"/>
  <c r="W192" i="95"/>
  <c r="W191" i="95"/>
  <c r="W190" i="95"/>
  <c r="W189" i="95"/>
  <c r="W188" i="95"/>
  <c r="W187" i="95"/>
  <c r="W186" i="95"/>
  <c r="W185" i="95"/>
  <c r="W184" i="95"/>
  <c r="W183" i="95"/>
  <c r="W182" i="95"/>
  <c r="W181" i="95"/>
  <c r="W180" i="95"/>
  <c r="W179" i="95"/>
  <c r="W178" i="95"/>
  <c r="W177" i="95"/>
  <c r="W176" i="95"/>
  <c r="W175" i="95"/>
  <c r="W174" i="95"/>
  <c r="W173" i="95"/>
  <c r="W172" i="95"/>
  <c r="W171" i="95"/>
  <c r="W170" i="95"/>
  <c r="W169" i="95"/>
  <c r="W168" i="95"/>
  <c r="W167" i="95"/>
  <c r="W166" i="95"/>
  <c r="W165" i="95"/>
  <c r="W164" i="95"/>
  <c r="W163" i="95"/>
  <c r="W162" i="95"/>
  <c r="W161" i="95"/>
  <c r="W160" i="95"/>
  <c r="W159" i="95"/>
  <c r="W158" i="95"/>
  <c r="W157" i="95"/>
  <c r="W156" i="95"/>
  <c r="W155" i="95"/>
  <c r="W154" i="95"/>
  <c r="W153" i="95"/>
  <c r="W152" i="95"/>
  <c r="W151" i="95"/>
  <c r="W150" i="95"/>
  <c r="W149" i="95"/>
  <c r="W148" i="95"/>
  <c r="W147" i="95"/>
  <c r="W146" i="95"/>
  <c r="W145" i="95"/>
  <c r="W144" i="95"/>
  <c r="W143" i="95"/>
  <c r="W142" i="95"/>
  <c r="W141" i="95"/>
  <c r="W140" i="95"/>
  <c r="W139" i="95"/>
  <c r="W138" i="95"/>
  <c r="W137" i="95"/>
  <c r="W136" i="95"/>
  <c r="W135" i="95"/>
  <c r="W134" i="95"/>
  <c r="W133" i="95"/>
  <c r="W132" i="95"/>
  <c r="W131" i="95"/>
  <c r="W130" i="95"/>
  <c r="W129" i="95"/>
  <c r="W128" i="95"/>
  <c r="W127" i="95"/>
  <c r="W126" i="95"/>
  <c r="W125" i="95"/>
  <c r="W124" i="95"/>
  <c r="W123" i="95"/>
  <c r="W122" i="95"/>
  <c r="W121" i="95"/>
  <c r="W120" i="95"/>
  <c r="W119" i="95"/>
  <c r="W118" i="95"/>
  <c r="W117" i="95"/>
  <c r="W116" i="95"/>
  <c r="W115" i="95"/>
  <c r="W114" i="95"/>
  <c r="W113" i="95"/>
  <c r="W112" i="95"/>
  <c r="W111" i="95"/>
  <c r="W110" i="95"/>
  <c r="W109" i="95"/>
  <c r="W108" i="95"/>
  <c r="W107" i="95"/>
  <c r="W106" i="95"/>
  <c r="W105" i="95"/>
  <c r="W104" i="95"/>
  <c r="W103" i="95"/>
  <c r="W102" i="95"/>
  <c r="W101" i="95"/>
  <c r="W100" i="95"/>
  <c r="W99" i="95"/>
  <c r="W98" i="95"/>
  <c r="W97" i="95"/>
  <c r="W96" i="95"/>
  <c r="W95" i="95"/>
  <c r="W94" i="95"/>
  <c r="W93" i="95"/>
  <c r="W92" i="95"/>
  <c r="W91" i="95"/>
  <c r="W90" i="95"/>
  <c r="W89" i="95"/>
  <c r="W88" i="95"/>
  <c r="W87" i="95"/>
  <c r="W86" i="95"/>
  <c r="W85" i="95"/>
  <c r="W84" i="95"/>
  <c r="W83" i="95"/>
  <c r="W82" i="95"/>
  <c r="W81" i="95"/>
  <c r="W80" i="95"/>
  <c r="W79" i="95"/>
  <c r="W78" i="95"/>
  <c r="W77" i="95"/>
  <c r="W76" i="95"/>
  <c r="W75" i="95"/>
  <c r="W74" i="95"/>
  <c r="W73" i="95"/>
  <c r="W72" i="95"/>
  <c r="W71" i="95"/>
  <c r="W70" i="95"/>
  <c r="W69" i="95"/>
  <c r="W68" i="95"/>
  <c r="W67" i="95"/>
  <c r="W66" i="95"/>
  <c r="W65" i="95"/>
  <c r="W64" i="95"/>
  <c r="W63" i="95"/>
  <c r="W62" i="95"/>
  <c r="W61" i="95"/>
  <c r="W60" i="95"/>
  <c r="W59" i="95"/>
  <c r="W58" i="95"/>
  <c r="W57" i="95"/>
  <c r="W56" i="95"/>
  <c r="W55" i="95"/>
  <c r="W54" i="95"/>
  <c r="W53" i="95"/>
  <c r="W52" i="95"/>
  <c r="W51" i="95"/>
  <c r="W50" i="95"/>
  <c r="W49" i="95"/>
  <c r="W48" i="95"/>
  <c r="W47" i="95"/>
  <c r="W46" i="95"/>
  <c r="W45" i="95"/>
  <c r="W44" i="95"/>
  <c r="W43" i="95"/>
  <c r="W42" i="95"/>
  <c r="W41" i="95"/>
  <c r="W40" i="95"/>
  <c r="W39" i="95"/>
  <c r="W38" i="95"/>
  <c r="W37" i="95"/>
  <c r="W36" i="95"/>
  <c r="W35" i="95"/>
  <c r="W34" i="95"/>
  <c r="W33" i="95"/>
  <c r="W32" i="95"/>
  <c r="W31" i="95"/>
  <c r="W30" i="95"/>
  <c r="W29" i="95"/>
  <c r="W28" i="95"/>
  <c r="W27" i="95"/>
  <c r="W26" i="95"/>
  <c r="W25" i="95"/>
  <c r="W24" i="95"/>
  <c r="W23" i="95"/>
  <c r="W22" i="95"/>
  <c r="W21" i="95"/>
  <c r="W20" i="95"/>
  <c r="W19" i="95"/>
  <c r="W18" i="95"/>
  <c r="W17" i="95"/>
  <c r="W16" i="95"/>
  <c r="W15" i="95"/>
  <c r="W14" i="95"/>
  <c r="W13" i="95"/>
  <c r="W12" i="95"/>
  <c r="W11" i="95"/>
  <c r="W7" i="95"/>
  <c r="W6" i="95"/>
  <c r="W3" i="95"/>
  <c r="K2" i="95" a="1"/>
  <c r="K2" i="95" s="1"/>
  <c r="K1" i="95" s="1"/>
  <c r="I18" i="94"/>
  <c r="J18" i="94"/>
  <c r="K18" i="94"/>
  <c r="D18" i="94"/>
  <c r="E18" i="94"/>
  <c r="F18" i="94"/>
  <c r="G18" i="94"/>
  <c r="H18" i="94"/>
  <c r="C18" i="94"/>
  <c r="L16" i="94"/>
  <c r="L20" i="94" s="1"/>
  <c r="C16" i="94"/>
  <c r="D16" i="94"/>
  <c r="E16" i="94"/>
  <c r="F16" i="94"/>
  <c r="G16" i="94"/>
  <c r="H16" i="94"/>
  <c r="D20" i="94" s="1"/>
  <c r="I16" i="94"/>
  <c r="J16" i="94"/>
  <c r="K16" i="94"/>
  <c r="M16" i="94"/>
  <c r="M20" i="94" s="1"/>
  <c r="N16" i="94"/>
  <c r="O16" i="94"/>
  <c r="C13" i="94"/>
  <c r="C17" i="94" s="1"/>
  <c r="C21" i="94" s="1"/>
  <c r="D13" i="94"/>
  <c r="D17" i="94" s="1"/>
  <c r="D21" i="94" s="1"/>
  <c r="E13" i="94"/>
  <c r="E17" i="94" s="1"/>
  <c r="E21" i="94" s="1"/>
  <c r="F13" i="94"/>
  <c r="F17" i="94" s="1"/>
  <c r="F21" i="94" s="1"/>
  <c r="AG112" i="4"/>
  <c r="AG120" i="4"/>
  <c r="L372" i="69" a="1"/>
  <c r="L372" i="69" s="1"/>
  <c r="Z1576" i="95" s="1"/>
  <c r="AD72" i="4"/>
  <c r="A372" i="69"/>
  <c r="AG82" i="4"/>
  <c r="AG83" i="4"/>
  <c r="AG84" i="4"/>
  <c r="AG87" i="4"/>
  <c r="AG88" i="4"/>
  <c r="AG89" i="4"/>
  <c r="AG90" i="4"/>
  <c r="G13" i="94"/>
  <c r="G17" i="94" s="1"/>
  <c r="G21" i="94" s="1"/>
  <c r="H13" i="94"/>
  <c r="H17" i="94" s="1"/>
  <c r="H21" i="94" s="1"/>
  <c r="I13" i="94"/>
  <c r="I15" i="94" s="1"/>
  <c r="J13" i="94"/>
  <c r="J17" i="94" s="1"/>
  <c r="J21" i="94" s="1"/>
  <c r="L13" i="94"/>
  <c r="L15" i="94" s="1"/>
  <c r="M13" i="94"/>
  <c r="M17" i="94" s="1"/>
  <c r="M21" i="94" s="1"/>
  <c r="N13" i="94"/>
  <c r="N17" i="94" s="1"/>
  <c r="O13" i="94"/>
  <c r="O17" i="94" s="1"/>
  <c r="K13" i="94"/>
  <c r="K17" i="94" s="1"/>
  <c r="K21" i="94" s="1"/>
  <c r="K15" i="94"/>
  <c r="F81" i="64"/>
  <c r="L106" i="19"/>
  <c r="L109" i="19" s="1"/>
  <c r="BX75" i="63"/>
  <c r="AS58" i="62"/>
  <c r="AS55" i="62"/>
  <c r="AS54" i="62"/>
  <c r="AR56" i="62"/>
  <c r="D11" i="93"/>
  <c r="D2" i="93" s="1"/>
  <c r="C11" i="93"/>
  <c r="P43" i="93"/>
  <c r="P42" i="93"/>
  <c r="Q42" i="93" s="1"/>
  <c r="E41" i="93"/>
  <c r="AF40" i="93"/>
  <c r="E40" i="93"/>
  <c r="AO39" i="93"/>
  <c r="AO40" i="93" s="1"/>
  <c r="AF39" i="93"/>
  <c r="E39" i="93"/>
  <c r="AG38" i="93"/>
  <c r="E38" i="93"/>
  <c r="AG37" i="93"/>
  <c r="E37" i="93"/>
  <c r="AG36" i="93"/>
  <c r="E36" i="93"/>
  <c r="AG35" i="93"/>
  <c r="S35" i="93"/>
  <c r="E35" i="93"/>
  <c r="X34" i="93"/>
  <c r="X35" i="93"/>
  <c r="AG33" i="93"/>
  <c r="AG32" i="93"/>
  <c r="X32" i="93"/>
  <c r="AG31" i="93"/>
  <c r="AG30" i="93"/>
  <c r="AG29" i="93"/>
  <c r="AG28" i="93"/>
  <c r="AG27" i="93"/>
  <c r="AG26" i="93"/>
  <c r="AG25" i="93"/>
  <c r="AG24" i="93"/>
  <c r="AG23" i="93"/>
  <c r="AG22" i="93"/>
  <c r="AG21" i="93"/>
  <c r="AG20" i="93"/>
  <c r="S34" i="93"/>
  <c r="AG19" i="93"/>
  <c r="AG18" i="93"/>
  <c r="AB17" i="93"/>
  <c r="AB21" i="93" s="1"/>
  <c r="AB26" i="93" s="1"/>
  <c r="AG16" i="93"/>
  <c r="AG15" i="93"/>
  <c r="F15" i="93" s="1"/>
  <c r="AG14" i="93"/>
  <c r="AG13" i="93"/>
  <c r="AG12" i="93"/>
  <c r="F12" i="93" s="1"/>
  <c r="G12" i="93"/>
  <c r="L10" i="93"/>
  <c r="Y9" i="93"/>
  <c r="J9" i="93"/>
  <c r="I9" i="93"/>
  <c r="K9" i="93" s="1"/>
  <c r="D9" i="93"/>
  <c r="C9" i="93"/>
  <c r="E9" i="93" s="1"/>
  <c r="B9" i="93"/>
  <c r="L8" i="93"/>
  <c r="B7" i="93"/>
  <c r="L6" i="93"/>
  <c r="B6" i="93"/>
  <c r="B8" i="93" s="1"/>
  <c r="B10" i="93" s="1"/>
  <c r="L4" i="93"/>
  <c r="AN2" i="93"/>
  <c r="AM2" i="93"/>
  <c r="AL2" i="93"/>
  <c r="AK2" i="93"/>
  <c r="AJ2" i="93"/>
  <c r="AI2" i="93"/>
  <c r="AH2" i="93"/>
  <c r="Y2" i="93"/>
  <c r="X2" i="93"/>
  <c r="W2" i="93"/>
  <c r="AC8" i="93" s="1"/>
  <c r="V2" i="93"/>
  <c r="U2" i="93"/>
  <c r="AC2" i="93"/>
  <c r="R2" i="93"/>
  <c r="Q2" i="93"/>
  <c r="P2" i="93"/>
  <c r="O2" i="93"/>
  <c r="N2" i="93"/>
  <c r="M2" i="93"/>
  <c r="J2" i="93"/>
  <c r="I2" i="93"/>
  <c r="H2" i="93"/>
  <c r="G2" i="93"/>
  <c r="F2" i="93"/>
  <c r="AS111" i="62"/>
  <c r="AN86" i="19"/>
  <c r="AN85" i="19"/>
  <c r="AN82" i="19"/>
  <c r="AM78" i="19"/>
  <c r="J322" i="69"/>
  <c r="CE71" i="63"/>
  <c r="CB71" i="63"/>
  <c r="CA49" i="63"/>
  <c r="CB49" i="63" s="1"/>
  <c r="CC49" i="63" s="1"/>
  <c r="CD49" i="63" s="1"/>
  <c r="CE49" i="63" s="1"/>
  <c r="CF49" i="63" s="1"/>
  <c r="CG49" i="63" s="1"/>
  <c r="AG231" i="62"/>
  <c r="AH231" i="62"/>
  <c r="AI231" i="62"/>
  <c r="AJ231" i="62"/>
  <c r="AK231" i="62"/>
  <c r="AL231" i="62"/>
  <c r="AM231" i="62"/>
  <c r="AN231" i="62"/>
  <c r="AO231" i="62"/>
  <c r="AP231" i="62"/>
  <c r="AQ231" i="62"/>
  <c r="AR231" i="62"/>
  <c r="C322" i="69"/>
  <c r="D322" i="69"/>
  <c r="E322" i="69"/>
  <c r="F322" i="69"/>
  <c r="G322" i="69"/>
  <c r="F323" i="69"/>
  <c r="G323" i="69"/>
  <c r="E324" i="69"/>
  <c r="F324" i="69"/>
  <c r="E325" i="69"/>
  <c r="F325" i="69"/>
  <c r="E327" i="69"/>
  <c r="F327" i="69"/>
  <c r="G327" i="69"/>
  <c r="C317" i="69"/>
  <c r="F317" i="69" s="1"/>
  <c r="J317" i="69" s="1"/>
  <c r="D317" i="69"/>
  <c r="G317" i="69" s="1"/>
  <c r="K317" i="69" s="1"/>
  <c r="B317" i="69"/>
  <c r="E317" i="69" s="1"/>
  <c r="I317" i="69" s="1"/>
  <c r="A324" i="69"/>
  <c r="A325" i="69"/>
  <c r="A326" i="69"/>
  <c r="A319" i="69"/>
  <c r="A320" i="69"/>
  <c r="A321" i="69"/>
  <c r="A322" i="69"/>
  <c r="A318" i="69"/>
  <c r="E314" i="69"/>
  <c r="E326" i="69" s="1"/>
  <c r="F314" i="69"/>
  <c r="F326" i="69" s="1"/>
  <c r="I314" i="69"/>
  <c r="J314" i="69"/>
  <c r="AK76" i="19"/>
  <c r="O43" i="67" s="1"/>
  <c r="I311" i="69"/>
  <c r="BU58" i="63"/>
  <c r="BT58" i="63"/>
  <c r="J6" i="62"/>
  <c r="N67" i="4" s="1"/>
  <c r="CF52" i="63"/>
  <c r="B120" i="19"/>
  <c r="B119" i="19"/>
  <c r="S37" i="54"/>
  <c r="S38" i="54"/>
  <c r="S41" i="54"/>
  <c r="F73" i="64"/>
  <c r="F74" i="64"/>
  <c r="F75" i="64"/>
  <c r="F76" i="64"/>
  <c r="F78" i="64"/>
  <c r="F79" i="64"/>
  <c r="F80" i="64"/>
  <c r="F83" i="64"/>
  <c r="F84" i="64"/>
  <c r="F85" i="64"/>
  <c r="F86" i="64"/>
  <c r="F96" i="64"/>
  <c r="J41" i="62"/>
  <c r="J43" i="62" s="1"/>
  <c r="J42" i="62"/>
  <c r="J34" i="62"/>
  <c r="N6" i="4"/>
  <c r="Y106" i="19" s="1"/>
  <c r="N27" i="4"/>
  <c r="N32" i="4"/>
  <c r="N33" i="4" s="1"/>
  <c r="N39" i="4"/>
  <c r="N40" i="4"/>
  <c r="W40" i="4" s="1"/>
  <c r="N64" i="4"/>
  <c r="O65" i="4" s="1"/>
  <c r="N66" i="4"/>
  <c r="N80" i="4"/>
  <c r="AC76" i="4" s="1"/>
  <c r="N81" i="4"/>
  <c r="N82" i="4"/>
  <c r="N83" i="4"/>
  <c r="N85" i="4"/>
  <c r="N86" i="4"/>
  <c r="N87" i="4"/>
  <c r="N88" i="4"/>
  <c r="N90" i="4"/>
  <c r="N93" i="4"/>
  <c r="N94" i="4"/>
  <c r="N99" i="4"/>
  <c r="N98" i="4" s="1"/>
  <c r="N100" i="4"/>
  <c r="N103" i="4"/>
  <c r="N111" i="4"/>
  <c r="N124" i="4"/>
  <c r="N115" i="4" s="1"/>
  <c r="I11" i="19" s="1"/>
  <c r="N126" i="4"/>
  <c r="N127" i="4"/>
  <c r="N128" i="4"/>
  <c r="N129" i="4"/>
  <c r="N130" i="4"/>
  <c r="N135" i="4"/>
  <c r="N136" i="4"/>
  <c r="N137" i="4"/>
  <c r="N138" i="4"/>
  <c r="N139" i="4"/>
  <c r="N142" i="4"/>
  <c r="N143" i="4"/>
  <c r="N147" i="4"/>
  <c r="N148" i="4"/>
  <c r="N154" i="4"/>
  <c r="N155" i="4"/>
  <c r="N156" i="4"/>
  <c r="N157" i="4"/>
  <c r="N158" i="4"/>
  <c r="N159" i="4"/>
  <c r="N160" i="4"/>
  <c r="N166" i="4"/>
  <c r="N167" i="4"/>
  <c r="N168" i="4"/>
  <c r="N169" i="4"/>
  <c r="N170" i="4"/>
  <c r="N171" i="4"/>
  <c r="N172" i="4"/>
  <c r="N176" i="4"/>
  <c r="N258" i="4"/>
  <c r="N268" i="4" s="1"/>
  <c r="N277" i="4"/>
  <c r="V1" i="39"/>
  <c r="W1" i="39" s="1"/>
  <c r="Y34" i="77"/>
  <c r="Y35" i="77" s="1"/>
  <c r="Y32" i="77"/>
  <c r="CG52" i="63"/>
  <c r="AR58" i="62"/>
  <c r="AR48" i="62"/>
  <c r="AR55" i="62"/>
  <c r="AR54" i="62"/>
  <c r="AO49" i="62"/>
  <c r="AP49" i="62" s="1"/>
  <c r="AX138" i="62"/>
  <c r="AX139" i="62" s="1"/>
  <c r="AO124" i="62"/>
  <c r="BU42" i="63"/>
  <c r="CC52" i="63" s="1"/>
  <c r="BT10" i="63"/>
  <c r="BT35" i="63" s="1"/>
  <c r="BU10" i="63"/>
  <c r="AQ112" i="63"/>
  <c r="AR112" i="63"/>
  <c r="AS112" i="63"/>
  <c r="AT112" i="63"/>
  <c r="AU112" i="63"/>
  <c r="AV112" i="63"/>
  <c r="AW112" i="63"/>
  <c r="AZ112" i="63"/>
  <c r="L292" i="69"/>
  <c r="B287" i="69"/>
  <c r="AH136" i="19"/>
  <c r="C110" i="63"/>
  <c r="D110" i="63"/>
  <c r="D111" i="63" s="1"/>
  <c r="E110" i="63"/>
  <c r="F110" i="63"/>
  <c r="G110" i="63"/>
  <c r="H110" i="63"/>
  <c r="I110" i="63"/>
  <c r="J110" i="63"/>
  <c r="K110" i="63"/>
  <c r="K111" i="63" s="1"/>
  <c r="L110" i="63"/>
  <c r="M110" i="63"/>
  <c r="N110" i="63"/>
  <c r="O110" i="63"/>
  <c r="P110" i="63"/>
  <c r="Q110" i="63"/>
  <c r="R110" i="63"/>
  <c r="S110" i="63"/>
  <c r="T110" i="63"/>
  <c r="U110" i="63"/>
  <c r="V110" i="63"/>
  <c r="W110" i="63"/>
  <c r="X110" i="63"/>
  <c r="Y110" i="63"/>
  <c r="Z110" i="63"/>
  <c r="AA110" i="63"/>
  <c r="AB110" i="63"/>
  <c r="AC110" i="63"/>
  <c r="AD110" i="63"/>
  <c r="AE110" i="63"/>
  <c r="AF110" i="63"/>
  <c r="AG110" i="63"/>
  <c r="AH110" i="63"/>
  <c r="AI110" i="63"/>
  <c r="AJ110" i="63"/>
  <c r="AK110" i="63"/>
  <c r="AL110" i="63"/>
  <c r="AM110" i="63"/>
  <c r="AN110" i="63"/>
  <c r="AO110" i="63"/>
  <c r="AP110" i="63"/>
  <c r="AQ110" i="63"/>
  <c r="AR110" i="63"/>
  <c r="AS110" i="63"/>
  <c r="AT110" i="63"/>
  <c r="AU110" i="63"/>
  <c r="AV110" i="63"/>
  <c r="AW110" i="63"/>
  <c r="AX110" i="63"/>
  <c r="AY110" i="63"/>
  <c r="AZ110" i="63"/>
  <c r="BA110" i="63"/>
  <c r="BB110" i="63"/>
  <c r="BC110" i="63"/>
  <c r="BD110" i="63"/>
  <c r="BE110" i="63"/>
  <c r="BL110" i="63"/>
  <c r="BR110" i="63"/>
  <c r="BS110" i="63"/>
  <c r="BT110" i="63"/>
  <c r="BU110" i="63"/>
  <c r="B110" i="63"/>
  <c r="C109" i="63"/>
  <c r="D109" i="63"/>
  <c r="E109" i="63"/>
  <c r="F109" i="63"/>
  <c r="G109" i="63"/>
  <c r="H109" i="63"/>
  <c r="I109" i="63"/>
  <c r="J109" i="63"/>
  <c r="K109" i="63"/>
  <c r="L109" i="63"/>
  <c r="M109" i="63"/>
  <c r="N109" i="63"/>
  <c r="O109" i="63"/>
  <c r="P109" i="63"/>
  <c r="Q109" i="63"/>
  <c r="R109" i="63"/>
  <c r="S109" i="63"/>
  <c r="T109" i="63"/>
  <c r="U109" i="63"/>
  <c r="V109" i="63"/>
  <c r="W109" i="63"/>
  <c r="X109" i="63"/>
  <c r="Y109" i="63"/>
  <c r="Z109" i="63"/>
  <c r="AA109" i="63"/>
  <c r="AB109" i="63"/>
  <c r="AC109" i="63"/>
  <c r="AD109" i="63"/>
  <c r="AE109" i="63"/>
  <c r="AF109" i="63"/>
  <c r="AG109" i="63"/>
  <c r="AH109" i="63"/>
  <c r="AI109" i="63"/>
  <c r="AJ109" i="63"/>
  <c r="AK109" i="63"/>
  <c r="AL109" i="63"/>
  <c r="AM109" i="63"/>
  <c r="AN109" i="63"/>
  <c r="AO109" i="63"/>
  <c r="AP109" i="63"/>
  <c r="AQ109" i="63"/>
  <c r="AR109" i="63"/>
  <c r="AS109" i="63"/>
  <c r="AT109" i="63"/>
  <c r="AU109" i="63"/>
  <c r="AV109" i="63"/>
  <c r="AW109" i="63"/>
  <c r="AX109" i="63"/>
  <c r="AY109" i="63"/>
  <c r="AZ109" i="63"/>
  <c r="BA109" i="63"/>
  <c r="BB109" i="63"/>
  <c r="BC109" i="63"/>
  <c r="BD109" i="63"/>
  <c r="BE109" i="63"/>
  <c r="BF109" i="63"/>
  <c r="BG109" i="63"/>
  <c r="BH109" i="63"/>
  <c r="BI109" i="63"/>
  <c r="BJ109" i="63"/>
  <c r="BK109" i="63"/>
  <c r="BL109" i="63"/>
  <c r="BM109" i="63"/>
  <c r="BN109" i="63"/>
  <c r="BO109" i="63"/>
  <c r="BP109" i="63"/>
  <c r="BQ109" i="63"/>
  <c r="BR109" i="63"/>
  <c r="BS109" i="63"/>
  <c r="BT109" i="63"/>
  <c r="BU109" i="63"/>
  <c r="BV109" i="63"/>
  <c r="BW109" i="63"/>
  <c r="BX109" i="63"/>
  <c r="CA109" i="63"/>
  <c r="CB109" i="63"/>
  <c r="CC109" i="63"/>
  <c r="CD109" i="63"/>
  <c r="CE109" i="63"/>
  <c r="CF109" i="63"/>
  <c r="CG109" i="63"/>
  <c r="CH109" i="63"/>
  <c r="CI109" i="63"/>
  <c r="CJ109" i="63"/>
  <c r="CK109" i="63"/>
  <c r="CL109" i="63"/>
  <c r="CM109" i="63"/>
  <c r="CN109" i="63"/>
  <c r="CO109" i="63"/>
  <c r="CP109" i="63"/>
  <c r="CQ109" i="63"/>
  <c r="CR109" i="63"/>
  <c r="CS109" i="63"/>
  <c r="CT109" i="63"/>
  <c r="CU109" i="63"/>
  <c r="CV109" i="63"/>
  <c r="CW109" i="63"/>
  <c r="CX109" i="63"/>
  <c r="CY109" i="63"/>
  <c r="CZ109" i="63"/>
  <c r="DA109" i="63"/>
  <c r="DB109" i="63"/>
  <c r="DC109" i="63"/>
  <c r="DD109" i="63"/>
  <c r="DE109" i="63"/>
  <c r="DF109" i="63"/>
  <c r="DG109" i="63"/>
  <c r="DH109" i="63"/>
  <c r="DI109" i="63"/>
  <c r="DJ109" i="63"/>
  <c r="DK109" i="63"/>
  <c r="DL109" i="63"/>
  <c r="DM109" i="63"/>
  <c r="DN109" i="63"/>
  <c r="DO109" i="63"/>
  <c r="DP109" i="63"/>
  <c r="DQ109" i="63"/>
  <c r="DR109" i="63"/>
  <c r="DS109" i="63"/>
  <c r="B109" i="63"/>
  <c r="AW18" i="54"/>
  <c r="AK75" i="19"/>
  <c r="E297" i="69"/>
  <c r="W31" i="4"/>
  <c r="W34" i="4"/>
  <c r="W37" i="4"/>
  <c r="W42" i="4"/>
  <c r="W56" i="4"/>
  <c r="W58" i="4"/>
  <c r="X2" i="91"/>
  <c r="N2" i="91"/>
  <c r="O2" i="91"/>
  <c r="P2" i="91"/>
  <c r="Q2" i="91"/>
  <c r="R2" i="91"/>
  <c r="S2" i="91"/>
  <c r="T2" i="91"/>
  <c r="U2" i="91"/>
  <c r="V2" i="91"/>
  <c r="M2" i="91"/>
  <c r="N249" i="69"/>
  <c r="G249" i="69"/>
  <c r="N247" i="69"/>
  <c r="N246" i="69"/>
  <c r="K334" i="69"/>
  <c r="A26" i="63"/>
  <c r="A44" i="63" s="1"/>
  <c r="A46" i="63" s="1"/>
  <c r="A51" i="63" s="1"/>
  <c r="BV41" i="63"/>
  <c r="BV46" i="63" s="1"/>
  <c r="CV68" i="63"/>
  <c r="A54" i="63"/>
  <c r="A291" i="69"/>
  <c r="A290" i="69"/>
  <c r="B284" i="69"/>
  <c r="B285" i="69"/>
  <c r="B283" i="69"/>
  <c r="H248" i="69"/>
  <c r="G281" i="69" s="1"/>
  <c r="D252" i="69"/>
  <c r="E252" i="69"/>
  <c r="I250" i="69"/>
  <c r="J250" i="69"/>
  <c r="K250" i="69"/>
  <c r="L250" i="69"/>
  <c r="M250" i="69"/>
  <c r="F245" i="69"/>
  <c r="G248" i="69"/>
  <c r="F281" i="69" s="1"/>
  <c r="E248" i="69"/>
  <c r="D281" i="69" s="1"/>
  <c r="F248" i="69"/>
  <c r="E281" i="69" s="1"/>
  <c r="C248" i="69"/>
  <c r="D248" i="69"/>
  <c r="C281" i="69" s="1"/>
  <c r="L243" i="69"/>
  <c r="M243" i="69"/>
  <c r="K241" i="69"/>
  <c r="K243" i="69" s="1"/>
  <c r="M242" i="69"/>
  <c r="J2" i="91"/>
  <c r="J115" i="64"/>
  <c r="C268" i="69"/>
  <c r="D268" i="69"/>
  <c r="E268" i="69"/>
  <c r="F268" i="69"/>
  <c r="B268" i="69"/>
  <c r="B256" i="69"/>
  <c r="B267" i="69" s="1"/>
  <c r="B257" i="69"/>
  <c r="C257" i="69"/>
  <c r="D257" i="69"/>
  <c r="E257" i="69"/>
  <c r="F257" i="69"/>
  <c r="K256" i="69"/>
  <c r="K267" i="69" s="1"/>
  <c r="J280" i="69" s="1"/>
  <c r="L256" i="69"/>
  <c r="L267" i="69" s="1"/>
  <c r="M256" i="69"/>
  <c r="M260" i="69" s="1"/>
  <c r="M271" i="69" s="1"/>
  <c r="C256" i="69"/>
  <c r="C246" i="69" s="1"/>
  <c r="C250" i="69" s="1"/>
  <c r="D256" i="69"/>
  <c r="D260" i="69" s="1"/>
  <c r="D271" i="69" s="1"/>
  <c r="E256" i="69"/>
  <c r="E246" i="69" s="1"/>
  <c r="E250" i="69" s="1"/>
  <c r="F256" i="69"/>
  <c r="F246" i="69" s="1"/>
  <c r="F250" i="69" s="1"/>
  <c r="G256" i="69"/>
  <c r="G260" i="69" s="1"/>
  <c r="G271" i="69" s="1"/>
  <c r="H256" i="69"/>
  <c r="H267" i="69" s="1"/>
  <c r="G280" i="69" s="1"/>
  <c r="I256" i="69"/>
  <c r="I260" i="69" s="1"/>
  <c r="I271" i="69" s="1"/>
  <c r="J256" i="69"/>
  <c r="J267" i="69" s="1"/>
  <c r="I280" i="69" s="1"/>
  <c r="B238" i="69"/>
  <c r="AQ161" i="69"/>
  <c r="AR161" i="69"/>
  <c r="AS161" i="69"/>
  <c r="AR164" i="69"/>
  <c r="AS164" i="69"/>
  <c r="AP161" i="69"/>
  <c r="BQ2" i="63"/>
  <c r="BQ1" i="63" s="1"/>
  <c r="BQ64" i="63" s="1"/>
  <c r="BU14" i="63"/>
  <c r="BT14" i="63"/>
  <c r="BV16" i="63"/>
  <c r="B227" i="69"/>
  <c r="B229" i="69"/>
  <c r="B231" i="69" s="1"/>
  <c r="B228" i="69"/>
  <c r="B230" i="69" s="1"/>
  <c r="H223" i="69"/>
  <c r="I223" i="69"/>
  <c r="BT100" i="63"/>
  <c r="U222" i="69"/>
  <c r="M225" i="69" s="1"/>
  <c r="B222" i="69"/>
  <c r="C222" i="69"/>
  <c r="D222" i="69"/>
  <c r="E222" i="69"/>
  <c r="F222" i="69"/>
  <c r="G222" i="69"/>
  <c r="H222" i="69"/>
  <c r="I222" i="69"/>
  <c r="J222" i="69"/>
  <c r="B225" i="69" s="1"/>
  <c r="K222" i="69"/>
  <c r="C225" i="69" s="1"/>
  <c r="L222" i="69"/>
  <c r="D225" i="69" s="1"/>
  <c r="M222" i="69"/>
  <c r="E225" i="69" s="1"/>
  <c r="N222" i="69"/>
  <c r="F225" i="69" s="1"/>
  <c r="O222" i="69"/>
  <c r="G225" i="69" s="1"/>
  <c r="P222" i="69"/>
  <c r="H225" i="69" s="1"/>
  <c r="Q222" i="69"/>
  <c r="I225" i="69" s="1"/>
  <c r="R222" i="69"/>
  <c r="J225" i="69" s="1"/>
  <c r="S222" i="69"/>
  <c r="K225" i="69" s="1"/>
  <c r="T222" i="69"/>
  <c r="L225" i="69" s="1"/>
  <c r="AF111" i="62"/>
  <c r="AE111" i="62" s="1"/>
  <c r="AD111" i="62" s="1"/>
  <c r="AC111" i="62" s="1"/>
  <c r="C221" i="69"/>
  <c r="D221" i="69"/>
  <c r="E221" i="69"/>
  <c r="F221" i="69"/>
  <c r="G221" i="69"/>
  <c r="H221" i="69"/>
  <c r="I221" i="69"/>
  <c r="J221" i="69"/>
  <c r="B224" i="69" s="1"/>
  <c r="C227" i="69" s="1"/>
  <c r="K221" i="69"/>
  <c r="C224" i="69" s="1"/>
  <c r="D227" i="69" s="1"/>
  <c r="C233" i="69" s="1"/>
  <c r="L221" i="69"/>
  <c r="D224" i="69" s="1"/>
  <c r="E227" i="69" s="1"/>
  <c r="D233" i="69" s="1"/>
  <c r="M221" i="69"/>
  <c r="E224" i="69" s="1"/>
  <c r="F227" i="69" s="1"/>
  <c r="E233" i="69" s="1"/>
  <c r="N221" i="69"/>
  <c r="F224" i="69" s="1"/>
  <c r="G227" i="69" s="1"/>
  <c r="F233" i="69" s="1"/>
  <c r="O221" i="69"/>
  <c r="G224" i="69" s="1"/>
  <c r="H227" i="69" s="1"/>
  <c r="G233" i="69" s="1"/>
  <c r="P221" i="69"/>
  <c r="H224" i="69" s="1"/>
  <c r="I227" i="69" s="1"/>
  <c r="H233" i="69" s="1"/>
  <c r="Q221" i="69"/>
  <c r="I224" i="69" s="1"/>
  <c r="J227" i="69" s="1"/>
  <c r="I233" i="69" s="1"/>
  <c r="R221" i="69"/>
  <c r="J224" i="69" s="1"/>
  <c r="K227" i="69" s="1"/>
  <c r="J233" i="69" s="1"/>
  <c r="S221" i="69"/>
  <c r="K224" i="69" s="1"/>
  <c r="L227" i="69" s="1"/>
  <c r="K233" i="69" s="1"/>
  <c r="T221" i="69"/>
  <c r="L224" i="69" s="1"/>
  <c r="M227" i="69" s="1"/>
  <c r="L233" i="69" s="1"/>
  <c r="U221" i="69"/>
  <c r="M224" i="69" s="1"/>
  <c r="N227" i="69" s="1"/>
  <c r="M233" i="69" s="1"/>
  <c r="B221" i="69"/>
  <c r="AQ208" i="62"/>
  <c r="E296" i="62"/>
  <c r="F296" i="62"/>
  <c r="G296" i="62"/>
  <c r="H296" i="62"/>
  <c r="D296" i="62"/>
  <c r="D295" i="62"/>
  <c r="E295" i="62"/>
  <c r="F295" i="62"/>
  <c r="G295" i="62"/>
  <c r="H295" i="62"/>
  <c r="I295" i="62"/>
  <c r="AH99" i="19"/>
  <c r="Y69" i="64"/>
  <c r="BS24" i="63"/>
  <c r="BS23" i="63" s="1"/>
  <c r="BT24" i="63" s="1"/>
  <c r="BR10" i="63"/>
  <c r="AY35" i="63"/>
  <c r="AX35" i="63"/>
  <c r="BA32" i="63"/>
  <c r="BA33" i="63" s="1"/>
  <c r="BR14" i="63"/>
  <c r="BS14" i="63"/>
  <c r="E4" i="91"/>
  <c r="E5" i="91"/>
  <c r="E6" i="91"/>
  <c r="E7" i="91"/>
  <c r="E8" i="91"/>
  <c r="E9" i="91"/>
  <c r="E10" i="91"/>
  <c r="E11" i="91"/>
  <c r="E12" i="91"/>
  <c r="E13" i="91"/>
  <c r="E14" i="91"/>
  <c r="E15" i="91"/>
  <c r="E16" i="91"/>
  <c r="E17" i="91"/>
  <c r="E18" i="91"/>
  <c r="E19" i="91"/>
  <c r="E20" i="91"/>
  <c r="E21" i="91"/>
  <c r="E22" i="91"/>
  <c r="E23" i="91"/>
  <c r="E24" i="91"/>
  <c r="E25" i="91"/>
  <c r="E26" i="91"/>
  <c r="E27" i="91"/>
  <c r="E28" i="91"/>
  <c r="E29" i="91"/>
  <c r="E30" i="91"/>
  <c r="E31" i="91"/>
  <c r="E32" i="91"/>
  <c r="E33" i="91"/>
  <c r="E34" i="91"/>
  <c r="E35" i="91"/>
  <c r="E36" i="91"/>
  <c r="E37" i="91"/>
  <c r="E38" i="91"/>
  <c r="E39" i="91"/>
  <c r="E40" i="91"/>
  <c r="E41" i="91"/>
  <c r="E42" i="91"/>
  <c r="E43" i="91"/>
  <c r="E44" i="91"/>
  <c r="E45" i="91"/>
  <c r="E46" i="91"/>
  <c r="E47" i="91"/>
  <c r="E48" i="91"/>
  <c r="E49" i="91"/>
  <c r="E50" i="91"/>
  <c r="E51" i="91"/>
  <c r="E52" i="91"/>
  <c r="E53" i="91"/>
  <c r="E54" i="91"/>
  <c r="E55" i="91"/>
  <c r="E56" i="91"/>
  <c r="E57" i="91"/>
  <c r="E58" i="91"/>
  <c r="E59" i="91"/>
  <c r="E60" i="91"/>
  <c r="E61" i="91"/>
  <c r="E62" i="91"/>
  <c r="E63" i="91"/>
  <c r="E64" i="91"/>
  <c r="E65" i="91"/>
  <c r="E66" i="91"/>
  <c r="E67" i="91"/>
  <c r="E68" i="91"/>
  <c r="E69" i="91"/>
  <c r="E70" i="91"/>
  <c r="E71" i="91"/>
  <c r="E72" i="91"/>
  <c r="E73" i="91"/>
  <c r="E74" i="91"/>
  <c r="E75" i="91"/>
  <c r="E76" i="91"/>
  <c r="E77" i="91"/>
  <c r="E78" i="91"/>
  <c r="E79" i="91"/>
  <c r="E80" i="91"/>
  <c r="E81" i="91"/>
  <c r="E82" i="91"/>
  <c r="E83" i="91"/>
  <c r="E84" i="91"/>
  <c r="E85" i="91"/>
  <c r="E86" i="91"/>
  <c r="E87" i="91"/>
  <c r="E88" i="91"/>
  <c r="E89" i="91"/>
  <c r="E90" i="91"/>
  <c r="E91" i="91"/>
  <c r="E92" i="91"/>
  <c r="E93" i="91"/>
  <c r="E94" i="91"/>
  <c r="E95" i="91"/>
  <c r="E96" i="91"/>
  <c r="E97" i="91"/>
  <c r="E98" i="91"/>
  <c r="E99" i="91"/>
  <c r="E100" i="91"/>
  <c r="E101" i="91"/>
  <c r="E102" i="91"/>
  <c r="E103" i="91"/>
  <c r="E104" i="91"/>
  <c r="E105" i="91"/>
  <c r="E106" i="91"/>
  <c r="E107" i="91"/>
  <c r="E108" i="91"/>
  <c r="E109" i="91"/>
  <c r="E110" i="91"/>
  <c r="E111" i="91"/>
  <c r="E112" i="91"/>
  <c r="E113" i="91"/>
  <c r="E114" i="91"/>
  <c r="E115" i="91"/>
  <c r="E116" i="91"/>
  <c r="E117" i="91"/>
  <c r="E118" i="91"/>
  <c r="E119" i="91"/>
  <c r="E120" i="91"/>
  <c r="E121" i="91"/>
  <c r="E122" i="91"/>
  <c r="E123" i="91"/>
  <c r="E124" i="91"/>
  <c r="E125" i="91"/>
  <c r="E126" i="91"/>
  <c r="E127" i="91"/>
  <c r="E128" i="91"/>
  <c r="E129" i="91"/>
  <c r="E130" i="91"/>
  <c r="E131" i="91"/>
  <c r="E132" i="91"/>
  <c r="E133" i="91"/>
  <c r="E134" i="91"/>
  <c r="E135" i="91"/>
  <c r="E136" i="91"/>
  <c r="E137" i="91"/>
  <c r="E138" i="91"/>
  <c r="E139" i="91"/>
  <c r="E140" i="91"/>
  <c r="E141" i="91"/>
  <c r="E142" i="91"/>
  <c r="E143" i="91"/>
  <c r="E144" i="91"/>
  <c r="E145" i="91"/>
  <c r="E146" i="91"/>
  <c r="E147" i="91"/>
  <c r="E148" i="91"/>
  <c r="E149" i="91"/>
  <c r="E150" i="91"/>
  <c r="E151" i="91"/>
  <c r="E152" i="91"/>
  <c r="E153" i="91"/>
  <c r="E154" i="91"/>
  <c r="E155" i="91"/>
  <c r="E156" i="91"/>
  <c r="E157" i="91"/>
  <c r="E158" i="91"/>
  <c r="E159" i="91"/>
  <c r="E160" i="91"/>
  <c r="E161" i="91"/>
  <c r="E162" i="91"/>
  <c r="E163" i="91"/>
  <c r="E164" i="91"/>
  <c r="E165" i="91"/>
  <c r="E166" i="91"/>
  <c r="E167" i="91"/>
  <c r="E168" i="91"/>
  <c r="E169" i="91"/>
  <c r="E170" i="91"/>
  <c r="E171" i="91"/>
  <c r="E172" i="91"/>
  <c r="E173" i="91"/>
  <c r="E174" i="91"/>
  <c r="E175" i="91"/>
  <c r="E176" i="91"/>
  <c r="E177" i="91"/>
  <c r="E178" i="91"/>
  <c r="E179" i="91"/>
  <c r="E180" i="91"/>
  <c r="E181" i="91"/>
  <c r="E182" i="91"/>
  <c r="E183" i="91"/>
  <c r="E184" i="91"/>
  <c r="E185" i="91"/>
  <c r="E186" i="91"/>
  <c r="E187" i="91"/>
  <c r="E188" i="91"/>
  <c r="E189" i="91"/>
  <c r="E190" i="91"/>
  <c r="E191" i="91"/>
  <c r="E192" i="91"/>
  <c r="E193" i="91"/>
  <c r="E194" i="91"/>
  <c r="E195" i="91"/>
  <c r="E196" i="91"/>
  <c r="E197" i="91"/>
  <c r="E198" i="91"/>
  <c r="E199" i="91"/>
  <c r="E200" i="91"/>
  <c r="E201" i="91"/>
  <c r="E202" i="91"/>
  <c r="E203" i="91"/>
  <c r="E204" i="91"/>
  <c r="E205" i="91"/>
  <c r="E206" i="91"/>
  <c r="E207" i="91"/>
  <c r="E208" i="91"/>
  <c r="E209" i="91"/>
  <c r="E210" i="91"/>
  <c r="E211" i="91"/>
  <c r="E212" i="91"/>
  <c r="E213" i="91"/>
  <c r="E214" i="91"/>
  <c r="E215" i="91"/>
  <c r="E216" i="91"/>
  <c r="E217" i="91"/>
  <c r="E218" i="91"/>
  <c r="E219" i="91"/>
  <c r="E220" i="91"/>
  <c r="E221" i="91"/>
  <c r="E222" i="91"/>
  <c r="E223" i="91"/>
  <c r="E224" i="91"/>
  <c r="E225" i="91"/>
  <c r="E226" i="91"/>
  <c r="E227" i="91"/>
  <c r="E228" i="91"/>
  <c r="E229" i="91"/>
  <c r="E230" i="91"/>
  <c r="E231" i="91"/>
  <c r="E232" i="91"/>
  <c r="E233" i="91"/>
  <c r="E234" i="91"/>
  <c r="E235" i="91"/>
  <c r="E236" i="91"/>
  <c r="E237" i="91"/>
  <c r="E238" i="91"/>
  <c r="E239" i="91"/>
  <c r="E240" i="91"/>
  <c r="E241" i="91"/>
  <c r="E242" i="91"/>
  <c r="E243" i="91"/>
  <c r="E244" i="91"/>
  <c r="E245" i="91"/>
  <c r="E246" i="91"/>
  <c r="E247" i="91"/>
  <c r="E248" i="91"/>
  <c r="E249" i="91"/>
  <c r="E250" i="91"/>
  <c r="E251" i="91"/>
  <c r="E252" i="91"/>
  <c r="E253" i="91"/>
  <c r="E254" i="91"/>
  <c r="E255" i="91"/>
  <c r="E256" i="91"/>
  <c r="E257" i="91"/>
  <c r="E258" i="91"/>
  <c r="E259" i="91"/>
  <c r="E260" i="91"/>
  <c r="E261" i="91"/>
  <c r="E262" i="91"/>
  <c r="E263" i="91"/>
  <c r="E264" i="91"/>
  <c r="E265" i="91"/>
  <c r="E266" i="91"/>
  <c r="E267" i="91"/>
  <c r="E268" i="91"/>
  <c r="E269" i="91"/>
  <c r="E270" i="91"/>
  <c r="E271" i="91"/>
  <c r="E272" i="91"/>
  <c r="E273" i="91"/>
  <c r="E274" i="91"/>
  <c r="E275" i="91"/>
  <c r="E276" i="91"/>
  <c r="E277" i="91"/>
  <c r="E278" i="91"/>
  <c r="E279" i="91"/>
  <c r="E280" i="91"/>
  <c r="E281" i="91"/>
  <c r="E282" i="91"/>
  <c r="E283" i="91"/>
  <c r="E284" i="91"/>
  <c r="E285" i="91"/>
  <c r="E286" i="91"/>
  <c r="E287" i="91"/>
  <c r="E288" i="91"/>
  <c r="E289" i="91"/>
  <c r="E290" i="91"/>
  <c r="E291" i="91"/>
  <c r="E292" i="91"/>
  <c r="E293" i="91"/>
  <c r="E294" i="91"/>
  <c r="E295" i="91"/>
  <c r="E296" i="91"/>
  <c r="E297" i="91"/>
  <c r="E298" i="91"/>
  <c r="E299" i="91"/>
  <c r="E300" i="91"/>
  <c r="E301" i="91"/>
  <c r="E302" i="91"/>
  <c r="E303" i="91"/>
  <c r="E304" i="91"/>
  <c r="E305" i="91"/>
  <c r="E306" i="91"/>
  <c r="E307" i="91"/>
  <c r="E308" i="91"/>
  <c r="E309" i="91"/>
  <c r="E310" i="91"/>
  <c r="E311" i="91"/>
  <c r="E312" i="91"/>
  <c r="E313" i="91"/>
  <c r="E314" i="91"/>
  <c r="E315" i="91"/>
  <c r="E316" i="91"/>
  <c r="E317" i="91"/>
  <c r="E318" i="91"/>
  <c r="E319" i="91"/>
  <c r="E320" i="91"/>
  <c r="E321" i="91"/>
  <c r="E322" i="91"/>
  <c r="E323" i="91"/>
  <c r="E324" i="91"/>
  <c r="E325" i="91"/>
  <c r="E326" i="91"/>
  <c r="E327" i="91"/>
  <c r="E328" i="91"/>
  <c r="E329" i="91"/>
  <c r="E330" i="91"/>
  <c r="E331" i="91"/>
  <c r="E332" i="91"/>
  <c r="E333" i="91"/>
  <c r="E334" i="91"/>
  <c r="E335" i="91"/>
  <c r="E336" i="91"/>
  <c r="E337" i="91"/>
  <c r="E338" i="91"/>
  <c r="E339" i="91"/>
  <c r="E340" i="91"/>
  <c r="E341" i="91"/>
  <c r="E342" i="91"/>
  <c r="E343" i="91"/>
  <c r="E344" i="91"/>
  <c r="E345" i="91"/>
  <c r="E346" i="91"/>
  <c r="E347" i="91"/>
  <c r="E348" i="91"/>
  <c r="E349" i="91"/>
  <c r="E350" i="91"/>
  <c r="E351" i="91"/>
  <c r="E352" i="91"/>
  <c r="E353" i="91"/>
  <c r="E354" i="91"/>
  <c r="E355" i="91"/>
  <c r="E356" i="91"/>
  <c r="E357" i="91"/>
  <c r="E358" i="91"/>
  <c r="E359" i="91"/>
  <c r="E360" i="91"/>
  <c r="E361" i="91"/>
  <c r="E362" i="91"/>
  <c r="E363" i="91"/>
  <c r="E364" i="91"/>
  <c r="E365" i="91"/>
  <c r="E366" i="91"/>
  <c r="E367" i="91"/>
  <c r="E368" i="91"/>
  <c r="E369" i="91"/>
  <c r="E370" i="91"/>
  <c r="E371" i="91"/>
  <c r="E372" i="91"/>
  <c r="E373" i="91"/>
  <c r="E374" i="91"/>
  <c r="E375" i="91"/>
  <c r="E376" i="91"/>
  <c r="E377" i="91"/>
  <c r="E378" i="91"/>
  <c r="E379" i="91"/>
  <c r="E380" i="91"/>
  <c r="E381" i="91"/>
  <c r="E382" i="91"/>
  <c r="E383" i="91"/>
  <c r="E384" i="91"/>
  <c r="E385" i="91"/>
  <c r="E386" i="91"/>
  <c r="E387" i="91"/>
  <c r="E388" i="91"/>
  <c r="E389" i="91"/>
  <c r="E390" i="91"/>
  <c r="E391" i="91"/>
  <c r="E392" i="91"/>
  <c r="E393" i="91"/>
  <c r="E394" i="91"/>
  <c r="E395" i="91"/>
  <c r="E396" i="91"/>
  <c r="E397" i="91"/>
  <c r="E398" i="91"/>
  <c r="E399" i="91"/>
  <c r="E400" i="91"/>
  <c r="E401" i="91"/>
  <c r="E402" i="91"/>
  <c r="E403" i="91"/>
  <c r="E404" i="91"/>
  <c r="E405" i="91"/>
  <c r="E406" i="91"/>
  <c r="E407" i="91"/>
  <c r="E408" i="91"/>
  <c r="E409" i="91"/>
  <c r="E410" i="91"/>
  <c r="E411" i="91"/>
  <c r="E412" i="91"/>
  <c r="E413" i="91"/>
  <c r="E414" i="91"/>
  <c r="E415" i="91"/>
  <c r="E416" i="91"/>
  <c r="E417" i="91"/>
  <c r="E418" i="91"/>
  <c r="E419" i="91"/>
  <c r="E420" i="91"/>
  <c r="E421" i="91"/>
  <c r="E422" i="91"/>
  <c r="E423" i="91"/>
  <c r="E424" i="91"/>
  <c r="E425" i="91"/>
  <c r="E426" i="91"/>
  <c r="E427" i="91"/>
  <c r="E428" i="91"/>
  <c r="E429" i="91"/>
  <c r="E430" i="91"/>
  <c r="E431" i="91"/>
  <c r="E432" i="91"/>
  <c r="E433" i="91"/>
  <c r="E434" i="91"/>
  <c r="E435" i="91"/>
  <c r="E436" i="91"/>
  <c r="E437" i="91"/>
  <c r="E438" i="91"/>
  <c r="E439" i="91"/>
  <c r="E440" i="91"/>
  <c r="E441" i="91"/>
  <c r="E442" i="91"/>
  <c r="E443" i="91"/>
  <c r="E444" i="91"/>
  <c r="E445" i="91"/>
  <c r="E446" i="91"/>
  <c r="E447" i="91"/>
  <c r="E448" i="91"/>
  <c r="E449" i="91"/>
  <c r="E450" i="91"/>
  <c r="E451" i="91"/>
  <c r="E452" i="91"/>
  <c r="E453" i="91"/>
  <c r="E454" i="91"/>
  <c r="E455" i="91"/>
  <c r="E456" i="91"/>
  <c r="E457" i="91"/>
  <c r="E458" i="91"/>
  <c r="E459" i="91"/>
  <c r="E460" i="91"/>
  <c r="E461" i="91"/>
  <c r="E462" i="91"/>
  <c r="E463" i="91"/>
  <c r="E464" i="91"/>
  <c r="E465" i="91"/>
  <c r="E466" i="91"/>
  <c r="E467" i="91"/>
  <c r="E468" i="91"/>
  <c r="E469" i="91"/>
  <c r="E470" i="91"/>
  <c r="E471" i="91"/>
  <c r="E472" i="91"/>
  <c r="E473" i="91"/>
  <c r="E474" i="91"/>
  <c r="E475" i="91"/>
  <c r="E476" i="91"/>
  <c r="E477" i="91"/>
  <c r="E478" i="91"/>
  <c r="E479" i="91"/>
  <c r="E480" i="91"/>
  <c r="E481" i="91"/>
  <c r="E482" i="91"/>
  <c r="E483" i="91"/>
  <c r="E484" i="91"/>
  <c r="E485" i="91"/>
  <c r="E486" i="91"/>
  <c r="E487" i="91"/>
  <c r="E488" i="91"/>
  <c r="E489" i="91"/>
  <c r="E490" i="91"/>
  <c r="E491" i="91"/>
  <c r="E492" i="91"/>
  <c r="E493" i="91"/>
  <c r="E494" i="91"/>
  <c r="E495" i="91"/>
  <c r="E496" i="91"/>
  <c r="E497" i="91"/>
  <c r="E498" i="91"/>
  <c r="E499" i="91"/>
  <c r="E500" i="91"/>
  <c r="E501" i="91"/>
  <c r="E502" i="91"/>
  <c r="E503" i="91"/>
  <c r="E504" i="91"/>
  <c r="E505" i="91"/>
  <c r="E506" i="91"/>
  <c r="E507" i="91"/>
  <c r="E508" i="91"/>
  <c r="E509" i="91"/>
  <c r="E510" i="91"/>
  <c r="E511" i="91"/>
  <c r="E512" i="91"/>
  <c r="E513" i="91"/>
  <c r="E514" i="91"/>
  <c r="E515" i="91"/>
  <c r="E516" i="91"/>
  <c r="E517" i="91"/>
  <c r="E518" i="91"/>
  <c r="E519" i="91"/>
  <c r="E520" i="91"/>
  <c r="E521" i="91"/>
  <c r="E522" i="91"/>
  <c r="E523" i="91"/>
  <c r="E524" i="91"/>
  <c r="E525" i="91"/>
  <c r="E526" i="91"/>
  <c r="E527" i="91"/>
  <c r="E528" i="91"/>
  <c r="E529" i="91"/>
  <c r="E530" i="91"/>
  <c r="E531" i="91"/>
  <c r="E532" i="91"/>
  <c r="E533" i="91"/>
  <c r="E534" i="91"/>
  <c r="E535" i="91"/>
  <c r="E536" i="91"/>
  <c r="E537" i="91"/>
  <c r="E538" i="91"/>
  <c r="E539" i="91"/>
  <c r="E540" i="91"/>
  <c r="E541" i="91"/>
  <c r="E542" i="91"/>
  <c r="E543" i="91"/>
  <c r="E544" i="91"/>
  <c r="E545" i="91"/>
  <c r="E546" i="91"/>
  <c r="E547" i="91"/>
  <c r="E548" i="91"/>
  <c r="E549" i="91"/>
  <c r="E550" i="91"/>
  <c r="E551" i="91"/>
  <c r="E552" i="91"/>
  <c r="E553" i="91"/>
  <c r="E554" i="91"/>
  <c r="E555" i="91"/>
  <c r="E556" i="91"/>
  <c r="E557" i="91"/>
  <c r="E558" i="91"/>
  <c r="E559" i="91"/>
  <c r="E560" i="91"/>
  <c r="E561" i="91"/>
  <c r="E562" i="91"/>
  <c r="E563" i="91"/>
  <c r="E564" i="91"/>
  <c r="E565" i="91"/>
  <c r="E566" i="91"/>
  <c r="E567" i="91"/>
  <c r="E568" i="91"/>
  <c r="E569" i="91"/>
  <c r="E570" i="91"/>
  <c r="E571" i="91"/>
  <c r="E572" i="91"/>
  <c r="E573" i="91"/>
  <c r="E574" i="91"/>
  <c r="E575" i="91"/>
  <c r="E576" i="91"/>
  <c r="E577" i="91"/>
  <c r="E578" i="91"/>
  <c r="E579" i="91"/>
  <c r="E580" i="91"/>
  <c r="E581" i="91"/>
  <c r="E582" i="91"/>
  <c r="E583" i="91"/>
  <c r="E584" i="91"/>
  <c r="E585" i="91"/>
  <c r="E586" i="91"/>
  <c r="E587" i="91"/>
  <c r="E588" i="91"/>
  <c r="E589" i="91"/>
  <c r="E590" i="91"/>
  <c r="E591" i="91"/>
  <c r="E592" i="91"/>
  <c r="E593" i="91"/>
  <c r="E594" i="91"/>
  <c r="E595" i="91"/>
  <c r="E596" i="91"/>
  <c r="E597" i="91"/>
  <c r="E598" i="91"/>
  <c r="E599" i="91"/>
  <c r="E600" i="91"/>
  <c r="E601" i="91"/>
  <c r="E602" i="91"/>
  <c r="E603" i="91"/>
  <c r="E604" i="91"/>
  <c r="E605" i="91"/>
  <c r="E606" i="91"/>
  <c r="E607" i="91"/>
  <c r="E608" i="91"/>
  <c r="E609" i="91"/>
  <c r="E610" i="91"/>
  <c r="E611" i="91"/>
  <c r="E612" i="91"/>
  <c r="E613" i="91"/>
  <c r="E614" i="91"/>
  <c r="E615" i="91"/>
  <c r="E616" i="91"/>
  <c r="E617" i="91"/>
  <c r="E618" i="91"/>
  <c r="E619" i="91"/>
  <c r="E620" i="91"/>
  <c r="E621" i="91"/>
  <c r="E622" i="91"/>
  <c r="E623" i="91"/>
  <c r="E624" i="91"/>
  <c r="E625" i="91"/>
  <c r="E626" i="91"/>
  <c r="E627" i="91"/>
  <c r="E628" i="91"/>
  <c r="E629" i="91"/>
  <c r="E630" i="91"/>
  <c r="E631" i="91"/>
  <c r="E632" i="91"/>
  <c r="E633" i="91"/>
  <c r="E634" i="91"/>
  <c r="E635" i="91"/>
  <c r="E636" i="91"/>
  <c r="E637" i="91"/>
  <c r="E638" i="91"/>
  <c r="E639" i="91"/>
  <c r="E640" i="91"/>
  <c r="E641" i="91"/>
  <c r="E642" i="91"/>
  <c r="E643" i="91"/>
  <c r="E644" i="91"/>
  <c r="E645" i="91"/>
  <c r="E646" i="91"/>
  <c r="E647" i="91"/>
  <c r="E648" i="91"/>
  <c r="E649" i="91"/>
  <c r="E650" i="91"/>
  <c r="E651" i="91"/>
  <c r="E652" i="91"/>
  <c r="E653" i="91"/>
  <c r="E654" i="91"/>
  <c r="E655" i="91"/>
  <c r="E656" i="91"/>
  <c r="E657" i="91"/>
  <c r="E658" i="91"/>
  <c r="E659" i="91"/>
  <c r="E660" i="91"/>
  <c r="E661" i="91"/>
  <c r="E662" i="91"/>
  <c r="E663" i="91"/>
  <c r="E664" i="91"/>
  <c r="E665" i="91"/>
  <c r="E666" i="91"/>
  <c r="E667" i="91"/>
  <c r="E668" i="91"/>
  <c r="E669" i="91"/>
  <c r="E670" i="91"/>
  <c r="E671" i="91"/>
  <c r="E672" i="91"/>
  <c r="E673" i="91"/>
  <c r="E674" i="91"/>
  <c r="E675" i="91"/>
  <c r="E676" i="91"/>
  <c r="E677" i="91"/>
  <c r="E678" i="91"/>
  <c r="E679" i="91"/>
  <c r="E680" i="91"/>
  <c r="E681" i="91"/>
  <c r="E682" i="91"/>
  <c r="E683" i="91"/>
  <c r="E684" i="91"/>
  <c r="E685" i="91"/>
  <c r="E686" i="91"/>
  <c r="E687" i="91"/>
  <c r="E688" i="91"/>
  <c r="E689" i="91"/>
  <c r="E690" i="91"/>
  <c r="E691" i="91"/>
  <c r="E692" i="91"/>
  <c r="E693" i="91"/>
  <c r="E694" i="91"/>
  <c r="E695" i="91"/>
  <c r="E696" i="91"/>
  <c r="E697" i="91"/>
  <c r="E698" i="91"/>
  <c r="E699" i="91"/>
  <c r="E700" i="91"/>
  <c r="E701" i="91"/>
  <c r="E702" i="91"/>
  <c r="E703" i="91"/>
  <c r="E704" i="91"/>
  <c r="E705" i="91"/>
  <c r="E706" i="91"/>
  <c r="E707" i="91"/>
  <c r="E708" i="91"/>
  <c r="E709" i="91"/>
  <c r="E710" i="91"/>
  <c r="E711" i="91"/>
  <c r="E712" i="91"/>
  <c r="E713" i="91"/>
  <c r="E714" i="91"/>
  <c r="E715" i="91"/>
  <c r="E716" i="91"/>
  <c r="E717" i="91"/>
  <c r="E718" i="91"/>
  <c r="E719" i="91"/>
  <c r="E720" i="91"/>
  <c r="E721" i="91"/>
  <c r="E722" i="91"/>
  <c r="E723" i="91"/>
  <c r="E724" i="91"/>
  <c r="E725" i="91"/>
  <c r="E726" i="91"/>
  <c r="E727" i="91"/>
  <c r="E728" i="91"/>
  <c r="E729" i="91"/>
  <c r="E730" i="91"/>
  <c r="E731" i="91"/>
  <c r="E732" i="91"/>
  <c r="E733" i="91"/>
  <c r="E734" i="91"/>
  <c r="E735" i="91"/>
  <c r="E736" i="91"/>
  <c r="E737" i="91"/>
  <c r="E738" i="91"/>
  <c r="E739" i="91"/>
  <c r="E740" i="91"/>
  <c r="E741" i="91"/>
  <c r="E742" i="91"/>
  <c r="E743" i="91"/>
  <c r="E744" i="91"/>
  <c r="E745" i="91"/>
  <c r="E746" i="91"/>
  <c r="E747" i="91"/>
  <c r="E748" i="91"/>
  <c r="E749" i="91"/>
  <c r="E750" i="91"/>
  <c r="E751" i="91"/>
  <c r="E752" i="91"/>
  <c r="E753" i="91"/>
  <c r="E754" i="91"/>
  <c r="E755" i="91"/>
  <c r="E756" i="91"/>
  <c r="E757" i="91"/>
  <c r="E758" i="91"/>
  <c r="E759" i="91"/>
  <c r="E760" i="91"/>
  <c r="E761" i="91"/>
  <c r="E762" i="91"/>
  <c r="E763" i="91"/>
  <c r="E764" i="91"/>
  <c r="E765" i="91"/>
  <c r="E766" i="91"/>
  <c r="E767" i="91"/>
  <c r="E768" i="91"/>
  <c r="E769" i="91"/>
  <c r="E770" i="91"/>
  <c r="E771" i="91"/>
  <c r="E772" i="91"/>
  <c r="E773" i="91"/>
  <c r="E774" i="91"/>
  <c r="E775" i="91"/>
  <c r="E776" i="91"/>
  <c r="E777" i="91"/>
  <c r="E778" i="91"/>
  <c r="E779" i="91"/>
  <c r="E780" i="91"/>
  <c r="E781" i="91"/>
  <c r="E782" i="91"/>
  <c r="E783" i="91"/>
  <c r="E784" i="91"/>
  <c r="E785" i="91"/>
  <c r="E786" i="91"/>
  <c r="E787" i="91"/>
  <c r="E788" i="91"/>
  <c r="E789" i="91"/>
  <c r="E790" i="91"/>
  <c r="E791" i="91"/>
  <c r="E792" i="91"/>
  <c r="E793" i="91"/>
  <c r="E794" i="91"/>
  <c r="E795" i="91"/>
  <c r="E796" i="91"/>
  <c r="E797" i="91"/>
  <c r="E798" i="91"/>
  <c r="E799" i="91"/>
  <c r="E800" i="91"/>
  <c r="E801" i="91"/>
  <c r="E802" i="91"/>
  <c r="E803" i="91"/>
  <c r="E804" i="91"/>
  <c r="E805" i="91"/>
  <c r="E806" i="91"/>
  <c r="E807" i="91"/>
  <c r="E808" i="91"/>
  <c r="E809" i="91"/>
  <c r="E810" i="91"/>
  <c r="E811" i="91"/>
  <c r="E812" i="91"/>
  <c r="E813" i="91"/>
  <c r="E814" i="91"/>
  <c r="E815" i="91"/>
  <c r="E816" i="91"/>
  <c r="E817" i="91"/>
  <c r="E818" i="91"/>
  <c r="E819" i="91"/>
  <c r="E820" i="91"/>
  <c r="E821" i="91"/>
  <c r="E822" i="91"/>
  <c r="E823" i="91"/>
  <c r="E824" i="91"/>
  <c r="E825" i="91"/>
  <c r="E826" i="91"/>
  <c r="E827" i="91"/>
  <c r="E828" i="91"/>
  <c r="E829" i="91"/>
  <c r="E830" i="91"/>
  <c r="E831" i="91"/>
  <c r="E832" i="91"/>
  <c r="E833" i="91"/>
  <c r="E834" i="91"/>
  <c r="E835" i="91"/>
  <c r="E836" i="91"/>
  <c r="E837" i="91"/>
  <c r="E838" i="91"/>
  <c r="E839" i="91"/>
  <c r="E840" i="91"/>
  <c r="E841" i="91"/>
  <c r="E842" i="91"/>
  <c r="E843" i="91"/>
  <c r="E844" i="91"/>
  <c r="E845" i="91"/>
  <c r="E846" i="91"/>
  <c r="E847" i="91"/>
  <c r="E848" i="91"/>
  <c r="E849" i="91"/>
  <c r="E850" i="91"/>
  <c r="E851" i="91"/>
  <c r="E852" i="91"/>
  <c r="E853" i="91"/>
  <c r="E854" i="91"/>
  <c r="E855" i="91"/>
  <c r="E856" i="91"/>
  <c r="E857" i="91"/>
  <c r="E858" i="91"/>
  <c r="E859" i="91"/>
  <c r="E860" i="91"/>
  <c r="E861" i="91"/>
  <c r="E862" i="91"/>
  <c r="E863" i="91"/>
  <c r="E864" i="91"/>
  <c r="E865" i="91"/>
  <c r="E866" i="91"/>
  <c r="E867" i="91"/>
  <c r="E868" i="91"/>
  <c r="E869" i="91"/>
  <c r="E870" i="91"/>
  <c r="E871" i="91"/>
  <c r="E872" i="91"/>
  <c r="E873" i="91"/>
  <c r="E874" i="91"/>
  <c r="E875" i="91"/>
  <c r="E876" i="91"/>
  <c r="E877" i="91"/>
  <c r="E878" i="91"/>
  <c r="E879" i="91"/>
  <c r="E880" i="91"/>
  <c r="E881" i="91"/>
  <c r="E882" i="91"/>
  <c r="E883" i="91"/>
  <c r="E884" i="91"/>
  <c r="E885" i="91"/>
  <c r="E886" i="91"/>
  <c r="E887" i="91"/>
  <c r="E888" i="91"/>
  <c r="E889" i="91"/>
  <c r="E890" i="91"/>
  <c r="E891" i="91"/>
  <c r="E892" i="91"/>
  <c r="E893" i="91"/>
  <c r="E894" i="91"/>
  <c r="E895" i="91"/>
  <c r="E896" i="91"/>
  <c r="E897" i="91"/>
  <c r="E898" i="91"/>
  <c r="E899" i="91"/>
  <c r="E900" i="91"/>
  <c r="E901" i="91"/>
  <c r="E902" i="91"/>
  <c r="E903" i="91"/>
  <c r="E904" i="91"/>
  <c r="E905" i="91"/>
  <c r="E906" i="91"/>
  <c r="E907" i="91"/>
  <c r="E908" i="91"/>
  <c r="E909" i="91"/>
  <c r="E910" i="91"/>
  <c r="E911" i="91"/>
  <c r="E912" i="91"/>
  <c r="E913" i="91"/>
  <c r="E914" i="91"/>
  <c r="E915" i="91"/>
  <c r="E916" i="91"/>
  <c r="E917" i="91"/>
  <c r="E918" i="91"/>
  <c r="E919" i="91"/>
  <c r="E920" i="91"/>
  <c r="E921" i="91"/>
  <c r="E922" i="91"/>
  <c r="E923" i="91"/>
  <c r="E924" i="91"/>
  <c r="E925" i="91"/>
  <c r="E926" i="91"/>
  <c r="E927" i="91"/>
  <c r="E928" i="91"/>
  <c r="E929" i="91"/>
  <c r="E930" i="91"/>
  <c r="E931" i="91"/>
  <c r="E932" i="91"/>
  <c r="E933" i="91"/>
  <c r="E934" i="91"/>
  <c r="E935" i="91"/>
  <c r="E936" i="91"/>
  <c r="E937" i="91"/>
  <c r="E938" i="91"/>
  <c r="E939" i="91"/>
  <c r="E940" i="91"/>
  <c r="E941" i="91"/>
  <c r="E942" i="91"/>
  <c r="E943" i="91"/>
  <c r="E944" i="91"/>
  <c r="E945" i="91"/>
  <c r="E946" i="91"/>
  <c r="E947" i="91"/>
  <c r="E948" i="91"/>
  <c r="E949" i="91"/>
  <c r="E950" i="91"/>
  <c r="E951" i="91"/>
  <c r="E952" i="91"/>
  <c r="E953" i="91"/>
  <c r="E954" i="91"/>
  <c r="E955" i="91"/>
  <c r="E956" i="91"/>
  <c r="E957" i="91"/>
  <c r="E958" i="91"/>
  <c r="E959" i="91"/>
  <c r="E960" i="91"/>
  <c r="E961" i="91"/>
  <c r="E962" i="91"/>
  <c r="E963" i="91"/>
  <c r="E964" i="91"/>
  <c r="E965" i="91"/>
  <c r="E966" i="91"/>
  <c r="E967" i="91"/>
  <c r="E968" i="91"/>
  <c r="E969" i="91"/>
  <c r="E970" i="91"/>
  <c r="E971" i="91"/>
  <c r="E972" i="91"/>
  <c r="E973" i="91"/>
  <c r="E974" i="91"/>
  <c r="E975" i="91"/>
  <c r="E976" i="91"/>
  <c r="E977" i="91"/>
  <c r="E978" i="91"/>
  <c r="E979" i="91"/>
  <c r="E980" i="91"/>
  <c r="E981" i="91"/>
  <c r="E982" i="91"/>
  <c r="E983" i="91"/>
  <c r="E984" i="91"/>
  <c r="E985" i="91"/>
  <c r="E986" i="91"/>
  <c r="E987" i="91"/>
  <c r="E988" i="91"/>
  <c r="E989" i="91"/>
  <c r="E990" i="91"/>
  <c r="E991" i="91"/>
  <c r="E992" i="91"/>
  <c r="E993" i="91"/>
  <c r="E994" i="91"/>
  <c r="E995" i="91"/>
  <c r="E996" i="91"/>
  <c r="E997" i="91"/>
  <c r="E998" i="91"/>
  <c r="E999" i="91"/>
  <c r="E1000" i="91"/>
  <c r="E1001" i="91"/>
  <c r="E1002" i="91"/>
  <c r="E1003" i="91"/>
  <c r="E1004" i="91"/>
  <c r="E1005" i="91"/>
  <c r="E1006" i="91"/>
  <c r="E1007" i="91"/>
  <c r="E1008" i="91"/>
  <c r="E1009" i="91"/>
  <c r="E1010" i="91"/>
  <c r="E1011" i="91"/>
  <c r="E1012" i="91"/>
  <c r="E1013" i="91"/>
  <c r="E1014" i="91"/>
  <c r="E1015" i="91"/>
  <c r="E1016" i="91"/>
  <c r="E1017" i="91"/>
  <c r="E1018" i="91"/>
  <c r="E1019" i="91"/>
  <c r="E1020" i="91"/>
  <c r="E1021" i="91"/>
  <c r="E1022" i="91"/>
  <c r="E1023" i="91"/>
  <c r="E1024" i="91"/>
  <c r="E1025" i="91"/>
  <c r="E1026" i="91"/>
  <c r="E1027" i="91"/>
  <c r="E1028" i="91"/>
  <c r="E1029" i="91"/>
  <c r="E1030" i="91"/>
  <c r="E1031" i="91"/>
  <c r="E1032" i="91"/>
  <c r="E1033" i="91"/>
  <c r="E1034" i="91"/>
  <c r="E1035" i="91"/>
  <c r="E1036" i="91"/>
  <c r="E1037" i="91"/>
  <c r="E1038" i="91"/>
  <c r="E1039" i="91"/>
  <c r="E1040" i="91"/>
  <c r="E1041" i="91"/>
  <c r="E1042" i="91"/>
  <c r="E1043" i="91"/>
  <c r="E1044" i="91"/>
  <c r="E1045" i="91"/>
  <c r="E1046" i="91"/>
  <c r="E1047" i="91"/>
  <c r="E1048" i="91"/>
  <c r="E1049" i="91"/>
  <c r="E1050" i="91"/>
  <c r="E1051" i="91"/>
  <c r="E1052" i="91"/>
  <c r="E1053" i="91"/>
  <c r="E1054" i="91"/>
  <c r="E1055" i="91"/>
  <c r="E1056" i="91"/>
  <c r="E1057" i="91"/>
  <c r="E1058" i="91"/>
  <c r="E1059" i="91"/>
  <c r="E1060" i="91"/>
  <c r="E1061" i="91"/>
  <c r="E1062" i="91"/>
  <c r="E1063" i="91"/>
  <c r="E1064" i="91"/>
  <c r="E1065" i="91"/>
  <c r="E1066" i="91"/>
  <c r="E1067" i="91"/>
  <c r="E1068" i="91"/>
  <c r="E1069" i="91"/>
  <c r="E1070" i="91"/>
  <c r="E1071" i="91"/>
  <c r="E1072" i="91"/>
  <c r="E1073" i="91"/>
  <c r="E1074" i="91"/>
  <c r="E1075" i="91"/>
  <c r="E1076" i="91"/>
  <c r="E1077" i="91"/>
  <c r="E1078" i="91"/>
  <c r="E1079" i="91"/>
  <c r="E1080" i="91"/>
  <c r="E1081" i="91"/>
  <c r="E1082" i="91"/>
  <c r="E1083" i="91"/>
  <c r="E1084" i="91"/>
  <c r="E1085" i="91"/>
  <c r="E1086" i="91"/>
  <c r="E1087" i="91"/>
  <c r="E1088" i="91"/>
  <c r="E1089" i="91"/>
  <c r="E1090" i="91"/>
  <c r="E1091" i="91"/>
  <c r="E1092" i="91"/>
  <c r="E1093" i="91"/>
  <c r="E1094" i="91"/>
  <c r="E1095" i="91"/>
  <c r="E1096" i="91"/>
  <c r="E1097" i="91"/>
  <c r="E1098" i="91"/>
  <c r="E1099" i="91"/>
  <c r="E1100" i="91"/>
  <c r="E1101" i="91"/>
  <c r="E1102" i="91"/>
  <c r="E1103" i="91"/>
  <c r="E1104" i="91"/>
  <c r="E1105" i="91"/>
  <c r="E1106" i="91"/>
  <c r="E1107" i="91"/>
  <c r="E1108" i="91"/>
  <c r="E1109" i="91"/>
  <c r="E1110" i="91"/>
  <c r="E1111" i="91"/>
  <c r="E1112" i="91"/>
  <c r="E1113" i="91"/>
  <c r="E1114" i="91"/>
  <c r="E1115" i="91"/>
  <c r="E1116" i="91"/>
  <c r="E1117" i="91"/>
  <c r="E1118" i="91"/>
  <c r="E1119" i="91"/>
  <c r="E1120" i="91"/>
  <c r="E1121" i="91"/>
  <c r="E1122" i="91"/>
  <c r="E1123" i="91"/>
  <c r="E1124" i="91"/>
  <c r="E1125" i="91"/>
  <c r="E1126" i="91"/>
  <c r="E1127" i="91"/>
  <c r="E1128" i="91"/>
  <c r="E1129" i="91"/>
  <c r="E1130" i="91"/>
  <c r="E1131" i="91"/>
  <c r="E1132" i="91"/>
  <c r="E1133" i="91"/>
  <c r="E1134" i="91"/>
  <c r="E1135" i="91"/>
  <c r="E1136" i="91"/>
  <c r="E1137" i="91"/>
  <c r="E1138" i="91"/>
  <c r="E1139" i="91"/>
  <c r="E1140" i="91"/>
  <c r="E1141" i="91"/>
  <c r="E1142" i="91"/>
  <c r="E1143" i="91"/>
  <c r="E1144" i="91"/>
  <c r="E1145" i="91"/>
  <c r="E1146" i="91"/>
  <c r="E1147" i="91"/>
  <c r="E1148" i="91"/>
  <c r="E1149" i="91"/>
  <c r="E1150" i="91"/>
  <c r="E1151" i="91"/>
  <c r="E1152" i="91"/>
  <c r="E1153" i="91"/>
  <c r="E1154" i="91"/>
  <c r="E1155" i="91"/>
  <c r="E1156" i="91"/>
  <c r="E1157" i="91"/>
  <c r="E1158" i="91"/>
  <c r="E1159" i="91"/>
  <c r="E1160" i="91"/>
  <c r="E1161" i="91"/>
  <c r="E1162" i="91"/>
  <c r="E1163" i="91"/>
  <c r="E1164" i="91"/>
  <c r="E1165" i="91"/>
  <c r="E1166" i="91"/>
  <c r="E1167" i="91"/>
  <c r="E1168" i="91"/>
  <c r="E1169" i="91"/>
  <c r="E1170" i="91"/>
  <c r="E1171" i="91"/>
  <c r="E1172" i="91"/>
  <c r="E1173" i="91"/>
  <c r="E1174" i="91"/>
  <c r="E1175" i="91"/>
  <c r="E1176" i="91"/>
  <c r="E1177" i="91"/>
  <c r="E1178" i="91"/>
  <c r="E1179" i="91"/>
  <c r="E1180" i="91"/>
  <c r="E1181" i="91"/>
  <c r="E1182" i="91"/>
  <c r="E1183" i="91"/>
  <c r="E1184" i="91"/>
  <c r="E1185" i="91"/>
  <c r="E1186" i="91"/>
  <c r="E1187" i="91"/>
  <c r="E1188" i="91"/>
  <c r="E1189" i="91"/>
  <c r="E1190" i="91"/>
  <c r="E1191" i="91"/>
  <c r="E1192" i="91"/>
  <c r="E1193" i="91"/>
  <c r="E1194" i="91"/>
  <c r="E1195" i="91"/>
  <c r="E1196" i="91"/>
  <c r="E1197" i="91"/>
  <c r="E1198" i="91"/>
  <c r="E1199" i="91"/>
  <c r="E1200" i="91"/>
  <c r="E1201" i="91"/>
  <c r="E1202" i="91"/>
  <c r="E1203" i="91"/>
  <c r="E1204" i="91"/>
  <c r="E1205" i="91"/>
  <c r="E1206" i="91"/>
  <c r="E1207" i="91"/>
  <c r="E1208" i="91"/>
  <c r="E1209" i="91"/>
  <c r="E1210" i="91"/>
  <c r="E1211" i="91"/>
  <c r="E1212" i="91"/>
  <c r="E1213" i="91"/>
  <c r="E1214" i="91"/>
  <c r="E1215" i="91"/>
  <c r="E1216" i="91"/>
  <c r="E1217" i="91"/>
  <c r="E1218" i="91"/>
  <c r="E1219" i="91"/>
  <c r="E1220" i="91"/>
  <c r="E1221" i="91"/>
  <c r="E1222" i="91"/>
  <c r="E1223" i="91"/>
  <c r="E1224" i="91"/>
  <c r="E1225" i="91"/>
  <c r="E1226" i="91"/>
  <c r="E1227" i="91"/>
  <c r="E1228" i="91"/>
  <c r="E1229" i="91"/>
  <c r="E1230" i="91"/>
  <c r="E1231" i="91"/>
  <c r="E1232" i="91"/>
  <c r="E1233" i="91"/>
  <c r="E1234" i="91"/>
  <c r="E1235" i="91"/>
  <c r="E1236" i="91"/>
  <c r="E1237" i="91"/>
  <c r="E1238" i="91"/>
  <c r="E1239" i="91"/>
  <c r="E1240" i="91"/>
  <c r="E1241" i="91"/>
  <c r="E1242" i="91"/>
  <c r="E1243" i="91"/>
  <c r="E1244" i="91"/>
  <c r="E1245" i="91"/>
  <c r="E1246" i="91"/>
  <c r="E1247" i="91"/>
  <c r="E1248" i="91"/>
  <c r="E1249" i="91"/>
  <c r="E1250" i="91"/>
  <c r="E1251" i="91"/>
  <c r="E3" i="91"/>
  <c r="C1" i="91"/>
  <c r="C398" i="91" s="1"/>
  <c r="C1185" i="91"/>
  <c r="D1129" i="91"/>
  <c r="C982" i="91"/>
  <c r="C508" i="91"/>
  <c r="C440" i="91"/>
  <c r="D1152" i="91"/>
  <c r="C1062" i="91"/>
  <c r="D913" i="91"/>
  <c r="C1088" i="91"/>
  <c r="C619" i="91"/>
  <c r="D1208" i="91"/>
  <c r="D1193" i="91"/>
  <c r="C1156" i="91"/>
  <c r="D1151" i="91"/>
  <c r="C1147" i="91"/>
  <c r="D1133" i="91"/>
  <c r="D870" i="91"/>
  <c r="D1188" i="91"/>
  <c r="C1108" i="91"/>
  <c r="D952" i="91"/>
  <c r="D945" i="91"/>
  <c r="D995" i="91"/>
  <c r="C1188" i="91"/>
  <c r="D1183" i="91"/>
  <c r="C1160" i="91"/>
  <c r="D1112" i="91"/>
  <c r="C1065" i="91"/>
  <c r="C1247" i="91"/>
  <c r="C1155" i="91"/>
  <c r="C1112" i="91"/>
  <c r="D1043" i="91"/>
  <c r="D593" i="91"/>
  <c r="C1124" i="91"/>
  <c r="D1246" i="91"/>
  <c r="C1220" i="91"/>
  <c r="C1250" i="91"/>
  <c r="D1141" i="91"/>
  <c r="C1150" i="91"/>
  <c r="D1064" i="91"/>
  <c r="D1030" i="91"/>
  <c r="D1024" i="91"/>
  <c r="C1011" i="91"/>
  <c r="C950" i="91"/>
  <c r="C916" i="91"/>
  <c r="C841" i="91"/>
  <c r="D1062" i="91"/>
  <c r="C1064" i="91"/>
  <c r="C699" i="91"/>
  <c r="D1121" i="91"/>
  <c r="C1186" i="91"/>
  <c r="C1177" i="91"/>
  <c r="D1100" i="91"/>
  <c r="D1085" i="91"/>
  <c r="D1016" i="91"/>
  <c r="D963" i="91"/>
  <c r="C900" i="91"/>
  <c r="C15" i="91"/>
  <c r="C791" i="91"/>
  <c r="C462" i="91"/>
  <c r="D850" i="91"/>
  <c r="C856" i="91"/>
  <c r="D310" i="91"/>
  <c r="C546" i="91"/>
  <c r="D581" i="91"/>
  <c r="D607" i="91"/>
  <c r="D623" i="91"/>
  <c r="D687" i="91"/>
  <c r="C894" i="91"/>
  <c r="C1017" i="91"/>
  <c r="D91" i="91"/>
  <c r="D235" i="91"/>
  <c r="D484" i="91"/>
  <c r="D521" i="91"/>
  <c r="C582" i="91"/>
  <c r="C616" i="91"/>
  <c r="C624" i="91"/>
  <c r="C656" i="91"/>
  <c r="C744" i="91"/>
  <c r="C955" i="91"/>
  <c r="C1007" i="91"/>
  <c r="D1028" i="91"/>
  <c r="C1054" i="91"/>
  <c r="C1059" i="91"/>
  <c r="D1068" i="91"/>
  <c r="D1092" i="91"/>
  <c r="C1126" i="91"/>
  <c r="C1187" i="91"/>
  <c r="C787" i="91"/>
  <c r="C514" i="91"/>
  <c r="C281" i="91"/>
  <c r="D559" i="91"/>
  <c r="D610" i="91"/>
  <c r="D626" i="91"/>
  <c r="D650" i="91"/>
  <c r="D690" i="91"/>
  <c r="D698" i="91"/>
  <c r="D746" i="91"/>
  <c r="D950" i="91"/>
  <c r="C1079" i="91"/>
  <c r="D337" i="91"/>
  <c r="D368" i="91"/>
  <c r="C1227" i="91"/>
  <c r="D1158" i="91"/>
  <c r="D1115" i="91"/>
  <c r="D1110" i="91"/>
  <c r="C1105" i="91"/>
  <c r="C1052" i="91"/>
  <c r="D955" i="91"/>
  <c r="C1190" i="91"/>
  <c r="D1236" i="91"/>
  <c r="C1249" i="91"/>
  <c r="C1223" i="91"/>
  <c r="D1149" i="91"/>
  <c r="C1218" i="91"/>
  <c r="D1195" i="91"/>
  <c r="D1222" i="91"/>
  <c r="C1162" i="91"/>
  <c r="C1110" i="91"/>
  <c r="D982" i="91"/>
  <c r="C578" i="91"/>
  <c r="C499" i="91"/>
  <c r="D1037" i="91"/>
  <c r="C1032" i="91"/>
  <c r="C1008" i="91"/>
  <c r="D1005" i="91"/>
  <c r="C1000" i="91"/>
  <c r="C960" i="91"/>
  <c r="C904" i="91"/>
  <c r="D869" i="91"/>
  <c r="C843" i="91"/>
  <c r="C811" i="91"/>
  <c r="D786" i="91"/>
  <c r="D773" i="91"/>
  <c r="D763" i="91"/>
  <c r="C760" i="91"/>
  <c r="C730" i="91"/>
  <c r="C674" i="91"/>
  <c r="C562" i="91"/>
  <c r="C437" i="91"/>
  <c r="C174" i="91"/>
  <c r="D102" i="91"/>
  <c r="D7" i="91"/>
  <c r="C18" i="91"/>
  <c r="D47" i="91"/>
  <c r="D63" i="91"/>
  <c r="C66" i="91"/>
  <c r="D95" i="91"/>
  <c r="D151" i="91"/>
  <c r="D191" i="91"/>
  <c r="C234" i="91"/>
  <c r="D239" i="91"/>
  <c r="D255" i="91"/>
  <c r="D263" i="91"/>
  <c r="C266" i="91"/>
  <c r="D271" i="91"/>
  <c r="C274" i="91"/>
  <c r="C5" i="91"/>
  <c r="D42" i="91"/>
  <c r="C69" i="91"/>
  <c r="D106" i="91"/>
  <c r="C125" i="91"/>
  <c r="D146" i="91"/>
  <c r="C157" i="91"/>
  <c r="D162" i="91"/>
  <c r="D178" i="91"/>
  <c r="C181" i="91"/>
  <c r="C205" i="91"/>
  <c r="D266" i="91"/>
  <c r="C301" i="91"/>
  <c r="C317" i="91"/>
  <c r="D322" i="91"/>
  <c r="C333" i="91"/>
  <c r="D21" i="91"/>
  <c r="C40" i="91"/>
  <c r="D45" i="91"/>
  <c r="C64" i="91"/>
  <c r="D85" i="91"/>
  <c r="D117" i="91"/>
  <c r="D173" i="91"/>
  <c r="C192" i="91"/>
  <c r="C208" i="91"/>
  <c r="D221" i="91"/>
  <c r="D229" i="91"/>
  <c r="C232" i="91"/>
  <c r="C240" i="91"/>
  <c r="D245" i="91"/>
  <c r="D285" i="91"/>
  <c r="C11" i="91"/>
  <c r="D40" i="91"/>
  <c r="C83" i="91"/>
  <c r="D88" i="91"/>
  <c r="D104" i="91"/>
  <c r="C115" i="91"/>
  <c r="C123" i="91"/>
  <c r="D128" i="91"/>
  <c r="D136" i="91"/>
  <c r="C163" i="91"/>
  <c r="C100" i="91"/>
  <c r="C140" i="91"/>
  <c r="C204" i="91"/>
  <c r="D211" i="91"/>
  <c r="C254" i="91"/>
  <c r="D289" i="91"/>
  <c r="C300" i="91"/>
  <c r="D321" i="91"/>
  <c r="C328" i="91"/>
  <c r="D353" i="91"/>
  <c r="D385" i="91"/>
  <c r="C444" i="91"/>
  <c r="D465" i="91"/>
  <c r="D473" i="91"/>
  <c r="C484" i="91"/>
  <c r="D489" i="91"/>
  <c r="C492" i="91"/>
  <c r="D497" i="91"/>
  <c r="D44" i="91"/>
  <c r="D124" i="91"/>
  <c r="C183" i="91"/>
  <c r="C219" i="91"/>
  <c r="C73" i="91"/>
  <c r="C97" i="91"/>
  <c r="C113" i="91"/>
  <c r="C137" i="91"/>
  <c r="C161" i="91"/>
  <c r="C198" i="91"/>
  <c r="D201" i="91"/>
  <c r="C230" i="91"/>
  <c r="C332" i="91"/>
  <c r="D375" i="91"/>
  <c r="D391" i="91"/>
  <c r="D399" i="91"/>
  <c r="C410" i="91"/>
  <c r="D415" i="91"/>
  <c r="D439" i="91"/>
  <c r="D447" i="91"/>
  <c r="C458" i="91"/>
  <c r="C482" i="91"/>
  <c r="D41" i="91"/>
  <c r="D129" i="91"/>
  <c r="D180" i="91"/>
  <c r="D184" i="91"/>
  <c r="C209" i="91"/>
  <c r="D216" i="91"/>
  <c r="C241" i="91"/>
  <c r="D244" i="91"/>
  <c r="D248" i="91"/>
  <c r="C273" i="91"/>
  <c r="D332" i="91"/>
  <c r="C365" i="91"/>
  <c r="D378" i="91"/>
  <c r="D386" i="91"/>
  <c r="D410" i="91"/>
  <c r="C413" i="91"/>
  <c r="C30" i="91"/>
  <c r="C38" i="91"/>
  <c r="C46" i="91"/>
  <c r="C86" i="91"/>
  <c r="D51" i="91"/>
  <c r="D241" i="91"/>
  <c r="D272" i="91"/>
  <c r="D281" i="91"/>
  <c r="D316" i="91"/>
  <c r="D325" i="91"/>
  <c r="D329" i="91"/>
  <c r="C334" i="91"/>
  <c r="D352" i="91"/>
  <c r="D395" i="91"/>
  <c r="D450" i="91"/>
  <c r="D485" i="91"/>
  <c r="C511" i="91"/>
  <c r="D532" i="91"/>
  <c r="C551" i="91"/>
  <c r="D556" i="91"/>
  <c r="D572" i="91"/>
  <c r="D11" i="91"/>
  <c r="D46" i="91"/>
  <c r="D195" i="91"/>
  <c r="D342" i="91"/>
  <c r="C424" i="91"/>
  <c r="D99" i="91"/>
  <c r="C127" i="91"/>
  <c r="C175" i="91"/>
  <c r="D185" i="91"/>
  <c r="C220" i="91"/>
  <c r="C225" i="91"/>
  <c r="D278" i="91"/>
  <c r="D326" i="91"/>
  <c r="C385" i="91"/>
  <c r="C417" i="91"/>
  <c r="C454" i="91"/>
  <c r="C483" i="91"/>
  <c r="C489" i="91"/>
  <c r="D498" i="91"/>
  <c r="C501" i="91"/>
  <c r="C509" i="91"/>
  <c r="D514" i="91"/>
  <c r="D530" i="91"/>
  <c r="C589" i="91"/>
  <c r="C47" i="91"/>
  <c r="D123" i="91"/>
  <c r="D139" i="91"/>
  <c r="C196" i="91"/>
  <c r="C206" i="91"/>
  <c r="C270" i="91"/>
  <c r="C283" i="91"/>
  <c r="D318" i="91"/>
  <c r="C347" i="91"/>
  <c r="C411" i="91"/>
  <c r="C464" i="91"/>
  <c r="D486" i="91"/>
  <c r="C493" i="91"/>
  <c r="C151" i="91"/>
  <c r="D177" i="91"/>
  <c r="C249" i="91"/>
  <c r="D254" i="91"/>
  <c r="D328" i="91"/>
  <c r="C369" i="91"/>
  <c r="C506" i="91"/>
  <c r="D567" i="91"/>
  <c r="C594" i="91"/>
  <c r="C600" i="91"/>
  <c r="C622" i="91"/>
  <c r="D627" i="91"/>
  <c r="D643" i="91"/>
  <c r="C646" i="91"/>
  <c r="D651" i="91"/>
  <c r="D675" i="91"/>
  <c r="C710" i="91"/>
  <c r="C207" i="91"/>
  <c r="C289" i="91"/>
  <c r="C324" i="91"/>
  <c r="C395" i="91"/>
  <c r="C415" i="91"/>
  <c r="C433" i="91"/>
  <c r="C443" i="91"/>
  <c r="C463" i="91"/>
  <c r="C513" i="91"/>
  <c r="C564" i="91"/>
  <c r="D603" i="91"/>
  <c r="D622" i="91"/>
  <c r="D646" i="91"/>
  <c r="D662" i="91"/>
  <c r="C665" i="91"/>
  <c r="D670" i="91"/>
  <c r="D678" i="91"/>
  <c r="D686" i="91"/>
  <c r="C705" i="91"/>
  <c r="D750" i="91"/>
  <c r="D774" i="91"/>
  <c r="C801" i="91"/>
  <c r="D19" i="91"/>
  <c r="D67" i="91"/>
  <c r="D134" i="91"/>
  <c r="D196" i="91"/>
  <c r="C203" i="91"/>
  <c r="C302" i="91"/>
  <c r="C361" i="91"/>
  <c r="D460" i="91"/>
  <c r="D510" i="91"/>
  <c r="C536" i="91"/>
  <c r="C552" i="91"/>
  <c r="D561" i="91"/>
  <c r="D574" i="91"/>
  <c r="D577" i="91"/>
  <c r="C586" i="91"/>
  <c r="D589" i="91"/>
  <c r="C598" i="91"/>
  <c r="C652" i="91"/>
  <c r="D681" i="91"/>
  <c r="D697" i="91"/>
  <c r="C700" i="91"/>
  <c r="D713" i="91"/>
  <c r="C716" i="91"/>
  <c r="D737" i="91"/>
  <c r="C740" i="91"/>
  <c r="D761" i="91"/>
  <c r="D777" i="91"/>
  <c r="D801" i="91"/>
  <c r="C836" i="91"/>
  <c r="D865" i="91"/>
  <c r="C868" i="91"/>
  <c r="D27" i="91"/>
  <c r="C228" i="91"/>
  <c r="C239" i="91"/>
  <c r="C297" i="91"/>
  <c r="D347" i="91"/>
  <c r="C387" i="91"/>
  <c r="D494" i="91"/>
  <c r="D533" i="91"/>
  <c r="D549" i="91"/>
  <c r="D555" i="91"/>
  <c r="D598" i="91"/>
  <c r="C604" i="91"/>
  <c r="C615" i="91"/>
  <c r="D620" i="91"/>
  <c r="C623" i="91"/>
  <c r="C647" i="91"/>
  <c r="D676" i="91"/>
  <c r="D716" i="91"/>
  <c r="D732" i="91"/>
  <c r="C735" i="91"/>
  <c r="D748" i="91"/>
  <c r="D756" i="91"/>
  <c r="C759" i="91"/>
  <c r="D764" i="91"/>
  <c r="C1245" i="91"/>
  <c r="D1218" i="91"/>
  <c r="D1186" i="91"/>
  <c r="C1165" i="91"/>
  <c r="C1149" i="91"/>
  <c r="D1130" i="91"/>
  <c r="D1114" i="91"/>
  <c r="C1109" i="91"/>
  <c r="D1106" i="91"/>
  <c r="D1098" i="91"/>
  <c r="C1093" i="91"/>
  <c r="C1077" i="91"/>
  <c r="C1037" i="91"/>
  <c r="C1013" i="91"/>
  <c r="D994" i="91"/>
  <c r="C989" i="91"/>
  <c r="C981" i="91"/>
  <c r="D978" i="91"/>
  <c r="D970" i="91"/>
  <c r="D962" i="91"/>
  <c r="D946" i="91"/>
  <c r="C925" i="91"/>
  <c r="D898" i="91"/>
  <c r="D874" i="91"/>
  <c r="D854" i="91"/>
  <c r="C837" i="91"/>
  <c r="C831" i="91"/>
  <c r="C825" i="91"/>
  <c r="D822" i="91"/>
  <c r="D816" i="91"/>
  <c r="C805" i="91"/>
  <c r="C792" i="91"/>
  <c r="D725" i="91"/>
  <c r="D685" i="91"/>
  <c r="D653" i="91"/>
  <c r="D645" i="91"/>
  <c r="D613" i="91"/>
  <c r="D605" i="91"/>
  <c r="D579" i="91"/>
  <c r="C566" i="91"/>
  <c r="C534" i="91"/>
  <c r="D492" i="91"/>
  <c r="D358" i="91"/>
  <c r="D1119" i="91"/>
  <c r="C1098" i="91"/>
  <c r="D1095" i="91"/>
  <c r="C1082" i="91"/>
  <c r="C1074" i="91"/>
  <c r="D1071" i="91"/>
  <c r="D1063" i="91"/>
  <c r="C1058" i="91"/>
  <c r="C1042" i="91"/>
  <c r="C1002" i="91"/>
  <c r="D975" i="91"/>
  <c r="C962" i="91"/>
  <c r="C954" i="91"/>
  <c r="D935" i="91"/>
  <c r="C930" i="91"/>
  <c r="D919" i="91"/>
  <c r="C914" i="91"/>
  <c r="D911" i="91"/>
  <c r="D887" i="91"/>
  <c r="C851" i="91"/>
  <c r="D810" i="91"/>
  <c r="C782" i="91"/>
  <c r="C779" i="91"/>
  <c r="C752" i="91"/>
  <c r="C741" i="91"/>
  <c r="C733" i="91"/>
  <c r="C725" i="91"/>
  <c r="C709" i="91"/>
  <c r="C661" i="91"/>
  <c r="C579" i="91"/>
  <c r="D511" i="91"/>
  <c r="D412" i="91"/>
  <c r="D292" i="91"/>
  <c r="C983" i="91"/>
  <c r="D980" i="91"/>
  <c r="C975" i="91"/>
  <c r="C967" i="91"/>
  <c r="D964" i="91"/>
  <c r="D948" i="91"/>
  <c r="C911" i="91"/>
  <c r="C887" i="91"/>
  <c r="D868" i="91"/>
  <c r="C865" i="91"/>
  <c r="D859" i="91"/>
  <c r="D856" i="91"/>
  <c r="C842" i="91"/>
  <c r="C839" i="91"/>
  <c r="D830" i="91"/>
  <c r="C807" i="91"/>
  <c r="C755" i="91"/>
  <c r="D720" i="91"/>
  <c r="D672" i="91"/>
  <c r="D664" i="91"/>
  <c r="D632" i="91"/>
  <c r="D624" i="91"/>
  <c r="D616" i="91"/>
  <c r="D604" i="91"/>
  <c r="D599" i="91"/>
  <c r="D560" i="91"/>
  <c r="C479" i="91"/>
  <c r="D344" i="91"/>
  <c r="D150" i="91"/>
  <c r="AG87" i="19"/>
  <c r="BW11" i="63"/>
  <c r="BX11" i="63" s="1"/>
  <c r="CE18" i="63"/>
  <c r="CQ18" i="63" s="1"/>
  <c r="DC18" i="63" s="1"/>
  <c r="DO18" i="63" s="1"/>
  <c r="EA18" i="63" s="1"/>
  <c r="CF18" i="63"/>
  <c r="CR18" i="63" s="1"/>
  <c r="DD18" i="63" s="1"/>
  <c r="DP18" i="63" s="1"/>
  <c r="EB18" i="63" s="1"/>
  <c r="CG18" i="63"/>
  <c r="CS18" i="63" s="1"/>
  <c r="DE18" i="63" s="1"/>
  <c r="DQ18" i="63" s="1"/>
  <c r="EC18" i="63" s="1"/>
  <c r="AO39" i="77"/>
  <c r="AO40" i="77" s="1"/>
  <c r="BI10" i="63"/>
  <c r="K37" i="77"/>
  <c r="H33" i="77"/>
  <c r="AQ58" i="62"/>
  <c r="AQ56" i="62"/>
  <c r="AQ55" i="62"/>
  <c r="AQ54" i="62"/>
  <c r="AQ48" i="62"/>
  <c r="BK95" i="63"/>
  <c r="BR24" i="63"/>
  <c r="BQ10" i="63"/>
  <c r="BQ35" i="63" s="1"/>
  <c r="BQ63" i="63"/>
  <c r="BQ30" i="63"/>
  <c r="X190" i="4"/>
  <c r="N210" i="69"/>
  <c r="M210" i="69"/>
  <c r="L212" i="69"/>
  <c r="L211" i="69"/>
  <c r="M206" i="69" a="1"/>
  <c r="M206" i="69" s="1"/>
  <c r="N206" i="69" s="1"/>
  <c r="H209" i="69"/>
  <c r="G206" i="69"/>
  <c r="H206" i="69"/>
  <c r="I206" i="69"/>
  <c r="F206" i="69"/>
  <c r="D208" i="69"/>
  <c r="H208" i="69" s="1"/>
  <c r="I2" i="18"/>
  <c r="AL42" i="19" s="1"/>
  <c r="AB44" i="67"/>
  <c r="AA44" i="67" s="1"/>
  <c r="Z44" i="67" s="1"/>
  <c r="Y44" i="67" s="1"/>
  <c r="AB43" i="67"/>
  <c r="Z17" i="67"/>
  <c r="Z35" i="67"/>
  <c r="Z26" i="67" s="1"/>
  <c r="Y17" i="67"/>
  <c r="Y35" i="67"/>
  <c r="Y26" i="67" s="1"/>
  <c r="X12" i="67"/>
  <c r="X11" i="67" s="1"/>
  <c r="W9" i="67"/>
  <c r="X7" i="67"/>
  <c r="Z4" i="67"/>
  <c r="Y4" i="67"/>
  <c r="BJ68" i="63"/>
  <c r="BJ16" i="63"/>
  <c r="BJ10" i="63" s="1"/>
  <c r="BJ98" i="63" s="1"/>
  <c r="BJ100" i="63" s="1"/>
  <c r="AX7" i="63"/>
  <c r="AX112" i="63" s="1"/>
  <c r="AX20" i="63"/>
  <c r="AY20" i="63" s="1"/>
  <c r="AY14" i="63"/>
  <c r="AY112" i="63" s="1"/>
  <c r="BE16" i="63"/>
  <c r="BE10" i="63" s="1"/>
  <c r="H158" i="69" s="1"/>
  <c r="BD18" i="63"/>
  <c r="BE18" i="63" s="1"/>
  <c r="AG1" i="62"/>
  <c r="AH1" i="62"/>
  <c r="AI1" i="62"/>
  <c r="AJ1" i="62"/>
  <c r="AK1" i="62"/>
  <c r="AL1" i="62"/>
  <c r="AM1" i="62"/>
  <c r="AN1" i="62"/>
  <c r="AO1" i="62"/>
  <c r="AP1" i="62"/>
  <c r="AQ1" i="62"/>
  <c r="AR1" i="62"/>
  <c r="AS1" i="62"/>
  <c r="AT1" i="62"/>
  <c r="AA2" i="62"/>
  <c r="AE2" i="62" s="1"/>
  <c r="AI2" i="62" s="1"/>
  <c r="AM2" i="62" s="1"/>
  <c r="AQ2" i="62" s="1"/>
  <c r="AU2" i="62" s="1"/>
  <c r="AB2" i="62"/>
  <c r="AF2" i="62" s="1"/>
  <c r="AJ2" i="62" s="1"/>
  <c r="AN2" i="62" s="1"/>
  <c r="AR2" i="62" s="1"/>
  <c r="AV2" i="62" s="1"/>
  <c r="Y2" i="62"/>
  <c r="AC2" i="62" s="1"/>
  <c r="AG2" i="62" s="1"/>
  <c r="AK2" i="62" s="1"/>
  <c r="AO2" i="62" s="1"/>
  <c r="AS2" i="62" s="1"/>
  <c r="AW2" i="62" s="1"/>
  <c r="Z2" i="62"/>
  <c r="AD2" i="62" s="1"/>
  <c r="AH2" i="62" s="1"/>
  <c r="AL2" i="62" s="1"/>
  <c r="AP2" i="62" s="1"/>
  <c r="AT2" i="62" s="1"/>
  <c r="AX2" i="62" s="1"/>
  <c r="AY2" i="63"/>
  <c r="AY1" i="63" s="1"/>
  <c r="AX1" i="63" s="1"/>
  <c r="AZ2" i="63"/>
  <c r="AZ1" i="63" s="1"/>
  <c r="BA1" i="63"/>
  <c r="BB1" i="63"/>
  <c r="BC1" i="63"/>
  <c r="BD2" i="63"/>
  <c r="BD1" i="63" s="1"/>
  <c r="BE2" i="63"/>
  <c r="BE1" i="63"/>
  <c r="BF1" i="63" s="1"/>
  <c r="BG2" i="63"/>
  <c r="BG1" i="63" s="1"/>
  <c r="BH2" i="63"/>
  <c r="BH1" i="63" s="1"/>
  <c r="BI1" i="63" s="1"/>
  <c r="BJ2" i="63"/>
  <c r="BJ1" i="63" s="1"/>
  <c r="BJ64" i="63" s="1"/>
  <c r="BK2" i="63"/>
  <c r="BK1" i="63" s="1"/>
  <c r="BM2" i="63"/>
  <c r="BM1" i="63" s="1"/>
  <c r="BM64" i="63" s="1"/>
  <c r="BN2" i="63"/>
  <c r="BN1" i="63"/>
  <c r="BN64" i="63" s="1"/>
  <c r="BO2" i="63"/>
  <c r="BO1" i="63" s="1"/>
  <c r="BO64" i="63" s="1"/>
  <c r="BP2" i="63"/>
  <c r="BP1" i="63" s="1"/>
  <c r="BP64" i="63" s="1"/>
  <c r="BR2" i="63"/>
  <c r="BR1" i="63" s="1"/>
  <c r="BS2" i="63"/>
  <c r="BS1" i="63" s="1"/>
  <c r="BT2" i="63"/>
  <c r="BT1" i="63" s="1"/>
  <c r="BU2" i="63"/>
  <c r="BU1" i="63" s="1"/>
  <c r="BV2" i="63"/>
  <c r="BV1" i="63" s="1"/>
  <c r="BV64" i="63" s="1"/>
  <c r="BW2" i="63"/>
  <c r="BW1" i="63"/>
  <c r="BW64" i="63" s="1"/>
  <c r="BX2" i="63"/>
  <c r="BX1" i="63" s="1"/>
  <c r="BX64" i="63" s="1"/>
  <c r="CA2" i="63"/>
  <c r="CA1" i="63" s="1"/>
  <c r="CA64" i="63" s="1"/>
  <c r="CB2" i="63"/>
  <c r="CB1" i="63" s="1"/>
  <c r="CB64" i="63" s="1"/>
  <c r="CC2" i="63"/>
  <c r="CC1" i="63" s="1"/>
  <c r="CC64" i="63" s="1"/>
  <c r="CD2" i="63"/>
  <c r="CD1" i="63" s="1"/>
  <c r="CD64" i="63" s="1"/>
  <c r="CE2" i="63"/>
  <c r="CE1" i="63"/>
  <c r="CE64" i="63" s="1"/>
  <c r="CF2" i="63"/>
  <c r="CF1" i="63" s="1"/>
  <c r="CF64" i="63" s="1"/>
  <c r="CG2" i="63"/>
  <c r="CG1" i="63"/>
  <c r="CG64" i="63" s="1"/>
  <c r="CH2" i="63"/>
  <c r="CH1" i="63" s="1"/>
  <c r="CH64" i="63" s="1"/>
  <c r="CI2" i="63"/>
  <c r="CI1" i="63" s="1"/>
  <c r="CI64" i="63" s="1"/>
  <c r="CJ2" i="63"/>
  <c r="CJ1" i="63" s="1"/>
  <c r="CJ64" i="63" s="1"/>
  <c r="CK2" i="63"/>
  <c r="CK1" i="63" s="1"/>
  <c r="CL2" i="63"/>
  <c r="CL1" i="63" s="1"/>
  <c r="CM2" i="63"/>
  <c r="CM1" i="63" s="1"/>
  <c r="CN2" i="63"/>
  <c r="CN1" i="63" s="1"/>
  <c r="CN64" i="63" s="1"/>
  <c r="CO2" i="63"/>
  <c r="CO1" i="63" s="1"/>
  <c r="CO64" i="63" s="1"/>
  <c r="CP2" i="63"/>
  <c r="CP1" i="63" s="1"/>
  <c r="CQ2" i="63"/>
  <c r="CQ1" i="63" s="1"/>
  <c r="CQ64" i="63" s="1"/>
  <c r="CR2" i="63"/>
  <c r="CR1" i="63" s="1"/>
  <c r="CR64" i="63" s="1"/>
  <c r="CS2" i="63"/>
  <c r="CS1" i="63" s="1"/>
  <c r="CS64" i="63" s="1"/>
  <c r="CT2" i="63"/>
  <c r="CT1" i="63" s="1"/>
  <c r="CT64" i="63" s="1"/>
  <c r="CU2" i="63"/>
  <c r="CU1" i="63"/>
  <c r="CU64" i="63" s="1"/>
  <c r="CV2" i="63"/>
  <c r="CV1" i="63" s="1"/>
  <c r="CV64" i="63" s="1"/>
  <c r="CW2" i="63"/>
  <c r="CW1" i="63" s="1"/>
  <c r="CW64" i="63" s="1"/>
  <c r="CX2" i="63"/>
  <c r="CX1" i="63" s="1"/>
  <c r="CX64" i="63" s="1"/>
  <c r="CY2" i="63"/>
  <c r="CY1" i="63" s="1"/>
  <c r="CY64" i="63" s="1"/>
  <c r="CZ2" i="63"/>
  <c r="CZ1" i="63" s="1"/>
  <c r="CZ64" i="63" s="1"/>
  <c r="DA2" i="63"/>
  <c r="DA1" i="63"/>
  <c r="DA64" i="63" s="1"/>
  <c r="DB2" i="63"/>
  <c r="DB1" i="63" s="1"/>
  <c r="DB64" i="63" s="1"/>
  <c r="DC2" i="63"/>
  <c r="DC1" i="63"/>
  <c r="DC64" i="63" s="1"/>
  <c r="DD2" i="63"/>
  <c r="DD1" i="63" s="1"/>
  <c r="DD64" i="63" s="1"/>
  <c r="DE2" i="63"/>
  <c r="DE1" i="63"/>
  <c r="DE64" i="63" s="1"/>
  <c r="DF2" i="63"/>
  <c r="DF1" i="63" s="1"/>
  <c r="DF64" i="63" s="1"/>
  <c r="DG2" i="63"/>
  <c r="DG1" i="63"/>
  <c r="DG64" i="63" s="1"/>
  <c r="DH2" i="63"/>
  <c r="DH1" i="63" s="1"/>
  <c r="DH64" i="63" s="1"/>
  <c r="DI2" i="63"/>
  <c r="DI1" i="63" s="1"/>
  <c r="DI64" i="63" s="1"/>
  <c r="DJ2" i="63"/>
  <c r="DJ1" i="63" s="1"/>
  <c r="DJ64" i="63" s="1"/>
  <c r="DK2" i="63"/>
  <c r="DK1" i="63" s="1"/>
  <c r="DK64" i="63" s="1"/>
  <c r="DL2" i="63"/>
  <c r="DL1" i="63" s="1"/>
  <c r="DL64" i="63" s="1"/>
  <c r="DM2" i="63"/>
  <c r="DM1" i="63"/>
  <c r="DM64" i="63" s="1"/>
  <c r="DN2" i="63"/>
  <c r="DN1" i="63" s="1"/>
  <c r="DN64" i="63" s="1"/>
  <c r="DO2" i="63"/>
  <c r="DO1" i="63"/>
  <c r="DO64" i="63" s="1"/>
  <c r="DP2" i="63"/>
  <c r="DP1" i="63" s="1"/>
  <c r="DP64" i="63" s="1"/>
  <c r="DQ2" i="63"/>
  <c r="DQ1" i="63"/>
  <c r="DQ64" i="63" s="1"/>
  <c r="DF13" i="63"/>
  <c r="DG13" i="63" s="1"/>
  <c r="DH13" i="63" s="1"/>
  <c r="DI13" i="63" s="1"/>
  <c r="DJ13" i="63" s="1"/>
  <c r="DK13" i="63" s="1"/>
  <c r="DL13" i="63" s="1"/>
  <c r="DM13" i="63" s="1"/>
  <c r="DN13" i="63" s="1"/>
  <c r="DO13" i="63" s="1"/>
  <c r="DP13" i="63" s="1"/>
  <c r="DQ13" i="63" s="1"/>
  <c r="DR13" i="63" s="1"/>
  <c r="DS13" i="63" s="1"/>
  <c r="DT13" i="63" s="1"/>
  <c r="DU13" i="63" s="1"/>
  <c r="DV13" i="63" s="1"/>
  <c r="DW13" i="63" s="1"/>
  <c r="DX13" i="63" s="1"/>
  <c r="DY13" i="63" s="1"/>
  <c r="DZ13" i="63" s="1"/>
  <c r="EA13" i="63" s="1"/>
  <c r="EB13" i="63" s="1"/>
  <c r="EC13" i="63" s="1"/>
  <c r="ED13" i="63" s="1"/>
  <c r="BD38" i="63"/>
  <c r="BD40" i="63" s="1"/>
  <c r="BE38" i="63"/>
  <c r="BE40" i="63" s="1"/>
  <c r="BF41" i="63"/>
  <c r="BJ70" i="63"/>
  <c r="BJ41" i="63"/>
  <c r="BK41" i="63" s="1"/>
  <c r="BK110" i="63" s="1"/>
  <c r="BM41" i="63"/>
  <c r="AO111" i="62"/>
  <c r="AP111" i="62" s="1"/>
  <c r="C103" i="69" s="1"/>
  <c r="H254" i="62"/>
  <c r="I254" i="62"/>
  <c r="J254" i="62"/>
  <c r="AN265" i="62"/>
  <c r="AN266" i="62" s="1"/>
  <c r="H253" i="62"/>
  <c r="H256" i="62" s="1"/>
  <c r="H260" i="62" s="1"/>
  <c r="AL44" i="62"/>
  <c r="AM44" i="62" s="1"/>
  <c r="AN44" i="62" s="1"/>
  <c r="J264" i="62"/>
  <c r="K264" i="62" s="1"/>
  <c r="L264" i="62" s="1"/>
  <c r="H101" i="62"/>
  <c r="I101" i="62"/>
  <c r="J101" i="62"/>
  <c r="M1" i="4"/>
  <c r="M254" i="4" s="1"/>
  <c r="D8" i="64"/>
  <c r="D13" i="64"/>
  <c r="H233" i="62"/>
  <c r="AK46" i="64"/>
  <c r="AE46" i="64"/>
  <c r="AE47" i="64" s="1"/>
  <c r="AF46" i="64"/>
  <c r="AG46" i="64"/>
  <c r="AH46" i="64"/>
  <c r="AI46" i="64"/>
  <c r="AJ46" i="64"/>
  <c r="BC23" i="63"/>
  <c r="F158" i="69" s="1"/>
  <c r="E46" i="64"/>
  <c r="I76" i="62"/>
  <c r="E43" i="64" s="1"/>
  <c r="H237" i="62"/>
  <c r="F44" i="64"/>
  <c r="AP87" i="62"/>
  <c r="C101" i="69" s="1"/>
  <c r="B32" i="63"/>
  <c r="C32" i="63"/>
  <c r="C33" i="63" s="1"/>
  <c r="D32" i="63"/>
  <c r="D33" i="63"/>
  <c r="E32" i="63"/>
  <c r="Q34" i="63" s="1"/>
  <c r="F32" i="63"/>
  <c r="F33" i="63" s="1"/>
  <c r="G32" i="63"/>
  <c r="G33" i="63" s="1"/>
  <c r="H32" i="63"/>
  <c r="I32" i="63"/>
  <c r="U34" i="63" s="1"/>
  <c r="I33" i="63"/>
  <c r="J32" i="63"/>
  <c r="K32" i="63"/>
  <c r="K33" i="63"/>
  <c r="L32" i="63"/>
  <c r="L33" i="63" s="1"/>
  <c r="M32" i="63"/>
  <c r="M33" i="63" s="1"/>
  <c r="N32" i="63"/>
  <c r="O32" i="63"/>
  <c r="AA34" i="63" s="1"/>
  <c r="O34" i="63"/>
  <c r="P32" i="63"/>
  <c r="P33" i="63"/>
  <c r="Q32" i="63"/>
  <c r="R32" i="63"/>
  <c r="S32" i="63"/>
  <c r="T32" i="63"/>
  <c r="U32" i="63"/>
  <c r="V32" i="63"/>
  <c r="W32" i="63"/>
  <c r="X32" i="63"/>
  <c r="X34" i="63" s="1"/>
  <c r="Y32" i="63"/>
  <c r="Y33" i="63"/>
  <c r="Z32" i="63"/>
  <c r="AA32" i="63"/>
  <c r="AB32" i="63"/>
  <c r="AC32" i="63"/>
  <c r="AD32" i="63"/>
  <c r="AE32" i="63"/>
  <c r="AF32" i="63"/>
  <c r="AF33" i="63"/>
  <c r="AG32" i="63"/>
  <c r="AG34" i="63" s="1"/>
  <c r="AH32" i="63"/>
  <c r="AI32" i="63"/>
  <c r="AI33" i="63" s="1"/>
  <c r="AJ32" i="63"/>
  <c r="AK32" i="63"/>
  <c r="AK34" i="63"/>
  <c r="AL32" i="63"/>
  <c r="AM32" i="63"/>
  <c r="AN32" i="63"/>
  <c r="AN33" i="63" s="1"/>
  <c r="AO32" i="63"/>
  <c r="AO33" i="63"/>
  <c r="AP32" i="63"/>
  <c r="AP33" i="63" s="1"/>
  <c r="AQ32" i="63"/>
  <c r="AR32" i="63"/>
  <c r="AS32" i="63"/>
  <c r="AT32" i="63"/>
  <c r="AU32" i="63"/>
  <c r="AU34" i="63"/>
  <c r="AV32" i="63"/>
  <c r="AV33" i="63"/>
  <c r="AW32" i="63"/>
  <c r="BB32" i="63"/>
  <c r="BJ69" i="63"/>
  <c r="BJ20" i="63" s="1"/>
  <c r="BK20" i="63" s="1"/>
  <c r="BM23" i="63"/>
  <c r="BN23" i="63" s="1"/>
  <c r="BO23" i="63" s="1"/>
  <c r="BJ23" i="63"/>
  <c r="C101" i="62"/>
  <c r="G276" i="62"/>
  <c r="I276" i="62"/>
  <c r="H276" i="62"/>
  <c r="F276" i="62"/>
  <c r="AO135" i="62"/>
  <c r="AO136" i="62" s="1"/>
  <c r="J278" i="62"/>
  <c r="AE48" i="4"/>
  <c r="DR2" i="63"/>
  <c r="DR1" i="63" s="1"/>
  <c r="DR64" i="63" s="1"/>
  <c r="BF57" i="63"/>
  <c r="BF55" i="63" s="1"/>
  <c r="BF59" i="63" s="1"/>
  <c r="BJ57" i="63"/>
  <c r="BK57" i="63" s="1"/>
  <c r="BL58" i="63" s="1"/>
  <c r="BM57" i="63"/>
  <c r="BN58" i="63" s="1"/>
  <c r="BN57" i="63" s="1"/>
  <c r="BO57" i="63" s="1"/>
  <c r="BP57" i="63" s="1"/>
  <c r="BV57" i="63"/>
  <c r="BW57" i="63" s="1"/>
  <c r="BW55" i="63" s="1"/>
  <c r="F193" i="62"/>
  <c r="F3" i="62"/>
  <c r="G3" i="62"/>
  <c r="H3" i="62"/>
  <c r="AI137" i="19"/>
  <c r="AK135" i="19" a="1"/>
  <c r="AK135" i="19" s="1"/>
  <c r="AJ135" i="19" a="1"/>
  <c r="AJ135" i="19" s="1"/>
  <c r="AJ136" i="19" s="1"/>
  <c r="AJ132" i="19"/>
  <c r="AP48" i="62"/>
  <c r="AP51" i="62"/>
  <c r="AQ51" i="62" s="1"/>
  <c r="AP52" i="62"/>
  <c r="AQ52" i="62" s="1"/>
  <c r="E207" i="69" s="1"/>
  <c r="AP54" i="62"/>
  <c r="AP55" i="62"/>
  <c r="AP56" i="62"/>
  <c r="BK55" i="63"/>
  <c r="AL48" i="62"/>
  <c r="AF161" i="69"/>
  <c r="AF164" i="69"/>
  <c r="AF162" i="69"/>
  <c r="C102" i="62"/>
  <c r="C104" i="62" s="1"/>
  <c r="C106" i="62" s="1"/>
  <c r="D102" i="62"/>
  <c r="D169" i="76"/>
  <c r="BO66" i="63"/>
  <c r="R33" i="19"/>
  <c r="AO58" i="62"/>
  <c r="AO48" i="62"/>
  <c r="AO54" i="62"/>
  <c r="AO55" i="62"/>
  <c r="AO56" i="62"/>
  <c r="D85" i="64"/>
  <c r="E85" i="64"/>
  <c r="D86" i="64"/>
  <c r="E86" i="64"/>
  <c r="C86" i="64"/>
  <c r="K254" i="62"/>
  <c r="L254" i="62"/>
  <c r="M254" i="62"/>
  <c r="AH44" i="62"/>
  <c r="AI44" i="62" s="1"/>
  <c r="BD10" i="63"/>
  <c r="BF10" i="63"/>
  <c r="O3" i="66" s="1"/>
  <c r="BG10" i="63"/>
  <c r="BH10" i="63"/>
  <c r="K158" i="69" s="1"/>
  <c r="BF24" i="63"/>
  <c r="BF23" i="63"/>
  <c r="AM76" i="62" s="1"/>
  <c r="BG23" i="63"/>
  <c r="J172" i="62"/>
  <c r="M172" i="62" s="1"/>
  <c r="AP175" i="62"/>
  <c r="Q33" i="19"/>
  <c r="O33" i="19"/>
  <c r="AP208" i="62"/>
  <c r="AO95" i="62"/>
  <c r="AP58" i="62"/>
  <c r="AX1" i="38"/>
  <c r="AY1" i="38"/>
  <c r="BC1" i="38" s="1"/>
  <c r="AI10" i="57" s="1"/>
  <c r="AZ1" i="38"/>
  <c r="BD1" i="38" s="1"/>
  <c r="BD35" i="38" s="1"/>
  <c r="BH1" i="38"/>
  <c r="BA1" i="38"/>
  <c r="BE1" i="38"/>
  <c r="BI1" i="38" s="1"/>
  <c r="BI35" i="38" s="1"/>
  <c r="BM1" i="38"/>
  <c r="BQ1" i="38" s="1"/>
  <c r="BO75" i="63"/>
  <c r="BO76" i="63"/>
  <c r="A35" i="63"/>
  <c r="A36" i="63"/>
  <c r="BB68" i="63"/>
  <c r="BP68" i="63"/>
  <c r="BS68" i="63"/>
  <c r="D145" i="76"/>
  <c r="B36" i="18"/>
  <c r="C32" i="18"/>
  <c r="B32" i="18"/>
  <c r="C27" i="18"/>
  <c r="C26" i="18"/>
  <c r="C25" i="18"/>
  <c r="C24" i="18"/>
  <c r="C23" i="18"/>
  <c r="C22" i="18"/>
  <c r="I10" i="18"/>
  <c r="F7" i="18"/>
  <c r="F3" i="18"/>
  <c r="E7" i="18" s="1"/>
  <c r="E8" i="18" s="1"/>
  <c r="I1" i="18"/>
  <c r="AN6" i="39"/>
  <c r="BC23" i="39"/>
  <c r="AW202" i="38"/>
  <c r="AW159" i="38"/>
  <c r="FK157" i="38"/>
  <c r="FJ157" i="38"/>
  <c r="FI157" i="38"/>
  <c r="FH157" i="38"/>
  <c r="FG157" i="38"/>
  <c r="FF157" i="38"/>
  <c r="FE157" i="38"/>
  <c r="FD157" i="38"/>
  <c r="FC157" i="38"/>
  <c r="FB157" i="38"/>
  <c r="FA157" i="38"/>
  <c r="EZ157" i="38"/>
  <c r="EY157" i="38"/>
  <c r="EX157" i="38"/>
  <c r="EW157" i="38"/>
  <c r="EV157" i="38"/>
  <c r="EU157" i="38"/>
  <c r="ET157" i="38"/>
  <c r="ES157" i="38"/>
  <c r="ER157" i="38"/>
  <c r="EQ157" i="38"/>
  <c r="EP157" i="38"/>
  <c r="EO157" i="38"/>
  <c r="EN157" i="38"/>
  <c r="EM157" i="38"/>
  <c r="EL157" i="38"/>
  <c r="EK157" i="38"/>
  <c r="EJ157" i="38"/>
  <c r="EI157" i="38"/>
  <c r="EH157" i="38"/>
  <c r="EG157" i="38"/>
  <c r="EF157" i="38"/>
  <c r="EE157" i="38"/>
  <c r="ED157" i="38"/>
  <c r="EC157" i="38"/>
  <c r="EB157" i="38"/>
  <c r="EA157" i="38"/>
  <c r="DZ157" i="38"/>
  <c r="DY157" i="38"/>
  <c r="DX157" i="38"/>
  <c r="DW157" i="38"/>
  <c r="DV157" i="38"/>
  <c r="DU157" i="38"/>
  <c r="DT157" i="38"/>
  <c r="FK156" i="38"/>
  <c r="FJ156" i="38"/>
  <c r="FI156" i="38"/>
  <c r="FH156" i="38"/>
  <c r="FG156" i="38"/>
  <c r="FF156" i="38"/>
  <c r="FE156" i="38"/>
  <c r="FD156" i="38"/>
  <c r="FC156" i="38"/>
  <c r="FB156" i="38"/>
  <c r="FA156" i="38"/>
  <c r="EZ156" i="38"/>
  <c r="EY156" i="38"/>
  <c r="EX156" i="38"/>
  <c r="EW156" i="38"/>
  <c r="EV156" i="38"/>
  <c r="EU156" i="38"/>
  <c r="ET156" i="38"/>
  <c r="ES156" i="38"/>
  <c r="ER156" i="38"/>
  <c r="EQ156" i="38"/>
  <c r="EP156" i="38"/>
  <c r="EO156" i="38"/>
  <c r="EN156" i="38"/>
  <c r="EM156" i="38"/>
  <c r="EL156" i="38"/>
  <c r="EK156" i="38"/>
  <c r="EJ156" i="38"/>
  <c r="EI156" i="38"/>
  <c r="EH156" i="38"/>
  <c r="EG156" i="38"/>
  <c r="EF156" i="38"/>
  <c r="EE156" i="38"/>
  <c r="ED156" i="38"/>
  <c r="EC156" i="38"/>
  <c r="EB156" i="38"/>
  <c r="EA156" i="38"/>
  <c r="DZ156" i="38"/>
  <c r="DY156" i="38"/>
  <c r="DX156" i="38"/>
  <c r="DW156" i="38"/>
  <c r="DV156" i="38"/>
  <c r="DU156" i="38"/>
  <c r="DT156" i="38"/>
  <c r="FK155" i="38"/>
  <c r="FJ155" i="38"/>
  <c r="FI155" i="38"/>
  <c r="FH155" i="38"/>
  <c r="FG155" i="38"/>
  <c r="FF155" i="38"/>
  <c r="FE155" i="38"/>
  <c r="FD155" i="38"/>
  <c r="FC155" i="38"/>
  <c r="FB155" i="38"/>
  <c r="FA155" i="38"/>
  <c r="EZ155" i="38"/>
  <c r="EY155" i="38"/>
  <c r="EX155" i="38"/>
  <c r="EW155" i="38"/>
  <c r="EV155" i="38"/>
  <c r="EU155" i="38"/>
  <c r="ET155" i="38"/>
  <c r="ES155" i="38"/>
  <c r="ER155" i="38"/>
  <c r="EQ155" i="38"/>
  <c r="EP155" i="38"/>
  <c r="EO155" i="38"/>
  <c r="EN155" i="38"/>
  <c r="EM155" i="38"/>
  <c r="EL155" i="38"/>
  <c r="EK155" i="38"/>
  <c r="EJ155" i="38"/>
  <c r="EI155" i="38"/>
  <c r="EH155" i="38"/>
  <c r="EG155" i="38"/>
  <c r="EF155" i="38"/>
  <c r="EE155" i="38"/>
  <c r="ED155" i="38"/>
  <c r="EC155" i="38"/>
  <c r="EB155" i="38"/>
  <c r="EA155" i="38"/>
  <c r="DZ155" i="38"/>
  <c r="DY155" i="38"/>
  <c r="DX155" i="38"/>
  <c r="DW155" i="38"/>
  <c r="DV155" i="38"/>
  <c r="DU155" i="38"/>
  <c r="DT155" i="38"/>
  <c r="FK154" i="38"/>
  <c r="FJ154" i="38"/>
  <c r="FI154" i="38"/>
  <c r="FH154" i="38"/>
  <c r="FG154" i="38"/>
  <c r="FF154" i="38"/>
  <c r="FE154" i="38"/>
  <c r="FD154" i="38"/>
  <c r="FC154" i="38"/>
  <c r="FB154" i="38"/>
  <c r="FA154" i="38"/>
  <c r="EZ154" i="38"/>
  <c r="EY154" i="38"/>
  <c r="EX154" i="38"/>
  <c r="EW154" i="38"/>
  <c r="EV154" i="38"/>
  <c r="EU154" i="38"/>
  <c r="ET154" i="38"/>
  <c r="ES154" i="38"/>
  <c r="ER154" i="38"/>
  <c r="EQ154" i="38"/>
  <c r="EP154" i="38"/>
  <c r="EO154" i="38"/>
  <c r="EN154" i="38"/>
  <c r="EM154" i="38"/>
  <c r="EL154" i="38"/>
  <c r="EK154" i="38"/>
  <c r="EJ154" i="38"/>
  <c r="EI154" i="38"/>
  <c r="EH154" i="38"/>
  <c r="EG154" i="38"/>
  <c r="EF154" i="38"/>
  <c r="EE154" i="38"/>
  <c r="ED154" i="38"/>
  <c r="EC154" i="38"/>
  <c r="EB154" i="38"/>
  <c r="EA154" i="38"/>
  <c r="DZ154" i="38"/>
  <c r="DY154" i="38"/>
  <c r="DX154" i="38"/>
  <c r="DW154" i="38"/>
  <c r="DV154" i="38"/>
  <c r="DU154" i="38"/>
  <c r="DT154" i="38"/>
  <c r="FK153" i="38"/>
  <c r="FJ153" i="38"/>
  <c r="FI153" i="38"/>
  <c r="FH153" i="38"/>
  <c r="FG153" i="38"/>
  <c r="FF153" i="38"/>
  <c r="FE153" i="38"/>
  <c r="FD153" i="38"/>
  <c r="FC153" i="38"/>
  <c r="FB153" i="38"/>
  <c r="FA153" i="38"/>
  <c r="EZ153" i="38"/>
  <c r="EY153" i="38"/>
  <c r="EX153" i="38"/>
  <c r="EW153" i="38"/>
  <c r="EV153" i="38"/>
  <c r="EU153" i="38"/>
  <c r="ET153" i="38"/>
  <c r="ES153" i="38"/>
  <c r="ER153" i="38"/>
  <c r="EQ153" i="38"/>
  <c r="EP153" i="38"/>
  <c r="EO153" i="38"/>
  <c r="EN153" i="38"/>
  <c r="EM153" i="38"/>
  <c r="EL153" i="38"/>
  <c r="EK153" i="38"/>
  <c r="EJ153" i="38"/>
  <c r="EI153" i="38"/>
  <c r="EH153" i="38"/>
  <c r="EG153" i="38"/>
  <c r="EF153" i="38"/>
  <c r="EE153" i="38"/>
  <c r="ED153" i="38"/>
  <c r="EC153" i="38"/>
  <c r="EB153" i="38"/>
  <c r="EA153" i="38"/>
  <c r="DZ153" i="38"/>
  <c r="DY153" i="38"/>
  <c r="DX153" i="38"/>
  <c r="DW153" i="38"/>
  <c r="DV153" i="38"/>
  <c r="DU153" i="38"/>
  <c r="DT153" i="38"/>
  <c r="FK152" i="38"/>
  <c r="FJ152" i="38"/>
  <c r="FI152" i="38"/>
  <c r="FH152" i="38"/>
  <c r="FG152" i="38"/>
  <c r="FF152" i="38"/>
  <c r="FE152" i="38"/>
  <c r="FD152" i="38"/>
  <c r="FC152" i="38"/>
  <c r="FB152" i="38"/>
  <c r="FA152" i="38"/>
  <c r="EZ152" i="38"/>
  <c r="EY152" i="38"/>
  <c r="EX152" i="38"/>
  <c r="EW152" i="38"/>
  <c r="EV152" i="38"/>
  <c r="EU152" i="38"/>
  <c r="ET152" i="38"/>
  <c r="ES152" i="38"/>
  <c r="ER152" i="38"/>
  <c r="EQ152" i="38"/>
  <c r="EP152" i="38"/>
  <c r="EO152" i="38"/>
  <c r="EN152" i="38"/>
  <c r="EM152" i="38"/>
  <c r="EL152" i="38"/>
  <c r="EK152" i="38"/>
  <c r="EJ152" i="38"/>
  <c r="EI152" i="38"/>
  <c r="EH152" i="38"/>
  <c r="EG152" i="38"/>
  <c r="EF152" i="38"/>
  <c r="EE152" i="38"/>
  <c r="ED152" i="38"/>
  <c r="EC152" i="38"/>
  <c r="EB152" i="38"/>
  <c r="EA152" i="38"/>
  <c r="DZ152" i="38"/>
  <c r="DY152" i="38"/>
  <c r="DX152" i="38"/>
  <c r="DW152" i="38"/>
  <c r="DV152" i="38"/>
  <c r="DU152" i="38"/>
  <c r="DT152" i="38"/>
  <c r="FK151" i="38"/>
  <c r="FJ151" i="38"/>
  <c r="FI151" i="38"/>
  <c r="FH151" i="38"/>
  <c r="FG151" i="38"/>
  <c r="FF151" i="38"/>
  <c r="FE151" i="38"/>
  <c r="FD151" i="38"/>
  <c r="FC151" i="38"/>
  <c r="FB151" i="38"/>
  <c r="FA151" i="38"/>
  <c r="EZ151" i="38"/>
  <c r="EY151" i="38"/>
  <c r="EX151" i="38"/>
  <c r="EW151" i="38"/>
  <c r="EV151" i="38"/>
  <c r="EU151" i="38"/>
  <c r="ET151" i="38"/>
  <c r="ES151" i="38"/>
  <c r="ER151" i="38"/>
  <c r="EQ151" i="38"/>
  <c r="EP151" i="38"/>
  <c r="EO151" i="38"/>
  <c r="EN151" i="38"/>
  <c r="EM151" i="38"/>
  <c r="EL151" i="38"/>
  <c r="EK151" i="38"/>
  <c r="EJ151" i="38"/>
  <c r="EI151" i="38"/>
  <c r="EH151" i="38"/>
  <c r="EG151" i="38"/>
  <c r="EF151" i="38"/>
  <c r="EE151" i="38"/>
  <c r="ED151" i="38"/>
  <c r="EC151" i="38"/>
  <c r="EB151" i="38"/>
  <c r="EA151" i="38"/>
  <c r="DZ151" i="38"/>
  <c r="DY151" i="38"/>
  <c r="DX151" i="38"/>
  <c r="DW151" i="38"/>
  <c r="DV151" i="38"/>
  <c r="DU151" i="38"/>
  <c r="DT151" i="38"/>
  <c r="FK150" i="38"/>
  <c r="FJ150" i="38"/>
  <c r="FI150" i="38"/>
  <c r="FH150" i="38"/>
  <c r="FG150" i="38"/>
  <c r="FF150" i="38"/>
  <c r="FE150" i="38"/>
  <c r="FD150" i="38"/>
  <c r="FC150" i="38"/>
  <c r="FB150" i="38"/>
  <c r="FA150" i="38"/>
  <c r="EZ150" i="38"/>
  <c r="EY150" i="38"/>
  <c r="EX150" i="38"/>
  <c r="EW150" i="38"/>
  <c r="EV150" i="38"/>
  <c r="EU150" i="38"/>
  <c r="ET150" i="38"/>
  <c r="ES150" i="38"/>
  <c r="ER150" i="38"/>
  <c r="EQ150" i="38"/>
  <c r="EP150" i="38"/>
  <c r="EO150" i="38"/>
  <c r="EN150" i="38"/>
  <c r="EM150" i="38"/>
  <c r="EL150" i="38"/>
  <c r="EK150" i="38"/>
  <c r="EJ150" i="38"/>
  <c r="EI150" i="38"/>
  <c r="EH150" i="38"/>
  <c r="EG150" i="38"/>
  <c r="EF150" i="38"/>
  <c r="EE150" i="38"/>
  <c r="ED150" i="38"/>
  <c r="EC150" i="38"/>
  <c r="EB150" i="38"/>
  <c r="EA150" i="38"/>
  <c r="DZ150" i="38"/>
  <c r="DY150" i="38"/>
  <c r="DX150" i="38"/>
  <c r="DW150" i="38"/>
  <c r="DV150" i="38"/>
  <c r="DU150" i="38"/>
  <c r="DT150" i="38"/>
  <c r="FK149" i="38"/>
  <c r="FJ149" i="38"/>
  <c r="FI149" i="38"/>
  <c r="FH149" i="38"/>
  <c r="FG149" i="38"/>
  <c r="FF149" i="38"/>
  <c r="FE149" i="38"/>
  <c r="FD149" i="38"/>
  <c r="FC149" i="38"/>
  <c r="FB149" i="38"/>
  <c r="FA149" i="38"/>
  <c r="EZ149" i="38"/>
  <c r="EY149" i="38"/>
  <c r="EX149" i="38"/>
  <c r="EW149" i="38"/>
  <c r="EV149" i="38"/>
  <c r="EU149" i="38"/>
  <c r="ET149" i="38"/>
  <c r="ES149" i="38"/>
  <c r="ER149" i="38"/>
  <c r="EQ149" i="38"/>
  <c r="EP149" i="38"/>
  <c r="EO149" i="38"/>
  <c r="EN149" i="38"/>
  <c r="EM149" i="38"/>
  <c r="EL149" i="38"/>
  <c r="EK149" i="38"/>
  <c r="EJ149" i="38"/>
  <c r="EI149" i="38"/>
  <c r="EH149" i="38"/>
  <c r="EG149" i="38"/>
  <c r="EF149" i="38"/>
  <c r="EE149" i="38"/>
  <c r="ED149" i="38"/>
  <c r="EC149" i="38"/>
  <c r="EB149" i="38"/>
  <c r="EA149" i="38"/>
  <c r="DZ149" i="38"/>
  <c r="DY149" i="38"/>
  <c r="DX149" i="38"/>
  <c r="DW149" i="38"/>
  <c r="DV149" i="38"/>
  <c r="DU149" i="38"/>
  <c r="DT149" i="38"/>
  <c r="FK148" i="38"/>
  <c r="FJ148" i="38"/>
  <c r="FI148" i="38"/>
  <c r="FH148" i="38"/>
  <c r="FG148" i="38"/>
  <c r="FF148" i="38"/>
  <c r="FE148" i="38"/>
  <c r="FD148" i="38"/>
  <c r="FC148" i="38"/>
  <c r="FB148" i="38"/>
  <c r="FA148" i="38"/>
  <c r="EZ148" i="38"/>
  <c r="EY148" i="38"/>
  <c r="EX148" i="38"/>
  <c r="EW148" i="38"/>
  <c r="EV148" i="38"/>
  <c r="EU148" i="38"/>
  <c r="ET148" i="38"/>
  <c r="ES148" i="38"/>
  <c r="ER148" i="38"/>
  <c r="EQ148" i="38"/>
  <c r="EP148" i="38"/>
  <c r="EO148" i="38"/>
  <c r="EN148" i="38"/>
  <c r="EM148" i="38"/>
  <c r="EL148" i="38"/>
  <c r="EK148" i="38"/>
  <c r="EJ148" i="38"/>
  <c r="EI148" i="38"/>
  <c r="EH148" i="38"/>
  <c r="EG148" i="38"/>
  <c r="EF148" i="38"/>
  <c r="EE148" i="38"/>
  <c r="ED148" i="38"/>
  <c r="EC148" i="38"/>
  <c r="EB148" i="38"/>
  <c r="EA148" i="38"/>
  <c r="DZ148" i="38"/>
  <c r="DY148" i="38"/>
  <c r="DX148" i="38"/>
  <c r="DW148" i="38"/>
  <c r="DV148" i="38"/>
  <c r="DU148" i="38"/>
  <c r="DT148" i="38"/>
  <c r="FK147" i="38"/>
  <c r="FJ147" i="38"/>
  <c r="FI147" i="38"/>
  <c r="FH147" i="38"/>
  <c r="FG147" i="38"/>
  <c r="FF147" i="38"/>
  <c r="FE147" i="38"/>
  <c r="FD147" i="38"/>
  <c r="FC147" i="38"/>
  <c r="FB147" i="38"/>
  <c r="FA147" i="38"/>
  <c r="EZ147" i="38"/>
  <c r="EY147" i="38"/>
  <c r="EX147" i="38"/>
  <c r="EW147" i="38"/>
  <c r="EV147" i="38"/>
  <c r="EU147" i="38"/>
  <c r="ET147" i="38"/>
  <c r="ES147" i="38"/>
  <c r="ER147" i="38"/>
  <c r="EQ147" i="38"/>
  <c r="EP147" i="38"/>
  <c r="EO147" i="38"/>
  <c r="EN147" i="38"/>
  <c r="EM147" i="38"/>
  <c r="EL147" i="38"/>
  <c r="EK147" i="38"/>
  <c r="EJ147" i="38"/>
  <c r="EI147" i="38"/>
  <c r="EH147" i="38"/>
  <c r="EG147" i="38"/>
  <c r="EF147" i="38"/>
  <c r="EE147" i="38"/>
  <c r="ED147" i="38"/>
  <c r="EC147" i="38"/>
  <c r="EB147" i="38"/>
  <c r="EA147" i="38"/>
  <c r="DZ147" i="38"/>
  <c r="DY147" i="38"/>
  <c r="DX147" i="38"/>
  <c r="DW147" i="38"/>
  <c r="DV147" i="38"/>
  <c r="DU147" i="38"/>
  <c r="DT147" i="38"/>
  <c r="FK146" i="38"/>
  <c r="FJ146" i="38"/>
  <c r="FI146" i="38"/>
  <c r="FH146" i="38"/>
  <c r="FG146" i="38"/>
  <c r="FF146" i="38"/>
  <c r="FE146" i="38"/>
  <c r="FD146" i="38"/>
  <c r="FC146" i="38"/>
  <c r="FB146" i="38"/>
  <c r="FA146" i="38"/>
  <c r="EZ146" i="38"/>
  <c r="EY146" i="38"/>
  <c r="EX146" i="38"/>
  <c r="EW146" i="38"/>
  <c r="EV146" i="38"/>
  <c r="EU146" i="38"/>
  <c r="ET146" i="38"/>
  <c r="ES146" i="38"/>
  <c r="ER146" i="38"/>
  <c r="EQ146" i="38"/>
  <c r="EP146" i="38"/>
  <c r="EO146" i="38"/>
  <c r="EN146" i="38"/>
  <c r="EM146" i="38"/>
  <c r="EL146" i="38"/>
  <c r="EK146" i="38"/>
  <c r="EJ146" i="38"/>
  <c r="EI146" i="38"/>
  <c r="EH146" i="38"/>
  <c r="EG146" i="38"/>
  <c r="EF146" i="38"/>
  <c r="EE146" i="38"/>
  <c r="ED146" i="38"/>
  <c r="EC146" i="38"/>
  <c r="EB146" i="38"/>
  <c r="EA146" i="38"/>
  <c r="DZ146" i="38"/>
  <c r="DY146" i="38"/>
  <c r="DX146" i="38"/>
  <c r="DW146" i="38"/>
  <c r="DV146" i="38"/>
  <c r="DU146" i="38"/>
  <c r="DT146" i="38"/>
  <c r="FK145" i="38"/>
  <c r="FJ145" i="38"/>
  <c r="FI145" i="38"/>
  <c r="FH145" i="38"/>
  <c r="FG145" i="38"/>
  <c r="FF145" i="38"/>
  <c r="FE145" i="38"/>
  <c r="FD145" i="38"/>
  <c r="FC145" i="38"/>
  <c r="FB145" i="38"/>
  <c r="FA145" i="38"/>
  <c r="EZ145" i="38"/>
  <c r="EY145" i="38"/>
  <c r="EX145" i="38"/>
  <c r="EW145" i="38"/>
  <c r="EV145" i="38"/>
  <c r="EU145" i="38"/>
  <c r="ET145" i="38"/>
  <c r="ES145" i="38"/>
  <c r="ER145" i="38"/>
  <c r="EQ145" i="38"/>
  <c r="EP145" i="38"/>
  <c r="EO145" i="38"/>
  <c r="EN145" i="38"/>
  <c r="EM145" i="38"/>
  <c r="EL145" i="38"/>
  <c r="EK145" i="38"/>
  <c r="EJ145" i="38"/>
  <c r="EI145" i="38"/>
  <c r="EH145" i="38"/>
  <c r="EG145" i="38"/>
  <c r="EF145" i="38"/>
  <c r="EE145" i="38"/>
  <c r="ED145" i="38"/>
  <c r="EC145" i="38"/>
  <c r="EB145" i="38"/>
  <c r="EA145" i="38"/>
  <c r="DZ145" i="38"/>
  <c r="DY145" i="38"/>
  <c r="DX145" i="38"/>
  <c r="DW145" i="38"/>
  <c r="DV145" i="38"/>
  <c r="DU145" i="38"/>
  <c r="DT145" i="38"/>
  <c r="FK144" i="38"/>
  <c r="FJ144" i="38"/>
  <c r="FI144" i="38"/>
  <c r="FH144" i="38"/>
  <c r="FG144" i="38"/>
  <c r="FF144" i="38"/>
  <c r="FE144" i="38"/>
  <c r="FD144" i="38"/>
  <c r="FC144" i="38"/>
  <c r="FB144" i="38"/>
  <c r="FA144" i="38"/>
  <c r="EZ144" i="38"/>
  <c r="EY144" i="38"/>
  <c r="EX144" i="38"/>
  <c r="EW144" i="38"/>
  <c r="EV144" i="38"/>
  <c r="EU144" i="38"/>
  <c r="ET144" i="38"/>
  <c r="ES144" i="38"/>
  <c r="ER144" i="38"/>
  <c r="EQ144" i="38"/>
  <c r="EP144" i="38"/>
  <c r="EO144" i="38"/>
  <c r="EN144" i="38"/>
  <c r="EM144" i="38"/>
  <c r="EL144" i="38"/>
  <c r="EK144" i="38"/>
  <c r="EJ144" i="38"/>
  <c r="EI144" i="38"/>
  <c r="EH144" i="38"/>
  <c r="EG144" i="38"/>
  <c r="EF144" i="38"/>
  <c r="EE144" i="38"/>
  <c r="ED144" i="38"/>
  <c r="EC144" i="38"/>
  <c r="EB144" i="38"/>
  <c r="EA144" i="38"/>
  <c r="DZ144" i="38"/>
  <c r="DY144" i="38"/>
  <c r="DX144" i="38"/>
  <c r="DW144" i="38"/>
  <c r="DV144" i="38"/>
  <c r="DU144" i="38"/>
  <c r="DT144" i="38"/>
  <c r="FK143" i="38"/>
  <c r="FJ143" i="38"/>
  <c r="FI143" i="38"/>
  <c r="FH143" i="38"/>
  <c r="FG143" i="38"/>
  <c r="FF143" i="38"/>
  <c r="FE143" i="38"/>
  <c r="FD143" i="38"/>
  <c r="FC143" i="38"/>
  <c r="FB143" i="38"/>
  <c r="FA143" i="38"/>
  <c r="EZ143" i="38"/>
  <c r="EY143" i="38"/>
  <c r="EX143" i="38"/>
  <c r="EW143" i="38"/>
  <c r="EV143" i="38"/>
  <c r="EU143" i="38"/>
  <c r="ET143" i="38"/>
  <c r="ES143" i="38"/>
  <c r="ER143" i="38"/>
  <c r="EQ143" i="38"/>
  <c r="EP143" i="38"/>
  <c r="EO143" i="38"/>
  <c r="EN143" i="38"/>
  <c r="EM143" i="38"/>
  <c r="EL143" i="38"/>
  <c r="EK143" i="38"/>
  <c r="EJ143" i="38"/>
  <c r="EI143" i="38"/>
  <c r="EH143" i="38"/>
  <c r="EG143" i="38"/>
  <c r="EF143" i="38"/>
  <c r="EE143" i="38"/>
  <c r="ED143" i="38"/>
  <c r="EC143" i="38"/>
  <c r="EB143" i="38"/>
  <c r="EA143" i="38"/>
  <c r="DZ143" i="38"/>
  <c r="DY143" i="38"/>
  <c r="DX143" i="38"/>
  <c r="DW143" i="38"/>
  <c r="DV143" i="38"/>
  <c r="DU143" i="38"/>
  <c r="DT143" i="38"/>
  <c r="FK142" i="38"/>
  <c r="FJ142" i="38"/>
  <c r="FI142" i="38"/>
  <c r="FH142" i="38"/>
  <c r="FG142" i="38"/>
  <c r="FF142" i="38"/>
  <c r="FE142" i="38"/>
  <c r="FD142" i="38"/>
  <c r="FC142" i="38"/>
  <c r="FB142" i="38"/>
  <c r="FA142" i="38"/>
  <c r="EZ142" i="38"/>
  <c r="EY142" i="38"/>
  <c r="EX142" i="38"/>
  <c r="EW142" i="38"/>
  <c r="EV142" i="38"/>
  <c r="EU142" i="38"/>
  <c r="ET142" i="38"/>
  <c r="ES142" i="38"/>
  <c r="ER142" i="38"/>
  <c r="EQ142" i="38"/>
  <c r="EP142" i="38"/>
  <c r="EO142" i="38"/>
  <c r="EN142" i="38"/>
  <c r="EM142" i="38"/>
  <c r="EL142" i="38"/>
  <c r="EK142" i="38"/>
  <c r="EJ142" i="38"/>
  <c r="EI142" i="38"/>
  <c r="EH142" i="38"/>
  <c r="EG142" i="38"/>
  <c r="EF142" i="38"/>
  <c r="EE142" i="38"/>
  <c r="ED142" i="38"/>
  <c r="EC142" i="38"/>
  <c r="EB142" i="38"/>
  <c r="EA142" i="38"/>
  <c r="DZ142" i="38"/>
  <c r="DY142" i="38"/>
  <c r="DX142" i="38"/>
  <c r="DW142" i="38"/>
  <c r="DV142" i="38"/>
  <c r="DU142" i="38"/>
  <c r="DT142" i="38"/>
  <c r="FK141" i="38"/>
  <c r="FJ141" i="38"/>
  <c r="FI141" i="38"/>
  <c r="FH141" i="38"/>
  <c r="FG141" i="38"/>
  <c r="FF141" i="38"/>
  <c r="FE141" i="38"/>
  <c r="FD141" i="38"/>
  <c r="FC141" i="38"/>
  <c r="FB141" i="38"/>
  <c r="FA141" i="38"/>
  <c r="EZ141" i="38"/>
  <c r="EY141" i="38"/>
  <c r="EX141" i="38"/>
  <c r="EW141" i="38"/>
  <c r="EV141" i="38"/>
  <c r="EU141" i="38"/>
  <c r="ET141" i="38"/>
  <c r="ES141" i="38"/>
  <c r="ER141" i="38"/>
  <c r="EQ141" i="38"/>
  <c r="EP141" i="38"/>
  <c r="EO141" i="38"/>
  <c r="EN141" i="38"/>
  <c r="EM141" i="38"/>
  <c r="EL141" i="38"/>
  <c r="EK141" i="38"/>
  <c r="EJ141" i="38"/>
  <c r="EI141" i="38"/>
  <c r="EH141" i="38"/>
  <c r="EG141" i="38"/>
  <c r="EF141" i="38"/>
  <c r="EE141" i="38"/>
  <c r="ED141" i="38"/>
  <c r="EC141" i="38"/>
  <c r="EB141" i="38"/>
  <c r="EA141" i="38"/>
  <c r="DZ141" i="38"/>
  <c r="DY141" i="38"/>
  <c r="DX141" i="38"/>
  <c r="DW141" i="38"/>
  <c r="DV141" i="38"/>
  <c r="DU141" i="38"/>
  <c r="DT141" i="38"/>
  <c r="FK140" i="38"/>
  <c r="FJ140" i="38"/>
  <c r="FI140" i="38"/>
  <c r="FH140" i="38"/>
  <c r="FG140" i="38"/>
  <c r="FF140" i="38"/>
  <c r="FE140" i="38"/>
  <c r="FD140" i="38"/>
  <c r="FC140" i="38"/>
  <c r="FB140" i="38"/>
  <c r="FA140" i="38"/>
  <c r="EZ140" i="38"/>
  <c r="EY140" i="38"/>
  <c r="EX140" i="38"/>
  <c r="EW140" i="38"/>
  <c r="EV140" i="38"/>
  <c r="EU140" i="38"/>
  <c r="ET140" i="38"/>
  <c r="ES140" i="38"/>
  <c r="ER140" i="38"/>
  <c r="EQ140" i="38"/>
  <c r="EP140" i="38"/>
  <c r="EO140" i="38"/>
  <c r="EN140" i="38"/>
  <c r="EM140" i="38"/>
  <c r="EL140" i="38"/>
  <c r="EK140" i="38"/>
  <c r="EJ140" i="38"/>
  <c r="EI140" i="38"/>
  <c r="EH140" i="38"/>
  <c r="EG140" i="38"/>
  <c r="EF140" i="38"/>
  <c r="EE140" i="38"/>
  <c r="ED140" i="38"/>
  <c r="EC140" i="38"/>
  <c r="EB140" i="38"/>
  <c r="EA140" i="38"/>
  <c r="DZ140" i="38"/>
  <c r="DY140" i="38"/>
  <c r="DX140" i="38"/>
  <c r="DW140" i="38"/>
  <c r="DV140" i="38"/>
  <c r="DU140" i="38"/>
  <c r="DT140" i="38"/>
  <c r="FK139" i="38"/>
  <c r="FJ139" i="38"/>
  <c r="FI139" i="38"/>
  <c r="FH139" i="38"/>
  <c r="FG139" i="38"/>
  <c r="FF139" i="38"/>
  <c r="FE139" i="38"/>
  <c r="FD139" i="38"/>
  <c r="FC139" i="38"/>
  <c r="FB139" i="38"/>
  <c r="FA139" i="38"/>
  <c r="EZ139" i="38"/>
  <c r="EY139" i="38"/>
  <c r="EX139" i="38"/>
  <c r="EW139" i="38"/>
  <c r="EV139" i="38"/>
  <c r="EU139" i="38"/>
  <c r="ET139" i="38"/>
  <c r="ES139" i="38"/>
  <c r="ER139" i="38"/>
  <c r="EQ139" i="38"/>
  <c r="EP139" i="38"/>
  <c r="EO139" i="38"/>
  <c r="EN139" i="38"/>
  <c r="EM139" i="38"/>
  <c r="EL139" i="38"/>
  <c r="EK139" i="38"/>
  <c r="EJ139" i="38"/>
  <c r="EI139" i="38"/>
  <c r="EH139" i="38"/>
  <c r="EG139" i="38"/>
  <c r="EF139" i="38"/>
  <c r="EE139" i="38"/>
  <c r="ED139" i="38"/>
  <c r="EC139" i="38"/>
  <c r="EB139" i="38"/>
  <c r="EA139" i="38"/>
  <c r="DZ139" i="38"/>
  <c r="DY139" i="38"/>
  <c r="DX139" i="38"/>
  <c r="DW139" i="38"/>
  <c r="DV139" i="38"/>
  <c r="DU139" i="38"/>
  <c r="DT139" i="38"/>
  <c r="FK138" i="38"/>
  <c r="FJ138" i="38"/>
  <c r="FI138" i="38"/>
  <c r="FH138" i="38"/>
  <c r="FG138" i="38"/>
  <c r="FF138" i="38"/>
  <c r="FE138" i="38"/>
  <c r="FD138" i="38"/>
  <c r="FC138" i="38"/>
  <c r="FB138" i="38"/>
  <c r="FA138" i="38"/>
  <c r="EZ138" i="38"/>
  <c r="EY138" i="38"/>
  <c r="EX138" i="38"/>
  <c r="EW138" i="38"/>
  <c r="EV138" i="38"/>
  <c r="EU138" i="38"/>
  <c r="ET138" i="38"/>
  <c r="ES138" i="38"/>
  <c r="ER138" i="38"/>
  <c r="EQ138" i="38"/>
  <c r="EP138" i="38"/>
  <c r="EO138" i="38"/>
  <c r="EN138" i="38"/>
  <c r="EM138" i="38"/>
  <c r="EL138" i="38"/>
  <c r="EK138" i="38"/>
  <c r="EJ138" i="38"/>
  <c r="EI138" i="38"/>
  <c r="EH138" i="38"/>
  <c r="EG138" i="38"/>
  <c r="EF138" i="38"/>
  <c r="EE138" i="38"/>
  <c r="ED138" i="38"/>
  <c r="EC138" i="38"/>
  <c r="EB138" i="38"/>
  <c r="EA138" i="38"/>
  <c r="DZ138" i="38"/>
  <c r="DY138" i="38"/>
  <c r="DX138" i="38"/>
  <c r="DW138" i="38"/>
  <c r="DV138" i="38"/>
  <c r="DU138" i="38"/>
  <c r="DT138" i="38"/>
  <c r="FK137" i="38"/>
  <c r="FJ137" i="38"/>
  <c r="FI137" i="38"/>
  <c r="FH137" i="38"/>
  <c r="FG137" i="38"/>
  <c r="FF137" i="38"/>
  <c r="FE137" i="38"/>
  <c r="FD137" i="38"/>
  <c r="FC137" i="38"/>
  <c r="FB137" i="38"/>
  <c r="FA137" i="38"/>
  <c r="EZ137" i="38"/>
  <c r="EY137" i="38"/>
  <c r="EX137" i="38"/>
  <c r="EW137" i="38"/>
  <c r="EV137" i="38"/>
  <c r="EU137" i="38"/>
  <c r="ET137" i="38"/>
  <c r="ES137" i="38"/>
  <c r="ER137" i="38"/>
  <c r="EQ137" i="38"/>
  <c r="EP137" i="38"/>
  <c r="EO137" i="38"/>
  <c r="EN137" i="38"/>
  <c r="EM137" i="38"/>
  <c r="EL137" i="38"/>
  <c r="EK137" i="38"/>
  <c r="EJ137" i="38"/>
  <c r="EI137" i="38"/>
  <c r="EH137" i="38"/>
  <c r="EG137" i="38"/>
  <c r="EF137" i="38"/>
  <c r="EE137" i="38"/>
  <c r="ED137" i="38"/>
  <c r="EC137" i="38"/>
  <c r="EB137" i="38"/>
  <c r="EA137" i="38"/>
  <c r="DZ137" i="38"/>
  <c r="DY137" i="38"/>
  <c r="DX137" i="38"/>
  <c r="DW137" i="38"/>
  <c r="DV137" i="38"/>
  <c r="DU137" i="38"/>
  <c r="DT137" i="38"/>
  <c r="FK136" i="38"/>
  <c r="FJ136" i="38"/>
  <c r="FI136" i="38"/>
  <c r="FH136" i="38"/>
  <c r="FG136" i="38"/>
  <c r="FF136" i="38"/>
  <c r="FE136" i="38"/>
  <c r="FD136" i="38"/>
  <c r="FC136" i="38"/>
  <c r="FB136" i="38"/>
  <c r="FA136" i="38"/>
  <c r="EZ136" i="38"/>
  <c r="EY136" i="38"/>
  <c r="EX136" i="38"/>
  <c r="EW136" i="38"/>
  <c r="EV136" i="38"/>
  <c r="EU136" i="38"/>
  <c r="ET136" i="38"/>
  <c r="ES136" i="38"/>
  <c r="ER136" i="38"/>
  <c r="EQ136" i="38"/>
  <c r="EP136" i="38"/>
  <c r="EO136" i="38"/>
  <c r="EN136" i="38"/>
  <c r="EM136" i="38"/>
  <c r="EL136" i="38"/>
  <c r="EK136" i="38"/>
  <c r="EJ136" i="38"/>
  <c r="EI136" i="38"/>
  <c r="EH136" i="38"/>
  <c r="EG136" i="38"/>
  <c r="EF136" i="38"/>
  <c r="EE136" i="38"/>
  <c r="ED136" i="38"/>
  <c r="EC136" i="38"/>
  <c r="EB136" i="38"/>
  <c r="EA136" i="38"/>
  <c r="DZ136" i="38"/>
  <c r="DY136" i="38"/>
  <c r="DX136" i="38"/>
  <c r="DW136" i="38"/>
  <c r="DV136" i="38"/>
  <c r="DU136" i="38"/>
  <c r="DT136" i="38"/>
  <c r="FK135" i="38"/>
  <c r="FJ135" i="38"/>
  <c r="FI135" i="38"/>
  <c r="FH135" i="38"/>
  <c r="FG135" i="38"/>
  <c r="FF135" i="38"/>
  <c r="FE135" i="38"/>
  <c r="FD135" i="38"/>
  <c r="FC135" i="38"/>
  <c r="FB135" i="38"/>
  <c r="FA135" i="38"/>
  <c r="EZ135" i="38"/>
  <c r="EY135" i="38"/>
  <c r="EX135" i="38"/>
  <c r="EW135" i="38"/>
  <c r="EV135" i="38"/>
  <c r="EU135" i="38"/>
  <c r="ET135" i="38"/>
  <c r="ES135" i="38"/>
  <c r="ER135" i="38"/>
  <c r="EQ135" i="38"/>
  <c r="EP135" i="38"/>
  <c r="EO135" i="38"/>
  <c r="EN135" i="38"/>
  <c r="EM135" i="38"/>
  <c r="EL135" i="38"/>
  <c r="EK135" i="38"/>
  <c r="EJ135" i="38"/>
  <c r="EI135" i="38"/>
  <c r="EH135" i="38"/>
  <c r="EG135" i="38"/>
  <c r="EF135" i="38"/>
  <c r="EE135" i="38"/>
  <c r="ED135" i="38"/>
  <c r="EC135" i="38"/>
  <c r="EB135" i="38"/>
  <c r="EA135" i="38"/>
  <c r="DZ135" i="38"/>
  <c r="DY135" i="38"/>
  <c r="DX135" i="38"/>
  <c r="DW135" i="38"/>
  <c r="DV135" i="38"/>
  <c r="DU135" i="38"/>
  <c r="DT135" i="38"/>
  <c r="FK134" i="38"/>
  <c r="FJ134" i="38"/>
  <c r="FI134" i="38"/>
  <c r="FH134" i="38"/>
  <c r="FG134" i="38"/>
  <c r="FF134" i="38"/>
  <c r="FE134" i="38"/>
  <c r="FD134" i="38"/>
  <c r="FC134" i="38"/>
  <c r="FB134" i="38"/>
  <c r="FA134" i="38"/>
  <c r="EZ134" i="38"/>
  <c r="EY134" i="38"/>
  <c r="EX134" i="38"/>
  <c r="EW134" i="38"/>
  <c r="EV134" i="38"/>
  <c r="EU134" i="38"/>
  <c r="ET134" i="38"/>
  <c r="ES134" i="38"/>
  <c r="ER134" i="38"/>
  <c r="EQ134" i="38"/>
  <c r="EP134" i="38"/>
  <c r="EO134" i="38"/>
  <c r="EN134" i="38"/>
  <c r="EM134" i="38"/>
  <c r="EL134" i="38"/>
  <c r="EK134" i="38"/>
  <c r="EJ134" i="38"/>
  <c r="EI134" i="38"/>
  <c r="EH134" i="38"/>
  <c r="EG134" i="38"/>
  <c r="EF134" i="38"/>
  <c r="EE134" i="38"/>
  <c r="ED134" i="38"/>
  <c r="EC134" i="38"/>
  <c r="EB134" i="38"/>
  <c r="EA134" i="38"/>
  <c r="DZ134" i="38"/>
  <c r="DY134" i="38"/>
  <c r="DX134" i="38"/>
  <c r="DW134" i="38"/>
  <c r="DV134" i="38"/>
  <c r="DU134" i="38"/>
  <c r="DT134" i="38"/>
  <c r="FK133" i="38"/>
  <c r="FJ133" i="38"/>
  <c r="FI133" i="38"/>
  <c r="FH133" i="38"/>
  <c r="FG133" i="38"/>
  <c r="FF133" i="38"/>
  <c r="FE133" i="38"/>
  <c r="FD133" i="38"/>
  <c r="FC133" i="38"/>
  <c r="FB133" i="38"/>
  <c r="FA133" i="38"/>
  <c r="EZ133" i="38"/>
  <c r="EY133" i="38"/>
  <c r="EX133" i="38"/>
  <c r="EW133" i="38"/>
  <c r="EV133" i="38"/>
  <c r="EU133" i="38"/>
  <c r="ET133" i="38"/>
  <c r="ES133" i="38"/>
  <c r="ER133" i="38"/>
  <c r="EQ133" i="38"/>
  <c r="EP133" i="38"/>
  <c r="EO133" i="38"/>
  <c r="EN133" i="38"/>
  <c r="EM133" i="38"/>
  <c r="EL133" i="38"/>
  <c r="EK133" i="38"/>
  <c r="EJ133" i="38"/>
  <c r="EI133" i="38"/>
  <c r="EH133" i="38"/>
  <c r="EG133" i="38"/>
  <c r="EF133" i="38"/>
  <c r="EE133" i="38"/>
  <c r="ED133" i="38"/>
  <c r="EC133" i="38"/>
  <c r="EB133" i="38"/>
  <c r="EA133" i="38"/>
  <c r="DZ133" i="38"/>
  <c r="DY133" i="38"/>
  <c r="DX133" i="38"/>
  <c r="DW133" i="38"/>
  <c r="DV133" i="38"/>
  <c r="DU133" i="38"/>
  <c r="DT133" i="38"/>
  <c r="FK132" i="38"/>
  <c r="FJ132" i="38"/>
  <c r="FI132" i="38"/>
  <c r="FH132" i="38"/>
  <c r="FG132" i="38"/>
  <c r="FF132" i="38"/>
  <c r="FE132" i="38"/>
  <c r="FD132" i="38"/>
  <c r="FC132" i="38"/>
  <c r="FB132" i="38"/>
  <c r="FA132" i="38"/>
  <c r="EZ132" i="38"/>
  <c r="EY132" i="38"/>
  <c r="EX132" i="38"/>
  <c r="EW132" i="38"/>
  <c r="EV132" i="38"/>
  <c r="EU132" i="38"/>
  <c r="ET132" i="38"/>
  <c r="ES132" i="38"/>
  <c r="ER132" i="38"/>
  <c r="EQ132" i="38"/>
  <c r="EP132" i="38"/>
  <c r="EO132" i="38"/>
  <c r="EN132" i="38"/>
  <c r="EM132" i="38"/>
  <c r="EL132" i="38"/>
  <c r="EK132" i="38"/>
  <c r="EJ132" i="38"/>
  <c r="EI132" i="38"/>
  <c r="EH132" i="38"/>
  <c r="EG132" i="38"/>
  <c r="EF132" i="38"/>
  <c r="EE132" i="38"/>
  <c r="ED132" i="38"/>
  <c r="EC132" i="38"/>
  <c r="EB132" i="38"/>
  <c r="EA132" i="38"/>
  <c r="DZ132" i="38"/>
  <c r="DY132" i="38"/>
  <c r="DX132" i="38"/>
  <c r="DW132" i="38"/>
  <c r="DV132" i="38"/>
  <c r="DU132" i="38"/>
  <c r="DT132" i="38"/>
  <c r="FK131" i="38"/>
  <c r="FJ131" i="38"/>
  <c r="FI131" i="38"/>
  <c r="FH131" i="38"/>
  <c r="FG131" i="38"/>
  <c r="FF131" i="38"/>
  <c r="FE131" i="38"/>
  <c r="FD131" i="38"/>
  <c r="FC131" i="38"/>
  <c r="FB131" i="38"/>
  <c r="FA131" i="38"/>
  <c r="EZ131" i="38"/>
  <c r="EY131" i="38"/>
  <c r="EX131" i="38"/>
  <c r="EW131" i="38"/>
  <c r="EV131" i="38"/>
  <c r="EU131" i="38"/>
  <c r="ET131" i="38"/>
  <c r="ES131" i="38"/>
  <c r="ER131" i="38"/>
  <c r="EQ131" i="38"/>
  <c r="EP131" i="38"/>
  <c r="EO131" i="38"/>
  <c r="EN131" i="38"/>
  <c r="EM131" i="38"/>
  <c r="EL131" i="38"/>
  <c r="EK131" i="38"/>
  <c r="EJ131" i="38"/>
  <c r="EI131" i="38"/>
  <c r="EH131" i="38"/>
  <c r="EG131" i="38"/>
  <c r="EF131" i="38"/>
  <c r="EE131" i="38"/>
  <c r="ED131" i="38"/>
  <c r="EC131" i="38"/>
  <c r="EB131" i="38"/>
  <c r="EA131" i="38"/>
  <c r="DZ131" i="38"/>
  <c r="DY131" i="38"/>
  <c r="DX131" i="38"/>
  <c r="DW131" i="38"/>
  <c r="DV131" i="38"/>
  <c r="DU131" i="38"/>
  <c r="DT131" i="38"/>
  <c r="FK130" i="38"/>
  <c r="FJ130" i="38"/>
  <c r="FI130" i="38"/>
  <c r="FH130" i="38"/>
  <c r="FG130" i="38"/>
  <c r="FF130" i="38"/>
  <c r="FE130" i="38"/>
  <c r="FD130" i="38"/>
  <c r="FC130" i="38"/>
  <c r="FB130" i="38"/>
  <c r="FA130" i="38"/>
  <c r="EZ130" i="38"/>
  <c r="EY130" i="38"/>
  <c r="EX130" i="38"/>
  <c r="EW130" i="38"/>
  <c r="EV130" i="38"/>
  <c r="EU130" i="38"/>
  <c r="ET130" i="38"/>
  <c r="ES130" i="38"/>
  <c r="ER130" i="38"/>
  <c r="EQ130" i="38"/>
  <c r="EP130" i="38"/>
  <c r="EO130" i="38"/>
  <c r="EN130" i="38"/>
  <c r="EM130" i="38"/>
  <c r="EL130" i="38"/>
  <c r="EK130" i="38"/>
  <c r="EJ130" i="38"/>
  <c r="EI130" i="38"/>
  <c r="EH130" i="38"/>
  <c r="EG130" i="38"/>
  <c r="EF130" i="38"/>
  <c r="EE130" i="38"/>
  <c r="ED130" i="38"/>
  <c r="EC130" i="38"/>
  <c r="EB130" i="38"/>
  <c r="EA130" i="38"/>
  <c r="DZ130" i="38"/>
  <c r="DY130" i="38"/>
  <c r="DX130" i="38"/>
  <c r="DW130" i="38"/>
  <c r="DV130" i="38"/>
  <c r="DU130" i="38"/>
  <c r="DT130" i="38"/>
  <c r="FK129" i="38"/>
  <c r="FJ129" i="38"/>
  <c r="FI129" i="38"/>
  <c r="FH129" i="38"/>
  <c r="FG129" i="38"/>
  <c r="FF129" i="38"/>
  <c r="FE129" i="38"/>
  <c r="FD129" i="38"/>
  <c r="FC129" i="38"/>
  <c r="FB129" i="38"/>
  <c r="FA129" i="38"/>
  <c r="EZ129" i="38"/>
  <c r="EY129" i="38"/>
  <c r="EX129" i="38"/>
  <c r="EW129" i="38"/>
  <c r="EV129" i="38"/>
  <c r="EU129" i="38"/>
  <c r="ET129" i="38"/>
  <c r="ES129" i="38"/>
  <c r="ER129" i="38"/>
  <c r="EQ129" i="38"/>
  <c r="EP129" i="38"/>
  <c r="EO129" i="38"/>
  <c r="EN129" i="38"/>
  <c r="EM129" i="38"/>
  <c r="EL129" i="38"/>
  <c r="EK129" i="38"/>
  <c r="EJ129" i="38"/>
  <c r="EI129" i="38"/>
  <c r="EH129" i="38"/>
  <c r="EG129" i="38"/>
  <c r="EF129" i="38"/>
  <c r="EE129" i="38"/>
  <c r="ED129" i="38"/>
  <c r="EC129" i="38"/>
  <c r="EB129" i="38"/>
  <c r="EA129" i="38"/>
  <c r="DZ129" i="38"/>
  <c r="DY129" i="38"/>
  <c r="DX129" i="38"/>
  <c r="DW129" i="38"/>
  <c r="DV129" i="38"/>
  <c r="DU129" i="38"/>
  <c r="DT129" i="38"/>
  <c r="FK128" i="38"/>
  <c r="FJ128" i="38"/>
  <c r="FI128" i="38"/>
  <c r="FH128" i="38"/>
  <c r="FG128" i="38"/>
  <c r="FF128" i="38"/>
  <c r="FE128" i="38"/>
  <c r="FD128" i="38"/>
  <c r="FC128" i="38"/>
  <c r="FB128" i="38"/>
  <c r="FA128" i="38"/>
  <c r="EZ128" i="38"/>
  <c r="EY128" i="38"/>
  <c r="EX128" i="38"/>
  <c r="EW128" i="38"/>
  <c r="EV128" i="38"/>
  <c r="EU128" i="38"/>
  <c r="ET128" i="38"/>
  <c r="ES128" i="38"/>
  <c r="ER128" i="38"/>
  <c r="EQ128" i="38"/>
  <c r="EP128" i="38"/>
  <c r="EO128" i="38"/>
  <c r="EN128" i="38"/>
  <c r="EM128" i="38"/>
  <c r="EL128" i="38"/>
  <c r="EK128" i="38"/>
  <c r="EJ128" i="38"/>
  <c r="EI128" i="38"/>
  <c r="EH128" i="38"/>
  <c r="EG128" i="38"/>
  <c r="EF128" i="38"/>
  <c r="EE128" i="38"/>
  <c r="ED128" i="38"/>
  <c r="EC128" i="38"/>
  <c r="EB128" i="38"/>
  <c r="EA128" i="38"/>
  <c r="DZ128" i="38"/>
  <c r="DY128" i="38"/>
  <c r="DX128" i="38"/>
  <c r="DW128" i="38"/>
  <c r="DV128" i="38"/>
  <c r="DU128" i="38"/>
  <c r="DT128" i="38"/>
  <c r="FK127" i="38"/>
  <c r="FJ127" i="38"/>
  <c r="FI127" i="38"/>
  <c r="FH127" i="38"/>
  <c r="FG127" i="38"/>
  <c r="FF127" i="38"/>
  <c r="FE127" i="38"/>
  <c r="FD127" i="38"/>
  <c r="FC127" i="38"/>
  <c r="FB127" i="38"/>
  <c r="FA127" i="38"/>
  <c r="EZ127" i="38"/>
  <c r="EY127" i="38"/>
  <c r="EX127" i="38"/>
  <c r="EW127" i="38"/>
  <c r="EV127" i="38"/>
  <c r="EU127" i="38"/>
  <c r="ET127" i="38"/>
  <c r="ES127" i="38"/>
  <c r="ER127" i="38"/>
  <c r="EQ127" i="38"/>
  <c r="EP127" i="38"/>
  <c r="EO127" i="38"/>
  <c r="EN127" i="38"/>
  <c r="EM127" i="38"/>
  <c r="EL127" i="38"/>
  <c r="EK127" i="38"/>
  <c r="EJ127" i="38"/>
  <c r="EI127" i="38"/>
  <c r="EH127" i="38"/>
  <c r="EG127" i="38"/>
  <c r="EF127" i="38"/>
  <c r="EE127" i="38"/>
  <c r="ED127" i="38"/>
  <c r="EC127" i="38"/>
  <c r="EB127" i="38"/>
  <c r="EA127" i="38"/>
  <c r="DZ127" i="38"/>
  <c r="DY127" i="38"/>
  <c r="DX127" i="38"/>
  <c r="DW127" i="38"/>
  <c r="DV127" i="38"/>
  <c r="DU127" i="38"/>
  <c r="DT127" i="38"/>
  <c r="FK126" i="38"/>
  <c r="FJ126" i="38"/>
  <c r="FI126" i="38"/>
  <c r="FH126" i="38"/>
  <c r="FG126" i="38"/>
  <c r="FF126" i="38"/>
  <c r="FE126" i="38"/>
  <c r="FD126" i="38"/>
  <c r="FC126" i="38"/>
  <c r="FB126" i="38"/>
  <c r="FA126" i="38"/>
  <c r="EZ126" i="38"/>
  <c r="EY126" i="38"/>
  <c r="EX126" i="38"/>
  <c r="EW126" i="38"/>
  <c r="EV126" i="38"/>
  <c r="EU126" i="38"/>
  <c r="ET126" i="38"/>
  <c r="ES126" i="38"/>
  <c r="ER126" i="38"/>
  <c r="EQ126" i="38"/>
  <c r="EP126" i="38"/>
  <c r="EO126" i="38"/>
  <c r="EN126" i="38"/>
  <c r="EM126" i="38"/>
  <c r="EL126" i="38"/>
  <c r="EK126" i="38"/>
  <c r="EJ126" i="38"/>
  <c r="EI126" i="38"/>
  <c r="EH126" i="38"/>
  <c r="EG126" i="38"/>
  <c r="EF126" i="38"/>
  <c r="EE126" i="38"/>
  <c r="ED126" i="38"/>
  <c r="EC126" i="38"/>
  <c r="EB126" i="38"/>
  <c r="EA126" i="38"/>
  <c r="DZ126" i="38"/>
  <c r="DY126" i="38"/>
  <c r="DX126" i="38"/>
  <c r="DW126" i="38"/>
  <c r="DV126" i="38"/>
  <c r="DU126" i="38"/>
  <c r="DT126" i="38"/>
  <c r="FK125" i="38"/>
  <c r="FJ125" i="38"/>
  <c r="FI125" i="38"/>
  <c r="FH125" i="38"/>
  <c r="FG125" i="38"/>
  <c r="FF125" i="38"/>
  <c r="FE125" i="38"/>
  <c r="FD125" i="38"/>
  <c r="FC125" i="38"/>
  <c r="FB125" i="38"/>
  <c r="FA125" i="38"/>
  <c r="EZ125" i="38"/>
  <c r="EY125" i="38"/>
  <c r="EX125" i="38"/>
  <c r="EW125" i="38"/>
  <c r="EV125" i="38"/>
  <c r="EU125" i="38"/>
  <c r="ET125" i="38"/>
  <c r="ES125" i="38"/>
  <c r="ER125" i="38"/>
  <c r="EQ125" i="38"/>
  <c r="EP125" i="38"/>
  <c r="EO125" i="38"/>
  <c r="EN125" i="38"/>
  <c r="EM125" i="38"/>
  <c r="EL125" i="38"/>
  <c r="EK125" i="38"/>
  <c r="EJ125" i="38"/>
  <c r="EI125" i="38"/>
  <c r="EH125" i="38"/>
  <c r="EG125" i="38"/>
  <c r="EF125" i="38"/>
  <c r="EE125" i="38"/>
  <c r="ED125" i="38"/>
  <c r="EC125" i="38"/>
  <c r="EB125" i="38"/>
  <c r="EA125" i="38"/>
  <c r="DZ125" i="38"/>
  <c r="DY125" i="38"/>
  <c r="DX125" i="38"/>
  <c r="DW125" i="38"/>
  <c r="DV125" i="38"/>
  <c r="DU125" i="38"/>
  <c r="DT125" i="38"/>
  <c r="FK124" i="38"/>
  <c r="FJ124" i="38"/>
  <c r="FI124" i="38"/>
  <c r="FH124" i="38"/>
  <c r="FG124" i="38"/>
  <c r="FF124" i="38"/>
  <c r="FE124" i="38"/>
  <c r="FD124" i="38"/>
  <c r="FC124" i="38"/>
  <c r="FB124" i="38"/>
  <c r="FA124" i="38"/>
  <c r="EZ124" i="38"/>
  <c r="EY124" i="38"/>
  <c r="EX124" i="38"/>
  <c r="EW124" i="38"/>
  <c r="EV124" i="38"/>
  <c r="EU124" i="38"/>
  <c r="ET124" i="38"/>
  <c r="ES124" i="38"/>
  <c r="ER124" i="38"/>
  <c r="EQ124" i="38"/>
  <c r="EP124" i="38"/>
  <c r="EO124" i="38"/>
  <c r="EN124" i="38"/>
  <c r="EM124" i="38"/>
  <c r="EL124" i="38"/>
  <c r="EK124" i="38"/>
  <c r="EJ124" i="38"/>
  <c r="EI124" i="38"/>
  <c r="EH124" i="38"/>
  <c r="EG124" i="38"/>
  <c r="EF124" i="38"/>
  <c r="EE124" i="38"/>
  <c r="ED124" i="38"/>
  <c r="EC124" i="38"/>
  <c r="EB124" i="38"/>
  <c r="EA124" i="38"/>
  <c r="DZ124" i="38"/>
  <c r="DY124" i="38"/>
  <c r="DX124" i="38"/>
  <c r="DW124" i="38"/>
  <c r="DV124" i="38"/>
  <c r="DU124" i="38"/>
  <c r="DT124" i="38"/>
  <c r="FK123" i="38"/>
  <c r="FJ123" i="38"/>
  <c r="FI123" i="38"/>
  <c r="FH123" i="38"/>
  <c r="FG123" i="38"/>
  <c r="FF123" i="38"/>
  <c r="FE123" i="38"/>
  <c r="FD123" i="38"/>
  <c r="FC123" i="38"/>
  <c r="FB123" i="38"/>
  <c r="FA123" i="38"/>
  <c r="EZ123" i="38"/>
  <c r="EY123" i="38"/>
  <c r="EX123" i="38"/>
  <c r="EW123" i="38"/>
  <c r="EV123" i="38"/>
  <c r="EU123" i="38"/>
  <c r="ET123" i="38"/>
  <c r="ES123" i="38"/>
  <c r="ER123" i="38"/>
  <c r="EQ123" i="38"/>
  <c r="EP123" i="38"/>
  <c r="EO123" i="38"/>
  <c r="EN123" i="38"/>
  <c r="EM123" i="38"/>
  <c r="EL123" i="38"/>
  <c r="EK123" i="38"/>
  <c r="EJ123" i="38"/>
  <c r="EI123" i="38"/>
  <c r="EH123" i="38"/>
  <c r="EG123" i="38"/>
  <c r="EF123" i="38"/>
  <c r="EE123" i="38"/>
  <c r="ED123" i="38"/>
  <c r="EC123" i="38"/>
  <c r="EB123" i="38"/>
  <c r="EA123" i="38"/>
  <c r="DZ123" i="38"/>
  <c r="DY123" i="38"/>
  <c r="DX123" i="38"/>
  <c r="DW123" i="38"/>
  <c r="DV123" i="38"/>
  <c r="DU123" i="38"/>
  <c r="DT123" i="38"/>
  <c r="FK122" i="38"/>
  <c r="FJ122" i="38"/>
  <c r="FI122" i="38"/>
  <c r="FH122" i="38"/>
  <c r="FG122" i="38"/>
  <c r="FF122" i="38"/>
  <c r="FE122" i="38"/>
  <c r="FD122" i="38"/>
  <c r="FC122" i="38"/>
  <c r="FB122" i="38"/>
  <c r="FA122" i="38"/>
  <c r="EZ122" i="38"/>
  <c r="EY122" i="38"/>
  <c r="EX122" i="38"/>
  <c r="EW122" i="38"/>
  <c r="EV122" i="38"/>
  <c r="EU122" i="38"/>
  <c r="ET122" i="38"/>
  <c r="ES122" i="38"/>
  <c r="ER122" i="38"/>
  <c r="EQ122" i="38"/>
  <c r="EP122" i="38"/>
  <c r="EO122" i="38"/>
  <c r="EN122" i="38"/>
  <c r="EM122" i="38"/>
  <c r="EL122" i="38"/>
  <c r="EK122" i="38"/>
  <c r="EJ122" i="38"/>
  <c r="EI122" i="38"/>
  <c r="EH122" i="38"/>
  <c r="EG122" i="38"/>
  <c r="EF122" i="38"/>
  <c r="EE122" i="38"/>
  <c r="ED122" i="38"/>
  <c r="EC122" i="38"/>
  <c r="EB122" i="38"/>
  <c r="EA122" i="38"/>
  <c r="DZ122" i="38"/>
  <c r="DY122" i="38"/>
  <c r="DX122" i="38"/>
  <c r="DW122" i="38"/>
  <c r="DV122" i="38"/>
  <c r="DU122" i="38"/>
  <c r="DT122" i="38"/>
  <c r="FK121" i="38"/>
  <c r="FJ121" i="38"/>
  <c r="FI121" i="38"/>
  <c r="FH121" i="38"/>
  <c r="FG121" i="38"/>
  <c r="FF121" i="38"/>
  <c r="FE121" i="38"/>
  <c r="FD121" i="38"/>
  <c r="FC121" i="38"/>
  <c r="FB121" i="38"/>
  <c r="FA121" i="38"/>
  <c r="EZ121" i="38"/>
  <c r="EY121" i="38"/>
  <c r="EX121" i="38"/>
  <c r="EW121" i="38"/>
  <c r="EV121" i="38"/>
  <c r="EU121" i="38"/>
  <c r="ET121" i="38"/>
  <c r="ES121" i="38"/>
  <c r="ER121" i="38"/>
  <c r="EQ121" i="38"/>
  <c r="EP121" i="38"/>
  <c r="EO121" i="38"/>
  <c r="EN121" i="38"/>
  <c r="EM121" i="38"/>
  <c r="EL121" i="38"/>
  <c r="EK121" i="38"/>
  <c r="EJ121" i="38"/>
  <c r="EI121" i="38"/>
  <c r="EH121" i="38"/>
  <c r="EG121" i="38"/>
  <c r="EF121" i="38"/>
  <c r="EE121" i="38"/>
  <c r="ED121" i="38"/>
  <c r="EC121" i="38"/>
  <c r="EB121" i="38"/>
  <c r="EA121" i="38"/>
  <c r="DZ121" i="38"/>
  <c r="DY121" i="38"/>
  <c r="DX121" i="38"/>
  <c r="DW121" i="38"/>
  <c r="DV121" i="38"/>
  <c r="DU121" i="38"/>
  <c r="DT121" i="38"/>
  <c r="FK120" i="38"/>
  <c r="FJ120" i="38"/>
  <c r="FI120" i="38"/>
  <c r="FH120" i="38"/>
  <c r="FG120" i="38"/>
  <c r="FF120" i="38"/>
  <c r="FE120" i="38"/>
  <c r="FD120" i="38"/>
  <c r="FC120" i="38"/>
  <c r="FB120" i="38"/>
  <c r="FA120" i="38"/>
  <c r="EZ120" i="38"/>
  <c r="EY120" i="38"/>
  <c r="EX120" i="38"/>
  <c r="EW120" i="38"/>
  <c r="EV120" i="38"/>
  <c r="EU120" i="38"/>
  <c r="ET120" i="38"/>
  <c r="ES120" i="38"/>
  <c r="ER120" i="38"/>
  <c r="EQ120" i="38"/>
  <c r="EP120" i="38"/>
  <c r="EO120" i="38"/>
  <c r="EN120" i="38"/>
  <c r="EM120" i="38"/>
  <c r="EL120" i="38"/>
  <c r="EK120" i="38"/>
  <c r="EJ120" i="38"/>
  <c r="EI120" i="38"/>
  <c r="EH120" i="38"/>
  <c r="EG120" i="38"/>
  <c r="EF120" i="38"/>
  <c r="EE120" i="38"/>
  <c r="ED120" i="38"/>
  <c r="EC120" i="38"/>
  <c r="EB120" i="38"/>
  <c r="EA120" i="38"/>
  <c r="DZ120" i="38"/>
  <c r="DY120" i="38"/>
  <c r="DX120" i="38"/>
  <c r="DW120" i="38"/>
  <c r="DV120" i="38"/>
  <c r="DU120" i="38"/>
  <c r="DT120" i="38"/>
  <c r="FK119" i="38"/>
  <c r="FJ119" i="38"/>
  <c r="FI119" i="38"/>
  <c r="FH119" i="38"/>
  <c r="FG119" i="38"/>
  <c r="FF119" i="38"/>
  <c r="FE119" i="38"/>
  <c r="FD119" i="38"/>
  <c r="FC119" i="38"/>
  <c r="FB119" i="38"/>
  <c r="FA119" i="38"/>
  <c r="EZ119" i="38"/>
  <c r="EY119" i="38"/>
  <c r="EX119" i="38"/>
  <c r="EW119" i="38"/>
  <c r="EV119" i="38"/>
  <c r="EU119" i="38"/>
  <c r="ET119" i="38"/>
  <c r="ES119" i="38"/>
  <c r="ER119" i="38"/>
  <c r="EQ119" i="38"/>
  <c r="EP119" i="38"/>
  <c r="EO119" i="38"/>
  <c r="EN119" i="38"/>
  <c r="EM119" i="38"/>
  <c r="EL119" i="38"/>
  <c r="EK119" i="38"/>
  <c r="EJ119" i="38"/>
  <c r="EI119" i="38"/>
  <c r="EH119" i="38"/>
  <c r="EG119" i="38"/>
  <c r="EF119" i="38"/>
  <c r="EE119" i="38"/>
  <c r="ED119" i="38"/>
  <c r="EC119" i="38"/>
  <c r="EB119" i="38"/>
  <c r="EA119" i="38"/>
  <c r="DZ119" i="38"/>
  <c r="DY119" i="38"/>
  <c r="DX119" i="38"/>
  <c r="DW119" i="38"/>
  <c r="DV119" i="38"/>
  <c r="DU119" i="38"/>
  <c r="DT119" i="38"/>
  <c r="FK118" i="38"/>
  <c r="FJ118" i="38"/>
  <c r="FI118" i="38"/>
  <c r="FH118" i="38"/>
  <c r="FG118" i="38"/>
  <c r="FF118" i="38"/>
  <c r="FE118" i="38"/>
  <c r="FD118" i="38"/>
  <c r="FC118" i="38"/>
  <c r="FB118" i="38"/>
  <c r="FA118" i="38"/>
  <c r="EZ118" i="38"/>
  <c r="EY118" i="38"/>
  <c r="EX118" i="38"/>
  <c r="EW118" i="38"/>
  <c r="EV118" i="38"/>
  <c r="EU118" i="38"/>
  <c r="ET118" i="38"/>
  <c r="ES118" i="38"/>
  <c r="ER118" i="38"/>
  <c r="EQ118" i="38"/>
  <c r="EP118" i="38"/>
  <c r="EO118" i="38"/>
  <c r="EN118" i="38"/>
  <c r="EM118" i="38"/>
  <c r="EL118" i="38"/>
  <c r="EK118" i="38"/>
  <c r="EJ118" i="38"/>
  <c r="EI118" i="38"/>
  <c r="EH118" i="38"/>
  <c r="EG118" i="38"/>
  <c r="EF118" i="38"/>
  <c r="EE118" i="38"/>
  <c r="ED118" i="38"/>
  <c r="EC118" i="38"/>
  <c r="EB118" i="38"/>
  <c r="EA118" i="38"/>
  <c r="DZ118" i="38"/>
  <c r="DY118" i="38"/>
  <c r="DX118" i="38"/>
  <c r="DW118" i="38"/>
  <c r="DV118" i="38"/>
  <c r="DU118" i="38"/>
  <c r="DT118" i="38"/>
  <c r="FK117" i="38"/>
  <c r="FJ117" i="38"/>
  <c r="FI117" i="38"/>
  <c r="FH117" i="38"/>
  <c r="FG117" i="38"/>
  <c r="FF117" i="38"/>
  <c r="FE117" i="38"/>
  <c r="FD117" i="38"/>
  <c r="FC117" i="38"/>
  <c r="FB117" i="38"/>
  <c r="FA117" i="38"/>
  <c r="EZ117" i="38"/>
  <c r="EY117" i="38"/>
  <c r="EX117" i="38"/>
  <c r="EW117" i="38"/>
  <c r="EV117" i="38"/>
  <c r="EU117" i="38"/>
  <c r="ET117" i="38"/>
  <c r="ES117" i="38"/>
  <c r="ER117" i="38"/>
  <c r="EQ117" i="38"/>
  <c r="EP117" i="38"/>
  <c r="EO117" i="38"/>
  <c r="EN117" i="38"/>
  <c r="EM117" i="38"/>
  <c r="EL117" i="38"/>
  <c r="EK117" i="38"/>
  <c r="EJ117" i="38"/>
  <c r="EI117" i="38"/>
  <c r="EH117" i="38"/>
  <c r="EG117" i="38"/>
  <c r="EF117" i="38"/>
  <c r="EE117" i="38"/>
  <c r="ED117" i="38"/>
  <c r="EC117" i="38"/>
  <c r="EB117" i="38"/>
  <c r="EA117" i="38"/>
  <c r="DZ117" i="38"/>
  <c r="DY117" i="38"/>
  <c r="DX117" i="38"/>
  <c r="DW117" i="38"/>
  <c r="DV117" i="38"/>
  <c r="DU117" i="38"/>
  <c r="DT117" i="38"/>
  <c r="FK116" i="38"/>
  <c r="FJ116" i="38"/>
  <c r="FI116" i="38"/>
  <c r="FH116" i="38"/>
  <c r="FG116" i="38"/>
  <c r="FF116" i="38"/>
  <c r="FE116" i="38"/>
  <c r="FD116" i="38"/>
  <c r="FC116" i="38"/>
  <c r="FB116" i="38"/>
  <c r="FA116" i="38"/>
  <c r="EZ116" i="38"/>
  <c r="EY116" i="38"/>
  <c r="EX116" i="38"/>
  <c r="EW116" i="38"/>
  <c r="EV116" i="38"/>
  <c r="EU116" i="38"/>
  <c r="ET116" i="38"/>
  <c r="ES116" i="38"/>
  <c r="ER116" i="38"/>
  <c r="EQ116" i="38"/>
  <c r="EP116" i="38"/>
  <c r="EO116" i="38"/>
  <c r="EN116" i="38"/>
  <c r="EM116" i="38"/>
  <c r="EL116" i="38"/>
  <c r="EK116" i="38"/>
  <c r="EJ116" i="38"/>
  <c r="EI116" i="38"/>
  <c r="EH116" i="38"/>
  <c r="EG116" i="38"/>
  <c r="EF116" i="38"/>
  <c r="EE116" i="38"/>
  <c r="ED116" i="38"/>
  <c r="EC116" i="38"/>
  <c r="EB116" i="38"/>
  <c r="EA116" i="38"/>
  <c r="DZ116" i="38"/>
  <c r="DY116" i="38"/>
  <c r="DX116" i="38"/>
  <c r="DW116" i="38"/>
  <c r="DV116" i="38"/>
  <c r="DU116" i="38"/>
  <c r="DT116" i="38"/>
  <c r="FK115" i="38"/>
  <c r="FJ115" i="38"/>
  <c r="FI115" i="38"/>
  <c r="FH115" i="38"/>
  <c r="FG115" i="38"/>
  <c r="FF115" i="38"/>
  <c r="FE115" i="38"/>
  <c r="FD115" i="38"/>
  <c r="FC115" i="38"/>
  <c r="FB115" i="38"/>
  <c r="FA115" i="38"/>
  <c r="EZ115" i="38"/>
  <c r="EY115" i="38"/>
  <c r="EX115" i="38"/>
  <c r="EW115" i="38"/>
  <c r="EV115" i="38"/>
  <c r="EU115" i="38"/>
  <c r="ET115" i="38"/>
  <c r="ES115" i="38"/>
  <c r="ER115" i="38"/>
  <c r="EQ115" i="38"/>
  <c r="EP115" i="38"/>
  <c r="EO115" i="38"/>
  <c r="EN115" i="38"/>
  <c r="EM115" i="38"/>
  <c r="EL115" i="38"/>
  <c r="EK115" i="38"/>
  <c r="EJ115" i="38"/>
  <c r="EI115" i="38"/>
  <c r="EH115" i="38"/>
  <c r="EG115" i="38"/>
  <c r="EF115" i="38"/>
  <c r="EE115" i="38"/>
  <c r="ED115" i="38"/>
  <c r="EC115" i="38"/>
  <c r="EB115" i="38"/>
  <c r="EA115" i="38"/>
  <c r="DZ115" i="38"/>
  <c r="DY115" i="38"/>
  <c r="DX115" i="38"/>
  <c r="DW115" i="38"/>
  <c r="DV115" i="38"/>
  <c r="DU115" i="38"/>
  <c r="DT115" i="38"/>
  <c r="FK114" i="38"/>
  <c r="FJ114" i="38"/>
  <c r="FI114" i="38"/>
  <c r="FH114" i="38"/>
  <c r="FG114" i="38"/>
  <c r="FF114" i="38"/>
  <c r="FE114" i="38"/>
  <c r="FD114" i="38"/>
  <c r="FC114" i="38"/>
  <c r="FB114" i="38"/>
  <c r="FA114" i="38"/>
  <c r="EZ114" i="38"/>
  <c r="EY114" i="38"/>
  <c r="EX114" i="38"/>
  <c r="EW114" i="38"/>
  <c r="EV114" i="38"/>
  <c r="EU114" i="38"/>
  <c r="ET114" i="38"/>
  <c r="ES114" i="38"/>
  <c r="ER114" i="38"/>
  <c r="EQ114" i="38"/>
  <c r="EP114" i="38"/>
  <c r="EO114" i="38"/>
  <c r="EN114" i="38"/>
  <c r="EM114" i="38"/>
  <c r="EL114" i="38"/>
  <c r="EK114" i="38"/>
  <c r="EJ114" i="38"/>
  <c r="EI114" i="38"/>
  <c r="EH114" i="38"/>
  <c r="EG114" i="38"/>
  <c r="EF114" i="38"/>
  <c r="EE114" i="38"/>
  <c r="ED114" i="38"/>
  <c r="EC114" i="38"/>
  <c r="EB114" i="38"/>
  <c r="EA114" i="38"/>
  <c r="DZ114" i="38"/>
  <c r="DY114" i="38"/>
  <c r="DX114" i="38"/>
  <c r="DW114" i="38"/>
  <c r="DV114" i="38"/>
  <c r="DU114" i="38"/>
  <c r="DT114" i="38"/>
  <c r="FK113" i="38"/>
  <c r="FJ113" i="38"/>
  <c r="FI113" i="38"/>
  <c r="FH113" i="38"/>
  <c r="FG113" i="38"/>
  <c r="FF113" i="38"/>
  <c r="FE113" i="38"/>
  <c r="FD113" i="38"/>
  <c r="FC113" i="38"/>
  <c r="FB113" i="38"/>
  <c r="FA113" i="38"/>
  <c r="EZ113" i="38"/>
  <c r="EY113" i="38"/>
  <c r="EX113" i="38"/>
  <c r="EW113" i="38"/>
  <c r="EV113" i="38"/>
  <c r="EU113" i="38"/>
  <c r="ET113" i="38"/>
  <c r="ES113" i="38"/>
  <c r="ER113" i="38"/>
  <c r="EQ113" i="38"/>
  <c r="EP113" i="38"/>
  <c r="EO113" i="38"/>
  <c r="EN113" i="38"/>
  <c r="EM113" i="38"/>
  <c r="EL113" i="38"/>
  <c r="EK113" i="38"/>
  <c r="EJ113" i="38"/>
  <c r="EI113" i="38"/>
  <c r="EH113" i="38"/>
  <c r="EG113" i="38"/>
  <c r="EF113" i="38"/>
  <c r="EE113" i="38"/>
  <c r="ED113" i="38"/>
  <c r="EC113" i="38"/>
  <c r="EB113" i="38"/>
  <c r="EA113" i="38"/>
  <c r="DZ113" i="38"/>
  <c r="DY113" i="38"/>
  <c r="DX113" i="38"/>
  <c r="DW113" i="38"/>
  <c r="DV113" i="38"/>
  <c r="DU113" i="38"/>
  <c r="DT113" i="38"/>
  <c r="FK112" i="38"/>
  <c r="FJ112" i="38"/>
  <c r="FI112" i="38"/>
  <c r="FH112" i="38"/>
  <c r="FG112" i="38"/>
  <c r="FF112" i="38"/>
  <c r="FE112" i="38"/>
  <c r="FD112" i="38"/>
  <c r="FC112" i="38"/>
  <c r="FB112" i="38"/>
  <c r="FA112" i="38"/>
  <c r="EZ112" i="38"/>
  <c r="EY112" i="38"/>
  <c r="EX112" i="38"/>
  <c r="EW112" i="38"/>
  <c r="EV112" i="38"/>
  <c r="EU112" i="38"/>
  <c r="ET112" i="38"/>
  <c r="ES112" i="38"/>
  <c r="ER112" i="38"/>
  <c r="EQ112" i="38"/>
  <c r="EP112" i="38"/>
  <c r="EO112" i="38"/>
  <c r="EN112" i="38"/>
  <c r="EM112" i="38"/>
  <c r="EL112" i="38"/>
  <c r="EK112" i="38"/>
  <c r="EJ112" i="38"/>
  <c r="EI112" i="38"/>
  <c r="EH112" i="38"/>
  <c r="EG112" i="38"/>
  <c r="EF112" i="38"/>
  <c r="EE112" i="38"/>
  <c r="ED112" i="38"/>
  <c r="EC112" i="38"/>
  <c r="EB112" i="38"/>
  <c r="EA112" i="38"/>
  <c r="DZ112" i="38"/>
  <c r="DY112" i="38"/>
  <c r="DX112" i="38"/>
  <c r="DW112" i="38"/>
  <c r="DV112" i="38"/>
  <c r="DU112" i="38"/>
  <c r="DT112" i="38"/>
  <c r="FK111" i="38"/>
  <c r="FJ111" i="38"/>
  <c r="FI111" i="38"/>
  <c r="FH111" i="38"/>
  <c r="FG111" i="38"/>
  <c r="FF111" i="38"/>
  <c r="FE111" i="38"/>
  <c r="FD111" i="38"/>
  <c r="FC111" i="38"/>
  <c r="FB111" i="38"/>
  <c r="FA111" i="38"/>
  <c r="EZ111" i="38"/>
  <c r="EY111" i="38"/>
  <c r="EX111" i="38"/>
  <c r="EW111" i="38"/>
  <c r="EV111" i="38"/>
  <c r="EU111" i="38"/>
  <c r="ET111" i="38"/>
  <c r="ES111" i="38"/>
  <c r="ER111" i="38"/>
  <c r="EQ111" i="38"/>
  <c r="EP111" i="38"/>
  <c r="EO111" i="38"/>
  <c r="EN111" i="38"/>
  <c r="EM111" i="38"/>
  <c r="EL111" i="38"/>
  <c r="EK111" i="38"/>
  <c r="EJ111" i="38"/>
  <c r="EI111" i="38"/>
  <c r="EH111" i="38"/>
  <c r="EG111" i="38"/>
  <c r="EF111" i="38"/>
  <c r="EE111" i="38"/>
  <c r="ED111" i="38"/>
  <c r="EC111" i="38"/>
  <c r="EB111" i="38"/>
  <c r="EA111" i="38"/>
  <c r="DZ111" i="38"/>
  <c r="DY111" i="38"/>
  <c r="DX111" i="38"/>
  <c r="DW111" i="38"/>
  <c r="DV111" i="38"/>
  <c r="DU111" i="38"/>
  <c r="DT111" i="38"/>
  <c r="FK110" i="38"/>
  <c r="FJ110" i="38"/>
  <c r="FI110" i="38"/>
  <c r="FH110" i="38"/>
  <c r="FG110" i="38"/>
  <c r="FF110" i="38"/>
  <c r="FE110" i="38"/>
  <c r="FD110" i="38"/>
  <c r="FC110" i="38"/>
  <c r="FB110" i="38"/>
  <c r="FA110" i="38"/>
  <c r="EZ110" i="38"/>
  <c r="EY110" i="38"/>
  <c r="EX110" i="38"/>
  <c r="EW110" i="38"/>
  <c r="EV110" i="38"/>
  <c r="EU110" i="38"/>
  <c r="ET110" i="38"/>
  <c r="ES110" i="38"/>
  <c r="ER110" i="38"/>
  <c r="EQ110" i="38"/>
  <c r="EP110" i="38"/>
  <c r="EO110" i="38"/>
  <c r="EN110" i="38"/>
  <c r="EM110" i="38"/>
  <c r="EL110" i="38"/>
  <c r="EK110" i="38"/>
  <c r="EJ110" i="38"/>
  <c r="EI110" i="38"/>
  <c r="EH110" i="38"/>
  <c r="EG110" i="38"/>
  <c r="EF110" i="38"/>
  <c r="EE110" i="38"/>
  <c r="ED110" i="38"/>
  <c r="EC110" i="38"/>
  <c r="EB110" i="38"/>
  <c r="EA110" i="38"/>
  <c r="DZ110" i="38"/>
  <c r="DY110" i="38"/>
  <c r="DX110" i="38"/>
  <c r="DW110" i="38"/>
  <c r="DV110" i="38"/>
  <c r="DU110" i="38"/>
  <c r="DT110" i="38"/>
  <c r="FK109" i="38"/>
  <c r="FJ109" i="38"/>
  <c r="FI109" i="38"/>
  <c r="FH109" i="38"/>
  <c r="FG109" i="38"/>
  <c r="FF109" i="38"/>
  <c r="FE109" i="38"/>
  <c r="FD109" i="38"/>
  <c r="FC109" i="38"/>
  <c r="FB109" i="38"/>
  <c r="FA109" i="38"/>
  <c r="EZ109" i="38"/>
  <c r="EY109" i="38"/>
  <c r="EX109" i="38"/>
  <c r="EW109" i="38"/>
  <c r="EV109" i="38"/>
  <c r="EU109" i="38"/>
  <c r="ET109" i="38"/>
  <c r="ES109" i="38"/>
  <c r="ER109" i="38"/>
  <c r="EQ109" i="38"/>
  <c r="EP109" i="38"/>
  <c r="EO109" i="38"/>
  <c r="EN109" i="38"/>
  <c r="EM109" i="38"/>
  <c r="EL109" i="38"/>
  <c r="EK109" i="38"/>
  <c r="EJ109" i="38"/>
  <c r="EI109" i="38"/>
  <c r="EH109" i="38"/>
  <c r="EG109" i="38"/>
  <c r="EF109" i="38"/>
  <c r="EE109" i="38"/>
  <c r="ED109" i="38"/>
  <c r="EC109" i="38"/>
  <c r="EB109" i="38"/>
  <c r="EA109" i="38"/>
  <c r="DZ109" i="38"/>
  <c r="DY109" i="38"/>
  <c r="DX109" i="38"/>
  <c r="DW109" i="38"/>
  <c r="DV109" i="38"/>
  <c r="DU109" i="38"/>
  <c r="DT109" i="38"/>
  <c r="FK108" i="38"/>
  <c r="FJ108" i="38"/>
  <c r="FI108" i="38"/>
  <c r="FH108" i="38"/>
  <c r="FG108" i="38"/>
  <c r="FF108" i="38"/>
  <c r="FE108" i="38"/>
  <c r="FD108" i="38"/>
  <c r="FC108" i="38"/>
  <c r="FB108" i="38"/>
  <c r="FA108" i="38"/>
  <c r="EZ108" i="38"/>
  <c r="EY108" i="38"/>
  <c r="EX108" i="38"/>
  <c r="EW108" i="38"/>
  <c r="EV108" i="38"/>
  <c r="EU108" i="38"/>
  <c r="ET108" i="38"/>
  <c r="ES108" i="38"/>
  <c r="ER108" i="38"/>
  <c r="EQ108" i="38"/>
  <c r="EP108" i="38"/>
  <c r="EO108" i="38"/>
  <c r="EN108" i="38"/>
  <c r="EM108" i="38"/>
  <c r="EL108" i="38"/>
  <c r="EK108" i="38"/>
  <c r="EJ108" i="38"/>
  <c r="EI108" i="38"/>
  <c r="EH108" i="38"/>
  <c r="EG108" i="38"/>
  <c r="EF108" i="38"/>
  <c r="EE108" i="38"/>
  <c r="ED108" i="38"/>
  <c r="EC108" i="38"/>
  <c r="EB108" i="38"/>
  <c r="EA108" i="38"/>
  <c r="DZ108" i="38"/>
  <c r="DY108" i="38"/>
  <c r="DX108" i="38"/>
  <c r="DW108" i="38"/>
  <c r="DV108" i="38"/>
  <c r="DU108" i="38"/>
  <c r="DT108" i="38"/>
  <c r="FK107" i="38"/>
  <c r="FJ107" i="38"/>
  <c r="FI107" i="38"/>
  <c r="FH107" i="38"/>
  <c r="FG107" i="38"/>
  <c r="FF107" i="38"/>
  <c r="FE107" i="38"/>
  <c r="FD107" i="38"/>
  <c r="FC107" i="38"/>
  <c r="FB107" i="38"/>
  <c r="FA107" i="38"/>
  <c r="EZ107" i="38"/>
  <c r="EY107" i="38"/>
  <c r="EX107" i="38"/>
  <c r="EW107" i="38"/>
  <c r="EV107" i="38"/>
  <c r="EU107" i="38"/>
  <c r="ET107" i="38"/>
  <c r="ES107" i="38"/>
  <c r="ER107" i="38"/>
  <c r="EQ107" i="38"/>
  <c r="EP107" i="38"/>
  <c r="EO107" i="38"/>
  <c r="EN107" i="38"/>
  <c r="EM107" i="38"/>
  <c r="EL107" i="38"/>
  <c r="EK107" i="38"/>
  <c r="EJ107" i="38"/>
  <c r="EI107" i="38"/>
  <c r="EH107" i="38"/>
  <c r="EG107" i="38"/>
  <c r="EF107" i="38"/>
  <c r="EE107" i="38"/>
  <c r="ED107" i="38"/>
  <c r="EC107" i="38"/>
  <c r="EB107" i="38"/>
  <c r="EA107" i="38"/>
  <c r="DZ107" i="38"/>
  <c r="DY107" i="38"/>
  <c r="DX107" i="38"/>
  <c r="DW107" i="38"/>
  <c r="DV107" i="38"/>
  <c r="DU107" i="38"/>
  <c r="DT107" i="38"/>
  <c r="FK106" i="38"/>
  <c r="FJ106" i="38"/>
  <c r="FI106" i="38"/>
  <c r="FH106" i="38"/>
  <c r="FG106" i="38"/>
  <c r="FF106" i="38"/>
  <c r="FE106" i="38"/>
  <c r="FD106" i="38"/>
  <c r="FC106" i="38"/>
  <c r="FB106" i="38"/>
  <c r="FA106" i="38"/>
  <c r="EZ106" i="38"/>
  <c r="EY106" i="38"/>
  <c r="EX106" i="38"/>
  <c r="EW106" i="38"/>
  <c r="EV106" i="38"/>
  <c r="EU106" i="38"/>
  <c r="ET106" i="38"/>
  <c r="ES106" i="38"/>
  <c r="ER106" i="38"/>
  <c r="EQ106" i="38"/>
  <c r="EP106" i="38"/>
  <c r="EO106" i="38"/>
  <c r="EN106" i="38"/>
  <c r="EM106" i="38"/>
  <c r="EL106" i="38"/>
  <c r="EK106" i="38"/>
  <c r="EJ106" i="38"/>
  <c r="EI106" i="38"/>
  <c r="EH106" i="38"/>
  <c r="EG106" i="38"/>
  <c r="EF106" i="38"/>
  <c r="EE106" i="38"/>
  <c r="ED106" i="38"/>
  <c r="EC106" i="38"/>
  <c r="EB106" i="38"/>
  <c r="EA106" i="38"/>
  <c r="DZ106" i="38"/>
  <c r="DY106" i="38"/>
  <c r="DX106" i="38"/>
  <c r="DW106" i="38"/>
  <c r="DV106" i="38"/>
  <c r="DU106" i="38"/>
  <c r="DT106" i="38"/>
  <c r="FK105" i="38"/>
  <c r="FJ105" i="38"/>
  <c r="FI105" i="38"/>
  <c r="FH105" i="38"/>
  <c r="FG105" i="38"/>
  <c r="FF105" i="38"/>
  <c r="FE105" i="38"/>
  <c r="FD105" i="38"/>
  <c r="FC105" i="38"/>
  <c r="FB105" i="38"/>
  <c r="FA105" i="38"/>
  <c r="EZ105" i="38"/>
  <c r="EY105" i="38"/>
  <c r="EX105" i="38"/>
  <c r="EW105" i="38"/>
  <c r="EV105" i="38"/>
  <c r="EU105" i="38"/>
  <c r="ET105" i="38"/>
  <c r="ES105" i="38"/>
  <c r="ER105" i="38"/>
  <c r="EQ105" i="38"/>
  <c r="EP105" i="38"/>
  <c r="EO105" i="38"/>
  <c r="EN105" i="38"/>
  <c r="EM105" i="38"/>
  <c r="EL105" i="38"/>
  <c r="EK105" i="38"/>
  <c r="EJ105" i="38"/>
  <c r="EI105" i="38"/>
  <c r="EH105" i="38"/>
  <c r="EG105" i="38"/>
  <c r="EF105" i="38"/>
  <c r="EE105" i="38"/>
  <c r="ED105" i="38"/>
  <c r="EC105" i="38"/>
  <c r="EB105" i="38"/>
  <c r="EA105" i="38"/>
  <c r="DZ105" i="38"/>
  <c r="DY105" i="38"/>
  <c r="DX105" i="38"/>
  <c r="DW105" i="38"/>
  <c r="DV105" i="38"/>
  <c r="DU105" i="38"/>
  <c r="DT105" i="38"/>
  <c r="FK104" i="38"/>
  <c r="FJ104" i="38"/>
  <c r="FI104" i="38"/>
  <c r="FH104" i="38"/>
  <c r="FG104" i="38"/>
  <c r="FF104" i="38"/>
  <c r="FE104" i="38"/>
  <c r="FD104" i="38"/>
  <c r="FC104" i="38"/>
  <c r="FB104" i="38"/>
  <c r="FA104" i="38"/>
  <c r="EZ104" i="38"/>
  <c r="EY104" i="38"/>
  <c r="EX104" i="38"/>
  <c r="EW104" i="38"/>
  <c r="EV104" i="38"/>
  <c r="EU104" i="38"/>
  <c r="ET104" i="38"/>
  <c r="ES104" i="38"/>
  <c r="ER104" i="38"/>
  <c r="EQ104" i="38"/>
  <c r="EP104" i="38"/>
  <c r="EO104" i="38"/>
  <c r="EN104" i="38"/>
  <c r="EM104" i="38"/>
  <c r="EL104" i="38"/>
  <c r="EK104" i="38"/>
  <c r="EJ104" i="38"/>
  <c r="EI104" i="38"/>
  <c r="EH104" i="38"/>
  <c r="EG104" i="38"/>
  <c r="EF104" i="38"/>
  <c r="EE104" i="38"/>
  <c r="ED104" i="38"/>
  <c r="EC104" i="38"/>
  <c r="EB104" i="38"/>
  <c r="EA104" i="38"/>
  <c r="DZ104" i="38"/>
  <c r="DY104" i="38"/>
  <c r="DX104" i="38"/>
  <c r="DW104" i="38"/>
  <c r="DV104" i="38"/>
  <c r="DU104" i="38"/>
  <c r="DT104" i="38"/>
  <c r="FK103" i="38"/>
  <c r="FJ103" i="38"/>
  <c r="FI103" i="38"/>
  <c r="FH103" i="38"/>
  <c r="FG103" i="38"/>
  <c r="FF103" i="38"/>
  <c r="FE103" i="38"/>
  <c r="FD103" i="38"/>
  <c r="FC103" i="38"/>
  <c r="FB103" i="38"/>
  <c r="FA103" i="38"/>
  <c r="EZ103" i="38"/>
  <c r="EY103" i="38"/>
  <c r="EX103" i="38"/>
  <c r="EW103" i="38"/>
  <c r="EV103" i="38"/>
  <c r="EU103" i="38"/>
  <c r="ET103" i="38"/>
  <c r="ES103" i="38"/>
  <c r="ER103" i="38"/>
  <c r="EQ103" i="38"/>
  <c r="EP103" i="38"/>
  <c r="EO103" i="38"/>
  <c r="EN103" i="38"/>
  <c r="EM103" i="38"/>
  <c r="EL103" i="38"/>
  <c r="EK103" i="38"/>
  <c r="EJ103" i="38"/>
  <c r="EI103" i="38"/>
  <c r="EH103" i="38"/>
  <c r="EG103" i="38"/>
  <c r="EF103" i="38"/>
  <c r="EE103" i="38"/>
  <c r="ED103" i="38"/>
  <c r="EC103" i="38"/>
  <c r="EB103" i="38"/>
  <c r="EA103" i="38"/>
  <c r="DZ103" i="38"/>
  <c r="DY103" i="38"/>
  <c r="DX103" i="38"/>
  <c r="DW103" i="38"/>
  <c r="DV103" i="38"/>
  <c r="DU103" i="38"/>
  <c r="DT103" i="38"/>
  <c r="FK102" i="38"/>
  <c r="FJ102" i="38"/>
  <c r="FI102" i="38"/>
  <c r="FH102" i="38"/>
  <c r="FG102" i="38"/>
  <c r="FF102" i="38"/>
  <c r="FE102" i="38"/>
  <c r="FD102" i="38"/>
  <c r="FC102" i="38"/>
  <c r="FB102" i="38"/>
  <c r="FA102" i="38"/>
  <c r="EZ102" i="38"/>
  <c r="EY102" i="38"/>
  <c r="EX102" i="38"/>
  <c r="EW102" i="38"/>
  <c r="EV102" i="38"/>
  <c r="EU102" i="38"/>
  <c r="ET102" i="38"/>
  <c r="ES102" i="38"/>
  <c r="ER102" i="38"/>
  <c r="EQ102" i="38"/>
  <c r="EP102" i="38"/>
  <c r="EO102" i="38"/>
  <c r="EN102" i="38"/>
  <c r="EM102" i="38"/>
  <c r="EL102" i="38"/>
  <c r="EK102" i="38"/>
  <c r="EJ102" i="38"/>
  <c r="EI102" i="38"/>
  <c r="EH102" i="38"/>
  <c r="EG102" i="38"/>
  <c r="EF102" i="38"/>
  <c r="EE102" i="38"/>
  <c r="ED102" i="38"/>
  <c r="EC102" i="38"/>
  <c r="EB102" i="38"/>
  <c r="EA102" i="38"/>
  <c r="DZ102" i="38"/>
  <c r="DY102" i="38"/>
  <c r="DX102" i="38"/>
  <c r="DW102" i="38"/>
  <c r="DV102" i="38"/>
  <c r="DU102" i="38"/>
  <c r="DT102" i="38"/>
  <c r="FK101" i="38"/>
  <c r="FJ101" i="38"/>
  <c r="FI101" i="38"/>
  <c r="FH101" i="38"/>
  <c r="FG101" i="38"/>
  <c r="FF101" i="38"/>
  <c r="FE101" i="38"/>
  <c r="FD101" i="38"/>
  <c r="FC101" i="38"/>
  <c r="FB101" i="38"/>
  <c r="FA101" i="38"/>
  <c r="EZ101" i="38"/>
  <c r="EY101" i="38"/>
  <c r="EX101" i="38"/>
  <c r="EW101" i="38"/>
  <c r="EV101" i="38"/>
  <c r="EU101" i="38"/>
  <c r="ET101" i="38"/>
  <c r="ES101" i="38"/>
  <c r="ER101" i="38"/>
  <c r="EQ101" i="38"/>
  <c r="EP101" i="38"/>
  <c r="EO101" i="38"/>
  <c r="EN101" i="38"/>
  <c r="EM101" i="38"/>
  <c r="EL101" i="38"/>
  <c r="EK101" i="38"/>
  <c r="EJ101" i="38"/>
  <c r="EI101" i="38"/>
  <c r="EH101" i="38"/>
  <c r="EG101" i="38"/>
  <c r="EF101" i="38"/>
  <c r="EE101" i="38"/>
  <c r="ED101" i="38"/>
  <c r="EC101" i="38"/>
  <c r="EB101" i="38"/>
  <c r="EA101" i="38"/>
  <c r="DZ101" i="38"/>
  <c r="DY101" i="38"/>
  <c r="DX101" i="38"/>
  <c r="DW101" i="38"/>
  <c r="DV101" i="38"/>
  <c r="DU101" i="38"/>
  <c r="DT101" i="38"/>
  <c r="FK100" i="38"/>
  <c r="FJ100" i="38"/>
  <c r="FI100" i="38"/>
  <c r="FH100" i="38"/>
  <c r="FG100" i="38"/>
  <c r="FF100" i="38"/>
  <c r="FE100" i="38"/>
  <c r="FD100" i="38"/>
  <c r="FC100" i="38"/>
  <c r="FB100" i="38"/>
  <c r="FA100" i="38"/>
  <c r="EZ100" i="38"/>
  <c r="EY100" i="38"/>
  <c r="EX100" i="38"/>
  <c r="EW100" i="38"/>
  <c r="EV100" i="38"/>
  <c r="EU100" i="38"/>
  <c r="ET100" i="38"/>
  <c r="ES100" i="38"/>
  <c r="ER100" i="38"/>
  <c r="EQ100" i="38"/>
  <c r="EP100" i="38"/>
  <c r="EO100" i="38"/>
  <c r="EN100" i="38"/>
  <c r="EM100" i="38"/>
  <c r="EL100" i="38"/>
  <c r="EK100" i="38"/>
  <c r="EJ100" i="38"/>
  <c r="EI100" i="38"/>
  <c r="EH100" i="38"/>
  <c r="EG100" i="38"/>
  <c r="EF100" i="38"/>
  <c r="EE100" i="38"/>
  <c r="ED100" i="38"/>
  <c r="EC100" i="38"/>
  <c r="EB100" i="38"/>
  <c r="EA100" i="38"/>
  <c r="DZ100" i="38"/>
  <c r="DY100" i="38"/>
  <c r="DX100" i="38"/>
  <c r="DW100" i="38"/>
  <c r="DV100" i="38"/>
  <c r="DU100" i="38"/>
  <c r="DT100" i="38"/>
  <c r="FK99" i="38"/>
  <c r="FJ99" i="38"/>
  <c r="FI99" i="38"/>
  <c r="FH99" i="38"/>
  <c r="FG99" i="38"/>
  <c r="FF99" i="38"/>
  <c r="FE99" i="38"/>
  <c r="FD99" i="38"/>
  <c r="FC99" i="38"/>
  <c r="FB99" i="38"/>
  <c r="FA99" i="38"/>
  <c r="EZ99" i="38"/>
  <c r="EY99" i="38"/>
  <c r="EX99" i="38"/>
  <c r="EW99" i="38"/>
  <c r="EV99" i="38"/>
  <c r="EU99" i="38"/>
  <c r="ET99" i="38"/>
  <c r="ES99" i="38"/>
  <c r="ER99" i="38"/>
  <c r="EQ99" i="38"/>
  <c r="EP99" i="38"/>
  <c r="EO99" i="38"/>
  <c r="EN99" i="38"/>
  <c r="EM99" i="38"/>
  <c r="EL99" i="38"/>
  <c r="EK99" i="38"/>
  <c r="EJ99" i="38"/>
  <c r="EI99" i="38"/>
  <c r="EH99" i="38"/>
  <c r="EG99" i="38"/>
  <c r="EF99" i="38"/>
  <c r="EE99" i="38"/>
  <c r="ED99" i="38"/>
  <c r="EC99" i="38"/>
  <c r="EB99" i="38"/>
  <c r="EA99" i="38"/>
  <c r="DZ99" i="38"/>
  <c r="DY99" i="38"/>
  <c r="DX99" i="38"/>
  <c r="DW99" i="38"/>
  <c r="DV99" i="38"/>
  <c r="DU99" i="38"/>
  <c r="DT99" i="38"/>
  <c r="FK98" i="38"/>
  <c r="FJ98" i="38"/>
  <c r="FI98" i="38"/>
  <c r="FH98" i="38"/>
  <c r="FG98" i="38"/>
  <c r="FF98" i="38"/>
  <c r="FE98" i="38"/>
  <c r="FD98" i="38"/>
  <c r="FC98" i="38"/>
  <c r="FB98" i="38"/>
  <c r="FA98" i="38"/>
  <c r="EZ98" i="38"/>
  <c r="EY98" i="38"/>
  <c r="EX98" i="38"/>
  <c r="EW98" i="38"/>
  <c r="EV98" i="38"/>
  <c r="EU98" i="38"/>
  <c r="ET98" i="38"/>
  <c r="ES98" i="38"/>
  <c r="ER98" i="38"/>
  <c r="EQ98" i="38"/>
  <c r="EP98" i="38"/>
  <c r="EO98" i="38"/>
  <c r="EN98" i="38"/>
  <c r="EM98" i="38"/>
  <c r="EL98" i="38"/>
  <c r="EK98" i="38"/>
  <c r="EJ98" i="38"/>
  <c r="EI98" i="38"/>
  <c r="EH98" i="38"/>
  <c r="EG98" i="38"/>
  <c r="EF98" i="38"/>
  <c r="EE98" i="38"/>
  <c r="ED98" i="38"/>
  <c r="EC98" i="38"/>
  <c r="EB98" i="38"/>
  <c r="EA98" i="38"/>
  <c r="DZ98" i="38"/>
  <c r="DY98" i="38"/>
  <c r="DX98" i="38"/>
  <c r="DW98" i="38"/>
  <c r="DV98" i="38"/>
  <c r="DU98" i="38"/>
  <c r="DT98" i="38"/>
  <c r="FK97" i="38"/>
  <c r="FJ97" i="38"/>
  <c r="FI97" i="38"/>
  <c r="FH97" i="38"/>
  <c r="FG97" i="38"/>
  <c r="FF97" i="38"/>
  <c r="FE97" i="38"/>
  <c r="FD97" i="38"/>
  <c r="FC97" i="38"/>
  <c r="FB97" i="38"/>
  <c r="FA97" i="38"/>
  <c r="EZ97" i="38"/>
  <c r="EY97" i="38"/>
  <c r="EX97" i="38"/>
  <c r="EW97" i="38"/>
  <c r="EV97" i="38"/>
  <c r="EU97" i="38"/>
  <c r="ET97" i="38"/>
  <c r="ES97" i="38"/>
  <c r="ER97" i="38"/>
  <c r="EQ97" i="38"/>
  <c r="EP97" i="38"/>
  <c r="EO97" i="38"/>
  <c r="EN97" i="38"/>
  <c r="EM97" i="38"/>
  <c r="EL97" i="38"/>
  <c r="EK97" i="38"/>
  <c r="EJ97" i="38"/>
  <c r="EI97" i="38"/>
  <c r="EH97" i="38"/>
  <c r="EG97" i="38"/>
  <c r="EF97" i="38"/>
  <c r="EE97" i="38"/>
  <c r="ED97" i="38"/>
  <c r="EC97" i="38"/>
  <c r="EB97" i="38"/>
  <c r="EA97" i="38"/>
  <c r="DZ97" i="38"/>
  <c r="DY97" i="38"/>
  <c r="DX97" i="38"/>
  <c r="DW97" i="38"/>
  <c r="DV97" i="38"/>
  <c r="DU97" i="38"/>
  <c r="DT97" i="38"/>
  <c r="FK96" i="38"/>
  <c r="FJ96" i="38"/>
  <c r="FI96" i="38"/>
  <c r="FH96" i="38"/>
  <c r="FG96" i="38"/>
  <c r="FF96" i="38"/>
  <c r="FE96" i="38"/>
  <c r="FD96" i="38"/>
  <c r="FC96" i="38"/>
  <c r="FB96" i="38"/>
  <c r="FA96" i="38"/>
  <c r="EZ96" i="38"/>
  <c r="EY96" i="38"/>
  <c r="EX96" i="38"/>
  <c r="EW96" i="38"/>
  <c r="EV96" i="38"/>
  <c r="EU96" i="38"/>
  <c r="ET96" i="38"/>
  <c r="ES96" i="38"/>
  <c r="ER96" i="38"/>
  <c r="EQ96" i="38"/>
  <c r="EP96" i="38"/>
  <c r="EO96" i="38"/>
  <c r="EN96" i="38"/>
  <c r="EM96" i="38"/>
  <c r="EL96" i="38"/>
  <c r="EK96" i="38"/>
  <c r="EJ96" i="38"/>
  <c r="EI96" i="38"/>
  <c r="EH96" i="38"/>
  <c r="EG96" i="38"/>
  <c r="EF96" i="38"/>
  <c r="EE96" i="38"/>
  <c r="ED96" i="38"/>
  <c r="EC96" i="38"/>
  <c r="EB96" i="38"/>
  <c r="EA96" i="38"/>
  <c r="DZ96" i="38"/>
  <c r="DY96" i="38"/>
  <c r="DX96" i="38"/>
  <c r="DW96" i="38"/>
  <c r="DV96" i="38"/>
  <c r="DU96" i="38"/>
  <c r="DT96" i="38"/>
  <c r="FK95" i="38"/>
  <c r="FJ95" i="38"/>
  <c r="FI95" i="38"/>
  <c r="FH95" i="38"/>
  <c r="FG95" i="38"/>
  <c r="FF95" i="38"/>
  <c r="FE95" i="38"/>
  <c r="FD95" i="38"/>
  <c r="FC95" i="38"/>
  <c r="FB95" i="38"/>
  <c r="FA95" i="38"/>
  <c r="EZ95" i="38"/>
  <c r="EY95" i="38"/>
  <c r="EX95" i="38"/>
  <c r="EW95" i="38"/>
  <c r="EV95" i="38"/>
  <c r="EU95" i="38"/>
  <c r="ET95" i="38"/>
  <c r="ES95" i="38"/>
  <c r="ER95" i="38"/>
  <c r="EQ95" i="38"/>
  <c r="EP95" i="38"/>
  <c r="EO95" i="38"/>
  <c r="EN95" i="38"/>
  <c r="EM95" i="38"/>
  <c r="EL95" i="38"/>
  <c r="EK95" i="38"/>
  <c r="EJ95" i="38"/>
  <c r="EI95" i="38"/>
  <c r="EH95" i="38"/>
  <c r="EG95" i="38"/>
  <c r="EF95" i="38"/>
  <c r="EE95" i="38"/>
  <c r="ED95" i="38"/>
  <c r="EC95" i="38"/>
  <c r="EB95" i="38"/>
  <c r="EA95" i="38"/>
  <c r="DZ95" i="38"/>
  <c r="DY95" i="38"/>
  <c r="DX95" i="38"/>
  <c r="DW95" i="38"/>
  <c r="DV95" i="38"/>
  <c r="DU95" i="38"/>
  <c r="DT95" i="38"/>
  <c r="FK94" i="38"/>
  <c r="FJ94" i="38"/>
  <c r="FI94" i="38"/>
  <c r="FH94" i="38"/>
  <c r="FG94" i="38"/>
  <c r="FF94" i="38"/>
  <c r="FE94" i="38"/>
  <c r="FD94" i="38"/>
  <c r="FC94" i="38"/>
  <c r="FB94" i="38"/>
  <c r="FA94" i="38"/>
  <c r="EZ94" i="38"/>
  <c r="EY94" i="38"/>
  <c r="EX94" i="38"/>
  <c r="EW94" i="38"/>
  <c r="EV94" i="38"/>
  <c r="EU94" i="38"/>
  <c r="ET94" i="38"/>
  <c r="ES94" i="38"/>
  <c r="ER94" i="38"/>
  <c r="EQ94" i="38"/>
  <c r="EP94" i="38"/>
  <c r="EO94" i="38"/>
  <c r="EN94" i="38"/>
  <c r="EM94" i="38"/>
  <c r="EL94" i="38"/>
  <c r="EK94" i="38"/>
  <c r="EJ94" i="38"/>
  <c r="EI94" i="38"/>
  <c r="EH94" i="38"/>
  <c r="EG94" i="38"/>
  <c r="EF94" i="38"/>
  <c r="EE94" i="38"/>
  <c r="ED94" i="38"/>
  <c r="EC94" i="38"/>
  <c r="EB94" i="38"/>
  <c r="EA94" i="38"/>
  <c r="DZ94" i="38"/>
  <c r="DY94" i="38"/>
  <c r="DX94" i="38"/>
  <c r="DW94" i="38"/>
  <c r="DV94" i="38"/>
  <c r="DU94" i="38"/>
  <c r="DT94" i="38"/>
  <c r="FK93" i="38"/>
  <c r="FJ93" i="38"/>
  <c r="FI93" i="38"/>
  <c r="FH93" i="38"/>
  <c r="FG93" i="38"/>
  <c r="FF93" i="38"/>
  <c r="FE93" i="38"/>
  <c r="FD93" i="38"/>
  <c r="FC93" i="38"/>
  <c r="FB93" i="38"/>
  <c r="FA93" i="38"/>
  <c r="EZ93" i="38"/>
  <c r="EY93" i="38"/>
  <c r="EX93" i="38"/>
  <c r="EW93" i="38"/>
  <c r="EV93" i="38"/>
  <c r="EU93" i="38"/>
  <c r="ET93" i="38"/>
  <c r="ES93" i="38"/>
  <c r="ER93" i="38"/>
  <c r="EQ93" i="38"/>
  <c r="EP93" i="38"/>
  <c r="EO93" i="38"/>
  <c r="EN93" i="38"/>
  <c r="EM93" i="38"/>
  <c r="EL93" i="38"/>
  <c r="EK93" i="38"/>
  <c r="EJ93" i="38"/>
  <c r="EI93" i="38"/>
  <c r="EH93" i="38"/>
  <c r="EG93" i="38"/>
  <c r="EF93" i="38"/>
  <c r="EE93" i="38"/>
  <c r="ED93" i="38"/>
  <c r="EC93" i="38"/>
  <c r="EB93" i="38"/>
  <c r="EA93" i="38"/>
  <c r="DZ93" i="38"/>
  <c r="DY93" i="38"/>
  <c r="DX93" i="38"/>
  <c r="DW93" i="38"/>
  <c r="DV93" i="38"/>
  <c r="DU93" i="38"/>
  <c r="DT93" i="38"/>
  <c r="FK92" i="38"/>
  <c r="FJ92" i="38"/>
  <c r="FI92" i="38"/>
  <c r="FH92" i="38"/>
  <c r="FG92" i="38"/>
  <c r="FF92" i="38"/>
  <c r="FE92" i="38"/>
  <c r="FD92" i="38"/>
  <c r="FC92" i="38"/>
  <c r="FB92" i="38"/>
  <c r="FA92" i="38"/>
  <c r="EZ92" i="38"/>
  <c r="EY92" i="38"/>
  <c r="EX92" i="38"/>
  <c r="EW92" i="38"/>
  <c r="EV92" i="38"/>
  <c r="EU92" i="38"/>
  <c r="ET92" i="38"/>
  <c r="ES92" i="38"/>
  <c r="ER92" i="38"/>
  <c r="EQ92" i="38"/>
  <c r="EP92" i="38"/>
  <c r="EO92" i="38"/>
  <c r="EN92" i="38"/>
  <c r="EM92" i="38"/>
  <c r="EL92" i="38"/>
  <c r="EK92" i="38"/>
  <c r="EJ92" i="38"/>
  <c r="EI92" i="38"/>
  <c r="EH92" i="38"/>
  <c r="EG92" i="38"/>
  <c r="EF92" i="38"/>
  <c r="EE92" i="38"/>
  <c r="ED92" i="38"/>
  <c r="EC92" i="38"/>
  <c r="EB92" i="38"/>
  <c r="EA92" i="38"/>
  <c r="DZ92" i="38"/>
  <c r="DY92" i="38"/>
  <c r="DX92" i="38"/>
  <c r="DW92" i="38"/>
  <c r="DV92" i="38"/>
  <c r="DU92" i="38"/>
  <c r="DT92" i="38"/>
  <c r="FK91" i="38"/>
  <c r="FJ91" i="38"/>
  <c r="FI91" i="38"/>
  <c r="FH91" i="38"/>
  <c r="FG91" i="38"/>
  <c r="FF91" i="38"/>
  <c r="FE91" i="38"/>
  <c r="FD91" i="38"/>
  <c r="FC91" i="38"/>
  <c r="FB91" i="38"/>
  <c r="FA91" i="38"/>
  <c r="EZ91" i="38"/>
  <c r="EY91" i="38"/>
  <c r="EX91" i="38"/>
  <c r="EW91" i="38"/>
  <c r="EV91" i="38"/>
  <c r="EU91" i="38"/>
  <c r="ET91" i="38"/>
  <c r="ES91" i="38"/>
  <c r="ER91" i="38"/>
  <c r="EQ91" i="38"/>
  <c r="EP91" i="38"/>
  <c r="EO91" i="38"/>
  <c r="EN91" i="38"/>
  <c r="EM91" i="38"/>
  <c r="EL91" i="38"/>
  <c r="EK91" i="38"/>
  <c r="EJ91" i="38"/>
  <c r="EI91" i="38"/>
  <c r="EH91" i="38"/>
  <c r="EG91" i="38"/>
  <c r="EF91" i="38"/>
  <c r="EE91" i="38"/>
  <c r="ED91" i="38"/>
  <c r="EC91" i="38"/>
  <c r="EB91" i="38"/>
  <c r="EA91" i="38"/>
  <c r="DZ91" i="38"/>
  <c r="DY91" i="38"/>
  <c r="DX91" i="38"/>
  <c r="DW91" i="38"/>
  <c r="DV91" i="38"/>
  <c r="DU91" i="38"/>
  <c r="DT91" i="38"/>
  <c r="FK90" i="38"/>
  <c r="FJ90" i="38"/>
  <c r="FI90" i="38"/>
  <c r="FH90" i="38"/>
  <c r="FG90" i="38"/>
  <c r="FF90" i="38"/>
  <c r="FE90" i="38"/>
  <c r="FD90" i="38"/>
  <c r="FC90" i="38"/>
  <c r="FB90" i="38"/>
  <c r="FA90" i="38"/>
  <c r="EZ90" i="38"/>
  <c r="EY90" i="38"/>
  <c r="EX90" i="38"/>
  <c r="EW90" i="38"/>
  <c r="EV90" i="38"/>
  <c r="EU90" i="38"/>
  <c r="ET90" i="38"/>
  <c r="ES90" i="38"/>
  <c r="ER90" i="38"/>
  <c r="EQ90" i="38"/>
  <c r="EP90" i="38"/>
  <c r="EO90" i="38"/>
  <c r="EN90" i="38"/>
  <c r="EM90" i="38"/>
  <c r="EL90" i="38"/>
  <c r="EK90" i="38"/>
  <c r="EJ90" i="38"/>
  <c r="EI90" i="38"/>
  <c r="EH90" i="38"/>
  <c r="EG90" i="38"/>
  <c r="EF90" i="38"/>
  <c r="EE90" i="38"/>
  <c r="ED90" i="38"/>
  <c r="EC90" i="38"/>
  <c r="EB90" i="38"/>
  <c r="EA90" i="38"/>
  <c r="DZ90" i="38"/>
  <c r="DY90" i="38"/>
  <c r="DX90" i="38"/>
  <c r="DW90" i="38"/>
  <c r="DV90" i="38"/>
  <c r="DU90" i="38"/>
  <c r="DT90" i="38"/>
  <c r="FK89" i="38"/>
  <c r="FJ89" i="38"/>
  <c r="FI89" i="38"/>
  <c r="FH89" i="38"/>
  <c r="FG89" i="38"/>
  <c r="FF89" i="38"/>
  <c r="FE89" i="38"/>
  <c r="FD89" i="38"/>
  <c r="FC89" i="38"/>
  <c r="FB89" i="38"/>
  <c r="FA89" i="38"/>
  <c r="EZ89" i="38"/>
  <c r="EY89" i="38"/>
  <c r="EX89" i="38"/>
  <c r="EW89" i="38"/>
  <c r="EV89" i="38"/>
  <c r="EU89" i="38"/>
  <c r="ET89" i="38"/>
  <c r="ES89" i="38"/>
  <c r="ER89" i="38"/>
  <c r="EQ89" i="38"/>
  <c r="EP89" i="38"/>
  <c r="EO89" i="38"/>
  <c r="EN89" i="38"/>
  <c r="EM89" i="38"/>
  <c r="EL89" i="38"/>
  <c r="EK89" i="38"/>
  <c r="EJ89" i="38"/>
  <c r="EI89" i="38"/>
  <c r="EH89" i="38"/>
  <c r="EG89" i="38"/>
  <c r="EF89" i="38"/>
  <c r="EE89" i="38"/>
  <c r="ED89" i="38"/>
  <c r="EC89" i="38"/>
  <c r="EB89" i="38"/>
  <c r="EA89" i="38"/>
  <c r="DZ89" i="38"/>
  <c r="DY89" i="38"/>
  <c r="DX89" i="38"/>
  <c r="DW89" i="38"/>
  <c r="DV89" i="38"/>
  <c r="DU89" i="38"/>
  <c r="DT89" i="38"/>
  <c r="FK88" i="38"/>
  <c r="FJ88" i="38"/>
  <c r="FI88" i="38"/>
  <c r="FH88" i="38"/>
  <c r="FG88" i="38"/>
  <c r="FF88" i="38"/>
  <c r="FE88" i="38"/>
  <c r="FD88" i="38"/>
  <c r="FC88" i="38"/>
  <c r="FB88" i="38"/>
  <c r="FA88" i="38"/>
  <c r="EZ88" i="38"/>
  <c r="EY88" i="38"/>
  <c r="EX88" i="38"/>
  <c r="EW88" i="38"/>
  <c r="EV88" i="38"/>
  <c r="EU88" i="38"/>
  <c r="ET88" i="38"/>
  <c r="ES88" i="38"/>
  <c r="ER88" i="38"/>
  <c r="EQ88" i="38"/>
  <c r="EP88" i="38"/>
  <c r="EO88" i="38"/>
  <c r="EN88" i="38"/>
  <c r="EM88" i="38"/>
  <c r="EL88" i="38"/>
  <c r="EK88" i="38"/>
  <c r="EJ88" i="38"/>
  <c r="EI88" i="38"/>
  <c r="EH88" i="38"/>
  <c r="EG88" i="38"/>
  <c r="EF88" i="38"/>
  <c r="EE88" i="38"/>
  <c r="ED88" i="38"/>
  <c r="EC88" i="38"/>
  <c r="EB88" i="38"/>
  <c r="EA88" i="38"/>
  <c r="DZ88" i="38"/>
  <c r="DY88" i="38"/>
  <c r="DX88" i="38"/>
  <c r="DW88" i="38"/>
  <c r="DV88" i="38"/>
  <c r="DU88" i="38"/>
  <c r="DT88" i="38"/>
  <c r="FK87" i="38"/>
  <c r="FJ87" i="38"/>
  <c r="FI87" i="38"/>
  <c r="FH87" i="38"/>
  <c r="FG87" i="38"/>
  <c r="FF87" i="38"/>
  <c r="FE87" i="38"/>
  <c r="FD87" i="38"/>
  <c r="FC87" i="38"/>
  <c r="FB87" i="38"/>
  <c r="FA87" i="38"/>
  <c r="EZ87" i="38"/>
  <c r="EY87" i="38"/>
  <c r="EX87" i="38"/>
  <c r="EW87" i="38"/>
  <c r="EV87" i="38"/>
  <c r="EU87" i="38"/>
  <c r="ET87" i="38"/>
  <c r="ES87" i="38"/>
  <c r="ER87" i="38"/>
  <c r="EQ87" i="38"/>
  <c r="EP87" i="38"/>
  <c r="EO87" i="38"/>
  <c r="EN87" i="38"/>
  <c r="EM87" i="38"/>
  <c r="EL87" i="38"/>
  <c r="EK87" i="38"/>
  <c r="EJ87" i="38"/>
  <c r="EI87" i="38"/>
  <c r="EH87" i="38"/>
  <c r="EG87" i="38"/>
  <c r="EF87" i="38"/>
  <c r="EE87" i="38"/>
  <c r="ED87" i="38"/>
  <c r="EC87" i="38"/>
  <c r="EB87" i="38"/>
  <c r="EA87" i="38"/>
  <c r="DZ87" i="38"/>
  <c r="DY87" i="38"/>
  <c r="DX87" i="38"/>
  <c r="DW87" i="38"/>
  <c r="DV87" i="38"/>
  <c r="DU87" i="38"/>
  <c r="DT87" i="38"/>
  <c r="FK86" i="38"/>
  <c r="FJ86" i="38"/>
  <c r="FI86" i="38"/>
  <c r="FH86" i="38"/>
  <c r="FG86" i="38"/>
  <c r="FF86" i="38"/>
  <c r="FE86" i="38"/>
  <c r="FD86" i="38"/>
  <c r="FC86" i="38"/>
  <c r="FB86" i="38"/>
  <c r="FA86" i="38"/>
  <c r="EZ86" i="38"/>
  <c r="EY86" i="38"/>
  <c r="EX86" i="38"/>
  <c r="EW86" i="38"/>
  <c r="EV86" i="38"/>
  <c r="EU86" i="38"/>
  <c r="ET86" i="38"/>
  <c r="ES86" i="38"/>
  <c r="ER86" i="38"/>
  <c r="EQ86" i="38"/>
  <c r="EP86" i="38"/>
  <c r="EO86" i="38"/>
  <c r="EN86" i="38"/>
  <c r="EM86" i="38"/>
  <c r="EL86" i="38"/>
  <c r="EK86" i="38"/>
  <c r="EJ86" i="38"/>
  <c r="EI86" i="38"/>
  <c r="EH86" i="38"/>
  <c r="EG86" i="38"/>
  <c r="EF86" i="38"/>
  <c r="EE86" i="38"/>
  <c r="ED86" i="38"/>
  <c r="EC86" i="38"/>
  <c r="EB86" i="38"/>
  <c r="EA86" i="38"/>
  <c r="DZ86" i="38"/>
  <c r="DY86" i="38"/>
  <c r="DX86" i="38"/>
  <c r="DW86" i="38"/>
  <c r="DV86" i="38"/>
  <c r="DU86" i="38"/>
  <c r="DT86" i="38"/>
  <c r="FK85" i="38"/>
  <c r="FJ85" i="38"/>
  <c r="FI85" i="38"/>
  <c r="FH85" i="38"/>
  <c r="FG85" i="38"/>
  <c r="FF85" i="38"/>
  <c r="FE85" i="38"/>
  <c r="FD85" i="38"/>
  <c r="FC85" i="38"/>
  <c r="FB85" i="38"/>
  <c r="FA85" i="38"/>
  <c r="EZ85" i="38"/>
  <c r="EY85" i="38"/>
  <c r="EX85" i="38"/>
  <c r="EW85" i="38"/>
  <c r="EV85" i="38"/>
  <c r="EU85" i="38"/>
  <c r="ET85" i="38"/>
  <c r="ES85" i="38"/>
  <c r="ER85" i="38"/>
  <c r="EQ85" i="38"/>
  <c r="EP85" i="38"/>
  <c r="EO85" i="38"/>
  <c r="EN85" i="38"/>
  <c r="EM85" i="38"/>
  <c r="EL85" i="38"/>
  <c r="EK85" i="38"/>
  <c r="EJ85" i="38"/>
  <c r="EI85" i="38"/>
  <c r="EH85" i="38"/>
  <c r="EG85" i="38"/>
  <c r="EF85" i="38"/>
  <c r="EE85" i="38"/>
  <c r="ED85" i="38"/>
  <c r="EC85" i="38"/>
  <c r="EB85" i="38"/>
  <c r="EA85" i="38"/>
  <c r="DZ85" i="38"/>
  <c r="DY85" i="38"/>
  <c r="DX85" i="38"/>
  <c r="DW85" i="38"/>
  <c r="DV85" i="38"/>
  <c r="DU85" i="38"/>
  <c r="DT85" i="38"/>
  <c r="FK84" i="38"/>
  <c r="FJ84" i="38"/>
  <c r="FI84" i="38"/>
  <c r="FH84" i="38"/>
  <c r="FG84" i="38"/>
  <c r="FF84" i="38"/>
  <c r="FE84" i="38"/>
  <c r="FD84" i="38"/>
  <c r="FC84" i="38"/>
  <c r="FB84" i="38"/>
  <c r="FA84" i="38"/>
  <c r="EZ84" i="38"/>
  <c r="EY84" i="38"/>
  <c r="EX84" i="38"/>
  <c r="EW84" i="38"/>
  <c r="EV84" i="38"/>
  <c r="EU84" i="38"/>
  <c r="ET84" i="38"/>
  <c r="ES84" i="38"/>
  <c r="ER84" i="38"/>
  <c r="EQ84" i="38"/>
  <c r="EP84" i="38"/>
  <c r="EO84" i="38"/>
  <c r="EN84" i="38"/>
  <c r="EM84" i="38"/>
  <c r="EL84" i="38"/>
  <c r="EK84" i="38"/>
  <c r="EJ84" i="38"/>
  <c r="EI84" i="38"/>
  <c r="EH84" i="38"/>
  <c r="EG84" i="38"/>
  <c r="EF84" i="38"/>
  <c r="EE84" i="38"/>
  <c r="ED84" i="38"/>
  <c r="EC84" i="38"/>
  <c r="EB84" i="38"/>
  <c r="EA84" i="38"/>
  <c r="DZ84" i="38"/>
  <c r="DY84" i="38"/>
  <c r="DX84" i="38"/>
  <c r="DW84" i="38"/>
  <c r="DV84" i="38"/>
  <c r="DU84" i="38"/>
  <c r="DT84" i="38"/>
  <c r="FK83" i="38"/>
  <c r="FJ83" i="38"/>
  <c r="FI83" i="38"/>
  <c r="FH83" i="38"/>
  <c r="FG83" i="38"/>
  <c r="FF83" i="38"/>
  <c r="FE83" i="38"/>
  <c r="FD83" i="38"/>
  <c r="FC83" i="38"/>
  <c r="FB83" i="38"/>
  <c r="FA83" i="38"/>
  <c r="EZ83" i="38"/>
  <c r="EY83" i="38"/>
  <c r="EX83" i="38"/>
  <c r="EW83" i="38"/>
  <c r="EV83" i="38"/>
  <c r="EU83" i="38"/>
  <c r="ET83" i="38"/>
  <c r="ES83" i="38"/>
  <c r="ER83" i="38"/>
  <c r="EQ83" i="38"/>
  <c r="EP83" i="38"/>
  <c r="EO83" i="38"/>
  <c r="EN83" i="38"/>
  <c r="EM83" i="38"/>
  <c r="EL83" i="38"/>
  <c r="EK83" i="38"/>
  <c r="EJ83" i="38"/>
  <c r="EI83" i="38"/>
  <c r="EH83" i="38"/>
  <c r="EG83" i="38"/>
  <c r="EF83" i="38"/>
  <c r="EE83" i="38"/>
  <c r="ED83" i="38"/>
  <c r="EC83" i="38"/>
  <c r="EB83" i="38"/>
  <c r="EA83" i="38"/>
  <c r="DZ83" i="38"/>
  <c r="DY83" i="38"/>
  <c r="DX83" i="38"/>
  <c r="DW83" i="38"/>
  <c r="DV83" i="38"/>
  <c r="DU83" i="38"/>
  <c r="DT83" i="38"/>
  <c r="FK82" i="38"/>
  <c r="FJ82" i="38"/>
  <c r="FI82" i="38"/>
  <c r="FH82" i="38"/>
  <c r="FG82" i="38"/>
  <c r="FF82" i="38"/>
  <c r="FE82" i="38"/>
  <c r="FD82" i="38"/>
  <c r="FC82" i="38"/>
  <c r="FB82" i="38"/>
  <c r="FA82" i="38"/>
  <c r="EZ82" i="38"/>
  <c r="EY82" i="38"/>
  <c r="EX82" i="38"/>
  <c r="EW82" i="38"/>
  <c r="EV82" i="38"/>
  <c r="EU82" i="38"/>
  <c r="ET82" i="38"/>
  <c r="ES82" i="38"/>
  <c r="ER82" i="38"/>
  <c r="EQ82" i="38"/>
  <c r="EP82" i="38"/>
  <c r="EO82" i="38"/>
  <c r="EN82" i="38"/>
  <c r="EM82" i="38"/>
  <c r="EL82" i="38"/>
  <c r="EK82" i="38"/>
  <c r="EJ82" i="38"/>
  <c r="EI82" i="38"/>
  <c r="EH82" i="38"/>
  <c r="EG82" i="38"/>
  <c r="EF82" i="38"/>
  <c r="EE82" i="38"/>
  <c r="ED82" i="38"/>
  <c r="EC82" i="38"/>
  <c r="EB82" i="38"/>
  <c r="EA82" i="38"/>
  <c r="DZ82" i="38"/>
  <c r="DY82" i="38"/>
  <c r="DX82" i="38"/>
  <c r="DW82" i="38"/>
  <c r="DV82" i="38"/>
  <c r="DU82" i="38"/>
  <c r="DT82" i="38"/>
  <c r="FK81" i="38"/>
  <c r="FJ81" i="38"/>
  <c r="FI81" i="38"/>
  <c r="FH81" i="38"/>
  <c r="FG81" i="38"/>
  <c r="FF81" i="38"/>
  <c r="FE81" i="38"/>
  <c r="FD81" i="38"/>
  <c r="FC81" i="38"/>
  <c r="FB81" i="38"/>
  <c r="FA81" i="38"/>
  <c r="EZ81" i="38"/>
  <c r="EY81" i="38"/>
  <c r="EX81" i="38"/>
  <c r="EW81" i="38"/>
  <c r="EV81" i="38"/>
  <c r="EU81" i="38"/>
  <c r="ET81" i="38"/>
  <c r="ES81" i="38"/>
  <c r="ER81" i="38"/>
  <c r="EQ81" i="38"/>
  <c r="EP81" i="38"/>
  <c r="EO81" i="38"/>
  <c r="EN81" i="38"/>
  <c r="EM81" i="38"/>
  <c r="EL81" i="38"/>
  <c r="EK81" i="38"/>
  <c r="EJ81" i="38"/>
  <c r="EI81" i="38"/>
  <c r="EH81" i="38"/>
  <c r="EG81" i="38"/>
  <c r="EF81" i="38"/>
  <c r="EE81" i="38"/>
  <c r="ED81" i="38"/>
  <c r="EC81" i="38"/>
  <c r="EB81" i="38"/>
  <c r="EA81" i="38"/>
  <c r="DZ81" i="38"/>
  <c r="DY81" i="38"/>
  <c r="DX81" i="38"/>
  <c r="DW81" i="38"/>
  <c r="DV81" i="38"/>
  <c r="DU81" i="38"/>
  <c r="DT81" i="38"/>
  <c r="FK80" i="38"/>
  <c r="FJ80" i="38"/>
  <c r="FI80" i="38"/>
  <c r="FH80" i="38"/>
  <c r="FG80" i="38"/>
  <c r="FF80" i="38"/>
  <c r="FE80" i="38"/>
  <c r="FD80" i="38"/>
  <c r="FC80" i="38"/>
  <c r="FB80" i="38"/>
  <c r="FA80" i="38"/>
  <c r="EZ80" i="38"/>
  <c r="EY80" i="38"/>
  <c r="EX80" i="38"/>
  <c r="EW80" i="38"/>
  <c r="EV80" i="38"/>
  <c r="EU80" i="38"/>
  <c r="ET80" i="38"/>
  <c r="ES80" i="38"/>
  <c r="ER80" i="38"/>
  <c r="EQ80" i="38"/>
  <c r="EP80" i="38"/>
  <c r="EO80" i="38"/>
  <c r="EN80" i="38"/>
  <c r="EM80" i="38"/>
  <c r="EL80" i="38"/>
  <c r="EK80" i="38"/>
  <c r="EJ80" i="38"/>
  <c r="EI80" i="38"/>
  <c r="EH80" i="38"/>
  <c r="EG80" i="38"/>
  <c r="EF80" i="38"/>
  <c r="EE80" i="38"/>
  <c r="ED80" i="38"/>
  <c r="EC80" i="38"/>
  <c r="EB80" i="38"/>
  <c r="EA80" i="38"/>
  <c r="DZ80" i="38"/>
  <c r="DY80" i="38"/>
  <c r="DX80" i="38"/>
  <c r="DW80" i="38"/>
  <c r="DV80" i="38"/>
  <c r="DU80" i="38"/>
  <c r="DT80" i="38"/>
  <c r="FK79" i="38"/>
  <c r="FJ79" i="38"/>
  <c r="FI79" i="38"/>
  <c r="FH79" i="38"/>
  <c r="FG79" i="38"/>
  <c r="FF79" i="38"/>
  <c r="FE79" i="38"/>
  <c r="FD79" i="38"/>
  <c r="FC79" i="38"/>
  <c r="FB79" i="38"/>
  <c r="FA79" i="38"/>
  <c r="EZ79" i="38"/>
  <c r="EY79" i="38"/>
  <c r="EX79" i="38"/>
  <c r="EW79" i="38"/>
  <c r="EV79" i="38"/>
  <c r="EU79" i="38"/>
  <c r="ET79" i="38"/>
  <c r="ES79" i="38"/>
  <c r="ER79" i="38"/>
  <c r="EQ79" i="38"/>
  <c r="EP79" i="38"/>
  <c r="EO79" i="38"/>
  <c r="EN79" i="38"/>
  <c r="EM79" i="38"/>
  <c r="EL79" i="38"/>
  <c r="EK79" i="38"/>
  <c r="EJ79" i="38"/>
  <c r="EI79" i="38"/>
  <c r="EH79" i="38"/>
  <c r="EG79" i="38"/>
  <c r="EF79" i="38"/>
  <c r="EE79" i="38"/>
  <c r="ED79" i="38"/>
  <c r="EC79" i="38"/>
  <c r="EB79" i="38"/>
  <c r="EA79" i="38"/>
  <c r="DZ79" i="38"/>
  <c r="DY79" i="38"/>
  <c r="DX79" i="38"/>
  <c r="DW79" i="38"/>
  <c r="DV79" i="38"/>
  <c r="DU79" i="38"/>
  <c r="DT79" i="38"/>
  <c r="FK78" i="38"/>
  <c r="FJ78" i="38"/>
  <c r="FI78" i="38"/>
  <c r="FH78" i="38"/>
  <c r="FG78" i="38"/>
  <c r="FF78" i="38"/>
  <c r="FE78" i="38"/>
  <c r="FD78" i="38"/>
  <c r="FC78" i="38"/>
  <c r="FB78" i="38"/>
  <c r="FA78" i="38"/>
  <c r="EZ78" i="38"/>
  <c r="EY78" i="38"/>
  <c r="EX78" i="38"/>
  <c r="EW78" i="38"/>
  <c r="EV78" i="38"/>
  <c r="EU78" i="38"/>
  <c r="ET78" i="38"/>
  <c r="ES78" i="38"/>
  <c r="ER78" i="38"/>
  <c r="EQ78" i="38"/>
  <c r="EP78" i="38"/>
  <c r="EO78" i="38"/>
  <c r="EN78" i="38"/>
  <c r="EM78" i="38"/>
  <c r="EL78" i="38"/>
  <c r="EK78" i="38"/>
  <c r="EJ78" i="38"/>
  <c r="EI78" i="38"/>
  <c r="EH78" i="38"/>
  <c r="EG78" i="38"/>
  <c r="EF78" i="38"/>
  <c r="EE78" i="38"/>
  <c r="ED78" i="38"/>
  <c r="EC78" i="38"/>
  <c r="EB78" i="38"/>
  <c r="EA78" i="38"/>
  <c r="DZ78" i="38"/>
  <c r="DY78" i="38"/>
  <c r="DX78" i="38"/>
  <c r="DW78" i="38"/>
  <c r="DV78" i="38"/>
  <c r="DU78" i="38"/>
  <c r="DT78" i="38"/>
  <c r="FK77" i="38"/>
  <c r="FJ77" i="38"/>
  <c r="FI77" i="38"/>
  <c r="FH77" i="38"/>
  <c r="FG77" i="38"/>
  <c r="FF77" i="38"/>
  <c r="FE77" i="38"/>
  <c r="FD77" i="38"/>
  <c r="FC77" i="38"/>
  <c r="FB77" i="38"/>
  <c r="FA77" i="38"/>
  <c r="EZ77" i="38"/>
  <c r="EY77" i="38"/>
  <c r="EX77" i="38"/>
  <c r="EW77" i="38"/>
  <c r="EV77" i="38"/>
  <c r="EU77" i="38"/>
  <c r="ET77" i="38"/>
  <c r="ES77" i="38"/>
  <c r="ER77" i="38"/>
  <c r="EQ77" i="38"/>
  <c r="EP77" i="38"/>
  <c r="EO77" i="38"/>
  <c r="EN77" i="38"/>
  <c r="EM77" i="38"/>
  <c r="EL77" i="38"/>
  <c r="EK77" i="38"/>
  <c r="EJ77" i="38"/>
  <c r="EI77" i="38"/>
  <c r="EH77" i="38"/>
  <c r="EG77" i="38"/>
  <c r="EF77" i="38"/>
  <c r="EE77" i="38"/>
  <c r="ED77" i="38"/>
  <c r="EC77" i="38"/>
  <c r="EB77" i="38"/>
  <c r="EA77" i="38"/>
  <c r="DZ77" i="38"/>
  <c r="DY77" i="38"/>
  <c r="DX77" i="38"/>
  <c r="DW77" i="38"/>
  <c r="DV77" i="38"/>
  <c r="DU77" i="38"/>
  <c r="DT77" i="38"/>
  <c r="FK76" i="38"/>
  <c r="FJ76" i="38"/>
  <c r="FI76" i="38"/>
  <c r="FH76" i="38"/>
  <c r="FG76" i="38"/>
  <c r="FF76" i="38"/>
  <c r="FE76" i="38"/>
  <c r="FD76" i="38"/>
  <c r="FC76" i="38"/>
  <c r="FB76" i="38"/>
  <c r="FA76" i="38"/>
  <c r="EZ76" i="38"/>
  <c r="EY76" i="38"/>
  <c r="EX76" i="38"/>
  <c r="EW76" i="38"/>
  <c r="EV76" i="38"/>
  <c r="EU76" i="38"/>
  <c r="ET76" i="38"/>
  <c r="ES76" i="38"/>
  <c r="ER76" i="38"/>
  <c r="EQ76" i="38"/>
  <c r="EP76" i="38"/>
  <c r="EO76" i="38"/>
  <c r="EN76" i="38"/>
  <c r="EM76" i="38"/>
  <c r="EL76" i="38"/>
  <c r="EK76" i="38"/>
  <c r="EJ76" i="38"/>
  <c r="EI76" i="38"/>
  <c r="EH76" i="38"/>
  <c r="EG76" i="38"/>
  <c r="EF76" i="38"/>
  <c r="EE76" i="38"/>
  <c r="ED76" i="38"/>
  <c r="EC76" i="38"/>
  <c r="EB76" i="38"/>
  <c r="EA76" i="38"/>
  <c r="DZ76" i="38"/>
  <c r="DY76" i="38"/>
  <c r="DX76" i="38"/>
  <c r="DW76" i="38"/>
  <c r="DV76" i="38"/>
  <c r="DU76" i="38"/>
  <c r="DT76" i="38"/>
  <c r="FK75" i="38"/>
  <c r="FJ75" i="38"/>
  <c r="FI75" i="38"/>
  <c r="FH75" i="38"/>
  <c r="FG75" i="38"/>
  <c r="FF75" i="38"/>
  <c r="FE75" i="38"/>
  <c r="FD75" i="38"/>
  <c r="FC75" i="38"/>
  <c r="FB75" i="38"/>
  <c r="FA75" i="38"/>
  <c r="EZ75" i="38"/>
  <c r="EY75" i="38"/>
  <c r="EX75" i="38"/>
  <c r="EW75" i="38"/>
  <c r="EV75" i="38"/>
  <c r="EU75" i="38"/>
  <c r="ET75" i="38"/>
  <c r="ES75" i="38"/>
  <c r="ER75" i="38"/>
  <c r="EQ75" i="38"/>
  <c r="EP75" i="38"/>
  <c r="EO75" i="38"/>
  <c r="EN75" i="38"/>
  <c r="EM75" i="38"/>
  <c r="EL75" i="38"/>
  <c r="EK75" i="38"/>
  <c r="EJ75" i="38"/>
  <c r="EI75" i="38"/>
  <c r="EH75" i="38"/>
  <c r="EG75" i="38"/>
  <c r="EF75" i="38"/>
  <c r="EE75" i="38"/>
  <c r="ED75" i="38"/>
  <c r="EC75" i="38"/>
  <c r="EB75" i="38"/>
  <c r="EA75" i="38"/>
  <c r="DZ75" i="38"/>
  <c r="DY75" i="38"/>
  <c r="DX75" i="38"/>
  <c r="DW75" i="38"/>
  <c r="DV75" i="38"/>
  <c r="DU75" i="38"/>
  <c r="DT75" i="38"/>
  <c r="FK74" i="38"/>
  <c r="FJ74" i="38"/>
  <c r="FI74" i="38"/>
  <c r="FH74" i="38"/>
  <c r="FG74" i="38"/>
  <c r="FF74" i="38"/>
  <c r="FE74" i="38"/>
  <c r="FD74" i="38"/>
  <c r="FC74" i="38"/>
  <c r="FB74" i="38"/>
  <c r="FA74" i="38"/>
  <c r="EZ74" i="38"/>
  <c r="EY74" i="38"/>
  <c r="EX74" i="38"/>
  <c r="EW74" i="38"/>
  <c r="EV74" i="38"/>
  <c r="EU74" i="38"/>
  <c r="ET74" i="38"/>
  <c r="ES74" i="38"/>
  <c r="ER74" i="38"/>
  <c r="EQ74" i="38"/>
  <c r="EP74" i="38"/>
  <c r="EO74" i="38"/>
  <c r="EN74" i="38"/>
  <c r="EM74" i="38"/>
  <c r="EL74" i="38"/>
  <c r="EK74" i="38"/>
  <c r="EJ74" i="38"/>
  <c r="EI74" i="38"/>
  <c r="EH74" i="38"/>
  <c r="EG74" i="38"/>
  <c r="EF74" i="38"/>
  <c r="EE74" i="38"/>
  <c r="ED74" i="38"/>
  <c r="EC74" i="38"/>
  <c r="EB74" i="38"/>
  <c r="EA74" i="38"/>
  <c r="DZ74" i="38"/>
  <c r="DY74" i="38"/>
  <c r="DX74" i="38"/>
  <c r="DW74" i="38"/>
  <c r="DV74" i="38"/>
  <c r="DU74" i="38"/>
  <c r="DT74" i="38"/>
  <c r="FK73" i="38"/>
  <c r="FJ73" i="38"/>
  <c r="FI73" i="38"/>
  <c r="FH73" i="38"/>
  <c r="FG73" i="38"/>
  <c r="FF73" i="38"/>
  <c r="FE73" i="38"/>
  <c r="FD73" i="38"/>
  <c r="FC73" i="38"/>
  <c r="FB73" i="38"/>
  <c r="FA73" i="38"/>
  <c r="EZ73" i="38"/>
  <c r="EY73" i="38"/>
  <c r="EX73" i="38"/>
  <c r="EW73" i="38"/>
  <c r="EV73" i="38"/>
  <c r="EU73" i="38"/>
  <c r="ET73" i="38"/>
  <c r="ES73" i="38"/>
  <c r="ER73" i="38"/>
  <c r="EQ73" i="38"/>
  <c r="EP73" i="38"/>
  <c r="EO73" i="38"/>
  <c r="EN73" i="38"/>
  <c r="EM73" i="38"/>
  <c r="EL73" i="38"/>
  <c r="EK73" i="38"/>
  <c r="EJ73" i="38"/>
  <c r="EI73" i="38"/>
  <c r="EH73" i="38"/>
  <c r="EG73" i="38"/>
  <c r="EF73" i="38"/>
  <c r="EE73" i="38"/>
  <c r="ED73" i="38"/>
  <c r="EC73" i="38"/>
  <c r="EB73" i="38"/>
  <c r="EA73" i="38"/>
  <c r="DZ73" i="38"/>
  <c r="DY73" i="38"/>
  <c r="DX73" i="38"/>
  <c r="DW73" i="38"/>
  <c r="DV73" i="38"/>
  <c r="DU73" i="38"/>
  <c r="DT73" i="38"/>
  <c r="FK72" i="38"/>
  <c r="FJ72" i="38"/>
  <c r="FI72" i="38"/>
  <c r="FH72" i="38"/>
  <c r="FG72" i="38"/>
  <c r="FF72" i="38"/>
  <c r="FE72" i="38"/>
  <c r="FD72" i="38"/>
  <c r="FC72" i="38"/>
  <c r="FB72" i="38"/>
  <c r="FA72" i="38"/>
  <c r="EZ72" i="38"/>
  <c r="EY72" i="38"/>
  <c r="EX72" i="38"/>
  <c r="EW72" i="38"/>
  <c r="EV72" i="38"/>
  <c r="EU72" i="38"/>
  <c r="ET72" i="38"/>
  <c r="ES72" i="38"/>
  <c r="ER72" i="38"/>
  <c r="EQ72" i="38"/>
  <c r="EP72" i="38"/>
  <c r="EO72" i="38"/>
  <c r="EN72" i="38"/>
  <c r="EM72" i="38"/>
  <c r="EL72" i="38"/>
  <c r="EK72" i="38"/>
  <c r="EJ72" i="38"/>
  <c r="EI72" i="38"/>
  <c r="EH72" i="38"/>
  <c r="EG72" i="38"/>
  <c r="EF72" i="38"/>
  <c r="EE72" i="38"/>
  <c r="ED72" i="38"/>
  <c r="EC72" i="38"/>
  <c r="EB72" i="38"/>
  <c r="EA72" i="38"/>
  <c r="DZ72" i="38"/>
  <c r="DY72" i="38"/>
  <c r="DX72" i="38"/>
  <c r="DW72" i="38"/>
  <c r="DV72" i="38"/>
  <c r="DU72" i="38"/>
  <c r="DT72" i="38"/>
  <c r="FK71" i="38"/>
  <c r="FJ71" i="38"/>
  <c r="FI71" i="38"/>
  <c r="FH71" i="38"/>
  <c r="FG71" i="38"/>
  <c r="FF71" i="38"/>
  <c r="FE71" i="38"/>
  <c r="FD71" i="38"/>
  <c r="FC71" i="38"/>
  <c r="FB71" i="38"/>
  <c r="FA71" i="38"/>
  <c r="EZ71" i="38"/>
  <c r="EY71" i="38"/>
  <c r="EX71" i="38"/>
  <c r="EW71" i="38"/>
  <c r="EV71" i="38"/>
  <c r="EU71" i="38"/>
  <c r="ET71" i="38"/>
  <c r="ES71" i="38"/>
  <c r="ER71" i="38"/>
  <c r="EQ71" i="38"/>
  <c r="EP71" i="38"/>
  <c r="EO71" i="38"/>
  <c r="EN71" i="38"/>
  <c r="EM71" i="38"/>
  <c r="EL71" i="38"/>
  <c r="EK71" i="38"/>
  <c r="EJ71" i="38"/>
  <c r="EI71" i="38"/>
  <c r="EH71" i="38"/>
  <c r="EG71" i="38"/>
  <c r="EF71" i="38"/>
  <c r="EE71" i="38"/>
  <c r="ED71" i="38"/>
  <c r="EC71" i="38"/>
  <c r="EB71" i="38"/>
  <c r="EA71" i="38"/>
  <c r="DZ71" i="38"/>
  <c r="DY71" i="38"/>
  <c r="DX71" i="38"/>
  <c r="DW71" i="38"/>
  <c r="DV71" i="38"/>
  <c r="DU71" i="38"/>
  <c r="DT71" i="38"/>
  <c r="FK70" i="38"/>
  <c r="FJ70" i="38"/>
  <c r="FI70" i="38"/>
  <c r="FH70" i="38"/>
  <c r="FG70" i="38"/>
  <c r="FF70" i="38"/>
  <c r="FE70" i="38"/>
  <c r="FD70" i="38"/>
  <c r="FC70" i="38"/>
  <c r="FB70" i="38"/>
  <c r="FA70" i="38"/>
  <c r="EZ70" i="38"/>
  <c r="EY70" i="38"/>
  <c r="EX70" i="38"/>
  <c r="EW70" i="38"/>
  <c r="EV70" i="38"/>
  <c r="EU70" i="38"/>
  <c r="ET70" i="38"/>
  <c r="ES70" i="38"/>
  <c r="ER70" i="38"/>
  <c r="EQ70" i="38"/>
  <c r="EP70" i="38"/>
  <c r="EO70" i="38"/>
  <c r="EN70" i="38"/>
  <c r="EM70" i="38"/>
  <c r="EL70" i="38"/>
  <c r="EK70" i="38"/>
  <c r="EJ70" i="38"/>
  <c r="EI70" i="38"/>
  <c r="EH70" i="38"/>
  <c r="EG70" i="38"/>
  <c r="EF70" i="38"/>
  <c r="EE70" i="38"/>
  <c r="ED70" i="38"/>
  <c r="EC70" i="38"/>
  <c r="EB70" i="38"/>
  <c r="EA70" i="38"/>
  <c r="DZ70" i="38"/>
  <c r="DY70" i="38"/>
  <c r="DX70" i="38"/>
  <c r="DW70" i="38"/>
  <c r="DV70" i="38"/>
  <c r="DU70" i="38"/>
  <c r="DT70" i="38"/>
  <c r="FK69" i="38"/>
  <c r="FJ69" i="38"/>
  <c r="FI69" i="38"/>
  <c r="FH69" i="38"/>
  <c r="FG69" i="38"/>
  <c r="FF69" i="38"/>
  <c r="FE69" i="38"/>
  <c r="FD69" i="38"/>
  <c r="FC69" i="38"/>
  <c r="FB69" i="38"/>
  <c r="FA69" i="38"/>
  <c r="EZ69" i="38"/>
  <c r="EY69" i="38"/>
  <c r="EX69" i="38"/>
  <c r="EW69" i="38"/>
  <c r="EV69" i="38"/>
  <c r="EU69" i="38"/>
  <c r="ET69" i="38"/>
  <c r="ES69" i="38"/>
  <c r="ER69" i="38"/>
  <c r="EQ69" i="38"/>
  <c r="EP69" i="38"/>
  <c r="EO69" i="38"/>
  <c r="EN69" i="38"/>
  <c r="EM69" i="38"/>
  <c r="EL69" i="38"/>
  <c r="EK69" i="38"/>
  <c r="EJ69" i="38"/>
  <c r="EI69" i="38"/>
  <c r="EH69" i="38"/>
  <c r="EG69" i="38"/>
  <c r="EF69" i="38"/>
  <c r="EE69" i="38"/>
  <c r="ED69" i="38"/>
  <c r="EC69" i="38"/>
  <c r="EB69" i="38"/>
  <c r="EA69" i="38"/>
  <c r="DZ69" i="38"/>
  <c r="DY69" i="38"/>
  <c r="DX69" i="38"/>
  <c r="DW69" i="38"/>
  <c r="DV69" i="38"/>
  <c r="DU69" i="38"/>
  <c r="DT69" i="38"/>
  <c r="FK68" i="38"/>
  <c r="FJ68" i="38"/>
  <c r="FI68" i="38"/>
  <c r="FH68" i="38"/>
  <c r="FG68" i="38"/>
  <c r="FF68" i="38"/>
  <c r="FE68" i="38"/>
  <c r="FD68" i="38"/>
  <c r="FC68" i="38"/>
  <c r="FB68" i="38"/>
  <c r="FA68" i="38"/>
  <c r="EZ68" i="38"/>
  <c r="EY68" i="38"/>
  <c r="EX68" i="38"/>
  <c r="EW68" i="38"/>
  <c r="EV68" i="38"/>
  <c r="EU68" i="38"/>
  <c r="ET68" i="38"/>
  <c r="ES68" i="38"/>
  <c r="ER68" i="38"/>
  <c r="EQ68" i="38"/>
  <c r="EP68" i="38"/>
  <c r="EO68" i="38"/>
  <c r="EN68" i="38"/>
  <c r="EM68" i="38"/>
  <c r="EL68" i="38"/>
  <c r="EK68" i="38"/>
  <c r="EJ68" i="38"/>
  <c r="EI68" i="38"/>
  <c r="EH68" i="38"/>
  <c r="EG68" i="38"/>
  <c r="EF68" i="38"/>
  <c r="EE68" i="38"/>
  <c r="ED68" i="38"/>
  <c r="EC68" i="38"/>
  <c r="EB68" i="38"/>
  <c r="EA68" i="38"/>
  <c r="DZ68" i="38"/>
  <c r="DY68" i="38"/>
  <c r="DX68" i="38"/>
  <c r="DW68" i="38"/>
  <c r="DV68" i="38"/>
  <c r="DU68" i="38"/>
  <c r="DT68" i="38"/>
  <c r="FK67" i="38"/>
  <c r="FJ67" i="38"/>
  <c r="FI67" i="38"/>
  <c r="FH67" i="38"/>
  <c r="FG67" i="38"/>
  <c r="FF67" i="38"/>
  <c r="FE67" i="38"/>
  <c r="FD67" i="38"/>
  <c r="FC67" i="38"/>
  <c r="FB67" i="38"/>
  <c r="FA67" i="38"/>
  <c r="EZ67" i="38"/>
  <c r="EY67" i="38"/>
  <c r="EX67" i="38"/>
  <c r="EW67" i="38"/>
  <c r="EV67" i="38"/>
  <c r="EU67" i="38"/>
  <c r="ET67" i="38"/>
  <c r="ES67" i="38"/>
  <c r="ER67" i="38"/>
  <c r="EQ67" i="38"/>
  <c r="EP67" i="38"/>
  <c r="EO67" i="38"/>
  <c r="EN67" i="38"/>
  <c r="EM67" i="38"/>
  <c r="EL67" i="38"/>
  <c r="EK67" i="38"/>
  <c r="EJ67" i="38"/>
  <c r="EI67" i="38"/>
  <c r="EH67" i="38"/>
  <c r="EG67" i="38"/>
  <c r="EF67" i="38"/>
  <c r="EE67" i="38"/>
  <c r="ED67" i="38"/>
  <c r="EC67" i="38"/>
  <c r="EB67" i="38"/>
  <c r="EA67" i="38"/>
  <c r="DZ67" i="38"/>
  <c r="DY67" i="38"/>
  <c r="DX67" i="38"/>
  <c r="DW67" i="38"/>
  <c r="DV67" i="38"/>
  <c r="DU67" i="38"/>
  <c r="DT67" i="38"/>
  <c r="FK66" i="38"/>
  <c r="FJ66" i="38"/>
  <c r="FI66" i="38"/>
  <c r="FH66" i="38"/>
  <c r="FG66" i="38"/>
  <c r="FF66" i="38"/>
  <c r="FE66" i="38"/>
  <c r="FD66" i="38"/>
  <c r="FC66" i="38"/>
  <c r="FB66" i="38"/>
  <c r="FA66" i="38"/>
  <c r="EZ66" i="38"/>
  <c r="EY66" i="38"/>
  <c r="EX66" i="38"/>
  <c r="EW66" i="38"/>
  <c r="EV66" i="38"/>
  <c r="EU66" i="38"/>
  <c r="ET66" i="38"/>
  <c r="ES66" i="38"/>
  <c r="ER66" i="38"/>
  <c r="EQ66" i="38"/>
  <c r="EP66" i="38"/>
  <c r="EO66" i="38"/>
  <c r="EN66" i="38"/>
  <c r="EM66" i="38"/>
  <c r="EL66" i="38"/>
  <c r="EK66" i="38"/>
  <c r="EJ66" i="38"/>
  <c r="EI66" i="38"/>
  <c r="EH66" i="38"/>
  <c r="EG66" i="38"/>
  <c r="EF66" i="38"/>
  <c r="EE66" i="38"/>
  <c r="ED66" i="38"/>
  <c r="EC66" i="38"/>
  <c r="EB66" i="38"/>
  <c r="EA66" i="38"/>
  <c r="DZ66" i="38"/>
  <c r="DY66" i="38"/>
  <c r="DX66" i="38"/>
  <c r="DW66" i="38"/>
  <c r="DV66" i="38"/>
  <c r="DU66" i="38"/>
  <c r="DT66" i="38"/>
  <c r="FK65" i="38"/>
  <c r="FJ65" i="38"/>
  <c r="FI65" i="38"/>
  <c r="FH65" i="38"/>
  <c r="FG65" i="38"/>
  <c r="FF65" i="38"/>
  <c r="FE65" i="38"/>
  <c r="FD65" i="38"/>
  <c r="FC65" i="38"/>
  <c r="FB65" i="38"/>
  <c r="FA65" i="38"/>
  <c r="EZ65" i="38"/>
  <c r="EY65" i="38"/>
  <c r="EX65" i="38"/>
  <c r="EW65" i="38"/>
  <c r="EV65" i="38"/>
  <c r="EU65" i="38"/>
  <c r="ET65" i="38"/>
  <c r="ES65" i="38"/>
  <c r="ER65" i="38"/>
  <c r="EQ65" i="38"/>
  <c r="EP65" i="38"/>
  <c r="EO65" i="38"/>
  <c r="EN65" i="38"/>
  <c r="EM65" i="38"/>
  <c r="EL65" i="38"/>
  <c r="EK65" i="38"/>
  <c r="EJ65" i="38"/>
  <c r="EI65" i="38"/>
  <c r="EH65" i="38"/>
  <c r="EG65" i="38"/>
  <c r="EF65" i="38"/>
  <c r="EE65" i="38"/>
  <c r="ED65" i="38"/>
  <c r="EC65" i="38"/>
  <c r="EB65" i="38"/>
  <c r="EA65" i="38"/>
  <c r="DZ65" i="38"/>
  <c r="DY65" i="38"/>
  <c r="DX65" i="38"/>
  <c r="DW65" i="38"/>
  <c r="DV65" i="38"/>
  <c r="DU65" i="38"/>
  <c r="DT65" i="38"/>
  <c r="FK64" i="38"/>
  <c r="FJ64" i="38"/>
  <c r="FI64" i="38"/>
  <c r="FH64" i="38"/>
  <c r="FG64" i="38"/>
  <c r="FF64" i="38"/>
  <c r="FE64" i="38"/>
  <c r="FD64" i="38"/>
  <c r="FC64" i="38"/>
  <c r="FB64" i="38"/>
  <c r="FA64" i="38"/>
  <c r="EZ64" i="38"/>
  <c r="EY64" i="38"/>
  <c r="EX64" i="38"/>
  <c r="EW64" i="38"/>
  <c r="EV64" i="38"/>
  <c r="EU64" i="38"/>
  <c r="ET64" i="38"/>
  <c r="ES64" i="38"/>
  <c r="ER64" i="38"/>
  <c r="EQ64" i="38"/>
  <c r="EP64" i="38"/>
  <c r="EO64" i="38"/>
  <c r="EN64" i="38"/>
  <c r="EM64" i="38"/>
  <c r="EL64" i="38"/>
  <c r="EK64" i="38"/>
  <c r="EJ64" i="38"/>
  <c r="EI64" i="38"/>
  <c r="EH64" i="38"/>
  <c r="EG64" i="38"/>
  <c r="EF64" i="38"/>
  <c r="EE64" i="38"/>
  <c r="ED64" i="38"/>
  <c r="EC64" i="38"/>
  <c r="EB64" i="38"/>
  <c r="EA64" i="38"/>
  <c r="DZ64" i="38"/>
  <c r="DY64" i="38"/>
  <c r="DX64" i="38"/>
  <c r="DW64" i="38"/>
  <c r="DV64" i="38"/>
  <c r="DU64" i="38"/>
  <c r="DT64" i="38"/>
  <c r="FK63" i="38"/>
  <c r="FJ63" i="38"/>
  <c r="FI63" i="38"/>
  <c r="FH63" i="38"/>
  <c r="FG63" i="38"/>
  <c r="FF63" i="38"/>
  <c r="FE63" i="38"/>
  <c r="FD63" i="38"/>
  <c r="FC63" i="38"/>
  <c r="FB63" i="38"/>
  <c r="FA63" i="38"/>
  <c r="EZ63" i="38"/>
  <c r="EY63" i="38"/>
  <c r="EX63" i="38"/>
  <c r="EW63" i="38"/>
  <c r="EV63" i="38"/>
  <c r="EU63" i="38"/>
  <c r="ET63" i="38"/>
  <c r="ES63" i="38"/>
  <c r="ER63" i="38"/>
  <c r="EQ63" i="38"/>
  <c r="EP63" i="38"/>
  <c r="EO63" i="38"/>
  <c r="EN63" i="38"/>
  <c r="EM63" i="38"/>
  <c r="EL63" i="38"/>
  <c r="EK63" i="38"/>
  <c r="EJ63" i="38"/>
  <c r="EI63" i="38"/>
  <c r="EH63" i="38"/>
  <c r="EG63" i="38"/>
  <c r="EF63" i="38"/>
  <c r="EE63" i="38"/>
  <c r="ED63" i="38"/>
  <c r="EC63" i="38"/>
  <c r="EB63" i="38"/>
  <c r="EA63" i="38"/>
  <c r="DZ63" i="38"/>
  <c r="DY63" i="38"/>
  <c r="DX63" i="38"/>
  <c r="DW63" i="38"/>
  <c r="DV63" i="38"/>
  <c r="DU63" i="38"/>
  <c r="DT63" i="38"/>
  <c r="FK62" i="38"/>
  <c r="FJ62" i="38"/>
  <c r="FI62" i="38"/>
  <c r="FH62" i="38"/>
  <c r="FG62" i="38"/>
  <c r="FF62" i="38"/>
  <c r="FE62" i="38"/>
  <c r="FD62" i="38"/>
  <c r="FC62" i="38"/>
  <c r="FB62" i="38"/>
  <c r="FA62" i="38"/>
  <c r="EZ62" i="38"/>
  <c r="EY62" i="38"/>
  <c r="EX62" i="38"/>
  <c r="EW62" i="38"/>
  <c r="EV62" i="38"/>
  <c r="EU62" i="38"/>
  <c r="ET62" i="38"/>
  <c r="ES62" i="38"/>
  <c r="ER62" i="38"/>
  <c r="EQ62" i="38"/>
  <c r="EP62" i="38"/>
  <c r="EO62" i="38"/>
  <c r="EN62" i="38"/>
  <c r="EM62" i="38"/>
  <c r="EL62" i="38"/>
  <c r="EK62" i="38"/>
  <c r="EJ62" i="38"/>
  <c r="EI62" i="38"/>
  <c r="EH62" i="38"/>
  <c r="EG62" i="38"/>
  <c r="EF62" i="38"/>
  <c r="EE62" i="38"/>
  <c r="ED62" i="38"/>
  <c r="EC62" i="38"/>
  <c r="EB62" i="38"/>
  <c r="EA62" i="38"/>
  <c r="DZ62" i="38"/>
  <c r="DY62" i="38"/>
  <c r="DX62" i="38"/>
  <c r="DW62" i="38"/>
  <c r="DV62" i="38"/>
  <c r="DU62" i="38"/>
  <c r="DT62" i="38"/>
  <c r="FK61" i="38"/>
  <c r="FJ61" i="38"/>
  <c r="FI61" i="38"/>
  <c r="FH61" i="38"/>
  <c r="FG61" i="38"/>
  <c r="FF61" i="38"/>
  <c r="FE61" i="38"/>
  <c r="FD61" i="38"/>
  <c r="FC61" i="38"/>
  <c r="FB61" i="38"/>
  <c r="FA61" i="38"/>
  <c r="EZ61" i="38"/>
  <c r="EY61" i="38"/>
  <c r="EX61" i="38"/>
  <c r="EW61" i="38"/>
  <c r="EV61" i="38"/>
  <c r="EU61" i="38"/>
  <c r="ET61" i="38"/>
  <c r="ES61" i="38"/>
  <c r="ER61" i="38"/>
  <c r="EQ61" i="38"/>
  <c r="EP61" i="38"/>
  <c r="EO61" i="38"/>
  <c r="EN61" i="38"/>
  <c r="EM61" i="38"/>
  <c r="EL61" i="38"/>
  <c r="EK61" i="38"/>
  <c r="EJ61" i="38"/>
  <c r="EI61" i="38"/>
  <c r="EH61" i="38"/>
  <c r="EG61" i="38"/>
  <c r="EF61" i="38"/>
  <c r="EE61" i="38"/>
  <c r="ED61" i="38"/>
  <c r="EC61" i="38"/>
  <c r="EB61" i="38"/>
  <c r="EA61" i="38"/>
  <c r="DZ61" i="38"/>
  <c r="DY61" i="38"/>
  <c r="DX61" i="38"/>
  <c r="DW61" i="38"/>
  <c r="DV61" i="38"/>
  <c r="DU61" i="38"/>
  <c r="DT61" i="38"/>
  <c r="FK60" i="38"/>
  <c r="FJ60" i="38"/>
  <c r="FI60" i="38"/>
  <c r="FH60" i="38"/>
  <c r="FG60" i="38"/>
  <c r="FF60" i="38"/>
  <c r="FE60" i="38"/>
  <c r="FD60" i="38"/>
  <c r="FC60" i="38"/>
  <c r="FB60" i="38"/>
  <c r="FA60" i="38"/>
  <c r="EZ60" i="38"/>
  <c r="EY60" i="38"/>
  <c r="EX60" i="38"/>
  <c r="EW60" i="38"/>
  <c r="EV60" i="38"/>
  <c r="EU60" i="38"/>
  <c r="ET60" i="38"/>
  <c r="ES60" i="38"/>
  <c r="ER60" i="38"/>
  <c r="EQ60" i="38"/>
  <c r="EP60" i="38"/>
  <c r="EO60" i="38"/>
  <c r="EN60" i="38"/>
  <c r="EM60" i="38"/>
  <c r="EL60" i="38"/>
  <c r="EK60" i="38"/>
  <c r="EJ60" i="38"/>
  <c r="EI60" i="38"/>
  <c r="EH60" i="38"/>
  <c r="EG60" i="38"/>
  <c r="EF60" i="38"/>
  <c r="EE60" i="38"/>
  <c r="ED60" i="38"/>
  <c r="EC60" i="38"/>
  <c r="EB60" i="38"/>
  <c r="EA60" i="38"/>
  <c r="DZ60" i="38"/>
  <c r="DY60" i="38"/>
  <c r="DX60" i="38"/>
  <c r="DW60" i="38"/>
  <c r="DV60" i="38"/>
  <c r="DU60" i="38"/>
  <c r="DT60" i="38"/>
  <c r="FK59" i="38"/>
  <c r="FJ59" i="38"/>
  <c r="FI59" i="38"/>
  <c r="FH59" i="38"/>
  <c r="FG59" i="38"/>
  <c r="FF59" i="38"/>
  <c r="FE59" i="38"/>
  <c r="FD59" i="38"/>
  <c r="FC59" i="38"/>
  <c r="FB59" i="38"/>
  <c r="FA59" i="38"/>
  <c r="EZ59" i="38"/>
  <c r="EY59" i="38"/>
  <c r="EX59" i="38"/>
  <c r="EW59" i="38"/>
  <c r="EV59" i="38"/>
  <c r="EU59" i="38"/>
  <c r="ET59" i="38"/>
  <c r="ES59" i="38"/>
  <c r="ER59" i="38"/>
  <c r="EQ59" i="38"/>
  <c r="EP59" i="38"/>
  <c r="EO59" i="38"/>
  <c r="EN59" i="38"/>
  <c r="EM59" i="38"/>
  <c r="EL59" i="38"/>
  <c r="EK59" i="38"/>
  <c r="EJ59" i="38"/>
  <c r="EI59" i="38"/>
  <c r="EH59" i="38"/>
  <c r="EG59" i="38"/>
  <c r="EF59" i="38"/>
  <c r="EE59" i="38"/>
  <c r="ED59" i="38"/>
  <c r="EC59" i="38"/>
  <c r="EB59" i="38"/>
  <c r="EA59" i="38"/>
  <c r="DZ59" i="38"/>
  <c r="DY59" i="38"/>
  <c r="DX59" i="38"/>
  <c r="DW59" i="38"/>
  <c r="DV59" i="38"/>
  <c r="DU59" i="38"/>
  <c r="DT59" i="38"/>
  <c r="FK58" i="38"/>
  <c r="FJ58" i="38"/>
  <c r="FI58" i="38"/>
  <c r="FH58" i="38"/>
  <c r="FG58" i="38"/>
  <c r="FF58" i="38"/>
  <c r="FE58" i="38"/>
  <c r="FD58" i="38"/>
  <c r="FC58" i="38"/>
  <c r="FB58" i="38"/>
  <c r="FA58" i="38"/>
  <c r="EZ58" i="38"/>
  <c r="EY58" i="38"/>
  <c r="EX58" i="38"/>
  <c r="EW58" i="38"/>
  <c r="EV58" i="38"/>
  <c r="EU58" i="38"/>
  <c r="ET58" i="38"/>
  <c r="ES58" i="38"/>
  <c r="ER58" i="38"/>
  <c r="EQ58" i="38"/>
  <c r="EP58" i="38"/>
  <c r="EO58" i="38"/>
  <c r="EN58" i="38"/>
  <c r="EM58" i="38"/>
  <c r="EL58" i="38"/>
  <c r="EK58" i="38"/>
  <c r="EJ58" i="38"/>
  <c r="EI58" i="38"/>
  <c r="EH58" i="38"/>
  <c r="EG58" i="38"/>
  <c r="EF58" i="38"/>
  <c r="EE58" i="38"/>
  <c r="ED58" i="38"/>
  <c r="EC58" i="38"/>
  <c r="EB58" i="38"/>
  <c r="EA58" i="38"/>
  <c r="DZ58" i="38"/>
  <c r="DY58" i="38"/>
  <c r="DX58" i="38"/>
  <c r="DW58" i="38"/>
  <c r="DV58" i="38"/>
  <c r="DU58" i="38"/>
  <c r="DT58" i="38"/>
  <c r="FK57" i="38"/>
  <c r="FJ57" i="38"/>
  <c r="FI57" i="38"/>
  <c r="FH57" i="38"/>
  <c r="FG57" i="38"/>
  <c r="FF57" i="38"/>
  <c r="FE57" i="38"/>
  <c r="FD57" i="38"/>
  <c r="FC57" i="38"/>
  <c r="FB57" i="38"/>
  <c r="FA57" i="38"/>
  <c r="EZ57" i="38"/>
  <c r="EY57" i="38"/>
  <c r="EX57" i="38"/>
  <c r="EW57" i="38"/>
  <c r="EV57" i="38"/>
  <c r="EU57" i="38"/>
  <c r="ET57" i="38"/>
  <c r="ES57" i="38"/>
  <c r="ER57" i="38"/>
  <c r="EQ57" i="38"/>
  <c r="EP57" i="38"/>
  <c r="EO57" i="38"/>
  <c r="EN57" i="38"/>
  <c r="EM57" i="38"/>
  <c r="EL57" i="38"/>
  <c r="EK57" i="38"/>
  <c r="EJ57" i="38"/>
  <c r="EI57" i="38"/>
  <c r="EH57" i="38"/>
  <c r="EG57" i="38"/>
  <c r="EF57" i="38"/>
  <c r="EE57" i="38"/>
  <c r="ED57" i="38"/>
  <c r="EC57" i="38"/>
  <c r="EB57" i="38"/>
  <c r="EA57" i="38"/>
  <c r="DZ57" i="38"/>
  <c r="DY57" i="38"/>
  <c r="DX57" i="38"/>
  <c r="DW57" i="38"/>
  <c r="DV57" i="38"/>
  <c r="DU57" i="38"/>
  <c r="DT57" i="38"/>
  <c r="FK56" i="38"/>
  <c r="FJ56" i="38"/>
  <c r="FI56" i="38"/>
  <c r="FH56" i="38"/>
  <c r="FG56" i="38"/>
  <c r="FF56" i="38"/>
  <c r="FE56" i="38"/>
  <c r="FD56" i="38"/>
  <c r="FC56" i="38"/>
  <c r="FB56" i="38"/>
  <c r="FA56" i="38"/>
  <c r="EZ56" i="38"/>
  <c r="EY56" i="38"/>
  <c r="EX56" i="38"/>
  <c r="EW56" i="38"/>
  <c r="EV56" i="38"/>
  <c r="EU56" i="38"/>
  <c r="ET56" i="38"/>
  <c r="ES56" i="38"/>
  <c r="ER56" i="38"/>
  <c r="EQ56" i="38"/>
  <c r="EP56" i="38"/>
  <c r="EO56" i="38"/>
  <c r="EN56" i="38"/>
  <c r="EM56" i="38"/>
  <c r="EL56" i="38"/>
  <c r="EK56" i="38"/>
  <c r="EJ56" i="38"/>
  <c r="EI56" i="38"/>
  <c r="EH56" i="38"/>
  <c r="EG56" i="38"/>
  <c r="EF56" i="38"/>
  <c r="EE56" i="38"/>
  <c r="ED56" i="38"/>
  <c r="EC56" i="38"/>
  <c r="EB56" i="38"/>
  <c r="EA56" i="38"/>
  <c r="DZ56" i="38"/>
  <c r="DY56" i="38"/>
  <c r="DX56" i="38"/>
  <c r="DW56" i="38"/>
  <c r="DV56" i="38"/>
  <c r="DU56" i="38"/>
  <c r="DT56" i="38"/>
  <c r="FK55" i="38"/>
  <c r="FJ55" i="38"/>
  <c r="FI55" i="38"/>
  <c r="FH55" i="38"/>
  <c r="FG55" i="38"/>
  <c r="FF55" i="38"/>
  <c r="FE55" i="38"/>
  <c r="FD55" i="38"/>
  <c r="FC55" i="38"/>
  <c r="FB55" i="38"/>
  <c r="FA55" i="38"/>
  <c r="EZ55" i="38"/>
  <c r="EY55" i="38"/>
  <c r="EX55" i="38"/>
  <c r="EW55" i="38"/>
  <c r="EV55" i="38"/>
  <c r="EU55" i="38"/>
  <c r="ET55" i="38"/>
  <c r="ES55" i="38"/>
  <c r="ER55" i="38"/>
  <c r="EQ55" i="38"/>
  <c r="EP55" i="38"/>
  <c r="EO55" i="38"/>
  <c r="EN55" i="38"/>
  <c r="EM55" i="38"/>
  <c r="EL55" i="38"/>
  <c r="EK55" i="38"/>
  <c r="EJ55" i="38"/>
  <c r="EI55" i="38"/>
  <c r="EH55" i="38"/>
  <c r="EG55" i="38"/>
  <c r="EF55" i="38"/>
  <c r="EE55" i="38"/>
  <c r="ED55" i="38"/>
  <c r="EC55" i="38"/>
  <c r="EB55" i="38"/>
  <c r="EA55" i="38"/>
  <c r="DZ55" i="38"/>
  <c r="DY55" i="38"/>
  <c r="DX55" i="38"/>
  <c r="DW55" i="38"/>
  <c r="DV55" i="38"/>
  <c r="DU55" i="38"/>
  <c r="DT55" i="38"/>
  <c r="FK54" i="38"/>
  <c r="FJ54" i="38"/>
  <c r="FI54" i="38"/>
  <c r="FH54" i="38"/>
  <c r="FG54" i="38"/>
  <c r="FF54" i="38"/>
  <c r="FE54" i="38"/>
  <c r="FD54" i="38"/>
  <c r="FC54" i="38"/>
  <c r="FB54" i="38"/>
  <c r="FA54" i="38"/>
  <c r="EZ54" i="38"/>
  <c r="EY54" i="38"/>
  <c r="EX54" i="38"/>
  <c r="EW54" i="38"/>
  <c r="EV54" i="38"/>
  <c r="EU54" i="38"/>
  <c r="ET54" i="38"/>
  <c r="ES54" i="38"/>
  <c r="ER54" i="38"/>
  <c r="EQ54" i="38"/>
  <c r="EP54" i="38"/>
  <c r="EO54" i="38"/>
  <c r="EN54" i="38"/>
  <c r="EM54" i="38"/>
  <c r="EL54" i="38"/>
  <c r="EK54" i="38"/>
  <c r="EJ54" i="38"/>
  <c r="EI54" i="38"/>
  <c r="EH54" i="38"/>
  <c r="EG54" i="38"/>
  <c r="EF54" i="38"/>
  <c r="EE54" i="38"/>
  <c r="ED54" i="38"/>
  <c r="EC54" i="38"/>
  <c r="EB54" i="38"/>
  <c r="EA54" i="38"/>
  <c r="DZ54" i="38"/>
  <c r="DY54" i="38"/>
  <c r="DX54" i="38"/>
  <c r="DW54" i="38"/>
  <c r="DV54" i="38"/>
  <c r="DU54" i="38"/>
  <c r="DT54" i="38"/>
  <c r="FK53" i="38"/>
  <c r="FJ53" i="38"/>
  <c r="FI53" i="38"/>
  <c r="FH53" i="38"/>
  <c r="FG53" i="38"/>
  <c r="FF53" i="38"/>
  <c r="FE53" i="38"/>
  <c r="FD53" i="38"/>
  <c r="FC53" i="38"/>
  <c r="FB53" i="38"/>
  <c r="FA53" i="38"/>
  <c r="EZ53" i="38"/>
  <c r="EY53" i="38"/>
  <c r="EX53" i="38"/>
  <c r="EW53" i="38"/>
  <c r="EV53" i="38"/>
  <c r="EU53" i="38"/>
  <c r="ET53" i="38"/>
  <c r="ES53" i="38"/>
  <c r="ER53" i="38"/>
  <c r="EQ53" i="38"/>
  <c r="EP53" i="38"/>
  <c r="EO53" i="38"/>
  <c r="EN53" i="38"/>
  <c r="EM53" i="38"/>
  <c r="EL53" i="38"/>
  <c r="EK53" i="38"/>
  <c r="EJ53" i="38"/>
  <c r="EI53" i="38"/>
  <c r="EH53" i="38"/>
  <c r="EG53" i="38"/>
  <c r="EF53" i="38"/>
  <c r="EE53" i="38"/>
  <c r="ED53" i="38"/>
  <c r="EC53" i="38"/>
  <c r="EB53" i="38"/>
  <c r="EA53" i="38"/>
  <c r="DZ53" i="38"/>
  <c r="DY53" i="38"/>
  <c r="DX53" i="38"/>
  <c r="DW53" i="38"/>
  <c r="DV53" i="38"/>
  <c r="DU53" i="38"/>
  <c r="DT53" i="38"/>
  <c r="FK52" i="38"/>
  <c r="FJ52" i="38"/>
  <c r="FI52" i="38"/>
  <c r="FH52" i="38"/>
  <c r="FG52" i="38"/>
  <c r="FF52" i="38"/>
  <c r="FE52" i="38"/>
  <c r="FD52" i="38"/>
  <c r="FC52" i="38"/>
  <c r="FB52" i="38"/>
  <c r="FA52" i="38"/>
  <c r="EZ52" i="38"/>
  <c r="EY52" i="38"/>
  <c r="EX52" i="38"/>
  <c r="EW52" i="38"/>
  <c r="EV52" i="38"/>
  <c r="EU52" i="38"/>
  <c r="ET52" i="38"/>
  <c r="ES52" i="38"/>
  <c r="ER52" i="38"/>
  <c r="EQ52" i="38"/>
  <c r="EP52" i="38"/>
  <c r="EO52" i="38"/>
  <c r="EN52" i="38"/>
  <c r="EM52" i="38"/>
  <c r="EL52" i="38"/>
  <c r="EK52" i="38"/>
  <c r="EJ52" i="38"/>
  <c r="EI52" i="38"/>
  <c r="EH52" i="38"/>
  <c r="EG52" i="38"/>
  <c r="EF52" i="38"/>
  <c r="EE52" i="38"/>
  <c r="ED52" i="38"/>
  <c r="EC52" i="38"/>
  <c r="EB52" i="38"/>
  <c r="EA52" i="38"/>
  <c r="DZ52" i="38"/>
  <c r="DY52" i="38"/>
  <c r="DX52" i="38"/>
  <c r="DW52" i="38"/>
  <c r="DV52" i="38"/>
  <c r="DU52" i="38"/>
  <c r="DT52" i="38"/>
  <c r="FK51" i="38"/>
  <c r="FJ51" i="38"/>
  <c r="FI51" i="38"/>
  <c r="FH51" i="38"/>
  <c r="FG51" i="38"/>
  <c r="FF51" i="38"/>
  <c r="FE51" i="38"/>
  <c r="FD51" i="38"/>
  <c r="FC51" i="38"/>
  <c r="FB51" i="38"/>
  <c r="FA51" i="38"/>
  <c r="EZ51" i="38"/>
  <c r="EY51" i="38"/>
  <c r="EX51" i="38"/>
  <c r="EW51" i="38"/>
  <c r="EV51" i="38"/>
  <c r="EU51" i="38"/>
  <c r="ET51" i="38"/>
  <c r="ES51" i="38"/>
  <c r="ER51" i="38"/>
  <c r="EQ51" i="38"/>
  <c r="EP51" i="38"/>
  <c r="EO51" i="38"/>
  <c r="EN51" i="38"/>
  <c r="EM51" i="38"/>
  <c r="EL51" i="38"/>
  <c r="EK51" i="38"/>
  <c r="EJ51" i="38"/>
  <c r="EI51" i="38"/>
  <c r="EH51" i="38"/>
  <c r="EG51" i="38"/>
  <c r="EF51" i="38"/>
  <c r="EE51" i="38"/>
  <c r="ED51" i="38"/>
  <c r="EC51" i="38"/>
  <c r="EB51" i="38"/>
  <c r="EA51" i="38"/>
  <c r="DZ51" i="38"/>
  <c r="DY51" i="38"/>
  <c r="DX51" i="38"/>
  <c r="DW51" i="38"/>
  <c r="DV51" i="38"/>
  <c r="DU51" i="38"/>
  <c r="DT51" i="38"/>
  <c r="FK50" i="38"/>
  <c r="FJ50" i="38"/>
  <c r="FI50" i="38"/>
  <c r="FH50" i="38"/>
  <c r="FG50" i="38"/>
  <c r="FF50" i="38"/>
  <c r="FE50" i="38"/>
  <c r="FD50" i="38"/>
  <c r="FC50" i="38"/>
  <c r="FB50" i="38"/>
  <c r="FA50" i="38"/>
  <c r="EZ50" i="38"/>
  <c r="EY50" i="38"/>
  <c r="EX50" i="38"/>
  <c r="EW50" i="38"/>
  <c r="EV50" i="38"/>
  <c r="EU50" i="38"/>
  <c r="ET50" i="38"/>
  <c r="ES50" i="38"/>
  <c r="ER50" i="38"/>
  <c r="EQ50" i="38"/>
  <c r="EP50" i="38"/>
  <c r="EO50" i="38"/>
  <c r="EN50" i="38"/>
  <c r="EM50" i="38"/>
  <c r="EL50" i="38"/>
  <c r="EK50" i="38"/>
  <c r="EJ50" i="38"/>
  <c r="EI50" i="38"/>
  <c r="EH50" i="38"/>
  <c r="EG50" i="38"/>
  <c r="EF50" i="38"/>
  <c r="EE50" i="38"/>
  <c r="ED50" i="38"/>
  <c r="EC50" i="38"/>
  <c r="EB50" i="38"/>
  <c r="EA50" i="38"/>
  <c r="DZ50" i="38"/>
  <c r="DY50" i="38"/>
  <c r="DX50" i="38"/>
  <c r="DW50" i="38"/>
  <c r="DV50" i="38"/>
  <c r="DU50" i="38"/>
  <c r="DT50" i="38"/>
  <c r="FK49" i="38"/>
  <c r="FJ49" i="38"/>
  <c r="FI49" i="38"/>
  <c r="FH49" i="38"/>
  <c r="FG49" i="38"/>
  <c r="FF49" i="38"/>
  <c r="FE49" i="38"/>
  <c r="FD49" i="38"/>
  <c r="FC49" i="38"/>
  <c r="FB49" i="38"/>
  <c r="FA49" i="38"/>
  <c r="EZ49" i="38"/>
  <c r="EY49" i="38"/>
  <c r="EX49" i="38"/>
  <c r="EW49" i="38"/>
  <c r="EV49" i="38"/>
  <c r="EU49" i="38"/>
  <c r="ET49" i="38"/>
  <c r="ES49" i="38"/>
  <c r="ER49" i="38"/>
  <c r="EQ49" i="38"/>
  <c r="EP49" i="38"/>
  <c r="EO49" i="38"/>
  <c r="EN49" i="38"/>
  <c r="EM49" i="38"/>
  <c r="EL49" i="38"/>
  <c r="EK49" i="38"/>
  <c r="EJ49" i="38"/>
  <c r="EI49" i="38"/>
  <c r="EH49" i="38"/>
  <c r="EG49" i="38"/>
  <c r="EF49" i="38"/>
  <c r="EE49" i="38"/>
  <c r="ED49" i="38"/>
  <c r="EC49" i="38"/>
  <c r="EB49" i="38"/>
  <c r="EA49" i="38"/>
  <c r="DZ49" i="38"/>
  <c r="DY49" i="38"/>
  <c r="DX49" i="38"/>
  <c r="DW49" i="38"/>
  <c r="DV49" i="38"/>
  <c r="DU49" i="38"/>
  <c r="DT49" i="38"/>
  <c r="FK48" i="38"/>
  <c r="FJ48" i="38"/>
  <c r="FI48" i="38"/>
  <c r="FH48" i="38"/>
  <c r="FG48" i="38"/>
  <c r="FF48" i="38"/>
  <c r="FE48" i="38"/>
  <c r="FD48" i="38"/>
  <c r="FC48" i="38"/>
  <c r="FB48" i="38"/>
  <c r="FA48" i="38"/>
  <c r="EZ48" i="38"/>
  <c r="EY48" i="38"/>
  <c r="EX48" i="38"/>
  <c r="EW48" i="38"/>
  <c r="EV48" i="38"/>
  <c r="EU48" i="38"/>
  <c r="ET48" i="38"/>
  <c r="ES48" i="38"/>
  <c r="ER48" i="38"/>
  <c r="EQ48" i="38"/>
  <c r="EP48" i="38"/>
  <c r="EO48" i="38"/>
  <c r="EN48" i="38"/>
  <c r="EM48" i="38"/>
  <c r="EL48" i="38"/>
  <c r="EK48" i="38"/>
  <c r="EJ48" i="38"/>
  <c r="EI48" i="38"/>
  <c r="EH48" i="38"/>
  <c r="EG48" i="38"/>
  <c r="EF48" i="38"/>
  <c r="EE48" i="38"/>
  <c r="ED48" i="38"/>
  <c r="EC48" i="38"/>
  <c r="EB48" i="38"/>
  <c r="EA48" i="38"/>
  <c r="DZ48" i="38"/>
  <c r="DY48" i="38"/>
  <c r="DX48" i="38"/>
  <c r="DW48" i="38"/>
  <c r="DV48" i="38"/>
  <c r="DU48" i="38"/>
  <c r="DT48" i="38"/>
  <c r="FK47" i="38"/>
  <c r="FJ47" i="38"/>
  <c r="FI47" i="38"/>
  <c r="FH47" i="38"/>
  <c r="FG47" i="38"/>
  <c r="FF47" i="38"/>
  <c r="FE47" i="38"/>
  <c r="FD47" i="38"/>
  <c r="FC47" i="38"/>
  <c r="FB47" i="38"/>
  <c r="FA47" i="38"/>
  <c r="EZ47" i="38"/>
  <c r="EY47" i="38"/>
  <c r="EX47" i="38"/>
  <c r="EW47" i="38"/>
  <c r="EV47" i="38"/>
  <c r="EU47" i="38"/>
  <c r="ET47" i="38"/>
  <c r="ES47" i="38"/>
  <c r="ER47" i="38"/>
  <c r="EQ47" i="38"/>
  <c r="EP47" i="38"/>
  <c r="EO47" i="38"/>
  <c r="EN47" i="38"/>
  <c r="EM47" i="38"/>
  <c r="EL47" i="38"/>
  <c r="EK47" i="38"/>
  <c r="EJ47" i="38"/>
  <c r="EI47" i="38"/>
  <c r="EH47" i="38"/>
  <c r="EG47" i="38"/>
  <c r="EF47" i="38"/>
  <c r="EE47" i="38"/>
  <c r="ED47" i="38"/>
  <c r="EC47" i="38"/>
  <c r="EB47" i="38"/>
  <c r="EA47" i="38"/>
  <c r="DZ47" i="38"/>
  <c r="DY47" i="38"/>
  <c r="DX47" i="38"/>
  <c r="DW47" i="38"/>
  <c r="DV47" i="38"/>
  <c r="DU47" i="38"/>
  <c r="DT47" i="38"/>
  <c r="FK46" i="38"/>
  <c r="FJ46" i="38"/>
  <c r="FI46" i="38"/>
  <c r="FH46" i="38"/>
  <c r="FG46" i="38"/>
  <c r="FF46" i="38"/>
  <c r="FE46" i="38"/>
  <c r="FD46" i="38"/>
  <c r="FC46" i="38"/>
  <c r="FB46" i="38"/>
  <c r="FA46" i="38"/>
  <c r="EZ46" i="38"/>
  <c r="EY46" i="38"/>
  <c r="EX46" i="38"/>
  <c r="EW46" i="38"/>
  <c r="EV46" i="38"/>
  <c r="EU46" i="38"/>
  <c r="ET46" i="38"/>
  <c r="ES46" i="38"/>
  <c r="ER46" i="38"/>
  <c r="EQ46" i="38"/>
  <c r="EP46" i="38"/>
  <c r="EO46" i="38"/>
  <c r="EN46" i="38"/>
  <c r="EM46" i="38"/>
  <c r="EL46" i="38"/>
  <c r="EK46" i="38"/>
  <c r="EJ46" i="38"/>
  <c r="EI46" i="38"/>
  <c r="EH46" i="38"/>
  <c r="EG46" i="38"/>
  <c r="EF46" i="38"/>
  <c r="EE46" i="38"/>
  <c r="ED46" i="38"/>
  <c r="EC46" i="38"/>
  <c r="EB46" i="38"/>
  <c r="EA46" i="38"/>
  <c r="DZ46" i="38"/>
  <c r="DY46" i="38"/>
  <c r="DX46" i="38"/>
  <c r="DW46" i="38"/>
  <c r="DV46" i="38"/>
  <c r="DU46" i="38"/>
  <c r="DT46" i="38"/>
  <c r="FK45" i="38"/>
  <c r="FJ45" i="38"/>
  <c r="FI45" i="38"/>
  <c r="FH45" i="38"/>
  <c r="FG45" i="38"/>
  <c r="FF45" i="38"/>
  <c r="FE45" i="38"/>
  <c r="FD45" i="38"/>
  <c r="FC45" i="38"/>
  <c r="FB45" i="38"/>
  <c r="FA45" i="38"/>
  <c r="EZ45" i="38"/>
  <c r="EY45" i="38"/>
  <c r="EX45" i="38"/>
  <c r="EW45" i="38"/>
  <c r="EV45" i="38"/>
  <c r="EU45" i="38"/>
  <c r="ET45" i="38"/>
  <c r="ES45" i="38"/>
  <c r="ER45" i="38"/>
  <c r="EQ45" i="38"/>
  <c r="EP45" i="38"/>
  <c r="EO45" i="38"/>
  <c r="EN45" i="38"/>
  <c r="EM45" i="38"/>
  <c r="EL45" i="38"/>
  <c r="EK45" i="38"/>
  <c r="EJ45" i="38"/>
  <c r="EI45" i="38"/>
  <c r="EH45" i="38"/>
  <c r="EG45" i="38"/>
  <c r="EF45" i="38"/>
  <c r="EE45" i="38"/>
  <c r="ED45" i="38"/>
  <c r="EC45" i="38"/>
  <c r="EB45" i="38"/>
  <c r="EA45" i="38"/>
  <c r="DZ45" i="38"/>
  <c r="DY45" i="38"/>
  <c r="DX45" i="38"/>
  <c r="DW45" i="38"/>
  <c r="DV45" i="38"/>
  <c r="DU45" i="38"/>
  <c r="DT45" i="38"/>
  <c r="FK44" i="38"/>
  <c r="FJ44" i="38"/>
  <c r="FI44" i="38"/>
  <c r="FH44" i="38"/>
  <c r="FG44" i="38"/>
  <c r="FF44" i="38"/>
  <c r="FE44" i="38"/>
  <c r="FD44" i="38"/>
  <c r="FC44" i="38"/>
  <c r="FB44" i="38"/>
  <c r="FA44" i="38"/>
  <c r="EZ44" i="38"/>
  <c r="EY44" i="38"/>
  <c r="EX44" i="38"/>
  <c r="EW44" i="38"/>
  <c r="EV44" i="38"/>
  <c r="EU44" i="38"/>
  <c r="ET44" i="38"/>
  <c r="ES44" i="38"/>
  <c r="ER44" i="38"/>
  <c r="EQ44" i="38"/>
  <c r="EP44" i="38"/>
  <c r="EO44" i="38"/>
  <c r="EN44" i="38"/>
  <c r="EM44" i="38"/>
  <c r="EL44" i="38"/>
  <c r="EK44" i="38"/>
  <c r="EJ44" i="38"/>
  <c r="EI44" i="38"/>
  <c r="EH44" i="38"/>
  <c r="EG44" i="38"/>
  <c r="EF44" i="38"/>
  <c r="EE44" i="38"/>
  <c r="ED44" i="38"/>
  <c r="EC44" i="38"/>
  <c r="EB44" i="38"/>
  <c r="EA44" i="38"/>
  <c r="DZ44" i="38"/>
  <c r="DY44" i="38"/>
  <c r="DX44" i="38"/>
  <c r="DW44" i="38"/>
  <c r="DV44" i="38"/>
  <c r="DU44" i="38"/>
  <c r="DT44" i="38"/>
  <c r="FK43" i="38"/>
  <c r="FJ43" i="38"/>
  <c r="FI43" i="38"/>
  <c r="FH43" i="38"/>
  <c r="FG43" i="38"/>
  <c r="FF43" i="38"/>
  <c r="FE43" i="38"/>
  <c r="FD43" i="38"/>
  <c r="FC43" i="38"/>
  <c r="FB43" i="38"/>
  <c r="FA43" i="38"/>
  <c r="EZ43" i="38"/>
  <c r="EY43" i="38"/>
  <c r="EX43" i="38"/>
  <c r="EW43" i="38"/>
  <c r="EV43" i="38"/>
  <c r="EU43" i="38"/>
  <c r="ET43" i="38"/>
  <c r="ES43" i="38"/>
  <c r="ER43" i="38"/>
  <c r="EQ43" i="38"/>
  <c r="EP43" i="38"/>
  <c r="EO43" i="38"/>
  <c r="EN43" i="38"/>
  <c r="EM43" i="38"/>
  <c r="EL43" i="38"/>
  <c r="EK43" i="38"/>
  <c r="EJ43" i="38"/>
  <c r="EI43" i="38"/>
  <c r="EH43" i="38"/>
  <c r="EG43" i="38"/>
  <c r="EF43" i="38"/>
  <c r="EE43" i="38"/>
  <c r="ED43" i="38"/>
  <c r="EC43" i="38"/>
  <c r="EB43" i="38"/>
  <c r="EA43" i="38"/>
  <c r="DZ43" i="38"/>
  <c r="DY43" i="38"/>
  <c r="DX43" i="38"/>
  <c r="DW43" i="38"/>
  <c r="DV43" i="38"/>
  <c r="DU43" i="38"/>
  <c r="DT43" i="38"/>
  <c r="FK42" i="38"/>
  <c r="FJ42" i="38"/>
  <c r="FI42" i="38"/>
  <c r="FH42" i="38"/>
  <c r="FG42" i="38"/>
  <c r="FF42" i="38"/>
  <c r="FE42" i="38"/>
  <c r="FD42" i="38"/>
  <c r="FC42" i="38"/>
  <c r="FB42" i="38"/>
  <c r="FA42" i="38"/>
  <c r="EZ42" i="38"/>
  <c r="EY42" i="38"/>
  <c r="EX42" i="38"/>
  <c r="EW42" i="38"/>
  <c r="EV42" i="38"/>
  <c r="EU42" i="38"/>
  <c r="ET42" i="38"/>
  <c r="ES42" i="38"/>
  <c r="ER42" i="38"/>
  <c r="EQ42" i="38"/>
  <c r="EP42" i="38"/>
  <c r="EO42" i="38"/>
  <c r="EN42" i="38"/>
  <c r="EM42" i="38"/>
  <c r="EL42" i="38"/>
  <c r="EK42" i="38"/>
  <c r="EJ42" i="38"/>
  <c r="EI42" i="38"/>
  <c r="EH42" i="38"/>
  <c r="EG42" i="38"/>
  <c r="EF42" i="38"/>
  <c r="EE42" i="38"/>
  <c r="ED42" i="38"/>
  <c r="EC42" i="38"/>
  <c r="EB42" i="38"/>
  <c r="EA42" i="38"/>
  <c r="DZ42" i="38"/>
  <c r="DY42" i="38"/>
  <c r="DX42" i="38"/>
  <c r="DW42" i="38"/>
  <c r="DV42" i="38"/>
  <c r="DU42" i="38"/>
  <c r="DT42" i="38"/>
  <c r="FK41" i="38"/>
  <c r="FJ41" i="38"/>
  <c r="FI41" i="38"/>
  <c r="FH41" i="38"/>
  <c r="FG41" i="38"/>
  <c r="FF41" i="38"/>
  <c r="FE41" i="38"/>
  <c r="FD41" i="38"/>
  <c r="FC41" i="38"/>
  <c r="FB41" i="38"/>
  <c r="FA41" i="38"/>
  <c r="EZ41" i="38"/>
  <c r="EY41" i="38"/>
  <c r="EX41" i="38"/>
  <c r="EW41" i="38"/>
  <c r="EV41" i="38"/>
  <c r="EU41" i="38"/>
  <c r="ET41" i="38"/>
  <c r="ES41" i="38"/>
  <c r="ER41" i="38"/>
  <c r="EQ41" i="38"/>
  <c r="EP41" i="38"/>
  <c r="EO41" i="38"/>
  <c r="EN41" i="38"/>
  <c r="EM41" i="38"/>
  <c r="EL41" i="38"/>
  <c r="EK41" i="38"/>
  <c r="EJ41" i="38"/>
  <c r="EI41" i="38"/>
  <c r="EH41" i="38"/>
  <c r="EG41" i="38"/>
  <c r="EF41" i="38"/>
  <c r="EE41" i="38"/>
  <c r="ED41" i="38"/>
  <c r="EC41" i="38"/>
  <c r="EB41" i="38"/>
  <c r="EA41" i="38"/>
  <c r="DZ41" i="38"/>
  <c r="DY41" i="38"/>
  <c r="DX41" i="38"/>
  <c r="DW41" i="38"/>
  <c r="DV41" i="38"/>
  <c r="DU41" i="38"/>
  <c r="DT41" i="38"/>
  <c r="FK40" i="38"/>
  <c r="FJ40" i="38"/>
  <c r="FI40" i="38"/>
  <c r="FH40" i="38"/>
  <c r="FG40" i="38"/>
  <c r="FF40" i="38"/>
  <c r="FE40" i="38"/>
  <c r="FD40" i="38"/>
  <c r="FC40" i="38"/>
  <c r="FB40" i="38"/>
  <c r="FA40" i="38"/>
  <c r="EZ40" i="38"/>
  <c r="EY40" i="38"/>
  <c r="EX40" i="38"/>
  <c r="EW40" i="38"/>
  <c r="EV40" i="38"/>
  <c r="EU40" i="38"/>
  <c r="ET40" i="38"/>
  <c r="ES40" i="38"/>
  <c r="ER40" i="38"/>
  <c r="EQ40" i="38"/>
  <c r="EP40" i="38"/>
  <c r="EO40" i="38"/>
  <c r="EN40" i="38"/>
  <c r="EM40" i="38"/>
  <c r="EL40" i="38"/>
  <c r="EK40" i="38"/>
  <c r="EJ40" i="38"/>
  <c r="EI40" i="38"/>
  <c r="EH40" i="38"/>
  <c r="EG40" i="38"/>
  <c r="EF40" i="38"/>
  <c r="EE40" i="38"/>
  <c r="ED40" i="38"/>
  <c r="EC40" i="38"/>
  <c r="EB40" i="38"/>
  <c r="EA40" i="38"/>
  <c r="DZ40" i="38"/>
  <c r="DY40" i="38"/>
  <c r="DX40" i="38"/>
  <c r="DW40" i="38"/>
  <c r="DV40" i="38"/>
  <c r="DU40" i="38"/>
  <c r="DT40" i="38"/>
  <c r="FK39" i="38"/>
  <c r="FJ39" i="38"/>
  <c r="FI39" i="38"/>
  <c r="FH39" i="38"/>
  <c r="FG39" i="38"/>
  <c r="FF39" i="38"/>
  <c r="FE39" i="38"/>
  <c r="FD39" i="38"/>
  <c r="FC39" i="38"/>
  <c r="FB39" i="38"/>
  <c r="FA39" i="38"/>
  <c r="EZ39" i="38"/>
  <c r="EY39" i="38"/>
  <c r="EX39" i="38"/>
  <c r="EW39" i="38"/>
  <c r="EV39" i="38"/>
  <c r="EU39" i="38"/>
  <c r="ET39" i="38"/>
  <c r="ES39" i="38"/>
  <c r="ER39" i="38"/>
  <c r="EQ39" i="38"/>
  <c r="EP39" i="38"/>
  <c r="EO39" i="38"/>
  <c r="EN39" i="38"/>
  <c r="EM39" i="38"/>
  <c r="EL39" i="38"/>
  <c r="EK39" i="38"/>
  <c r="EJ39" i="38"/>
  <c r="EI39" i="38"/>
  <c r="EH39" i="38"/>
  <c r="EG39" i="38"/>
  <c r="EF39" i="38"/>
  <c r="EE39" i="38"/>
  <c r="ED39" i="38"/>
  <c r="EC39" i="38"/>
  <c r="EB39" i="38"/>
  <c r="EA39" i="38"/>
  <c r="DZ39" i="38"/>
  <c r="DY39" i="38"/>
  <c r="DX39" i="38"/>
  <c r="DW39" i="38"/>
  <c r="DV39" i="38"/>
  <c r="DU39" i="38"/>
  <c r="DT39" i="38"/>
  <c r="FK38" i="38"/>
  <c r="FJ38" i="38"/>
  <c r="FI38" i="38"/>
  <c r="FH38" i="38"/>
  <c r="FG38" i="38"/>
  <c r="FF38" i="38"/>
  <c r="FE38" i="38"/>
  <c r="FD38" i="38"/>
  <c r="FC38" i="38"/>
  <c r="FB38" i="38"/>
  <c r="FA38" i="38"/>
  <c r="EZ38" i="38"/>
  <c r="EY38" i="38"/>
  <c r="EX38" i="38"/>
  <c r="EW38" i="38"/>
  <c r="EV38" i="38"/>
  <c r="EU38" i="38"/>
  <c r="ET38" i="38"/>
  <c r="ES38" i="38"/>
  <c r="ER38" i="38"/>
  <c r="EQ38" i="38"/>
  <c r="EP38" i="38"/>
  <c r="EO38" i="38"/>
  <c r="EN38" i="38"/>
  <c r="EM38" i="38"/>
  <c r="EL38" i="38"/>
  <c r="EK38" i="38"/>
  <c r="EJ38" i="38"/>
  <c r="EI38" i="38"/>
  <c r="EH38" i="38"/>
  <c r="EG38" i="38"/>
  <c r="EF38" i="38"/>
  <c r="EE38" i="38"/>
  <c r="ED38" i="38"/>
  <c r="EC38" i="38"/>
  <c r="EB38" i="38"/>
  <c r="EA38" i="38"/>
  <c r="DZ38" i="38"/>
  <c r="DY38" i="38"/>
  <c r="DX38" i="38"/>
  <c r="DW38" i="38"/>
  <c r="DV38" i="38"/>
  <c r="DU38" i="38"/>
  <c r="DT38" i="38"/>
  <c r="FK37" i="38"/>
  <c r="FJ37" i="38"/>
  <c r="FI37" i="38"/>
  <c r="FH37" i="38"/>
  <c r="FG37" i="38"/>
  <c r="FF37" i="38"/>
  <c r="FE37" i="38"/>
  <c r="FD37" i="38"/>
  <c r="FC37" i="38"/>
  <c r="FB37" i="38"/>
  <c r="FA37" i="38"/>
  <c r="EZ37" i="38"/>
  <c r="EY37" i="38"/>
  <c r="EX37" i="38"/>
  <c r="EW37" i="38"/>
  <c r="EV37" i="38"/>
  <c r="EU37" i="38"/>
  <c r="ET37" i="38"/>
  <c r="ES37" i="38"/>
  <c r="ER37" i="38"/>
  <c r="EQ37" i="38"/>
  <c r="EP37" i="38"/>
  <c r="EO37" i="38"/>
  <c r="EN37" i="38"/>
  <c r="EM37" i="38"/>
  <c r="EL37" i="38"/>
  <c r="EK37" i="38"/>
  <c r="EJ37" i="38"/>
  <c r="EI37" i="38"/>
  <c r="EH37" i="38"/>
  <c r="EG37" i="38"/>
  <c r="EF37" i="38"/>
  <c r="EE37" i="38"/>
  <c r="ED37" i="38"/>
  <c r="EC37" i="38"/>
  <c r="EB37" i="38"/>
  <c r="EA37" i="38"/>
  <c r="DZ37" i="38"/>
  <c r="DY37" i="38"/>
  <c r="DX37" i="38"/>
  <c r="DW37" i="38"/>
  <c r="DV37" i="38"/>
  <c r="DU37" i="38"/>
  <c r="DT37" i="38"/>
  <c r="FK36" i="38"/>
  <c r="FJ36" i="38"/>
  <c r="FI36" i="38"/>
  <c r="FH36" i="38"/>
  <c r="FG36" i="38"/>
  <c r="FF36" i="38"/>
  <c r="FE36" i="38"/>
  <c r="FD36" i="38"/>
  <c r="FC36" i="38"/>
  <c r="FB36" i="38"/>
  <c r="FA36" i="38"/>
  <c r="EZ36" i="38"/>
  <c r="EY36" i="38"/>
  <c r="EX36" i="38"/>
  <c r="EW36" i="38"/>
  <c r="EV36" i="38"/>
  <c r="EU36" i="38"/>
  <c r="ET36" i="38"/>
  <c r="ES36" i="38"/>
  <c r="ER36" i="38"/>
  <c r="EQ36" i="38"/>
  <c r="EP36" i="38"/>
  <c r="EO36" i="38"/>
  <c r="EN36" i="38"/>
  <c r="EM36" i="38"/>
  <c r="EL36" i="38"/>
  <c r="EK36" i="38"/>
  <c r="EJ36" i="38"/>
  <c r="EI36" i="38"/>
  <c r="EH36" i="38"/>
  <c r="EG36" i="38"/>
  <c r="EF36" i="38"/>
  <c r="EE36" i="38"/>
  <c r="ED36" i="38"/>
  <c r="EC36" i="38"/>
  <c r="EB36" i="38"/>
  <c r="EA36" i="38"/>
  <c r="DZ36" i="38"/>
  <c r="DY36" i="38"/>
  <c r="DX36" i="38"/>
  <c r="DW36" i="38"/>
  <c r="DV36" i="38"/>
  <c r="DU36" i="38"/>
  <c r="DT36" i="38"/>
  <c r="FJ35" i="38"/>
  <c r="FI35" i="38"/>
  <c r="FH35" i="38"/>
  <c r="AW35" i="38"/>
  <c r="BA33" i="38"/>
  <c r="AZ33" i="38"/>
  <c r="AY33" i="38"/>
  <c r="AX33" i="38"/>
  <c r="AW33" i="38"/>
  <c r="AV33" i="38"/>
  <c r="AU33" i="38"/>
  <c r="AT33" i="38"/>
  <c r="AS33" i="38"/>
  <c r="AR33" i="38"/>
  <c r="AQ33" i="38"/>
  <c r="AP33" i="38"/>
  <c r="BA32" i="38"/>
  <c r="AZ32" i="38"/>
  <c r="AY32" i="38"/>
  <c r="AX32" i="38"/>
  <c r="AW32" i="38"/>
  <c r="AV32" i="38"/>
  <c r="AU32" i="38"/>
  <c r="AT32" i="38"/>
  <c r="AS32" i="38"/>
  <c r="AR32" i="38"/>
  <c r="AQ32" i="38"/>
  <c r="AP32" i="38"/>
  <c r="BA31" i="38"/>
  <c r="AZ31" i="38"/>
  <c r="AY31" i="38"/>
  <c r="AX31" i="38"/>
  <c r="AW31" i="38"/>
  <c r="AV31" i="38"/>
  <c r="AU31" i="38"/>
  <c r="AT31" i="38"/>
  <c r="AS31" i="38"/>
  <c r="AR31" i="38"/>
  <c r="AQ31" i="38"/>
  <c r="AP31" i="38"/>
  <c r="BA30" i="38"/>
  <c r="AZ30" i="38"/>
  <c r="AY30" i="38"/>
  <c r="AX30" i="38"/>
  <c r="AW30" i="38"/>
  <c r="AV30" i="38"/>
  <c r="AU30" i="38"/>
  <c r="AT30" i="38"/>
  <c r="AS30" i="38"/>
  <c r="AR30" i="38"/>
  <c r="AQ30" i="38"/>
  <c r="AP30" i="38"/>
  <c r="BA29" i="38"/>
  <c r="AZ29" i="38"/>
  <c r="AY29" i="38"/>
  <c r="AX29" i="38"/>
  <c r="AW29" i="38"/>
  <c r="AV29" i="38"/>
  <c r="AU29" i="38"/>
  <c r="AT29" i="38"/>
  <c r="AS29" i="38"/>
  <c r="AR29" i="38"/>
  <c r="AQ29" i="38"/>
  <c r="AP29" i="38"/>
  <c r="BA27" i="38"/>
  <c r="AZ27" i="38"/>
  <c r="AV27" i="38"/>
  <c r="AY27" i="38"/>
  <c r="AY28" i="38" s="1"/>
  <c r="AU27" i="38"/>
  <c r="AU28" i="38" s="1"/>
  <c r="AX27" i="38"/>
  <c r="AX28" i="38" s="1"/>
  <c r="AT27" i="38"/>
  <c r="AW27" i="38"/>
  <c r="AW28" i="38" s="1"/>
  <c r="AS27" i="38"/>
  <c r="AP27" i="38"/>
  <c r="AT28" i="38"/>
  <c r="AR27" i="38"/>
  <c r="AQ27" i="38"/>
  <c r="FI26" i="38"/>
  <c r="FH26" i="38"/>
  <c r="FG26" i="38"/>
  <c r="FF26" i="38"/>
  <c r="FE26" i="38"/>
  <c r="FD26" i="38"/>
  <c r="FC26" i="38"/>
  <c r="FB26" i="38"/>
  <c r="FA26" i="38"/>
  <c r="EZ26" i="38"/>
  <c r="EY26" i="38"/>
  <c r="EX26" i="38"/>
  <c r="EW26" i="38"/>
  <c r="EV26" i="38"/>
  <c r="EU26" i="38"/>
  <c r="ET26" i="38"/>
  <c r="ES26" i="38"/>
  <c r="ER26" i="38"/>
  <c r="EQ26" i="38"/>
  <c r="EP26" i="38"/>
  <c r="EO26" i="38"/>
  <c r="EN26" i="38"/>
  <c r="EM26" i="38"/>
  <c r="EL26" i="38"/>
  <c r="EK26" i="38"/>
  <c r="EJ26" i="38"/>
  <c r="EI26" i="38"/>
  <c r="EH26" i="38"/>
  <c r="EG26" i="38"/>
  <c r="EF26" i="38"/>
  <c r="EE26" i="38"/>
  <c r="ED26" i="38"/>
  <c r="EC26" i="38"/>
  <c r="EB26" i="38"/>
  <c r="EA26" i="38"/>
  <c r="DZ26" i="38"/>
  <c r="DY26" i="38"/>
  <c r="DX26" i="38"/>
  <c r="DW26" i="38"/>
  <c r="DV26" i="38"/>
  <c r="DU26" i="38"/>
  <c r="DT26" i="38"/>
  <c r="B26" i="38"/>
  <c r="FI25" i="38"/>
  <c r="FH25" i="38"/>
  <c r="FG25" i="38"/>
  <c r="FF25" i="38"/>
  <c r="FE25" i="38"/>
  <c r="FD25" i="38"/>
  <c r="EY25" i="38"/>
  <c r="EX25" i="38"/>
  <c r="EW25" i="38"/>
  <c r="EV25" i="38"/>
  <c r="EU25" i="38"/>
  <c r="ET25" i="38"/>
  <c r="ES25" i="38"/>
  <c r="ER25" i="38"/>
  <c r="EQ25" i="38"/>
  <c r="EP25" i="38"/>
  <c r="EO25" i="38"/>
  <c r="EN25" i="38"/>
  <c r="EM25" i="38"/>
  <c r="EL25" i="38"/>
  <c r="EK25" i="38"/>
  <c r="EJ25" i="38"/>
  <c r="EI25" i="38"/>
  <c r="EH25" i="38"/>
  <c r="EG25" i="38"/>
  <c r="EF25" i="38"/>
  <c r="EE25" i="38"/>
  <c r="ED25" i="38"/>
  <c r="EC25" i="38"/>
  <c r="EB25" i="38"/>
  <c r="EA25" i="38"/>
  <c r="DZ25" i="38"/>
  <c r="DY25" i="38"/>
  <c r="DX25" i="38"/>
  <c r="DW25" i="38"/>
  <c r="DV25" i="38"/>
  <c r="DU25" i="38"/>
  <c r="DT25" i="38"/>
  <c r="B25" i="38"/>
  <c r="FK24" i="38"/>
  <c r="FJ24" i="38"/>
  <c r="FI24" i="38"/>
  <c r="FH24" i="38"/>
  <c r="FG24" i="38"/>
  <c r="FF24" i="38"/>
  <c r="FE24" i="38"/>
  <c r="FD24" i="38"/>
  <c r="FC24" i="38"/>
  <c r="FB24" i="38"/>
  <c r="FA24" i="38"/>
  <c r="EZ24" i="38"/>
  <c r="EY24" i="38"/>
  <c r="EX24" i="38"/>
  <c r="EW24" i="38"/>
  <c r="EV24" i="38"/>
  <c r="EU24" i="38"/>
  <c r="ET24" i="38"/>
  <c r="ES24" i="38"/>
  <c r="ER24" i="38"/>
  <c r="EQ24" i="38"/>
  <c r="EP24" i="38"/>
  <c r="EO24" i="38"/>
  <c r="EN24" i="38"/>
  <c r="EM24" i="38"/>
  <c r="EL24" i="38"/>
  <c r="EK24" i="38"/>
  <c r="EJ24" i="38"/>
  <c r="EI24" i="38"/>
  <c r="EH24" i="38"/>
  <c r="EG24" i="38"/>
  <c r="EF24" i="38"/>
  <c r="EE24" i="38"/>
  <c r="ED24" i="38"/>
  <c r="EC24" i="38"/>
  <c r="EB24" i="38"/>
  <c r="EA24" i="38"/>
  <c r="DZ24" i="38"/>
  <c r="DY24" i="38"/>
  <c r="DX24" i="38"/>
  <c r="DW24" i="38"/>
  <c r="DV24" i="38"/>
  <c r="DU24" i="38"/>
  <c r="DT24" i="38"/>
  <c r="B24" i="38"/>
  <c r="FK23" i="38"/>
  <c r="FJ23" i="38"/>
  <c r="FI23" i="38"/>
  <c r="FH23" i="38"/>
  <c r="FG23" i="38"/>
  <c r="FF23" i="38"/>
  <c r="FE23" i="38"/>
  <c r="FD23" i="38"/>
  <c r="FC23" i="38"/>
  <c r="FB23" i="38"/>
  <c r="FA23" i="38"/>
  <c r="EZ23" i="38"/>
  <c r="EY23" i="38"/>
  <c r="EX23" i="38"/>
  <c r="EW23" i="38"/>
  <c r="EV23" i="38"/>
  <c r="EU23" i="38"/>
  <c r="ET23" i="38"/>
  <c r="ES23" i="38"/>
  <c r="ER23" i="38"/>
  <c r="EQ23" i="38"/>
  <c r="EP23" i="38"/>
  <c r="EO23" i="38"/>
  <c r="EN23" i="38"/>
  <c r="EM23" i="38"/>
  <c r="EL23" i="38"/>
  <c r="EK23" i="38"/>
  <c r="EJ23" i="38"/>
  <c r="EI23" i="38"/>
  <c r="EH23" i="38"/>
  <c r="EG23" i="38"/>
  <c r="EF23" i="38"/>
  <c r="EE23" i="38"/>
  <c r="ED23" i="38"/>
  <c r="EC23" i="38"/>
  <c r="EB23" i="38"/>
  <c r="EA23" i="38"/>
  <c r="DZ23" i="38"/>
  <c r="DY23" i="38"/>
  <c r="DX23" i="38"/>
  <c r="DW23" i="38"/>
  <c r="DV23" i="38"/>
  <c r="DU23" i="38"/>
  <c r="DT23" i="38"/>
  <c r="B23" i="38"/>
  <c r="FK22" i="38"/>
  <c r="FJ22" i="38"/>
  <c r="FI22" i="38"/>
  <c r="FH22" i="38"/>
  <c r="FG22" i="38"/>
  <c r="FF22" i="38"/>
  <c r="FE22" i="38"/>
  <c r="FD22" i="38"/>
  <c r="FC22" i="38"/>
  <c r="FB22" i="38"/>
  <c r="FA22" i="38"/>
  <c r="EZ22" i="38"/>
  <c r="EY22" i="38"/>
  <c r="EX22" i="38"/>
  <c r="EW22" i="38"/>
  <c r="EV22" i="38"/>
  <c r="EU22" i="38"/>
  <c r="ET22" i="38"/>
  <c r="ES22" i="38"/>
  <c r="ER22" i="38"/>
  <c r="EQ22" i="38"/>
  <c r="EP22" i="38"/>
  <c r="EO22" i="38"/>
  <c r="EN22" i="38"/>
  <c r="EM22" i="38"/>
  <c r="EL22" i="38"/>
  <c r="EK22" i="38"/>
  <c r="EJ22" i="38"/>
  <c r="EI22" i="38"/>
  <c r="EH22" i="38"/>
  <c r="EG22" i="38"/>
  <c r="EF22" i="38"/>
  <c r="EE22" i="38"/>
  <c r="ED22" i="38"/>
  <c r="EC22" i="38"/>
  <c r="EB22" i="38"/>
  <c r="EA22" i="38"/>
  <c r="DZ22" i="38"/>
  <c r="DY22" i="38"/>
  <c r="DX22" i="38"/>
  <c r="DW22" i="38"/>
  <c r="DV22" i="38"/>
  <c r="DU22" i="38"/>
  <c r="DT22" i="38"/>
  <c r="B22" i="38"/>
  <c r="FK21" i="38"/>
  <c r="FJ21" i="38"/>
  <c r="FI21" i="38"/>
  <c r="FH21" i="38"/>
  <c r="FG21" i="38"/>
  <c r="FF21" i="38"/>
  <c r="FE21" i="38"/>
  <c r="FD21" i="38"/>
  <c r="FC21" i="38"/>
  <c r="FB21" i="38"/>
  <c r="FA21" i="38"/>
  <c r="EZ21" i="38"/>
  <c r="EY21" i="38"/>
  <c r="EX21" i="38"/>
  <c r="EW21" i="38"/>
  <c r="EV21" i="38"/>
  <c r="EU21" i="38"/>
  <c r="ET21" i="38"/>
  <c r="ES21" i="38"/>
  <c r="ER21" i="38"/>
  <c r="EQ21" i="38"/>
  <c r="EP21" i="38"/>
  <c r="EO21" i="38"/>
  <c r="EN21" i="38"/>
  <c r="EM21" i="38"/>
  <c r="EL21" i="38"/>
  <c r="EK21" i="38"/>
  <c r="EJ21" i="38"/>
  <c r="EI21" i="38"/>
  <c r="EH21" i="38"/>
  <c r="EG21" i="38"/>
  <c r="EF21" i="38"/>
  <c r="EE21" i="38"/>
  <c r="ED21" i="38"/>
  <c r="EC21" i="38"/>
  <c r="EB21" i="38"/>
  <c r="EA21" i="38"/>
  <c r="DZ21" i="38"/>
  <c r="DY21" i="38"/>
  <c r="DX21" i="38"/>
  <c r="DW21" i="38"/>
  <c r="DV21" i="38"/>
  <c r="DU21" i="38"/>
  <c r="DT21" i="38"/>
  <c r="B21" i="38"/>
  <c r="FK20" i="38"/>
  <c r="FJ20" i="38"/>
  <c r="FI20" i="38"/>
  <c r="FH20" i="38"/>
  <c r="FG20" i="38"/>
  <c r="FF20" i="38"/>
  <c r="FE20" i="38"/>
  <c r="FD20" i="38"/>
  <c r="FC20" i="38"/>
  <c r="FB20" i="38"/>
  <c r="FA20" i="38"/>
  <c r="EZ20" i="38"/>
  <c r="EY20" i="38"/>
  <c r="EX20" i="38"/>
  <c r="EW20" i="38"/>
  <c r="EV20" i="38"/>
  <c r="EU20" i="38"/>
  <c r="ET20" i="38"/>
  <c r="ES20" i="38"/>
  <c r="ER20" i="38"/>
  <c r="EQ20" i="38"/>
  <c r="EP20" i="38"/>
  <c r="EO20" i="38"/>
  <c r="EN20" i="38"/>
  <c r="EM20" i="38"/>
  <c r="EL20" i="38"/>
  <c r="EK20" i="38"/>
  <c r="EJ20" i="38"/>
  <c r="EI20" i="38"/>
  <c r="EH20" i="38"/>
  <c r="EG20" i="38"/>
  <c r="EF20" i="38"/>
  <c r="EE20" i="38"/>
  <c r="ED20" i="38"/>
  <c r="EC20" i="38"/>
  <c r="EB20" i="38"/>
  <c r="EA20" i="38"/>
  <c r="DZ20" i="38"/>
  <c r="DY20" i="38"/>
  <c r="DX20" i="38"/>
  <c r="DW20" i="38"/>
  <c r="DV20" i="38"/>
  <c r="DU20" i="38"/>
  <c r="DT20" i="38"/>
  <c r="B20" i="38"/>
  <c r="FK19" i="38"/>
  <c r="FJ19" i="38"/>
  <c r="FI19" i="38"/>
  <c r="FH19" i="38"/>
  <c r="FG19" i="38"/>
  <c r="FF19" i="38"/>
  <c r="FE19" i="38"/>
  <c r="FD19" i="38"/>
  <c r="FC19" i="38"/>
  <c r="FB19" i="38"/>
  <c r="FA19" i="38"/>
  <c r="EZ19" i="38"/>
  <c r="EY19" i="38"/>
  <c r="EX19" i="38"/>
  <c r="EW19" i="38"/>
  <c r="EV19" i="38"/>
  <c r="EU19" i="38"/>
  <c r="ET19" i="38"/>
  <c r="ES19" i="38"/>
  <c r="ER19" i="38"/>
  <c r="EQ19" i="38"/>
  <c r="EP19" i="38"/>
  <c r="EO19" i="38"/>
  <c r="EN19" i="38"/>
  <c r="EM19" i="38"/>
  <c r="EL19" i="38"/>
  <c r="EK19" i="38"/>
  <c r="EJ19" i="38"/>
  <c r="EI19" i="38"/>
  <c r="EH19" i="38"/>
  <c r="EG19" i="38"/>
  <c r="EF19" i="38"/>
  <c r="EE19" i="38"/>
  <c r="ED19" i="38"/>
  <c r="EC19" i="38"/>
  <c r="EB19" i="38"/>
  <c r="EA19" i="38"/>
  <c r="DZ19" i="38"/>
  <c r="DY19" i="38"/>
  <c r="DX19" i="38"/>
  <c r="DW19" i="38"/>
  <c r="DV19" i="38"/>
  <c r="DU19" i="38"/>
  <c r="DT19" i="38"/>
  <c r="B19" i="38"/>
  <c r="FK18" i="38"/>
  <c r="FJ18" i="38"/>
  <c r="FI18" i="38"/>
  <c r="FH18" i="38"/>
  <c r="FG18" i="38"/>
  <c r="FF18" i="38"/>
  <c r="FE18" i="38"/>
  <c r="FD18" i="38"/>
  <c r="FC18" i="38"/>
  <c r="FB18" i="38"/>
  <c r="FA18" i="38"/>
  <c r="EZ18" i="38"/>
  <c r="EY18" i="38"/>
  <c r="EX18" i="38"/>
  <c r="EW18" i="38"/>
  <c r="EV18" i="38"/>
  <c r="EU18" i="38"/>
  <c r="ET18" i="38"/>
  <c r="ES18" i="38"/>
  <c r="ER18" i="38"/>
  <c r="EQ18" i="38"/>
  <c r="EP18" i="38"/>
  <c r="EO18" i="38"/>
  <c r="EN18" i="38"/>
  <c r="EM18" i="38"/>
  <c r="EL18" i="38"/>
  <c r="EK18" i="38"/>
  <c r="EJ18" i="38"/>
  <c r="EI18" i="38"/>
  <c r="EH18" i="38"/>
  <c r="EG18" i="38"/>
  <c r="EF18" i="38"/>
  <c r="EE18" i="38"/>
  <c r="ED18" i="38"/>
  <c r="EC18" i="38"/>
  <c r="EB18" i="38"/>
  <c r="EA18" i="38"/>
  <c r="DZ18" i="38"/>
  <c r="DY18" i="38"/>
  <c r="DX18" i="38"/>
  <c r="DW18" i="38"/>
  <c r="DV18" i="38"/>
  <c r="DU18" i="38"/>
  <c r="DT18" i="38"/>
  <c r="B18" i="38"/>
  <c r="FK17" i="38"/>
  <c r="FJ17" i="38"/>
  <c r="FI17" i="38"/>
  <c r="FH17" i="38"/>
  <c r="FG17" i="38"/>
  <c r="FF17" i="38"/>
  <c r="FE17" i="38"/>
  <c r="FD17" i="38"/>
  <c r="FC17" i="38"/>
  <c r="FB17" i="38"/>
  <c r="FA17" i="38"/>
  <c r="EZ17" i="38"/>
  <c r="EY17" i="38"/>
  <c r="EX17" i="38"/>
  <c r="EW17" i="38"/>
  <c r="EV17" i="38"/>
  <c r="EU17" i="38"/>
  <c r="ET17" i="38"/>
  <c r="ES17" i="38"/>
  <c r="ER17" i="38"/>
  <c r="EQ17" i="38"/>
  <c r="EP17" i="38"/>
  <c r="EO17" i="38"/>
  <c r="EN17" i="38"/>
  <c r="EM17" i="38"/>
  <c r="EL17" i="38"/>
  <c r="EK17" i="38"/>
  <c r="EJ17" i="38"/>
  <c r="EI17" i="38"/>
  <c r="EH17" i="38"/>
  <c r="EG17" i="38"/>
  <c r="EF17" i="38"/>
  <c r="EE17" i="38"/>
  <c r="ED17" i="38"/>
  <c r="EC17" i="38"/>
  <c r="EB17" i="38"/>
  <c r="EA17" i="38"/>
  <c r="DZ17" i="38"/>
  <c r="DY17" i="38"/>
  <c r="DX17" i="38"/>
  <c r="DW17" i="38"/>
  <c r="DV17" i="38"/>
  <c r="DU17" i="38"/>
  <c r="DT17" i="38"/>
  <c r="B17" i="38"/>
  <c r="FK16" i="38"/>
  <c r="FJ16" i="38"/>
  <c r="FI16" i="38"/>
  <c r="FH16" i="38"/>
  <c r="FG16" i="38"/>
  <c r="FF16" i="38"/>
  <c r="FE16" i="38"/>
  <c r="FD16" i="38"/>
  <c r="FC16" i="38"/>
  <c r="FB16" i="38"/>
  <c r="FA16" i="38"/>
  <c r="EZ16" i="38"/>
  <c r="EY16" i="38"/>
  <c r="EX16" i="38"/>
  <c r="EW16" i="38"/>
  <c r="EV16" i="38"/>
  <c r="EU16" i="38"/>
  <c r="ET16" i="38"/>
  <c r="ES16" i="38"/>
  <c r="ER16" i="38"/>
  <c r="EQ16" i="38"/>
  <c r="EP16" i="38"/>
  <c r="EO16" i="38"/>
  <c r="EN16" i="38"/>
  <c r="EM16" i="38"/>
  <c r="EL16" i="38"/>
  <c r="EK16" i="38"/>
  <c r="EJ16" i="38"/>
  <c r="EI16" i="38"/>
  <c r="EH16" i="38"/>
  <c r="EG16" i="38"/>
  <c r="EF16" i="38"/>
  <c r="EE16" i="38"/>
  <c r="ED16" i="38"/>
  <c r="EC16" i="38"/>
  <c r="EB16" i="38"/>
  <c r="EA16" i="38"/>
  <c r="DZ16" i="38"/>
  <c r="DY16" i="38"/>
  <c r="DX16" i="38"/>
  <c r="DW16" i="38"/>
  <c r="DV16" i="38"/>
  <c r="DU16" i="38"/>
  <c r="DT16" i="38"/>
  <c r="B16" i="38"/>
  <c r="FK15" i="38"/>
  <c r="FJ15" i="38"/>
  <c r="FI15" i="38"/>
  <c r="FH15" i="38"/>
  <c r="FG15" i="38"/>
  <c r="FF15" i="38"/>
  <c r="FE15" i="38"/>
  <c r="FD15" i="38"/>
  <c r="FC15" i="38"/>
  <c r="FB15" i="38"/>
  <c r="FA15" i="38"/>
  <c r="EZ15" i="38"/>
  <c r="EY15" i="38"/>
  <c r="EX15" i="38"/>
  <c r="EW15" i="38"/>
  <c r="EV15" i="38"/>
  <c r="EU15" i="38"/>
  <c r="ET15" i="38"/>
  <c r="ES15" i="38"/>
  <c r="ER15" i="38"/>
  <c r="EQ15" i="38"/>
  <c r="EP15" i="38"/>
  <c r="EO15" i="38"/>
  <c r="EN15" i="38"/>
  <c r="EM15" i="38"/>
  <c r="EL15" i="38"/>
  <c r="EK15" i="38"/>
  <c r="EJ15" i="38"/>
  <c r="EI15" i="38"/>
  <c r="EH15" i="38"/>
  <c r="EG15" i="38"/>
  <c r="EF15" i="38"/>
  <c r="EE15" i="38"/>
  <c r="ED15" i="38"/>
  <c r="EC15" i="38"/>
  <c r="EB15" i="38"/>
  <c r="EA15" i="38"/>
  <c r="DZ15" i="38"/>
  <c r="DY15" i="38"/>
  <c r="DX15" i="38"/>
  <c r="DW15" i="38"/>
  <c r="DV15" i="38"/>
  <c r="DU15" i="38"/>
  <c r="DT15" i="38"/>
  <c r="B15" i="38"/>
  <c r="FK14" i="38"/>
  <c r="FJ14" i="38"/>
  <c r="FI14" i="38"/>
  <c r="FH14" i="38"/>
  <c r="FG14" i="38"/>
  <c r="FF14" i="38"/>
  <c r="FE14" i="38"/>
  <c r="FD14" i="38"/>
  <c r="FC14" i="38"/>
  <c r="FB14" i="38"/>
  <c r="FA14" i="38"/>
  <c r="EZ14" i="38"/>
  <c r="EY14" i="38"/>
  <c r="EX14" i="38"/>
  <c r="EW14" i="38"/>
  <c r="EV14" i="38"/>
  <c r="EU14" i="38"/>
  <c r="ET14" i="38"/>
  <c r="ES14" i="38"/>
  <c r="ER14" i="38"/>
  <c r="EQ14" i="38"/>
  <c r="EP14" i="38"/>
  <c r="EO14" i="38"/>
  <c r="EN14" i="38"/>
  <c r="EM14" i="38"/>
  <c r="EL14" i="38"/>
  <c r="EK14" i="38"/>
  <c r="EJ14" i="38"/>
  <c r="EI14" i="38"/>
  <c r="EH14" i="38"/>
  <c r="EG14" i="38"/>
  <c r="EF14" i="38"/>
  <c r="EE14" i="38"/>
  <c r="ED14" i="38"/>
  <c r="EC14" i="38"/>
  <c r="EB14" i="38"/>
  <c r="EA14" i="38"/>
  <c r="DZ14" i="38"/>
  <c r="DY14" i="38"/>
  <c r="DX14" i="38"/>
  <c r="DW14" i="38"/>
  <c r="DV14" i="38"/>
  <c r="DU14" i="38"/>
  <c r="DT14" i="38"/>
  <c r="B14" i="38"/>
  <c r="FK13" i="38"/>
  <c r="FJ13" i="38"/>
  <c r="FI13" i="38"/>
  <c r="FH13" i="38"/>
  <c r="FG13" i="38"/>
  <c r="FF13" i="38"/>
  <c r="FE13" i="38"/>
  <c r="FD13" i="38"/>
  <c r="FC13" i="38"/>
  <c r="FB13" i="38"/>
  <c r="FA13" i="38"/>
  <c r="EZ13" i="38"/>
  <c r="EY13" i="38"/>
  <c r="EX13" i="38"/>
  <c r="EW13" i="38"/>
  <c r="EV13" i="38"/>
  <c r="EU13" i="38"/>
  <c r="ET13" i="38"/>
  <c r="ES13" i="38"/>
  <c r="ER13" i="38"/>
  <c r="EQ13" i="38"/>
  <c r="EP13" i="38"/>
  <c r="EO13" i="38"/>
  <c r="EN13" i="38"/>
  <c r="EM13" i="38"/>
  <c r="EL13" i="38"/>
  <c r="EK13" i="38"/>
  <c r="EJ13" i="38"/>
  <c r="EI13" i="38"/>
  <c r="EH13" i="38"/>
  <c r="EG13" i="38"/>
  <c r="EF13" i="38"/>
  <c r="EE13" i="38"/>
  <c r="ED13" i="38"/>
  <c r="EC13" i="38"/>
  <c r="EB13" i="38"/>
  <c r="EA13" i="38"/>
  <c r="DZ13" i="38"/>
  <c r="DY13" i="38"/>
  <c r="DX13" i="38"/>
  <c r="DW13" i="38"/>
  <c r="DV13" i="38"/>
  <c r="DU13" i="38"/>
  <c r="DT13" i="38"/>
  <c r="B13" i="38"/>
  <c r="FK12" i="38"/>
  <c r="FJ12" i="38"/>
  <c r="FI12" i="38"/>
  <c r="FH12" i="38"/>
  <c r="FG12" i="38"/>
  <c r="FF12" i="38"/>
  <c r="FE12" i="38"/>
  <c r="FD12" i="38"/>
  <c r="FC12" i="38"/>
  <c r="FB12" i="38"/>
  <c r="FA12" i="38"/>
  <c r="EZ12" i="38"/>
  <c r="EY12" i="38"/>
  <c r="EX12" i="38"/>
  <c r="EW12" i="38"/>
  <c r="EV12" i="38"/>
  <c r="EU12" i="38"/>
  <c r="ET12" i="38"/>
  <c r="ES12" i="38"/>
  <c r="ER12" i="38"/>
  <c r="EQ12" i="38"/>
  <c r="EP12" i="38"/>
  <c r="EO12" i="38"/>
  <c r="EN12" i="38"/>
  <c r="EM12" i="38"/>
  <c r="EL12" i="38"/>
  <c r="EK12" i="38"/>
  <c r="EJ12" i="38"/>
  <c r="EI12" i="38"/>
  <c r="EH12" i="38"/>
  <c r="EG12" i="38"/>
  <c r="EF12" i="38"/>
  <c r="EE12" i="38"/>
  <c r="ED12" i="38"/>
  <c r="EC12" i="38"/>
  <c r="EB12" i="38"/>
  <c r="EA12" i="38"/>
  <c r="DZ12" i="38"/>
  <c r="DY12" i="38"/>
  <c r="DX12" i="38"/>
  <c r="DW12" i="38"/>
  <c r="DV12" i="38"/>
  <c r="DU12" i="38"/>
  <c r="DT12" i="38"/>
  <c r="B12" i="38"/>
  <c r="FK11" i="38"/>
  <c r="FJ11" i="38"/>
  <c r="FI11" i="38"/>
  <c r="FH11" i="38"/>
  <c r="FG11" i="38"/>
  <c r="FF11" i="38"/>
  <c r="FE11" i="38"/>
  <c r="FD11" i="38"/>
  <c r="FC11" i="38"/>
  <c r="FB11" i="38"/>
  <c r="FA11" i="38"/>
  <c r="EZ11" i="38"/>
  <c r="EY11" i="38"/>
  <c r="EX11" i="38"/>
  <c r="EW11" i="38"/>
  <c r="EV11" i="38"/>
  <c r="EU11" i="38"/>
  <c r="ET11" i="38"/>
  <c r="ES11" i="38"/>
  <c r="ER11" i="38"/>
  <c r="EQ11" i="38"/>
  <c r="EP11" i="38"/>
  <c r="EO11" i="38"/>
  <c r="EN11" i="38"/>
  <c r="EM11" i="38"/>
  <c r="EL11" i="38"/>
  <c r="EK11" i="38"/>
  <c r="EJ11" i="38"/>
  <c r="EI11" i="38"/>
  <c r="EH11" i="38"/>
  <c r="EG11" i="38"/>
  <c r="EF11" i="38"/>
  <c r="EE11" i="38"/>
  <c r="ED11" i="38"/>
  <c r="EC11" i="38"/>
  <c r="EB11" i="38"/>
  <c r="EA11" i="38"/>
  <c r="DZ11" i="38"/>
  <c r="DY11" i="38"/>
  <c r="DX11" i="38"/>
  <c r="DW11" i="38"/>
  <c r="DV11" i="38"/>
  <c r="DU11" i="38"/>
  <c r="DT11" i="38"/>
  <c r="B11" i="38"/>
  <c r="FK10" i="38"/>
  <c r="FJ10" i="38"/>
  <c r="FI10" i="38"/>
  <c r="FH10" i="38"/>
  <c r="FG10" i="38"/>
  <c r="FF10" i="38"/>
  <c r="FE10" i="38"/>
  <c r="FD10" i="38"/>
  <c r="FC10" i="38"/>
  <c r="FB10" i="38"/>
  <c r="FA10" i="38"/>
  <c r="EZ10" i="38"/>
  <c r="EY10" i="38"/>
  <c r="EX10" i="38"/>
  <c r="EW10" i="38"/>
  <c r="EV10" i="38"/>
  <c r="EU10" i="38"/>
  <c r="ET10" i="38"/>
  <c r="ES10" i="38"/>
  <c r="ER10" i="38"/>
  <c r="EQ10" i="38"/>
  <c r="EP10" i="38"/>
  <c r="EO10" i="38"/>
  <c r="EN10" i="38"/>
  <c r="EM10" i="38"/>
  <c r="EL10" i="38"/>
  <c r="EK10" i="38"/>
  <c r="EJ10" i="38"/>
  <c r="EI10" i="38"/>
  <c r="EH10" i="38"/>
  <c r="EG10" i="38"/>
  <c r="EF10" i="38"/>
  <c r="EE10" i="38"/>
  <c r="ED10" i="38"/>
  <c r="EC10" i="38"/>
  <c r="EB10" i="38"/>
  <c r="EA10" i="38"/>
  <c r="DZ10" i="38"/>
  <c r="DY10" i="38"/>
  <c r="DX10" i="38"/>
  <c r="DW10" i="38"/>
  <c r="DV10" i="38"/>
  <c r="DU10" i="38"/>
  <c r="DT10" i="38"/>
  <c r="B10" i="38"/>
  <c r="FK9" i="38"/>
  <c r="FJ9" i="38"/>
  <c r="FI9" i="38"/>
  <c r="FH9" i="38"/>
  <c r="FG9" i="38"/>
  <c r="FF9" i="38"/>
  <c r="FE9" i="38"/>
  <c r="FD9" i="38"/>
  <c r="FC9" i="38"/>
  <c r="FB9" i="38"/>
  <c r="FA9" i="38"/>
  <c r="EZ9" i="38"/>
  <c r="EY9" i="38"/>
  <c r="EX9" i="38"/>
  <c r="EW9" i="38"/>
  <c r="EV9" i="38"/>
  <c r="EU9" i="38"/>
  <c r="ET9" i="38"/>
  <c r="ES9" i="38"/>
  <c r="ER9" i="38"/>
  <c r="EQ9" i="38"/>
  <c r="EP9" i="38"/>
  <c r="EO9" i="38"/>
  <c r="EN9" i="38"/>
  <c r="EM9" i="38"/>
  <c r="EL9" i="38"/>
  <c r="EK9" i="38"/>
  <c r="EJ9" i="38"/>
  <c r="EI9" i="38"/>
  <c r="EH9" i="38"/>
  <c r="EG9" i="38"/>
  <c r="EF9" i="38"/>
  <c r="EE9" i="38"/>
  <c r="ED9" i="38"/>
  <c r="EC9" i="38"/>
  <c r="EB9" i="38"/>
  <c r="EA9" i="38"/>
  <c r="DZ9" i="38"/>
  <c r="DY9" i="38"/>
  <c r="DX9" i="38"/>
  <c r="DW9" i="38"/>
  <c r="DV9" i="38"/>
  <c r="DU9" i="38"/>
  <c r="DT9" i="38"/>
  <c r="B9" i="38"/>
  <c r="FK8" i="38"/>
  <c r="FJ8" i="38"/>
  <c r="FI8" i="38"/>
  <c r="FH8" i="38"/>
  <c r="FG8" i="38"/>
  <c r="FF8" i="38"/>
  <c r="FE8" i="38"/>
  <c r="FD8" i="38"/>
  <c r="FC8" i="38"/>
  <c r="FB8" i="38"/>
  <c r="FA8" i="38"/>
  <c r="EZ8" i="38"/>
  <c r="EY8" i="38"/>
  <c r="EX8" i="38"/>
  <c r="EW8" i="38"/>
  <c r="EV8" i="38"/>
  <c r="EU8" i="38"/>
  <c r="ET8" i="38"/>
  <c r="ES8" i="38"/>
  <c r="ER8" i="38"/>
  <c r="EQ8" i="38"/>
  <c r="EP8" i="38"/>
  <c r="EO8" i="38"/>
  <c r="EN8" i="38"/>
  <c r="EM8" i="38"/>
  <c r="EL8" i="38"/>
  <c r="EK8" i="38"/>
  <c r="EJ8" i="38"/>
  <c r="EI8" i="38"/>
  <c r="EH8" i="38"/>
  <c r="EG8" i="38"/>
  <c r="EF8" i="38"/>
  <c r="EE8" i="38"/>
  <c r="ED8" i="38"/>
  <c r="EC8" i="38"/>
  <c r="EB8" i="38"/>
  <c r="EA8" i="38"/>
  <c r="DZ8" i="38"/>
  <c r="DY8" i="38"/>
  <c r="DX8" i="38"/>
  <c r="DW8" i="38"/>
  <c r="DV8" i="38"/>
  <c r="DU8" i="38"/>
  <c r="DT8" i="38"/>
  <c r="B8" i="38"/>
  <c r="FK7" i="38"/>
  <c r="FJ7" i="38"/>
  <c r="FI7" i="38"/>
  <c r="FH7" i="38"/>
  <c r="FG7" i="38"/>
  <c r="FF7" i="38"/>
  <c r="FE7" i="38"/>
  <c r="FD7" i="38"/>
  <c r="FC7" i="38"/>
  <c r="FB7" i="38"/>
  <c r="FA7" i="38"/>
  <c r="EZ7" i="38"/>
  <c r="EY7" i="38"/>
  <c r="EX7" i="38"/>
  <c r="EW7" i="38"/>
  <c r="EV7" i="38"/>
  <c r="EU7" i="38"/>
  <c r="ET7" i="38"/>
  <c r="ES7" i="38"/>
  <c r="ER7" i="38"/>
  <c r="EQ7" i="38"/>
  <c r="EP7" i="38"/>
  <c r="EO7" i="38"/>
  <c r="EN7" i="38"/>
  <c r="EM7" i="38"/>
  <c r="EL7" i="38"/>
  <c r="EK7" i="38"/>
  <c r="EJ7" i="38"/>
  <c r="EI7" i="38"/>
  <c r="EH7" i="38"/>
  <c r="EG7" i="38"/>
  <c r="EF7" i="38"/>
  <c r="EE7" i="38"/>
  <c r="ED7" i="38"/>
  <c r="EC7" i="38"/>
  <c r="EB7" i="38"/>
  <c r="EA7" i="38"/>
  <c r="DZ7" i="38"/>
  <c r="DY7" i="38"/>
  <c r="DX7" i="38"/>
  <c r="DW7" i="38"/>
  <c r="DV7" i="38"/>
  <c r="DU7" i="38"/>
  <c r="DT7" i="38"/>
  <c r="B7" i="38"/>
  <c r="FK6" i="38"/>
  <c r="FJ6" i="38"/>
  <c r="FI6" i="38"/>
  <c r="FH6" i="38"/>
  <c r="FG6" i="38"/>
  <c r="FF6" i="38"/>
  <c r="FE6" i="38"/>
  <c r="FD6" i="38"/>
  <c r="FC6" i="38"/>
  <c r="FB6" i="38"/>
  <c r="FA6" i="38"/>
  <c r="EZ6" i="38"/>
  <c r="EY6" i="38"/>
  <c r="EX6" i="38"/>
  <c r="EW6" i="38"/>
  <c r="EV6" i="38"/>
  <c r="EU6" i="38"/>
  <c r="ET6" i="38"/>
  <c r="ES6" i="38"/>
  <c r="ER6" i="38"/>
  <c r="EQ6" i="38"/>
  <c r="EP6" i="38"/>
  <c r="EO6" i="38"/>
  <c r="EN6" i="38"/>
  <c r="EM6" i="38"/>
  <c r="EL6" i="38"/>
  <c r="EK6" i="38"/>
  <c r="EJ6" i="38"/>
  <c r="EI6" i="38"/>
  <c r="EH6" i="38"/>
  <c r="EG6" i="38"/>
  <c r="EF6" i="38"/>
  <c r="EE6" i="38"/>
  <c r="ED6" i="38"/>
  <c r="EC6" i="38"/>
  <c r="EB6" i="38"/>
  <c r="EA6" i="38"/>
  <c r="DZ6" i="38"/>
  <c r="DY6" i="38"/>
  <c r="DX6" i="38"/>
  <c r="DW6" i="38"/>
  <c r="DV6" i="38"/>
  <c r="DU6" i="38"/>
  <c r="DT6" i="38"/>
  <c r="B6" i="38"/>
  <c r="FK5" i="38"/>
  <c r="FJ5" i="38"/>
  <c r="FI5" i="38"/>
  <c r="FH5" i="38"/>
  <c r="FG5" i="38"/>
  <c r="FF5" i="38"/>
  <c r="FE5" i="38"/>
  <c r="FD5" i="38"/>
  <c r="FC5" i="38"/>
  <c r="FB5" i="38"/>
  <c r="FA5" i="38"/>
  <c r="EZ5" i="38"/>
  <c r="EY5" i="38"/>
  <c r="EX5" i="38"/>
  <c r="EW5" i="38"/>
  <c r="EV5" i="38"/>
  <c r="EU5" i="38"/>
  <c r="ET5" i="38"/>
  <c r="ES5" i="38"/>
  <c r="ER5" i="38"/>
  <c r="EQ5" i="38"/>
  <c r="EP5" i="38"/>
  <c r="EO5" i="38"/>
  <c r="EN5" i="38"/>
  <c r="EM5" i="38"/>
  <c r="EL5" i="38"/>
  <c r="EK5" i="38"/>
  <c r="EJ5" i="38"/>
  <c r="EI5" i="38"/>
  <c r="EH5" i="38"/>
  <c r="EG5" i="38"/>
  <c r="EF5" i="38"/>
  <c r="EE5" i="38"/>
  <c r="ED5" i="38"/>
  <c r="EC5" i="38"/>
  <c r="EB5" i="38"/>
  <c r="EA5" i="38"/>
  <c r="DZ5" i="38"/>
  <c r="DY5" i="38"/>
  <c r="DX5" i="38"/>
  <c r="DW5" i="38"/>
  <c r="DV5" i="38"/>
  <c r="DU5" i="38"/>
  <c r="DT5" i="38"/>
  <c r="B5" i="38"/>
  <c r="FK4" i="38"/>
  <c r="FJ4" i="38"/>
  <c r="FI4" i="38"/>
  <c r="FH4" i="38"/>
  <c r="FG4" i="38"/>
  <c r="FF4" i="38"/>
  <c r="FE4" i="38"/>
  <c r="FD4" i="38"/>
  <c r="FC4" i="38"/>
  <c r="FB4" i="38"/>
  <c r="FA4" i="38"/>
  <c r="EZ4" i="38"/>
  <c r="EY4" i="38"/>
  <c r="EX4" i="38"/>
  <c r="EW4" i="38"/>
  <c r="EV4" i="38"/>
  <c r="EU4" i="38"/>
  <c r="ET4" i="38"/>
  <c r="ES4" i="38"/>
  <c r="ER4" i="38"/>
  <c r="EQ4" i="38"/>
  <c r="EP4" i="38"/>
  <c r="EO4" i="38"/>
  <c r="EN4" i="38"/>
  <c r="EM4" i="38"/>
  <c r="EL4" i="38"/>
  <c r="EK4" i="38"/>
  <c r="EJ4" i="38"/>
  <c r="EI4" i="38"/>
  <c r="EH4" i="38"/>
  <c r="EG4" i="38"/>
  <c r="EF4" i="38"/>
  <c r="EE4" i="38"/>
  <c r="ED4" i="38"/>
  <c r="EC4" i="38"/>
  <c r="EB4" i="38"/>
  <c r="EA4" i="38"/>
  <c r="DZ4" i="38"/>
  <c r="DY4" i="38"/>
  <c r="DX4" i="38"/>
  <c r="DW4" i="38"/>
  <c r="DV4" i="38"/>
  <c r="DU4" i="38"/>
  <c r="DT4" i="38"/>
  <c r="B4" i="38"/>
  <c r="EY3" i="38"/>
  <c r="EX3" i="38"/>
  <c r="EW3" i="38"/>
  <c r="EV3" i="38"/>
  <c r="EU3" i="38"/>
  <c r="ET3" i="38"/>
  <c r="ES3" i="38"/>
  <c r="ER3" i="38"/>
  <c r="EQ3" i="38"/>
  <c r="EP3" i="38"/>
  <c r="EO3" i="38"/>
  <c r="EN3" i="38"/>
  <c r="EM3" i="38"/>
  <c r="EL3" i="38"/>
  <c r="EK3" i="38"/>
  <c r="EJ3" i="38"/>
  <c r="EI3" i="38"/>
  <c r="EH3" i="38"/>
  <c r="EG3" i="38"/>
  <c r="EF3" i="38"/>
  <c r="EE3" i="38"/>
  <c r="ED3" i="38"/>
  <c r="EC3" i="38"/>
  <c r="EB3" i="38"/>
  <c r="EA3" i="38"/>
  <c r="DZ3" i="38"/>
  <c r="DY3" i="38"/>
  <c r="DX3" i="38"/>
  <c r="DW3" i="38"/>
  <c r="DV3" i="38"/>
  <c r="DU3" i="38"/>
  <c r="DT3" i="38"/>
  <c r="B3" i="38"/>
  <c r="FK2" i="38"/>
  <c r="FJ2" i="38"/>
  <c r="FI2" i="38"/>
  <c r="FH2" i="38"/>
  <c r="FG2" i="38"/>
  <c r="FF2" i="38"/>
  <c r="FE2" i="38"/>
  <c r="FD2" i="38"/>
  <c r="FC2" i="38"/>
  <c r="FB2" i="38"/>
  <c r="FA2" i="38"/>
  <c r="EZ2" i="38"/>
  <c r="EY2" i="38"/>
  <c r="EX2" i="38"/>
  <c r="EW2" i="38"/>
  <c r="EV2" i="38"/>
  <c r="EU2" i="38"/>
  <c r="ET2" i="38"/>
  <c r="ES2" i="38"/>
  <c r="ER2" i="38"/>
  <c r="EQ2" i="38"/>
  <c r="EP2" i="38"/>
  <c r="EO2" i="38"/>
  <c r="EN2" i="38"/>
  <c r="EM2" i="38"/>
  <c r="EL2" i="38"/>
  <c r="EK2" i="38"/>
  <c r="EJ2" i="38"/>
  <c r="EI2" i="38"/>
  <c r="EH2" i="38"/>
  <c r="EG2" i="38"/>
  <c r="EF2" i="38"/>
  <c r="EE2" i="38"/>
  <c r="ED2" i="38"/>
  <c r="EC2" i="38"/>
  <c r="EB2" i="38"/>
  <c r="EA2" i="38"/>
  <c r="DZ2" i="38"/>
  <c r="DY2" i="38"/>
  <c r="DX2" i="38"/>
  <c r="DW2" i="38"/>
  <c r="DV2" i="38"/>
  <c r="DU2" i="38"/>
  <c r="DT2" i="38"/>
  <c r="B2" i="38"/>
  <c r="FJ1" i="38"/>
  <c r="FI1" i="38"/>
  <c r="FH1" i="38"/>
  <c r="FG35" i="38"/>
  <c r="FK35" i="38" s="1"/>
  <c r="BA159" i="38"/>
  <c r="S155" i="39"/>
  <c r="BE153" i="39"/>
  <c r="BD153" i="39"/>
  <c r="BC153" i="39"/>
  <c r="BB153" i="39"/>
  <c r="BA153" i="39"/>
  <c r="AZ153" i="39"/>
  <c r="AY153" i="39"/>
  <c r="AX153" i="39"/>
  <c r="AW153" i="39"/>
  <c r="AV153" i="39"/>
  <c r="AU153" i="39"/>
  <c r="AT153" i="39"/>
  <c r="AS153" i="39"/>
  <c r="AR153" i="39"/>
  <c r="AQ153" i="39"/>
  <c r="AO153" i="39"/>
  <c r="AN153" i="39"/>
  <c r="AM153" i="39"/>
  <c r="AL153" i="39"/>
  <c r="AK153" i="39"/>
  <c r="AJ153" i="39"/>
  <c r="AI153" i="39"/>
  <c r="AH153" i="39"/>
  <c r="AG153" i="39"/>
  <c r="AF153" i="39"/>
  <c r="AE153" i="39"/>
  <c r="AD153" i="39"/>
  <c r="AC153" i="39"/>
  <c r="AB153" i="39"/>
  <c r="AA153" i="39"/>
  <c r="Z153" i="39"/>
  <c r="BE152" i="39"/>
  <c r="BD152" i="39"/>
  <c r="BC152" i="39"/>
  <c r="BB152" i="39"/>
  <c r="BA152" i="39"/>
  <c r="AZ152" i="39"/>
  <c r="AY152" i="39"/>
  <c r="AX152" i="39"/>
  <c r="AW152" i="39"/>
  <c r="AV152" i="39"/>
  <c r="AU152" i="39"/>
  <c r="AT152" i="39"/>
  <c r="AS152" i="39"/>
  <c r="AR152" i="39"/>
  <c r="AQ152" i="39"/>
  <c r="AO152" i="39"/>
  <c r="AN152" i="39"/>
  <c r="AM152" i="39"/>
  <c r="AL152" i="39"/>
  <c r="AK152" i="39"/>
  <c r="AJ152" i="39"/>
  <c r="AI152" i="39"/>
  <c r="AH152" i="39"/>
  <c r="AG152" i="39"/>
  <c r="AF152" i="39"/>
  <c r="AE152" i="39"/>
  <c r="AD152" i="39"/>
  <c r="AC152" i="39"/>
  <c r="AB152" i="39"/>
  <c r="AA152" i="39"/>
  <c r="Z152" i="39"/>
  <c r="BE151" i="39"/>
  <c r="BD151" i="39"/>
  <c r="BC151" i="39"/>
  <c r="BB151" i="39"/>
  <c r="BA151" i="39"/>
  <c r="AZ151" i="39"/>
  <c r="AY151" i="39"/>
  <c r="AX151" i="39"/>
  <c r="AW151" i="39"/>
  <c r="AV151" i="39"/>
  <c r="AU151" i="39"/>
  <c r="AT151" i="39"/>
  <c r="AS151" i="39"/>
  <c r="AR151" i="39"/>
  <c r="AQ151" i="39"/>
  <c r="AO151" i="39"/>
  <c r="AN151" i="39"/>
  <c r="AM151" i="39"/>
  <c r="AL151" i="39"/>
  <c r="AK151" i="39"/>
  <c r="AJ151" i="39"/>
  <c r="AI151" i="39"/>
  <c r="AH151" i="39"/>
  <c r="AG151" i="39"/>
  <c r="AF151" i="39"/>
  <c r="AE151" i="39"/>
  <c r="AD151" i="39"/>
  <c r="AC151" i="39"/>
  <c r="AB151" i="39"/>
  <c r="AA151" i="39"/>
  <c r="Z151" i="39"/>
  <c r="BE150" i="39"/>
  <c r="BD150" i="39"/>
  <c r="BC150" i="39"/>
  <c r="BB150" i="39"/>
  <c r="BA150" i="39"/>
  <c r="AZ150" i="39"/>
  <c r="AY150" i="39"/>
  <c r="AX150" i="39"/>
  <c r="AW150" i="39"/>
  <c r="AV150" i="39"/>
  <c r="AU150" i="39"/>
  <c r="AT150" i="39"/>
  <c r="AS150" i="39"/>
  <c r="AR150" i="39"/>
  <c r="AQ150" i="39"/>
  <c r="AO150" i="39"/>
  <c r="AN150" i="39"/>
  <c r="AM150" i="39"/>
  <c r="AL150" i="39"/>
  <c r="AK150" i="39"/>
  <c r="AJ150" i="39"/>
  <c r="AI150" i="39"/>
  <c r="AH150" i="39"/>
  <c r="AG150" i="39"/>
  <c r="AF150" i="39"/>
  <c r="AE150" i="39"/>
  <c r="AD150" i="39"/>
  <c r="AC150" i="39"/>
  <c r="AB150" i="39"/>
  <c r="AA150" i="39"/>
  <c r="Z150" i="39"/>
  <c r="BE149" i="39"/>
  <c r="BD149" i="39"/>
  <c r="BC149" i="39"/>
  <c r="BB149" i="39"/>
  <c r="BA149" i="39"/>
  <c r="AZ149" i="39"/>
  <c r="AY149" i="39"/>
  <c r="AX149" i="39"/>
  <c r="AW149" i="39"/>
  <c r="AV149" i="39"/>
  <c r="AU149" i="39"/>
  <c r="AT149" i="39"/>
  <c r="AS149" i="39"/>
  <c r="AR149" i="39"/>
  <c r="AQ149" i="39"/>
  <c r="AO149" i="39"/>
  <c r="AN149" i="39"/>
  <c r="AM149" i="39"/>
  <c r="AL149" i="39"/>
  <c r="AK149" i="39"/>
  <c r="AJ149" i="39"/>
  <c r="AI149" i="39"/>
  <c r="AH149" i="39"/>
  <c r="AG149" i="39"/>
  <c r="AF149" i="39"/>
  <c r="AE149" i="39"/>
  <c r="AD149" i="39"/>
  <c r="AC149" i="39"/>
  <c r="AB149" i="39"/>
  <c r="AA149" i="39"/>
  <c r="Z149" i="39"/>
  <c r="BE148" i="39"/>
  <c r="BD148" i="39"/>
  <c r="BC148" i="39"/>
  <c r="BB148" i="39"/>
  <c r="BA148" i="39"/>
  <c r="AZ148" i="39"/>
  <c r="AY148" i="39"/>
  <c r="AX148" i="39"/>
  <c r="AW148" i="39"/>
  <c r="AV148" i="39"/>
  <c r="AU148" i="39"/>
  <c r="AT148" i="39"/>
  <c r="AS148" i="39"/>
  <c r="AR148" i="39"/>
  <c r="AQ148" i="39"/>
  <c r="AO148" i="39"/>
  <c r="AN148" i="39"/>
  <c r="AM148" i="39"/>
  <c r="AL148" i="39"/>
  <c r="AK148" i="39"/>
  <c r="AJ148" i="39"/>
  <c r="AI148" i="39"/>
  <c r="AH148" i="39"/>
  <c r="AG148" i="39"/>
  <c r="AF148" i="39"/>
  <c r="AE148" i="39"/>
  <c r="AD148" i="39"/>
  <c r="AC148" i="39"/>
  <c r="AB148" i="39"/>
  <c r="AA148" i="39"/>
  <c r="Z148" i="39"/>
  <c r="BE147" i="39"/>
  <c r="BD147" i="39"/>
  <c r="BC147" i="39"/>
  <c r="BB147" i="39"/>
  <c r="BA147" i="39"/>
  <c r="AZ147" i="39"/>
  <c r="AY147" i="39"/>
  <c r="AX147" i="39"/>
  <c r="AW147" i="39"/>
  <c r="AV147" i="39"/>
  <c r="AU147" i="39"/>
  <c r="AT147" i="39"/>
  <c r="AS147" i="39"/>
  <c r="AR147" i="39"/>
  <c r="AQ147" i="39"/>
  <c r="AO147" i="39"/>
  <c r="AN147" i="39"/>
  <c r="AM147" i="39"/>
  <c r="AL147" i="39"/>
  <c r="AK147" i="39"/>
  <c r="AJ147" i="39"/>
  <c r="AI147" i="39"/>
  <c r="AH147" i="39"/>
  <c r="AG147" i="39"/>
  <c r="AF147" i="39"/>
  <c r="AE147" i="39"/>
  <c r="AD147" i="39"/>
  <c r="AC147" i="39"/>
  <c r="AB147" i="39"/>
  <c r="AA147" i="39"/>
  <c r="Z147" i="39"/>
  <c r="BE146" i="39"/>
  <c r="BD146" i="39"/>
  <c r="BC146" i="39"/>
  <c r="BB146" i="39"/>
  <c r="BA146" i="39"/>
  <c r="AZ146" i="39"/>
  <c r="AY146" i="39"/>
  <c r="AX146" i="39"/>
  <c r="AW146" i="39"/>
  <c r="AV146" i="39"/>
  <c r="AU146" i="39"/>
  <c r="AT146" i="39"/>
  <c r="AS146" i="39"/>
  <c r="AR146" i="39"/>
  <c r="AQ146" i="39"/>
  <c r="AO146" i="39"/>
  <c r="AN146" i="39"/>
  <c r="AM146" i="39"/>
  <c r="AL146" i="39"/>
  <c r="AK146" i="39"/>
  <c r="AJ146" i="39"/>
  <c r="AI146" i="39"/>
  <c r="AH146" i="39"/>
  <c r="AG146" i="39"/>
  <c r="AF146" i="39"/>
  <c r="AE146" i="39"/>
  <c r="AD146" i="39"/>
  <c r="AC146" i="39"/>
  <c r="AB146" i="39"/>
  <c r="AA146" i="39"/>
  <c r="Z146" i="39"/>
  <c r="BE145" i="39"/>
  <c r="BD145" i="39"/>
  <c r="BC145" i="39"/>
  <c r="BB145" i="39"/>
  <c r="BA145" i="39"/>
  <c r="AZ145" i="39"/>
  <c r="AY145" i="39"/>
  <c r="AX145" i="39"/>
  <c r="AW145" i="39"/>
  <c r="AV145" i="39"/>
  <c r="AU145" i="39"/>
  <c r="AT145" i="39"/>
  <c r="AS145" i="39"/>
  <c r="AR145" i="39"/>
  <c r="AQ145" i="39"/>
  <c r="AO145" i="39"/>
  <c r="AN145" i="39"/>
  <c r="AM145" i="39"/>
  <c r="AL145" i="39"/>
  <c r="AK145" i="39"/>
  <c r="AJ145" i="39"/>
  <c r="AI145" i="39"/>
  <c r="AH145" i="39"/>
  <c r="AG145" i="39"/>
  <c r="AF145" i="39"/>
  <c r="AE145" i="39"/>
  <c r="AD145" i="39"/>
  <c r="AC145" i="39"/>
  <c r="AB145" i="39"/>
  <c r="AA145" i="39"/>
  <c r="Z145" i="39"/>
  <c r="BE144" i="39"/>
  <c r="BD144" i="39"/>
  <c r="BC144" i="39"/>
  <c r="BB144" i="39"/>
  <c r="BA144" i="39"/>
  <c r="AZ144" i="39"/>
  <c r="AY144" i="39"/>
  <c r="AX144" i="39"/>
  <c r="AW144" i="39"/>
  <c r="AV144" i="39"/>
  <c r="AU144" i="39"/>
  <c r="AT144" i="39"/>
  <c r="AS144" i="39"/>
  <c r="AR144" i="39"/>
  <c r="AQ144" i="39"/>
  <c r="AO144" i="39"/>
  <c r="AN144" i="39"/>
  <c r="AM144" i="39"/>
  <c r="AL144" i="39"/>
  <c r="AK144" i="39"/>
  <c r="AJ144" i="39"/>
  <c r="AI144" i="39"/>
  <c r="AH144" i="39"/>
  <c r="AG144" i="39"/>
  <c r="AF144" i="39"/>
  <c r="AE144" i="39"/>
  <c r="AD144" i="39"/>
  <c r="AC144" i="39"/>
  <c r="AB144" i="39"/>
  <c r="AA144" i="39"/>
  <c r="Z144" i="39"/>
  <c r="BE143" i="39"/>
  <c r="BD143" i="39"/>
  <c r="BC143" i="39"/>
  <c r="BB143" i="39"/>
  <c r="BA143" i="39"/>
  <c r="AZ143" i="39"/>
  <c r="AY143" i="39"/>
  <c r="AX143" i="39"/>
  <c r="AW143" i="39"/>
  <c r="AV143" i="39"/>
  <c r="AU143" i="39"/>
  <c r="AT143" i="39"/>
  <c r="AS143" i="39"/>
  <c r="AR143" i="39"/>
  <c r="AQ143" i="39"/>
  <c r="AO143" i="39"/>
  <c r="AN143" i="39"/>
  <c r="AM143" i="39"/>
  <c r="AL143" i="39"/>
  <c r="AK143" i="39"/>
  <c r="AJ143" i="39"/>
  <c r="AI143" i="39"/>
  <c r="AH143" i="39"/>
  <c r="AG143" i="39"/>
  <c r="AF143" i="39"/>
  <c r="AE143" i="39"/>
  <c r="AD143" i="39"/>
  <c r="AC143" i="39"/>
  <c r="AB143" i="39"/>
  <c r="AA143" i="39"/>
  <c r="Z143" i="39"/>
  <c r="BE142" i="39"/>
  <c r="BD142" i="39"/>
  <c r="BC142" i="39"/>
  <c r="BB142" i="39"/>
  <c r="BA142" i="39"/>
  <c r="AZ142" i="39"/>
  <c r="AY142" i="39"/>
  <c r="AX142" i="39"/>
  <c r="AW142" i="39"/>
  <c r="AV142" i="39"/>
  <c r="AU142" i="39"/>
  <c r="AT142" i="39"/>
  <c r="AS142" i="39"/>
  <c r="AR142" i="39"/>
  <c r="AQ142" i="39"/>
  <c r="AO142" i="39"/>
  <c r="AN142" i="39"/>
  <c r="AM142" i="39"/>
  <c r="AL142" i="39"/>
  <c r="AK142" i="39"/>
  <c r="AJ142" i="39"/>
  <c r="AI142" i="39"/>
  <c r="AH142" i="39"/>
  <c r="AG142" i="39"/>
  <c r="AF142" i="39"/>
  <c r="AE142" i="39"/>
  <c r="AD142" i="39"/>
  <c r="AC142" i="39"/>
  <c r="AB142" i="39"/>
  <c r="AA142" i="39"/>
  <c r="Z142" i="39"/>
  <c r="BE141" i="39"/>
  <c r="BD141" i="39"/>
  <c r="BC141" i="39"/>
  <c r="BB141" i="39"/>
  <c r="BA141" i="39"/>
  <c r="AZ141" i="39"/>
  <c r="AY141" i="39"/>
  <c r="AX141" i="39"/>
  <c r="AW141" i="39"/>
  <c r="AV141" i="39"/>
  <c r="AU141" i="39"/>
  <c r="AT141" i="39"/>
  <c r="AS141" i="39"/>
  <c r="AR141" i="39"/>
  <c r="AQ141" i="39"/>
  <c r="AO141" i="39"/>
  <c r="AN141" i="39"/>
  <c r="AM141" i="39"/>
  <c r="AL141" i="39"/>
  <c r="AK141" i="39"/>
  <c r="AJ141" i="39"/>
  <c r="AI141" i="39"/>
  <c r="AH141" i="39"/>
  <c r="AG141" i="39"/>
  <c r="AF141" i="39"/>
  <c r="AE141" i="39"/>
  <c r="AD141" i="39"/>
  <c r="AC141" i="39"/>
  <c r="AB141" i="39"/>
  <c r="AA141" i="39"/>
  <c r="Z141" i="39"/>
  <c r="BE140" i="39"/>
  <c r="BD140" i="39"/>
  <c r="BC140" i="39"/>
  <c r="BB140" i="39"/>
  <c r="BA140" i="39"/>
  <c r="AZ140" i="39"/>
  <c r="AY140" i="39"/>
  <c r="AX140" i="39"/>
  <c r="AW140" i="39"/>
  <c r="AV140" i="39"/>
  <c r="AU140" i="39"/>
  <c r="AT140" i="39"/>
  <c r="AS140" i="39"/>
  <c r="AR140" i="39"/>
  <c r="AQ140" i="39"/>
  <c r="AO140" i="39"/>
  <c r="AN140" i="39"/>
  <c r="AM140" i="39"/>
  <c r="AL140" i="39"/>
  <c r="AK140" i="39"/>
  <c r="AJ140" i="39"/>
  <c r="AI140" i="39"/>
  <c r="AH140" i="39"/>
  <c r="AG140" i="39"/>
  <c r="AF140" i="39"/>
  <c r="AE140" i="39"/>
  <c r="AD140" i="39"/>
  <c r="AC140" i="39"/>
  <c r="AB140" i="39"/>
  <c r="AA140" i="39"/>
  <c r="Z140" i="39"/>
  <c r="BE139" i="39"/>
  <c r="BD139" i="39"/>
  <c r="BC139" i="39"/>
  <c r="BB139" i="39"/>
  <c r="BA139" i="39"/>
  <c r="AZ139" i="39"/>
  <c r="AY139" i="39"/>
  <c r="AX139" i="39"/>
  <c r="AW139" i="39"/>
  <c r="AV139" i="39"/>
  <c r="AU139" i="39"/>
  <c r="AT139" i="39"/>
  <c r="AS139" i="39"/>
  <c r="AR139" i="39"/>
  <c r="AQ139" i="39"/>
  <c r="AO139" i="39"/>
  <c r="AN139" i="39"/>
  <c r="AM139" i="39"/>
  <c r="AL139" i="39"/>
  <c r="AK139" i="39"/>
  <c r="AJ139" i="39"/>
  <c r="AI139" i="39"/>
  <c r="AH139" i="39"/>
  <c r="AG139" i="39"/>
  <c r="AF139" i="39"/>
  <c r="AE139" i="39"/>
  <c r="AD139" i="39"/>
  <c r="AC139" i="39"/>
  <c r="AB139" i="39"/>
  <c r="AA139" i="39"/>
  <c r="Z139" i="39"/>
  <c r="BE138" i="39"/>
  <c r="BD138" i="39"/>
  <c r="BC138" i="39"/>
  <c r="BB138" i="39"/>
  <c r="BA138" i="39"/>
  <c r="AZ138" i="39"/>
  <c r="AY138" i="39"/>
  <c r="AX138" i="39"/>
  <c r="AW138" i="39"/>
  <c r="AV138" i="39"/>
  <c r="AU138" i="39"/>
  <c r="AT138" i="39"/>
  <c r="AS138" i="39"/>
  <c r="AR138" i="39"/>
  <c r="AQ138" i="39"/>
  <c r="AO138" i="39"/>
  <c r="AN138" i="39"/>
  <c r="AM138" i="39"/>
  <c r="AL138" i="39"/>
  <c r="AK138" i="39"/>
  <c r="AJ138" i="39"/>
  <c r="AI138" i="39"/>
  <c r="AH138" i="39"/>
  <c r="AG138" i="39"/>
  <c r="AF138" i="39"/>
  <c r="AE138" i="39"/>
  <c r="AD138" i="39"/>
  <c r="AC138" i="39"/>
  <c r="AB138" i="39"/>
  <c r="AA138" i="39"/>
  <c r="Z138" i="39"/>
  <c r="BE137" i="39"/>
  <c r="BD137" i="39"/>
  <c r="BC137" i="39"/>
  <c r="BB137" i="39"/>
  <c r="BA137" i="39"/>
  <c r="AZ137" i="39"/>
  <c r="AY137" i="39"/>
  <c r="AX137" i="39"/>
  <c r="AW137" i="39"/>
  <c r="AV137" i="39"/>
  <c r="AU137" i="39"/>
  <c r="AT137" i="39"/>
  <c r="AS137" i="39"/>
  <c r="AR137" i="39"/>
  <c r="AQ137" i="39"/>
  <c r="AO137" i="39"/>
  <c r="AN137" i="39"/>
  <c r="AM137" i="39"/>
  <c r="AL137" i="39"/>
  <c r="AK137" i="39"/>
  <c r="AJ137" i="39"/>
  <c r="AI137" i="39"/>
  <c r="AH137" i="39"/>
  <c r="AG137" i="39"/>
  <c r="AF137" i="39"/>
  <c r="AE137" i="39"/>
  <c r="AD137" i="39"/>
  <c r="AC137" i="39"/>
  <c r="AB137" i="39"/>
  <c r="AA137" i="39"/>
  <c r="Z137" i="39"/>
  <c r="BE136" i="39"/>
  <c r="BD136" i="39"/>
  <c r="BC136" i="39"/>
  <c r="BB136" i="39"/>
  <c r="BA136" i="39"/>
  <c r="AZ136" i="39"/>
  <c r="AY136" i="39"/>
  <c r="AX136" i="39"/>
  <c r="AW136" i="39"/>
  <c r="AV136" i="39"/>
  <c r="AU136" i="39"/>
  <c r="AT136" i="39"/>
  <c r="AS136" i="39"/>
  <c r="AR136" i="39"/>
  <c r="AQ136" i="39"/>
  <c r="AO136" i="39"/>
  <c r="AN136" i="39"/>
  <c r="AM136" i="39"/>
  <c r="AL136" i="39"/>
  <c r="AK136" i="39"/>
  <c r="AJ136" i="39"/>
  <c r="AI136" i="39"/>
  <c r="AH136" i="39"/>
  <c r="AG136" i="39"/>
  <c r="AF136" i="39"/>
  <c r="AE136" i="39"/>
  <c r="AD136" i="39"/>
  <c r="AC136" i="39"/>
  <c r="AB136" i="39"/>
  <c r="AA136" i="39"/>
  <c r="Z136" i="39"/>
  <c r="BE135" i="39"/>
  <c r="BD135" i="39"/>
  <c r="BC135" i="39"/>
  <c r="BB135" i="39"/>
  <c r="BA135" i="39"/>
  <c r="AZ135" i="39"/>
  <c r="AY135" i="39"/>
  <c r="AX135" i="39"/>
  <c r="AW135" i="39"/>
  <c r="AV135" i="39"/>
  <c r="AU135" i="39"/>
  <c r="AT135" i="39"/>
  <c r="AS135" i="39"/>
  <c r="AR135" i="39"/>
  <c r="AQ135" i="39"/>
  <c r="AO135" i="39"/>
  <c r="AN135" i="39"/>
  <c r="AM135" i="39"/>
  <c r="AL135" i="39"/>
  <c r="AK135" i="39"/>
  <c r="AJ135" i="39"/>
  <c r="AI135" i="39"/>
  <c r="AH135" i="39"/>
  <c r="AG135" i="39"/>
  <c r="AF135" i="39"/>
  <c r="AE135" i="39"/>
  <c r="AD135" i="39"/>
  <c r="AC135" i="39"/>
  <c r="AB135" i="39"/>
  <c r="AA135" i="39"/>
  <c r="Z135" i="39"/>
  <c r="BE134" i="39"/>
  <c r="BD134" i="39"/>
  <c r="BC134" i="39"/>
  <c r="BB134" i="39"/>
  <c r="BA134" i="39"/>
  <c r="AZ134" i="39"/>
  <c r="AY134" i="39"/>
  <c r="AX134" i="39"/>
  <c r="AW134" i="39"/>
  <c r="AV134" i="39"/>
  <c r="AU134" i="39"/>
  <c r="AT134" i="39"/>
  <c r="AS134" i="39"/>
  <c r="AR134" i="39"/>
  <c r="AQ134" i="39"/>
  <c r="AO134" i="39"/>
  <c r="AN134" i="39"/>
  <c r="AM134" i="39"/>
  <c r="AL134" i="39"/>
  <c r="AK134" i="39"/>
  <c r="AJ134" i="39"/>
  <c r="AI134" i="39"/>
  <c r="AH134" i="39"/>
  <c r="AG134" i="39"/>
  <c r="AF134" i="39"/>
  <c r="AE134" i="39"/>
  <c r="AD134" i="39"/>
  <c r="AC134" i="39"/>
  <c r="AB134" i="39"/>
  <c r="AA134" i="39"/>
  <c r="Z134" i="39"/>
  <c r="BE133" i="39"/>
  <c r="BD133" i="39"/>
  <c r="BC133" i="39"/>
  <c r="BB133" i="39"/>
  <c r="BA133" i="39"/>
  <c r="AZ133" i="39"/>
  <c r="AY133" i="39"/>
  <c r="AX133" i="39"/>
  <c r="AW133" i="39"/>
  <c r="AV133" i="39"/>
  <c r="AU133" i="39"/>
  <c r="AT133" i="39"/>
  <c r="AS133" i="39"/>
  <c r="AR133" i="39"/>
  <c r="AQ133" i="39"/>
  <c r="AO133" i="39"/>
  <c r="AN133" i="39"/>
  <c r="AM133" i="39"/>
  <c r="AL133" i="39"/>
  <c r="AK133" i="39"/>
  <c r="AJ133" i="39"/>
  <c r="AI133" i="39"/>
  <c r="AH133" i="39"/>
  <c r="AG133" i="39"/>
  <c r="AF133" i="39"/>
  <c r="AE133" i="39"/>
  <c r="AD133" i="39"/>
  <c r="AC133" i="39"/>
  <c r="AB133" i="39"/>
  <c r="AA133" i="39"/>
  <c r="Z133" i="39"/>
  <c r="BE132" i="39"/>
  <c r="BD132" i="39"/>
  <c r="BC132" i="39"/>
  <c r="BB132" i="39"/>
  <c r="BA132" i="39"/>
  <c r="AZ132" i="39"/>
  <c r="AY132" i="39"/>
  <c r="AX132" i="39"/>
  <c r="AW132" i="39"/>
  <c r="AV132" i="39"/>
  <c r="AU132" i="39"/>
  <c r="AT132" i="39"/>
  <c r="AS132" i="39"/>
  <c r="AR132" i="39"/>
  <c r="AQ132" i="39"/>
  <c r="AO132" i="39"/>
  <c r="AN132" i="39"/>
  <c r="AM132" i="39"/>
  <c r="AL132" i="39"/>
  <c r="AK132" i="39"/>
  <c r="AJ132" i="39"/>
  <c r="AI132" i="39"/>
  <c r="AH132" i="39"/>
  <c r="AG132" i="39"/>
  <c r="AF132" i="39"/>
  <c r="AE132" i="39"/>
  <c r="AD132" i="39"/>
  <c r="AC132" i="39"/>
  <c r="AB132" i="39"/>
  <c r="AA132" i="39"/>
  <c r="Z132" i="39"/>
  <c r="BE131" i="39"/>
  <c r="BD131" i="39"/>
  <c r="BC131" i="39"/>
  <c r="BB131" i="39"/>
  <c r="BA131" i="39"/>
  <c r="AZ131" i="39"/>
  <c r="AY131" i="39"/>
  <c r="AX131" i="39"/>
  <c r="AW131" i="39"/>
  <c r="AV131" i="39"/>
  <c r="AU131" i="39"/>
  <c r="AT131" i="39"/>
  <c r="AS131" i="39"/>
  <c r="AR131" i="39"/>
  <c r="AQ131" i="39"/>
  <c r="AO131" i="39"/>
  <c r="AN131" i="39"/>
  <c r="AM131" i="39"/>
  <c r="AL131" i="39"/>
  <c r="AK131" i="39"/>
  <c r="AJ131" i="39"/>
  <c r="AI131" i="39"/>
  <c r="AH131" i="39"/>
  <c r="AG131" i="39"/>
  <c r="AF131" i="39"/>
  <c r="AE131" i="39"/>
  <c r="AD131" i="39"/>
  <c r="AC131" i="39"/>
  <c r="AB131" i="39"/>
  <c r="AA131" i="39"/>
  <c r="Z131" i="39"/>
  <c r="BE130" i="39"/>
  <c r="BD130" i="39"/>
  <c r="BC130" i="39"/>
  <c r="BB130" i="39"/>
  <c r="BA130" i="39"/>
  <c r="AZ130" i="39"/>
  <c r="AY130" i="39"/>
  <c r="AX130" i="39"/>
  <c r="AW130" i="39"/>
  <c r="AV130" i="39"/>
  <c r="AU130" i="39"/>
  <c r="AT130" i="39"/>
  <c r="AS130" i="39"/>
  <c r="AR130" i="39"/>
  <c r="AQ130" i="39"/>
  <c r="AO130" i="39"/>
  <c r="AN130" i="39"/>
  <c r="AM130" i="39"/>
  <c r="AL130" i="39"/>
  <c r="AK130" i="39"/>
  <c r="AJ130" i="39"/>
  <c r="AI130" i="39"/>
  <c r="AH130" i="39"/>
  <c r="AG130" i="39"/>
  <c r="AF130" i="39"/>
  <c r="AE130" i="39"/>
  <c r="AD130" i="39"/>
  <c r="AC130" i="39"/>
  <c r="AB130" i="39"/>
  <c r="AA130" i="39"/>
  <c r="Z130" i="39"/>
  <c r="BE129" i="39"/>
  <c r="BD129" i="39"/>
  <c r="BC129" i="39"/>
  <c r="BB129" i="39"/>
  <c r="BA129" i="39"/>
  <c r="AZ129" i="39"/>
  <c r="AY129" i="39"/>
  <c r="AX129" i="39"/>
  <c r="AW129" i="39"/>
  <c r="AV129" i="39"/>
  <c r="AU129" i="39"/>
  <c r="AT129" i="39"/>
  <c r="AS129" i="39"/>
  <c r="AR129" i="39"/>
  <c r="AQ129" i="39"/>
  <c r="AO129" i="39"/>
  <c r="AN129" i="39"/>
  <c r="AM129" i="39"/>
  <c r="AL129" i="39"/>
  <c r="AK129" i="39"/>
  <c r="AJ129" i="39"/>
  <c r="AI129" i="39"/>
  <c r="AH129" i="39"/>
  <c r="AG129" i="39"/>
  <c r="AF129" i="39"/>
  <c r="AE129" i="39"/>
  <c r="AD129" i="39"/>
  <c r="AC129" i="39"/>
  <c r="AB129" i="39"/>
  <c r="AA129" i="39"/>
  <c r="Z129" i="39"/>
  <c r="BE128" i="39"/>
  <c r="BD128" i="39"/>
  <c r="BC128" i="39"/>
  <c r="BB128" i="39"/>
  <c r="BA128" i="39"/>
  <c r="AZ128" i="39"/>
  <c r="AY128" i="39"/>
  <c r="AX128" i="39"/>
  <c r="AW128" i="39"/>
  <c r="AV128" i="39"/>
  <c r="AU128" i="39"/>
  <c r="AT128" i="39"/>
  <c r="AS128" i="39"/>
  <c r="AR128" i="39"/>
  <c r="AQ128" i="39"/>
  <c r="AO128" i="39"/>
  <c r="AN128" i="39"/>
  <c r="AM128" i="39"/>
  <c r="AL128" i="39"/>
  <c r="AK128" i="39"/>
  <c r="AJ128" i="39"/>
  <c r="AI128" i="39"/>
  <c r="AH128" i="39"/>
  <c r="AG128" i="39"/>
  <c r="AF128" i="39"/>
  <c r="AE128" i="39"/>
  <c r="AD128" i="39"/>
  <c r="AC128" i="39"/>
  <c r="AB128" i="39"/>
  <c r="AA128" i="39"/>
  <c r="Z128" i="39"/>
  <c r="BE127" i="39"/>
  <c r="BD127" i="39"/>
  <c r="BC127" i="39"/>
  <c r="BB127" i="39"/>
  <c r="BA127" i="39"/>
  <c r="AZ127" i="39"/>
  <c r="AY127" i="39"/>
  <c r="AX127" i="39"/>
  <c r="AW127" i="39"/>
  <c r="AV127" i="39"/>
  <c r="AU127" i="39"/>
  <c r="AT127" i="39"/>
  <c r="AS127" i="39"/>
  <c r="AR127" i="39"/>
  <c r="AQ127" i="39"/>
  <c r="AO127" i="39"/>
  <c r="AN127" i="39"/>
  <c r="AM127" i="39"/>
  <c r="AL127" i="39"/>
  <c r="AK127" i="39"/>
  <c r="AJ127" i="39"/>
  <c r="AI127" i="39"/>
  <c r="AH127" i="39"/>
  <c r="AG127" i="39"/>
  <c r="AF127" i="39"/>
  <c r="AE127" i="39"/>
  <c r="AD127" i="39"/>
  <c r="AC127" i="39"/>
  <c r="AB127" i="39"/>
  <c r="AA127" i="39"/>
  <c r="Z127" i="39"/>
  <c r="BE126" i="39"/>
  <c r="BD126" i="39"/>
  <c r="BC126" i="39"/>
  <c r="BB126" i="39"/>
  <c r="BA126" i="39"/>
  <c r="AZ126" i="39"/>
  <c r="AY126" i="39"/>
  <c r="AX126" i="39"/>
  <c r="AW126" i="39"/>
  <c r="AV126" i="39"/>
  <c r="AU126" i="39"/>
  <c r="AT126" i="39"/>
  <c r="AS126" i="39"/>
  <c r="AR126" i="39"/>
  <c r="AQ126" i="39"/>
  <c r="AO126" i="39"/>
  <c r="AN126" i="39"/>
  <c r="AM126" i="39"/>
  <c r="AL126" i="39"/>
  <c r="AK126" i="39"/>
  <c r="AJ126" i="39"/>
  <c r="AI126" i="39"/>
  <c r="AH126" i="39"/>
  <c r="AG126" i="39"/>
  <c r="AF126" i="39"/>
  <c r="AE126" i="39"/>
  <c r="AD126" i="39"/>
  <c r="AC126" i="39"/>
  <c r="AB126" i="39"/>
  <c r="AA126" i="39"/>
  <c r="Z126" i="39"/>
  <c r="BE125" i="39"/>
  <c r="BD125" i="39"/>
  <c r="BC125" i="39"/>
  <c r="BB125" i="39"/>
  <c r="BA125" i="39"/>
  <c r="AZ125" i="39"/>
  <c r="AY125" i="39"/>
  <c r="AX125" i="39"/>
  <c r="AW125" i="39"/>
  <c r="AV125" i="39"/>
  <c r="AU125" i="39"/>
  <c r="AT125" i="39"/>
  <c r="AS125" i="39"/>
  <c r="AR125" i="39"/>
  <c r="AQ125" i="39"/>
  <c r="AO125" i="39"/>
  <c r="AN125" i="39"/>
  <c r="AM125" i="39"/>
  <c r="AL125" i="39"/>
  <c r="AK125" i="39"/>
  <c r="AJ125" i="39"/>
  <c r="AI125" i="39"/>
  <c r="AH125" i="39"/>
  <c r="AG125" i="39"/>
  <c r="AF125" i="39"/>
  <c r="AE125" i="39"/>
  <c r="AD125" i="39"/>
  <c r="AC125" i="39"/>
  <c r="AB125" i="39"/>
  <c r="AA125" i="39"/>
  <c r="Z125" i="39"/>
  <c r="BE124" i="39"/>
  <c r="BD124" i="39"/>
  <c r="BC124" i="39"/>
  <c r="BB124" i="39"/>
  <c r="BA124" i="39"/>
  <c r="AZ124" i="39"/>
  <c r="AY124" i="39"/>
  <c r="AX124" i="39"/>
  <c r="AW124" i="39"/>
  <c r="AV124" i="39"/>
  <c r="AU124" i="39"/>
  <c r="AT124" i="39"/>
  <c r="AS124" i="39"/>
  <c r="AR124" i="39"/>
  <c r="AQ124" i="39"/>
  <c r="AO124" i="39"/>
  <c r="AN124" i="39"/>
  <c r="AM124" i="39"/>
  <c r="AL124" i="39"/>
  <c r="AK124" i="39"/>
  <c r="AJ124" i="39"/>
  <c r="AI124" i="39"/>
  <c r="AH124" i="39"/>
  <c r="AG124" i="39"/>
  <c r="AF124" i="39"/>
  <c r="AE124" i="39"/>
  <c r="AD124" i="39"/>
  <c r="AC124" i="39"/>
  <c r="AB124" i="39"/>
  <c r="AA124" i="39"/>
  <c r="Z124" i="39"/>
  <c r="BE123" i="39"/>
  <c r="BD123" i="39"/>
  <c r="BC123" i="39"/>
  <c r="BB123" i="39"/>
  <c r="BA123" i="39"/>
  <c r="AZ123" i="39"/>
  <c r="AY123" i="39"/>
  <c r="AX123" i="39"/>
  <c r="AW123" i="39"/>
  <c r="AV123" i="39"/>
  <c r="AU123" i="39"/>
  <c r="AT123" i="39"/>
  <c r="AS123" i="39"/>
  <c r="AR123" i="39"/>
  <c r="AQ123" i="39"/>
  <c r="AO123" i="39"/>
  <c r="AN123" i="39"/>
  <c r="AM123" i="39"/>
  <c r="AL123" i="39"/>
  <c r="AK123" i="39"/>
  <c r="AJ123" i="39"/>
  <c r="AI123" i="39"/>
  <c r="AH123" i="39"/>
  <c r="AG123" i="39"/>
  <c r="AF123" i="39"/>
  <c r="AE123" i="39"/>
  <c r="AD123" i="39"/>
  <c r="AC123" i="39"/>
  <c r="AB123" i="39"/>
  <c r="AA123" i="39"/>
  <c r="Z123" i="39"/>
  <c r="BE122" i="39"/>
  <c r="BD122" i="39"/>
  <c r="BC122" i="39"/>
  <c r="BB122" i="39"/>
  <c r="BA122" i="39"/>
  <c r="AZ122" i="39"/>
  <c r="AY122" i="39"/>
  <c r="AX122" i="39"/>
  <c r="AW122" i="39"/>
  <c r="AV122" i="39"/>
  <c r="AU122" i="39"/>
  <c r="AT122" i="39"/>
  <c r="AS122" i="39"/>
  <c r="AR122" i="39"/>
  <c r="AQ122" i="39"/>
  <c r="AO122" i="39"/>
  <c r="AN122" i="39"/>
  <c r="AM122" i="39"/>
  <c r="AL122" i="39"/>
  <c r="AK122" i="39"/>
  <c r="AJ122" i="39"/>
  <c r="AI122" i="39"/>
  <c r="AH122" i="39"/>
  <c r="AG122" i="39"/>
  <c r="AF122" i="39"/>
  <c r="AE122" i="39"/>
  <c r="AD122" i="39"/>
  <c r="AC122" i="39"/>
  <c r="AB122" i="39"/>
  <c r="AA122" i="39"/>
  <c r="Z122" i="39"/>
  <c r="BE121" i="39"/>
  <c r="BD121" i="39"/>
  <c r="BC121" i="39"/>
  <c r="BB121" i="39"/>
  <c r="BA121" i="39"/>
  <c r="AZ121" i="39"/>
  <c r="AY121" i="39"/>
  <c r="AX121" i="39"/>
  <c r="AW121" i="39"/>
  <c r="AV121" i="39"/>
  <c r="AU121" i="39"/>
  <c r="AT121" i="39"/>
  <c r="AS121" i="39"/>
  <c r="AR121" i="39"/>
  <c r="AQ121" i="39"/>
  <c r="AO121" i="39"/>
  <c r="AN121" i="39"/>
  <c r="AM121" i="39"/>
  <c r="AL121" i="39"/>
  <c r="AK121" i="39"/>
  <c r="AJ121" i="39"/>
  <c r="AI121" i="39"/>
  <c r="AH121" i="39"/>
  <c r="AG121" i="39"/>
  <c r="AF121" i="39"/>
  <c r="AE121" i="39"/>
  <c r="AD121" i="39"/>
  <c r="AC121" i="39"/>
  <c r="AB121" i="39"/>
  <c r="AA121" i="39"/>
  <c r="Z121" i="39"/>
  <c r="BE120" i="39"/>
  <c r="BD120" i="39"/>
  <c r="BC120" i="39"/>
  <c r="BB120" i="39"/>
  <c r="BA120" i="39"/>
  <c r="AZ120" i="39"/>
  <c r="AY120" i="39"/>
  <c r="AX120" i="39"/>
  <c r="AW120" i="39"/>
  <c r="AV120" i="39"/>
  <c r="AU120" i="39"/>
  <c r="AT120" i="39"/>
  <c r="AS120" i="39"/>
  <c r="AR120" i="39"/>
  <c r="AQ120" i="39"/>
  <c r="AO120" i="39"/>
  <c r="AN120" i="39"/>
  <c r="AM120" i="39"/>
  <c r="AL120" i="39"/>
  <c r="AK120" i="39"/>
  <c r="AJ120" i="39"/>
  <c r="AI120" i="39"/>
  <c r="AH120" i="39"/>
  <c r="AG120" i="39"/>
  <c r="AF120" i="39"/>
  <c r="AE120" i="39"/>
  <c r="AD120" i="39"/>
  <c r="AC120" i="39"/>
  <c r="AB120" i="39"/>
  <c r="AA120" i="39"/>
  <c r="Z120" i="39"/>
  <c r="BE119" i="39"/>
  <c r="BD119" i="39"/>
  <c r="BC119" i="39"/>
  <c r="BB119" i="39"/>
  <c r="BA119" i="39"/>
  <c r="AZ119" i="39"/>
  <c r="AY119" i="39"/>
  <c r="AX119" i="39"/>
  <c r="AW119" i="39"/>
  <c r="AV119" i="39"/>
  <c r="AU119" i="39"/>
  <c r="AT119" i="39"/>
  <c r="AS119" i="39"/>
  <c r="AR119" i="39"/>
  <c r="AQ119" i="39"/>
  <c r="AO119" i="39"/>
  <c r="AN119" i="39"/>
  <c r="AM119" i="39"/>
  <c r="AL119" i="39"/>
  <c r="AK119" i="39"/>
  <c r="AJ119" i="39"/>
  <c r="AI119" i="39"/>
  <c r="AH119" i="39"/>
  <c r="AG119" i="39"/>
  <c r="AF119" i="39"/>
  <c r="AE119" i="39"/>
  <c r="AD119" i="39"/>
  <c r="AC119" i="39"/>
  <c r="AB119" i="39"/>
  <c r="AA119" i="39"/>
  <c r="Z119" i="39"/>
  <c r="BE118" i="39"/>
  <c r="BD118" i="39"/>
  <c r="BC118" i="39"/>
  <c r="BB118" i="39"/>
  <c r="BA118" i="39"/>
  <c r="AZ118" i="39"/>
  <c r="AY118" i="39"/>
  <c r="AX118" i="39"/>
  <c r="AW118" i="39"/>
  <c r="AV118" i="39"/>
  <c r="AU118" i="39"/>
  <c r="AT118" i="39"/>
  <c r="AS118" i="39"/>
  <c r="AR118" i="39"/>
  <c r="AQ118" i="39"/>
  <c r="AO118" i="39"/>
  <c r="AN118" i="39"/>
  <c r="AM118" i="39"/>
  <c r="AL118" i="39"/>
  <c r="AK118" i="39"/>
  <c r="AJ118" i="39"/>
  <c r="AI118" i="39"/>
  <c r="AH118" i="39"/>
  <c r="AG118" i="39"/>
  <c r="AF118" i="39"/>
  <c r="AE118" i="39"/>
  <c r="AD118" i="39"/>
  <c r="AC118" i="39"/>
  <c r="AB118" i="39"/>
  <c r="AA118" i="39"/>
  <c r="Z118" i="39"/>
  <c r="BE117" i="39"/>
  <c r="BD117" i="39"/>
  <c r="BC117" i="39"/>
  <c r="BB117" i="39"/>
  <c r="BA117" i="39"/>
  <c r="AZ117" i="39"/>
  <c r="AY117" i="39"/>
  <c r="AX117" i="39"/>
  <c r="AW117" i="39"/>
  <c r="AV117" i="39"/>
  <c r="AU117" i="39"/>
  <c r="AT117" i="39"/>
  <c r="AS117" i="39"/>
  <c r="AR117" i="39"/>
  <c r="AQ117" i="39"/>
  <c r="AO117" i="39"/>
  <c r="AN117" i="39"/>
  <c r="AM117" i="39"/>
  <c r="AL117" i="39"/>
  <c r="AK117" i="39"/>
  <c r="AJ117" i="39"/>
  <c r="AI117" i="39"/>
  <c r="AH117" i="39"/>
  <c r="AG117" i="39"/>
  <c r="AF117" i="39"/>
  <c r="AE117" i="39"/>
  <c r="AD117" i="39"/>
  <c r="AC117" i="39"/>
  <c r="AB117" i="39"/>
  <c r="AA117" i="39"/>
  <c r="Z117" i="39"/>
  <c r="BE116" i="39"/>
  <c r="BD116" i="39"/>
  <c r="BC116" i="39"/>
  <c r="BB116" i="39"/>
  <c r="BA116" i="39"/>
  <c r="AZ116" i="39"/>
  <c r="AY116" i="39"/>
  <c r="AX116" i="39"/>
  <c r="AW116" i="39"/>
  <c r="AV116" i="39"/>
  <c r="AU116" i="39"/>
  <c r="AT116" i="39"/>
  <c r="AS116" i="39"/>
  <c r="AR116" i="39"/>
  <c r="AQ116" i="39"/>
  <c r="AO116" i="39"/>
  <c r="AN116" i="39"/>
  <c r="AM116" i="39"/>
  <c r="AL116" i="39"/>
  <c r="AK116" i="39"/>
  <c r="AJ116" i="39"/>
  <c r="AI116" i="39"/>
  <c r="AH116" i="39"/>
  <c r="AG116" i="39"/>
  <c r="AF116" i="39"/>
  <c r="AE116" i="39"/>
  <c r="AD116" i="39"/>
  <c r="AC116" i="39"/>
  <c r="AB116" i="39"/>
  <c r="AA116" i="39"/>
  <c r="Z116" i="39"/>
  <c r="BE115" i="39"/>
  <c r="BD115" i="39"/>
  <c r="BC115" i="39"/>
  <c r="BB115" i="39"/>
  <c r="BA115" i="39"/>
  <c r="AZ115" i="39"/>
  <c r="AY115" i="39"/>
  <c r="AX115" i="39"/>
  <c r="AW115" i="39"/>
  <c r="AV115" i="39"/>
  <c r="AU115" i="39"/>
  <c r="AT115" i="39"/>
  <c r="AS115" i="39"/>
  <c r="AR115" i="39"/>
  <c r="AQ115" i="39"/>
  <c r="AO115" i="39"/>
  <c r="AN115" i="39"/>
  <c r="AM115" i="39"/>
  <c r="AL115" i="39"/>
  <c r="AK115" i="39"/>
  <c r="AJ115" i="39"/>
  <c r="AI115" i="39"/>
  <c r="AH115" i="39"/>
  <c r="AG115" i="39"/>
  <c r="AF115" i="39"/>
  <c r="AE115" i="39"/>
  <c r="AD115" i="39"/>
  <c r="AC115" i="39"/>
  <c r="AB115" i="39"/>
  <c r="AA115" i="39"/>
  <c r="Z115" i="39"/>
  <c r="BE114" i="39"/>
  <c r="BD114" i="39"/>
  <c r="BC114" i="39"/>
  <c r="BB114" i="39"/>
  <c r="BA114" i="39"/>
  <c r="AZ114" i="39"/>
  <c r="AY114" i="39"/>
  <c r="AX114" i="39"/>
  <c r="AW114" i="39"/>
  <c r="AV114" i="39"/>
  <c r="AU114" i="39"/>
  <c r="AT114" i="39"/>
  <c r="AS114" i="39"/>
  <c r="AR114" i="39"/>
  <c r="AQ114" i="39"/>
  <c r="AO114" i="39"/>
  <c r="AN114" i="39"/>
  <c r="AM114" i="39"/>
  <c r="AL114" i="39"/>
  <c r="AK114" i="39"/>
  <c r="AJ114" i="39"/>
  <c r="AI114" i="39"/>
  <c r="AH114" i="39"/>
  <c r="AG114" i="39"/>
  <c r="AF114" i="39"/>
  <c r="AE114" i="39"/>
  <c r="AD114" i="39"/>
  <c r="AC114" i="39"/>
  <c r="AB114" i="39"/>
  <c r="AA114" i="39"/>
  <c r="Z114" i="39"/>
  <c r="BE113" i="39"/>
  <c r="BD113" i="39"/>
  <c r="BC113" i="39"/>
  <c r="BB113" i="39"/>
  <c r="BA113" i="39"/>
  <c r="AZ113" i="39"/>
  <c r="AY113" i="39"/>
  <c r="AX113" i="39"/>
  <c r="AW113" i="39"/>
  <c r="AV113" i="39"/>
  <c r="AU113" i="39"/>
  <c r="AT113" i="39"/>
  <c r="AS113" i="39"/>
  <c r="AR113" i="39"/>
  <c r="AQ113" i="39"/>
  <c r="AO113" i="39"/>
  <c r="AN113" i="39"/>
  <c r="AM113" i="39"/>
  <c r="AL113" i="39"/>
  <c r="AK113" i="39"/>
  <c r="AJ113" i="39"/>
  <c r="AI113" i="39"/>
  <c r="AH113" i="39"/>
  <c r="AG113" i="39"/>
  <c r="AF113" i="39"/>
  <c r="AE113" i="39"/>
  <c r="AD113" i="39"/>
  <c r="AC113" i="39"/>
  <c r="AB113" i="39"/>
  <c r="AA113" i="39"/>
  <c r="Z113" i="39"/>
  <c r="BE112" i="39"/>
  <c r="BD112" i="39"/>
  <c r="BC112" i="39"/>
  <c r="BB112" i="39"/>
  <c r="BA112" i="39"/>
  <c r="AZ112" i="39"/>
  <c r="AY112" i="39"/>
  <c r="AX112" i="39"/>
  <c r="AW112" i="39"/>
  <c r="AV112" i="39"/>
  <c r="AU112" i="39"/>
  <c r="AT112" i="39"/>
  <c r="AS112" i="39"/>
  <c r="AR112" i="39"/>
  <c r="AQ112" i="39"/>
  <c r="AO112" i="39"/>
  <c r="AN112" i="39"/>
  <c r="AM112" i="39"/>
  <c r="AL112" i="39"/>
  <c r="AK112" i="39"/>
  <c r="AJ112" i="39"/>
  <c r="AI112" i="39"/>
  <c r="AH112" i="39"/>
  <c r="AG112" i="39"/>
  <c r="AF112" i="39"/>
  <c r="AE112" i="39"/>
  <c r="AD112" i="39"/>
  <c r="AC112" i="39"/>
  <c r="AB112" i="39"/>
  <c r="AA112" i="39"/>
  <c r="Z112" i="39"/>
  <c r="BE111" i="39"/>
  <c r="BD111" i="39"/>
  <c r="BC111" i="39"/>
  <c r="BB111" i="39"/>
  <c r="BA111" i="39"/>
  <c r="AZ111" i="39"/>
  <c r="AY111" i="39"/>
  <c r="AX111" i="39"/>
  <c r="AW111" i="39"/>
  <c r="AV111" i="39"/>
  <c r="AU111" i="39"/>
  <c r="AT111" i="39"/>
  <c r="AS111" i="39"/>
  <c r="AR111" i="39"/>
  <c r="AQ111" i="39"/>
  <c r="AO111" i="39"/>
  <c r="AN111" i="39"/>
  <c r="AM111" i="39"/>
  <c r="AL111" i="39"/>
  <c r="AK111" i="39"/>
  <c r="AJ111" i="39"/>
  <c r="AI111" i="39"/>
  <c r="AH111" i="39"/>
  <c r="AG111" i="39"/>
  <c r="AF111" i="39"/>
  <c r="AE111" i="39"/>
  <c r="AD111" i="39"/>
  <c r="AC111" i="39"/>
  <c r="AB111" i="39"/>
  <c r="AA111" i="39"/>
  <c r="Z111" i="39"/>
  <c r="BE110" i="39"/>
  <c r="BD110" i="39"/>
  <c r="BC110" i="39"/>
  <c r="BB110" i="39"/>
  <c r="BA110" i="39"/>
  <c r="AZ110" i="39"/>
  <c r="AY110" i="39"/>
  <c r="AX110" i="39"/>
  <c r="AW110" i="39"/>
  <c r="AV110" i="39"/>
  <c r="AU110" i="39"/>
  <c r="AT110" i="39"/>
  <c r="AS110" i="39"/>
  <c r="AR110" i="39"/>
  <c r="AQ110" i="39"/>
  <c r="AO110" i="39"/>
  <c r="AN110" i="39"/>
  <c r="AM110" i="39"/>
  <c r="AL110" i="39"/>
  <c r="AK110" i="39"/>
  <c r="AJ110" i="39"/>
  <c r="AI110" i="39"/>
  <c r="AH110" i="39"/>
  <c r="AG110" i="39"/>
  <c r="AF110" i="39"/>
  <c r="AE110" i="39"/>
  <c r="AD110" i="39"/>
  <c r="AC110" i="39"/>
  <c r="AB110" i="39"/>
  <c r="AA110" i="39"/>
  <c r="Z110" i="39"/>
  <c r="BE109" i="39"/>
  <c r="BD109" i="39"/>
  <c r="BC109" i="39"/>
  <c r="BB109" i="39"/>
  <c r="BA109" i="39"/>
  <c r="AZ109" i="39"/>
  <c r="AY109" i="39"/>
  <c r="AX109" i="39"/>
  <c r="AW109" i="39"/>
  <c r="AV109" i="39"/>
  <c r="AU109" i="39"/>
  <c r="AT109" i="39"/>
  <c r="AS109" i="39"/>
  <c r="AR109" i="39"/>
  <c r="AQ109" i="39"/>
  <c r="AO109" i="39"/>
  <c r="AN109" i="39"/>
  <c r="AM109" i="39"/>
  <c r="AL109" i="39"/>
  <c r="AK109" i="39"/>
  <c r="AJ109" i="39"/>
  <c r="AI109" i="39"/>
  <c r="AH109" i="39"/>
  <c r="AG109" i="39"/>
  <c r="AF109" i="39"/>
  <c r="AE109" i="39"/>
  <c r="AD109" i="39"/>
  <c r="AC109" i="39"/>
  <c r="AB109" i="39"/>
  <c r="AA109" i="39"/>
  <c r="Z109" i="39"/>
  <c r="BE108" i="39"/>
  <c r="BD108" i="39"/>
  <c r="BC108" i="39"/>
  <c r="BB108" i="39"/>
  <c r="BA108" i="39"/>
  <c r="AZ108" i="39"/>
  <c r="AY108" i="39"/>
  <c r="AX108" i="39"/>
  <c r="AW108" i="39"/>
  <c r="AV108" i="39"/>
  <c r="AU108" i="39"/>
  <c r="AT108" i="39"/>
  <c r="AS108" i="39"/>
  <c r="AR108" i="39"/>
  <c r="AQ108" i="39"/>
  <c r="AO108" i="39"/>
  <c r="AN108" i="39"/>
  <c r="AM108" i="39"/>
  <c r="AL108" i="39"/>
  <c r="AK108" i="39"/>
  <c r="AJ108" i="39"/>
  <c r="AI108" i="39"/>
  <c r="AH108" i="39"/>
  <c r="AG108" i="39"/>
  <c r="AF108" i="39"/>
  <c r="AE108" i="39"/>
  <c r="AD108" i="39"/>
  <c r="AC108" i="39"/>
  <c r="AB108" i="39"/>
  <c r="AA108" i="39"/>
  <c r="Z108" i="39"/>
  <c r="BE107" i="39"/>
  <c r="BD107" i="39"/>
  <c r="BC107" i="39"/>
  <c r="BB107" i="39"/>
  <c r="BA107" i="39"/>
  <c r="AZ107" i="39"/>
  <c r="AY107" i="39"/>
  <c r="AX107" i="39"/>
  <c r="AW107" i="39"/>
  <c r="AV107" i="39"/>
  <c r="AU107" i="39"/>
  <c r="AT107" i="39"/>
  <c r="AS107" i="39"/>
  <c r="AR107" i="39"/>
  <c r="AQ107" i="39"/>
  <c r="AO107" i="39"/>
  <c r="AN107" i="39"/>
  <c r="AM107" i="39"/>
  <c r="AL107" i="39"/>
  <c r="AK107" i="39"/>
  <c r="AJ107" i="39"/>
  <c r="AI107" i="39"/>
  <c r="AH107" i="39"/>
  <c r="AG107" i="39"/>
  <c r="AF107" i="39"/>
  <c r="AE107" i="39"/>
  <c r="AD107" i="39"/>
  <c r="AC107" i="39"/>
  <c r="AB107" i="39"/>
  <c r="AA107" i="39"/>
  <c r="Z107" i="39"/>
  <c r="BE106" i="39"/>
  <c r="BD106" i="39"/>
  <c r="BC106" i="39"/>
  <c r="BB106" i="39"/>
  <c r="BA106" i="39"/>
  <c r="AZ106" i="39"/>
  <c r="AY106" i="39"/>
  <c r="AX106" i="39"/>
  <c r="AW106" i="39"/>
  <c r="AV106" i="39"/>
  <c r="AU106" i="39"/>
  <c r="AT106" i="39"/>
  <c r="AS106" i="39"/>
  <c r="AR106" i="39"/>
  <c r="AQ106" i="39"/>
  <c r="AO106" i="39"/>
  <c r="AN106" i="39"/>
  <c r="AM106" i="39"/>
  <c r="AL106" i="39"/>
  <c r="AK106" i="39"/>
  <c r="AJ106" i="39"/>
  <c r="AI106" i="39"/>
  <c r="AH106" i="39"/>
  <c r="AG106" i="39"/>
  <c r="AF106" i="39"/>
  <c r="AE106" i="39"/>
  <c r="AD106" i="39"/>
  <c r="AC106" i="39"/>
  <c r="AB106" i="39"/>
  <c r="AA106" i="39"/>
  <c r="Z106" i="39"/>
  <c r="BE105" i="39"/>
  <c r="BD105" i="39"/>
  <c r="BC105" i="39"/>
  <c r="BB105" i="39"/>
  <c r="BA105" i="39"/>
  <c r="AZ105" i="39"/>
  <c r="AY105" i="39"/>
  <c r="AX105" i="39"/>
  <c r="AW105" i="39"/>
  <c r="AV105" i="39"/>
  <c r="AU105" i="39"/>
  <c r="AT105" i="39"/>
  <c r="AS105" i="39"/>
  <c r="AR105" i="39"/>
  <c r="AQ105" i="39"/>
  <c r="AO105" i="39"/>
  <c r="AN105" i="39"/>
  <c r="AM105" i="39"/>
  <c r="AL105" i="39"/>
  <c r="AK105" i="39"/>
  <c r="AJ105" i="39"/>
  <c r="AI105" i="39"/>
  <c r="AH105" i="39"/>
  <c r="AG105" i="39"/>
  <c r="AF105" i="39"/>
  <c r="AE105" i="39"/>
  <c r="AD105" i="39"/>
  <c r="AC105" i="39"/>
  <c r="AB105" i="39"/>
  <c r="AA105" i="39"/>
  <c r="Z105" i="39"/>
  <c r="BE104" i="39"/>
  <c r="BD104" i="39"/>
  <c r="BC104" i="39"/>
  <c r="BB104" i="39"/>
  <c r="BA104" i="39"/>
  <c r="AZ104" i="39"/>
  <c r="AY104" i="39"/>
  <c r="AX104" i="39"/>
  <c r="AW104" i="39"/>
  <c r="AV104" i="39"/>
  <c r="AU104" i="39"/>
  <c r="AT104" i="39"/>
  <c r="AS104" i="39"/>
  <c r="AR104" i="39"/>
  <c r="AQ104" i="39"/>
  <c r="AO104" i="39"/>
  <c r="AN104" i="39"/>
  <c r="AM104" i="39"/>
  <c r="AL104" i="39"/>
  <c r="AK104" i="39"/>
  <c r="AJ104" i="39"/>
  <c r="AI104" i="39"/>
  <c r="AH104" i="39"/>
  <c r="AG104" i="39"/>
  <c r="AF104" i="39"/>
  <c r="AE104" i="39"/>
  <c r="AD104" i="39"/>
  <c r="AC104" i="39"/>
  <c r="AB104" i="39"/>
  <c r="AA104" i="39"/>
  <c r="Z104" i="39"/>
  <c r="BE103" i="39"/>
  <c r="BD103" i="39"/>
  <c r="BC103" i="39"/>
  <c r="BB103" i="39"/>
  <c r="BA103" i="39"/>
  <c r="AZ103" i="39"/>
  <c r="AY103" i="39"/>
  <c r="AX103" i="39"/>
  <c r="AW103" i="39"/>
  <c r="AV103" i="39"/>
  <c r="AU103" i="39"/>
  <c r="AT103" i="39"/>
  <c r="AS103" i="39"/>
  <c r="AR103" i="39"/>
  <c r="AQ103" i="39"/>
  <c r="AO103" i="39"/>
  <c r="AN103" i="39"/>
  <c r="AM103" i="39"/>
  <c r="AL103" i="39"/>
  <c r="AK103" i="39"/>
  <c r="AJ103" i="39"/>
  <c r="AI103" i="39"/>
  <c r="AH103" i="39"/>
  <c r="AG103" i="39"/>
  <c r="AF103" i="39"/>
  <c r="AE103" i="39"/>
  <c r="AD103" i="39"/>
  <c r="AC103" i="39"/>
  <c r="AB103" i="39"/>
  <c r="AA103" i="39"/>
  <c r="Z103" i="39"/>
  <c r="BE102" i="39"/>
  <c r="BD102" i="39"/>
  <c r="BC102" i="39"/>
  <c r="BB102" i="39"/>
  <c r="BA102" i="39"/>
  <c r="AZ102" i="39"/>
  <c r="AY102" i="39"/>
  <c r="AX102" i="39"/>
  <c r="AW102" i="39"/>
  <c r="AV102" i="39"/>
  <c r="AU102" i="39"/>
  <c r="AT102" i="39"/>
  <c r="AS102" i="39"/>
  <c r="AR102" i="39"/>
  <c r="AQ102" i="39"/>
  <c r="AO102" i="39"/>
  <c r="AN102" i="39"/>
  <c r="AM102" i="39"/>
  <c r="AL102" i="39"/>
  <c r="AK102" i="39"/>
  <c r="AJ102" i="39"/>
  <c r="AI102" i="39"/>
  <c r="AH102" i="39"/>
  <c r="AG102" i="39"/>
  <c r="AF102" i="39"/>
  <c r="AE102" i="39"/>
  <c r="AD102" i="39"/>
  <c r="AC102" i="39"/>
  <c r="AB102" i="39"/>
  <c r="AA102" i="39"/>
  <c r="Z102" i="39"/>
  <c r="BE101" i="39"/>
  <c r="BD101" i="39"/>
  <c r="BC101" i="39"/>
  <c r="BB101" i="39"/>
  <c r="BA101" i="39"/>
  <c r="AZ101" i="39"/>
  <c r="AY101" i="39"/>
  <c r="AX101" i="39"/>
  <c r="AW101" i="39"/>
  <c r="AV101" i="39"/>
  <c r="AU101" i="39"/>
  <c r="AT101" i="39"/>
  <c r="AS101" i="39"/>
  <c r="AR101" i="39"/>
  <c r="AQ101" i="39"/>
  <c r="AO101" i="39"/>
  <c r="AN101" i="39"/>
  <c r="AM101" i="39"/>
  <c r="AL101" i="39"/>
  <c r="AK101" i="39"/>
  <c r="AJ101" i="39"/>
  <c r="AI101" i="39"/>
  <c r="AH101" i="39"/>
  <c r="AG101" i="39"/>
  <c r="AF101" i="39"/>
  <c r="AE101" i="39"/>
  <c r="AD101" i="39"/>
  <c r="AC101" i="39"/>
  <c r="AB101" i="39"/>
  <c r="AA101" i="39"/>
  <c r="Z101" i="39"/>
  <c r="BE100" i="39"/>
  <c r="BD100" i="39"/>
  <c r="BC100" i="39"/>
  <c r="BB100" i="39"/>
  <c r="BA100" i="39"/>
  <c r="AZ100" i="39"/>
  <c r="AY100" i="39"/>
  <c r="AX100" i="39"/>
  <c r="AW100" i="39"/>
  <c r="AV100" i="39"/>
  <c r="AU100" i="39"/>
  <c r="AT100" i="39"/>
  <c r="AS100" i="39"/>
  <c r="AR100" i="39"/>
  <c r="AQ100" i="39"/>
  <c r="AO100" i="39"/>
  <c r="AN100" i="39"/>
  <c r="AM100" i="39"/>
  <c r="AL100" i="39"/>
  <c r="AK100" i="39"/>
  <c r="AJ100" i="39"/>
  <c r="AI100" i="39"/>
  <c r="AH100" i="39"/>
  <c r="AG100" i="39"/>
  <c r="AF100" i="39"/>
  <c r="AE100" i="39"/>
  <c r="AD100" i="39"/>
  <c r="AC100" i="39"/>
  <c r="AB100" i="39"/>
  <c r="AA100" i="39"/>
  <c r="Z100" i="39"/>
  <c r="BE99" i="39"/>
  <c r="BD99" i="39"/>
  <c r="BC99" i="39"/>
  <c r="BB99" i="39"/>
  <c r="BA99" i="39"/>
  <c r="AZ99" i="39"/>
  <c r="AY99" i="39"/>
  <c r="AX99" i="39"/>
  <c r="AW99" i="39"/>
  <c r="AV99" i="39"/>
  <c r="AU99" i="39"/>
  <c r="AT99" i="39"/>
  <c r="AS99" i="39"/>
  <c r="AR99" i="39"/>
  <c r="AQ99" i="39"/>
  <c r="AO99" i="39"/>
  <c r="AN99" i="39"/>
  <c r="AM99" i="39"/>
  <c r="AL99" i="39"/>
  <c r="AK99" i="39"/>
  <c r="AJ99" i="39"/>
  <c r="AI99" i="39"/>
  <c r="AH99" i="39"/>
  <c r="AG99" i="39"/>
  <c r="AF99" i="39"/>
  <c r="AE99" i="39"/>
  <c r="AD99" i="39"/>
  <c r="AC99" i="39"/>
  <c r="AB99" i="39"/>
  <c r="AA99" i="39"/>
  <c r="Z99" i="39"/>
  <c r="BE98" i="39"/>
  <c r="BD98" i="39"/>
  <c r="BC98" i="39"/>
  <c r="BB98" i="39"/>
  <c r="BA98" i="39"/>
  <c r="AZ98" i="39"/>
  <c r="AY98" i="39"/>
  <c r="AX98" i="39"/>
  <c r="AW98" i="39"/>
  <c r="AV98" i="39"/>
  <c r="AU98" i="39"/>
  <c r="AT98" i="39"/>
  <c r="AS98" i="39"/>
  <c r="AR98" i="39"/>
  <c r="AQ98" i="39"/>
  <c r="AO98" i="39"/>
  <c r="AN98" i="39"/>
  <c r="AM98" i="39"/>
  <c r="AL98" i="39"/>
  <c r="AK98" i="39"/>
  <c r="AJ98" i="39"/>
  <c r="AI98" i="39"/>
  <c r="AH98" i="39"/>
  <c r="AG98" i="39"/>
  <c r="AF98" i="39"/>
  <c r="AE98" i="39"/>
  <c r="AD98" i="39"/>
  <c r="AC98" i="39"/>
  <c r="AB98" i="39"/>
  <c r="AA98" i="39"/>
  <c r="Z98" i="39"/>
  <c r="BE97" i="39"/>
  <c r="BD97" i="39"/>
  <c r="BC97" i="39"/>
  <c r="BB97" i="39"/>
  <c r="BA97" i="39"/>
  <c r="AZ97" i="39"/>
  <c r="AY97" i="39"/>
  <c r="AX97" i="39"/>
  <c r="AW97" i="39"/>
  <c r="AV97" i="39"/>
  <c r="AU97" i="39"/>
  <c r="AT97" i="39"/>
  <c r="AS97" i="39"/>
  <c r="AR97" i="39"/>
  <c r="AQ97" i="39"/>
  <c r="AO97" i="39"/>
  <c r="AN97" i="39"/>
  <c r="AM97" i="39"/>
  <c r="AL97" i="39"/>
  <c r="AK97" i="39"/>
  <c r="AJ97" i="39"/>
  <c r="AI97" i="39"/>
  <c r="AH97" i="39"/>
  <c r="AG97" i="39"/>
  <c r="AF97" i="39"/>
  <c r="AE97" i="39"/>
  <c r="AD97" i="39"/>
  <c r="AC97" i="39"/>
  <c r="AB97" i="39"/>
  <c r="AA97" i="39"/>
  <c r="Z97" i="39"/>
  <c r="BE96" i="39"/>
  <c r="BD96" i="39"/>
  <c r="BC96" i="39"/>
  <c r="BB96" i="39"/>
  <c r="BA96" i="39"/>
  <c r="AZ96" i="39"/>
  <c r="AY96" i="39"/>
  <c r="AX96" i="39"/>
  <c r="AW96" i="39"/>
  <c r="AV96" i="39"/>
  <c r="AU96" i="39"/>
  <c r="AT96" i="39"/>
  <c r="AS96" i="39"/>
  <c r="AR96" i="39"/>
  <c r="AQ96" i="39"/>
  <c r="AO96" i="39"/>
  <c r="AN96" i="39"/>
  <c r="AM96" i="39"/>
  <c r="AL96" i="39"/>
  <c r="AK96" i="39"/>
  <c r="AJ96" i="39"/>
  <c r="AI96" i="39"/>
  <c r="AH96" i="39"/>
  <c r="AG96" i="39"/>
  <c r="AF96" i="39"/>
  <c r="AE96" i="39"/>
  <c r="AD96" i="39"/>
  <c r="AC96" i="39"/>
  <c r="AB96" i="39"/>
  <c r="AA96" i="39"/>
  <c r="Z96" i="39"/>
  <c r="BE95" i="39"/>
  <c r="BD95" i="39"/>
  <c r="BC95" i="39"/>
  <c r="BB95" i="39"/>
  <c r="BA95" i="39"/>
  <c r="AZ95" i="39"/>
  <c r="AY95" i="39"/>
  <c r="AX95" i="39"/>
  <c r="AW95" i="39"/>
  <c r="AV95" i="39"/>
  <c r="AU95" i="39"/>
  <c r="AT95" i="39"/>
  <c r="AS95" i="39"/>
  <c r="AR95" i="39"/>
  <c r="AQ95" i="39"/>
  <c r="AO95" i="39"/>
  <c r="AN95" i="39"/>
  <c r="AM95" i="39"/>
  <c r="AL95" i="39"/>
  <c r="AK95" i="39"/>
  <c r="AJ95" i="39"/>
  <c r="AI95" i="39"/>
  <c r="AH95" i="39"/>
  <c r="AG95" i="39"/>
  <c r="AF95" i="39"/>
  <c r="AE95" i="39"/>
  <c r="AD95" i="39"/>
  <c r="AC95" i="39"/>
  <c r="AB95" i="39"/>
  <c r="AA95" i="39"/>
  <c r="Z95" i="39"/>
  <c r="BE94" i="39"/>
  <c r="BD94" i="39"/>
  <c r="BC94" i="39"/>
  <c r="BB94" i="39"/>
  <c r="BA94" i="39"/>
  <c r="AZ94" i="39"/>
  <c r="AY94" i="39"/>
  <c r="AX94" i="39"/>
  <c r="AW94" i="39"/>
  <c r="AV94" i="39"/>
  <c r="AU94" i="39"/>
  <c r="AT94" i="39"/>
  <c r="AS94" i="39"/>
  <c r="AR94" i="39"/>
  <c r="AQ94" i="39"/>
  <c r="AO94" i="39"/>
  <c r="AN94" i="39"/>
  <c r="AM94" i="39"/>
  <c r="AL94" i="39"/>
  <c r="AK94" i="39"/>
  <c r="AJ94" i="39"/>
  <c r="AI94" i="39"/>
  <c r="AH94" i="39"/>
  <c r="AG94" i="39"/>
  <c r="AF94" i="39"/>
  <c r="AE94" i="39"/>
  <c r="AD94" i="39"/>
  <c r="AC94" i="39"/>
  <c r="AB94" i="39"/>
  <c r="AA94" i="39"/>
  <c r="Z94" i="39"/>
  <c r="BE93" i="39"/>
  <c r="BD93" i="39"/>
  <c r="BC93" i="39"/>
  <c r="BB93" i="39"/>
  <c r="BA93" i="39"/>
  <c r="AZ93" i="39"/>
  <c r="AY93" i="39"/>
  <c r="AX93" i="39"/>
  <c r="AW93" i="39"/>
  <c r="AV93" i="39"/>
  <c r="AU93" i="39"/>
  <c r="AT93" i="39"/>
  <c r="AS93" i="39"/>
  <c r="AR93" i="39"/>
  <c r="AQ93" i="39"/>
  <c r="AO93" i="39"/>
  <c r="AN93" i="39"/>
  <c r="AM93" i="39"/>
  <c r="AL93" i="39"/>
  <c r="AK93" i="39"/>
  <c r="AJ93" i="39"/>
  <c r="AI93" i="39"/>
  <c r="AH93" i="39"/>
  <c r="AG93" i="39"/>
  <c r="AF93" i="39"/>
  <c r="AE93" i="39"/>
  <c r="AD93" i="39"/>
  <c r="AC93" i="39"/>
  <c r="AB93" i="39"/>
  <c r="AA93" i="39"/>
  <c r="Z93" i="39"/>
  <c r="BE92" i="39"/>
  <c r="BD92" i="39"/>
  <c r="BC92" i="39"/>
  <c r="BB92" i="39"/>
  <c r="BA92" i="39"/>
  <c r="AZ92" i="39"/>
  <c r="AY92" i="39"/>
  <c r="AX92" i="39"/>
  <c r="AW92" i="39"/>
  <c r="AV92" i="39"/>
  <c r="AU92" i="39"/>
  <c r="AT92" i="39"/>
  <c r="AS92" i="39"/>
  <c r="AR92" i="39"/>
  <c r="AQ92" i="39"/>
  <c r="AO92" i="39"/>
  <c r="AN92" i="39"/>
  <c r="AM92" i="39"/>
  <c r="AL92" i="39"/>
  <c r="AK92" i="39"/>
  <c r="AJ92" i="39"/>
  <c r="AI92" i="39"/>
  <c r="AH92" i="39"/>
  <c r="AG92" i="39"/>
  <c r="AF92" i="39"/>
  <c r="AE92" i="39"/>
  <c r="AD92" i="39"/>
  <c r="AC92" i="39"/>
  <c r="AB92" i="39"/>
  <c r="AA92" i="39"/>
  <c r="Z92" i="39"/>
  <c r="BE91" i="39"/>
  <c r="BD91" i="39"/>
  <c r="BC91" i="39"/>
  <c r="BB91" i="39"/>
  <c r="BA91" i="39"/>
  <c r="AZ91" i="39"/>
  <c r="AY91" i="39"/>
  <c r="AX91" i="39"/>
  <c r="AW91" i="39"/>
  <c r="AV91" i="39"/>
  <c r="AU91" i="39"/>
  <c r="AT91" i="39"/>
  <c r="AS91" i="39"/>
  <c r="AR91" i="39"/>
  <c r="AQ91" i="39"/>
  <c r="AO91" i="39"/>
  <c r="AN91" i="39"/>
  <c r="AM91" i="39"/>
  <c r="AL91" i="39"/>
  <c r="AK91" i="39"/>
  <c r="AJ91" i="39"/>
  <c r="AI91" i="39"/>
  <c r="AH91" i="39"/>
  <c r="AG91" i="39"/>
  <c r="AF91" i="39"/>
  <c r="AE91" i="39"/>
  <c r="AD91" i="39"/>
  <c r="AC91" i="39"/>
  <c r="AB91" i="39"/>
  <c r="AA91" i="39"/>
  <c r="Z91" i="39"/>
  <c r="BE90" i="39"/>
  <c r="BD90" i="39"/>
  <c r="BC90" i="39"/>
  <c r="BB90" i="39"/>
  <c r="BA90" i="39"/>
  <c r="AZ90" i="39"/>
  <c r="AY90" i="39"/>
  <c r="AX90" i="39"/>
  <c r="AW90" i="39"/>
  <c r="AV90" i="39"/>
  <c r="AU90" i="39"/>
  <c r="AT90" i="39"/>
  <c r="AS90" i="39"/>
  <c r="AR90" i="39"/>
  <c r="AQ90" i="39"/>
  <c r="AO90" i="39"/>
  <c r="AN90" i="39"/>
  <c r="AM90" i="39"/>
  <c r="AL90" i="39"/>
  <c r="AK90" i="39"/>
  <c r="AJ90" i="39"/>
  <c r="AI90" i="39"/>
  <c r="AH90" i="39"/>
  <c r="AG90" i="39"/>
  <c r="AF90" i="39"/>
  <c r="AE90" i="39"/>
  <c r="AD90" i="39"/>
  <c r="AC90" i="39"/>
  <c r="AB90" i="39"/>
  <c r="AA90" i="39"/>
  <c r="Z90" i="39"/>
  <c r="BE89" i="39"/>
  <c r="BD89" i="39"/>
  <c r="BC89" i="39"/>
  <c r="BB89" i="39"/>
  <c r="BA89" i="39"/>
  <c r="AZ89" i="39"/>
  <c r="AY89" i="39"/>
  <c r="AX89" i="39"/>
  <c r="AW89" i="39"/>
  <c r="AV89" i="39"/>
  <c r="AU89" i="39"/>
  <c r="AT89" i="39"/>
  <c r="AS89" i="39"/>
  <c r="AR89" i="39"/>
  <c r="AQ89" i="39"/>
  <c r="AO89" i="39"/>
  <c r="AN89" i="39"/>
  <c r="AM89" i="39"/>
  <c r="AL89" i="39"/>
  <c r="AK89" i="39"/>
  <c r="AJ89" i="39"/>
  <c r="AI89" i="39"/>
  <c r="AH89" i="39"/>
  <c r="AG89" i="39"/>
  <c r="AF89" i="39"/>
  <c r="AE89" i="39"/>
  <c r="AD89" i="39"/>
  <c r="AC89" i="39"/>
  <c r="AB89" i="39"/>
  <c r="AA89" i="39"/>
  <c r="Z89" i="39"/>
  <c r="BE88" i="39"/>
  <c r="BD88" i="39"/>
  <c r="BC88" i="39"/>
  <c r="BB88" i="39"/>
  <c r="BA88" i="39"/>
  <c r="AZ88" i="39"/>
  <c r="AY88" i="39"/>
  <c r="AX88" i="39"/>
  <c r="AW88" i="39"/>
  <c r="AV88" i="39"/>
  <c r="AU88" i="39"/>
  <c r="AT88" i="39"/>
  <c r="AS88" i="39"/>
  <c r="AR88" i="39"/>
  <c r="AQ88" i="39"/>
  <c r="AO88" i="39"/>
  <c r="AN88" i="39"/>
  <c r="AM88" i="39"/>
  <c r="AL88" i="39"/>
  <c r="AK88" i="39"/>
  <c r="AJ88" i="39"/>
  <c r="AI88" i="39"/>
  <c r="AH88" i="39"/>
  <c r="AG88" i="39"/>
  <c r="AF88" i="39"/>
  <c r="AE88" i="39"/>
  <c r="AD88" i="39"/>
  <c r="AC88" i="39"/>
  <c r="AB88" i="39"/>
  <c r="AA88" i="39"/>
  <c r="Z88" i="39"/>
  <c r="BE87" i="39"/>
  <c r="BD87" i="39"/>
  <c r="BC87" i="39"/>
  <c r="BB87" i="39"/>
  <c r="BA87" i="39"/>
  <c r="AZ87" i="39"/>
  <c r="AY87" i="39"/>
  <c r="AX87" i="39"/>
  <c r="AW87" i="39"/>
  <c r="AV87" i="39"/>
  <c r="AU87" i="39"/>
  <c r="AT87" i="39"/>
  <c r="AS87" i="39"/>
  <c r="AR87" i="39"/>
  <c r="AQ87" i="39"/>
  <c r="AO87" i="39"/>
  <c r="AN87" i="39"/>
  <c r="AM87" i="39"/>
  <c r="AL87" i="39"/>
  <c r="AK87" i="39"/>
  <c r="AJ87" i="39"/>
  <c r="AI87" i="39"/>
  <c r="AH87" i="39"/>
  <c r="AG87" i="39"/>
  <c r="AF87" i="39"/>
  <c r="AE87" i="39"/>
  <c r="AD87" i="39"/>
  <c r="AC87" i="39"/>
  <c r="AB87" i="39"/>
  <c r="AA87" i="39"/>
  <c r="Z87" i="39"/>
  <c r="BE86" i="39"/>
  <c r="BD86" i="39"/>
  <c r="BC86" i="39"/>
  <c r="BB86" i="39"/>
  <c r="BA86" i="39"/>
  <c r="AZ86" i="39"/>
  <c r="AY86" i="39"/>
  <c r="AX86" i="39"/>
  <c r="AW86" i="39"/>
  <c r="AV86" i="39"/>
  <c r="AU86" i="39"/>
  <c r="AT86" i="39"/>
  <c r="AS86" i="39"/>
  <c r="AR86" i="39"/>
  <c r="AQ86" i="39"/>
  <c r="AO86" i="39"/>
  <c r="AN86" i="39"/>
  <c r="AM86" i="39"/>
  <c r="AL86" i="39"/>
  <c r="AK86" i="39"/>
  <c r="AJ86" i="39"/>
  <c r="AI86" i="39"/>
  <c r="AH86" i="39"/>
  <c r="AG86" i="39"/>
  <c r="AF86" i="39"/>
  <c r="AE86" i="39"/>
  <c r="AD86" i="39"/>
  <c r="AC86" i="39"/>
  <c r="AB86" i="39"/>
  <c r="AA86" i="39"/>
  <c r="Z86" i="39"/>
  <c r="BE85" i="39"/>
  <c r="BD85" i="39"/>
  <c r="BC85" i="39"/>
  <c r="BB85" i="39"/>
  <c r="BA85" i="39"/>
  <c r="AZ85" i="39"/>
  <c r="AY85" i="39"/>
  <c r="AX85" i="39"/>
  <c r="AW85" i="39"/>
  <c r="AV85" i="39"/>
  <c r="AU85" i="39"/>
  <c r="AT85" i="39"/>
  <c r="AS85" i="39"/>
  <c r="AR85" i="39"/>
  <c r="AQ85" i="39"/>
  <c r="AO85" i="39"/>
  <c r="AN85" i="39"/>
  <c r="AM85" i="39"/>
  <c r="AL85" i="39"/>
  <c r="AK85" i="39"/>
  <c r="AJ85" i="39"/>
  <c r="AI85" i="39"/>
  <c r="AH85" i="39"/>
  <c r="AG85" i="39"/>
  <c r="AF85" i="39"/>
  <c r="AE85" i="39"/>
  <c r="AD85" i="39"/>
  <c r="AC85" i="39"/>
  <c r="AB85" i="39"/>
  <c r="AA85" i="39"/>
  <c r="Z85" i="39"/>
  <c r="BE84" i="39"/>
  <c r="BD84" i="39"/>
  <c r="BC84" i="39"/>
  <c r="BB84" i="39"/>
  <c r="BA84" i="39"/>
  <c r="AZ84" i="39"/>
  <c r="AY84" i="39"/>
  <c r="AX84" i="39"/>
  <c r="AW84" i="39"/>
  <c r="AV84" i="39"/>
  <c r="AU84" i="39"/>
  <c r="AT84" i="39"/>
  <c r="AS84" i="39"/>
  <c r="AR84" i="39"/>
  <c r="AQ84" i="39"/>
  <c r="AO84" i="39"/>
  <c r="AN84" i="39"/>
  <c r="AM84" i="39"/>
  <c r="AL84" i="39"/>
  <c r="AK84" i="39"/>
  <c r="AJ84" i="39"/>
  <c r="AI84" i="39"/>
  <c r="AH84" i="39"/>
  <c r="AG84" i="39"/>
  <c r="AF84" i="39"/>
  <c r="AE84" i="39"/>
  <c r="AD84" i="39"/>
  <c r="AC84" i="39"/>
  <c r="AB84" i="39"/>
  <c r="AA84" i="39"/>
  <c r="Z84" i="39"/>
  <c r="BE83" i="39"/>
  <c r="BD83" i="39"/>
  <c r="BC83" i="39"/>
  <c r="BB83" i="39"/>
  <c r="BA83" i="39"/>
  <c r="AZ83" i="39"/>
  <c r="AY83" i="39"/>
  <c r="AX83" i="39"/>
  <c r="AW83" i="39"/>
  <c r="AV83" i="39"/>
  <c r="AU83" i="39"/>
  <c r="AT83" i="39"/>
  <c r="AS83" i="39"/>
  <c r="AR83" i="39"/>
  <c r="AQ83" i="39"/>
  <c r="AO83" i="39"/>
  <c r="AN83" i="39"/>
  <c r="AM83" i="39"/>
  <c r="AL83" i="39"/>
  <c r="AK83" i="39"/>
  <c r="AJ83" i="39"/>
  <c r="AI83" i="39"/>
  <c r="AH83" i="39"/>
  <c r="AG83" i="39"/>
  <c r="AF83" i="39"/>
  <c r="AE83" i="39"/>
  <c r="AD83" i="39"/>
  <c r="AC83" i="39"/>
  <c r="AB83" i="39"/>
  <c r="AA83" i="39"/>
  <c r="Z83" i="39"/>
  <c r="BE82" i="39"/>
  <c r="BD82" i="39"/>
  <c r="BC82" i="39"/>
  <c r="BB82" i="39"/>
  <c r="BA82" i="39"/>
  <c r="AZ82" i="39"/>
  <c r="AY82" i="39"/>
  <c r="AX82" i="39"/>
  <c r="AW82" i="39"/>
  <c r="AV82" i="39"/>
  <c r="AU82" i="39"/>
  <c r="AT82" i="39"/>
  <c r="AS82" i="39"/>
  <c r="AR82" i="39"/>
  <c r="AQ82" i="39"/>
  <c r="AO82" i="39"/>
  <c r="AN82" i="39"/>
  <c r="AM82" i="39"/>
  <c r="AL82" i="39"/>
  <c r="AK82" i="39"/>
  <c r="AJ82" i="39"/>
  <c r="AI82" i="39"/>
  <c r="AH82" i="39"/>
  <c r="AG82" i="39"/>
  <c r="AF82" i="39"/>
  <c r="AE82" i="39"/>
  <c r="AD82" i="39"/>
  <c r="AC82" i="39"/>
  <c r="AB82" i="39"/>
  <c r="AA82" i="39"/>
  <c r="Z82" i="39"/>
  <c r="BE81" i="39"/>
  <c r="BD81" i="39"/>
  <c r="BC81" i="39"/>
  <c r="BB81" i="39"/>
  <c r="BA81" i="39"/>
  <c r="AZ81" i="39"/>
  <c r="AY81" i="39"/>
  <c r="AX81" i="39"/>
  <c r="AW81" i="39"/>
  <c r="AV81" i="39"/>
  <c r="AU81" i="39"/>
  <c r="AT81" i="39"/>
  <c r="AS81" i="39"/>
  <c r="AR81" i="39"/>
  <c r="AQ81" i="39"/>
  <c r="AO81" i="39"/>
  <c r="AN81" i="39"/>
  <c r="AM81" i="39"/>
  <c r="AL81" i="39"/>
  <c r="AK81" i="39"/>
  <c r="AJ81" i="39"/>
  <c r="AI81" i="39"/>
  <c r="AH81" i="39"/>
  <c r="AG81" i="39"/>
  <c r="AF81" i="39"/>
  <c r="AE81" i="39"/>
  <c r="AD81" i="39"/>
  <c r="AC81" i="39"/>
  <c r="AB81" i="39"/>
  <c r="AA81" i="39"/>
  <c r="Z81" i="39"/>
  <c r="BE80" i="39"/>
  <c r="BD80" i="39"/>
  <c r="BC80" i="39"/>
  <c r="BB80" i="39"/>
  <c r="BA80" i="39"/>
  <c r="AZ80" i="39"/>
  <c r="AY80" i="39"/>
  <c r="AX80" i="39"/>
  <c r="AW80" i="39"/>
  <c r="AV80" i="39"/>
  <c r="AU80" i="39"/>
  <c r="AT80" i="39"/>
  <c r="AS80" i="39"/>
  <c r="AR80" i="39"/>
  <c r="AQ80" i="39"/>
  <c r="AO80" i="39"/>
  <c r="AN80" i="39"/>
  <c r="AM80" i="39"/>
  <c r="AL80" i="39"/>
  <c r="AK80" i="39"/>
  <c r="AJ80" i="39"/>
  <c r="AI80" i="39"/>
  <c r="AH80" i="39"/>
  <c r="AG80" i="39"/>
  <c r="AF80" i="39"/>
  <c r="AE80" i="39"/>
  <c r="AD80" i="39"/>
  <c r="AC80" i="39"/>
  <c r="AB80" i="39"/>
  <c r="AA80" i="39"/>
  <c r="Z80" i="39"/>
  <c r="BE79" i="39"/>
  <c r="BD79" i="39"/>
  <c r="BC79" i="39"/>
  <c r="BB79" i="39"/>
  <c r="BA79" i="39"/>
  <c r="AZ79" i="39"/>
  <c r="AY79" i="39"/>
  <c r="AX79" i="39"/>
  <c r="AW79" i="39"/>
  <c r="AV79" i="39"/>
  <c r="AU79" i="39"/>
  <c r="AT79" i="39"/>
  <c r="AS79" i="39"/>
  <c r="AR79" i="39"/>
  <c r="AQ79" i="39"/>
  <c r="AO79" i="39"/>
  <c r="AN79" i="39"/>
  <c r="AM79" i="39"/>
  <c r="AL79" i="39"/>
  <c r="AK79" i="39"/>
  <c r="AJ79" i="39"/>
  <c r="AI79" i="39"/>
  <c r="AH79" i="39"/>
  <c r="AG79" i="39"/>
  <c r="AF79" i="39"/>
  <c r="AE79" i="39"/>
  <c r="AD79" i="39"/>
  <c r="AC79" i="39"/>
  <c r="AB79" i="39"/>
  <c r="AA79" i="39"/>
  <c r="Z79" i="39"/>
  <c r="BE78" i="39"/>
  <c r="BD78" i="39"/>
  <c r="BC78" i="39"/>
  <c r="BB78" i="39"/>
  <c r="BA78" i="39"/>
  <c r="AZ78" i="39"/>
  <c r="AY78" i="39"/>
  <c r="AX78" i="39"/>
  <c r="AW78" i="39"/>
  <c r="AV78" i="39"/>
  <c r="AU78" i="39"/>
  <c r="AT78" i="39"/>
  <c r="AS78" i="39"/>
  <c r="AR78" i="39"/>
  <c r="AQ78" i="39"/>
  <c r="AO78" i="39"/>
  <c r="AN78" i="39"/>
  <c r="AM78" i="39"/>
  <c r="AL78" i="39"/>
  <c r="AK78" i="39"/>
  <c r="AJ78" i="39"/>
  <c r="AI78" i="39"/>
  <c r="AH78" i="39"/>
  <c r="AG78" i="39"/>
  <c r="AF78" i="39"/>
  <c r="AE78" i="39"/>
  <c r="AD78" i="39"/>
  <c r="AC78" i="39"/>
  <c r="AB78" i="39"/>
  <c r="AA78" i="39"/>
  <c r="Z78" i="39"/>
  <c r="BE77" i="39"/>
  <c r="BD77" i="39"/>
  <c r="BC77" i="39"/>
  <c r="BB77" i="39"/>
  <c r="BA77" i="39"/>
  <c r="AZ77" i="39"/>
  <c r="AY77" i="39"/>
  <c r="AX77" i="39"/>
  <c r="AW77" i="39"/>
  <c r="AV77" i="39"/>
  <c r="AU77" i="39"/>
  <c r="AT77" i="39"/>
  <c r="AS77" i="39"/>
  <c r="AR77" i="39"/>
  <c r="AQ77" i="39"/>
  <c r="AO77" i="39"/>
  <c r="AN77" i="39"/>
  <c r="AM77" i="39"/>
  <c r="AL77" i="39"/>
  <c r="AK77" i="39"/>
  <c r="AJ77" i="39"/>
  <c r="AI77" i="39"/>
  <c r="AH77" i="39"/>
  <c r="AG77" i="39"/>
  <c r="AF77" i="39"/>
  <c r="AE77" i="39"/>
  <c r="AD77" i="39"/>
  <c r="AC77" i="39"/>
  <c r="AB77" i="39"/>
  <c r="AA77" i="39"/>
  <c r="Z77" i="39"/>
  <c r="BE76" i="39"/>
  <c r="BD76" i="39"/>
  <c r="BC76" i="39"/>
  <c r="BB76" i="39"/>
  <c r="BA76" i="39"/>
  <c r="AZ76" i="39"/>
  <c r="AY76" i="39"/>
  <c r="AX76" i="39"/>
  <c r="AW76" i="39"/>
  <c r="AV76" i="39"/>
  <c r="AU76" i="39"/>
  <c r="AT76" i="39"/>
  <c r="AS76" i="39"/>
  <c r="AR76" i="39"/>
  <c r="AQ76" i="39"/>
  <c r="AO76" i="39"/>
  <c r="AN76" i="39"/>
  <c r="AM76" i="39"/>
  <c r="AL76" i="39"/>
  <c r="AK76" i="39"/>
  <c r="AJ76" i="39"/>
  <c r="AI76" i="39"/>
  <c r="AH76" i="39"/>
  <c r="AG76" i="39"/>
  <c r="AF76" i="39"/>
  <c r="AE76" i="39"/>
  <c r="AD76" i="39"/>
  <c r="AC76" i="39"/>
  <c r="AB76" i="39"/>
  <c r="AA76" i="39"/>
  <c r="Z76" i="39"/>
  <c r="BE75" i="39"/>
  <c r="BD75" i="39"/>
  <c r="BC75" i="39"/>
  <c r="BB75" i="39"/>
  <c r="BA75" i="39"/>
  <c r="AZ75" i="39"/>
  <c r="AY75" i="39"/>
  <c r="AX75" i="39"/>
  <c r="AW75" i="39"/>
  <c r="AV75" i="39"/>
  <c r="AU75" i="39"/>
  <c r="AT75" i="39"/>
  <c r="AS75" i="39"/>
  <c r="AR75" i="39"/>
  <c r="AQ75" i="39"/>
  <c r="AO75" i="39"/>
  <c r="AN75" i="39"/>
  <c r="AM75" i="39"/>
  <c r="AL75" i="39"/>
  <c r="AK75" i="39"/>
  <c r="AJ75" i="39"/>
  <c r="AI75" i="39"/>
  <c r="AH75" i="39"/>
  <c r="AG75" i="39"/>
  <c r="AF75" i="39"/>
  <c r="AE75" i="39"/>
  <c r="AD75" i="39"/>
  <c r="AC75" i="39"/>
  <c r="AB75" i="39"/>
  <c r="AA75" i="39"/>
  <c r="Z75" i="39"/>
  <c r="BE74" i="39"/>
  <c r="BD74" i="39"/>
  <c r="BC74" i="39"/>
  <c r="BB74" i="39"/>
  <c r="BA74" i="39"/>
  <c r="AZ74" i="39"/>
  <c r="AY74" i="39"/>
  <c r="AX74" i="39"/>
  <c r="AW74" i="39"/>
  <c r="AV74" i="39"/>
  <c r="AU74" i="39"/>
  <c r="AT74" i="39"/>
  <c r="AS74" i="39"/>
  <c r="AR74" i="39"/>
  <c r="AQ74" i="39"/>
  <c r="AO74" i="39"/>
  <c r="AN74" i="39"/>
  <c r="AM74" i="39"/>
  <c r="AL74" i="39"/>
  <c r="AK74" i="39"/>
  <c r="AJ74" i="39"/>
  <c r="AI74" i="39"/>
  <c r="AH74" i="39"/>
  <c r="AG74" i="39"/>
  <c r="AF74" i="39"/>
  <c r="AE74" i="39"/>
  <c r="AD74" i="39"/>
  <c r="AC74" i="39"/>
  <c r="AB74" i="39"/>
  <c r="AA74" i="39"/>
  <c r="Z74" i="39"/>
  <c r="BE73" i="39"/>
  <c r="BD73" i="39"/>
  <c r="BC73" i="39"/>
  <c r="BB73" i="39"/>
  <c r="BA73" i="39"/>
  <c r="AZ73" i="39"/>
  <c r="AY73" i="39"/>
  <c r="AX73" i="39"/>
  <c r="AW73" i="39"/>
  <c r="AV73" i="39"/>
  <c r="AU73" i="39"/>
  <c r="AT73" i="39"/>
  <c r="AS73" i="39"/>
  <c r="AR73" i="39"/>
  <c r="AQ73" i="39"/>
  <c r="AO73" i="39"/>
  <c r="AN73" i="39"/>
  <c r="AM73" i="39"/>
  <c r="AL73" i="39"/>
  <c r="AK73" i="39"/>
  <c r="AJ73" i="39"/>
  <c r="AI73" i="39"/>
  <c r="AH73" i="39"/>
  <c r="AG73" i="39"/>
  <c r="AF73" i="39"/>
  <c r="AE73" i="39"/>
  <c r="AD73" i="39"/>
  <c r="AC73" i="39"/>
  <c r="AB73" i="39"/>
  <c r="AA73" i="39"/>
  <c r="Z73" i="39"/>
  <c r="BE72" i="39"/>
  <c r="BD72" i="39"/>
  <c r="BC72" i="39"/>
  <c r="BB72" i="39"/>
  <c r="BA72" i="39"/>
  <c r="AZ72" i="39"/>
  <c r="AY72" i="39"/>
  <c r="AX72" i="39"/>
  <c r="AW72" i="39"/>
  <c r="AV72" i="39"/>
  <c r="AU72" i="39"/>
  <c r="AT72" i="39"/>
  <c r="AS72" i="39"/>
  <c r="AR72" i="39"/>
  <c r="AQ72" i="39"/>
  <c r="AO72" i="39"/>
  <c r="AN72" i="39"/>
  <c r="AM72" i="39"/>
  <c r="AL72" i="39"/>
  <c r="AK72" i="39"/>
  <c r="AJ72" i="39"/>
  <c r="AI72" i="39"/>
  <c r="AH72" i="39"/>
  <c r="AG72" i="39"/>
  <c r="AF72" i="39"/>
  <c r="AE72" i="39"/>
  <c r="AD72" i="39"/>
  <c r="AC72" i="39"/>
  <c r="AB72" i="39"/>
  <c r="AA72" i="39"/>
  <c r="Z72" i="39"/>
  <c r="BE71" i="39"/>
  <c r="BD71" i="39"/>
  <c r="BC71" i="39"/>
  <c r="BB71" i="39"/>
  <c r="BA71" i="39"/>
  <c r="AZ71" i="39"/>
  <c r="AY71" i="39"/>
  <c r="AX71" i="39"/>
  <c r="AW71" i="39"/>
  <c r="AV71" i="39"/>
  <c r="AU71" i="39"/>
  <c r="AT71" i="39"/>
  <c r="AS71" i="39"/>
  <c r="AR71" i="39"/>
  <c r="AQ71" i="39"/>
  <c r="AO71" i="39"/>
  <c r="AN71" i="39"/>
  <c r="AM71" i="39"/>
  <c r="AL71" i="39"/>
  <c r="AK71" i="39"/>
  <c r="AJ71" i="39"/>
  <c r="AI71" i="39"/>
  <c r="AH71" i="39"/>
  <c r="AG71" i="39"/>
  <c r="AF71" i="39"/>
  <c r="AE71" i="39"/>
  <c r="AD71" i="39"/>
  <c r="AC71" i="39"/>
  <c r="AB71" i="39"/>
  <c r="AA71" i="39"/>
  <c r="Z71" i="39"/>
  <c r="BE70" i="39"/>
  <c r="BD70" i="39"/>
  <c r="BC70" i="39"/>
  <c r="BB70" i="39"/>
  <c r="BA70" i="39"/>
  <c r="AZ70" i="39"/>
  <c r="AY70" i="39"/>
  <c r="AX70" i="39"/>
  <c r="AW70" i="39"/>
  <c r="AV70" i="39"/>
  <c r="AU70" i="39"/>
  <c r="AT70" i="39"/>
  <c r="AS70" i="39"/>
  <c r="AR70" i="39"/>
  <c r="AQ70" i="39"/>
  <c r="AO70" i="39"/>
  <c r="AN70" i="39"/>
  <c r="AM70" i="39"/>
  <c r="AL70" i="39"/>
  <c r="AK70" i="39"/>
  <c r="AJ70" i="39"/>
  <c r="AI70" i="39"/>
  <c r="AH70" i="39"/>
  <c r="AG70" i="39"/>
  <c r="AF70" i="39"/>
  <c r="AE70" i="39"/>
  <c r="AD70" i="39"/>
  <c r="AC70" i="39"/>
  <c r="AB70" i="39"/>
  <c r="AA70" i="39"/>
  <c r="Z70" i="39"/>
  <c r="BE69" i="39"/>
  <c r="BD69" i="39"/>
  <c r="BC69" i="39"/>
  <c r="BB69" i="39"/>
  <c r="BA69" i="39"/>
  <c r="AZ69" i="39"/>
  <c r="AY69" i="39"/>
  <c r="AX69" i="39"/>
  <c r="AW69" i="39"/>
  <c r="AV69" i="39"/>
  <c r="AU69" i="39"/>
  <c r="AT69" i="39"/>
  <c r="AS69" i="39"/>
  <c r="AR69" i="39"/>
  <c r="AQ69" i="39"/>
  <c r="AO69" i="39"/>
  <c r="AN69" i="39"/>
  <c r="AM69" i="39"/>
  <c r="AL69" i="39"/>
  <c r="AK69" i="39"/>
  <c r="AJ69" i="39"/>
  <c r="AI69" i="39"/>
  <c r="AH69" i="39"/>
  <c r="AG69" i="39"/>
  <c r="AF69" i="39"/>
  <c r="AE69" i="39"/>
  <c r="AD69" i="39"/>
  <c r="AC69" i="39"/>
  <c r="AB69" i="39"/>
  <c r="AA69" i="39"/>
  <c r="Z69" i="39"/>
  <c r="R8" i="64" s="1"/>
  <c r="R13" i="64" s="1"/>
  <c r="BE68" i="39"/>
  <c r="BD68" i="39"/>
  <c r="BC68" i="39"/>
  <c r="BB68" i="39"/>
  <c r="BA68" i="39"/>
  <c r="AZ68" i="39"/>
  <c r="AY68" i="39"/>
  <c r="AX68" i="39"/>
  <c r="AW68" i="39"/>
  <c r="AV68" i="39"/>
  <c r="AU68" i="39"/>
  <c r="AT68" i="39"/>
  <c r="AS68" i="39"/>
  <c r="AR68" i="39"/>
  <c r="AQ68" i="39"/>
  <c r="AO68" i="39"/>
  <c r="AN68" i="39"/>
  <c r="AM68" i="39"/>
  <c r="AL68" i="39"/>
  <c r="AK68" i="39"/>
  <c r="AJ68" i="39"/>
  <c r="AI68" i="39"/>
  <c r="AH68" i="39"/>
  <c r="AG68" i="39"/>
  <c r="AF68" i="39"/>
  <c r="AE68" i="39"/>
  <c r="AD68" i="39"/>
  <c r="AC68" i="39"/>
  <c r="AB68" i="39"/>
  <c r="AA68" i="39"/>
  <c r="Z68" i="39"/>
  <c r="BE67" i="39"/>
  <c r="BD67" i="39"/>
  <c r="BC67" i="39"/>
  <c r="BB67" i="39"/>
  <c r="BA67" i="39"/>
  <c r="AZ67" i="39"/>
  <c r="AY67" i="39"/>
  <c r="AX67" i="39"/>
  <c r="AW67" i="39"/>
  <c r="AV67" i="39"/>
  <c r="AU67" i="39"/>
  <c r="AT67" i="39"/>
  <c r="AS67" i="39"/>
  <c r="AR67" i="39"/>
  <c r="AQ67" i="39"/>
  <c r="AO67" i="39"/>
  <c r="AN67" i="39"/>
  <c r="AM67" i="39"/>
  <c r="AL67" i="39"/>
  <c r="AK67" i="39"/>
  <c r="AJ67" i="39"/>
  <c r="AI67" i="39"/>
  <c r="AH67" i="39"/>
  <c r="AG67" i="39"/>
  <c r="AF67" i="39"/>
  <c r="AE67" i="39"/>
  <c r="AD67" i="39"/>
  <c r="AC67" i="39"/>
  <c r="AB67" i="39"/>
  <c r="AA67" i="39"/>
  <c r="Z67" i="39"/>
  <c r="BE66" i="39"/>
  <c r="BD66" i="39"/>
  <c r="BC66" i="39"/>
  <c r="BB66" i="39"/>
  <c r="BA66" i="39"/>
  <c r="AZ66" i="39"/>
  <c r="AY66" i="39"/>
  <c r="AX66" i="39"/>
  <c r="AW66" i="39"/>
  <c r="AV66" i="39"/>
  <c r="AU66" i="39"/>
  <c r="AT66" i="39"/>
  <c r="AS66" i="39"/>
  <c r="AR66" i="39"/>
  <c r="AQ66" i="39"/>
  <c r="AO66" i="39"/>
  <c r="AN66" i="39"/>
  <c r="AM66" i="39"/>
  <c r="AL66" i="39"/>
  <c r="AK66" i="39"/>
  <c r="AJ66" i="39"/>
  <c r="AI66" i="39"/>
  <c r="AH66" i="39"/>
  <c r="AG66" i="39"/>
  <c r="AF66" i="39"/>
  <c r="AE66" i="39"/>
  <c r="AD66" i="39"/>
  <c r="AC66" i="39"/>
  <c r="AB66" i="39"/>
  <c r="AA66" i="39"/>
  <c r="Z66" i="39"/>
  <c r="BE65" i="39"/>
  <c r="BD65" i="39"/>
  <c r="BC65" i="39"/>
  <c r="BB65" i="39"/>
  <c r="BA65" i="39"/>
  <c r="AZ65" i="39"/>
  <c r="AY65" i="39"/>
  <c r="AX65" i="39"/>
  <c r="AW65" i="39"/>
  <c r="AV65" i="39"/>
  <c r="AU65" i="39"/>
  <c r="AT65" i="39"/>
  <c r="AS65" i="39"/>
  <c r="AR65" i="39"/>
  <c r="AQ65" i="39"/>
  <c r="AO65" i="39"/>
  <c r="AN65" i="39"/>
  <c r="AM65" i="39"/>
  <c r="AL65" i="39"/>
  <c r="AK65" i="39"/>
  <c r="AJ65" i="39"/>
  <c r="AI65" i="39"/>
  <c r="AH65" i="39"/>
  <c r="AG65" i="39"/>
  <c r="AF65" i="39"/>
  <c r="AE65" i="39"/>
  <c r="AD65" i="39"/>
  <c r="AC65" i="39"/>
  <c r="AB65" i="39"/>
  <c r="AA65" i="39"/>
  <c r="Z65" i="39"/>
  <c r="BE64" i="39"/>
  <c r="BD64" i="39"/>
  <c r="BC64" i="39"/>
  <c r="BB64" i="39"/>
  <c r="BA64" i="39"/>
  <c r="AZ64" i="39"/>
  <c r="AY64" i="39"/>
  <c r="AX64" i="39"/>
  <c r="AW64" i="39"/>
  <c r="AV64" i="39"/>
  <c r="AU64" i="39"/>
  <c r="AT64" i="39"/>
  <c r="AS64" i="39"/>
  <c r="AR64" i="39"/>
  <c r="AQ64" i="39"/>
  <c r="AO64" i="39"/>
  <c r="AN64" i="39"/>
  <c r="AM64" i="39"/>
  <c r="AL64" i="39"/>
  <c r="AK64" i="39"/>
  <c r="AJ64" i="39"/>
  <c r="AI64" i="39"/>
  <c r="AH64" i="39"/>
  <c r="AG64" i="39"/>
  <c r="AF64" i="39"/>
  <c r="AE64" i="39"/>
  <c r="AD64" i="39"/>
  <c r="AC64" i="39"/>
  <c r="AB64" i="39"/>
  <c r="AA64" i="39"/>
  <c r="Z64" i="39"/>
  <c r="BE63" i="39"/>
  <c r="BD63" i="39"/>
  <c r="BC63" i="39"/>
  <c r="BB63" i="39"/>
  <c r="BA63" i="39"/>
  <c r="AZ63" i="39"/>
  <c r="AY63" i="39"/>
  <c r="AX63" i="39"/>
  <c r="AW63" i="39"/>
  <c r="AV63" i="39"/>
  <c r="AU63" i="39"/>
  <c r="AT63" i="39"/>
  <c r="AS63" i="39"/>
  <c r="AR63" i="39"/>
  <c r="AQ63" i="39"/>
  <c r="AO63" i="39"/>
  <c r="AN63" i="39"/>
  <c r="AM63" i="39"/>
  <c r="AL63" i="39"/>
  <c r="AK63" i="39"/>
  <c r="AJ63" i="39"/>
  <c r="AI63" i="39"/>
  <c r="AH63" i="39"/>
  <c r="AG63" i="39"/>
  <c r="AF63" i="39"/>
  <c r="AE63" i="39"/>
  <c r="AD63" i="39"/>
  <c r="AC63" i="39"/>
  <c r="AB63" i="39"/>
  <c r="AA63" i="39"/>
  <c r="Z63" i="39"/>
  <c r="BE62" i="39"/>
  <c r="BD62" i="39"/>
  <c r="BC62" i="39"/>
  <c r="BB62" i="39"/>
  <c r="BA62" i="39"/>
  <c r="AZ62" i="39"/>
  <c r="AY62" i="39"/>
  <c r="AX62" i="39"/>
  <c r="AW62" i="39"/>
  <c r="AV62" i="39"/>
  <c r="AU62" i="39"/>
  <c r="AT62" i="39"/>
  <c r="AS62" i="39"/>
  <c r="AR62" i="39"/>
  <c r="AQ62" i="39"/>
  <c r="AO62" i="39"/>
  <c r="AN62" i="39"/>
  <c r="AM62" i="39"/>
  <c r="AL62" i="39"/>
  <c r="AK62" i="39"/>
  <c r="AJ62" i="39"/>
  <c r="AI62" i="39"/>
  <c r="AH62" i="39"/>
  <c r="AG62" i="39"/>
  <c r="AF62" i="39"/>
  <c r="AE62" i="39"/>
  <c r="AD62" i="39"/>
  <c r="AC62" i="39"/>
  <c r="AB62" i="39"/>
  <c r="AA62" i="39"/>
  <c r="Z62" i="39"/>
  <c r="BE61" i="39"/>
  <c r="BD61" i="39"/>
  <c r="BC61" i="39"/>
  <c r="BB61" i="39"/>
  <c r="BA61" i="39"/>
  <c r="AZ61" i="39"/>
  <c r="AY61" i="39"/>
  <c r="AX61" i="39"/>
  <c r="AW61" i="39"/>
  <c r="AV61" i="39"/>
  <c r="AU61" i="39"/>
  <c r="AT61" i="39"/>
  <c r="AS61" i="39"/>
  <c r="AR61" i="39"/>
  <c r="AQ61" i="39"/>
  <c r="AO61" i="39"/>
  <c r="AN61" i="39"/>
  <c r="AM61" i="39"/>
  <c r="AL61" i="39"/>
  <c r="AK61" i="39"/>
  <c r="AJ61" i="39"/>
  <c r="AI61" i="39"/>
  <c r="AH61" i="39"/>
  <c r="AG61" i="39"/>
  <c r="AF61" i="39"/>
  <c r="AE61" i="39"/>
  <c r="AD61" i="39"/>
  <c r="AC61" i="39"/>
  <c r="AB61" i="39"/>
  <c r="AA61" i="39"/>
  <c r="Z61" i="39"/>
  <c r="BE60" i="39"/>
  <c r="BD60" i="39"/>
  <c r="BC60" i="39"/>
  <c r="BB60" i="39"/>
  <c r="BA60" i="39"/>
  <c r="AZ60" i="39"/>
  <c r="AY60" i="39"/>
  <c r="AX60" i="39"/>
  <c r="AW60" i="39"/>
  <c r="AV60" i="39"/>
  <c r="AU60" i="39"/>
  <c r="AT60" i="39"/>
  <c r="AS60" i="39"/>
  <c r="AR60" i="39"/>
  <c r="AQ60" i="39"/>
  <c r="AO60" i="39"/>
  <c r="AN60" i="39"/>
  <c r="AM60" i="39"/>
  <c r="AL60" i="39"/>
  <c r="AK60" i="39"/>
  <c r="AJ60" i="39"/>
  <c r="AI60" i="39"/>
  <c r="AH60" i="39"/>
  <c r="AG60" i="39"/>
  <c r="AF60" i="39"/>
  <c r="AE60" i="39"/>
  <c r="AD60" i="39"/>
  <c r="AC60" i="39"/>
  <c r="AB60" i="39"/>
  <c r="AA60" i="39"/>
  <c r="Z60" i="39"/>
  <c r="BE59" i="39"/>
  <c r="BD59" i="39"/>
  <c r="BC59" i="39"/>
  <c r="BB59" i="39"/>
  <c r="BA59" i="39"/>
  <c r="AZ59" i="39"/>
  <c r="AY59" i="39"/>
  <c r="AX59" i="39"/>
  <c r="AW59" i="39"/>
  <c r="AV59" i="39"/>
  <c r="AU59" i="39"/>
  <c r="AT59" i="39"/>
  <c r="AS59" i="39"/>
  <c r="AR59" i="39"/>
  <c r="AQ59" i="39"/>
  <c r="AO59" i="39"/>
  <c r="AN59" i="39"/>
  <c r="AM59" i="39"/>
  <c r="AL59" i="39"/>
  <c r="AK59" i="39"/>
  <c r="AJ59" i="39"/>
  <c r="AI59" i="39"/>
  <c r="AH59" i="39"/>
  <c r="AG59" i="39"/>
  <c r="AF59" i="39"/>
  <c r="AE59" i="39"/>
  <c r="AD59" i="39"/>
  <c r="AC59" i="39"/>
  <c r="AB59" i="39"/>
  <c r="AA59" i="39"/>
  <c r="Z59" i="39"/>
  <c r="BE58" i="39"/>
  <c r="BD58" i="39"/>
  <c r="BC58" i="39"/>
  <c r="BB58" i="39"/>
  <c r="BA58" i="39"/>
  <c r="AZ58" i="39"/>
  <c r="AY58" i="39"/>
  <c r="AX58" i="39"/>
  <c r="AW58" i="39"/>
  <c r="AV58" i="39"/>
  <c r="AU58" i="39"/>
  <c r="AT58" i="39"/>
  <c r="AS58" i="39"/>
  <c r="AR58" i="39"/>
  <c r="AQ58" i="39"/>
  <c r="AO58" i="39"/>
  <c r="AN58" i="39"/>
  <c r="AM58" i="39"/>
  <c r="AL58" i="39"/>
  <c r="AK58" i="39"/>
  <c r="AJ58" i="39"/>
  <c r="AI58" i="39"/>
  <c r="AH58" i="39"/>
  <c r="AG58" i="39"/>
  <c r="AF58" i="39"/>
  <c r="AE58" i="39"/>
  <c r="AD58" i="39"/>
  <c r="AC58" i="39"/>
  <c r="AB58" i="39"/>
  <c r="AA58" i="39"/>
  <c r="Z58" i="39"/>
  <c r="BE57" i="39"/>
  <c r="BD57" i="39"/>
  <c r="BC57" i="39"/>
  <c r="BB57" i="39"/>
  <c r="BA57" i="39"/>
  <c r="AZ57" i="39"/>
  <c r="AY57" i="39"/>
  <c r="AX57" i="39"/>
  <c r="AW57" i="39"/>
  <c r="AV57" i="39"/>
  <c r="AU57" i="39"/>
  <c r="AT57" i="39"/>
  <c r="AS57" i="39"/>
  <c r="AR57" i="39"/>
  <c r="AQ57" i="39"/>
  <c r="AO57" i="39"/>
  <c r="AN57" i="39"/>
  <c r="AM57" i="39"/>
  <c r="AL57" i="39"/>
  <c r="AK57" i="39"/>
  <c r="AJ57" i="39"/>
  <c r="AI57" i="39"/>
  <c r="AH57" i="39"/>
  <c r="AG57" i="39"/>
  <c r="AF57" i="39"/>
  <c r="AE57" i="39"/>
  <c r="AD57" i="39"/>
  <c r="AC57" i="39"/>
  <c r="AB57" i="39"/>
  <c r="AA57" i="39"/>
  <c r="Z57" i="39"/>
  <c r="BE56" i="39"/>
  <c r="BD56" i="39"/>
  <c r="BC56" i="39"/>
  <c r="BB56" i="39"/>
  <c r="BA56" i="39"/>
  <c r="AZ56" i="39"/>
  <c r="AY56" i="39"/>
  <c r="AX56" i="39"/>
  <c r="AW56" i="39"/>
  <c r="AV56" i="39"/>
  <c r="AU56" i="39"/>
  <c r="AT56" i="39"/>
  <c r="AS56" i="39"/>
  <c r="AR56" i="39"/>
  <c r="AQ56" i="39"/>
  <c r="AO56" i="39"/>
  <c r="AN56" i="39"/>
  <c r="AM56" i="39"/>
  <c r="AL56" i="39"/>
  <c r="AK56" i="39"/>
  <c r="AJ56" i="39"/>
  <c r="AI56" i="39"/>
  <c r="AH56" i="39"/>
  <c r="AG56" i="39"/>
  <c r="AF56" i="39"/>
  <c r="AE56" i="39"/>
  <c r="AD56" i="39"/>
  <c r="AC56" i="39"/>
  <c r="AB56" i="39"/>
  <c r="AA56" i="39"/>
  <c r="Z56" i="39"/>
  <c r="BE55" i="39"/>
  <c r="BD55" i="39"/>
  <c r="BC55" i="39"/>
  <c r="BB55" i="39"/>
  <c r="BA55" i="39"/>
  <c r="AZ55" i="39"/>
  <c r="AY55" i="39"/>
  <c r="AX55" i="39"/>
  <c r="AW55" i="39"/>
  <c r="AV55" i="39"/>
  <c r="AU55" i="39"/>
  <c r="AT55" i="39"/>
  <c r="AS55" i="39"/>
  <c r="AR55" i="39"/>
  <c r="AQ55" i="39"/>
  <c r="AO55" i="39"/>
  <c r="AN55" i="39"/>
  <c r="AM55" i="39"/>
  <c r="AL55" i="39"/>
  <c r="AK55" i="39"/>
  <c r="AJ55" i="39"/>
  <c r="AI55" i="39"/>
  <c r="AH55" i="39"/>
  <c r="AG55" i="39"/>
  <c r="AF55" i="39"/>
  <c r="AE55" i="39"/>
  <c r="AD55" i="39"/>
  <c r="AC55" i="39"/>
  <c r="AB55" i="39"/>
  <c r="AA55" i="39"/>
  <c r="Z55" i="39"/>
  <c r="BE54" i="39"/>
  <c r="BD54" i="39"/>
  <c r="BC54" i="39"/>
  <c r="BB54" i="39"/>
  <c r="BA54" i="39"/>
  <c r="AZ54" i="39"/>
  <c r="AY54" i="39"/>
  <c r="AX54" i="39"/>
  <c r="AW54" i="39"/>
  <c r="AV54" i="39"/>
  <c r="AU54" i="39"/>
  <c r="AT54" i="39"/>
  <c r="AS54" i="39"/>
  <c r="AR54" i="39"/>
  <c r="AQ54" i="39"/>
  <c r="AO54" i="39"/>
  <c r="AN54" i="39"/>
  <c r="AM54" i="39"/>
  <c r="AL54" i="39"/>
  <c r="AK54" i="39"/>
  <c r="AJ54" i="39"/>
  <c r="AI54" i="39"/>
  <c r="AH54" i="39"/>
  <c r="AG54" i="39"/>
  <c r="AF54" i="39"/>
  <c r="AE54" i="39"/>
  <c r="AD54" i="39"/>
  <c r="AC54" i="39"/>
  <c r="AB54" i="39"/>
  <c r="AA54" i="39"/>
  <c r="Z54" i="39"/>
  <c r="BE53" i="39"/>
  <c r="BD53" i="39"/>
  <c r="BC53" i="39"/>
  <c r="BB53" i="39"/>
  <c r="BA53" i="39"/>
  <c r="AZ53" i="39"/>
  <c r="AY53" i="39"/>
  <c r="AX53" i="39"/>
  <c r="AW53" i="39"/>
  <c r="AV53" i="39"/>
  <c r="AU53" i="39"/>
  <c r="AT53" i="39"/>
  <c r="AS53" i="39"/>
  <c r="AR53" i="39"/>
  <c r="AQ53" i="39"/>
  <c r="AO53" i="39"/>
  <c r="AN53" i="39"/>
  <c r="AM53" i="39"/>
  <c r="AL53" i="39"/>
  <c r="AK53" i="39"/>
  <c r="AJ53" i="39"/>
  <c r="AI53" i="39"/>
  <c r="AH53" i="39"/>
  <c r="AG53" i="39"/>
  <c r="AF53" i="39"/>
  <c r="AE53" i="39"/>
  <c r="AD53" i="39"/>
  <c r="AC53" i="39"/>
  <c r="AB53" i="39"/>
  <c r="AA53" i="39"/>
  <c r="Z53" i="39"/>
  <c r="BE52" i="39"/>
  <c r="BD52" i="39"/>
  <c r="BC52" i="39"/>
  <c r="BB52" i="39"/>
  <c r="BA52" i="39"/>
  <c r="AZ52" i="39"/>
  <c r="AY52" i="39"/>
  <c r="AX52" i="39"/>
  <c r="AW52" i="39"/>
  <c r="AV52" i="39"/>
  <c r="AU52" i="39"/>
  <c r="AT52" i="39"/>
  <c r="AS52" i="39"/>
  <c r="AR52" i="39"/>
  <c r="AQ52" i="39"/>
  <c r="AO52" i="39"/>
  <c r="AN52" i="39"/>
  <c r="AM52" i="39"/>
  <c r="AL52" i="39"/>
  <c r="AK52" i="39"/>
  <c r="AJ52" i="39"/>
  <c r="AI52" i="39"/>
  <c r="AH52" i="39"/>
  <c r="AG52" i="39"/>
  <c r="AF52" i="39"/>
  <c r="AE52" i="39"/>
  <c r="AD52" i="39"/>
  <c r="AC52" i="39"/>
  <c r="AB52" i="39"/>
  <c r="AA52" i="39"/>
  <c r="Z52" i="39"/>
  <c r="BE51" i="39"/>
  <c r="BD51" i="39"/>
  <c r="BC51" i="39"/>
  <c r="BB51" i="39"/>
  <c r="BA51" i="39"/>
  <c r="AZ51" i="39"/>
  <c r="AY51" i="39"/>
  <c r="AX51" i="39"/>
  <c r="AW51" i="39"/>
  <c r="AV51" i="39"/>
  <c r="AU51" i="39"/>
  <c r="AT51" i="39"/>
  <c r="AS51" i="39"/>
  <c r="AR51" i="39"/>
  <c r="AQ51" i="39"/>
  <c r="AO51" i="39"/>
  <c r="AN51" i="39"/>
  <c r="AM51" i="39"/>
  <c r="AL51" i="39"/>
  <c r="AK51" i="39"/>
  <c r="AJ51" i="39"/>
  <c r="AI51" i="39"/>
  <c r="AH51" i="39"/>
  <c r="AG51" i="39"/>
  <c r="AF51" i="39"/>
  <c r="AE51" i="39"/>
  <c r="AD51" i="39"/>
  <c r="AC51" i="39"/>
  <c r="AB51" i="39"/>
  <c r="AA51" i="39"/>
  <c r="Z51" i="39"/>
  <c r="BE50" i="39"/>
  <c r="BD50" i="39"/>
  <c r="BC50" i="39"/>
  <c r="BB50" i="39"/>
  <c r="BA50" i="39"/>
  <c r="AZ50" i="39"/>
  <c r="AY50" i="39"/>
  <c r="AX50" i="39"/>
  <c r="AW50" i="39"/>
  <c r="AV50" i="39"/>
  <c r="AU50" i="39"/>
  <c r="AT50" i="39"/>
  <c r="AS50" i="39"/>
  <c r="AR50" i="39"/>
  <c r="AQ50" i="39"/>
  <c r="AO50" i="39"/>
  <c r="AN50" i="39"/>
  <c r="AM50" i="39"/>
  <c r="AL50" i="39"/>
  <c r="AK50" i="39"/>
  <c r="AJ50" i="39"/>
  <c r="AI50" i="39"/>
  <c r="AH50" i="39"/>
  <c r="AG50" i="39"/>
  <c r="AF50" i="39"/>
  <c r="AE50" i="39"/>
  <c r="AD50" i="39"/>
  <c r="AC50" i="39"/>
  <c r="AB50" i="39"/>
  <c r="AA50" i="39"/>
  <c r="Z50" i="39"/>
  <c r="BE49" i="39"/>
  <c r="BD49" i="39"/>
  <c r="BC49" i="39"/>
  <c r="BB49" i="39"/>
  <c r="BA49" i="39"/>
  <c r="AZ49" i="39"/>
  <c r="AY49" i="39"/>
  <c r="AX49" i="39"/>
  <c r="AW49" i="39"/>
  <c r="AV49" i="39"/>
  <c r="AU49" i="39"/>
  <c r="AT49" i="39"/>
  <c r="AS49" i="39"/>
  <c r="AR49" i="39"/>
  <c r="AQ49" i="39"/>
  <c r="AO49" i="39"/>
  <c r="AN49" i="39"/>
  <c r="AM49" i="39"/>
  <c r="AL49" i="39"/>
  <c r="AK49" i="39"/>
  <c r="AJ49" i="39"/>
  <c r="AI49" i="39"/>
  <c r="AH49" i="39"/>
  <c r="AG49" i="39"/>
  <c r="AF49" i="39"/>
  <c r="AE49" i="39"/>
  <c r="AD49" i="39"/>
  <c r="AC49" i="39"/>
  <c r="AB49" i="39"/>
  <c r="AA49" i="39"/>
  <c r="Z49" i="39"/>
  <c r="BE48" i="39"/>
  <c r="BD48" i="39"/>
  <c r="BC48" i="39"/>
  <c r="BB48" i="39"/>
  <c r="BA48" i="39"/>
  <c r="AZ48" i="39"/>
  <c r="AY48" i="39"/>
  <c r="AX48" i="39"/>
  <c r="AW48" i="39"/>
  <c r="AV48" i="39"/>
  <c r="AU48" i="39"/>
  <c r="AT48" i="39"/>
  <c r="AS48" i="39"/>
  <c r="AR48" i="39"/>
  <c r="AQ48" i="39"/>
  <c r="AO48" i="39"/>
  <c r="AN48" i="39"/>
  <c r="AM48" i="39"/>
  <c r="AL48" i="39"/>
  <c r="AK48" i="39"/>
  <c r="AJ48" i="39"/>
  <c r="AI48" i="39"/>
  <c r="AH48" i="39"/>
  <c r="AG48" i="39"/>
  <c r="AF48" i="39"/>
  <c r="AE48" i="39"/>
  <c r="AD48" i="39"/>
  <c r="AC48" i="39"/>
  <c r="AB48" i="39"/>
  <c r="AA48" i="39"/>
  <c r="Z48" i="39"/>
  <c r="BE47" i="39"/>
  <c r="BD47" i="39"/>
  <c r="BC47" i="39"/>
  <c r="BB47" i="39"/>
  <c r="BA47" i="39"/>
  <c r="AZ47" i="39"/>
  <c r="AY47" i="39"/>
  <c r="AX47" i="39"/>
  <c r="AW47" i="39"/>
  <c r="AV47" i="39"/>
  <c r="AU47" i="39"/>
  <c r="AT47" i="39"/>
  <c r="AS47" i="39"/>
  <c r="AR47" i="39"/>
  <c r="AQ47" i="39"/>
  <c r="AO47" i="39"/>
  <c r="AN47" i="39"/>
  <c r="AM47" i="39"/>
  <c r="AL47" i="39"/>
  <c r="AK47" i="39"/>
  <c r="AJ47" i="39"/>
  <c r="AI47" i="39"/>
  <c r="AH47" i="39"/>
  <c r="AG47" i="39"/>
  <c r="AF47" i="39"/>
  <c r="AE47" i="39"/>
  <c r="AD47" i="39"/>
  <c r="AC47" i="39"/>
  <c r="AB47" i="39"/>
  <c r="AA47" i="39"/>
  <c r="Z47" i="39"/>
  <c r="BE46" i="39"/>
  <c r="BD46" i="39"/>
  <c r="BC46" i="39"/>
  <c r="BB46" i="39"/>
  <c r="BA46" i="39"/>
  <c r="AZ46" i="39"/>
  <c r="AY46" i="39"/>
  <c r="AX46" i="39"/>
  <c r="AW46" i="39"/>
  <c r="AV46" i="39"/>
  <c r="AU46" i="39"/>
  <c r="AT46" i="39"/>
  <c r="AS46" i="39"/>
  <c r="AR46" i="39"/>
  <c r="AQ46" i="39"/>
  <c r="AO46" i="39"/>
  <c r="AN46" i="39"/>
  <c r="AM46" i="39"/>
  <c r="AL46" i="39"/>
  <c r="AK46" i="39"/>
  <c r="AJ46" i="39"/>
  <c r="AI46" i="39"/>
  <c r="AH46" i="39"/>
  <c r="AG46" i="39"/>
  <c r="AF46" i="39"/>
  <c r="AE46" i="39"/>
  <c r="AD46" i="39"/>
  <c r="AC46" i="39"/>
  <c r="AB46" i="39"/>
  <c r="AA46" i="39"/>
  <c r="Z46" i="39"/>
  <c r="BE45" i="39"/>
  <c r="BD45" i="39"/>
  <c r="BC45" i="39"/>
  <c r="BB45" i="39"/>
  <c r="BA45" i="39"/>
  <c r="AZ45" i="39"/>
  <c r="AY45" i="39"/>
  <c r="AX45" i="39"/>
  <c r="AW45" i="39"/>
  <c r="AV45" i="39"/>
  <c r="AU45" i="39"/>
  <c r="AT45" i="39"/>
  <c r="AS45" i="39"/>
  <c r="AR45" i="39"/>
  <c r="AQ45" i="39"/>
  <c r="AO45" i="39"/>
  <c r="AN45" i="39"/>
  <c r="AM45" i="39"/>
  <c r="AL45" i="39"/>
  <c r="AK45" i="39"/>
  <c r="AJ45" i="39"/>
  <c r="AI45" i="39"/>
  <c r="AH45" i="39"/>
  <c r="AG45" i="39"/>
  <c r="AF45" i="39"/>
  <c r="AE45" i="39"/>
  <c r="AD45" i="39"/>
  <c r="AC45" i="39"/>
  <c r="AB45" i="39"/>
  <c r="AA45" i="39"/>
  <c r="Z45" i="39"/>
  <c r="BE44" i="39"/>
  <c r="BD44" i="39"/>
  <c r="BC44" i="39"/>
  <c r="BB44" i="39"/>
  <c r="BA44" i="39"/>
  <c r="AZ44" i="39"/>
  <c r="AY44" i="39"/>
  <c r="AX44" i="39"/>
  <c r="AW44" i="39"/>
  <c r="AV44" i="39"/>
  <c r="AU44" i="39"/>
  <c r="AT44" i="39"/>
  <c r="AS44" i="39"/>
  <c r="AR44" i="39"/>
  <c r="AQ44" i="39"/>
  <c r="AO44" i="39"/>
  <c r="AN44" i="39"/>
  <c r="AM44" i="39"/>
  <c r="AL44" i="39"/>
  <c r="AK44" i="39"/>
  <c r="AJ44" i="39"/>
  <c r="AI44" i="39"/>
  <c r="AH44" i="39"/>
  <c r="AG44" i="39"/>
  <c r="AF44" i="39"/>
  <c r="AE44" i="39"/>
  <c r="AD44" i="39"/>
  <c r="AC44" i="39"/>
  <c r="AB44" i="39"/>
  <c r="AA44" i="39"/>
  <c r="Z44" i="39"/>
  <c r="BE43" i="39"/>
  <c r="BD43" i="39"/>
  <c r="BC43" i="39"/>
  <c r="BB43" i="39"/>
  <c r="BA43" i="39"/>
  <c r="AZ43" i="39"/>
  <c r="AY43" i="39"/>
  <c r="AX43" i="39"/>
  <c r="AW43" i="39"/>
  <c r="AV43" i="39"/>
  <c r="AU43" i="39"/>
  <c r="AT43" i="39"/>
  <c r="AS43" i="39"/>
  <c r="AR43" i="39"/>
  <c r="AQ43" i="39"/>
  <c r="AO43" i="39"/>
  <c r="AN43" i="39"/>
  <c r="AM43" i="39"/>
  <c r="AL43" i="39"/>
  <c r="AK43" i="39"/>
  <c r="AJ43" i="39"/>
  <c r="AI43" i="39"/>
  <c r="AH43" i="39"/>
  <c r="AG43" i="39"/>
  <c r="AF43" i="39"/>
  <c r="AE43" i="39"/>
  <c r="AD43" i="39"/>
  <c r="AC43" i="39"/>
  <c r="AB43" i="39"/>
  <c r="AA43" i="39"/>
  <c r="Z43" i="39"/>
  <c r="BE42" i="39"/>
  <c r="BD42" i="39"/>
  <c r="BC42" i="39"/>
  <c r="BB42" i="39"/>
  <c r="BA42" i="39"/>
  <c r="AZ42" i="39"/>
  <c r="AY42" i="39"/>
  <c r="AX42" i="39"/>
  <c r="AW42" i="39"/>
  <c r="AV42" i="39"/>
  <c r="AU42" i="39"/>
  <c r="AT42" i="39"/>
  <c r="AS42" i="39"/>
  <c r="AR42" i="39"/>
  <c r="AQ42" i="39"/>
  <c r="AO42" i="39"/>
  <c r="AN42" i="39"/>
  <c r="AM42" i="39"/>
  <c r="AL42" i="39"/>
  <c r="AK42" i="39"/>
  <c r="AJ42" i="39"/>
  <c r="AI42" i="39"/>
  <c r="AH42" i="39"/>
  <c r="AG42" i="39"/>
  <c r="AF42" i="39"/>
  <c r="AE42" i="39"/>
  <c r="AD42" i="39"/>
  <c r="AC42" i="39"/>
  <c r="AB42" i="39"/>
  <c r="AA42" i="39"/>
  <c r="Z42" i="39"/>
  <c r="BE41" i="39"/>
  <c r="BD41" i="39"/>
  <c r="BC41" i="39"/>
  <c r="BB41" i="39"/>
  <c r="BA41" i="39"/>
  <c r="AZ41" i="39"/>
  <c r="AY41" i="39"/>
  <c r="AX41" i="39"/>
  <c r="AW41" i="39"/>
  <c r="AV41" i="39"/>
  <c r="AU41" i="39"/>
  <c r="AT41" i="39"/>
  <c r="AS41" i="39"/>
  <c r="AR41" i="39"/>
  <c r="AQ41" i="39"/>
  <c r="AO41" i="39"/>
  <c r="AN41" i="39"/>
  <c r="AM41" i="39"/>
  <c r="AL41" i="39"/>
  <c r="AK41" i="39"/>
  <c r="AJ41" i="39"/>
  <c r="AI41" i="39"/>
  <c r="AH41" i="39"/>
  <c r="AG41" i="39"/>
  <c r="AF41" i="39"/>
  <c r="AE41" i="39"/>
  <c r="AD41" i="39"/>
  <c r="AC41" i="39"/>
  <c r="AB41" i="39"/>
  <c r="AA41" i="39"/>
  <c r="Z41" i="39"/>
  <c r="BE40" i="39"/>
  <c r="BD40" i="39"/>
  <c r="BC40" i="39"/>
  <c r="BB40" i="39"/>
  <c r="BA40" i="39"/>
  <c r="AZ40" i="39"/>
  <c r="AY40" i="39"/>
  <c r="AX40" i="39"/>
  <c r="AW40" i="39"/>
  <c r="AV40" i="39"/>
  <c r="AU40" i="39"/>
  <c r="AT40" i="39"/>
  <c r="AS40" i="39"/>
  <c r="AR40" i="39"/>
  <c r="AQ40" i="39"/>
  <c r="AO40" i="39"/>
  <c r="AN40" i="39"/>
  <c r="AM40" i="39"/>
  <c r="AL40" i="39"/>
  <c r="AK40" i="39"/>
  <c r="AJ40" i="39"/>
  <c r="AI40" i="39"/>
  <c r="AH40" i="39"/>
  <c r="AG40" i="39"/>
  <c r="AF40" i="39"/>
  <c r="AE40" i="39"/>
  <c r="AD40" i="39"/>
  <c r="AC40" i="39"/>
  <c r="AB40" i="39"/>
  <c r="AA40" i="39"/>
  <c r="Z40" i="39"/>
  <c r="BE39" i="39"/>
  <c r="BD39" i="39"/>
  <c r="BC39" i="39"/>
  <c r="BB39" i="39"/>
  <c r="BA39" i="39"/>
  <c r="AZ39" i="39"/>
  <c r="AY39" i="39"/>
  <c r="AX39" i="39"/>
  <c r="AW39" i="39"/>
  <c r="AV39" i="39"/>
  <c r="AU39" i="39"/>
  <c r="AT39" i="39"/>
  <c r="AS39" i="39"/>
  <c r="AR39" i="39"/>
  <c r="AQ39" i="39"/>
  <c r="AO39" i="39"/>
  <c r="AN39" i="39"/>
  <c r="AM39" i="39"/>
  <c r="AL39" i="39"/>
  <c r="AK39" i="39"/>
  <c r="AJ39" i="39"/>
  <c r="AI39" i="39"/>
  <c r="AH39" i="39"/>
  <c r="AG39" i="39"/>
  <c r="AF39" i="39"/>
  <c r="AE39" i="39"/>
  <c r="AD39" i="39"/>
  <c r="AC39" i="39"/>
  <c r="AB39" i="39"/>
  <c r="AA39" i="39"/>
  <c r="Z39" i="39"/>
  <c r="BE38" i="39"/>
  <c r="BD38" i="39"/>
  <c r="BC38" i="39"/>
  <c r="BB38" i="39"/>
  <c r="BA38" i="39"/>
  <c r="AZ38" i="39"/>
  <c r="AY38" i="39"/>
  <c r="AX38" i="39"/>
  <c r="AW38" i="39"/>
  <c r="AV38" i="39"/>
  <c r="AU38" i="39"/>
  <c r="AT38" i="39"/>
  <c r="AS38" i="39"/>
  <c r="AR38" i="39"/>
  <c r="AQ38" i="39"/>
  <c r="AO38" i="39"/>
  <c r="AN38" i="39"/>
  <c r="AM38" i="39"/>
  <c r="AL38" i="39"/>
  <c r="AK38" i="39"/>
  <c r="AJ38" i="39"/>
  <c r="AI38" i="39"/>
  <c r="AH38" i="39"/>
  <c r="AG38" i="39"/>
  <c r="AF38" i="39"/>
  <c r="AE38" i="39"/>
  <c r="AD38" i="39"/>
  <c r="AC38" i="39"/>
  <c r="AB38" i="39"/>
  <c r="AA38" i="39"/>
  <c r="Z38" i="39"/>
  <c r="BE37" i="39"/>
  <c r="BD37" i="39"/>
  <c r="BC37" i="39"/>
  <c r="BB37" i="39"/>
  <c r="BA37" i="39"/>
  <c r="AZ37" i="39"/>
  <c r="AY37" i="39"/>
  <c r="AX37" i="39"/>
  <c r="AW37" i="39"/>
  <c r="AV37" i="39"/>
  <c r="AU37" i="39"/>
  <c r="AT37" i="39"/>
  <c r="AS37" i="39"/>
  <c r="AR37" i="39"/>
  <c r="AQ37" i="39"/>
  <c r="AO37" i="39"/>
  <c r="AN37" i="39"/>
  <c r="AM37" i="39"/>
  <c r="AL37" i="39"/>
  <c r="AK37" i="39"/>
  <c r="AJ37" i="39"/>
  <c r="AI37" i="39"/>
  <c r="AH37" i="39"/>
  <c r="AG37" i="39"/>
  <c r="AF37" i="39"/>
  <c r="AE37" i="39"/>
  <c r="AD37" i="39"/>
  <c r="AC37" i="39"/>
  <c r="AB37" i="39"/>
  <c r="AA37" i="39"/>
  <c r="Z37" i="39"/>
  <c r="BE36" i="39"/>
  <c r="BD36" i="39"/>
  <c r="BC36" i="39"/>
  <c r="BB36" i="39"/>
  <c r="BA36" i="39"/>
  <c r="AZ36" i="39"/>
  <c r="AY36" i="39"/>
  <c r="AX36" i="39"/>
  <c r="AW36" i="39"/>
  <c r="AV36" i="39"/>
  <c r="AU36" i="39"/>
  <c r="AT36" i="39"/>
  <c r="AS36" i="39"/>
  <c r="AR36" i="39"/>
  <c r="AQ36" i="39"/>
  <c r="AO36" i="39"/>
  <c r="AN36" i="39"/>
  <c r="AM36" i="39"/>
  <c r="AL36" i="39"/>
  <c r="AK36" i="39"/>
  <c r="AJ36" i="39"/>
  <c r="AI36" i="39"/>
  <c r="AH36" i="39"/>
  <c r="AG36" i="39"/>
  <c r="AF36" i="39"/>
  <c r="AE36" i="39"/>
  <c r="AD36" i="39"/>
  <c r="AC36" i="39"/>
  <c r="AB36" i="39"/>
  <c r="AA36" i="39"/>
  <c r="Z36" i="39"/>
  <c r="BE35" i="39"/>
  <c r="BD35" i="39"/>
  <c r="BC35" i="39"/>
  <c r="BB35" i="39"/>
  <c r="BA35" i="39"/>
  <c r="AZ35" i="39"/>
  <c r="AY35" i="39"/>
  <c r="AX35" i="39"/>
  <c r="AW35" i="39"/>
  <c r="AV35" i="39"/>
  <c r="AU35" i="39"/>
  <c r="AT35" i="39"/>
  <c r="AS35" i="39"/>
  <c r="AR35" i="39"/>
  <c r="AQ35" i="39"/>
  <c r="AO35" i="39"/>
  <c r="AN35" i="39"/>
  <c r="AM35" i="39"/>
  <c r="AL35" i="39"/>
  <c r="AK35" i="39"/>
  <c r="AJ35" i="39"/>
  <c r="AI35" i="39"/>
  <c r="AH35" i="39"/>
  <c r="AG35" i="39"/>
  <c r="AF35" i="39"/>
  <c r="AE35" i="39"/>
  <c r="AD35" i="39"/>
  <c r="AC35" i="39"/>
  <c r="AB35" i="39"/>
  <c r="AA35" i="39"/>
  <c r="Z35" i="39"/>
  <c r="BE34" i="39"/>
  <c r="BD34" i="39"/>
  <c r="BC34" i="39"/>
  <c r="BB34" i="39"/>
  <c r="BA34" i="39"/>
  <c r="AZ34" i="39"/>
  <c r="AY34" i="39"/>
  <c r="AX34" i="39"/>
  <c r="AW34" i="39"/>
  <c r="AV34" i="39"/>
  <c r="AU34" i="39"/>
  <c r="AT34" i="39"/>
  <c r="AS34" i="39"/>
  <c r="AR34" i="39"/>
  <c r="AQ34" i="39"/>
  <c r="AO34" i="39"/>
  <c r="AN34" i="39"/>
  <c r="AM34" i="39"/>
  <c r="AL34" i="39"/>
  <c r="AK34" i="39"/>
  <c r="AJ34" i="39"/>
  <c r="AI34" i="39"/>
  <c r="AH34" i="39"/>
  <c r="AG34" i="39"/>
  <c r="AF34" i="39"/>
  <c r="AE34" i="39"/>
  <c r="AD34" i="39"/>
  <c r="AC34" i="39"/>
  <c r="AB34" i="39"/>
  <c r="AA34" i="39"/>
  <c r="Z34" i="39"/>
  <c r="BE33" i="39"/>
  <c r="BD33" i="39"/>
  <c r="BC33" i="39"/>
  <c r="BB33" i="39"/>
  <c r="BA33" i="39"/>
  <c r="AZ33" i="39"/>
  <c r="AY33" i="39"/>
  <c r="AX33" i="39"/>
  <c r="AW33" i="39"/>
  <c r="AV33" i="39"/>
  <c r="AU33" i="39"/>
  <c r="AT33" i="39"/>
  <c r="AS33" i="39"/>
  <c r="AR33" i="39"/>
  <c r="AQ33" i="39"/>
  <c r="AO33" i="39"/>
  <c r="AN33" i="39"/>
  <c r="AM33" i="39"/>
  <c r="AL33" i="39"/>
  <c r="AK33" i="39"/>
  <c r="AJ33" i="39"/>
  <c r="AI33" i="39"/>
  <c r="AH33" i="39"/>
  <c r="AG33" i="39"/>
  <c r="AF33" i="39"/>
  <c r="AE33" i="39"/>
  <c r="AD33" i="39"/>
  <c r="AC33" i="39"/>
  <c r="AB33" i="39"/>
  <c r="AA33" i="39"/>
  <c r="Z33" i="39"/>
  <c r="BE32" i="39"/>
  <c r="BD32" i="39"/>
  <c r="BC32" i="39"/>
  <c r="BB32" i="39"/>
  <c r="BA32" i="39"/>
  <c r="AZ32" i="39"/>
  <c r="AY32" i="39"/>
  <c r="AX32" i="39"/>
  <c r="AW32" i="39"/>
  <c r="AV32" i="39"/>
  <c r="AU32" i="39"/>
  <c r="AT32" i="39"/>
  <c r="AS32" i="39"/>
  <c r="AR32" i="39"/>
  <c r="AQ32" i="39"/>
  <c r="AO32" i="39"/>
  <c r="AN32" i="39"/>
  <c r="AM32" i="39"/>
  <c r="AL32" i="39"/>
  <c r="AK32" i="39"/>
  <c r="AJ32" i="39"/>
  <c r="AI32" i="39"/>
  <c r="AH32" i="39"/>
  <c r="AG32" i="39"/>
  <c r="AF32" i="39"/>
  <c r="AE32" i="39"/>
  <c r="AD32" i="39"/>
  <c r="AC32" i="39"/>
  <c r="AB32" i="39"/>
  <c r="AA32" i="39"/>
  <c r="Z32" i="39"/>
  <c r="S31" i="39"/>
  <c r="T28" i="39"/>
  <c r="S28" i="39"/>
  <c r="R28" i="39"/>
  <c r="Q28" i="39"/>
  <c r="P28" i="39"/>
  <c r="O28" i="39"/>
  <c r="N28" i="39"/>
  <c r="M28" i="39"/>
  <c r="T27" i="39"/>
  <c r="S27" i="39"/>
  <c r="R27" i="39"/>
  <c r="Q27" i="39"/>
  <c r="P27" i="39"/>
  <c r="O27" i="39"/>
  <c r="N27" i="39"/>
  <c r="M27" i="39"/>
  <c r="L27" i="39"/>
  <c r="K27" i="39"/>
  <c r="J27" i="39"/>
  <c r="I27" i="39"/>
  <c r="BC26" i="39"/>
  <c r="BB26" i="39"/>
  <c r="BA26" i="39"/>
  <c r="AZ26" i="39"/>
  <c r="AY26" i="39"/>
  <c r="AX26" i="39"/>
  <c r="AW26" i="39"/>
  <c r="AV26" i="39"/>
  <c r="AU26" i="39"/>
  <c r="AT26" i="39"/>
  <c r="AS26" i="39"/>
  <c r="AR26" i="39"/>
  <c r="AQ26" i="39"/>
  <c r="AH26" i="39"/>
  <c r="AG26" i="39"/>
  <c r="AF26" i="39"/>
  <c r="AE26" i="39"/>
  <c r="AD26" i="39"/>
  <c r="AC26" i="39"/>
  <c r="AB26" i="39"/>
  <c r="AA26" i="39"/>
  <c r="Z26" i="39"/>
  <c r="BE25" i="39"/>
  <c r="BD25" i="39"/>
  <c r="BC25" i="39"/>
  <c r="BB25" i="39"/>
  <c r="BA25" i="39"/>
  <c r="AZ25" i="39"/>
  <c r="AY25" i="39"/>
  <c r="AX25" i="39"/>
  <c r="AW25" i="39"/>
  <c r="AV25" i="39"/>
  <c r="AU25" i="39"/>
  <c r="AT25" i="39"/>
  <c r="AS25" i="39"/>
  <c r="AR25" i="39"/>
  <c r="AQ25" i="39"/>
  <c r="AH25" i="39"/>
  <c r="AG25" i="39"/>
  <c r="AF25" i="39"/>
  <c r="AE25" i="39"/>
  <c r="AD25" i="39"/>
  <c r="AC25" i="39"/>
  <c r="AB25" i="39"/>
  <c r="AA25" i="39"/>
  <c r="Z25" i="39"/>
  <c r="BE24" i="39"/>
  <c r="BD24" i="39"/>
  <c r="BC24" i="39"/>
  <c r="BB24" i="39"/>
  <c r="BA24" i="39"/>
  <c r="AZ24" i="39"/>
  <c r="AY24" i="39"/>
  <c r="AX24" i="39"/>
  <c r="AW24" i="39"/>
  <c r="AV24" i="39"/>
  <c r="AU24" i="39"/>
  <c r="AT24" i="39"/>
  <c r="AS24" i="39"/>
  <c r="AR24" i="39"/>
  <c r="AQ24" i="39"/>
  <c r="AO24" i="39"/>
  <c r="AN24" i="39"/>
  <c r="AM24" i="39"/>
  <c r="AL24" i="39"/>
  <c r="AK24" i="39"/>
  <c r="AJ24" i="39"/>
  <c r="AI24" i="39"/>
  <c r="AH24" i="39"/>
  <c r="AG24" i="39"/>
  <c r="AF24" i="39"/>
  <c r="AE24" i="39"/>
  <c r="AD24" i="39"/>
  <c r="AC24" i="39"/>
  <c r="AB24" i="39"/>
  <c r="AA24" i="39"/>
  <c r="Z24" i="39"/>
  <c r="BE23" i="39"/>
  <c r="BD23" i="39"/>
  <c r="BB23" i="39"/>
  <c r="BA23" i="39"/>
  <c r="AZ23" i="39"/>
  <c r="AY23" i="39"/>
  <c r="AX23" i="39"/>
  <c r="AW23" i="39"/>
  <c r="AV23" i="39"/>
  <c r="AU23" i="39"/>
  <c r="AT23" i="39"/>
  <c r="AS23" i="39"/>
  <c r="AR23" i="39"/>
  <c r="AQ23" i="39"/>
  <c r="AH23" i="39"/>
  <c r="AG23" i="39"/>
  <c r="AF23" i="39"/>
  <c r="AE23" i="39"/>
  <c r="AD23" i="39"/>
  <c r="AC23" i="39"/>
  <c r="AB23" i="39"/>
  <c r="AA23" i="39"/>
  <c r="Z23" i="39"/>
  <c r="BE22" i="39"/>
  <c r="BD22" i="39"/>
  <c r="BC22" i="39"/>
  <c r="BB22" i="39"/>
  <c r="BA22" i="39"/>
  <c r="AZ22" i="39"/>
  <c r="AY22" i="39"/>
  <c r="AX22" i="39"/>
  <c r="AW22" i="39"/>
  <c r="AV22" i="39"/>
  <c r="AU22" i="39"/>
  <c r="AT22" i="39"/>
  <c r="AS22" i="39"/>
  <c r="AR22" i="39"/>
  <c r="AQ22" i="39"/>
  <c r="AO22" i="39"/>
  <c r="AN22" i="39"/>
  <c r="AM22" i="39"/>
  <c r="AL22" i="39"/>
  <c r="AK22" i="39"/>
  <c r="AJ22" i="39"/>
  <c r="AI22" i="39"/>
  <c r="AH22" i="39"/>
  <c r="AG22" i="39"/>
  <c r="AF22" i="39"/>
  <c r="AE22" i="39"/>
  <c r="AD22" i="39"/>
  <c r="AC22" i="39"/>
  <c r="AB22" i="39"/>
  <c r="AA22" i="39"/>
  <c r="Z22" i="39"/>
  <c r="BE21" i="39"/>
  <c r="BD21" i="39"/>
  <c r="BC21" i="39"/>
  <c r="BB21" i="39"/>
  <c r="BA21" i="39"/>
  <c r="AZ21" i="39"/>
  <c r="AY21" i="39"/>
  <c r="AX21" i="39"/>
  <c r="AW21" i="39"/>
  <c r="AV21" i="39"/>
  <c r="AU21" i="39"/>
  <c r="AT21" i="39"/>
  <c r="AS21" i="39"/>
  <c r="AR21" i="39"/>
  <c r="AQ21" i="39"/>
  <c r="AO21" i="39"/>
  <c r="AN21" i="39"/>
  <c r="AM21" i="39"/>
  <c r="AL21" i="39"/>
  <c r="AK21" i="39"/>
  <c r="AJ21" i="39"/>
  <c r="AI21" i="39"/>
  <c r="AH21" i="39"/>
  <c r="AG21" i="39"/>
  <c r="AF21" i="39"/>
  <c r="AE21" i="39"/>
  <c r="AD21" i="39"/>
  <c r="AC21" i="39"/>
  <c r="AB21" i="39"/>
  <c r="AA21" i="39"/>
  <c r="Z21" i="39"/>
  <c r="BE20" i="39"/>
  <c r="BD20" i="39"/>
  <c r="BC20" i="39"/>
  <c r="BB20" i="39"/>
  <c r="BA20" i="39"/>
  <c r="AZ20" i="39"/>
  <c r="AY20" i="39"/>
  <c r="AX20" i="39"/>
  <c r="AW20" i="39"/>
  <c r="AV20" i="39"/>
  <c r="AU20" i="39"/>
  <c r="AT20" i="39"/>
  <c r="AS20" i="39"/>
  <c r="AR20" i="39"/>
  <c r="AQ20" i="39"/>
  <c r="AH20" i="39"/>
  <c r="AG20" i="39"/>
  <c r="AF20" i="39"/>
  <c r="AE20" i="39"/>
  <c r="AD20" i="39"/>
  <c r="AC20" i="39"/>
  <c r="AB20" i="39"/>
  <c r="AA20" i="39"/>
  <c r="Z20" i="39"/>
  <c r="BE19" i="39"/>
  <c r="BD19" i="39"/>
  <c r="BC19" i="39"/>
  <c r="BB19" i="39"/>
  <c r="BA19" i="39"/>
  <c r="AZ19" i="39"/>
  <c r="AY19" i="39"/>
  <c r="AX19" i="39"/>
  <c r="AW19" i="39"/>
  <c r="AV19" i="39"/>
  <c r="AU19" i="39"/>
  <c r="AT19" i="39"/>
  <c r="AS19" i="39"/>
  <c r="AR19" i="39"/>
  <c r="AQ19" i="39"/>
  <c r="AO19" i="39"/>
  <c r="AN19" i="39"/>
  <c r="AM19" i="39"/>
  <c r="AL19" i="39"/>
  <c r="AK19" i="39"/>
  <c r="AJ19" i="39"/>
  <c r="AI19" i="39"/>
  <c r="AH19" i="39"/>
  <c r="AG19" i="39"/>
  <c r="AF19" i="39"/>
  <c r="AE19" i="39"/>
  <c r="AD19" i="39"/>
  <c r="AC19" i="39"/>
  <c r="AB19" i="39"/>
  <c r="AA19" i="39"/>
  <c r="Z19" i="39"/>
  <c r="BE18" i="39"/>
  <c r="BD18" i="39"/>
  <c r="BC18" i="39"/>
  <c r="BB18" i="39"/>
  <c r="BA18" i="39"/>
  <c r="AZ18" i="39"/>
  <c r="AY18" i="39"/>
  <c r="AX18" i="39"/>
  <c r="AW18" i="39"/>
  <c r="AV18" i="39"/>
  <c r="AU18" i="39"/>
  <c r="AT18" i="39"/>
  <c r="AS18" i="39"/>
  <c r="AR18" i="39"/>
  <c r="AQ18" i="39"/>
  <c r="AO18" i="39"/>
  <c r="AN18" i="39"/>
  <c r="AM18" i="39"/>
  <c r="AL18" i="39"/>
  <c r="AK18" i="39"/>
  <c r="AJ18" i="39"/>
  <c r="AI18" i="39"/>
  <c r="AH18" i="39"/>
  <c r="AG18" i="39"/>
  <c r="AF18" i="39"/>
  <c r="AE18" i="39"/>
  <c r="AD18" i="39"/>
  <c r="AC18" i="39"/>
  <c r="AB18" i="39"/>
  <c r="AA18" i="39"/>
  <c r="Z18" i="39"/>
  <c r="BE17" i="39"/>
  <c r="BD17" i="39"/>
  <c r="BC17" i="39"/>
  <c r="BB17" i="39"/>
  <c r="BA17" i="39"/>
  <c r="AZ17" i="39"/>
  <c r="AY17" i="39"/>
  <c r="AX17" i="39"/>
  <c r="AW17" i="39"/>
  <c r="AV17" i="39"/>
  <c r="AU17" i="39"/>
  <c r="AT17" i="39"/>
  <c r="AS17" i="39"/>
  <c r="AR17" i="39"/>
  <c r="AQ17" i="39"/>
  <c r="AH17" i="39"/>
  <c r="AG17" i="39"/>
  <c r="AF17" i="39"/>
  <c r="AE17" i="39"/>
  <c r="AD17" i="39"/>
  <c r="AC17" i="39"/>
  <c r="AB17" i="39"/>
  <c r="AA17" i="39"/>
  <c r="Z17" i="39"/>
  <c r="BE16" i="39"/>
  <c r="BD16" i="39"/>
  <c r="BC16" i="39"/>
  <c r="BB16" i="39"/>
  <c r="BA16" i="39"/>
  <c r="AZ16" i="39"/>
  <c r="AY16" i="39"/>
  <c r="AX16" i="39"/>
  <c r="AW16" i="39"/>
  <c r="AV16" i="39"/>
  <c r="AU16" i="39"/>
  <c r="AT16" i="39"/>
  <c r="AS16" i="39"/>
  <c r="AR16" i="39"/>
  <c r="AQ16" i="39"/>
  <c r="AH16" i="39"/>
  <c r="AG16" i="39"/>
  <c r="AF16" i="39"/>
  <c r="AE16" i="39"/>
  <c r="AD16" i="39"/>
  <c r="AC16" i="39"/>
  <c r="AB16" i="39"/>
  <c r="AA16" i="39"/>
  <c r="Z16" i="39"/>
  <c r="BE15" i="39"/>
  <c r="BD15" i="39"/>
  <c r="BC15" i="39"/>
  <c r="BB15" i="39"/>
  <c r="BA15" i="39"/>
  <c r="AZ15" i="39"/>
  <c r="AY15" i="39"/>
  <c r="AX15" i="39"/>
  <c r="AW15" i="39"/>
  <c r="AV15" i="39"/>
  <c r="AU15" i="39"/>
  <c r="AT15" i="39"/>
  <c r="AS15" i="39"/>
  <c r="AR15" i="39"/>
  <c r="AQ15" i="39"/>
  <c r="AH15" i="39"/>
  <c r="AG15" i="39"/>
  <c r="AF15" i="39"/>
  <c r="AE15" i="39"/>
  <c r="AD15" i="39"/>
  <c r="AC15" i="39"/>
  <c r="AB15" i="39"/>
  <c r="AA15" i="39"/>
  <c r="Z15" i="39"/>
  <c r="BE14" i="39"/>
  <c r="BD14" i="39"/>
  <c r="BC14" i="39"/>
  <c r="BB14" i="39"/>
  <c r="BA14" i="39"/>
  <c r="AZ14" i="39"/>
  <c r="AY14" i="39"/>
  <c r="AX14" i="39"/>
  <c r="AW14" i="39"/>
  <c r="AV14" i="39"/>
  <c r="AU14" i="39"/>
  <c r="AT14" i="39"/>
  <c r="AS14" i="39"/>
  <c r="AR14" i="39"/>
  <c r="AQ14" i="39"/>
  <c r="AH14" i="39"/>
  <c r="AG14" i="39"/>
  <c r="AF14" i="39"/>
  <c r="AE14" i="39"/>
  <c r="AD14" i="39"/>
  <c r="AC14" i="39"/>
  <c r="AB14" i="39"/>
  <c r="AA14" i="39"/>
  <c r="Z14" i="39"/>
  <c r="BE13" i="39"/>
  <c r="BD13" i="39"/>
  <c r="BC13" i="39"/>
  <c r="BB13" i="39"/>
  <c r="BA13" i="39"/>
  <c r="AZ13" i="39"/>
  <c r="AY13" i="39"/>
  <c r="AX13" i="39"/>
  <c r="AW13" i="39"/>
  <c r="AV13" i="39"/>
  <c r="AU13" i="39"/>
  <c r="AT13" i="39"/>
  <c r="AS13" i="39"/>
  <c r="AR13" i="39"/>
  <c r="AQ13" i="39"/>
  <c r="AO13" i="39"/>
  <c r="AN13" i="39"/>
  <c r="AM13" i="39"/>
  <c r="AL13" i="39"/>
  <c r="AK13" i="39"/>
  <c r="AJ13" i="39"/>
  <c r="AI13" i="39"/>
  <c r="AH13" i="39"/>
  <c r="AG13" i="39"/>
  <c r="AF13" i="39"/>
  <c r="AE13" i="39"/>
  <c r="AD13" i="39"/>
  <c r="AC13" i="39"/>
  <c r="AB13" i="39"/>
  <c r="AA13" i="39"/>
  <c r="Z13" i="39"/>
  <c r="BE12" i="39"/>
  <c r="BD12" i="39"/>
  <c r="BC12" i="39"/>
  <c r="BB12" i="39"/>
  <c r="BA12" i="39"/>
  <c r="AZ12" i="39"/>
  <c r="AY12" i="39"/>
  <c r="AX12" i="39"/>
  <c r="AW12" i="39"/>
  <c r="AV12" i="39"/>
  <c r="AU12" i="39"/>
  <c r="AT12" i="39"/>
  <c r="AS12" i="39"/>
  <c r="AR12" i="39"/>
  <c r="AQ12" i="39"/>
  <c r="AO12" i="39"/>
  <c r="AN12" i="39"/>
  <c r="AM12" i="39"/>
  <c r="AL12" i="39"/>
  <c r="AK12" i="39"/>
  <c r="AJ12" i="39"/>
  <c r="AI12" i="39"/>
  <c r="AH12" i="39"/>
  <c r="AG12" i="39"/>
  <c r="AF12" i="39"/>
  <c r="AE12" i="39"/>
  <c r="AD12" i="39"/>
  <c r="AC12" i="39"/>
  <c r="AB12" i="39"/>
  <c r="AA12" i="39"/>
  <c r="Z12" i="39"/>
  <c r="BE11" i="39"/>
  <c r="BD11" i="39"/>
  <c r="BC11" i="39"/>
  <c r="BB11" i="39"/>
  <c r="BA11" i="39"/>
  <c r="AZ11" i="39"/>
  <c r="AY11" i="39"/>
  <c r="AX11" i="39"/>
  <c r="AW11" i="39"/>
  <c r="AV11" i="39"/>
  <c r="AU11" i="39"/>
  <c r="AT11" i="39"/>
  <c r="AS11" i="39"/>
  <c r="AR11" i="39"/>
  <c r="AQ11" i="39"/>
  <c r="AO11" i="39"/>
  <c r="AN11" i="39"/>
  <c r="AM11" i="39"/>
  <c r="AL11" i="39"/>
  <c r="AK11" i="39"/>
  <c r="AJ11" i="39"/>
  <c r="AI11" i="39"/>
  <c r="AH11" i="39"/>
  <c r="AG11" i="39"/>
  <c r="AF11" i="39"/>
  <c r="AE11" i="39"/>
  <c r="AD11" i="39"/>
  <c r="AC11" i="39"/>
  <c r="AB11" i="39"/>
  <c r="AA11" i="39"/>
  <c r="Z11" i="39"/>
  <c r="BE10" i="39"/>
  <c r="BD10" i="39"/>
  <c r="BC10" i="39"/>
  <c r="BB10" i="39"/>
  <c r="BA10" i="39"/>
  <c r="AZ10" i="39"/>
  <c r="AY10" i="39"/>
  <c r="AX10" i="39"/>
  <c r="AW10" i="39"/>
  <c r="AV10" i="39"/>
  <c r="AU10" i="39"/>
  <c r="AT10" i="39"/>
  <c r="AS10" i="39"/>
  <c r="AR10" i="39"/>
  <c r="AQ10" i="39"/>
  <c r="AH10" i="39"/>
  <c r="AG10" i="39"/>
  <c r="AF10" i="39"/>
  <c r="AE10" i="39"/>
  <c r="AD10" i="39"/>
  <c r="AC10" i="39"/>
  <c r="AB10" i="39"/>
  <c r="AA10" i="39"/>
  <c r="Z10" i="39"/>
  <c r="BE9" i="39"/>
  <c r="BD9" i="39"/>
  <c r="BC9" i="39"/>
  <c r="BB9" i="39"/>
  <c r="BA9" i="39"/>
  <c r="AZ9" i="39"/>
  <c r="AY9" i="39"/>
  <c r="AX9" i="39"/>
  <c r="AW9" i="39"/>
  <c r="AV9" i="39"/>
  <c r="AU9" i="39"/>
  <c r="AT9" i="39"/>
  <c r="AS9" i="39"/>
  <c r="AR9" i="39"/>
  <c r="AQ9" i="39"/>
  <c r="AO9" i="39"/>
  <c r="AN9" i="39"/>
  <c r="AM9" i="39"/>
  <c r="AL9" i="39"/>
  <c r="AK9" i="39"/>
  <c r="AJ9" i="39"/>
  <c r="AI9" i="39"/>
  <c r="AH9" i="39"/>
  <c r="AG9" i="39"/>
  <c r="AF9" i="39"/>
  <c r="AE9" i="39"/>
  <c r="AD9" i="39"/>
  <c r="AC9" i="39"/>
  <c r="AB9" i="39"/>
  <c r="AA9" i="39"/>
  <c r="Z9" i="39"/>
  <c r="BE8" i="39"/>
  <c r="BD8" i="39"/>
  <c r="BC8" i="39"/>
  <c r="BB8" i="39"/>
  <c r="BA8" i="39"/>
  <c r="AZ8" i="39"/>
  <c r="AY8" i="39"/>
  <c r="AX8" i="39"/>
  <c r="AW8" i="39"/>
  <c r="AV8" i="39"/>
  <c r="AU8" i="39"/>
  <c r="AT8" i="39"/>
  <c r="AS8" i="39"/>
  <c r="AR8" i="39"/>
  <c r="AQ8" i="39"/>
  <c r="AO8" i="39"/>
  <c r="AN8" i="39"/>
  <c r="AM8" i="39"/>
  <c r="AL8" i="39"/>
  <c r="AK8" i="39"/>
  <c r="AJ8" i="39"/>
  <c r="AI8" i="39"/>
  <c r="AH8" i="39"/>
  <c r="AG8" i="39"/>
  <c r="AF8" i="39"/>
  <c r="AE8" i="39"/>
  <c r="AD8" i="39"/>
  <c r="AC8" i="39"/>
  <c r="AB8" i="39"/>
  <c r="AA8" i="39"/>
  <c r="Z8" i="39"/>
  <c r="BE7" i="39"/>
  <c r="BD7" i="39"/>
  <c r="BC7" i="39"/>
  <c r="BB7" i="39"/>
  <c r="BA7" i="39"/>
  <c r="AZ7" i="39"/>
  <c r="AY7" i="39"/>
  <c r="AX7" i="39"/>
  <c r="AW7" i="39"/>
  <c r="AV7" i="39"/>
  <c r="AU7" i="39"/>
  <c r="AT7" i="39"/>
  <c r="AS7" i="39"/>
  <c r="AR7" i="39"/>
  <c r="AQ7" i="39"/>
  <c r="AO7" i="39"/>
  <c r="AN7" i="39"/>
  <c r="AM7" i="39"/>
  <c r="AL7" i="39"/>
  <c r="AK7" i="39"/>
  <c r="AJ7" i="39"/>
  <c r="AI7" i="39"/>
  <c r="AH7" i="39"/>
  <c r="AG7" i="39"/>
  <c r="AF7" i="39"/>
  <c r="AE7" i="39"/>
  <c r="AD7" i="39"/>
  <c r="AC7" i="39"/>
  <c r="AB7" i="39"/>
  <c r="AA7" i="39"/>
  <c r="Z7" i="39"/>
  <c r="BE6" i="39"/>
  <c r="BD6" i="39"/>
  <c r="BC6" i="39"/>
  <c r="BB6" i="39"/>
  <c r="BA6" i="39"/>
  <c r="AZ6" i="39"/>
  <c r="AY6" i="39"/>
  <c r="AX6" i="39"/>
  <c r="AW6" i="39"/>
  <c r="AV6" i="39"/>
  <c r="AU6" i="39"/>
  <c r="AT6" i="39"/>
  <c r="AS6" i="39"/>
  <c r="AR6" i="39"/>
  <c r="AQ6" i="39"/>
  <c r="AO6" i="39"/>
  <c r="AM6" i="39"/>
  <c r="AL6" i="39"/>
  <c r="AK6" i="39"/>
  <c r="AJ6" i="39"/>
  <c r="AI6" i="39"/>
  <c r="AH6" i="39"/>
  <c r="AG6" i="39"/>
  <c r="AF6" i="39"/>
  <c r="AE6" i="39"/>
  <c r="AD6" i="39"/>
  <c r="AC6" i="39"/>
  <c r="AB6" i="39"/>
  <c r="AA6" i="39"/>
  <c r="Z6" i="39"/>
  <c r="BE5" i="39"/>
  <c r="BD5" i="39"/>
  <c r="BC5" i="39"/>
  <c r="BB5" i="39"/>
  <c r="BA5" i="39"/>
  <c r="AZ5" i="39"/>
  <c r="AY5" i="39"/>
  <c r="AX5" i="39"/>
  <c r="AW5" i="39"/>
  <c r="AV5" i="39"/>
  <c r="AU5" i="39"/>
  <c r="AT5" i="39"/>
  <c r="AS5" i="39"/>
  <c r="AR5" i="39"/>
  <c r="AQ5" i="39"/>
  <c r="AO5" i="39"/>
  <c r="AN5" i="39"/>
  <c r="AM5" i="39"/>
  <c r="AL5" i="39"/>
  <c r="AK5" i="39"/>
  <c r="AJ5" i="39"/>
  <c r="AI5" i="39"/>
  <c r="AH5" i="39"/>
  <c r="AG5" i="39"/>
  <c r="AF5" i="39"/>
  <c r="AE5" i="39"/>
  <c r="AD5" i="39"/>
  <c r="AC5" i="39"/>
  <c r="AB5" i="39"/>
  <c r="AA5" i="39"/>
  <c r="Z5" i="39"/>
  <c r="BE4" i="39"/>
  <c r="BD4" i="39"/>
  <c r="BC4" i="39"/>
  <c r="BB4" i="39"/>
  <c r="BA4" i="39"/>
  <c r="AZ4" i="39"/>
  <c r="AY4" i="39"/>
  <c r="AX4" i="39"/>
  <c r="AW4" i="39"/>
  <c r="AV4" i="39"/>
  <c r="AU4" i="39"/>
  <c r="AT4" i="39"/>
  <c r="AS4" i="39"/>
  <c r="AR4" i="39"/>
  <c r="AQ4" i="39"/>
  <c r="AH4" i="39"/>
  <c r="AG4" i="39"/>
  <c r="AF4" i="39"/>
  <c r="AE4" i="39"/>
  <c r="AD4" i="39"/>
  <c r="AC4" i="39"/>
  <c r="AB4" i="39"/>
  <c r="AA4" i="39"/>
  <c r="Z4" i="39"/>
  <c r="BE3" i="39"/>
  <c r="BD3" i="39"/>
  <c r="BC3" i="39"/>
  <c r="BB3" i="39"/>
  <c r="BA3" i="39"/>
  <c r="AZ3" i="39"/>
  <c r="AY3" i="39"/>
  <c r="AX3" i="39"/>
  <c r="AW3" i="39"/>
  <c r="AV3" i="39"/>
  <c r="AU3" i="39"/>
  <c r="AT3" i="39"/>
  <c r="AS3" i="39"/>
  <c r="AR3" i="39"/>
  <c r="AQ3" i="39"/>
  <c r="AH3" i="39"/>
  <c r="AG3" i="39"/>
  <c r="AF3" i="39"/>
  <c r="AE3" i="39"/>
  <c r="AD3" i="39"/>
  <c r="AC3" i="39"/>
  <c r="AB3" i="39"/>
  <c r="AA3" i="39"/>
  <c r="Z3" i="39"/>
  <c r="BE2" i="39"/>
  <c r="BD2" i="39"/>
  <c r="BC2" i="39"/>
  <c r="BB2" i="39"/>
  <c r="BA2" i="39"/>
  <c r="AZ2" i="39"/>
  <c r="AY2" i="39"/>
  <c r="AX2" i="39"/>
  <c r="AW2" i="39"/>
  <c r="AV2" i="39"/>
  <c r="AU2" i="39"/>
  <c r="AT2" i="39"/>
  <c r="AS2" i="39"/>
  <c r="AR2" i="39"/>
  <c r="AQ2" i="39"/>
  <c r="AH2" i="39"/>
  <c r="AG2" i="39"/>
  <c r="AF2" i="39"/>
  <c r="AE2" i="39"/>
  <c r="AD2" i="39"/>
  <c r="AC2" i="39"/>
  <c r="AB2" i="39"/>
  <c r="AA2" i="39"/>
  <c r="Z2" i="39"/>
  <c r="BD1" i="39"/>
  <c r="BD31" i="39"/>
  <c r="AN1" i="39"/>
  <c r="AO1" i="39"/>
  <c r="T1" i="39"/>
  <c r="Q1" i="39"/>
  <c r="P1" i="39" s="1"/>
  <c r="O1" i="39" s="1"/>
  <c r="N1" i="39" s="1"/>
  <c r="M1" i="39" s="1"/>
  <c r="L1" i="39" s="1"/>
  <c r="K1" i="39" s="1"/>
  <c r="J1" i="39" s="1"/>
  <c r="I1" i="39" s="1"/>
  <c r="H1" i="39" s="1"/>
  <c r="G1" i="39" s="1"/>
  <c r="F1" i="39" s="1"/>
  <c r="E1" i="39" s="1"/>
  <c r="R73" i="54"/>
  <c r="Z61" i="54"/>
  <c r="Y61" i="54"/>
  <c r="Z60" i="54"/>
  <c r="Y60" i="54"/>
  <c r="Z59" i="54"/>
  <c r="Y59" i="54"/>
  <c r="Z58" i="54"/>
  <c r="Y58" i="54"/>
  <c r="Z57" i="54"/>
  <c r="Y57" i="54"/>
  <c r="Z56" i="54"/>
  <c r="Y56" i="54"/>
  <c r="Z55" i="54"/>
  <c r="Y55" i="54"/>
  <c r="Z54" i="54"/>
  <c r="Y54" i="54"/>
  <c r="Z53" i="54"/>
  <c r="Y53" i="54"/>
  <c r="Z52" i="54"/>
  <c r="Y52" i="54"/>
  <c r="Z51" i="54"/>
  <c r="Y51" i="54"/>
  <c r="Z50" i="54"/>
  <c r="Y50" i="54"/>
  <c r="Z49" i="54"/>
  <c r="Y49" i="54"/>
  <c r="Z48" i="54"/>
  <c r="Y48" i="54"/>
  <c r="Y46" i="54" s="1"/>
  <c r="Z47" i="54"/>
  <c r="Y47" i="54"/>
  <c r="AE46" i="54"/>
  <c r="AD46" i="54"/>
  <c r="AC46" i="54"/>
  <c r="AB46" i="54"/>
  <c r="AA46" i="54"/>
  <c r="X46" i="54"/>
  <c r="W46" i="54"/>
  <c r="V46" i="54"/>
  <c r="U46" i="54"/>
  <c r="T23" i="54"/>
  <c r="K22" i="54"/>
  <c r="AB23" i="54" s="1"/>
  <c r="B22" i="54"/>
  <c r="K2" i="54"/>
  <c r="C2" i="54"/>
  <c r="L22" i="54" s="1"/>
  <c r="AO76" i="60"/>
  <c r="Q43" i="60"/>
  <c r="Q42" i="60"/>
  <c r="R42" i="60" s="1"/>
  <c r="AP40" i="60"/>
  <c r="AP41" i="60" s="1"/>
  <c r="E41" i="60"/>
  <c r="AF40" i="60"/>
  <c r="E40" i="60"/>
  <c r="AF39" i="60"/>
  <c r="E39" i="60"/>
  <c r="AP38" i="60"/>
  <c r="AP39" i="60" s="1"/>
  <c r="AG38" i="60"/>
  <c r="E38" i="60"/>
  <c r="AG37" i="60"/>
  <c r="E37" i="60"/>
  <c r="AG36" i="60"/>
  <c r="N36" i="60"/>
  <c r="E36" i="60"/>
  <c r="AG35" i="60"/>
  <c r="T35" i="60"/>
  <c r="E35" i="60"/>
  <c r="AG34" i="60"/>
  <c r="AG33" i="60"/>
  <c r="H33" i="60"/>
  <c r="AN32" i="60"/>
  <c r="AN34" i="60" s="1"/>
  <c r="AG32" i="60"/>
  <c r="AN31" i="60"/>
  <c r="AG31" i="60"/>
  <c r="AG30" i="60"/>
  <c r="AG29" i="60"/>
  <c r="I29" i="60"/>
  <c r="AG28" i="60"/>
  <c r="R28" i="60"/>
  <c r="AQ27" i="60"/>
  <c r="AG27" i="60"/>
  <c r="AG26" i="60"/>
  <c r="AG25" i="60"/>
  <c r="AG24" i="60"/>
  <c r="AG23" i="60"/>
  <c r="AG22" i="60"/>
  <c r="AG21" i="60"/>
  <c r="O24" i="60" s="1"/>
  <c r="O25" i="60" s="1"/>
  <c r="AG20" i="60"/>
  <c r="AN19" i="60"/>
  <c r="T34" i="60"/>
  <c r="AG19" i="60"/>
  <c r="AG18" i="60"/>
  <c r="AG17" i="60"/>
  <c r="AB17" i="60"/>
  <c r="AB21" i="60"/>
  <c r="AG16" i="60"/>
  <c r="AG15" i="60"/>
  <c r="AG14" i="60"/>
  <c r="AG13" i="60"/>
  <c r="F23" i="60" s="1"/>
  <c r="AG12" i="60"/>
  <c r="L12" i="60"/>
  <c r="D11" i="60"/>
  <c r="D2" i="60" s="1"/>
  <c r="C11" i="60"/>
  <c r="C2" i="60" s="1"/>
  <c r="M10" i="60"/>
  <c r="Z9" i="60"/>
  <c r="I9" i="60"/>
  <c r="J9" i="60"/>
  <c r="K9" i="60"/>
  <c r="D9" i="60"/>
  <c r="C9" i="60"/>
  <c r="E9" i="60" s="1"/>
  <c r="B9" i="60"/>
  <c r="M8" i="60"/>
  <c r="J7" i="60"/>
  <c r="I7" i="60"/>
  <c r="B7" i="60"/>
  <c r="M6" i="60"/>
  <c r="B6" i="60"/>
  <c r="B8" i="60" s="1"/>
  <c r="B10" i="60" s="1"/>
  <c r="J5" i="60"/>
  <c r="I5" i="60"/>
  <c r="K5" i="60" s="1"/>
  <c r="B5" i="60"/>
  <c r="M4" i="60"/>
  <c r="J3" i="60"/>
  <c r="K3" i="60" s="1"/>
  <c r="I3" i="60"/>
  <c r="B3" i="60"/>
  <c r="AN2" i="60"/>
  <c r="AM2" i="60"/>
  <c r="AL2" i="60"/>
  <c r="AK2" i="60"/>
  <c r="AJ2" i="60"/>
  <c r="AI2" i="60"/>
  <c r="AH2" i="60"/>
  <c r="Z2" i="60"/>
  <c r="Y2" i="60"/>
  <c r="X2" i="60"/>
  <c r="AC8" i="60"/>
  <c r="W2" i="60"/>
  <c r="V2" i="60"/>
  <c r="U2" i="60"/>
  <c r="AC2" i="60"/>
  <c r="S2" i="60"/>
  <c r="R2" i="60"/>
  <c r="Q2" i="60"/>
  <c r="P2" i="60"/>
  <c r="O2" i="60"/>
  <c r="N2" i="60"/>
  <c r="J2" i="60"/>
  <c r="I2" i="60"/>
  <c r="H2" i="60"/>
  <c r="G2" i="60"/>
  <c r="F2" i="60"/>
  <c r="N1" i="60"/>
  <c r="E98" i="64"/>
  <c r="F98" i="64" s="1"/>
  <c r="G98" i="64" s="1"/>
  <c r="H98" i="64" s="1"/>
  <c r="E96" i="64"/>
  <c r="D96" i="64"/>
  <c r="A90" i="64"/>
  <c r="A89" i="64"/>
  <c r="A88" i="64"/>
  <c r="B86" i="64"/>
  <c r="C85" i="64"/>
  <c r="B85" i="64"/>
  <c r="E84" i="64"/>
  <c r="D84" i="64"/>
  <c r="C84" i="64"/>
  <c r="B84" i="64"/>
  <c r="E83" i="64"/>
  <c r="D83" i="64"/>
  <c r="C83" i="64"/>
  <c r="B83" i="64"/>
  <c r="E81" i="64"/>
  <c r="H81" i="64"/>
  <c r="I81" i="64" s="1"/>
  <c r="J81" i="64" s="1"/>
  <c r="D81" i="64"/>
  <c r="C81" i="64"/>
  <c r="B81" i="64"/>
  <c r="A81" i="64"/>
  <c r="E80" i="64"/>
  <c r="H80" i="64"/>
  <c r="I80" i="64" s="1"/>
  <c r="J80" i="64" s="1"/>
  <c r="D80" i="64"/>
  <c r="C80" i="64"/>
  <c r="B80" i="64"/>
  <c r="A80" i="64"/>
  <c r="E79" i="64"/>
  <c r="D79" i="64"/>
  <c r="C79" i="64"/>
  <c r="B79" i="64"/>
  <c r="E78" i="64"/>
  <c r="D78" i="64"/>
  <c r="C78" i="64"/>
  <c r="B78" i="64"/>
  <c r="E76" i="64"/>
  <c r="D76" i="64"/>
  <c r="C76" i="64"/>
  <c r="B76" i="64"/>
  <c r="E75" i="64"/>
  <c r="D75" i="64"/>
  <c r="C75" i="64"/>
  <c r="B75" i="64"/>
  <c r="E74" i="64"/>
  <c r="D74" i="64"/>
  <c r="C74" i="64"/>
  <c r="B74" i="64"/>
  <c r="E73" i="64"/>
  <c r="D73" i="64"/>
  <c r="C73" i="64"/>
  <c r="B73" i="64"/>
  <c r="S71" i="64"/>
  <c r="E53" i="64"/>
  <c r="A50" i="64"/>
  <c r="A49" i="64"/>
  <c r="A48" i="64"/>
  <c r="AN46" i="64"/>
  <c r="AM46" i="64"/>
  <c r="D46" i="64"/>
  <c r="C46" i="64"/>
  <c r="B46" i="64"/>
  <c r="Y45" i="64"/>
  <c r="X45" i="64"/>
  <c r="W45" i="64"/>
  <c r="C45" i="64"/>
  <c r="B45" i="64"/>
  <c r="A45" i="64"/>
  <c r="U58" i="64" s="1"/>
  <c r="V44" i="64"/>
  <c r="D44" i="64"/>
  <c r="C44" i="64"/>
  <c r="D43" i="64"/>
  <c r="C43" i="64"/>
  <c r="B43" i="64"/>
  <c r="D42" i="64"/>
  <c r="C42" i="64"/>
  <c r="B42" i="64"/>
  <c r="E40" i="64"/>
  <c r="H40" i="64" s="1"/>
  <c r="I40" i="64" s="1"/>
  <c r="J40" i="64" s="1"/>
  <c r="D40" i="64"/>
  <c r="C40" i="64"/>
  <c r="B40" i="64"/>
  <c r="D36" i="64"/>
  <c r="E32" i="64" s="1"/>
  <c r="E36" i="64" s="1"/>
  <c r="F32" i="64" s="1"/>
  <c r="C36" i="64"/>
  <c r="B36" i="64"/>
  <c r="D30" i="64"/>
  <c r="E25" i="64" s="1"/>
  <c r="C30" i="64"/>
  <c r="B30" i="64"/>
  <c r="V25" i="64"/>
  <c r="D23" i="64"/>
  <c r="R22" i="64"/>
  <c r="D19" i="64"/>
  <c r="E15" i="64" s="1"/>
  <c r="E21" i="64" s="1"/>
  <c r="F15" i="64"/>
  <c r="C19" i="64"/>
  <c r="B19" i="64"/>
  <c r="X15" i="64"/>
  <c r="AC13" i="64"/>
  <c r="AB13" i="64"/>
  <c r="AC12" i="64"/>
  <c r="AD12" i="64" s="1"/>
  <c r="V12" i="64"/>
  <c r="AB9" i="64"/>
  <c r="AB10" i="64" s="1"/>
  <c r="AA10" i="64"/>
  <c r="Z10" i="64"/>
  <c r="Y10" i="64"/>
  <c r="X10" i="64"/>
  <c r="W10" i="64"/>
  <c r="C8" i="64"/>
  <c r="C13" i="64" s="1"/>
  <c r="B8" i="64"/>
  <c r="B13" i="64" s="1"/>
  <c r="C5" i="64"/>
  <c r="B5" i="64"/>
  <c r="A5" i="64"/>
  <c r="D4" i="64"/>
  <c r="C4" i="64"/>
  <c r="B4" i="64"/>
  <c r="AN3" i="64"/>
  <c r="AM3" i="64"/>
  <c r="AL3" i="64"/>
  <c r="AK3" i="64"/>
  <c r="AJ3" i="64"/>
  <c r="AI3" i="64"/>
  <c r="AH3" i="64"/>
  <c r="AG3" i="64"/>
  <c r="AF3" i="64"/>
  <c r="AE3" i="64"/>
  <c r="S3" i="64"/>
  <c r="R3" i="64"/>
  <c r="D3" i="64"/>
  <c r="C3" i="64"/>
  <c r="CV1" i="64"/>
  <c r="CU1" i="64"/>
  <c r="CT1" i="64"/>
  <c r="CS1" i="64"/>
  <c r="CR1" i="64"/>
  <c r="CQ1" i="64"/>
  <c r="CP1" i="64"/>
  <c r="CO1" i="64"/>
  <c r="CN1" i="64"/>
  <c r="CM1" i="64"/>
  <c r="CL1" i="64"/>
  <c r="CK1" i="64"/>
  <c r="CJ1" i="64"/>
  <c r="CI1" i="64"/>
  <c r="CH1" i="64"/>
  <c r="CG1" i="64"/>
  <c r="CF1" i="64"/>
  <c r="CE1" i="64"/>
  <c r="CD1" i="64"/>
  <c r="CC1" i="64"/>
  <c r="CB1" i="64"/>
  <c r="CA1" i="64"/>
  <c r="BZ1" i="64"/>
  <c r="BY1" i="64"/>
  <c r="BX1" i="64"/>
  <c r="BW1" i="64"/>
  <c r="BV1" i="64"/>
  <c r="BU1" i="64"/>
  <c r="BT1" i="64"/>
  <c r="BS1" i="64"/>
  <c r="BR1" i="64"/>
  <c r="BQ1" i="64"/>
  <c r="BP1" i="64"/>
  <c r="BO1" i="64"/>
  <c r="BN1" i="64"/>
  <c r="BM1" i="64"/>
  <c r="BL1" i="64"/>
  <c r="BK1" i="64"/>
  <c r="BG1" i="64"/>
  <c r="BF1" i="64"/>
  <c r="BD1" i="64"/>
  <c r="BC1" i="64"/>
  <c r="BB1" i="64"/>
  <c r="BA1" i="64"/>
  <c r="AZ1" i="64"/>
  <c r="AY1" i="64"/>
  <c r="AX1" i="64"/>
  <c r="AW1" i="64"/>
  <c r="AV1" i="64"/>
  <c r="AU1" i="64"/>
  <c r="AT1" i="64"/>
  <c r="AS1" i="64"/>
  <c r="AR1" i="64"/>
  <c r="AQ1" i="64"/>
  <c r="AP1" i="64"/>
  <c r="AO1" i="64"/>
  <c r="AN1" i="64"/>
  <c r="AD1" i="64"/>
  <c r="AC1" i="64"/>
  <c r="AB1" i="64"/>
  <c r="AA1" i="64"/>
  <c r="Z1" i="64"/>
  <c r="Y1" i="64"/>
  <c r="X1" i="64"/>
  <c r="W1" i="64"/>
  <c r="V1" i="64"/>
  <c r="F52" i="67"/>
  <c r="G45" i="67"/>
  <c r="G52" i="67"/>
  <c r="E45" i="67"/>
  <c r="M17" i="67"/>
  <c r="M35" i="67" s="1"/>
  <c r="M26" i="67" s="1"/>
  <c r="L17" i="67"/>
  <c r="L35" i="67"/>
  <c r="L26" i="67" s="1"/>
  <c r="C15" i="67"/>
  <c r="J9" i="67"/>
  <c r="K8" i="67"/>
  <c r="K7" i="67"/>
  <c r="K5" i="67"/>
  <c r="M4" i="67"/>
  <c r="L4" i="67"/>
  <c r="K4" i="67"/>
  <c r="K3" i="67"/>
  <c r="C55" i="66"/>
  <c r="B55" i="66"/>
  <c r="C53" i="66"/>
  <c r="B53" i="66"/>
  <c r="B46" i="66"/>
  <c r="B47" i="66"/>
  <c r="I39" i="66"/>
  <c r="J39" i="66"/>
  <c r="H39" i="66"/>
  <c r="G39" i="66"/>
  <c r="F39" i="66"/>
  <c r="E39" i="66"/>
  <c r="D39" i="66"/>
  <c r="C39" i="66"/>
  <c r="L35" i="66"/>
  <c r="H35" i="66"/>
  <c r="E29" i="66"/>
  <c r="K21" i="66"/>
  <c r="J21" i="66"/>
  <c r="I21" i="66"/>
  <c r="J36" i="66" s="1"/>
  <c r="H21" i="66"/>
  <c r="I36" i="66" s="1"/>
  <c r="G21" i="66"/>
  <c r="H36" i="66" s="1"/>
  <c r="F21" i="66"/>
  <c r="G36" i="66" s="1"/>
  <c r="E21" i="66"/>
  <c r="F36" i="66" s="1"/>
  <c r="D21" i="66"/>
  <c r="E36" i="66" s="1"/>
  <c r="C21" i="66"/>
  <c r="D36" i="66" s="1"/>
  <c r="B21" i="66"/>
  <c r="C36" i="66" s="1"/>
  <c r="R13" i="66"/>
  <c r="U12" i="66"/>
  <c r="U11" i="66"/>
  <c r="S11" i="66"/>
  <c r="R11" i="66"/>
  <c r="U9" i="66"/>
  <c r="D9" i="66"/>
  <c r="N6" i="66"/>
  <c r="N5" i="66" s="1"/>
  <c r="M6" i="66"/>
  <c r="M5" i="66"/>
  <c r="G6" i="66"/>
  <c r="F6" i="66"/>
  <c r="E6" i="66"/>
  <c r="D6" i="66"/>
  <c r="C6" i="66"/>
  <c r="B6" i="66"/>
  <c r="O4" i="66"/>
  <c r="N3" i="66"/>
  <c r="M3" i="66"/>
  <c r="G37" i="82"/>
  <c r="F37" i="82"/>
  <c r="B37" i="82"/>
  <c r="G36" i="82"/>
  <c r="F36" i="82"/>
  <c r="B36" i="82"/>
  <c r="G35" i="82"/>
  <c r="F35" i="82"/>
  <c r="B35" i="82"/>
  <c r="G34" i="82"/>
  <c r="F34" i="82"/>
  <c r="B34" i="82"/>
  <c r="G33" i="82"/>
  <c r="F33" i="82"/>
  <c r="B33" i="82"/>
  <c r="G32" i="82"/>
  <c r="F32" i="82"/>
  <c r="B32" i="82"/>
  <c r="G31" i="82"/>
  <c r="G25" i="82" s="1"/>
  <c r="F31" i="82"/>
  <c r="B31" i="82"/>
  <c r="G30" i="82"/>
  <c r="F30" i="82"/>
  <c r="B30" i="82"/>
  <c r="G29" i="82"/>
  <c r="F29" i="82"/>
  <c r="B29" i="82"/>
  <c r="G28" i="82"/>
  <c r="F28" i="82"/>
  <c r="B28" i="82"/>
  <c r="G27" i="82"/>
  <c r="F27" i="82"/>
  <c r="F25" i="82" s="1"/>
  <c r="B27" i="82"/>
  <c r="G26" i="82"/>
  <c r="F26" i="82"/>
  <c r="B26" i="82"/>
  <c r="B25" i="82" s="1"/>
  <c r="J25" i="82"/>
  <c r="I25" i="82"/>
  <c r="H25" i="82"/>
  <c r="E25" i="82"/>
  <c r="D25" i="82"/>
  <c r="C25" i="82"/>
  <c r="I24" i="82"/>
  <c r="H24" i="82"/>
  <c r="G24" i="82"/>
  <c r="F24" i="82"/>
  <c r="E24" i="82"/>
  <c r="D24" i="82"/>
  <c r="C24" i="82"/>
  <c r="B24" i="82"/>
  <c r="A24" i="82"/>
  <c r="G124" i="19"/>
  <c r="J116" i="19"/>
  <c r="AK118" i="19"/>
  <c r="AK117" i="19"/>
  <c r="I113" i="19"/>
  <c r="AK116" i="19"/>
  <c r="AK115" i="19"/>
  <c r="AH109" i="19"/>
  <c r="AH115" i="19" s="1"/>
  <c r="C111" i="19"/>
  <c r="AK120" i="19"/>
  <c r="AI120" i="19"/>
  <c r="M108" i="19"/>
  <c r="L108" i="19"/>
  <c r="K108" i="19"/>
  <c r="J108" i="19"/>
  <c r="I108" i="19"/>
  <c r="H108" i="19"/>
  <c r="G108" i="19"/>
  <c r="AJ112" i="19"/>
  <c r="AJ118" i="19" s="1"/>
  <c r="AI112" i="19"/>
  <c r="AH112" i="19"/>
  <c r="AH118" i="19" s="1"/>
  <c r="C189" i="69" s="1"/>
  <c r="AG112" i="19"/>
  <c r="AG118" i="19" s="1"/>
  <c r="AJ111" i="19"/>
  <c r="AJ117" i="19" s="1"/>
  <c r="AI117" i="19"/>
  <c r="AH111" i="19"/>
  <c r="AH117" i="19" s="1"/>
  <c r="AG111" i="19"/>
  <c r="AG117" i="19"/>
  <c r="N105" i="19"/>
  <c r="M105" i="19"/>
  <c r="L105" i="19"/>
  <c r="K105" i="19"/>
  <c r="J105" i="19"/>
  <c r="AJ110" i="19"/>
  <c r="AJ116" i="19" s="1"/>
  <c r="AJ109" i="19"/>
  <c r="AJ115" i="19" s="1"/>
  <c r="AI116" i="19"/>
  <c r="AH110" i="19"/>
  <c r="AH116" i="19" s="1"/>
  <c r="AG110" i="19"/>
  <c r="AG116" i="19" s="1"/>
  <c r="AI109" i="19"/>
  <c r="AI115" i="19" s="1"/>
  <c r="AI119" i="19" s="1"/>
  <c r="AI122" i="19" s="1"/>
  <c r="AG109" i="19"/>
  <c r="AG115" i="19" s="1"/>
  <c r="AJ108" i="19"/>
  <c r="AH108" i="19"/>
  <c r="AG108" i="19"/>
  <c r="AJ107" i="19"/>
  <c r="AJ120" i="19" s="1"/>
  <c r="AH107" i="19"/>
  <c r="AH120" i="19" s="1"/>
  <c r="AG107" i="19"/>
  <c r="AG120" i="19"/>
  <c r="AK106" i="19"/>
  <c r="AK114" i="19"/>
  <c r="AJ106" i="19"/>
  <c r="AJ114" i="19" s="1"/>
  <c r="AI106" i="19"/>
  <c r="AI114" i="19" s="1"/>
  <c r="AH106" i="19"/>
  <c r="AH114" i="19" s="1"/>
  <c r="AP98" i="19"/>
  <c r="AO98" i="19"/>
  <c r="AN98" i="19"/>
  <c r="AP97" i="19"/>
  <c r="AO97" i="19"/>
  <c r="AN97" i="19"/>
  <c r="AP96" i="19"/>
  <c r="AO96" i="19"/>
  <c r="AN96" i="19"/>
  <c r="AP95" i="19"/>
  <c r="AO95" i="19"/>
  <c r="AN95" i="19"/>
  <c r="AP94" i="19"/>
  <c r="AO94" i="19"/>
  <c r="AN94" i="19"/>
  <c r="AG95" i="19"/>
  <c r="AG94" i="19"/>
  <c r="AG91" i="19"/>
  <c r="N87" i="19"/>
  <c r="M87" i="19"/>
  <c r="AG90" i="19"/>
  <c r="AG83" i="19" s="1"/>
  <c r="AG89" i="19"/>
  <c r="AG82" i="19" s="1"/>
  <c r="AG88" i="19"/>
  <c r="AJ87" i="19"/>
  <c r="AG63" i="19"/>
  <c r="AG86" i="19"/>
  <c r="AH85" i="19"/>
  <c r="AG85" i="19"/>
  <c r="K81" i="19"/>
  <c r="J81" i="19"/>
  <c r="I81" i="19"/>
  <c r="H78" i="19"/>
  <c r="H81" i="19" s="1"/>
  <c r="J76" i="19"/>
  <c r="K76" i="19"/>
  <c r="L76" i="19" s="1"/>
  <c r="M76" i="19" s="1"/>
  <c r="N76" i="19" s="1"/>
  <c r="O76" i="19" s="1"/>
  <c r="P76" i="19" s="1"/>
  <c r="Q76" i="19" s="1"/>
  <c r="R76" i="19" s="1"/>
  <c r="J74" i="19"/>
  <c r="K74" i="19"/>
  <c r="L74" i="19" s="1"/>
  <c r="M74" i="19" s="1"/>
  <c r="N74" i="19" s="1"/>
  <c r="O74" i="19" s="1"/>
  <c r="P74" i="19" s="1"/>
  <c r="Q74" i="19" s="1"/>
  <c r="R74" i="19" s="1"/>
  <c r="AJ73" i="19"/>
  <c r="AG73" i="19"/>
  <c r="AG81" i="19" s="1"/>
  <c r="AJ72" i="19"/>
  <c r="AG72" i="19"/>
  <c r="AG80" i="19"/>
  <c r="AJ71" i="19"/>
  <c r="AG71" i="19"/>
  <c r="AJ70" i="19"/>
  <c r="AG70" i="19"/>
  <c r="AJ69" i="19"/>
  <c r="AG69" i="19"/>
  <c r="AJ68" i="19"/>
  <c r="AG68" i="19"/>
  <c r="I68" i="19"/>
  <c r="J68" i="19" s="1"/>
  <c r="K68" i="19" s="1"/>
  <c r="L68" i="19" s="1"/>
  <c r="M68" i="19" s="1"/>
  <c r="N68" i="19" s="1"/>
  <c r="O68" i="19" s="1"/>
  <c r="P68" i="19" s="1"/>
  <c r="Q68" i="19" s="1"/>
  <c r="R68" i="19" s="1"/>
  <c r="G68" i="19"/>
  <c r="F68" i="19" s="1"/>
  <c r="E68" i="19" s="1"/>
  <c r="B68" i="19"/>
  <c r="AJ67" i="19"/>
  <c r="AG67" i="19"/>
  <c r="AG66" i="19"/>
  <c r="AG65" i="19"/>
  <c r="L65" i="19"/>
  <c r="M65" i="19" s="1"/>
  <c r="N65" i="19" s="1"/>
  <c r="O65" i="19" s="1"/>
  <c r="P65" i="19" s="1"/>
  <c r="Q65" i="19" s="1"/>
  <c r="R65" i="19" s="1"/>
  <c r="AG64" i="19"/>
  <c r="AK63" i="19"/>
  <c r="AJ63" i="19"/>
  <c r="AJ140" i="19" s="1"/>
  <c r="AI63" i="19"/>
  <c r="AI140" i="19" s="1"/>
  <c r="AH63" i="19"/>
  <c r="AH140" i="19" s="1"/>
  <c r="I62" i="19"/>
  <c r="J62" i="19" s="1"/>
  <c r="K62" i="19" s="1"/>
  <c r="L62" i="19" s="1"/>
  <c r="M62" i="19" s="1"/>
  <c r="N62" i="19" s="1"/>
  <c r="O62" i="19" s="1"/>
  <c r="P62" i="19" s="1"/>
  <c r="Q62" i="19" s="1"/>
  <c r="R62" i="19" s="1"/>
  <c r="G62" i="19"/>
  <c r="F62" i="19" s="1"/>
  <c r="E62" i="19" s="1"/>
  <c r="B62" i="19"/>
  <c r="L59" i="19"/>
  <c r="M59" i="19" s="1"/>
  <c r="N59" i="19" s="1"/>
  <c r="O59" i="19" s="1"/>
  <c r="P59" i="19" s="1"/>
  <c r="Q59" i="19" s="1"/>
  <c r="R59" i="19" s="1"/>
  <c r="I56" i="19"/>
  <c r="J56" i="19"/>
  <c r="K56" i="19" s="1"/>
  <c r="L56" i="19" s="1"/>
  <c r="M56" i="19" s="1"/>
  <c r="N56" i="19" s="1"/>
  <c r="O56" i="19" s="1"/>
  <c r="P56" i="19" s="1"/>
  <c r="Q56" i="19" s="1"/>
  <c r="R56" i="19" s="1"/>
  <c r="G56" i="19"/>
  <c r="F56" i="19"/>
  <c r="E56" i="19" s="1"/>
  <c r="B56" i="19"/>
  <c r="AM54" i="19" a="1"/>
  <c r="AM54" i="19" s="1"/>
  <c r="AL54" i="19" a="1"/>
  <c r="AL54" i="19" s="1"/>
  <c r="AK54" i="19" a="1"/>
  <c r="AK54" i="19"/>
  <c r="AJ54" i="19" a="1"/>
  <c r="AJ54" i="19"/>
  <c r="AI54" i="19" a="1"/>
  <c r="AI54" i="19" s="1"/>
  <c r="AH54" i="19" a="1"/>
  <c r="AH54" i="19" s="1"/>
  <c r="AL50" i="19"/>
  <c r="AR41" i="19" s="1"/>
  <c r="AJ49" i="19"/>
  <c r="AO41" i="19" s="1"/>
  <c r="AL48" i="19"/>
  <c r="AJ48" i="19"/>
  <c r="AO40" i="19" s="1"/>
  <c r="AF45" i="19"/>
  <c r="AF46" i="19" s="1"/>
  <c r="AP44" i="19"/>
  <c r="AM3" i="19" s="1"/>
  <c r="AI43" i="19"/>
  <c r="AK68" i="19"/>
  <c r="AQ41" i="19"/>
  <c r="AN41" i="19"/>
  <c r="AQ40" i="19"/>
  <c r="AN40" i="19"/>
  <c r="AQ39" i="19"/>
  <c r="AN39" i="19"/>
  <c r="AQ38" i="19"/>
  <c r="AN38" i="19"/>
  <c r="AQ37" i="19"/>
  <c r="AO37" i="19"/>
  <c r="AN37" i="19"/>
  <c r="AQ36" i="19"/>
  <c r="C35" i="19"/>
  <c r="G31" i="19"/>
  <c r="F31" i="19"/>
  <c r="E31" i="19"/>
  <c r="I29" i="19"/>
  <c r="H29" i="19"/>
  <c r="G29" i="19"/>
  <c r="F29" i="19"/>
  <c r="E28" i="19"/>
  <c r="I25" i="19"/>
  <c r="J25" i="19" s="1"/>
  <c r="K25" i="19" s="1"/>
  <c r="L25" i="19" s="1"/>
  <c r="M25" i="19" s="1"/>
  <c r="N25" i="19" s="1"/>
  <c r="O25" i="19" s="1"/>
  <c r="P25" i="19" s="1"/>
  <c r="Q25" i="19" s="1"/>
  <c r="R25" i="19" s="1"/>
  <c r="G25" i="19"/>
  <c r="F25" i="19" s="1"/>
  <c r="E25" i="19" s="1"/>
  <c r="AR22" i="19"/>
  <c r="AU13" i="19"/>
  <c r="AM13" i="19"/>
  <c r="AP11" i="19"/>
  <c r="AL10" i="19"/>
  <c r="P10" i="19"/>
  <c r="AI9" i="19"/>
  <c r="AL7" i="19"/>
  <c r="AL11" i="19" s="1"/>
  <c r="AI7" i="19"/>
  <c r="AI5" i="19"/>
  <c r="AI3" i="19"/>
  <c r="E3" i="19"/>
  <c r="F3" i="19"/>
  <c r="P2" i="19"/>
  <c r="B2" i="19"/>
  <c r="I314" i="4"/>
  <c r="H314" i="4"/>
  <c r="G314" i="4"/>
  <c r="L297" i="4"/>
  <c r="K297" i="4"/>
  <c r="C297" i="4"/>
  <c r="G286" i="4"/>
  <c r="I279" i="4"/>
  <c r="J279" i="4" s="1"/>
  <c r="K279" i="4" s="1"/>
  <c r="L279" i="4" s="1"/>
  <c r="M279" i="4" s="1"/>
  <c r="N279" i="4" s="1"/>
  <c r="M277" i="4"/>
  <c r="L277" i="4"/>
  <c r="K277" i="4"/>
  <c r="J277" i="4"/>
  <c r="I277" i="4"/>
  <c r="H277" i="4"/>
  <c r="G277" i="4"/>
  <c r="G268" i="4"/>
  <c r="F268" i="4"/>
  <c r="M258" i="4"/>
  <c r="M268" i="4" s="1"/>
  <c r="L258" i="4"/>
  <c r="L268" i="4" s="1"/>
  <c r="L254" i="4"/>
  <c r="K254" i="4"/>
  <c r="L238" i="4"/>
  <c r="K238" i="4"/>
  <c r="L228" i="4"/>
  <c r="L226" i="4"/>
  <c r="K226" i="4"/>
  <c r="I223" i="4"/>
  <c r="H223" i="4"/>
  <c r="I222" i="4"/>
  <c r="H222" i="4"/>
  <c r="I221" i="4"/>
  <c r="H221" i="4"/>
  <c r="I220" i="4"/>
  <c r="H220" i="4"/>
  <c r="B220" i="4"/>
  <c r="C219" i="4"/>
  <c r="G218" i="4"/>
  <c r="C215" i="4"/>
  <c r="C214" i="4"/>
  <c r="C213" i="4"/>
  <c r="C212" i="4"/>
  <c r="J203" i="4"/>
  <c r="I203" i="4"/>
  <c r="H203" i="4"/>
  <c r="G203" i="4"/>
  <c r="F203" i="4"/>
  <c r="C199" i="4"/>
  <c r="C198" i="4"/>
  <c r="C196" i="4"/>
  <c r="C194" i="4"/>
  <c r="C192" i="4"/>
  <c r="C190" i="4"/>
  <c r="C188" i="4"/>
  <c r="C184" i="4"/>
  <c r="M176" i="4"/>
  <c r="P176" i="4"/>
  <c r="Q176" i="4" s="1"/>
  <c r="R176" i="4" s="1"/>
  <c r="S176" i="4" s="1"/>
  <c r="T176" i="4" s="1"/>
  <c r="U176" i="4" s="1"/>
  <c r="L176" i="4"/>
  <c r="K176" i="4"/>
  <c r="J176" i="4"/>
  <c r="I176" i="4"/>
  <c r="H176" i="4"/>
  <c r="M172" i="4"/>
  <c r="L172" i="4"/>
  <c r="K172" i="4"/>
  <c r="J172" i="4"/>
  <c r="I172" i="4"/>
  <c r="H172" i="4"/>
  <c r="C172" i="4"/>
  <c r="M171" i="4"/>
  <c r="L171" i="4"/>
  <c r="K171" i="4"/>
  <c r="J171" i="4"/>
  <c r="I171" i="4"/>
  <c r="I268" i="4" s="1"/>
  <c r="H171" i="4"/>
  <c r="H268" i="4" s="1"/>
  <c r="C171" i="4"/>
  <c r="M170" i="4"/>
  <c r="L170" i="4"/>
  <c r="K170" i="4"/>
  <c r="K166" i="4"/>
  <c r="K167" i="4"/>
  <c r="K168" i="4"/>
  <c r="K169" i="4"/>
  <c r="J170" i="4"/>
  <c r="I170" i="4"/>
  <c r="H170" i="4"/>
  <c r="C170" i="4"/>
  <c r="M169" i="4"/>
  <c r="L169" i="4"/>
  <c r="L168" i="4"/>
  <c r="J169" i="4"/>
  <c r="I169" i="4"/>
  <c r="H169" i="4"/>
  <c r="C169" i="4"/>
  <c r="M168" i="4"/>
  <c r="J168" i="4"/>
  <c r="I168" i="4"/>
  <c r="H168" i="4"/>
  <c r="C168" i="4"/>
  <c r="M167" i="4"/>
  <c r="L167" i="4"/>
  <c r="J167" i="4"/>
  <c r="I167" i="4"/>
  <c r="H167" i="4"/>
  <c r="C167" i="4"/>
  <c r="M166" i="4"/>
  <c r="L166" i="4"/>
  <c r="J166" i="4"/>
  <c r="I166" i="4"/>
  <c r="H166" i="4"/>
  <c r="C166" i="4"/>
  <c r="M160" i="4"/>
  <c r="L160" i="4"/>
  <c r="K160" i="4"/>
  <c r="J160" i="4"/>
  <c r="I160" i="4"/>
  <c r="H160" i="4"/>
  <c r="C160" i="4"/>
  <c r="M159" i="4"/>
  <c r="L159" i="4"/>
  <c r="K159" i="4"/>
  <c r="J159" i="4"/>
  <c r="I159" i="4"/>
  <c r="H159" i="4"/>
  <c r="C159" i="4"/>
  <c r="M158" i="4"/>
  <c r="L158" i="4"/>
  <c r="K158" i="4"/>
  <c r="J158" i="4"/>
  <c r="I158" i="4"/>
  <c r="H158" i="4"/>
  <c r="C158" i="4"/>
  <c r="M157" i="4"/>
  <c r="L157" i="4"/>
  <c r="K157" i="4"/>
  <c r="J157" i="4"/>
  <c r="I157" i="4"/>
  <c r="H157" i="4"/>
  <c r="C157" i="4"/>
  <c r="M156" i="4"/>
  <c r="L156" i="4"/>
  <c r="K156" i="4"/>
  <c r="J156" i="4"/>
  <c r="I156" i="4"/>
  <c r="H156" i="4"/>
  <c r="C156" i="4"/>
  <c r="M155" i="4"/>
  <c r="L155" i="4"/>
  <c r="K155" i="4"/>
  <c r="J155" i="4"/>
  <c r="I155" i="4"/>
  <c r="H155" i="4"/>
  <c r="C155" i="4"/>
  <c r="M154" i="4"/>
  <c r="L154" i="4"/>
  <c r="K154" i="4"/>
  <c r="F15" i="19" s="1"/>
  <c r="J154" i="4"/>
  <c r="E15" i="19" s="1"/>
  <c r="J64" i="4"/>
  <c r="I154" i="4"/>
  <c r="I217" i="4" s="1"/>
  <c r="I64" i="4"/>
  <c r="I290" i="4" s="1"/>
  <c r="H154" i="4"/>
  <c r="H217" i="4" s="1"/>
  <c r="G154" i="4"/>
  <c r="G217" i="4" s="1"/>
  <c r="F154" i="4"/>
  <c r="F217" i="4" s="1"/>
  <c r="E154" i="4"/>
  <c r="C154" i="4"/>
  <c r="M148" i="4"/>
  <c r="L148" i="4"/>
  <c r="K148" i="4"/>
  <c r="J148" i="4"/>
  <c r="I148" i="4"/>
  <c r="H148" i="4"/>
  <c r="M147" i="4"/>
  <c r="L147" i="4"/>
  <c r="K147" i="4"/>
  <c r="K142" i="4"/>
  <c r="K143" i="4"/>
  <c r="J147" i="4"/>
  <c r="M143" i="4"/>
  <c r="L143" i="4"/>
  <c r="J143" i="4"/>
  <c r="J142" i="4"/>
  <c r="I143" i="4"/>
  <c r="H143" i="4"/>
  <c r="M142" i="4"/>
  <c r="L142" i="4"/>
  <c r="I142" i="4"/>
  <c r="H142" i="4"/>
  <c r="M139" i="4"/>
  <c r="L139" i="4"/>
  <c r="K139" i="4"/>
  <c r="J139" i="4"/>
  <c r="I139" i="4"/>
  <c r="H139" i="4"/>
  <c r="G139" i="4"/>
  <c r="C139" i="4"/>
  <c r="M138" i="4"/>
  <c r="L138" i="4"/>
  <c r="K138" i="4"/>
  <c r="J138" i="4"/>
  <c r="I138" i="4"/>
  <c r="H138" i="4"/>
  <c r="G138" i="4"/>
  <c r="C138" i="4"/>
  <c r="M137" i="4"/>
  <c r="L137" i="4"/>
  <c r="K137" i="4"/>
  <c r="J137" i="4"/>
  <c r="I137" i="4"/>
  <c r="H137" i="4"/>
  <c r="G137" i="4"/>
  <c r="C137" i="4"/>
  <c r="M136" i="4"/>
  <c r="L136" i="4"/>
  <c r="K136" i="4"/>
  <c r="J136" i="4"/>
  <c r="I136" i="4"/>
  <c r="H136" i="4"/>
  <c r="G136" i="4"/>
  <c r="C136" i="4"/>
  <c r="M135" i="4"/>
  <c r="L135" i="4"/>
  <c r="K135" i="4"/>
  <c r="J135" i="4"/>
  <c r="I135" i="4"/>
  <c r="H135" i="4"/>
  <c r="G135" i="4"/>
  <c r="C135" i="4"/>
  <c r="M130" i="4"/>
  <c r="L130" i="4"/>
  <c r="K130" i="4"/>
  <c r="J130" i="4"/>
  <c r="I130" i="4"/>
  <c r="H130" i="4"/>
  <c r="M129" i="4"/>
  <c r="L129" i="4"/>
  <c r="K129" i="4"/>
  <c r="J129" i="4"/>
  <c r="I129" i="4"/>
  <c r="H129" i="4"/>
  <c r="M128" i="4"/>
  <c r="L128" i="4"/>
  <c r="K128" i="4"/>
  <c r="J128" i="4"/>
  <c r="I128" i="4"/>
  <c r="H128" i="4"/>
  <c r="M127" i="4"/>
  <c r="P127" i="4"/>
  <c r="Q127" i="4" s="1"/>
  <c r="R127" i="4" s="1"/>
  <c r="S127" i="4" s="1"/>
  <c r="T127" i="4" s="1"/>
  <c r="U127" i="4" s="1"/>
  <c r="L127" i="4"/>
  <c r="K127" i="4"/>
  <c r="J127" i="4"/>
  <c r="I127" i="4"/>
  <c r="H127" i="4"/>
  <c r="M126" i="4"/>
  <c r="L126" i="4"/>
  <c r="K126" i="4"/>
  <c r="J126" i="4"/>
  <c r="I126" i="4"/>
  <c r="H126" i="4"/>
  <c r="W125" i="4"/>
  <c r="W124" i="4"/>
  <c r="M124" i="4"/>
  <c r="E5" i="64" s="1"/>
  <c r="L124" i="4"/>
  <c r="L233" i="4" s="1"/>
  <c r="L115" i="4" s="1"/>
  <c r="G11" i="19" s="1"/>
  <c r="K124" i="4"/>
  <c r="K233" i="4" s="1"/>
  <c r="K115" i="4" s="1"/>
  <c r="F11" i="19" s="1"/>
  <c r="J124" i="4"/>
  <c r="J233" i="4" s="1"/>
  <c r="J115" i="4" s="1"/>
  <c r="E11" i="19" s="1"/>
  <c r="I124" i="4"/>
  <c r="I233" i="4" s="1"/>
  <c r="I115" i="4" s="1"/>
  <c r="H124" i="4"/>
  <c r="H233" i="4" s="1"/>
  <c r="H115" i="4" s="1"/>
  <c r="C122" i="4"/>
  <c r="C120" i="4"/>
  <c r="M116" i="4"/>
  <c r="H12" i="19" s="1"/>
  <c r="L116" i="4"/>
  <c r="G12" i="19" s="1"/>
  <c r="K116" i="4"/>
  <c r="F12" i="19" s="1"/>
  <c r="J116" i="4"/>
  <c r="E12" i="19" s="1"/>
  <c r="I116" i="4"/>
  <c r="H116" i="4"/>
  <c r="M111" i="4"/>
  <c r="L111" i="4"/>
  <c r="J111" i="4"/>
  <c r="I111" i="4"/>
  <c r="H111" i="4"/>
  <c r="G111" i="4"/>
  <c r="F111" i="4"/>
  <c r="E111" i="4"/>
  <c r="P110" i="4"/>
  <c r="Q110" i="4" s="1"/>
  <c r="R110" i="4" s="1"/>
  <c r="I110" i="4"/>
  <c r="H110" i="4"/>
  <c r="G110" i="4"/>
  <c r="F110" i="4"/>
  <c r="E110" i="4"/>
  <c r="M103" i="4"/>
  <c r="L103" i="4"/>
  <c r="K103" i="4"/>
  <c r="J103" i="4"/>
  <c r="I103" i="4"/>
  <c r="M100" i="4"/>
  <c r="L100" i="4"/>
  <c r="K100" i="4"/>
  <c r="J100" i="4"/>
  <c r="I100" i="4"/>
  <c r="M99" i="4"/>
  <c r="L99" i="4"/>
  <c r="K99" i="4"/>
  <c r="J99" i="4"/>
  <c r="I99" i="4"/>
  <c r="M94" i="4"/>
  <c r="L94" i="4"/>
  <c r="K94" i="4"/>
  <c r="J94" i="4"/>
  <c r="I94" i="4"/>
  <c r="I92" i="4" s="1"/>
  <c r="M93" i="4"/>
  <c r="L93" i="4"/>
  <c r="K93" i="4"/>
  <c r="J93" i="4"/>
  <c r="I93" i="4"/>
  <c r="M90" i="4"/>
  <c r="L90" i="4"/>
  <c r="K90" i="4"/>
  <c r="J90" i="4"/>
  <c r="I90" i="4"/>
  <c r="M88" i="4"/>
  <c r="L88" i="4"/>
  <c r="K88" i="4"/>
  <c r="J88" i="4"/>
  <c r="I88" i="4"/>
  <c r="M87" i="4"/>
  <c r="L87" i="4"/>
  <c r="K87" i="4"/>
  <c r="J87" i="4"/>
  <c r="I87" i="4"/>
  <c r="M86" i="4"/>
  <c r="L86" i="4"/>
  <c r="K86" i="4"/>
  <c r="J86" i="4"/>
  <c r="I86" i="4"/>
  <c r="M85" i="4"/>
  <c r="L85" i="4"/>
  <c r="K85" i="4"/>
  <c r="J85" i="4"/>
  <c r="I85" i="4"/>
  <c r="C85" i="4"/>
  <c r="M83" i="4"/>
  <c r="L83" i="4"/>
  <c r="K83" i="4"/>
  <c r="J83" i="4"/>
  <c r="I83" i="4"/>
  <c r="M82" i="4"/>
  <c r="L82" i="4"/>
  <c r="K82" i="4"/>
  <c r="J82" i="4"/>
  <c r="I82" i="4"/>
  <c r="M81" i="4"/>
  <c r="L81" i="4"/>
  <c r="K81" i="4"/>
  <c r="J81" i="4"/>
  <c r="I81" i="4"/>
  <c r="M80" i="4"/>
  <c r="AB76" i="4" s="1"/>
  <c r="L80" i="4"/>
  <c r="K80" i="4"/>
  <c r="J80" i="4"/>
  <c r="I80" i="4"/>
  <c r="H33" i="4"/>
  <c r="M66" i="4"/>
  <c r="L66" i="4"/>
  <c r="K66" i="4"/>
  <c r="J66" i="4"/>
  <c r="I66" i="4"/>
  <c r="M64" i="4"/>
  <c r="N65" i="4" s="1"/>
  <c r="L64" i="4"/>
  <c r="G5" i="19" s="1"/>
  <c r="K64" i="4"/>
  <c r="K290" i="4" s="1"/>
  <c r="J204" i="4"/>
  <c r="G205" i="4"/>
  <c r="L63" i="4"/>
  <c r="K63" i="4"/>
  <c r="C63" i="4"/>
  <c r="F62" i="4"/>
  <c r="B58" i="4"/>
  <c r="J55" i="4"/>
  <c r="C54" i="4"/>
  <c r="C48" i="4"/>
  <c r="C44" i="4"/>
  <c r="M40" i="4"/>
  <c r="L40" i="4"/>
  <c r="K40" i="4"/>
  <c r="J40" i="4"/>
  <c r="I40" i="4"/>
  <c r="H40" i="4"/>
  <c r="G40" i="4"/>
  <c r="F40" i="4"/>
  <c r="E40" i="4"/>
  <c r="M39" i="4"/>
  <c r="L39" i="4"/>
  <c r="K39" i="4"/>
  <c r="J39" i="4"/>
  <c r="I39" i="4"/>
  <c r="H39" i="4"/>
  <c r="G39" i="4"/>
  <c r="F39" i="4"/>
  <c r="E39" i="4"/>
  <c r="K32" i="4"/>
  <c r="K33" i="4" s="1"/>
  <c r="I33" i="4"/>
  <c r="G33" i="4"/>
  <c r="F33" i="4"/>
  <c r="E33" i="4"/>
  <c r="M32" i="4"/>
  <c r="M33" i="4" s="1"/>
  <c r="L32" i="4"/>
  <c r="L33" i="4" s="1"/>
  <c r="J32" i="4"/>
  <c r="J33" i="4" s="1"/>
  <c r="I32" i="4"/>
  <c r="H32" i="4"/>
  <c r="G32" i="4"/>
  <c r="F32" i="4"/>
  <c r="E32" i="4"/>
  <c r="M27" i="4"/>
  <c r="L27" i="4"/>
  <c r="K27" i="4"/>
  <c r="J27" i="4"/>
  <c r="C21" i="4"/>
  <c r="C20" i="4"/>
  <c r="C19" i="4"/>
  <c r="C17" i="4"/>
  <c r="C16" i="4"/>
  <c r="C15" i="4"/>
  <c r="C14" i="4"/>
  <c r="C13" i="4"/>
  <c r="C10" i="4"/>
  <c r="C186" i="4" s="1"/>
  <c r="C9" i="4"/>
  <c r="C182" i="4" s="1"/>
  <c r="C8" i="4"/>
  <c r="A79" i="64" s="1"/>
  <c r="C7" i="4"/>
  <c r="M6" i="4"/>
  <c r="L6" i="4"/>
  <c r="K6" i="4"/>
  <c r="J6" i="4"/>
  <c r="C5" i="4"/>
  <c r="C2" i="4"/>
  <c r="I1" i="4"/>
  <c r="H1" i="4" s="1"/>
  <c r="AL265" i="62"/>
  <c r="AL266" i="62" s="1"/>
  <c r="AM265" i="62"/>
  <c r="AM266" i="62" s="1"/>
  <c r="AK265" i="62"/>
  <c r="AK266" i="62" s="1"/>
  <c r="G254" i="62"/>
  <c r="F254" i="62"/>
  <c r="E254" i="62"/>
  <c r="D254" i="62"/>
  <c r="I253" i="62"/>
  <c r="G243" i="62"/>
  <c r="B234" i="62"/>
  <c r="C13" i="62" s="1"/>
  <c r="AO227" i="62"/>
  <c r="AN227" i="62"/>
  <c r="AM227" i="62"/>
  <c r="AL227" i="62"/>
  <c r="AK227" i="62"/>
  <c r="AJ227" i="62"/>
  <c r="AI227" i="62"/>
  <c r="AH227" i="62"/>
  <c r="AG227" i="62"/>
  <c r="AQ226" i="62"/>
  <c r="AM225" i="62"/>
  <c r="AM226" i="62" s="1"/>
  <c r="AK225" i="62"/>
  <c r="AK226" i="62" s="1"/>
  <c r="AH225" i="62"/>
  <c r="AH226" i="62" s="1"/>
  <c r="AQ225" i="62"/>
  <c r="AL225" i="62"/>
  <c r="AL226" i="62" s="1"/>
  <c r="AJ225" i="62"/>
  <c r="AJ226" i="62" s="1"/>
  <c r="AI225" i="62"/>
  <c r="AI226" i="62" s="1"/>
  <c r="AG225" i="62"/>
  <c r="AG226" i="62" s="1"/>
  <c r="AF225" i="62"/>
  <c r="AF226" i="62" s="1"/>
  <c r="AN223" i="62"/>
  <c r="AM223" i="62"/>
  <c r="AL223" i="62"/>
  <c r="AK223" i="62"/>
  <c r="AJ223" i="62"/>
  <c r="AI223" i="62"/>
  <c r="AH223" i="62"/>
  <c r="AG223" i="62"/>
  <c r="AF223" i="62"/>
  <c r="I220" i="62"/>
  <c r="I219" i="62"/>
  <c r="I217" i="62"/>
  <c r="I216" i="62"/>
  <c r="I215" i="62"/>
  <c r="I214" i="62"/>
  <c r="I213" i="62"/>
  <c r="I212" i="62"/>
  <c r="I211" i="62"/>
  <c r="I210" i="62"/>
  <c r="I209" i="62"/>
  <c r="AO208" i="62"/>
  <c r="AN208" i="62"/>
  <c r="AM208" i="62"/>
  <c r="AL208" i="62"/>
  <c r="AK208" i="62"/>
  <c r="AJ208" i="62"/>
  <c r="AI208" i="62"/>
  <c r="AH208" i="62"/>
  <c r="AG208" i="62"/>
  <c r="AF208" i="62"/>
  <c r="H208" i="62"/>
  <c r="H222" i="62" s="1"/>
  <c r="G208" i="62"/>
  <c r="G222" i="62" s="1"/>
  <c r="G142" i="62"/>
  <c r="F208" i="62"/>
  <c r="F222" i="62" s="1"/>
  <c r="E208" i="62"/>
  <c r="E222" i="62" s="1"/>
  <c r="E142" i="62"/>
  <c r="E144" i="62" s="1"/>
  <c r="H207" i="62"/>
  <c r="G207" i="62"/>
  <c r="F207" i="62"/>
  <c r="AO199" i="62"/>
  <c r="AN199" i="62"/>
  <c r="AM199" i="62"/>
  <c r="AL199" i="62"/>
  <c r="AK199" i="62"/>
  <c r="AJ199" i="62"/>
  <c r="AI199" i="62"/>
  <c r="AH199" i="62"/>
  <c r="AG199" i="62"/>
  <c r="D193" i="62"/>
  <c r="C193" i="62"/>
  <c r="B193" i="62"/>
  <c r="I190" i="62"/>
  <c r="E189" i="62"/>
  <c r="E193" i="62" s="1"/>
  <c r="I186" i="62"/>
  <c r="J186" i="62" s="1"/>
  <c r="G185" i="62"/>
  <c r="G187" i="62" s="1"/>
  <c r="G188" i="62" s="1"/>
  <c r="F185" i="62"/>
  <c r="F187" i="62" s="1"/>
  <c r="F188" i="62" s="1"/>
  <c r="E185" i="62"/>
  <c r="K183" i="62"/>
  <c r="L183" i="62" s="1"/>
  <c r="M183" i="62" s="1"/>
  <c r="I183" i="62"/>
  <c r="AN182" i="62"/>
  <c r="AM182" i="62"/>
  <c r="AL182" i="62"/>
  <c r="AK182" i="62"/>
  <c r="I176" i="62"/>
  <c r="I177" i="62" s="1"/>
  <c r="A172" i="62"/>
  <c r="A171" i="62"/>
  <c r="A164" i="62"/>
  <c r="H156" i="62"/>
  <c r="J156" i="62" s="1"/>
  <c r="J157" i="62" s="1"/>
  <c r="B157" i="62"/>
  <c r="AM156" i="62"/>
  <c r="AL156" i="62"/>
  <c r="I156" i="62"/>
  <c r="I157" i="62" s="1"/>
  <c r="AM155" i="62"/>
  <c r="L154" i="62"/>
  <c r="H154" i="62"/>
  <c r="I154" i="62" s="1"/>
  <c r="H152" i="62"/>
  <c r="G152" i="62"/>
  <c r="AA151" i="62"/>
  <c r="Z151" i="62"/>
  <c r="Y151" i="62"/>
  <c r="X151" i="62"/>
  <c r="W151" i="62"/>
  <c r="V151" i="62"/>
  <c r="U151" i="62"/>
  <c r="U150" i="62" s="1"/>
  <c r="A151" i="62"/>
  <c r="A153" i="62" s="1"/>
  <c r="A155" i="62" s="1"/>
  <c r="U148" i="62"/>
  <c r="V148" i="62" s="1"/>
  <c r="W148" i="62" s="1"/>
  <c r="X148" i="62" s="1"/>
  <c r="Y148" i="62" s="1"/>
  <c r="Z148" i="62" s="1"/>
  <c r="AA148" i="62" s="1"/>
  <c r="AI144" i="62"/>
  <c r="D142" i="62"/>
  <c r="D144" i="62" s="1"/>
  <c r="AG142" i="62"/>
  <c r="H142" i="62"/>
  <c r="F142" i="62"/>
  <c r="F144" i="62" s="1"/>
  <c r="C142" i="62"/>
  <c r="C144" i="62" s="1"/>
  <c r="B142" i="62"/>
  <c r="B144" i="62" s="1"/>
  <c r="AM141" i="62"/>
  <c r="AM142" i="62" s="1"/>
  <c r="AM118" i="62" s="1"/>
  <c r="AI141" i="62"/>
  <c r="AH141" i="62"/>
  <c r="AH118" i="62" s="1"/>
  <c r="AH140" i="62"/>
  <c r="G140" i="62"/>
  <c r="F140" i="62"/>
  <c r="E140" i="62"/>
  <c r="H139" i="62"/>
  <c r="H140" i="62" s="1"/>
  <c r="H137" i="62"/>
  <c r="G137" i="62"/>
  <c r="F137" i="62"/>
  <c r="E137" i="62"/>
  <c r="AM136" i="62"/>
  <c r="AL136" i="62"/>
  <c r="AK136" i="62"/>
  <c r="I136" i="62"/>
  <c r="I137" i="62" s="1"/>
  <c r="AN135" i="62"/>
  <c r="AN136" i="62" s="1"/>
  <c r="H124" i="62"/>
  <c r="C25" i="94" s="1"/>
  <c r="AH126" i="62"/>
  <c r="U125" i="62"/>
  <c r="AO132" i="62"/>
  <c r="AK124" i="62"/>
  <c r="AK122" i="62" s="1"/>
  <c r="AG124" i="62"/>
  <c r="AG122" i="62" s="1"/>
  <c r="AH122" i="62" s="1"/>
  <c r="I124" i="62"/>
  <c r="D25" i="94" s="1"/>
  <c r="G124" i="62"/>
  <c r="F124" i="62"/>
  <c r="AM123" i="62"/>
  <c r="AN123" i="62" s="1"/>
  <c r="AJ123" i="62"/>
  <c r="E122" i="62"/>
  <c r="AL118" i="62"/>
  <c r="C118" i="62"/>
  <c r="C117" i="62"/>
  <c r="H116" i="62"/>
  <c r="A112" i="62"/>
  <c r="H111" i="62"/>
  <c r="H109" i="62"/>
  <c r="G109" i="62"/>
  <c r="F109" i="62"/>
  <c r="E109" i="62"/>
  <c r="D109" i="62"/>
  <c r="F102" i="62"/>
  <c r="F104" i="62" s="1"/>
  <c r="F106" i="62" s="1"/>
  <c r="H102" i="62"/>
  <c r="B118" i="62" s="1"/>
  <c r="E102" i="62"/>
  <c r="E110" i="62" s="1"/>
  <c r="B102" i="62"/>
  <c r="A102" i="62"/>
  <c r="A44" i="64" s="1"/>
  <c r="U57" i="64" s="1"/>
  <c r="M101" i="62"/>
  <c r="L101" i="62"/>
  <c r="K101" i="62"/>
  <c r="C97" i="62"/>
  <c r="D97" i="62" s="1"/>
  <c r="G96" i="62"/>
  <c r="E84" i="62"/>
  <c r="B83" i="62"/>
  <c r="H77" i="62"/>
  <c r="G77" i="62"/>
  <c r="F77" i="62"/>
  <c r="E77" i="62"/>
  <c r="D77" i="62"/>
  <c r="C77" i="62"/>
  <c r="B75" i="62"/>
  <c r="H71" i="62"/>
  <c r="H73" i="62" s="1"/>
  <c r="H75" i="62" s="1"/>
  <c r="G71" i="62"/>
  <c r="G73" i="62" s="1"/>
  <c r="F71" i="62"/>
  <c r="F73" i="62" s="1"/>
  <c r="F75" i="62" s="1"/>
  <c r="E71" i="62"/>
  <c r="D71" i="62"/>
  <c r="C71" i="62"/>
  <c r="C73" i="62" s="1"/>
  <c r="C75" i="62" s="1"/>
  <c r="B71" i="62"/>
  <c r="A71" i="62"/>
  <c r="A43" i="64" s="1"/>
  <c r="U56" i="64" s="1"/>
  <c r="G70" i="62"/>
  <c r="H70" i="62" s="1"/>
  <c r="A70" i="62"/>
  <c r="A81" i="62" s="1"/>
  <c r="A89" i="62" s="1"/>
  <c r="A113" i="62" s="1"/>
  <c r="A69" i="62"/>
  <c r="A80" i="62" s="1"/>
  <c r="H65" i="62"/>
  <c r="G65" i="62"/>
  <c r="F65" i="62"/>
  <c r="E65" i="62"/>
  <c r="D65" i="62"/>
  <c r="C65" i="62"/>
  <c r="F59" i="62"/>
  <c r="F61" i="62" s="1"/>
  <c r="F63" i="62" s="1"/>
  <c r="A60" i="62"/>
  <c r="H59" i="62"/>
  <c r="G59" i="62"/>
  <c r="G61" i="62" s="1"/>
  <c r="E59" i="62"/>
  <c r="E61" i="62" s="1"/>
  <c r="D59" i="62"/>
  <c r="D61" i="62" s="1"/>
  <c r="D63" i="62" s="1"/>
  <c r="C59" i="62"/>
  <c r="C61" i="62" s="1"/>
  <c r="B59" i="62"/>
  <c r="A59" i="62"/>
  <c r="A42" i="64" s="1"/>
  <c r="U54" i="64" s="1"/>
  <c r="AN56" i="62"/>
  <c r="AM56" i="62"/>
  <c r="AL56" i="62"/>
  <c r="AK56" i="62"/>
  <c r="AK54" i="62"/>
  <c r="AK55" i="62"/>
  <c r="AJ56" i="62"/>
  <c r="AI56" i="62"/>
  <c r="AH56" i="62"/>
  <c r="AG56" i="62"/>
  <c r="AF56" i="62"/>
  <c r="AE56" i="62"/>
  <c r="AD56" i="62"/>
  <c r="AC56" i="62"/>
  <c r="AN55" i="62"/>
  <c r="AM55" i="62"/>
  <c r="AL55" i="62"/>
  <c r="AJ55" i="62"/>
  <c r="AI55" i="62"/>
  <c r="AH55" i="62"/>
  <c r="AG55" i="62"/>
  <c r="AF55" i="62"/>
  <c r="AE55" i="62"/>
  <c r="AE48" i="62"/>
  <c r="AE54" i="62"/>
  <c r="AD55" i="62"/>
  <c r="AN54" i="62"/>
  <c r="AM54" i="62"/>
  <c r="AL54" i="62"/>
  <c r="AJ54" i="62"/>
  <c r="AI54" i="62"/>
  <c r="AH54" i="62"/>
  <c r="AG54" i="62"/>
  <c r="AF54" i="62"/>
  <c r="AM52" i="62"/>
  <c r="AN52" i="62" s="1"/>
  <c r="AL51" i="62"/>
  <c r="AM51" i="62" s="1"/>
  <c r="AN51" i="62" s="1"/>
  <c r="AK49" i="62"/>
  <c r="B114" i="76" s="1"/>
  <c r="AG49" i="62"/>
  <c r="AN48" i="62"/>
  <c r="AM48" i="62"/>
  <c r="AQ46" i="62" s="1"/>
  <c r="AK48" i="62"/>
  <c r="B117" i="76" s="1"/>
  <c r="AJ48" i="62"/>
  <c r="AI48" i="62"/>
  <c r="AH48" i="62"/>
  <c r="AG48" i="62"/>
  <c r="AF48" i="62"/>
  <c r="AO47" i="62"/>
  <c r="AN47" i="62"/>
  <c r="AL47" i="62"/>
  <c r="AK47" i="62"/>
  <c r="C47" i="62"/>
  <c r="A47" i="62"/>
  <c r="AG43" i="62"/>
  <c r="AG46" i="62" s="1"/>
  <c r="A46" i="62"/>
  <c r="AL45" i="62"/>
  <c r="AM45" i="62" s="1"/>
  <c r="AN45" i="62" s="1"/>
  <c r="I46" i="62" s="1"/>
  <c r="AH45" i="62"/>
  <c r="AH43" i="62"/>
  <c r="A45" i="62"/>
  <c r="AO43" i="62"/>
  <c r="AN43" i="62"/>
  <c r="AM43" i="62"/>
  <c r="AL43" i="62"/>
  <c r="AK43" i="62"/>
  <c r="AK46" i="62" s="1"/>
  <c r="AJ43" i="62"/>
  <c r="AI43" i="62"/>
  <c r="D41" i="62"/>
  <c r="H73" i="4" s="1"/>
  <c r="D42" i="62"/>
  <c r="H74" i="4" s="1"/>
  <c r="D6" i="62"/>
  <c r="I42" i="62"/>
  <c r="H42" i="62"/>
  <c r="L74" i="4" s="1"/>
  <c r="G42" i="62"/>
  <c r="F42" i="62"/>
  <c r="J74" i="4" s="1"/>
  <c r="E42" i="62"/>
  <c r="I74" i="4" s="1"/>
  <c r="C42" i="62"/>
  <c r="G74" i="4" s="1"/>
  <c r="B42" i="62"/>
  <c r="F74" i="4" s="1"/>
  <c r="I41" i="62"/>
  <c r="H41" i="62"/>
  <c r="L73" i="4" s="1"/>
  <c r="G41" i="62"/>
  <c r="K73" i="4" s="1"/>
  <c r="F41" i="62"/>
  <c r="F6" i="62"/>
  <c r="F24" i="62" s="1"/>
  <c r="E41" i="62"/>
  <c r="I73" i="4" s="1"/>
  <c r="C41" i="62"/>
  <c r="G73" i="4" s="1"/>
  <c r="B41" i="62"/>
  <c r="F73" i="4" s="1"/>
  <c r="G38" i="62"/>
  <c r="F38" i="62"/>
  <c r="E38" i="62"/>
  <c r="D38" i="62"/>
  <c r="C38" i="62"/>
  <c r="B38" i="62"/>
  <c r="A38" i="62"/>
  <c r="C37" i="62"/>
  <c r="B37" i="62"/>
  <c r="A36" i="62"/>
  <c r="AO34" i="62"/>
  <c r="AN34" i="62"/>
  <c r="AM34" i="62"/>
  <c r="AM6" i="62"/>
  <c r="AL34" i="62"/>
  <c r="AL6" i="62"/>
  <c r="G24" i="69" s="1"/>
  <c r="AK34" i="62"/>
  <c r="AK6" i="62"/>
  <c r="AJ34" i="62"/>
  <c r="AI34" i="62"/>
  <c r="AH34" i="62"/>
  <c r="AG34" i="62"/>
  <c r="R34" i="62"/>
  <c r="I34" i="62"/>
  <c r="M70" i="4" s="1"/>
  <c r="H34" i="62"/>
  <c r="L70" i="4" s="1"/>
  <c r="G34" i="62"/>
  <c r="K70" i="4" s="1"/>
  <c r="F34" i="62"/>
  <c r="J70" i="4" s="1"/>
  <c r="E34" i="62"/>
  <c r="I70" i="4" s="1"/>
  <c r="D34" i="62"/>
  <c r="H70" i="4" s="1"/>
  <c r="C34" i="62"/>
  <c r="B34" i="62"/>
  <c r="H33" i="62"/>
  <c r="G33" i="62"/>
  <c r="F33" i="62"/>
  <c r="E33" i="62"/>
  <c r="D33" i="62"/>
  <c r="C33" i="62"/>
  <c r="A29" i="62"/>
  <c r="A31" i="62" s="1"/>
  <c r="S26" i="62"/>
  <c r="R26" i="62"/>
  <c r="H25" i="62"/>
  <c r="G25" i="62"/>
  <c r="F25" i="62"/>
  <c r="E25" i="62"/>
  <c r="D25" i="62"/>
  <c r="C25" i="62"/>
  <c r="S23" i="62"/>
  <c r="R23" i="62"/>
  <c r="A22" i="62"/>
  <c r="A27" i="62" s="1"/>
  <c r="A21" i="62"/>
  <c r="A26" i="62" s="1"/>
  <c r="H20" i="62"/>
  <c r="G20" i="62"/>
  <c r="F20" i="62"/>
  <c r="E20" i="62"/>
  <c r="D20" i="62"/>
  <c r="C20" i="62"/>
  <c r="B20" i="62"/>
  <c r="B6" i="62"/>
  <c r="A20" i="62"/>
  <c r="A19" i="62"/>
  <c r="H18" i="62"/>
  <c r="G18" i="62"/>
  <c r="F18" i="62"/>
  <c r="E18" i="62"/>
  <c r="D18" i="62"/>
  <c r="A18" i="62"/>
  <c r="H17" i="62"/>
  <c r="G17" i="62"/>
  <c r="F17" i="62"/>
  <c r="E17" i="62"/>
  <c r="D17" i="62"/>
  <c r="C17" i="62"/>
  <c r="H13" i="62"/>
  <c r="G13" i="62"/>
  <c r="F13" i="62"/>
  <c r="E13" i="62"/>
  <c r="D13" i="62"/>
  <c r="S11" i="62"/>
  <c r="R11" i="62"/>
  <c r="H10" i="62"/>
  <c r="G10" i="62"/>
  <c r="F10" i="62"/>
  <c r="E10" i="62"/>
  <c r="D10" i="62"/>
  <c r="C10" i="62"/>
  <c r="S8" i="62"/>
  <c r="R8" i="62"/>
  <c r="E6" i="62"/>
  <c r="E150" i="62" s="1"/>
  <c r="AN6" i="62"/>
  <c r="I24" i="69" s="1"/>
  <c r="AG6" i="62"/>
  <c r="B24" i="69" s="1"/>
  <c r="AJ6" i="62"/>
  <c r="AI6" i="62"/>
  <c r="D24" i="69" s="1"/>
  <c r="AH6" i="62"/>
  <c r="AF6" i="62"/>
  <c r="AE6" i="62"/>
  <c r="AD6" i="62"/>
  <c r="Z6" i="62"/>
  <c r="AC6" i="62"/>
  <c r="Y6" i="62"/>
  <c r="AB6" i="62"/>
  <c r="AA6" i="62"/>
  <c r="X6" i="62"/>
  <c r="W6" i="62"/>
  <c r="V6" i="62"/>
  <c r="U6" i="62"/>
  <c r="H6" i="62"/>
  <c r="G6" i="62"/>
  <c r="G24" i="62" s="1"/>
  <c r="C6" i="62"/>
  <c r="I4" i="62"/>
  <c r="BG78" i="63"/>
  <c r="BG76" i="63"/>
  <c r="BG77" i="63" s="1"/>
  <c r="BB76" i="63"/>
  <c r="BK74" i="63"/>
  <c r="AY74" i="63"/>
  <c r="BK73" i="63"/>
  <c r="BJ72" i="63"/>
  <c r="BK72" i="63"/>
  <c r="AT72" i="63"/>
  <c r="BI71" i="63"/>
  <c r="BJ71" i="63" s="1"/>
  <c r="BK71" i="63" s="1"/>
  <c r="AX55" i="63"/>
  <c r="AX59" i="63" s="1"/>
  <c r="BG70" i="63"/>
  <c r="BV63" i="63"/>
  <c r="BW63" i="63" s="1"/>
  <c r="BX63" i="63" s="1"/>
  <c r="CA63" i="63"/>
  <c r="CB63" i="63" s="1"/>
  <c r="CC63" i="63" s="1"/>
  <c r="CD63" i="63" s="1"/>
  <c r="CE63" i="63" s="1"/>
  <c r="CF63" i="63" s="1"/>
  <c r="CG63" i="63" s="1"/>
  <c r="CH63" i="63" s="1"/>
  <c r="CI63" i="63" s="1"/>
  <c r="CJ63" i="63" s="1"/>
  <c r="CN63" i="63" s="1"/>
  <c r="CO63" i="63" s="1"/>
  <c r="CP63" i="63" s="1"/>
  <c r="CQ63" i="63" s="1"/>
  <c r="CR63" i="63" s="1"/>
  <c r="CS63" i="63" s="1"/>
  <c r="CT63" i="63" s="1"/>
  <c r="CU63" i="63" s="1"/>
  <c r="CV63" i="63" s="1"/>
  <c r="CW63" i="63" s="1"/>
  <c r="CX63" i="63" s="1"/>
  <c r="CY63" i="63" s="1"/>
  <c r="CZ63" i="63" s="1"/>
  <c r="DA63" i="63" s="1"/>
  <c r="DB63" i="63" s="1"/>
  <c r="DC63" i="63" s="1"/>
  <c r="DD63" i="63" s="1"/>
  <c r="DE63" i="63" s="1"/>
  <c r="DF63" i="63" s="1"/>
  <c r="DG63" i="63" s="1"/>
  <c r="DH63" i="63" s="1"/>
  <c r="DI63" i="63" s="1"/>
  <c r="DJ63" i="63" s="1"/>
  <c r="DK63" i="63" s="1"/>
  <c r="DL63" i="63" s="1"/>
  <c r="DM63" i="63" s="1"/>
  <c r="DN63" i="63" s="1"/>
  <c r="DO63" i="63" s="1"/>
  <c r="DP63" i="63" s="1"/>
  <c r="DQ63" i="63" s="1"/>
  <c r="DR63" i="63" s="1"/>
  <c r="DS63" i="63" s="1"/>
  <c r="DT63" i="63" s="1"/>
  <c r="DU63" i="63" s="1"/>
  <c r="DV63" i="63" s="1"/>
  <c r="DW63" i="63" s="1"/>
  <c r="DX63" i="63" s="1"/>
  <c r="DY63" i="63" s="1"/>
  <c r="DZ63" i="63" s="1"/>
  <c r="EA63" i="63" s="1"/>
  <c r="EB63" i="63" s="1"/>
  <c r="EC63" i="63" s="1"/>
  <c r="ED63" i="63" s="1"/>
  <c r="EE63" i="63" s="1"/>
  <c r="EF63" i="63" s="1"/>
  <c r="EG63" i="63" s="1"/>
  <c r="EH63" i="63" s="1"/>
  <c r="EI63" i="63" s="1"/>
  <c r="EJ63" i="63" s="1"/>
  <c r="EK63" i="63" s="1"/>
  <c r="EL63" i="63" s="1"/>
  <c r="EM63" i="63" s="1"/>
  <c r="EN63" i="63" s="1"/>
  <c r="EO63" i="63" s="1"/>
  <c r="EP63" i="63" s="1"/>
  <c r="EQ63" i="63" s="1"/>
  <c r="ER63" i="63" s="1"/>
  <c r="ES63" i="63" s="1"/>
  <c r="ET63" i="63" s="1"/>
  <c r="EU63" i="63" s="1"/>
  <c r="EV63" i="63" s="1"/>
  <c r="EW63" i="63" s="1"/>
  <c r="EX63" i="63" s="1"/>
  <c r="EY63" i="63" s="1"/>
  <c r="EZ63" i="63" s="1"/>
  <c r="FA63" i="63" s="1"/>
  <c r="FB63" i="63" s="1"/>
  <c r="FC63" i="63" s="1"/>
  <c r="FD63" i="63" s="1"/>
  <c r="FE63" i="63" s="1"/>
  <c r="FF63" i="63" s="1"/>
  <c r="FG63" i="63" s="1"/>
  <c r="FH63" i="63" s="1"/>
  <c r="FI63" i="63" s="1"/>
  <c r="FJ63" i="63" s="1"/>
  <c r="FK63" i="63" s="1"/>
  <c r="FL63" i="63" s="1"/>
  <c r="FM63" i="63" s="1"/>
  <c r="FN63" i="63" s="1"/>
  <c r="FO63" i="63" s="1"/>
  <c r="FP63" i="63" s="1"/>
  <c r="FQ63" i="63" s="1"/>
  <c r="FR63" i="63" s="1"/>
  <c r="FS63" i="63" s="1"/>
  <c r="FT63" i="63" s="1"/>
  <c r="FU63" i="63" s="1"/>
  <c r="FV63" i="63" s="1"/>
  <c r="FW63" i="63" s="1"/>
  <c r="BN63" i="63"/>
  <c r="BO63" i="63" s="1"/>
  <c r="BK63" i="63"/>
  <c r="BL63" i="63"/>
  <c r="BB63" i="63"/>
  <c r="BA63" i="63"/>
  <c r="AZ63" i="63"/>
  <c r="AY63" i="63"/>
  <c r="AX63" i="63"/>
  <c r="AW63" i="63"/>
  <c r="AV63" i="63"/>
  <c r="AU63" i="63"/>
  <c r="AT63" i="63"/>
  <c r="AS63" i="63"/>
  <c r="AR63" i="63"/>
  <c r="AQ63" i="63"/>
  <c r="BB70" i="63" s="1"/>
  <c r="AP63" i="63"/>
  <c r="BA70" i="63" s="1"/>
  <c r="AO63" i="63"/>
  <c r="AN63" i="63"/>
  <c r="AM63" i="63"/>
  <c r="AL63" i="63"/>
  <c r="AK63" i="63"/>
  <c r="AJ63" i="63"/>
  <c r="AI63" i="63"/>
  <c r="AH63" i="63"/>
  <c r="AG63" i="63"/>
  <c r="AF63" i="63"/>
  <c r="AE63" i="63"/>
  <c r="AD63" i="63"/>
  <c r="AC63" i="63"/>
  <c r="AB63" i="63"/>
  <c r="AA63" i="63"/>
  <c r="Z63" i="63"/>
  <c r="Y63" i="63"/>
  <c r="X63" i="63"/>
  <c r="W63" i="63"/>
  <c r="V63" i="63"/>
  <c r="U63" i="63"/>
  <c r="T63" i="63"/>
  <c r="S63" i="63"/>
  <c r="R63" i="63"/>
  <c r="Q63" i="63"/>
  <c r="P63" i="63"/>
  <c r="O63" i="63"/>
  <c r="N63" i="63"/>
  <c r="M63" i="63"/>
  <c r="L63" i="63"/>
  <c r="K63" i="63"/>
  <c r="J63" i="63"/>
  <c r="I63" i="63"/>
  <c r="H63" i="63"/>
  <c r="G63" i="63"/>
  <c r="F63" i="63"/>
  <c r="E63" i="63"/>
  <c r="D63" i="63"/>
  <c r="C63" i="63"/>
  <c r="B63" i="63"/>
  <c r="BE62" i="63"/>
  <c r="BE55" i="63"/>
  <c r="BE59" i="63" s="1"/>
  <c r="BD55" i="63"/>
  <c r="BD59" i="63" s="1"/>
  <c r="BB55" i="63"/>
  <c r="BA55" i="63"/>
  <c r="AZ55" i="63"/>
  <c r="AZ59" i="63" s="1"/>
  <c r="AY55" i="63"/>
  <c r="AY59" i="63" s="1"/>
  <c r="BE58" i="63"/>
  <c r="BD58" i="63"/>
  <c r="BB58" i="63"/>
  <c r="BA58" i="63"/>
  <c r="AZ58" i="63"/>
  <c r="AY58" i="63"/>
  <c r="BJ55" i="63"/>
  <c r="BJ59" i="63" s="1"/>
  <c r="BD44" i="63"/>
  <c r="P43" i="63"/>
  <c r="D43" i="63"/>
  <c r="O43" i="63"/>
  <c r="C43" i="63"/>
  <c r="BC43" i="63"/>
  <c r="BB43" i="63"/>
  <c r="AD162" i="69" s="1"/>
  <c r="BA43" i="63"/>
  <c r="AC162" i="69"/>
  <c r="AZ43" i="63"/>
  <c r="AB162" i="69" s="1"/>
  <c r="AY43" i="63"/>
  <c r="AA162" i="69" s="1"/>
  <c r="AX43" i="63"/>
  <c r="Z162" i="69" s="1"/>
  <c r="AW43" i="63"/>
  <c r="Y162" i="69"/>
  <c r="Y166" i="69" s="1"/>
  <c r="AK43" i="63"/>
  <c r="M162" i="69" s="1"/>
  <c r="AV43" i="63"/>
  <c r="X162" i="69" s="1"/>
  <c r="X168" i="69" s="1"/>
  <c r="AU43" i="63"/>
  <c r="AT43" i="63"/>
  <c r="V162" i="69" s="1"/>
  <c r="V168" i="69" s="1"/>
  <c r="AS43" i="63"/>
  <c r="U162" i="69" s="1"/>
  <c r="AR43" i="63"/>
  <c r="T162" i="69" s="1"/>
  <c r="T166" i="69" s="1"/>
  <c r="AQ43" i="63"/>
  <c r="AE43" i="63"/>
  <c r="AP43" i="63"/>
  <c r="AO43" i="63"/>
  <c r="AC43" i="63"/>
  <c r="E162" i="69" s="1"/>
  <c r="E166" i="69" s="1"/>
  <c r="AN43" i="63"/>
  <c r="P162" i="69"/>
  <c r="P168" i="69" s="1"/>
  <c r="AM43" i="63"/>
  <c r="AM44" i="63" s="1"/>
  <c r="AL43" i="63"/>
  <c r="N162" i="69"/>
  <c r="N168" i="69" s="1"/>
  <c r="Y43" i="63"/>
  <c r="Y44" i="63" s="1"/>
  <c r="AJ43" i="63"/>
  <c r="X43" i="63"/>
  <c r="AJ44" i="63" s="1"/>
  <c r="AI43" i="63"/>
  <c r="K162" i="69" s="1"/>
  <c r="K168" i="69" s="1"/>
  <c r="W43" i="63"/>
  <c r="AH43" i="63"/>
  <c r="J162" i="69"/>
  <c r="J168" i="69" s="1"/>
  <c r="AG43" i="63"/>
  <c r="AF43" i="63"/>
  <c r="H162" i="69"/>
  <c r="H168" i="69" s="1"/>
  <c r="S43" i="63"/>
  <c r="AD43" i="63"/>
  <c r="F162" i="69" s="1"/>
  <c r="R43" i="63"/>
  <c r="Q43" i="63"/>
  <c r="AB43" i="63"/>
  <c r="D162" i="69" s="1"/>
  <c r="D166" i="69" s="1"/>
  <c r="AA43" i="63"/>
  <c r="Z43" i="63"/>
  <c r="B162" i="69"/>
  <c r="N43" i="63"/>
  <c r="L43" i="63"/>
  <c r="V43" i="63"/>
  <c r="U43" i="63"/>
  <c r="T43" i="63"/>
  <c r="T44" i="63" s="1"/>
  <c r="G43" i="63"/>
  <c r="B43" i="63"/>
  <c r="M43" i="63"/>
  <c r="K43" i="63"/>
  <c r="J43" i="63"/>
  <c r="I43" i="63"/>
  <c r="H43" i="63"/>
  <c r="F43" i="63"/>
  <c r="E43" i="63"/>
  <c r="BE42" i="63"/>
  <c r="BD42" i="63"/>
  <c r="BC42" i="63"/>
  <c r="BB42" i="63"/>
  <c r="V17" i="64" s="1"/>
  <c r="BA42" i="63"/>
  <c r="AZ42" i="63"/>
  <c r="AY42" i="63"/>
  <c r="BC40" i="63"/>
  <c r="BB40" i="63"/>
  <c r="BA40" i="63"/>
  <c r="AZ40" i="63"/>
  <c r="AY40" i="63"/>
  <c r="AX40" i="63"/>
  <c r="AW40" i="63"/>
  <c r="AV40" i="63"/>
  <c r="AU40" i="63"/>
  <c r="AT40" i="63"/>
  <c r="AS40" i="63"/>
  <c r="AR40" i="63"/>
  <c r="AQ40" i="63"/>
  <c r="AP40" i="63"/>
  <c r="AO40" i="63"/>
  <c r="AN40" i="63"/>
  <c r="AM40" i="63"/>
  <c r="AL40" i="63"/>
  <c r="AK40" i="63"/>
  <c r="AJ40" i="63"/>
  <c r="AI40" i="63"/>
  <c r="AH40" i="63"/>
  <c r="AG40" i="63"/>
  <c r="AF40" i="63"/>
  <c r="AE40" i="63"/>
  <c r="AD40" i="63"/>
  <c r="AC40" i="63"/>
  <c r="AB40" i="63"/>
  <c r="AA40" i="63"/>
  <c r="Z40" i="63"/>
  <c r="Y40" i="63"/>
  <c r="X40" i="63"/>
  <c r="W40" i="63"/>
  <c r="V40" i="63"/>
  <c r="U40" i="63"/>
  <c r="T40" i="63"/>
  <c r="S40" i="63"/>
  <c r="R40" i="63"/>
  <c r="Q40" i="63"/>
  <c r="P40" i="63"/>
  <c r="O40" i="63"/>
  <c r="N40" i="63"/>
  <c r="BB39" i="63"/>
  <c r="BA39" i="63"/>
  <c r="AZ39" i="63"/>
  <c r="AY39" i="63"/>
  <c r="AX39" i="63"/>
  <c r="AW39" i="63"/>
  <c r="AV39" i="63"/>
  <c r="AU39" i="63"/>
  <c r="AT39" i="63"/>
  <c r="AS39" i="63"/>
  <c r="AR39" i="63"/>
  <c r="AQ39" i="63"/>
  <c r="AP39" i="63"/>
  <c r="AO39" i="63"/>
  <c r="AN39" i="63"/>
  <c r="AM39" i="63"/>
  <c r="AL39" i="63"/>
  <c r="AK39" i="63"/>
  <c r="AJ39" i="63"/>
  <c r="AI39" i="63"/>
  <c r="AH39" i="63"/>
  <c r="AG39" i="63"/>
  <c r="AF39" i="63"/>
  <c r="AE39" i="63"/>
  <c r="AD39" i="63"/>
  <c r="AC39" i="63"/>
  <c r="AB39" i="63"/>
  <c r="AA39" i="63"/>
  <c r="Z39" i="63"/>
  <c r="Y39" i="63"/>
  <c r="X39" i="63"/>
  <c r="W39" i="63"/>
  <c r="V39" i="63"/>
  <c r="U39" i="63"/>
  <c r="T39" i="63"/>
  <c r="S39" i="63"/>
  <c r="R39" i="63"/>
  <c r="Q39" i="63"/>
  <c r="P39" i="63"/>
  <c r="O39" i="63"/>
  <c r="N39" i="63"/>
  <c r="M39" i="63"/>
  <c r="L39" i="63"/>
  <c r="K39" i="63"/>
  <c r="J39" i="63"/>
  <c r="I39" i="63"/>
  <c r="H39" i="63"/>
  <c r="G39" i="63"/>
  <c r="F39" i="63"/>
  <c r="E39" i="63"/>
  <c r="D39" i="63"/>
  <c r="C39" i="63"/>
  <c r="B39" i="63"/>
  <c r="AL35" i="63"/>
  <c r="AK35" i="63"/>
  <c r="AK36" i="63" s="1"/>
  <c r="AI35" i="63"/>
  <c r="AH35" i="63"/>
  <c r="AI36" i="63" s="1"/>
  <c r="V35" i="63"/>
  <c r="V36" i="63" s="1"/>
  <c r="AZ35" i="63"/>
  <c r="AW35" i="63"/>
  <c r="AV35" i="63"/>
  <c r="AU35" i="63"/>
  <c r="AT35" i="63"/>
  <c r="AS35" i="63"/>
  <c r="AR35" i="63"/>
  <c r="AQ35" i="63"/>
  <c r="AP35" i="63"/>
  <c r="AO35" i="63"/>
  <c r="AN35" i="63"/>
  <c r="AM35" i="63"/>
  <c r="AJ35" i="63"/>
  <c r="AG35" i="63"/>
  <c r="AF35" i="63"/>
  <c r="AE35" i="63"/>
  <c r="AD35" i="63"/>
  <c r="AC35" i="63"/>
  <c r="AB35" i="63"/>
  <c r="AA35" i="63"/>
  <c r="Z35" i="63"/>
  <c r="Y35" i="63"/>
  <c r="X35" i="63"/>
  <c r="Y36" i="63" s="1"/>
  <c r="W35" i="63"/>
  <c r="V34" i="63"/>
  <c r="BB33" i="63"/>
  <c r="AX33" i="63"/>
  <c r="N33" i="63"/>
  <c r="AH34" i="63"/>
  <c r="V33" i="63"/>
  <c r="J33" i="63"/>
  <c r="CG31" i="63"/>
  <c r="CF31" i="63"/>
  <c r="CR31" i="63"/>
  <c r="CE31" i="63"/>
  <c r="CQ31" i="63"/>
  <c r="CD31" i="63"/>
  <c r="CP31" i="63" s="1"/>
  <c r="CC31" i="63"/>
  <c r="CO31" i="63" s="1"/>
  <c r="CB31" i="63"/>
  <c r="CN31" i="63"/>
  <c r="CA31" i="63"/>
  <c r="BV31" i="63"/>
  <c r="CH31" i="63" s="1"/>
  <c r="BK31" i="63"/>
  <c r="BL31" i="63" s="1"/>
  <c r="BC31" i="63"/>
  <c r="BD31" i="63"/>
  <c r="BB31" i="63"/>
  <c r="BA31" i="63"/>
  <c r="AZ31" i="63"/>
  <c r="AY31" i="63"/>
  <c r="AW31" i="63"/>
  <c r="AV31" i="63"/>
  <c r="AU31" i="63"/>
  <c r="AT31" i="63"/>
  <c r="AS31" i="63"/>
  <c r="AR31" i="63"/>
  <c r="AQ31" i="63"/>
  <c r="AP31" i="63"/>
  <c r="AO31" i="63"/>
  <c r="AN31" i="63"/>
  <c r="AM31" i="63"/>
  <c r="AL31" i="63"/>
  <c r="BK30" i="63"/>
  <c r="BL30" i="63"/>
  <c r="BH30" i="63"/>
  <c r="BH29" i="63" s="1"/>
  <c r="BE30" i="63"/>
  <c r="BE29" i="63" s="1"/>
  <c r="BF30" i="63" s="1"/>
  <c r="BF29" i="63" s="1"/>
  <c r="BD30" i="63"/>
  <c r="BC30" i="63"/>
  <c r="BB30" i="63"/>
  <c r="BA30" i="63"/>
  <c r="AZ30" i="63"/>
  <c r="AY30" i="63"/>
  <c r="BB28" i="63"/>
  <c r="BA28" i="63"/>
  <c r="AX27" i="63"/>
  <c r="AX31" i="63" s="1"/>
  <c r="AS25" i="63"/>
  <c r="AS26" i="63" s="1"/>
  <c r="AG25" i="63"/>
  <c r="AQ25" i="63"/>
  <c r="AE25" i="63"/>
  <c r="S25" i="63"/>
  <c r="AE26" i="63" s="1"/>
  <c r="AD25" i="63"/>
  <c r="AP26" i="63" s="1"/>
  <c r="R25" i="63"/>
  <c r="AB25" i="63"/>
  <c r="P25" i="63"/>
  <c r="G25" i="63"/>
  <c r="D25" i="63"/>
  <c r="BB25" i="63"/>
  <c r="BA25" i="63"/>
  <c r="AW25" i="63"/>
  <c r="AK25" i="63"/>
  <c r="AV25" i="63"/>
  <c r="AJ25" i="63"/>
  <c r="AV26" i="63" s="1"/>
  <c r="AU25" i="63"/>
  <c r="AT25" i="63"/>
  <c r="AH25" i="63"/>
  <c r="AR25" i="63"/>
  <c r="AP25" i="63"/>
  <c r="AO25" i="63"/>
  <c r="AO26" i="63" s="1"/>
  <c r="AC25" i="63"/>
  <c r="AN25" i="63"/>
  <c r="AM25" i="63"/>
  <c r="AL25" i="63"/>
  <c r="X25" i="63"/>
  <c r="X26" i="63" s="1"/>
  <c r="AI25" i="63"/>
  <c r="AU26" i="63" s="1"/>
  <c r="V25" i="63"/>
  <c r="AF25" i="63"/>
  <c r="AA25" i="63"/>
  <c r="Z25" i="63"/>
  <c r="Z26" i="63" s="1"/>
  <c r="Y25" i="63"/>
  <c r="M25" i="63"/>
  <c r="Y26" i="63" s="1"/>
  <c r="W25" i="63"/>
  <c r="J25" i="63"/>
  <c r="U25" i="63"/>
  <c r="I25" i="63"/>
  <c r="T25" i="63"/>
  <c r="H25" i="63"/>
  <c r="T26" i="63" s="1"/>
  <c r="Q25" i="63"/>
  <c r="O25" i="63"/>
  <c r="C25" i="63"/>
  <c r="N25" i="63"/>
  <c r="L25" i="63"/>
  <c r="K25" i="63"/>
  <c r="F25" i="63"/>
  <c r="E25" i="63"/>
  <c r="B25" i="63"/>
  <c r="A25" i="63"/>
  <c r="A43" i="63" s="1"/>
  <c r="BE24" i="63"/>
  <c r="BB24" i="63"/>
  <c r="BA24" i="63"/>
  <c r="AZ24" i="63"/>
  <c r="AY24" i="63"/>
  <c r="A24" i="63"/>
  <c r="A42" i="63" s="1"/>
  <c r="A23" i="63"/>
  <c r="A41" i="63" s="1"/>
  <c r="AW22" i="63"/>
  <c r="AV22" i="63"/>
  <c r="AU22" i="63"/>
  <c r="AT22" i="63"/>
  <c r="AS22" i="63"/>
  <c r="AR22" i="63"/>
  <c r="AQ22" i="63"/>
  <c r="AP22" i="63"/>
  <c r="AO22" i="63"/>
  <c r="AN22" i="63"/>
  <c r="AM22" i="63"/>
  <c r="AL22" i="63"/>
  <c r="AK22" i="63"/>
  <c r="AJ22" i="63"/>
  <c r="AI22" i="63"/>
  <c r="AH22" i="63"/>
  <c r="AG22" i="63"/>
  <c r="AF22" i="63"/>
  <c r="AE22" i="63"/>
  <c r="AD22" i="63"/>
  <c r="AC22" i="63"/>
  <c r="AB22" i="63"/>
  <c r="AA22" i="63"/>
  <c r="Z22" i="63"/>
  <c r="Y22" i="63"/>
  <c r="X22" i="63"/>
  <c r="W22" i="63"/>
  <c r="V22" i="63"/>
  <c r="U22" i="63"/>
  <c r="T22" i="63"/>
  <c r="S22" i="63"/>
  <c r="R22" i="63"/>
  <c r="Q22" i="63"/>
  <c r="P22" i="63"/>
  <c r="O22" i="63"/>
  <c r="N22" i="63"/>
  <c r="BB21" i="63"/>
  <c r="BA21" i="63"/>
  <c r="AZ21" i="63"/>
  <c r="AY21" i="63"/>
  <c r="AW21" i="63"/>
  <c r="AV21" i="63"/>
  <c r="AU21" i="63"/>
  <c r="AT21" i="63"/>
  <c r="AS21" i="63"/>
  <c r="AR21" i="63"/>
  <c r="AQ21" i="63"/>
  <c r="AP21" i="63"/>
  <c r="AO21" i="63"/>
  <c r="AN21" i="63"/>
  <c r="AM21" i="63"/>
  <c r="AL21" i="63"/>
  <c r="AK21" i="63"/>
  <c r="AJ21" i="63"/>
  <c r="AI21" i="63"/>
  <c r="AH21" i="63"/>
  <c r="AG21" i="63"/>
  <c r="AF21" i="63"/>
  <c r="AE21" i="63"/>
  <c r="AD21" i="63"/>
  <c r="AC21" i="63"/>
  <c r="AB21" i="63"/>
  <c r="AA21" i="63"/>
  <c r="Z21" i="63"/>
  <c r="Y21" i="63"/>
  <c r="X21" i="63"/>
  <c r="W21" i="63"/>
  <c r="V21" i="63"/>
  <c r="U21" i="63"/>
  <c r="T21" i="63"/>
  <c r="S21" i="63"/>
  <c r="R21" i="63"/>
  <c r="Q21" i="63"/>
  <c r="P21" i="63"/>
  <c r="O21" i="63"/>
  <c r="N21" i="63"/>
  <c r="M21" i="63"/>
  <c r="L21" i="63"/>
  <c r="K21" i="63"/>
  <c r="J21" i="63"/>
  <c r="I21" i="63"/>
  <c r="H21" i="63"/>
  <c r="G21" i="63"/>
  <c r="F21" i="63"/>
  <c r="E21" i="63"/>
  <c r="D21" i="63"/>
  <c r="C21" i="63"/>
  <c r="B21" i="63"/>
  <c r="BH18" i="63"/>
  <c r="BH14" i="63" s="1"/>
  <c r="BC18" i="63"/>
  <c r="AZ18" i="63"/>
  <c r="AX18" i="63"/>
  <c r="BI17" i="63"/>
  <c r="BH17" i="63"/>
  <c r="BG17" i="63"/>
  <c r="BD17" i="63"/>
  <c r="BC17" i="63"/>
  <c r="AZ17" i="63"/>
  <c r="AY17" i="63"/>
  <c r="BA16" i="63"/>
  <c r="BB17" i="63" s="1"/>
  <c r="BB15" i="63"/>
  <c r="BA15" i="63"/>
  <c r="AZ15" i="63"/>
  <c r="A15" i="63"/>
  <c r="BG14" i="63"/>
  <c r="AU12" i="63"/>
  <c r="AI12" i="63"/>
  <c r="AT12" i="63"/>
  <c r="AH12" i="63"/>
  <c r="AL12" i="63"/>
  <c r="Z12" i="63"/>
  <c r="Z13" i="63" s="1"/>
  <c r="X12" i="63"/>
  <c r="L12" i="63"/>
  <c r="W12" i="63"/>
  <c r="K12" i="63"/>
  <c r="W13" i="63" s="1"/>
  <c r="V12" i="63"/>
  <c r="J12" i="63"/>
  <c r="BB10" i="63"/>
  <c r="BA12" i="63"/>
  <c r="AZ12" i="63"/>
  <c r="AY12" i="63"/>
  <c r="BL13" i="63" s="1"/>
  <c r="AW12" i="63"/>
  <c r="AK12" i="63"/>
  <c r="AV12" i="63"/>
  <c r="AV13" i="63" s="1"/>
  <c r="AJ12" i="63"/>
  <c r="AJ13" i="63" s="1"/>
  <c r="AS12" i="63"/>
  <c r="AS13" i="63" s="1"/>
  <c r="AR12" i="63"/>
  <c r="AF12" i="63"/>
  <c r="AR13" i="63" s="1"/>
  <c r="AQ12" i="63"/>
  <c r="AQ13" i="63" s="1"/>
  <c r="AP12" i="63"/>
  <c r="AO12" i="63"/>
  <c r="AC12" i="63"/>
  <c r="AN12" i="63"/>
  <c r="AM12" i="63"/>
  <c r="AA12" i="63"/>
  <c r="AG12" i="63"/>
  <c r="U12" i="63"/>
  <c r="T12" i="63"/>
  <c r="AE12" i="63"/>
  <c r="AD12" i="63"/>
  <c r="AB12" i="63"/>
  <c r="P12" i="63"/>
  <c r="O12" i="63"/>
  <c r="AA13" i="63" s="1"/>
  <c r="Y12" i="63"/>
  <c r="M12" i="63"/>
  <c r="I12" i="63"/>
  <c r="U13" i="63" s="1"/>
  <c r="H12" i="63"/>
  <c r="S12" i="63"/>
  <c r="R12" i="63"/>
  <c r="R13" i="63" s="1"/>
  <c r="Q12" i="63"/>
  <c r="E12" i="63"/>
  <c r="D12" i="63"/>
  <c r="C12" i="63"/>
  <c r="O13" i="63" s="1"/>
  <c r="N12" i="63"/>
  <c r="B12" i="63"/>
  <c r="G12" i="63"/>
  <c r="F12" i="63"/>
  <c r="BA11" i="63"/>
  <c r="AZ11" i="63"/>
  <c r="AY11" i="63"/>
  <c r="C11" i="63"/>
  <c r="BB8" i="63"/>
  <c r="AQ8" i="63"/>
  <c r="AW9" i="63"/>
  <c r="AV9" i="63"/>
  <c r="AU9" i="63"/>
  <c r="AT9" i="63"/>
  <c r="AS9" i="63"/>
  <c r="AR9" i="63"/>
  <c r="AQ9" i="63"/>
  <c r="AP9" i="63"/>
  <c r="AO9" i="63"/>
  <c r="AN9" i="63"/>
  <c r="AM9" i="63"/>
  <c r="AL9" i="63"/>
  <c r="AK9" i="63"/>
  <c r="AJ9" i="63"/>
  <c r="AI9" i="63"/>
  <c r="AH9" i="63"/>
  <c r="AG9" i="63"/>
  <c r="AF9" i="63"/>
  <c r="AE9" i="63"/>
  <c r="AD9" i="63"/>
  <c r="AC9" i="63"/>
  <c r="AB9" i="63"/>
  <c r="AA9" i="63"/>
  <c r="Z9" i="63"/>
  <c r="Y9" i="63"/>
  <c r="X9" i="63"/>
  <c r="W9" i="63"/>
  <c r="V9" i="63"/>
  <c r="U9" i="63"/>
  <c r="T9" i="63"/>
  <c r="S9" i="63"/>
  <c r="R9" i="63"/>
  <c r="Q9" i="63"/>
  <c r="P9" i="63"/>
  <c r="O9" i="63"/>
  <c r="N9" i="63"/>
  <c r="BA8" i="63"/>
  <c r="BA9" i="63" s="1"/>
  <c r="AP8" i="63"/>
  <c r="AZ8" i="63"/>
  <c r="BK9" i="63"/>
  <c r="AY8" i="63"/>
  <c r="AW8" i="63"/>
  <c r="AV8" i="63"/>
  <c r="AU8" i="63"/>
  <c r="AT8" i="63"/>
  <c r="AS8" i="63"/>
  <c r="AR8" i="63"/>
  <c r="AO8" i="63"/>
  <c r="AN8" i="63"/>
  <c r="AM8" i="63"/>
  <c r="AL8" i="63"/>
  <c r="AX8" i="63"/>
  <c r="AK8" i="63"/>
  <c r="AJ8" i="63"/>
  <c r="AI8" i="63"/>
  <c r="AH8" i="63"/>
  <c r="AG8" i="63"/>
  <c r="AF8" i="63"/>
  <c r="AE8" i="63"/>
  <c r="AD8" i="63"/>
  <c r="AC8" i="63"/>
  <c r="AB8" i="63"/>
  <c r="AA8" i="63"/>
  <c r="Z8" i="63"/>
  <c r="Y8" i="63"/>
  <c r="X8" i="63"/>
  <c r="W8" i="63"/>
  <c r="V8" i="63"/>
  <c r="U8" i="63"/>
  <c r="T8" i="63"/>
  <c r="S8" i="63"/>
  <c r="R8" i="63"/>
  <c r="Q8" i="63"/>
  <c r="P8" i="63"/>
  <c r="O8" i="63"/>
  <c r="N8" i="63"/>
  <c r="M8" i="63"/>
  <c r="L8" i="63"/>
  <c r="K8" i="63"/>
  <c r="J8" i="63"/>
  <c r="I8" i="63"/>
  <c r="H8" i="63"/>
  <c r="G8" i="63"/>
  <c r="F8" i="63"/>
  <c r="E8" i="63"/>
  <c r="D8" i="63"/>
  <c r="C8" i="63"/>
  <c r="B8" i="63"/>
  <c r="A7" i="63"/>
  <c r="BC5" i="63"/>
  <c r="BC6" i="63"/>
  <c r="BB6" i="63"/>
  <c r="BA6" i="63"/>
  <c r="AZ6" i="63"/>
  <c r="AY6" i="63"/>
  <c r="AX6" i="63"/>
  <c r="AW6" i="63"/>
  <c r="AV6" i="63"/>
  <c r="AU6" i="63"/>
  <c r="AT6" i="63"/>
  <c r="AS6" i="63"/>
  <c r="AR6" i="63"/>
  <c r="AQ6" i="63"/>
  <c r="AP6" i="63"/>
  <c r="AO6" i="63"/>
  <c r="AN6" i="63"/>
  <c r="AM6" i="63"/>
  <c r="AL6" i="63"/>
  <c r="AK6" i="63"/>
  <c r="AJ6" i="63"/>
  <c r="AI6" i="63"/>
  <c r="AH6" i="63"/>
  <c r="AG6" i="63"/>
  <c r="AF6" i="63"/>
  <c r="AE6" i="63"/>
  <c r="AD6" i="63"/>
  <c r="AC6" i="63"/>
  <c r="AB6" i="63"/>
  <c r="AA6" i="63"/>
  <c r="Z6" i="63"/>
  <c r="Y6" i="63"/>
  <c r="X6" i="63"/>
  <c r="W6" i="63"/>
  <c r="V6" i="63"/>
  <c r="U6" i="63"/>
  <c r="T6" i="63"/>
  <c r="S6" i="63"/>
  <c r="R6" i="63"/>
  <c r="Q6" i="63"/>
  <c r="P6" i="63"/>
  <c r="O6" i="63"/>
  <c r="N6" i="63"/>
  <c r="BD5" i="63"/>
  <c r="BD70" i="63" s="1"/>
  <c r="BL2" i="63"/>
  <c r="BI2" i="63"/>
  <c r="BF2" i="63"/>
  <c r="AW2" i="63"/>
  <c r="AV2" i="63"/>
  <c r="AU2" i="63"/>
  <c r="AT2" i="63"/>
  <c r="AS2" i="63"/>
  <c r="AR2" i="63"/>
  <c r="AQ2" i="63"/>
  <c r="AP2" i="63"/>
  <c r="AO2" i="63"/>
  <c r="AN2" i="63"/>
  <c r="AM2" i="63"/>
  <c r="AL2" i="63"/>
  <c r="AK2" i="63"/>
  <c r="AJ2" i="63"/>
  <c r="AI2" i="63"/>
  <c r="AH2" i="63"/>
  <c r="AG2" i="63"/>
  <c r="AF2" i="63"/>
  <c r="AE2" i="63"/>
  <c r="AD2" i="63"/>
  <c r="AC2" i="63"/>
  <c r="AB2" i="63"/>
  <c r="AA2" i="63"/>
  <c r="Z2" i="63"/>
  <c r="Y2" i="63"/>
  <c r="X2" i="63"/>
  <c r="W2" i="63"/>
  <c r="V2" i="63"/>
  <c r="U2" i="63"/>
  <c r="T2" i="63"/>
  <c r="S2" i="63"/>
  <c r="R2" i="63"/>
  <c r="Q2" i="63"/>
  <c r="P2" i="63"/>
  <c r="O2" i="63"/>
  <c r="N2" i="63"/>
  <c r="M2" i="63"/>
  <c r="L2" i="63"/>
  <c r="K2" i="63"/>
  <c r="J2" i="63"/>
  <c r="I2" i="63"/>
  <c r="H2" i="63"/>
  <c r="G2" i="63"/>
  <c r="F2" i="63"/>
  <c r="E2" i="63"/>
  <c r="D2" i="63"/>
  <c r="C2" i="63"/>
  <c r="B2" i="63"/>
  <c r="A117" i="76"/>
  <c r="A116" i="76"/>
  <c r="C115" i="76"/>
  <c r="C114" i="76" s="1"/>
  <c r="A115" i="76"/>
  <c r="A114" i="76"/>
  <c r="A113" i="76"/>
  <c r="B120" i="76" s="1"/>
  <c r="B107" i="76"/>
  <c r="H93" i="76"/>
  <c r="G93" i="76"/>
  <c r="F93" i="76"/>
  <c r="F95" i="76" s="1"/>
  <c r="E93" i="76"/>
  <c r="E95" i="76" s="1"/>
  <c r="D93" i="76"/>
  <c r="D95" i="76" s="1"/>
  <c r="C93" i="76"/>
  <c r="C95" i="76" s="1"/>
  <c r="B93" i="76"/>
  <c r="A93" i="76"/>
  <c r="H92" i="76"/>
  <c r="G92" i="76"/>
  <c r="F92" i="76"/>
  <c r="E92" i="76"/>
  <c r="E94" i="76" s="1"/>
  <c r="D92" i="76"/>
  <c r="D94" i="76" s="1"/>
  <c r="C92" i="76"/>
  <c r="C94" i="76" s="1"/>
  <c r="B92" i="76"/>
  <c r="B94" i="76" s="1"/>
  <c r="A92" i="76"/>
  <c r="K91" i="76"/>
  <c r="K98" i="76"/>
  <c r="J91" i="76"/>
  <c r="J98" i="76" s="1"/>
  <c r="I91" i="76"/>
  <c r="I98" i="76" s="1"/>
  <c r="H91" i="76"/>
  <c r="H98" i="76" s="1"/>
  <c r="G91" i="76"/>
  <c r="G98" i="76" s="1"/>
  <c r="F91" i="76"/>
  <c r="F98" i="76"/>
  <c r="E91" i="76"/>
  <c r="E98" i="76" s="1"/>
  <c r="D91" i="76"/>
  <c r="D98" i="76"/>
  <c r="C91" i="76"/>
  <c r="C98" i="76" s="1"/>
  <c r="B91" i="76"/>
  <c r="B98" i="76" s="1"/>
  <c r="F89" i="76"/>
  <c r="E89" i="76"/>
  <c r="I87" i="76"/>
  <c r="I76" i="76" s="1"/>
  <c r="L87" i="76"/>
  <c r="L88" i="76"/>
  <c r="K87" i="76"/>
  <c r="K88" i="76" s="1"/>
  <c r="J87" i="76"/>
  <c r="H87" i="76"/>
  <c r="H89" i="76" s="1"/>
  <c r="G87" i="76"/>
  <c r="L84" i="76"/>
  <c r="L89" i="76"/>
  <c r="L90" i="76" s="1"/>
  <c r="K97" i="76" s="1"/>
  <c r="K84" i="76"/>
  <c r="J84" i="76"/>
  <c r="I84" i="76"/>
  <c r="H84" i="76"/>
  <c r="G83" i="76"/>
  <c r="G81" i="76"/>
  <c r="F81" i="76"/>
  <c r="E81" i="76"/>
  <c r="H80" i="76"/>
  <c r="G80" i="76"/>
  <c r="F80" i="76"/>
  <c r="E80" i="76"/>
  <c r="I79" i="76"/>
  <c r="H79" i="76"/>
  <c r="G79" i="76"/>
  <c r="F79" i="76"/>
  <c r="E79" i="76"/>
  <c r="D79" i="76"/>
  <c r="A79" i="76"/>
  <c r="I78" i="76"/>
  <c r="H78" i="76"/>
  <c r="G78" i="76"/>
  <c r="F78" i="76"/>
  <c r="E78" i="76"/>
  <c r="A78" i="76"/>
  <c r="H77" i="76"/>
  <c r="D187" i="69" s="1"/>
  <c r="G77" i="76"/>
  <c r="C187" i="69" s="1"/>
  <c r="F77" i="76"/>
  <c r="B187" i="69" s="1"/>
  <c r="E77" i="76"/>
  <c r="D77" i="76"/>
  <c r="C77" i="76"/>
  <c r="J75" i="76"/>
  <c r="I75" i="76"/>
  <c r="H75" i="76"/>
  <c r="C55" i="76" a="1"/>
  <c r="C55" i="76" s="1"/>
  <c r="F57" i="76" s="1"/>
  <c r="F61" i="76" s="1"/>
  <c r="C48" i="76"/>
  <c r="B48" i="76"/>
  <c r="A48" i="76"/>
  <c r="P33" i="76"/>
  <c r="E32" i="76"/>
  <c r="D32" i="76"/>
  <c r="M29" i="76"/>
  <c r="L29" i="76"/>
  <c r="K29" i="76"/>
  <c r="M28" i="76"/>
  <c r="N28" i="76"/>
  <c r="L28" i="76"/>
  <c r="K28" i="76"/>
  <c r="M27" i="76"/>
  <c r="L27" i="76"/>
  <c r="K27" i="76"/>
  <c r="K26" i="76"/>
  <c r="T14" i="76"/>
  <c r="S14" i="76"/>
  <c r="R14" i="76"/>
  <c r="Q14" i="76"/>
  <c r="P14" i="76"/>
  <c r="O14" i="76"/>
  <c r="N14" i="76"/>
  <c r="M14" i="76"/>
  <c r="L14" i="76"/>
  <c r="T13" i="76"/>
  <c r="S13" i="76"/>
  <c r="R13" i="76"/>
  <c r="Q13" i="76"/>
  <c r="P13" i="76"/>
  <c r="O13" i="76"/>
  <c r="N13" i="76"/>
  <c r="M13" i="76"/>
  <c r="L13" i="76"/>
  <c r="T12" i="76"/>
  <c r="S12" i="76"/>
  <c r="R12" i="76"/>
  <c r="Q12" i="76"/>
  <c r="P12" i="76"/>
  <c r="O12" i="76"/>
  <c r="N12" i="76"/>
  <c r="M12" i="76"/>
  <c r="L12" i="76"/>
  <c r="H12" i="76"/>
  <c r="G12" i="76"/>
  <c r="F12" i="76"/>
  <c r="E12" i="76"/>
  <c r="D12" i="76"/>
  <c r="C12" i="76"/>
  <c r="H11" i="76"/>
  <c r="G11" i="76"/>
  <c r="F11" i="76"/>
  <c r="E11" i="76"/>
  <c r="D11" i="76"/>
  <c r="C11" i="76"/>
  <c r="T10" i="76"/>
  <c r="M25" i="76" s="1"/>
  <c r="S10" i="76"/>
  <c r="N31" i="76" s="1"/>
  <c r="N37" i="76" s="1"/>
  <c r="R10" i="76"/>
  <c r="M31" i="76" s="1"/>
  <c r="M37" i="76" s="1"/>
  <c r="Q10" i="76"/>
  <c r="L31" i="76" s="1"/>
  <c r="L37" i="76" s="1"/>
  <c r="P10" i="76"/>
  <c r="L25" i="76" s="1"/>
  <c r="O10" i="76"/>
  <c r="N10" i="76"/>
  <c r="M10" i="76"/>
  <c r="L10" i="76"/>
  <c r="H10" i="76"/>
  <c r="G10" i="76"/>
  <c r="F10" i="76"/>
  <c r="E10" i="76"/>
  <c r="D10" i="76"/>
  <c r="C10" i="76"/>
  <c r="H9" i="76"/>
  <c r="G9" i="76"/>
  <c r="F9" i="76"/>
  <c r="E9" i="76"/>
  <c r="D9" i="76"/>
  <c r="C9" i="76"/>
  <c r="H8" i="76"/>
  <c r="G8" i="76"/>
  <c r="F8" i="76"/>
  <c r="E8" i="76"/>
  <c r="D8" i="76"/>
  <c r="C8" i="76"/>
  <c r="B8" i="76"/>
  <c r="V2" i="76"/>
  <c r="U2" i="76"/>
  <c r="P1" i="76"/>
  <c r="O1" i="76"/>
  <c r="N1" i="76"/>
  <c r="M1" i="76"/>
  <c r="L1" i="76"/>
  <c r="B5" i="68"/>
  <c r="B4" i="68"/>
  <c r="BE18" i="70"/>
  <c r="BE23" i="70"/>
  <c r="BC18" i="70"/>
  <c r="BD23" i="70" s="1"/>
  <c r="BD18" i="70"/>
  <c r="BF24" i="70"/>
  <c r="BE24" i="70"/>
  <c r="BD24" i="70"/>
  <c r="BC24" i="70"/>
  <c r="BB24" i="70"/>
  <c r="DK23" i="70"/>
  <c r="DJ23" i="70"/>
  <c r="DI23" i="70"/>
  <c r="DH23" i="70"/>
  <c r="DG23" i="70"/>
  <c r="DF23" i="70"/>
  <c r="DE23" i="70"/>
  <c r="DD23" i="70"/>
  <c r="DC23" i="70"/>
  <c r="DB23" i="70"/>
  <c r="DA23" i="70"/>
  <c r="CZ23" i="70"/>
  <c r="CY23" i="70"/>
  <c r="CX23" i="70"/>
  <c r="CW23" i="70"/>
  <c r="DK22" i="70"/>
  <c r="DJ22" i="70"/>
  <c r="DI22" i="70"/>
  <c r="DH22" i="70"/>
  <c r="DG22" i="70"/>
  <c r="DF22" i="70"/>
  <c r="DE22" i="70"/>
  <c r="DD22" i="70"/>
  <c r="DC22" i="70"/>
  <c r="DB22" i="70"/>
  <c r="DA22" i="70"/>
  <c r="CZ22" i="70"/>
  <c r="CY22" i="70"/>
  <c r="CX22" i="70"/>
  <c r="CW22" i="70"/>
  <c r="BF22" i="70"/>
  <c r="BE22" i="70"/>
  <c r="BD22" i="70"/>
  <c r="BC22" i="70"/>
  <c r="BB22" i="70"/>
  <c r="DK21" i="70"/>
  <c r="DJ21" i="70"/>
  <c r="DI21" i="70"/>
  <c r="DH21" i="70"/>
  <c r="DG21" i="70"/>
  <c r="DF21" i="70"/>
  <c r="DE21" i="70"/>
  <c r="DD21" i="70"/>
  <c r="DC21" i="70"/>
  <c r="DB21" i="70"/>
  <c r="DA21" i="70"/>
  <c r="CZ21" i="70"/>
  <c r="CY21" i="70"/>
  <c r="B70" i="69"/>
  <c r="B71" i="69" s="1"/>
  <c r="CX21" i="70"/>
  <c r="CW21" i="70"/>
  <c r="BF21" i="70"/>
  <c r="BE21" i="70"/>
  <c r="BD21" i="70"/>
  <c r="BC21" i="70"/>
  <c r="BB21" i="70"/>
  <c r="DK20" i="70"/>
  <c r="DJ20" i="70"/>
  <c r="DI20" i="70"/>
  <c r="DH20" i="70"/>
  <c r="DG20" i="70"/>
  <c r="DF20" i="70"/>
  <c r="DE20" i="70"/>
  <c r="DD20" i="70"/>
  <c r="DC20" i="70"/>
  <c r="DB20" i="70"/>
  <c r="DA20" i="70"/>
  <c r="CZ20" i="70"/>
  <c r="CY20" i="70"/>
  <c r="B68" i="69" s="1"/>
  <c r="B69" i="69" s="1"/>
  <c r="CX20" i="70"/>
  <c r="CW20" i="70"/>
  <c r="BF20" i="70"/>
  <c r="BE20" i="70"/>
  <c r="BD20" i="70"/>
  <c r="BC20" i="70"/>
  <c r="BB20" i="70"/>
  <c r="DK19" i="70"/>
  <c r="DJ19" i="70"/>
  <c r="DI19" i="70"/>
  <c r="DH19" i="70"/>
  <c r="DG19" i="70"/>
  <c r="DF19" i="70"/>
  <c r="DE19" i="70"/>
  <c r="DD19" i="70"/>
  <c r="DC19" i="70"/>
  <c r="DB19" i="70"/>
  <c r="DA19" i="70"/>
  <c r="CZ19" i="70"/>
  <c r="CY19" i="70"/>
  <c r="CX19" i="70"/>
  <c r="CW19" i="70"/>
  <c r="BF19" i="70"/>
  <c r="BE19" i="70"/>
  <c r="BD19" i="70"/>
  <c r="BC19" i="70"/>
  <c r="BB19" i="70"/>
  <c r="DK18" i="70"/>
  <c r="DJ18" i="70"/>
  <c r="DI18" i="70"/>
  <c r="DH18" i="70"/>
  <c r="DG18" i="70"/>
  <c r="DF18" i="70"/>
  <c r="DE18" i="70"/>
  <c r="DD18" i="70"/>
  <c r="DC18" i="70"/>
  <c r="DB18" i="70"/>
  <c r="DA18" i="70"/>
  <c r="CZ18" i="70"/>
  <c r="CY18" i="70"/>
  <c r="CX18" i="70"/>
  <c r="CW18" i="70"/>
  <c r="BF18" i="70"/>
  <c r="BB18" i="70"/>
  <c r="AB18" i="70"/>
  <c r="AA18" i="70"/>
  <c r="Z18" i="70"/>
  <c r="Y18" i="70"/>
  <c r="X18" i="70"/>
  <c r="W18" i="70"/>
  <c r="I200" i="69"/>
  <c r="H200" i="69"/>
  <c r="H201" i="69" s="1"/>
  <c r="E198" i="69" s="1"/>
  <c r="C121" i="76" s="1"/>
  <c r="D200" i="69"/>
  <c r="D199" i="69"/>
  <c r="C198" i="69"/>
  <c r="D198" i="69" s="1"/>
  <c r="F196" i="69"/>
  <c r="E196" i="69"/>
  <c r="J192" i="69"/>
  <c r="I192" i="69"/>
  <c r="H192" i="69"/>
  <c r="G192" i="69"/>
  <c r="F192" i="69"/>
  <c r="E192" i="69"/>
  <c r="D192" i="69"/>
  <c r="C192" i="69"/>
  <c r="B192" i="69"/>
  <c r="J187" i="69"/>
  <c r="B183" i="69"/>
  <c r="B193" i="69" s="1"/>
  <c r="G172" i="69"/>
  <c r="F172" i="69"/>
  <c r="E172" i="69"/>
  <c r="AL164" i="69"/>
  <c r="AE164" i="69"/>
  <c r="AD164" i="69"/>
  <c r="AC164" i="69"/>
  <c r="AB164" i="69"/>
  <c r="AA164" i="69"/>
  <c r="Z164" i="69"/>
  <c r="Y164" i="69"/>
  <c r="X164" i="69"/>
  <c r="W164" i="69"/>
  <c r="V164" i="69"/>
  <c r="U164" i="69"/>
  <c r="T164" i="69"/>
  <c r="S164" i="69"/>
  <c r="R164" i="69"/>
  <c r="Q164" i="69"/>
  <c r="P164" i="69"/>
  <c r="O164" i="69"/>
  <c r="N164" i="69"/>
  <c r="M164" i="69"/>
  <c r="L164" i="69"/>
  <c r="K164" i="69"/>
  <c r="J164" i="69"/>
  <c r="I164" i="69"/>
  <c r="H164" i="69"/>
  <c r="G164" i="69"/>
  <c r="F164" i="69"/>
  <c r="E164" i="69"/>
  <c r="D164" i="69"/>
  <c r="C164" i="69"/>
  <c r="B164" i="69"/>
  <c r="L162" i="69"/>
  <c r="AO161" i="69"/>
  <c r="AN161" i="69"/>
  <c r="AM161" i="69"/>
  <c r="AL161" i="69"/>
  <c r="AJ161" i="69"/>
  <c r="AI161" i="69"/>
  <c r="AH161" i="69"/>
  <c r="AG161" i="69"/>
  <c r="AE161" i="69"/>
  <c r="AD161" i="69"/>
  <c r="AC161" i="69"/>
  <c r="AB161" i="69"/>
  <c r="AA161" i="69"/>
  <c r="Y161" i="69"/>
  <c r="X161" i="69"/>
  <c r="W161" i="69"/>
  <c r="V161" i="69"/>
  <c r="U161" i="69"/>
  <c r="T161" i="69"/>
  <c r="S161" i="69"/>
  <c r="R161" i="69"/>
  <c r="Q161" i="69"/>
  <c r="P161" i="69"/>
  <c r="O161" i="69"/>
  <c r="N161" i="69"/>
  <c r="M161" i="69"/>
  <c r="L161" i="69"/>
  <c r="K161" i="69"/>
  <c r="J161" i="69"/>
  <c r="I161" i="69"/>
  <c r="H161" i="69"/>
  <c r="G161" i="69"/>
  <c r="F161" i="69"/>
  <c r="E161" i="69"/>
  <c r="D161" i="69"/>
  <c r="C161" i="69"/>
  <c r="B161" i="69"/>
  <c r="C158" i="69"/>
  <c r="B158" i="69"/>
  <c r="P155" i="69"/>
  <c r="O155" i="69"/>
  <c r="N155" i="69"/>
  <c r="M155" i="69"/>
  <c r="L155" i="69"/>
  <c r="K155" i="69"/>
  <c r="J155" i="69"/>
  <c r="I155" i="69"/>
  <c r="H155" i="69"/>
  <c r="G155" i="69"/>
  <c r="F155" i="69"/>
  <c r="E155" i="69"/>
  <c r="B152" i="69"/>
  <c r="B151" i="69"/>
  <c r="A149" i="69"/>
  <c r="A147" i="69"/>
  <c r="A145" i="69"/>
  <c r="A143" i="69"/>
  <c r="A141" i="69"/>
  <c r="B101" i="69"/>
  <c r="E99" i="69"/>
  <c r="D99" i="69"/>
  <c r="C99" i="69"/>
  <c r="B99" i="69"/>
  <c r="A97" i="69"/>
  <c r="A96" i="69"/>
  <c r="A95" i="69"/>
  <c r="A94" i="69"/>
  <c r="A93" i="69"/>
  <c r="A92" i="69"/>
  <c r="A91" i="69"/>
  <c r="A90" i="69"/>
  <c r="A89" i="69"/>
  <c r="A88" i="69"/>
  <c r="C87" i="69"/>
  <c r="B87" i="69"/>
  <c r="A87" i="69"/>
  <c r="J80" i="69"/>
  <c r="I80" i="69"/>
  <c r="H80" i="69"/>
  <c r="G80" i="69"/>
  <c r="C80" i="69"/>
  <c r="F80" i="69"/>
  <c r="E80" i="69"/>
  <c r="D80" i="69"/>
  <c r="B80" i="69"/>
  <c r="B86" i="69" s="1"/>
  <c r="B96" i="69" s="1"/>
  <c r="A80" i="69"/>
  <c r="J79" i="69"/>
  <c r="I79" i="69"/>
  <c r="E79" i="69"/>
  <c r="H79" i="69"/>
  <c r="G79" i="69"/>
  <c r="F79" i="69"/>
  <c r="D79" i="69"/>
  <c r="C79" i="69"/>
  <c r="B79" i="69"/>
  <c r="B85" i="69" s="1"/>
  <c r="B94" i="69" s="1"/>
  <c r="A79" i="69"/>
  <c r="J78" i="69"/>
  <c r="I78" i="69"/>
  <c r="H78" i="69"/>
  <c r="G78" i="69"/>
  <c r="F78" i="69"/>
  <c r="E78" i="69"/>
  <c r="D78" i="69"/>
  <c r="D84" i="69" s="1"/>
  <c r="C92" i="69" s="1"/>
  <c r="C78" i="69"/>
  <c r="B78" i="69"/>
  <c r="B84" i="69" s="1"/>
  <c r="B92" i="69" s="1"/>
  <c r="A78" i="69"/>
  <c r="J77" i="69"/>
  <c r="I77" i="69"/>
  <c r="E77" i="69"/>
  <c r="H77" i="69"/>
  <c r="G77" i="69"/>
  <c r="F77" i="69"/>
  <c r="D77" i="69"/>
  <c r="C77" i="69"/>
  <c r="B77" i="69"/>
  <c r="B83" i="69" s="1"/>
  <c r="B90" i="69" s="1"/>
  <c r="A77" i="69"/>
  <c r="J76" i="69"/>
  <c r="I76" i="69"/>
  <c r="H76" i="69"/>
  <c r="G76" i="69"/>
  <c r="F76" i="69"/>
  <c r="E76" i="69"/>
  <c r="D76" i="69"/>
  <c r="D82" i="69" s="1"/>
  <c r="C88" i="69" s="1"/>
  <c r="C76" i="69"/>
  <c r="B76" i="69"/>
  <c r="B82" i="69" s="1"/>
  <c r="B88" i="69" s="1"/>
  <c r="A76" i="69"/>
  <c r="C72" i="69"/>
  <c r="C73" i="69" s="1"/>
  <c r="A53" i="69"/>
  <c r="AD50" i="69"/>
  <c r="Z50" i="69" s="1"/>
  <c r="X50" i="69"/>
  <c r="AD49" i="69"/>
  <c r="Z49" i="69" s="1"/>
  <c r="X49" i="69"/>
  <c r="AD48" i="69"/>
  <c r="Z48" i="69" s="1"/>
  <c r="X48" i="69"/>
  <c r="I48" i="69"/>
  <c r="H48" i="69"/>
  <c r="G48" i="69"/>
  <c r="F48" i="69"/>
  <c r="AD47" i="69"/>
  <c r="Z47" i="69" s="1"/>
  <c r="X47" i="69"/>
  <c r="AD46" i="69"/>
  <c r="Z46" i="69" s="1"/>
  <c r="X46" i="69"/>
  <c r="AD45" i="69"/>
  <c r="Z45" i="69" s="1"/>
  <c r="X45" i="69"/>
  <c r="AD44" i="69"/>
  <c r="Z44" i="69" s="1"/>
  <c r="X44" i="69"/>
  <c r="AD43" i="69"/>
  <c r="Z43" i="69" s="1"/>
  <c r="X43" i="69"/>
  <c r="I43" i="69"/>
  <c r="H43" i="69"/>
  <c r="G43" i="69"/>
  <c r="F43" i="69"/>
  <c r="E43" i="69"/>
  <c r="D43" i="69"/>
  <c r="C43" i="69"/>
  <c r="B43" i="69"/>
  <c r="AD42" i="69"/>
  <c r="Z42" i="69" s="1"/>
  <c r="X42" i="69"/>
  <c r="AD41" i="69"/>
  <c r="Z41" i="69" s="1"/>
  <c r="X41" i="69"/>
  <c r="AD40" i="69"/>
  <c r="Z40" i="69" s="1"/>
  <c r="X40" i="69"/>
  <c r="AD39" i="69"/>
  <c r="Z39" i="69" s="1"/>
  <c r="X39" i="69"/>
  <c r="AD38" i="69"/>
  <c r="Z38" i="69" s="1"/>
  <c r="X38" i="69"/>
  <c r="J38" i="69"/>
  <c r="I38" i="69"/>
  <c r="H38" i="69"/>
  <c r="G38" i="69"/>
  <c r="AD37" i="69"/>
  <c r="Z37" i="69" s="1"/>
  <c r="X37" i="69"/>
  <c r="AD36" i="69"/>
  <c r="Z36" i="69" s="1"/>
  <c r="X36" i="69"/>
  <c r="X35" i="69"/>
  <c r="AC34" i="69"/>
  <c r="AC35" i="69" s="1"/>
  <c r="AD35" i="69" s="1"/>
  <c r="Z35" i="69" s="1"/>
  <c r="X34" i="69"/>
  <c r="AD33" i="69"/>
  <c r="Z33" i="69" s="1"/>
  <c r="X33" i="69"/>
  <c r="AD32" i="69"/>
  <c r="Z32" i="69" s="1"/>
  <c r="X32" i="69"/>
  <c r="AD31" i="69"/>
  <c r="Z31" i="69" s="1"/>
  <c r="X31" i="69"/>
  <c r="AD30" i="69"/>
  <c r="Z30" i="69" s="1"/>
  <c r="X30" i="69"/>
  <c r="M30" i="69"/>
  <c r="L30" i="69"/>
  <c r="K30" i="69"/>
  <c r="J30" i="69"/>
  <c r="I30" i="69"/>
  <c r="H30" i="69"/>
  <c r="G30" i="69"/>
  <c r="F30" i="69"/>
  <c r="E30" i="69"/>
  <c r="D30" i="69"/>
  <c r="C30" i="69"/>
  <c r="B30" i="69"/>
  <c r="AD29" i="69"/>
  <c r="Z29" i="69" s="1"/>
  <c r="X29" i="69"/>
  <c r="M29" i="69"/>
  <c r="L29" i="69"/>
  <c r="K29" i="69"/>
  <c r="J29" i="69"/>
  <c r="I29" i="69"/>
  <c r="H29" i="69"/>
  <c r="G29" i="69"/>
  <c r="F29" i="69"/>
  <c r="E29" i="69"/>
  <c r="D29" i="69"/>
  <c r="C29" i="69"/>
  <c r="B29" i="69"/>
  <c r="AD28" i="69"/>
  <c r="Z28" i="69" s="1"/>
  <c r="X28" i="69"/>
  <c r="M28" i="69"/>
  <c r="L28" i="69"/>
  <c r="K28" i="69"/>
  <c r="J28" i="69"/>
  <c r="I28" i="69"/>
  <c r="H28" i="69"/>
  <c r="G28" i="69"/>
  <c r="F28" i="69"/>
  <c r="E28" i="69"/>
  <c r="D28" i="69"/>
  <c r="C28" i="69"/>
  <c r="B28" i="69"/>
  <c r="AD27" i="69"/>
  <c r="Z27" i="69" s="1"/>
  <c r="X27" i="69"/>
  <c r="AD26" i="69"/>
  <c r="Z26" i="69" s="1"/>
  <c r="X26" i="69"/>
  <c r="AD25" i="69"/>
  <c r="Z25" i="69" s="1"/>
  <c r="X25" i="69"/>
  <c r="AD24" i="69"/>
  <c r="Z24" i="69" s="1"/>
  <c r="X24" i="69"/>
  <c r="AD23" i="69"/>
  <c r="Z23" i="69" s="1"/>
  <c r="X23" i="69"/>
  <c r="M23" i="69"/>
  <c r="L23" i="69"/>
  <c r="K23" i="69"/>
  <c r="J23" i="69"/>
  <c r="I23" i="69"/>
  <c r="H23" i="69"/>
  <c r="G23" i="69"/>
  <c r="F23" i="69"/>
  <c r="E23" i="69"/>
  <c r="D23" i="69"/>
  <c r="C23" i="69"/>
  <c r="B23" i="69"/>
  <c r="AD22" i="69"/>
  <c r="Z22" i="69" s="1"/>
  <c r="X22" i="69"/>
  <c r="AD21" i="69"/>
  <c r="Z21" i="69" s="1"/>
  <c r="X21" i="69"/>
  <c r="AD20" i="69"/>
  <c r="Z20" i="69" s="1"/>
  <c r="X20" i="69"/>
  <c r="AD19" i="69"/>
  <c r="Z19" i="69" s="1"/>
  <c r="X19" i="69"/>
  <c r="AD18" i="69"/>
  <c r="Z18" i="69" s="1"/>
  <c r="X18" i="69"/>
  <c r="AD17" i="69"/>
  <c r="Z17" i="69" s="1"/>
  <c r="X17" i="69"/>
  <c r="AD16" i="69"/>
  <c r="Z16" i="69" s="1"/>
  <c r="X16" i="69"/>
  <c r="AD15" i="69"/>
  <c r="Z15" i="69" s="1"/>
  <c r="X15" i="69"/>
  <c r="AD14" i="69"/>
  <c r="Z14" i="69" s="1"/>
  <c r="X14" i="69"/>
  <c r="AD13" i="69"/>
  <c r="Z13" i="69" s="1"/>
  <c r="X13" i="69"/>
  <c r="AD12" i="69"/>
  <c r="Z12" i="69" s="1"/>
  <c r="X12" i="69"/>
  <c r="AD11" i="69"/>
  <c r="Z11" i="69" s="1"/>
  <c r="X11" i="69"/>
  <c r="L11" i="69"/>
  <c r="K11" i="69"/>
  <c r="J11" i="69"/>
  <c r="I11" i="69"/>
  <c r="H11" i="69"/>
  <c r="AD10" i="69"/>
  <c r="Z10" i="69" s="1"/>
  <c r="X10" i="69"/>
  <c r="X9" i="69"/>
  <c r="X8" i="69"/>
  <c r="A21" i="69"/>
  <c r="X7" i="69"/>
  <c r="A20" i="69"/>
  <c r="G19" i="69" s="1"/>
  <c r="X6" i="69"/>
  <c r="G16" i="69"/>
  <c r="X5" i="69"/>
  <c r="X4" i="69"/>
  <c r="G14" i="69"/>
  <c r="X3" i="69"/>
  <c r="A13" i="69"/>
  <c r="X2" i="69"/>
  <c r="G12" i="69"/>
  <c r="F17" i="2"/>
  <c r="B16" i="2"/>
  <c r="B2" i="2"/>
  <c r="Q43" i="77"/>
  <c r="Q42" i="77"/>
  <c r="R42" i="77" s="1"/>
  <c r="E41" i="77"/>
  <c r="AF40" i="77"/>
  <c r="E40" i="77"/>
  <c r="AF39" i="77"/>
  <c r="E39" i="77"/>
  <c r="AG38" i="77"/>
  <c r="E38" i="77"/>
  <c r="AG37" i="77"/>
  <c r="E37" i="77"/>
  <c r="AG36" i="77"/>
  <c r="N36" i="77"/>
  <c r="E36" i="77"/>
  <c r="AG35" i="77"/>
  <c r="T35" i="77"/>
  <c r="E35" i="77"/>
  <c r="AG34" i="77"/>
  <c r="AG33" i="77"/>
  <c r="AN32" i="77"/>
  <c r="AG32" i="77"/>
  <c r="AN31" i="77"/>
  <c r="AG31" i="77"/>
  <c r="AG30" i="77"/>
  <c r="AG29" i="77"/>
  <c r="I29" i="77"/>
  <c r="AG28" i="77"/>
  <c r="R28" i="77"/>
  <c r="AG27" i="77"/>
  <c r="AG26" i="77"/>
  <c r="AG25" i="77"/>
  <c r="AG24" i="77"/>
  <c r="AG23" i="77"/>
  <c r="AG22" i="77"/>
  <c r="AG21" i="77"/>
  <c r="AG20" i="77"/>
  <c r="AN19" i="77"/>
  <c r="T34" i="77"/>
  <c r="T36" i="77" s="1"/>
  <c r="AG19" i="77"/>
  <c r="AG18" i="77"/>
  <c r="AB17" i="77"/>
  <c r="AB21" i="77"/>
  <c r="AB26" i="77"/>
  <c r="AG16" i="77"/>
  <c r="AG15" i="77"/>
  <c r="AG12" i="77"/>
  <c r="AG13" i="77"/>
  <c r="D20" i="77" s="1"/>
  <c r="AG14" i="77"/>
  <c r="L12" i="77"/>
  <c r="M10" i="77"/>
  <c r="Z9" i="77"/>
  <c r="J9" i="77"/>
  <c r="I9" i="77"/>
  <c r="D9" i="77"/>
  <c r="C9" i="77"/>
  <c r="B9" i="77"/>
  <c r="M8" i="77"/>
  <c r="J7" i="77"/>
  <c r="I7" i="77"/>
  <c r="K7" i="77" s="1"/>
  <c r="B7" i="77"/>
  <c r="M6" i="77"/>
  <c r="B6" i="77"/>
  <c r="B8" i="77" s="1"/>
  <c r="B10" i="77" s="1"/>
  <c r="J5" i="77"/>
  <c r="I5" i="77"/>
  <c r="K5" i="77"/>
  <c r="M4" i="77"/>
  <c r="J3" i="77"/>
  <c r="I3" i="77"/>
  <c r="AN2" i="77"/>
  <c r="AM2" i="77"/>
  <c r="AL2" i="77"/>
  <c r="AK2" i="77"/>
  <c r="AJ2" i="77"/>
  <c r="AI2" i="77"/>
  <c r="AH2" i="77"/>
  <c r="Z2" i="77"/>
  <c r="Y2" i="77"/>
  <c r="X2" i="77"/>
  <c r="AC8" i="77"/>
  <c r="W2" i="77"/>
  <c r="V2" i="77"/>
  <c r="U2" i="77"/>
  <c r="AC2" i="77"/>
  <c r="S2" i="77"/>
  <c r="R2" i="77"/>
  <c r="Q2" i="77"/>
  <c r="P2" i="77"/>
  <c r="O2" i="77"/>
  <c r="N2" i="77"/>
  <c r="J2" i="77"/>
  <c r="I2" i="77"/>
  <c r="H2" i="77"/>
  <c r="G2" i="77"/>
  <c r="F2" i="77"/>
  <c r="D2" i="77"/>
  <c r="C2" i="77"/>
  <c r="Q42" i="79"/>
  <c r="Q43" i="79"/>
  <c r="T43" i="79"/>
  <c r="S43" i="79"/>
  <c r="R43" i="79"/>
  <c r="T42" i="79"/>
  <c r="S42" i="79"/>
  <c r="R42" i="79"/>
  <c r="O35" i="79"/>
  <c r="X34" i="79"/>
  <c r="W34" i="79"/>
  <c r="V34" i="79"/>
  <c r="W41" i="79"/>
  <c r="U34" i="79"/>
  <c r="V41" i="79" s="1"/>
  <c r="T34" i="79"/>
  <c r="U41" i="79"/>
  <c r="S34" i="79"/>
  <c r="T41" i="79"/>
  <c r="R34" i="79"/>
  <c r="S41" i="79"/>
  <c r="Q34" i="79"/>
  <c r="R41" i="79"/>
  <c r="P34" i="79"/>
  <c r="Q41" i="79"/>
  <c r="V17" i="79"/>
  <c r="U17" i="79"/>
  <c r="V20" i="79"/>
  <c r="U20" i="79"/>
  <c r="U30" i="79" s="1"/>
  <c r="Z22" i="79"/>
  <c r="Y22" i="79"/>
  <c r="X22" i="79"/>
  <c r="X17" i="79"/>
  <c r="X18" i="79"/>
  <c r="X19" i="79"/>
  <c r="X20" i="79"/>
  <c r="X30" i="79" s="1"/>
  <c r="X21" i="79"/>
  <c r="W22" i="79"/>
  <c r="V22" i="79"/>
  <c r="U22" i="79"/>
  <c r="T22" i="79"/>
  <c r="S22" i="79"/>
  <c r="R22" i="79"/>
  <c r="Q22" i="79"/>
  <c r="P22" i="79"/>
  <c r="Z21" i="79"/>
  <c r="Y21" i="79"/>
  <c r="Z31" i="79" s="1"/>
  <c r="W21" i="79"/>
  <c r="V21" i="79"/>
  <c r="V31" i="79" s="1"/>
  <c r="U21" i="79"/>
  <c r="U31" i="79" s="1"/>
  <c r="T21" i="79"/>
  <c r="S21" i="79"/>
  <c r="R21" i="79"/>
  <c r="S31" i="79" s="1"/>
  <c r="Q21" i="79"/>
  <c r="R31" i="79" s="1"/>
  <c r="P21" i="79"/>
  <c r="Z20" i="79"/>
  <c r="Y20" i="79"/>
  <c r="Y30" i="79" s="1"/>
  <c r="W20" i="79"/>
  <c r="W30" i="79"/>
  <c r="T20" i="79"/>
  <c r="S20" i="79"/>
  <c r="T30" i="79" s="1"/>
  <c r="R20" i="79"/>
  <c r="Q20" i="79"/>
  <c r="R30" i="79"/>
  <c r="P20" i="79"/>
  <c r="Q30" i="79" s="1"/>
  <c r="Z19" i="79"/>
  <c r="Y19" i="79"/>
  <c r="W19" i="79"/>
  <c r="V19" i="79"/>
  <c r="U19" i="79"/>
  <c r="T19" i="79"/>
  <c r="S19" i="79"/>
  <c r="R19" i="79"/>
  <c r="Q19" i="79"/>
  <c r="P19" i="79"/>
  <c r="Z18" i="79"/>
  <c r="Y18" i="79"/>
  <c r="W18" i="79"/>
  <c r="V18" i="79"/>
  <c r="U18" i="79"/>
  <c r="T18" i="79"/>
  <c r="T24" i="79" s="1"/>
  <c r="S18" i="79"/>
  <c r="R18" i="79"/>
  <c r="Q18" i="79"/>
  <c r="P18" i="79"/>
  <c r="Z17" i="79"/>
  <c r="Z32" i="79" s="1"/>
  <c r="Y17" i="79"/>
  <c r="W17" i="79"/>
  <c r="T17" i="79"/>
  <c r="T32" i="79" s="1"/>
  <c r="S17" i="79"/>
  <c r="R17" i="79"/>
  <c r="Q17" i="79"/>
  <c r="P17" i="79"/>
  <c r="P24" i="79"/>
  <c r="P39" i="79" s="1"/>
  <c r="Z14" i="79"/>
  <c r="Y14" i="79"/>
  <c r="X14" i="79"/>
  <c r="W14" i="79"/>
  <c r="V14" i="79"/>
  <c r="U14" i="79"/>
  <c r="T14" i="79"/>
  <c r="S14" i="79"/>
  <c r="R14" i="79"/>
  <c r="Q14" i="79"/>
  <c r="P14" i="79"/>
  <c r="AB8" i="79"/>
  <c r="AA8" i="79"/>
  <c r="Z8" i="79"/>
  <c r="Y8" i="79"/>
  <c r="X8" i="79"/>
  <c r="W8" i="79"/>
  <c r="V8" i="79"/>
  <c r="U8" i="79"/>
  <c r="T8" i="79"/>
  <c r="S8" i="79"/>
  <c r="R8" i="79"/>
  <c r="P2" i="79"/>
  <c r="O2" i="79"/>
  <c r="N2" i="79"/>
  <c r="FO11" i="84"/>
  <c r="FN11" i="84"/>
  <c r="FM11" i="84"/>
  <c r="FL11" i="84"/>
  <c r="FK11" i="84"/>
  <c r="FJ11" i="84"/>
  <c r="FI11" i="84"/>
  <c r="FH11" i="84"/>
  <c r="FG11" i="84"/>
  <c r="FF11" i="84"/>
  <c r="FE11" i="84"/>
  <c r="FD11" i="84"/>
  <c r="FC11" i="84"/>
  <c r="FB11" i="84"/>
  <c r="FA11" i="84"/>
  <c r="EZ11" i="84"/>
  <c r="EY11" i="84"/>
  <c r="EX11" i="84"/>
  <c r="EW11" i="84"/>
  <c r="EV11" i="84"/>
  <c r="EJ11" i="84"/>
  <c r="EK11" i="84"/>
  <c r="EL11" i="84" s="1"/>
  <c r="EM11" i="84"/>
  <c r="EN11" i="84"/>
  <c r="EO11" i="84" s="1"/>
  <c r="EP11" i="84" s="1"/>
  <c r="EQ11" i="84" s="1"/>
  <c r="ER11" i="84" s="1"/>
  <c r="ES11" i="84" s="1"/>
  <c r="ET11" i="84" s="1"/>
  <c r="EU11" i="84" s="1"/>
  <c r="EI11" i="84"/>
  <c r="EH11" i="84"/>
  <c r="EG11" i="84"/>
  <c r="EF11" i="84"/>
  <c r="EE11" i="84"/>
  <c r="ED11" i="84"/>
  <c r="FO10" i="84"/>
  <c r="FN10" i="84"/>
  <c r="FM10" i="84"/>
  <c r="FL10" i="84"/>
  <c r="FK10" i="84"/>
  <c r="FJ10" i="84"/>
  <c r="FI10" i="84"/>
  <c r="FH10" i="84"/>
  <c r="FG10" i="84"/>
  <c r="FF10" i="84"/>
  <c r="FE10" i="84"/>
  <c r="FD10" i="84"/>
  <c r="FC10" i="84"/>
  <c r="FB10" i="84"/>
  <c r="FA10" i="84"/>
  <c r="EZ10" i="84"/>
  <c r="EY10" i="84"/>
  <c r="EX10" i="84"/>
  <c r="EW10" i="84"/>
  <c r="EV10" i="84"/>
  <c r="EU10" i="84"/>
  <c r="ET10" i="84"/>
  <c r="ES10" i="84"/>
  <c r="ER10" i="84"/>
  <c r="EQ10" i="84"/>
  <c r="EP10" i="84"/>
  <c r="EO10" i="84"/>
  <c r="EN10" i="84"/>
  <c r="EM10" i="84"/>
  <c r="EL10" i="84"/>
  <c r="EK10" i="84"/>
  <c r="EJ10" i="84"/>
  <c r="EI10" i="84"/>
  <c r="EH10" i="84"/>
  <c r="EG10" i="84"/>
  <c r="EF10" i="84"/>
  <c r="EE10" i="84"/>
  <c r="ED10" i="84"/>
  <c r="FO7" i="84"/>
  <c r="FN7" i="84"/>
  <c r="FM7" i="84"/>
  <c r="FL7" i="84"/>
  <c r="FK7" i="84"/>
  <c r="FJ7" i="84"/>
  <c r="FI7" i="84"/>
  <c r="FH7" i="84"/>
  <c r="FG7" i="84"/>
  <c r="FF7" i="84"/>
  <c r="FE7" i="84"/>
  <c r="FD7" i="84"/>
  <c r="FC7" i="84"/>
  <c r="FB7" i="84"/>
  <c r="FA7" i="84"/>
  <c r="EZ7" i="84"/>
  <c r="EY7" i="84"/>
  <c r="EX7" i="84"/>
  <c r="EW7" i="84"/>
  <c r="EV7" i="84"/>
  <c r="EU7" i="84"/>
  <c r="ET7" i="84"/>
  <c r="ES7" i="84"/>
  <c r="ER7" i="84"/>
  <c r="EQ7" i="84"/>
  <c r="EP7" i="84"/>
  <c r="EO7" i="84"/>
  <c r="EN7" i="84"/>
  <c r="EM7" i="84"/>
  <c r="EL7" i="84"/>
  <c r="EK7" i="84"/>
  <c r="EJ7" i="84"/>
  <c r="EI7" i="84"/>
  <c r="EH7" i="84"/>
  <c r="EG7" i="84"/>
  <c r="EF7" i="84"/>
  <c r="EE7" i="84"/>
  <c r="ED7" i="84"/>
  <c r="C65" i="80"/>
  <c r="I64" i="80"/>
  <c r="I63" i="80"/>
  <c r="I62" i="80"/>
  <c r="I61" i="80"/>
  <c r="I60" i="80"/>
  <c r="I59" i="80"/>
  <c r="I58" i="80"/>
  <c r="I57" i="80"/>
  <c r="I56" i="80"/>
  <c r="I55" i="80"/>
  <c r="I54" i="80"/>
  <c r="I53" i="80"/>
  <c r="I52" i="80"/>
  <c r="I51" i="80"/>
  <c r="I50" i="80"/>
  <c r="I49" i="80"/>
  <c r="I48" i="80"/>
  <c r="I47" i="80"/>
  <c r="I46" i="80"/>
  <c r="I45" i="80"/>
  <c r="I44" i="80"/>
  <c r="I43" i="80"/>
  <c r="I42" i="80"/>
  <c r="I41" i="80"/>
  <c r="I40" i="80"/>
  <c r="I39" i="80"/>
  <c r="I38" i="80"/>
  <c r="I37" i="80"/>
  <c r="I36" i="80"/>
  <c r="I35" i="80"/>
  <c r="I34" i="80"/>
  <c r="I33" i="80"/>
  <c r="I32" i="80"/>
  <c r="I31" i="80"/>
  <c r="I30" i="80"/>
  <c r="I29" i="80"/>
  <c r="I28" i="80"/>
  <c r="I27" i="80"/>
  <c r="I26" i="80"/>
  <c r="I25" i="80"/>
  <c r="I24" i="80"/>
  <c r="I23" i="80"/>
  <c r="I22" i="80"/>
  <c r="I21" i="80"/>
  <c r="I20" i="80"/>
  <c r="I19" i="80"/>
  <c r="I18" i="80"/>
  <c r="I17" i="80"/>
  <c r="I16" i="80"/>
  <c r="I15" i="80"/>
  <c r="I14" i="80"/>
  <c r="I13" i="80"/>
  <c r="I12" i="80"/>
  <c r="I11" i="80"/>
  <c r="I10" i="80"/>
  <c r="O9" i="80"/>
  <c r="L9" i="80"/>
  <c r="M9" i="80" s="1"/>
  <c r="I9" i="80"/>
  <c r="O8" i="80"/>
  <c r="L8" i="80"/>
  <c r="N8" i="80" s="1"/>
  <c r="I8" i="80"/>
  <c r="P7" i="80"/>
  <c r="O7" i="80"/>
  <c r="L7" i="80"/>
  <c r="N7" i="80" s="1"/>
  <c r="M7" i="80"/>
  <c r="I7" i="80"/>
  <c r="O6" i="80"/>
  <c r="L6" i="80"/>
  <c r="I6" i="80"/>
  <c r="O5" i="80"/>
  <c r="L5" i="80"/>
  <c r="N5" i="80" s="1"/>
  <c r="I5" i="80"/>
  <c r="O4" i="80"/>
  <c r="L4" i="80"/>
  <c r="I4" i="80"/>
  <c r="O3" i="80"/>
  <c r="L3" i="80"/>
  <c r="M3" i="80" s="1"/>
  <c r="I3" i="80"/>
  <c r="O2" i="80"/>
  <c r="L2" i="80"/>
  <c r="N2" i="80"/>
  <c r="I2" i="80"/>
  <c r="AK42" i="57"/>
  <c r="AJ41" i="57"/>
  <c r="AJ39" i="57"/>
  <c r="AC39" i="57"/>
  <c r="AC38" i="57"/>
  <c r="AC37" i="57"/>
  <c r="AC36" i="57"/>
  <c r="AJ35" i="57"/>
  <c r="AI35" i="57"/>
  <c r="AH35" i="57"/>
  <c r="AG35" i="57"/>
  <c r="AF35" i="57"/>
  <c r="AE35" i="57"/>
  <c r="AD35" i="57"/>
  <c r="AC35" i="57"/>
  <c r="M35" i="57"/>
  <c r="AJ34" i="57"/>
  <c r="AI34" i="57"/>
  <c r="AH34" i="57"/>
  <c r="AG34" i="57"/>
  <c r="AF34" i="57"/>
  <c r="AE34" i="57"/>
  <c r="AD34" i="57"/>
  <c r="AC34" i="57"/>
  <c r="AJ33" i="57"/>
  <c r="AI33" i="57"/>
  <c r="AH33" i="57"/>
  <c r="AG33" i="57"/>
  <c r="AF33" i="57"/>
  <c r="AE33" i="57"/>
  <c r="AD33" i="57"/>
  <c r="AC33" i="57"/>
  <c r="AJ32" i="57"/>
  <c r="AI32" i="57"/>
  <c r="AH32" i="57"/>
  <c r="AG32" i="57"/>
  <c r="AF32" i="57"/>
  <c r="AE32" i="57"/>
  <c r="AD32" i="57"/>
  <c r="AC32" i="57"/>
  <c r="AJ31" i="57"/>
  <c r="AI31" i="57"/>
  <c r="AH31" i="57"/>
  <c r="AG31" i="57"/>
  <c r="AF31" i="57"/>
  <c r="AE31" i="57"/>
  <c r="AD31" i="57"/>
  <c r="AC31" i="57"/>
  <c r="AJ30" i="57"/>
  <c r="AI30" i="57"/>
  <c r="AH30" i="57"/>
  <c r="AG30" i="57"/>
  <c r="AF30" i="57"/>
  <c r="AE30" i="57"/>
  <c r="AD30" i="57"/>
  <c r="AC30" i="57"/>
  <c r="AJ29" i="57"/>
  <c r="AI29" i="57"/>
  <c r="AH29" i="57"/>
  <c r="AG29" i="57"/>
  <c r="AF29" i="57"/>
  <c r="AE29" i="57"/>
  <c r="AD29" i="57"/>
  <c r="AC29" i="57"/>
  <c r="AJ28" i="57"/>
  <c r="AI28" i="57"/>
  <c r="AH28" i="57"/>
  <c r="AG28" i="57"/>
  <c r="AF28" i="57"/>
  <c r="AE28" i="57"/>
  <c r="AD28" i="57"/>
  <c r="AC28" i="57"/>
  <c r="AJ27" i="57"/>
  <c r="AI27" i="57"/>
  <c r="AH27" i="57"/>
  <c r="AG27" i="57"/>
  <c r="AF27" i="57"/>
  <c r="AE27" i="57"/>
  <c r="AD27" i="57"/>
  <c r="AC27" i="57"/>
  <c r="AJ26" i="57"/>
  <c r="AI26" i="57"/>
  <c r="AH26" i="57"/>
  <c r="AG26" i="57"/>
  <c r="AF26" i="57"/>
  <c r="AE26" i="57"/>
  <c r="AD26" i="57"/>
  <c r="AC26" i="57"/>
  <c r="AJ25" i="57"/>
  <c r="AI25" i="57"/>
  <c r="AH25" i="57"/>
  <c r="AG25" i="57"/>
  <c r="AF25" i="57"/>
  <c r="AE25" i="57"/>
  <c r="AD25" i="57"/>
  <c r="AC25" i="57"/>
  <c r="AJ24" i="57"/>
  <c r="AI24" i="57"/>
  <c r="AH24" i="57"/>
  <c r="AG24" i="57"/>
  <c r="AF24" i="57"/>
  <c r="AE24" i="57"/>
  <c r="AD24" i="57"/>
  <c r="AC24" i="57"/>
  <c r="AJ23" i="57"/>
  <c r="AI23" i="57"/>
  <c r="AH23" i="57"/>
  <c r="AG23" i="57"/>
  <c r="AF23" i="57"/>
  <c r="AE23" i="57"/>
  <c r="AD23" i="57"/>
  <c r="AC23" i="57"/>
  <c r="AJ22" i="57"/>
  <c r="AI22" i="57"/>
  <c r="AH22" i="57"/>
  <c r="AG22" i="57"/>
  <c r="AF22" i="57"/>
  <c r="AE22" i="57"/>
  <c r="AD22" i="57"/>
  <c r="AC22" i="57"/>
  <c r="AJ21" i="57"/>
  <c r="AI21" i="57"/>
  <c r="AH21" i="57"/>
  <c r="AH39" i="57" s="1"/>
  <c r="AG21" i="57"/>
  <c r="AF21" i="57"/>
  <c r="AE21" i="57"/>
  <c r="AD21" i="57"/>
  <c r="AC21" i="57"/>
  <c r="AJ20" i="57"/>
  <c r="AI20" i="57"/>
  <c r="AH20" i="57"/>
  <c r="AG20" i="57"/>
  <c r="AF20" i="57"/>
  <c r="AF42" i="57"/>
  <c r="AE20" i="57"/>
  <c r="AE42" i="57" s="1"/>
  <c r="AD20" i="57"/>
  <c r="AD42" i="57" s="1"/>
  <c r="AC20" i="57"/>
  <c r="AJ19" i="57"/>
  <c r="AI19" i="57"/>
  <c r="AH19" i="57"/>
  <c r="AG19" i="57"/>
  <c r="AF19" i="57"/>
  <c r="AE19" i="57"/>
  <c r="AD19" i="57"/>
  <c r="AC19" i="57"/>
  <c r="AJ18" i="57"/>
  <c r="AI18" i="57"/>
  <c r="AH18" i="57"/>
  <c r="AG18" i="57"/>
  <c r="AF18" i="57"/>
  <c r="AE18" i="57"/>
  <c r="AD18" i="57"/>
  <c r="AC18" i="57"/>
  <c r="AJ17" i="57"/>
  <c r="AI17" i="57"/>
  <c r="AH17" i="57"/>
  <c r="AG17" i="57"/>
  <c r="AF17" i="57"/>
  <c r="AE17" i="57"/>
  <c r="AD17" i="57"/>
  <c r="AC17" i="57"/>
  <c r="AJ16" i="57"/>
  <c r="AI16" i="57"/>
  <c r="AH16" i="57"/>
  <c r="AG16" i="57"/>
  <c r="AF16" i="57"/>
  <c r="AE16" i="57"/>
  <c r="AD16" i="57"/>
  <c r="AC16" i="57"/>
  <c r="AJ15" i="57"/>
  <c r="AI15" i="57"/>
  <c r="AH15" i="57"/>
  <c r="AG15" i="57"/>
  <c r="AF15" i="57"/>
  <c r="AE15" i="57"/>
  <c r="AD15" i="57"/>
  <c r="AC15" i="57"/>
  <c r="AJ14" i="57"/>
  <c r="AI14" i="57"/>
  <c r="AH14" i="57"/>
  <c r="AG14" i="57"/>
  <c r="AF14" i="57"/>
  <c r="AE14" i="57"/>
  <c r="AD14" i="57"/>
  <c r="AC14" i="57"/>
  <c r="AJ13" i="57"/>
  <c r="AI13" i="57"/>
  <c r="AH13" i="57"/>
  <c r="AH42" i="57" s="1"/>
  <c r="AG13" i="57"/>
  <c r="AF13" i="57"/>
  <c r="AE13" i="57"/>
  <c r="AD13" i="57"/>
  <c r="AC13" i="57"/>
  <c r="AJ12" i="57"/>
  <c r="AJ37" i="57" s="1"/>
  <c r="AI12" i="57"/>
  <c r="AH12" i="57"/>
  <c r="AG12" i="57"/>
  <c r="AG37" i="57" s="1"/>
  <c r="AF12" i="57"/>
  <c r="AE12" i="57"/>
  <c r="AE37" i="57" s="1"/>
  <c r="AD12" i="57"/>
  <c r="AC12" i="57"/>
  <c r="AJ11" i="57"/>
  <c r="AI11" i="57"/>
  <c r="AH11" i="57"/>
  <c r="AH37" i="57" s="1"/>
  <c r="AG11" i="57"/>
  <c r="AG39" i="57" s="1"/>
  <c r="AF11" i="57"/>
  <c r="AE11" i="57"/>
  <c r="AD11" i="57"/>
  <c r="AC11" i="57"/>
  <c r="AG10" i="57"/>
  <c r="AE10" i="57"/>
  <c r="AD10" i="57"/>
  <c r="L9" i="57"/>
  <c r="K9" i="57"/>
  <c r="W8" i="57"/>
  <c r="T8" i="57"/>
  <c r="F8" i="57"/>
  <c r="G8" i="57" s="1"/>
  <c r="E8" i="57"/>
  <c r="L7" i="57"/>
  <c r="K7" i="57"/>
  <c r="W6" i="57"/>
  <c r="T6" i="57"/>
  <c r="N6" i="57"/>
  <c r="O6" i="57" s="1"/>
  <c r="M6" i="57"/>
  <c r="F6" i="57"/>
  <c r="E6" i="57"/>
  <c r="L5" i="57"/>
  <c r="K5" i="57"/>
  <c r="W4" i="57"/>
  <c r="T4" i="57"/>
  <c r="N4" i="57"/>
  <c r="M4" i="57"/>
  <c r="F4" i="57"/>
  <c r="E4" i="57"/>
  <c r="L3" i="57"/>
  <c r="K3" i="57"/>
  <c r="W2" i="57"/>
  <c r="T2" i="57"/>
  <c r="N2" i="57"/>
  <c r="M2" i="57"/>
  <c r="O2" i="57" s="1"/>
  <c r="F2" i="57"/>
  <c r="E2" i="57"/>
  <c r="AJ1" i="57"/>
  <c r="AI1" i="57"/>
  <c r="AH1" i="57"/>
  <c r="B1" i="57"/>
  <c r="AG1" i="57"/>
  <c r="AF1" i="57"/>
  <c r="AE1" i="57"/>
  <c r="AD1" i="57"/>
  <c r="C1" i="57" s="1"/>
  <c r="L10" i="77"/>
  <c r="K9" i="77"/>
  <c r="Y32" i="79"/>
  <c r="M5" i="80"/>
  <c r="K3" i="77"/>
  <c r="AX12" i="63"/>
  <c r="BJ13" i="63" s="1"/>
  <c r="AX21" i="63"/>
  <c r="AX15" i="63"/>
  <c r="BJ9" i="63"/>
  <c r="B33" i="63"/>
  <c r="N34" i="63"/>
  <c r="AL34" i="63"/>
  <c r="AL33" i="63"/>
  <c r="O33" i="63"/>
  <c r="AU33" i="63"/>
  <c r="AW34" i="63"/>
  <c r="M73" i="4"/>
  <c r="AB71" i="4" s="1"/>
  <c r="D110" i="62"/>
  <c r="D37" i="62" s="1"/>
  <c r="G204" i="4"/>
  <c r="G113" i="19"/>
  <c r="J290" i="4"/>
  <c r="J206" i="4"/>
  <c r="C30" i="67"/>
  <c r="C37" i="67" s="1"/>
  <c r="C22" i="67"/>
  <c r="G12" i="60"/>
  <c r="V22" i="60"/>
  <c r="O12" i="60"/>
  <c r="K7" i="60"/>
  <c r="BC35" i="38"/>
  <c r="AY202" i="38"/>
  <c r="AY35" i="38"/>
  <c r="BA202" i="38"/>
  <c r="BA35" i="38"/>
  <c r="AY159" i="38"/>
  <c r="I89" i="76"/>
  <c r="J89" i="76"/>
  <c r="K89" i="76"/>
  <c r="K90" i="76" s="1"/>
  <c r="J97" i="76" s="1"/>
  <c r="H76" i="76"/>
  <c r="J76" i="76"/>
  <c r="H88" i="76"/>
  <c r="J88" i="76"/>
  <c r="A15" i="69"/>
  <c r="G15" i="69"/>
  <c r="E20" i="19"/>
  <c r="E21" i="19" s="1"/>
  <c r="G208" i="4"/>
  <c r="G206" i="4"/>
  <c r="I206" i="4"/>
  <c r="H290" i="4"/>
  <c r="G290" i="4"/>
  <c r="H5" i="19"/>
  <c r="H208" i="4"/>
  <c r="J208" i="4" s="1"/>
  <c r="K208" i="4" s="1"/>
  <c r="A14" i="69"/>
  <c r="G13" i="69"/>
  <c r="BF23" i="70"/>
  <c r="AZ202" i="38"/>
  <c r="AF10" i="57"/>
  <c r="AZ159" i="38"/>
  <c r="D23" i="60"/>
  <c r="C21" i="77"/>
  <c r="D12" i="60"/>
  <c r="D44" i="60"/>
  <c r="G24" i="60"/>
  <c r="G27" i="60" s="1"/>
  <c r="U13" i="60"/>
  <c r="N16" i="60"/>
  <c r="F21" i="60"/>
  <c r="N20" i="60"/>
  <c r="U27" i="60"/>
  <c r="D16" i="60"/>
  <c r="U16" i="60"/>
  <c r="D20" i="60"/>
  <c r="AK10" i="57"/>
  <c r="FG1" i="38"/>
  <c r="FK1" i="38"/>
  <c r="C15" i="60"/>
  <c r="C12" i="60"/>
  <c r="C49" i="60" s="1"/>
  <c r="C13" i="60"/>
  <c r="O21" i="60"/>
  <c r="D21" i="60"/>
  <c r="AI42" i="57"/>
  <c r="C22" i="60"/>
  <c r="C21" i="60"/>
  <c r="E21" i="60" s="1"/>
  <c r="C16" i="60"/>
  <c r="D47" i="60"/>
  <c r="F59" i="76"/>
  <c r="H58" i="76"/>
  <c r="D59" i="76"/>
  <c r="G60" i="76"/>
  <c r="B59" i="76"/>
  <c r="D57" i="76"/>
  <c r="D61" i="76" s="1"/>
  <c r="G4" i="57"/>
  <c r="E9" i="77"/>
  <c r="V15" i="77"/>
  <c r="BA59" i="63"/>
  <c r="AD39" i="57"/>
  <c r="W31" i="79"/>
  <c r="S34" i="63"/>
  <c r="S33" i="63"/>
  <c r="AA44" i="63"/>
  <c r="C162" i="69"/>
  <c r="C168" i="69" s="1"/>
  <c r="N3" i="80"/>
  <c r="M6" i="80"/>
  <c r="N6" i="80"/>
  <c r="Q31" i="79"/>
  <c r="AX202" i="38"/>
  <c r="AX35" i="38"/>
  <c r="AQ33" i="63"/>
  <c r="V12" i="77"/>
  <c r="BK68" i="63"/>
  <c r="AH33" i="63"/>
  <c r="BA28" i="38"/>
  <c r="AZ35" i="38"/>
  <c r="H45" i="67"/>
  <c r="H52" i="67"/>
  <c r="BE1" i="39"/>
  <c r="V12" i="60"/>
  <c r="Y12" i="60" s="1"/>
  <c r="C32" i="60"/>
  <c r="C29" i="60"/>
  <c r="C43" i="60"/>
  <c r="I21" i="60"/>
  <c r="BE31" i="39"/>
  <c r="AJ10" i="57"/>
  <c r="F175" i="69"/>
  <c r="AM94" i="19"/>
  <c r="AM95" i="19"/>
  <c r="BV29" i="63"/>
  <c r="BW29" i="63" s="1"/>
  <c r="AC44" i="67"/>
  <c r="AD44" i="67" s="1"/>
  <c r="AE44" i="67" s="1"/>
  <c r="AF44" i="67" s="1"/>
  <c r="AG44" i="67" s="1"/>
  <c r="AA43" i="67"/>
  <c r="Z43" i="67"/>
  <c r="Y43" i="67" s="1"/>
  <c r="AC43" i="67"/>
  <c r="AD43" i="67"/>
  <c r="AE43" i="67" s="1"/>
  <c r="AF43" i="67" s="1"/>
  <c r="AG43" i="67" s="1"/>
  <c r="AS27" i="19"/>
  <c r="AS28" i="19"/>
  <c r="I3" i="18"/>
  <c r="AL43" i="19"/>
  <c r="CD18" i="63"/>
  <c r="CP18" i="63" s="1"/>
  <c r="DB18" i="63" s="1"/>
  <c r="DN18" i="63" s="1"/>
  <c r="DZ18" i="63" s="1"/>
  <c r="D207" i="69"/>
  <c r="D104" i="62"/>
  <c r="D106" i="62" s="1"/>
  <c r="I77" i="76"/>
  <c r="E187" i="69" s="1"/>
  <c r="H243" i="62"/>
  <c r="H117" i="62" s="1"/>
  <c r="F4" i="66"/>
  <c r="F13" i="66" s="1"/>
  <c r="D69" i="64"/>
  <c r="AF11" i="69"/>
  <c r="G104" i="62"/>
  <c r="G106" i="62" s="1"/>
  <c r="H262" i="62"/>
  <c r="G110" i="62"/>
  <c r="G221" i="62" s="1"/>
  <c r="D16" i="69" s="1"/>
  <c r="E266" i="69"/>
  <c r="BC35" i="63"/>
  <c r="BD24" i="63"/>
  <c r="BC24" i="63"/>
  <c r="AA33" i="63"/>
  <c r="BJ76" i="63"/>
  <c r="O26" i="63"/>
  <c r="AA26" i="63"/>
  <c r="P34" i="63"/>
  <c r="AL142" i="62"/>
  <c r="X13" i="63"/>
  <c r="B222" i="4"/>
  <c r="AC34" i="63"/>
  <c r="AV44" i="63"/>
  <c r="P44" i="63"/>
  <c r="AT44" i="63"/>
  <c r="Q33" i="63"/>
  <c r="AJ34" i="63"/>
  <c r="AW33" i="63"/>
  <c r="Y34" i="63"/>
  <c r="AM164" i="69"/>
  <c r="AW44" i="63"/>
  <c r="AV34" i="63"/>
  <c r="BJ44" i="63"/>
  <c r="X33" i="63"/>
  <c r="AJ33" i="63"/>
  <c r="W44" i="63"/>
  <c r="AK33" i="63"/>
  <c r="R44" i="63"/>
  <c r="AL44" i="63"/>
  <c r="BL70" i="63"/>
  <c r="AB44" i="63"/>
  <c r="AK44" i="63"/>
  <c r="T33" i="63"/>
  <c r="AM13" i="63"/>
  <c r="AS33" i="63"/>
  <c r="AG33" i="63"/>
  <c r="BC39" i="63"/>
  <c r="AS34" i="63"/>
  <c r="AF34" i="63"/>
  <c r="U33" i="63"/>
  <c r="BK59" i="63"/>
  <c r="BL59" i="63" s="1"/>
  <c r="AR44" i="63"/>
  <c r="AT26" i="63"/>
  <c r="BA18" i="63"/>
  <c r="AO44" i="63"/>
  <c r="AP44" i="63"/>
  <c r="AE44" i="63"/>
  <c r="J158" i="69"/>
  <c r="AY9" i="63"/>
  <c r="AZ9" i="63"/>
  <c r="AC44" i="63"/>
  <c r="R26" i="63"/>
  <c r="AD44" i="63"/>
  <c r="BD39" i="63"/>
  <c r="AD34" i="63"/>
  <c r="BF72" i="63"/>
  <c r="BV27" i="63"/>
  <c r="D158" i="69"/>
  <c r="BD63" i="63"/>
  <c r="AB34" i="63"/>
  <c r="BG57" i="63"/>
  <c r="BH57" i="63" s="1"/>
  <c r="R33" i="63"/>
  <c r="BA17" i="63"/>
  <c r="AC33" i="63"/>
  <c r="G162" i="69"/>
  <c r="G168" i="69" s="1"/>
  <c r="AD33" i="63"/>
  <c r="AN34" i="63"/>
  <c r="R34" i="63"/>
  <c r="AP34" i="63"/>
  <c r="R162" i="69"/>
  <c r="R166" i="69" s="1"/>
  <c r="BD43" i="63"/>
  <c r="AE162" i="69" s="1"/>
  <c r="AB33" i="63"/>
  <c r="AF26" i="63"/>
  <c r="AO34" i="63"/>
  <c r="W17" i="64"/>
  <c r="O44" i="63"/>
  <c r="BD66" i="63"/>
  <c r="BD67" i="63" s="1"/>
  <c r="BD68" i="63" s="1"/>
  <c r="BK13" i="63"/>
  <c r="BB18" i="63"/>
  <c r="BD6" i="63"/>
  <c r="Q44" i="63"/>
  <c r="Q162" i="69"/>
  <c r="Q166" i="69" s="1"/>
  <c r="H24" i="62"/>
  <c r="H257" i="62"/>
  <c r="H207" i="69"/>
  <c r="AL224" i="62"/>
  <c r="D103" i="62"/>
  <c r="I77" i="62"/>
  <c r="I235" i="62"/>
  <c r="J79" i="76" s="1"/>
  <c r="J12" i="60"/>
  <c r="J8" i="60" s="1"/>
  <c r="W24" i="79"/>
  <c r="W32" i="79"/>
  <c r="X32" i="79"/>
  <c r="T31" i="79"/>
  <c r="AM97" i="19"/>
  <c r="AM96" i="19"/>
  <c r="BW31" i="63"/>
  <c r="CI31" i="63" s="1"/>
  <c r="AM98" i="19"/>
  <c r="D45" i="67"/>
  <c r="D52" i="67"/>
  <c r="E52" i="67"/>
  <c r="AG13" i="63"/>
  <c r="X31" i="79"/>
  <c r="Y31" i="79"/>
  <c r="G25" i="60"/>
  <c r="N19" i="57"/>
  <c r="U19" i="57"/>
  <c r="AI37" i="57"/>
  <c r="AV28" i="38"/>
  <c r="AZ28" i="38"/>
  <c r="G2" i="57"/>
  <c r="AE39" i="57"/>
  <c r="AL42" i="57"/>
  <c r="AL43" i="57" s="1"/>
  <c r="B9" i="62"/>
  <c r="AN44" i="63"/>
  <c r="AG42" i="57"/>
  <c r="Q32" i="79"/>
  <c r="O162" i="69"/>
  <c r="O166" i="69" s="1"/>
  <c r="E29" i="19"/>
  <c r="E27" i="19"/>
  <c r="E41" i="19" s="1"/>
  <c r="E22" i="64"/>
  <c r="D48" i="60"/>
  <c r="I88" i="76"/>
  <c r="U21" i="60"/>
  <c r="N13" i="60"/>
  <c r="G13" i="60"/>
  <c r="D22" i="60"/>
  <c r="N15" i="60"/>
  <c r="N22" i="60"/>
  <c r="N27" i="60"/>
  <c r="G21" i="60"/>
  <c r="J21" i="60" s="1"/>
  <c r="R21" i="60" s="1"/>
  <c r="D24" i="60"/>
  <c r="N24" i="60"/>
  <c r="P24" i="60" s="1"/>
  <c r="F13" i="60"/>
  <c r="M8" i="80"/>
  <c r="G22" i="77"/>
  <c r="J205" i="4"/>
  <c r="I207" i="4"/>
  <c r="E5" i="19"/>
  <c r="I208" i="4"/>
  <c r="I204" i="4"/>
  <c r="I205" i="4"/>
  <c r="D46" i="60"/>
  <c r="L8" i="77"/>
  <c r="L4" i="77"/>
  <c r="L6" i="77"/>
  <c r="S162" i="69"/>
  <c r="S166" i="69" s="1"/>
  <c r="AQ44" i="63"/>
  <c r="J217" i="4"/>
  <c r="J209" i="4" s="1"/>
  <c r="H122" i="62"/>
  <c r="C351" i="69" s="1"/>
  <c r="E183" i="69"/>
  <c r="E193" i="69" s="1"/>
  <c r="AD26" i="63"/>
  <c r="G207" i="4"/>
  <c r="F24" i="77"/>
  <c r="F27" i="77" s="1"/>
  <c r="V32" i="79"/>
  <c r="V13" i="60"/>
  <c r="S44" i="63"/>
  <c r="T16" i="64"/>
  <c r="S12" i="64"/>
  <c r="S13" i="64" s="1"/>
  <c r="B4" i="66"/>
  <c r="C125" i="62"/>
  <c r="CW31" i="63"/>
  <c r="DI31" i="63" s="1"/>
  <c r="DC31" i="63"/>
  <c r="DO31" i="63" s="1"/>
  <c r="EA31" i="63" s="1"/>
  <c r="DD31" i="63"/>
  <c r="CY31" i="63"/>
  <c r="DK31" i="63" s="1"/>
  <c r="M30" i="60"/>
  <c r="BX31" i="63"/>
  <c r="H94" i="64"/>
  <c r="H96" i="64" s="1"/>
  <c r="H99" i="64" s="1"/>
  <c r="J4" i="60"/>
  <c r="J6" i="60"/>
  <c r="J10" i="60"/>
  <c r="R12" i="60"/>
  <c r="I13" i="60"/>
  <c r="G14" i="60"/>
  <c r="F21" i="64"/>
  <c r="V14" i="60"/>
  <c r="DP31" i="63"/>
  <c r="R3" i="60"/>
  <c r="R4" i="60" s="1"/>
  <c r="R7" i="60"/>
  <c r="R8" i="60" s="1"/>
  <c r="R5" i="60"/>
  <c r="R6" i="60"/>
  <c r="Y10" i="60"/>
  <c r="CA29" i="63"/>
  <c r="D101" i="69"/>
  <c r="E101" i="69"/>
  <c r="P159" i="4"/>
  <c r="Q159" i="4"/>
  <c r="BH27" i="63"/>
  <c r="BM30" i="63"/>
  <c r="BN30" i="63" s="1"/>
  <c r="BO30" i="63" s="1"/>
  <c r="CU31" i="63"/>
  <c r="BE31" i="63"/>
  <c r="BD27" i="63"/>
  <c r="BH35" i="63"/>
  <c r="AC56" i="4"/>
  <c r="BJ35" i="63"/>
  <c r="G3" i="19"/>
  <c r="H3" i="19" s="1"/>
  <c r="F20" i="19"/>
  <c r="AR36" i="19"/>
  <c r="I267" i="69"/>
  <c r="H280" i="69" s="1"/>
  <c r="AC57" i="4"/>
  <c r="AB56" i="4"/>
  <c r="AB57" i="4"/>
  <c r="BX110" i="63"/>
  <c r="U23" i="54"/>
  <c r="D2" i="54"/>
  <c r="C22" i="54"/>
  <c r="L2" i="54"/>
  <c r="G20" i="19"/>
  <c r="G21" i="19" s="1"/>
  <c r="CA41" i="63"/>
  <c r="BW23" i="63"/>
  <c r="I15" i="19"/>
  <c r="I47" i="64"/>
  <c r="I5" i="19"/>
  <c r="K40" i="62"/>
  <c r="L40" i="62" s="1"/>
  <c r="M40" i="62" s="1"/>
  <c r="N40" i="62" s="1"/>
  <c r="N70" i="4"/>
  <c r="N74" i="4"/>
  <c r="AC72" i="4" s="1"/>
  <c r="N73" i="4"/>
  <c r="AC71" i="4" s="1"/>
  <c r="E103" i="69"/>
  <c r="I82" i="19"/>
  <c r="E323" i="69"/>
  <c r="I323" i="69" s="1"/>
  <c r="K82" i="19"/>
  <c r="L54" i="19"/>
  <c r="M54" i="19" s="1"/>
  <c r="N54" i="19" s="1"/>
  <c r="O54" i="19" s="1"/>
  <c r="P54" i="19" s="1"/>
  <c r="Q54" i="19" s="1"/>
  <c r="R54" i="19" s="1"/>
  <c r="S54" i="19" s="1"/>
  <c r="T54" i="19" s="1"/>
  <c r="U54" i="19" s="1"/>
  <c r="V54" i="19" s="1"/>
  <c r="W54" i="19" s="1"/>
  <c r="X54" i="19" s="1"/>
  <c r="Y54" i="19" s="1"/>
  <c r="Z54" i="19" s="1"/>
  <c r="AA54" i="19" s="1"/>
  <c r="M297" i="4"/>
  <c r="N92" i="4"/>
  <c r="K165" i="4"/>
  <c r="AB116" i="4"/>
  <c r="C2" i="93"/>
  <c r="BF17" i="63"/>
  <c r="BE17" i="63"/>
  <c r="T12" i="93"/>
  <c r="G14" i="93"/>
  <c r="U12" i="93"/>
  <c r="D19" i="93"/>
  <c r="F19" i="93"/>
  <c r="M12" i="93"/>
  <c r="N12" i="93"/>
  <c r="C12" i="93"/>
  <c r="C47" i="93" s="1"/>
  <c r="M20" i="93"/>
  <c r="AC39" i="54"/>
  <c r="AB103" i="4"/>
  <c r="I85" i="64"/>
  <c r="Q88" i="4" s="1"/>
  <c r="J82" i="19"/>
  <c r="AS19" i="19"/>
  <c r="A18" i="63"/>
  <c r="A162" i="62" s="1"/>
  <c r="A169" i="62" s="1"/>
  <c r="CX31" i="63"/>
  <c r="BG41" i="63"/>
  <c r="BG110" i="63" s="1"/>
  <c r="BF38" i="63"/>
  <c r="BF43" i="63" s="1"/>
  <c r="AG162" i="69" s="1"/>
  <c r="CA10" i="63"/>
  <c r="AT64" i="62" s="1"/>
  <c r="CC16" i="63"/>
  <c r="CD16" i="63" s="1"/>
  <c r="CE16" i="63" s="1"/>
  <c r="E386" i="69"/>
  <c r="H386" i="69" s="1"/>
  <c r="CW18" i="63"/>
  <c r="DI18" i="63" s="1"/>
  <c r="DU18" i="63" s="1"/>
  <c r="CX18" i="63"/>
  <c r="DJ18" i="63" s="1"/>
  <c r="DV18" i="63" s="1"/>
  <c r="N26" i="63" l="1"/>
  <c r="BF35" i="63"/>
  <c r="W26" i="63"/>
  <c r="AR26" i="63"/>
  <c r="T13" i="63"/>
  <c r="N13" i="63"/>
  <c r="AL13" i="63"/>
  <c r="BK16" i="63"/>
  <c r="BL16" i="63" s="1"/>
  <c r="BL10" i="63" s="1"/>
  <c r="AY15" i="63"/>
  <c r="A59" i="63"/>
  <c r="A31" i="63" s="1"/>
  <c r="AO13" i="63"/>
  <c r="AL36" i="63"/>
  <c r="AP36" i="63"/>
  <c r="A16" i="63"/>
  <c r="AN36" i="63"/>
  <c r="V13" i="63"/>
  <c r="AH13" i="63"/>
  <c r="AT13" i="63"/>
  <c r="AF13" i="63"/>
  <c r="P13" i="63"/>
  <c r="BP23" i="63"/>
  <c r="BQ24" i="63" s="1"/>
  <c r="AP76" i="62"/>
  <c r="I158" i="69"/>
  <c r="I159" i="69" s="1"/>
  <c r="AB36" i="63"/>
  <c r="AR36" i="63"/>
  <c r="S26" i="63"/>
  <c r="AQ26" i="63"/>
  <c r="AJ26" i="63"/>
  <c r="AL26" i="63"/>
  <c r="AC26" i="63"/>
  <c r="AI26" i="63"/>
  <c r="P26" i="63"/>
  <c r="BG24" i="63"/>
  <c r="AQ36" i="63"/>
  <c r="BR98" i="63"/>
  <c r="AQ64" i="62"/>
  <c r="BL98" i="63"/>
  <c r="AO64" i="62"/>
  <c r="AJ36" i="63"/>
  <c r="BU98" i="63"/>
  <c r="BU99" i="63" s="1"/>
  <c r="AR64" i="62"/>
  <c r="I64" i="62"/>
  <c r="E42" i="64" s="1"/>
  <c r="AN64" i="62"/>
  <c r="X36" i="63"/>
  <c r="EM31" i="63"/>
  <c r="CP64" i="63"/>
  <c r="AM65" i="62"/>
  <c r="AP30" i="62"/>
  <c r="AL23" i="62"/>
  <c r="AI11" i="62"/>
  <c r="AL65" i="62"/>
  <c r="AN30" i="62"/>
  <c r="AK23" i="62"/>
  <c r="AH11" i="62"/>
  <c r="AK65" i="62"/>
  <c r="AM30" i="62"/>
  <c r="AJ23" i="62"/>
  <c r="AG11" i="62"/>
  <c r="AJ65" i="62"/>
  <c r="AL30" i="62"/>
  <c r="AI23" i="62"/>
  <c r="AK15" i="62"/>
  <c r="AK18" i="62" s="1"/>
  <c r="AI65" i="62"/>
  <c r="AK30" i="62"/>
  <c r="AH23" i="62"/>
  <c r="AJ15" i="62"/>
  <c r="AJ18" i="62" s="1"/>
  <c r="AK8" i="62"/>
  <c r="AK13" i="62" s="1"/>
  <c r="AH65" i="62"/>
  <c r="AJ30" i="62"/>
  <c r="AG23" i="62"/>
  <c r="AI15" i="62"/>
  <c r="AI18" i="62" s="1"/>
  <c r="AJ8" i="62"/>
  <c r="AJ13" i="62" s="1"/>
  <c r="AJ11" i="62"/>
  <c r="AT31" i="62"/>
  <c r="AI30" i="62"/>
  <c r="AH15" i="62"/>
  <c r="AH18" i="62" s="1"/>
  <c r="AI8" i="62"/>
  <c r="AI13" i="62" s="1"/>
  <c r="CP3" i="63"/>
  <c r="AN31" i="62"/>
  <c r="I167" i="62" s="1"/>
  <c r="I237" i="62" s="1"/>
  <c r="AH30" i="62"/>
  <c r="AG15" i="62"/>
  <c r="AG18" i="62" s="1"/>
  <c r="AH8" i="62"/>
  <c r="AH13" i="62" s="1"/>
  <c r="AG20" i="62"/>
  <c r="AM31" i="62"/>
  <c r="AG30" i="62"/>
  <c r="AJ20" i="62"/>
  <c r="AR11" i="62"/>
  <c r="AG8" i="62"/>
  <c r="AG13" i="62" s="1"/>
  <c r="AT30" i="62"/>
  <c r="AL31" i="62"/>
  <c r="AO23" i="62"/>
  <c r="AI20" i="62"/>
  <c r="AL11" i="62"/>
  <c r="AM23" i="62"/>
  <c r="AK31" i="62"/>
  <c r="AN23" i="62"/>
  <c r="AH20" i="62"/>
  <c r="AK11" i="62"/>
  <c r="AN65" i="62"/>
  <c r="AR30" i="62"/>
  <c r="AO65" i="62"/>
  <c r="AQ30" i="62"/>
  <c r="AS31" i="62"/>
  <c r="AP31" i="62"/>
  <c r="AS30" i="62"/>
  <c r="AT65" i="62"/>
  <c r="AQ31" i="62"/>
  <c r="AO15" i="62"/>
  <c r="AO31" i="62"/>
  <c r="AO30" i="62"/>
  <c r="AR31" i="62"/>
  <c r="J167" i="62" s="1"/>
  <c r="AR65" i="62"/>
  <c r="M17" i="93"/>
  <c r="U22" i="93"/>
  <c r="G18" i="93"/>
  <c r="G15" i="93"/>
  <c r="F13" i="93"/>
  <c r="U20" i="93"/>
  <c r="T17" i="93"/>
  <c r="T14" i="93"/>
  <c r="C18" i="93"/>
  <c r="C14" i="93"/>
  <c r="U19" i="93"/>
  <c r="V19" i="93" s="1"/>
  <c r="G17" i="93"/>
  <c r="T13" i="93"/>
  <c r="D15" i="93"/>
  <c r="N15" i="93"/>
  <c r="M15" i="93"/>
  <c r="G19" i="93"/>
  <c r="U15" i="93"/>
  <c r="G13" i="93"/>
  <c r="N19" i="93"/>
  <c r="T18" i="93"/>
  <c r="F22" i="93"/>
  <c r="F14" i="93"/>
  <c r="I14" i="93" s="1"/>
  <c r="P14" i="93" s="1"/>
  <c r="N14" i="93"/>
  <c r="M19" i="93"/>
  <c r="N13" i="93"/>
  <c r="U17" i="93"/>
  <c r="F20" i="93"/>
  <c r="D22" i="93"/>
  <c r="C20" i="93"/>
  <c r="T22" i="93"/>
  <c r="F18" i="93"/>
  <c r="D20" i="93"/>
  <c r="C22" i="93"/>
  <c r="M18" i="93"/>
  <c r="N17" i="93"/>
  <c r="M14" i="93"/>
  <c r="G22" i="93"/>
  <c r="F17" i="93"/>
  <c r="C19" i="93"/>
  <c r="N20" i="93"/>
  <c r="C15" i="93"/>
  <c r="M13" i="93"/>
  <c r="T20" i="93"/>
  <c r="T15" i="93"/>
  <c r="D18" i="93"/>
  <c r="D29" i="93" s="1"/>
  <c r="D14" i="93"/>
  <c r="G20" i="93"/>
  <c r="U14" i="93"/>
  <c r="D17" i="93"/>
  <c r="C13" i="93"/>
  <c r="U18" i="93"/>
  <c r="T19" i="93"/>
  <c r="U13" i="93"/>
  <c r="E3" i="64"/>
  <c r="M238" i="4"/>
  <c r="M63" i="4"/>
  <c r="N1" i="4"/>
  <c r="N297" i="4" s="1"/>
  <c r="M226" i="4"/>
  <c r="N165" i="4"/>
  <c r="R277" i="4"/>
  <c r="S277" i="4"/>
  <c r="T277" i="4"/>
  <c r="U277" i="4"/>
  <c r="K134" i="4"/>
  <c r="F14" i="19" s="1"/>
  <c r="B13" i="62"/>
  <c r="AG124" i="19"/>
  <c r="AJ119" i="19"/>
  <c r="AJ122" i="19" s="1"/>
  <c r="F21" i="19"/>
  <c r="EM18" i="63"/>
  <c r="EL18" i="63"/>
  <c r="EH18" i="63"/>
  <c r="EG18" i="63"/>
  <c r="EO18" i="63"/>
  <c r="EN18" i="63"/>
  <c r="FX63" i="63"/>
  <c r="BX312" i="62"/>
  <c r="BX51" i="62" s="1"/>
  <c r="BX304" i="62"/>
  <c r="BY303" i="62"/>
  <c r="D99" i="76"/>
  <c r="K65" i="4"/>
  <c r="F105" i="69"/>
  <c r="J35" i="62"/>
  <c r="J44" i="62"/>
  <c r="F5" i="19"/>
  <c r="H165" i="4"/>
  <c r="N183" i="62"/>
  <c r="N172" i="62"/>
  <c r="O172" i="62" s="1"/>
  <c r="P172" i="62" s="1"/>
  <c r="Q172" i="62" s="1"/>
  <c r="F75" i="4"/>
  <c r="F196" i="4" s="1"/>
  <c r="AV52" i="62"/>
  <c r="K175" i="62" s="1"/>
  <c r="CB41" i="63"/>
  <c r="CI49" i="63" s="1"/>
  <c r="CH49" i="63"/>
  <c r="Z46" i="54"/>
  <c r="D22" i="54"/>
  <c r="AC23" i="54"/>
  <c r="AD23" i="54" s="1"/>
  <c r="AE23" i="54" s="1"/>
  <c r="AF23" i="54" s="1"/>
  <c r="AG23" i="54" s="1"/>
  <c r="AB29" i="54"/>
  <c r="H75" i="4"/>
  <c r="H196" i="4" s="1"/>
  <c r="N77" i="62"/>
  <c r="N65" i="62"/>
  <c r="G20" i="94"/>
  <c r="D258" i="69"/>
  <c r="D282" i="69" s="1"/>
  <c r="E84" i="69"/>
  <c r="C93" i="69" s="1"/>
  <c r="C85" i="69"/>
  <c r="B95" i="69" s="1"/>
  <c r="G85" i="69"/>
  <c r="E86" i="69"/>
  <c r="C97" i="69" s="1"/>
  <c r="N248" i="69"/>
  <c r="L21" i="60"/>
  <c r="K21" i="60"/>
  <c r="D13" i="77"/>
  <c r="F21" i="77"/>
  <c r="C12" i="77"/>
  <c r="G16" i="77"/>
  <c r="V23" i="77"/>
  <c r="U24" i="77"/>
  <c r="F12" i="77"/>
  <c r="D21" i="77"/>
  <c r="G12" i="77"/>
  <c r="G17" i="77" s="1"/>
  <c r="N12" i="77"/>
  <c r="O24" i="77"/>
  <c r="U22" i="77"/>
  <c r="W22" i="77" s="1"/>
  <c r="G15" i="77"/>
  <c r="D15" i="77"/>
  <c r="D23" i="77"/>
  <c r="J23" i="77" s="1"/>
  <c r="U20" i="77"/>
  <c r="V22" i="77"/>
  <c r="F20" i="77"/>
  <c r="F22" i="77"/>
  <c r="H22" i="77" s="1"/>
  <c r="V21" i="77"/>
  <c r="O16" i="77"/>
  <c r="D24" i="77"/>
  <c r="N27" i="77"/>
  <c r="P27" i="77" s="1"/>
  <c r="D22" i="77"/>
  <c r="J22" i="77" s="1"/>
  <c r="G23" i="77"/>
  <c r="N13" i="77"/>
  <c r="U21" i="77"/>
  <c r="W21" i="77" s="1"/>
  <c r="O21" i="77"/>
  <c r="V16" i="77"/>
  <c r="C22" i="77"/>
  <c r="C20" i="77"/>
  <c r="O15" i="77"/>
  <c r="V13" i="77"/>
  <c r="N15" i="77"/>
  <c r="P15" i="77" s="1"/>
  <c r="U15" i="77"/>
  <c r="G24" i="77"/>
  <c r="G20" i="77"/>
  <c r="N23" i="77"/>
  <c r="F13" i="77"/>
  <c r="O27" i="77"/>
  <c r="N24" i="77"/>
  <c r="N29" i="76"/>
  <c r="G88" i="76"/>
  <c r="M2" i="54"/>
  <c r="M22" i="54"/>
  <c r="W13" i="60"/>
  <c r="F23" i="57"/>
  <c r="F26" i="57" s="1"/>
  <c r="U22" i="57"/>
  <c r="N21" i="57"/>
  <c r="J20" i="77"/>
  <c r="R20" i="77" s="1"/>
  <c r="BF31" i="63"/>
  <c r="BF27" i="63" s="1"/>
  <c r="BE27" i="63"/>
  <c r="U16" i="77"/>
  <c r="C23" i="77"/>
  <c r="C10" i="57"/>
  <c r="F11" i="57"/>
  <c r="F19" i="57"/>
  <c r="N20" i="57"/>
  <c r="N14" i="57"/>
  <c r="F12" i="57"/>
  <c r="U12" i="57"/>
  <c r="U11" i="57"/>
  <c r="AB26" i="60"/>
  <c r="E21" i="77"/>
  <c r="M4" i="80"/>
  <c r="N4" i="80"/>
  <c r="AR37" i="19"/>
  <c r="AK69" i="19"/>
  <c r="U20" i="57"/>
  <c r="U13" i="77"/>
  <c r="O4" i="57"/>
  <c r="N12" i="57"/>
  <c r="X44" i="63"/>
  <c r="V20" i="77"/>
  <c r="Y20" i="77" s="1"/>
  <c r="E10" i="18"/>
  <c r="F8" i="18"/>
  <c r="F14" i="18" s="1"/>
  <c r="F38" i="18" s="1"/>
  <c r="I4" i="18" s="1"/>
  <c r="AL44" i="19" s="1"/>
  <c r="DG52" i="63"/>
  <c r="DH52" i="63"/>
  <c r="DI52" i="63"/>
  <c r="DJ52" i="63"/>
  <c r="H24" i="77"/>
  <c r="J23" i="60"/>
  <c r="N16" i="77"/>
  <c r="O23" i="77"/>
  <c r="U23" i="57"/>
  <c r="O22" i="77"/>
  <c r="C28" i="60"/>
  <c r="C18" i="60"/>
  <c r="C31" i="60"/>
  <c r="H13" i="60"/>
  <c r="BB59" i="63"/>
  <c r="BC55" i="63"/>
  <c r="E22" i="60"/>
  <c r="AE13" i="63"/>
  <c r="S13" i="63"/>
  <c r="A159" i="62"/>
  <c r="A166" i="62" s="1"/>
  <c r="A56" i="63"/>
  <c r="A28" i="63" s="1"/>
  <c r="AH26" i="63"/>
  <c r="V26" i="63"/>
  <c r="AB26" i="63"/>
  <c r="AN26" i="63"/>
  <c r="Q13" i="60"/>
  <c r="D25" i="60"/>
  <c r="J24" i="60"/>
  <c r="D27" i="60"/>
  <c r="BH55" i="63"/>
  <c r="BI58" i="63"/>
  <c r="G21" i="77"/>
  <c r="AX9" i="63"/>
  <c r="BG62" i="63"/>
  <c r="BH62" i="63" s="1"/>
  <c r="BF62" i="63"/>
  <c r="D32" i="60"/>
  <c r="D29" i="60"/>
  <c r="AK13" i="63"/>
  <c r="AW13" i="63"/>
  <c r="I3" i="19"/>
  <c r="H20" i="19"/>
  <c r="H21" i="19" s="1"/>
  <c r="V23" i="54"/>
  <c r="V31" i="77"/>
  <c r="U43" i="79"/>
  <c r="R9" i="60"/>
  <c r="R10" i="60" s="1"/>
  <c r="R35" i="60"/>
  <c r="P22" i="60"/>
  <c r="Y13" i="63"/>
  <c r="E2" i="54"/>
  <c r="N18" i="60"/>
  <c r="E60" i="76"/>
  <c r="L166" i="69"/>
  <c r="H78" i="4"/>
  <c r="D24" i="62"/>
  <c r="H67" i="4"/>
  <c r="Q277" i="4"/>
  <c r="P277" i="4"/>
  <c r="E16" i="60"/>
  <c r="C46" i="60"/>
  <c r="N5" i="57"/>
  <c r="N15" i="57"/>
  <c r="U21" i="57"/>
  <c r="F20" i="57"/>
  <c r="N11" i="57"/>
  <c r="F15" i="57"/>
  <c r="N23" i="57"/>
  <c r="F21" i="57"/>
  <c r="F14" i="57"/>
  <c r="C47" i="60"/>
  <c r="B57" i="76"/>
  <c r="B61" i="76" s="1"/>
  <c r="J90" i="76"/>
  <c r="I97" i="76" s="1"/>
  <c r="AB13" i="63"/>
  <c r="AN13" i="63"/>
  <c r="C48" i="60"/>
  <c r="C10" i="60"/>
  <c r="F60" i="76"/>
  <c r="H21" i="60"/>
  <c r="AK119" i="19"/>
  <c r="AK122" i="19" s="1"/>
  <c r="O23" i="60"/>
  <c r="U15" i="60"/>
  <c r="G22" i="60"/>
  <c r="J22" i="60" s="1"/>
  <c r="R22" i="60" s="1"/>
  <c r="Y22" i="60" s="1"/>
  <c r="O15" i="60"/>
  <c r="P15" i="60" s="1"/>
  <c r="F16" i="60"/>
  <c r="I16" i="60" s="1"/>
  <c r="Z33" i="63"/>
  <c r="Z34" i="63"/>
  <c r="E12" i="60"/>
  <c r="I90" i="76"/>
  <c r="H97" i="76" s="1"/>
  <c r="AF39" i="57"/>
  <c r="AL39" i="57" s="1"/>
  <c r="AL40" i="57" s="1"/>
  <c r="Q27" i="57"/>
  <c r="X24" i="79"/>
  <c r="BE35" i="38"/>
  <c r="AR34" i="63"/>
  <c r="AR33" i="63"/>
  <c r="T34" i="63"/>
  <c r="H33" i="63"/>
  <c r="D63" i="64"/>
  <c r="D110" i="64" s="1"/>
  <c r="E110" i="64" s="1"/>
  <c r="AJ265" i="62"/>
  <c r="AJ266" i="62" s="1"/>
  <c r="V13" i="93"/>
  <c r="V23" i="60"/>
  <c r="N9" i="80"/>
  <c r="E13" i="60"/>
  <c r="C14" i="60"/>
  <c r="C9" i="62"/>
  <c r="G67" i="4"/>
  <c r="C17" i="60"/>
  <c r="C45" i="60"/>
  <c r="C44" i="60"/>
  <c r="AE12" i="60"/>
  <c r="H57" i="76"/>
  <c r="H61" i="76" s="1"/>
  <c r="G59" i="76"/>
  <c r="B60" i="76"/>
  <c r="E58" i="76"/>
  <c r="G58" i="76"/>
  <c r="B58" i="76"/>
  <c r="C58" i="76"/>
  <c r="D58" i="76"/>
  <c r="C60" i="76"/>
  <c r="E59" i="76"/>
  <c r="D60" i="76"/>
  <c r="F58" i="76"/>
  <c r="C59" i="76"/>
  <c r="G57" i="76"/>
  <c r="G61" i="76" s="1"/>
  <c r="G66" i="76" s="1"/>
  <c r="H59" i="76"/>
  <c r="E57" i="76"/>
  <c r="E61" i="76" s="1"/>
  <c r="F66" i="76" s="1"/>
  <c r="P16" i="60"/>
  <c r="V30" i="79"/>
  <c r="J211" i="4"/>
  <c r="K203" i="4"/>
  <c r="K211" i="4" s="1"/>
  <c r="C57" i="76"/>
  <c r="C61" i="76" s="1"/>
  <c r="AN118" i="62"/>
  <c r="W15" i="64"/>
  <c r="AX44" i="63"/>
  <c r="N22" i="57"/>
  <c r="AI44" i="63"/>
  <c r="U15" i="57"/>
  <c r="Z24" i="79"/>
  <c r="H60" i="76"/>
  <c r="D45" i="60"/>
  <c r="D43" i="60"/>
  <c r="D10" i="60"/>
  <c r="R24" i="79"/>
  <c r="R39" i="79" s="1"/>
  <c r="R32" i="79"/>
  <c r="BG55" i="63"/>
  <c r="BG59" i="63" s="1"/>
  <c r="D49" i="60"/>
  <c r="F24" i="60"/>
  <c r="S32" i="79"/>
  <c r="S24" i="79"/>
  <c r="U32" i="79"/>
  <c r="U24" i="79"/>
  <c r="G75" i="4"/>
  <c r="G196" i="4" s="1"/>
  <c r="E15" i="93"/>
  <c r="F22" i="57"/>
  <c r="B223" i="4"/>
  <c r="J20" i="60"/>
  <c r="R20" i="60" s="1"/>
  <c r="F3" i="57"/>
  <c r="U44" i="63"/>
  <c r="CB29" i="63"/>
  <c r="CB27" i="63" s="1"/>
  <c r="CA27" i="63"/>
  <c r="AF44" i="63"/>
  <c r="N26" i="57"/>
  <c r="D17" i="60"/>
  <c r="U14" i="57"/>
  <c r="Y24" i="79"/>
  <c r="O17" i="60"/>
  <c r="B86" i="62"/>
  <c r="F70" i="4"/>
  <c r="D125" i="62"/>
  <c r="C4" i="66"/>
  <c r="C13" i="66" s="1"/>
  <c r="T36" i="60"/>
  <c r="BH35" i="38"/>
  <c r="BL1" i="38"/>
  <c r="BP1" i="38" s="1"/>
  <c r="BT1" i="38" s="1"/>
  <c r="D68" i="64"/>
  <c r="BB9" i="63"/>
  <c r="G6" i="57"/>
  <c r="BG1" i="38"/>
  <c r="C20" i="60"/>
  <c r="O27" i="60"/>
  <c r="P27" i="60" s="1"/>
  <c r="U23" i="60"/>
  <c r="W23" i="60" s="1"/>
  <c r="U20" i="60"/>
  <c r="W20" i="60" s="1"/>
  <c r="U23" i="77"/>
  <c r="W23" i="77" s="1"/>
  <c r="N21" i="77"/>
  <c r="P21" i="77" s="1"/>
  <c r="O20" i="60"/>
  <c r="P20" i="60" s="1"/>
  <c r="BB1" i="38"/>
  <c r="AX159" i="38"/>
  <c r="V21" i="60"/>
  <c r="C24" i="60"/>
  <c r="AI39" i="57"/>
  <c r="S30" i="79"/>
  <c r="D13" i="60"/>
  <c r="D15" i="60"/>
  <c r="E15" i="60" s="1"/>
  <c r="V24" i="79"/>
  <c r="E77" i="64"/>
  <c r="F82" i="64" s="1"/>
  <c r="L10" i="60"/>
  <c r="L4" i="60"/>
  <c r="L6" i="60"/>
  <c r="M264" i="62"/>
  <c r="N264" i="62" s="1"/>
  <c r="O13" i="60"/>
  <c r="F12" i="60"/>
  <c r="G15" i="60"/>
  <c r="N12" i="60"/>
  <c r="G16" i="60"/>
  <c r="J16" i="60" s="1"/>
  <c r="V24" i="60"/>
  <c r="O16" i="60"/>
  <c r="N21" i="60"/>
  <c r="P21" i="60" s="1"/>
  <c r="G23" i="60"/>
  <c r="H23" i="60" s="1"/>
  <c r="O22" i="60"/>
  <c r="U12" i="60"/>
  <c r="U14" i="60" s="1"/>
  <c r="F15" i="60"/>
  <c r="I15" i="60" s="1"/>
  <c r="V16" i="60"/>
  <c r="F20" i="60"/>
  <c r="H20" i="60" s="1"/>
  <c r="U24" i="60"/>
  <c r="V20" i="60"/>
  <c r="U22" i="60"/>
  <c r="W22" i="60" s="1"/>
  <c r="N27" i="76"/>
  <c r="C23" i="60"/>
  <c r="V15" i="60"/>
  <c r="N23" i="60"/>
  <c r="P23" i="60" s="1"/>
  <c r="AF37" i="57"/>
  <c r="Z30" i="79"/>
  <c r="N20" i="77"/>
  <c r="P20" i="77" s="1"/>
  <c r="D16" i="77"/>
  <c r="C16" i="77"/>
  <c r="C13" i="77"/>
  <c r="O13" i="77"/>
  <c r="C24" i="77"/>
  <c r="D12" i="77"/>
  <c r="O20" i="77"/>
  <c r="V24" i="77"/>
  <c r="N22" i="77"/>
  <c r="P22" i="77" s="1"/>
  <c r="O12" i="77"/>
  <c r="O17" i="77" s="1"/>
  <c r="F23" i="77"/>
  <c r="H23" i="77" s="1"/>
  <c r="U27" i="77"/>
  <c r="F16" i="77"/>
  <c r="H16" i="77" s="1"/>
  <c r="F15" i="77"/>
  <c r="H15" i="77" s="1"/>
  <c r="C15" i="77"/>
  <c r="G13" i="77"/>
  <c r="U12" i="77"/>
  <c r="G84" i="76"/>
  <c r="G89" i="76" s="1"/>
  <c r="G75" i="76"/>
  <c r="F94" i="76" s="1"/>
  <c r="M134" i="4"/>
  <c r="BE14" i="63"/>
  <c r="V44" i="63"/>
  <c r="AH44" i="63"/>
  <c r="AL35" i="62"/>
  <c r="C77" i="64"/>
  <c r="F22" i="60"/>
  <c r="G20" i="60"/>
  <c r="M2" i="80"/>
  <c r="AN34" i="77"/>
  <c r="AM47" i="62"/>
  <c r="AA36" i="63"/>
  <c r="B16" i="62"/>
  <c r="B235" i="62" s="1"/>
  <c r="C18" i="62" s="1"/>
  <c r="D19" i="62" s="1"/>
  <c r="F67" i="4"/>
  <c r="F68" i="4" s="1"/>
  <c r="F317" i="4" s="1"/>
  <c r="L8" i="60"/>
  <c r="BM110" i="63"/>
  <c r="BN41" i="63"/>
  <c r="AO36" i="63"/>
  <c r="M92" i="4"/>
  <c r="AB78" i="4" s="1"/>
  <c r="AO57" i="62"/>
  <c r="B103" i="76" s="1"/>
  <c r="D656" i="91"/>
  <c r="D862" i="91"/>
  <c r="D252" i="91"/>
  <c r="D755" i="91"/>
  <c r="D951" i="91"/>
  <c r="D1087" i="91"/>
  <c r="D629" i="91"/>
  <c r="C834" i="91"/>
  <c r="D986" i="91"/>
  <c r="C1125" i="91"/>
  <c r="C743" i="91"/>
  <c r="D568" i="91"/>
  <c r="D14" i="91"/>
  <c r="D705" i="91"/>
  <c r="C555" i="91"/>
  <c r="D54" i="91"/>
  <c r="C649" i="91"/>
  <c r="D390" i="91"/>
  <c r="C603" i="91"/>
  <c r="C126" i="91"/>
  <c r="C150" i="91"/>
  <c r="C486" i="91"/>
  <c r="C159" i="91"/>
  <c r="C535" i="91"/>
  <c r="D299" i="91"/>
  <c r="D394" i="91"/>
  <c r="D198" i="91"/>
  <c r="C402" i="91"/>
  <c r="C105" i="91"/>
  <c r="D481" i="91"/>
  <c r="C222" i="91"/>
  <c r="C99" i="91"/>
  <c r="D213" i="91"/>
  <c r="D330" i="91"/>
  <c r="D130" i="91"/>
  <c r="C250" i="91"/>
  <c r="C95" i="91"/>
  <c r="D789" i="91"/>
  <c r="C316" i="91"/>
  <c r="D1227" i="91"/>
  <c r="C602" i="91"/>
  <c r="D576" i="91"/>
  <c r="D1044" i="91"/>
  <c r="C257" i="91"/>
  <c r="D881" i="91"/>
  <c r="D1172" i="91"/>
  <c r="D1017" i="91"/>
  <c r="C850" i="91"/>
  <c r="D843" i="91"/>
  <c r="C1198" i="91"/>
  <c r="C1235" i="91"/>
  <c r="C211" i="91"/>
  <c r="D696" i="91"/>
  <c r="D876" i="91"/>
  <c r="C419" i="91"/>
  <c r="C798" i="91"/>
  <c r="D967" i="91"/>
  <c r="D1103" i="91"/>
  <c r="D661" i="91"/>
  <c r="C857" i="91"/>
  <c r="D1002" i="91"/>
  <c r="D1154" i="91"/>
  <c r="D724" i="91"/>
  <c r="D539" i="91"/>
  <c r="C860" i="91"/>
  <c r="C692" i="91"/>
  <c r="D529" i="91"/>
  <c r="C793" i="91"/>
  <c r="C617" i="91"/>
  <c r="D249" i="91"/>
  <c r="D588" i="91"/>
  <c r="D483" i="91"/>
  <c r="C111" i="91"/>
  <c r="C451" i="91"/>
  <c r="D35" i="91"/>
  <c r="D508" i="91"/>
  <c r="D264" i="91"/>
  <c r="C373" i="91"/>
  <c r="C177" i="91"/>
  <c r="C386" i="91"/>
  <c r="C65" i="91"/>
  <c r="D457" i="91"/>
  <c r="D193" i="91"/>
  <c r="C59" i="91"/>
  <c r="D189" i="91"/>
  <c r="D314" i="91"/>
  <c r="C85" i="91"/>
  <c r="D231" i="91"/>
  <c r="D320" i="91"/>
  <c r="C846" i="91"/>
  <c r="C707" i="91"/>
  <c r="C934" i="91"/>
  <c r="C315" i="91"/>
  <c r="C217" i="91"/>
  <c r="C979" i="91"/>
  <c r="D1038" i="91"/>
  <c r="C572" i="91"/>
  <c r="C1191" i="91"/>
  <c r="D1036" i="91"/>
  <c r="D1117" i="91"/>
  <c r="D993" i="91"/>
  <c r="C861" i="91"/>
  <c r="AS36" i="63"/>
  <c r="C86" i="62"/>
  <c r="C36" i="62" s="1"/>
  <c r="C39" i="62" s="1"/>
  <c r="G70" i="4"/>
  <c r="H71" i="4" s="1"/>
  <c r="E99" i="64"/>
  <c r="D305" i="91"/>
  <c r="D704" i="91"/>
  <c r="C879" i="91"/>
  <c r="D475" i="91"/>
  <c r="D807" i="91"/>
  <c r="C970" i="91"/>
  <c r="C1114" i="91"/>
  <c r="D669" i="91"/>
  <c r="C869" i="91"/>
  <c r="C1005" i="91"/>
  <c r="D1162" i="91"/>
  <c r="C719" i="91"/>
  <c r="D536" i="91"/>
  <c r="D841" i="91"/>
  <c r="D689" i="91"/>
  <c r="D513" i="91"/>
  <c r="C785" i="91"/>
  <c r="C609" i="91"/>
  <c r="D227" i="91"/>
  <c r="D585" i="91"/>
  <c r="D470" i="91"/>
  <c r="D94" i="91"/>
  <c r="D424" i="91"/>
  <c r="C23" i="91"/>
  <c r="D488" i="91"/>
  <c r="D246" i="91"/>
  <c r="D370" i="91"/>
  <c r="D137" i="91"/>
  <c r="D383" i="91"/>
  <c r="C25" i="91"/>
  <c r="D449" i="91"/>
  <c r="C190" i="91"/>
  <c r="D48" i="91"/>
  <c r="C184" i="91"/>
  <c r="D306" i="91"/>
  <c r="D82" i="91"/>
  <c r="D199" i="91"/>
  <c r="C401" i="91"/>
  <c r="D863" i="91"/>
  <c r="C739" i="91"/>
  <c r="D1099" i="91"/>
  <c r="C1084" i="91"/>
  <c r="D787" i="91"/>
  <c r="C961" i="91"/>
  <c r="C1033" i="91"/>
  <c r="C528" i="91"/>
  <c r="D1200" i="91"/>
  <c r="D1059" i="91"/>
  <c r="D1150" i="91"/>
  <c r="D1097" i="91"/>
  <c r="D883" i="91"/>
  <c r="C4" i="91"/>
  <c r="C1194" i="91"/>
  <c r="D1157" i="91"/>
  <c r="D1020" i="91"/>
  <c r="D747" i="91"/>
  <c r="C359" i="91"/>
  <c r="D1137" i="91"/>
  <c r="D1238" i="91"/>
  <c r="C1118" i="91"/>
  <c r="C939" i="91"/>
  <c r="C1146" i="91"/>
  <c r="C817" i="91"/>
  <c r="D1201" i="91"/>
  <c r="C1248" i="91"/>
  <c r="D1091" i="91"/>
  <c r="C1091" i="91"/>
  <c r="D944" i="91"/>
  <c r="C929" i="91"/>
  <c r="C1236" i="91"/>
  <c r="D915" i="91"/>
  <c r="C422" i="91"/>
  <c r="D818" i="91"/>
  <c r="D655" i="91"/>
  <c r="D912" i="91"/>
  <c r="D512" i="91"/>
  <c r="C672" i="91"/>
  <c r="C864" i="91"/>
  <c r="C1073" i="91"/>
  <c r="D1204" i="91"/>
  <c r="D808" i="91"/>
  <c r="D666" i="91"/>
  <c r="C908" i="91"/>
  <c r="D550" i="91"/>
  <c r="D1073" i="91"/>
  <c r="D907" i="91"/>
  <c r="D1244" i="91"/>
  <c r="C1153" i="91"/>
  <c r="C892" i="91"/>
  <c r="D997" i="91"/>
  <c r="D909" i="91"/>
  <c r="D805" i="91"/>
  <c r="C682" i="91"/>
  <c r="D502" i="91"/>
  <c r="D39" i="91"/>
  <c r="D127" i="91"/>
  <c r="D215" i="91"/>
  <c r="D303" i="91"/>
  <c r="C61" i="91"/>
  <c r="C149" i="91"/>
  <c r="C237" i="91"/>
  <c r="C325" i="91"/>
  <c r="D77" i="91"/>
  <c r="D165" i="91"/>
  <c r="D253" i="91"/>
  <c r="D24" i="91"/>
  <c r="D112" i="91"/>
  <c r="C60" i="91"/>
  <c r="C236" i="91"/>
  <c r="C364" i="91"/>
  <c r="C452" i="91"/>
  <c r="D84" i="91"/>
  <c r="C9" i="91"/>
  <c r="D187" i="91"/>
  <c r="C354" i="91"/>
  <c r="C442" i="91"/>
  <c r="D81" i="91"/>
  <c r="C227" i="91"/>
  <c r="D335" i="91"/>
  <c r="C421" i="91"/>
  <c r="C103" i="91"/>
  <c r="C321" i="91"/>
  <c r="D434" i="91"/>
  <c r="D540" i="91"/>
  <c r="C278" i="91"/>
  <c r="C143" i="91"/>
  <c r="D357" i="91"/>
  <c r="C470" i="91"/>
  <c r="D562" i="91"/>
  <c r="C166" i="91"/>
  <c r="D382" i="91"/>
  <c r="D38" i="91"/>
  <c r="C472" i="91"/>
  <c r="D611" i="91"/>
  <c r="D699" i="91"/>
  <c r="D1104" i="91"/>
  <c r="C1143" i="91"/>
  <c r="D1008" i="91"/>
  <c r="C1046" i="91"/>
  <c r="C231" i="91"/>
  <c r="D1128" i="91"/>
  <c r="D1180" i="91"/>
  <c r="D1033" i="91"/>
  <c r="D1051" i="91"/>
  <c r="C1222" i="91"/>
  <c r="C1103" i="91"/>
  <c r="D1229" i="91"/>
  <c r="D1049" i="91"/>
  <c r="D1189" i="91"/>
  <c r="C1031" i="91"/>
  <c r="C1230" i="91"/>
  <c r="D971" i="91"/>
  <c r="D1241" i="91"/>
  <c r="D1168" i="91"/>
  <c r="D998" i="91"/>
  <c r="C1080" i="91"/>
  <c r="D1163" i="91"/>
  <c r="D1052" i="91"/>
  <c r="D78" i="91"/>
  <c r="D784" i="91"/>
  <c r="D647" i="91"/>
  <c r="C918" i="91"/>
  <c r="D765" i="91"/>
  <c r="C696" i="91"/>
  <c r="C913" i="91"/>
  <c r="C1102" i="91"/>
  <c r="C505" i="91"/>
  <c r="D397" i="91"/>
  <c r="D730" i="91"/>
  <c r="C1014" i="91"/>
  <c r="C1172" i="91"/>
  <c r="C996" i="91"/>
  <c r="C1232" i="91"/>
  <c r="D1199" i="91"/>
  <c r="C1041" i="91"/>
  <c r="C1024" i="91"/>
  <c r="D933" i="91"/>
  <c r="D834" i="91"/>
  <c r="C714" i="91"/>
  <c r="C530" i="91"/>
  <c r="D31" i="91"/>
  <c r="C122" i="91"/>
  <c r="C218" i="91"/>
  <c r="D311" i="91"/>
  <c r="D74" i="91"/>
  <c r="C165" i="91"/>
  <c r="D258" i="91"/>
  <c r="D13" i="91"/>
  <c r="C104" i="91"/>
  <c r="D197" i="91"/>
  <c r="C288" i="91"/>
  <c r="D64" i="91"/>
  <c r="C155" i="91"/>
  <c r="C156" i="91"/>
  <c r="D331" i="91"/>
  <c r="C420" i="91"/>
  <c r="D28" i="91"/>
  <c r="C201" i="91"/>
  <c r="C145" i="91"/>
  <c r="C335" i="91"/>
  <c r="D431" i="91"/>
  <c r="D65" i="91"/>
  <c r="C223" i="91"/>
  <c r="C338" i="91"/>
  <c r="C429" i="91"/>
  <c r="D142" i="91"/>
  <c r="C342" i="91"/>
  <c r="D456" i="91"/>
  <c r="D564" i="91"/>
  <c r="C367" i="91"/>
  <c r="C1171" i="91"/>
  <c r="C1027" i="91"/>
  <c r="D1027" i="91"/>
  <c r="D1217" i="91"/>
  <c r="D1076" i="91"/>
  <c r="D1220" i="91"/>
  <c r="C1044" i="91"/>
  <c r="D1184" i="91"/>
  <c r="C1025" i="91"/>
  <c r="D1225" i="91"/>
  <c r="C958" i="91"/>
  <c r="D1237" i="91"/>
  <c r="D1159" i="91"/>
  <c r="D992" i="91"/>
  <c r="D1069" i="91"/>
  <c r="C1145" i="91"/>
  <c r="C1047" i="91"/>
  <c r="D188" i="91"/>
  <c r="D812" i="91"/>
  <c r="D663" i="91"/>
  <c r="D936" i="91"/>
  <c r="D806" i="91"/>
  <c r="C704" i="91"/>
  <c r="C931" i="91"/>
  <c r="C1107" i="91"/>
  <c r="C531" i="91"/>
  <c r="C427" i="91"/>
  <c r="D738" i="91"/>
  <c r="D1019" i="91"/>
  <c r="D1167" i="91"/>
  <c r="D990" i="91"/>
  <c r="C1159" i="91"/>
  <c r="C1195" i="91"/>
  <c r="C1015" i="91"/>
  <c r="D1021" i="91"/>
  <c r="C928" i="91"/>
  <c r="D831" i="91"/>
  <c r="C706" i="91"/>
  <c r="C521" i="91"/>
  <c r="C34" i="91"/>
  <c r="C130" i="91"/>
  <c r="D223" i="91"/>
  <c r="C314" i="91"/>
  <c r="C77" i="91"/>
  <c r="D170" i="91"/>
  <c r="C261" i="91"/>
  <c r="C16" i="91"/>
  <c r="D109" i="91"/>
  <c r="C200" i="91"/>
  <c r="D293" i="91"/>
  <c r="C67" i="91"/>
  <c r="D160" i="91"/>
  <c r="C164" i="91"/>
  <c r="D334" i="91"/>
  <c r="D425" i="91"/>
  <c r="D36" i="91"/>
  <c r="D204" i="91"/>
  <c r="C153" i="91"/>
  <c r="D343" i="91"/>
  <c r="C434" i="91"/>
  <c r="D73" i="91"/>
  <c r="D230" i="91"/>
  <c r="C341" i="91"/>
  <c r="C6" i="91"/>
  <c r="D158" i="91"/>
  <c r="C345" i="91"/>
  <c r="D466" i="91"/>
  <c r="C567" i="91"/>
  <c r="C371" i="91"/>
  <c r="D256" i="91"/>
  <c r="C414" i="91"/>
  <c r="C517" i="91"/>
  <c r="D30" i="91"/>
  <c r="D323" i="91"/>
  <c r="D467" i="91"/>
  <c r="C390" i="91"/>
  <c r="D591" i="91"/>
  <c r="C678" i="91"/>
  <c r="C284" i="91"/>
  <c r="C532" i="91"/>
  <c r="C641" i="91"/>
  <c r="C729" i="91"/>
  <c r="D107" i="91"/>
  <c r="D443" i="91"/>
  <c r="C568" i="91"/>
  <c r="C1138" i="91"/>
  <c r="C988" i="91"/>
  <c r="C1056" i="91"/>
  <c r="C1166" i="91"/>
  <c r="D1000" i="91"/>
  <c r="C55" i="91"/>
  <c r="C1067" i="91"/>
  <c r="C790" i="91"/>
  <c r="C1199" i="91"/>
  <c r="D939" i="91"/>
  <c r="D1160" i="91"/>
  <c r="D966" i="91"/>
  <c r="D1132" i="91"/>
  <c r="C691" i="91"/>
  <c r="D1075" i="91"/>
  <c r="D1197" i="91"/>
  <c r="D1173" i="91"/>
  <c r="D977" i="91"/>
  <c r="C977" i="91"/>
  <c r="D1205" i="91"/>
  <c r="D823" i="91"/>
  <c r="D422" i="91"/>
  <c r="C393" i="91"/>
  <c r="D771" i="91"/>
  <c r="D288" i="91"/>
  <c r="C664" i="91"/>
  <c r="C907" i="91"/>
  <c r="C1121" i="91"/>
  <c r="D800" i="91"/>
  <c r="D584" i="91"/>
  <c r="D853" i="91"/>
  <c r="D478" i="91"/>
  <c r="C1063" i="91"/>
  <c r="C803" i="91"/>
  <c r="C1244" i="91"/>
  <c r="D1078" i="91"/>
  <c r="D1029" i="91"/>
  <c r="C920" i="91"/>
  <c r="D802" i="91"/>
  <c r="C650" i="91"/>
  <c r="C327" i="91"/>
  <c r="D79" i="91"/>
  <c r="C178" i="91"/>
  <c r="D279" i="91"/>
  <c r="D50" i="91"/>
  <c r="D154" i="91"/>
  <c r="C253" i="91"/>
  <c r="C24" i="91"/>
  <c r="D125" i="91"/>
  <c r="C224" i="91"/>
  <c r="D8" i="91"/>
  <c r="C107" i="91"/>
  <c r="C84" i="91"/>
  <c r="C286" i="91"/>
  <c r="D401" i="91"/>
  <c r="D4" i="91"/>
  <c r="D190" i="91"/>
  <c r="C169" i="91"/>
  <c r="C362" i="91"/>
  <c r="D463" i="91"/>
  <c r="D145" i="91"/>
  <c r="C287" i="91"/>
  <c r="C389" i="91"/>
  <c r="C118" i="91"/>
  <c r="C303" i="91"/>
  <c r="D440" i="91"/>
  <c r="C559" i="91"/>
  <c r="C392" i="91"/>
  <c r="D273" i="91"/>
  <c r="D428" i="91"/>
  <c r="D538" i="91"/>
  <c r="C134" i="91"/>
  <c r="C375" i="91"/>
  <c r="C119" i="91"/>
  <c r="D496" i="91"/>
  <c r="C630" i="91"/>
  <c r="C726" i="91"/>
  <c r="D468" i="91"/>
  <c r="D606" i="91"/>
  <c r="C697" i="91"/>
  <c r="D790" i="91"/>
  <c r="C376" i="91"/>
  <c r="D545" i="91"/>
  <c r="C636" i="91"/>
  <c r="C724" i="91"/>
  <c r="C812" i="91"/>
  <c r="D302" i="91"/>
  <c r="D520" i="91"/>
  <c r="C631" i="91"/>
  <c r="D1230" i="91"/>
  <c r="C1051" i="91"/>
  <c r="D1093" i="91"/>
  <c r="D1113" i="91"/>
  <c r="C875" i="91"/>
  <c r="C1137" i="91"/>
  <c r="D931" i="91"/>
  <c r="D1102" i="91"/>
  <c r="D379" i="91"/>
  <c r="D1166" i="91"/>
  <c r="C974" i="91"/>
  <c r="D897" i="91"/>
  <c r="C1175" i="91"/>
  <c r="C1203" i="91"/>
  <c r="C1092" i="91"/>
  <c r="C835" i="91"/>
  <c r="D1054" i="91"/>
  <c r="D1147" i="91"/>
  <c r="D873" i="91"/>
  <c r="D1127" i="91"/>
  <c r="D1080" i="91"/>
  <c r="D880" i="91"/>
  <c r="C635" i="91"/>
  <c r="D1135" i="91"/>
  <c r="D509" i="91"/>
  <c r="C757" i="91"/>
  <c r="D639" i="91"/>
  <c r="D960" i="91"/>
  <c r="C344" i="91"/>
  <c r="D751" i="91"/>
  <c r="D1012" i="91"/>
  <c r="D1169" i="91"/>
  <c r="C774" i="91"/>
  <c r="D674" i="91"/>
  <c r="C956" i="91"/>
  <c r="C809" i="91"/>
  <c r="C1003" i="91"/>
  <c r="D1131" i="91"/>
  <c r="D1176" i="91"/>
  <c r="C899" i="91"/>
  <c r="C984" i="91"/>
  <c r="D885" i="91"/>
  <c r="D770" i="91"/>
  <c r="C584" i="91"/>
  <c r="C10" i="91"/>
  <c r="D111" i="91"/>
  <c r="C210" i="91"/>
  <c r="C322" i="91"/>
  <c r="C93" i="91"/>
  <c r="D194" i="91"/>
  <c r="C293" i="91"/>
  <c r="C56" i="91"/>
  <c r="D157" i="91"/>
  <c r="D261" i="91"/>
  <c r="C43" i="91"/>
  <c r="D144" i="91"/>
  <c r="C148" i="91"/>
  <c r="C340" i="91"/>
  <c r="D441" i="91"/>
  <c r="D92" i="91"/>
  <c r="C41" i="91"/>
  <c r="C244" i="91"/>
  <c r="C394" i="91"/>
  <c r="D9" i="91"/>
  <c r="C195" i="91"/>
  <c r="C326" i="91"/>
  <c r="D426" i="91"/>
  <c r="C179" i="91"/>
  <c r="D363" i="91"/>
  <c r="D500" i="91"/>
  <c r="C185" i="91"/>
  <c r="D70" i="91"/>
  <c r="C350" i="91"/>
  <c r="C473" i="91"/>
  <c r="C573" i="91"/>
  <c r="C235" i="91"/>
  <c r="D438" i="91"/>
  <c r="C311" i="91"/>
  <c r="C554" i="91"/>
  <c r="C662" i="91"/>
  <c r="D232" i="91"/>
  <c r="C526" i="91"/>
  <c r="D638" i="91"/>
  <c r="D734" i="91"/>
  <c r="D147" i="91"/>
  <c r="D477" i="91"/>
  <c r="D580" i="91"/>
  <c r="C668" i="91"/>
  <c r="C756" i="91"/>
  <c r="C844" i="91"/>
  <c r="C416" i="91"/>
  <c r="D565" i="91"/>
  <c r="C663" i="91"/>
  <c r="C751" i="91"/>
  <c r="D1161" i="91"/>
  <c r="D968" i="91"/>
  <c r="C891" i="91"/>
  <c r="C1170" i="91"/>
  <c r="C1225" i="91"/>
  <c r="C1087" i="91"/>
  <c r="C1148" i="91"/>
  <c r="C999" i="91"/>
  <c r="D1251" i="91"/>
  <c r="D858" i="91"/>
  <c r="D1096" i="91"/>
  <c r="C1075" i="91"/>
  <c r="C873" i="91"/>
  <c r="D398" i="91"/>
  <c r="C1131" i="91"/>
  <c r="C518" i="91"/>
  <c r="C771" i="91"/>
  <c r="D671" i="91"/>
  <c r="C966" i="91"/>
  <c r="C384" i="91"/>
  <c r="C758" i="91"/>
  <c r="C1023" i="91"/>
  <c r="C1174" i="91"/>
  <c r="C781" i="91"/>
  <c r="D682" i="91"/>
  <c r="D974" i="91"/>
  <c r="D1231" i="91"/>
  <c r="D976" i="91"/>
  <c r="C1111" i="91"/>
  <c r="C1167" i="91"/>
  <c r="C855" i="91"/>
  <c r="D981" i="91"/>
  <c r="C880" i="91"/>
  <c r="C767" i="91"/>
  <c r="C576" i="91"/>
  <c r="D15" i="91"/>
  <c r="C114" i="91"/>
  <c r="C226" i="91"/>
  <c r="D327" i="91"/>
  <c r="D98" i="91"/>
  <c r="C197" i="91"/>
  <c r="D298" i="91"/>
  <c r="D61" i="91"/>
  <c r="C160" i="91"/>
  <c r="D1124" i="91"/>
  <c r="C940" i="91"/>
  <c r="C747" i="91"/>
  <c r="D1142" i="91"/>
  <c r="C1238" i="91"/>
  <c r="C1038" i="91"/>
  <c r="C1211" i="91"/>
  <c r="D910" i="91"/>
  <c r="C1224" i="91"/>
  <c r="D1239" i="91"/>
  <c r="C1228" i="91"/>
  <c r="C1048" i="91"/>
  <c r="D1171" i="91"/>
  <c r="D1223" i="91"/>
  <c r="C1095" i="91"/>
  <c r="C275" i="91"/>
  <c r="D844" i="91"/>
  <c r="D703" i="91"/>
  <c r="D1006" i="91"/>
  <c r="C590" i="91"/>
  <c r="D814" i="91"/>
  <c r="C1049" i="91"/>
  <c r="C1200" i="91"/>
  <c r="D118" i="91"/>
  <c r="D714" i="91"/>
  <c r="C1030" i="91"/>
  <c r="D1144" i="91"/>
  <c r="C948" i="91"/>
  <c r="C1163" i="91"/>
  <c r="C1144" i="91"/>
  <c r="C675" i="91"/>
  <c r="D965" i="91"/>
  <c r="D866" i="91"/>
  <c r="C746" i="91"/>
  <c r="C544" i="91"/>
  <c r="C42" i="91"/>
  <c r="D143" i="91"/>
  <c r="D1243" i="91"/>
  <c r="C995" i="91"/>
  <c r="C683" i="91"/>
  <c r="D1032" i="91"/>
  <c r="D1123" i="91"/>
  <c r="D1175" i="91"/>
  <c r="D826" i="91"/>
  <c r="D1048" i="91"/>
  <c r="D1136" i="91"/>
  <c r="D1053" i="91"/>
  <c r="C1168" i="91"/>
  <c r="D1209" i="91"/>
  <c r="D408" i="91"/>
  <c r="D778" i="91"/>
  <c r="D719" i="91"/>
  <c r="C182" i="91"/>
  <c r="C688" i="91"/>
  <c r="D996" i="91"/>
  <c r="D1191" i="91"/>
  <c r="C478" i="91"/>
  <c r="D847" i="91"/>
  <c r="C754" i="91"/>
  <c r="D969" i="91"/>
  <c r="C1240" i="91"/>
  <c r="D1094" i="91"/>
  <c r="D1013" i="91"/>
  <c r="D893" i="91"/>
  <c r="D749" i="91"/>
  <c r="C471" i="91"/>
  <c r="C74" i="91"/>
  <c r="C194" i="91"/>
  <c r="D319" i="91"/>
  <c r="C109" i="91"/>
  <c r="C221" i="91"/>
  <c r="D338" i="91"/>
  <c r="C120" i="91"/>
  <c r="D237" i="91"/>
  <c r="D32" i="91"/>
  <c r="C139" i="91"/>
  <c r="D179" i="91"/>
  <c r="C356" i="91"/>
  <c r="C468" i="91"/>
  <c r="D156" i="91"/>
  <c r="C121" i="91"/>
  <c r="D351" i="91"/>
  <c r="C466" i="91"/>
  <c r="D169" i="91"/>
  <c r="D312" i="91"/>
  <c r="D418" i="91"/>
  <c r="C214" i="91"/>
  <c r="D384" i="91"/>
  <c r="D524" i="91"/>
  <c r="D291" i="91"/>
  <c r="D238" i="91"/>
  <c r="D421" i="91"/>
  <c r="C541" i="91"/>
  <c r="D155" i="91"/>
  <c r="D414" i="91"/>
  <c r="C271" i="91"/>
  <c r="C570" i="91"/>
  <c r="D683" i="91"/>
  <c r="D380" i="91"/>
  <c r="C574" i="91"/>
  <c r="C681" i="91"/>
  <c r="D782" i="91"/>
  <c r="D400" i="91"/>
  <c r="D558" i="91"/>
  <c r="D657" i="91"/>
  <c r="D753" i="91"/>
  <c r="C852" i="91"/>
  <c r="D464" i="91"/>
  <c r="C601" i="91"/>
  <c r="C695" i="91"/>
  <c r="C1229" i="91"/>
  <c r="C1141" i="91"/>
  <c r="C1053" i="91"/>
  <c r="C965" i="91"/>
  <c r="C877" i="91"/>
  <c r="C789" i="91"/>
  <c r="D637" i="91"/>
  <c r="C383" i="91"/>
  <c r="C1066" i="91"/>
  <c r="C978" i="91"/>
  <c r="C890" i="91"/>
  <c r="C766" i="91"/>
  <c r="D1212" i="91"/>
  <c r="C947" i="91"/>
  <c r="C449" i="91"/>
  <c r="C897" i="91"/>
  <c r="D1081" i="91"/>
  <c r="C1179" i="91"/>
  <c r="C723" i="91"/>
  <c r="D923" i="91"/>
  <c r="C1241" i="91"/>
  <c r="C1208" i="91"/>
  <c r="C926" i="91"/>
  <c r="D348" i="91"/>
  <c r="D835" i="91"/>
  <c r="C1076" i="91"/>
  <c r="D1174" i="91"/>
  <c r="C659" i="91"/>
  <c r="D1203" i="91"/>
  <c r="D920" i="91"/>
  <c r="C1226" i="91"/>
  <c r="C585" i="91"/>
  <c r="D1065" i="91"/>
  <c r="C1169" i="91"/>
  <c r="C627" i="91"/>
  <c r="C1129" i="91"/>
  <c r="D891" i="91"/>
  <c r="C1161" i="91"/>
  <c r="D1207" i="91"/>
  <c r="C1012" i="91"/>
  <c r="D1155" i="91"/>
  <c r="C1234" i="91"/>
  <c r="D3" i="91"/>
  <c r="C1206" i="91"/>
  <c r="D985" i="91"/>
  <c r="C762" i="91"/>
  <c r="D1126" i="91"/>
  <c r="D553" i="91"/>
  <c r="D899" i="91"/>
  <c r="C806" i="91"/>
  <c r="C71" i="91"/>
  <c r="C800" i="91"/>
  <c r="C1078" i="91"/>
  <c r="D794" i="91"/>
  <c r="D634" i="91"/>
  <c r="C980" i="91"/>
  <c r="D1120" i="91"/>
  <c r="C878" i="91"/>
  <c r="C1231" i="91"/>
  <c r="D934" i="91"/>
  <c r="C968" i="91"/>
  <c r="C840" i="91"/>
  <c r="C658" i="91"/>
  <c r="C167" i="91"/>
  <c r="D119" i="91"/>
  <c r="D247" i="91"/>
  <c r="C29" i="91"/>
  <c r="C141" i="91"/>
  <c r="C1119" i="91"/>
  <c r="C876" i="91"/>
  <c r="D1216" i="91"/>
  <c r="C1251" i="91"/>
  <c r="C1006" i="91"/>
  <c r="C1123" i="91"/>
  <c r="D1221" i="91"/>
  <c r="D1134" i="91"/>
  <c r="C1201" i="91"/>
  <c r="C971" i="91"/>
  <c r="C731" i="91"/>
  <c r="D1105" i="91"/>
  <c r="C778" i="91"/>
  <c r="D905" i="91"/>
  <c r="C838" i="91"/>
  <c r="D182" i="91"/>
  <c r="D820" i="91"/>
  <c r="C1083" i="91"/>
  <c r="D62" i="91"/>
  <c r="D642" i="91"/>
  <c r="C1239" i="91"/>
  <c r="D768" i="91"/>
  <c r="C1113" i="91"/>
  <c r="D1025" i="91"/>
  <c r="D1060" i="91"/>
  <c r="D1107" i="91"/>
  <c r="D1232" i="91"/>
  <c r="D1004" i="91"/>
  <c r="C142" i="91"/>
  <c r="D886" i="91"/>
  <c r="C537" i="91"/>
  <c r="D711" i="91"/>
  <c r="D373" i="91"/>
  <c r="D780" i="91"/>
  <c r="C1097" i="91"/>
  <c r="D531" i="91"/>
  <c r="D760" i="91"/>
  <c r="C488" i="91"/>
  <c r="D1009" i="91"/>
  <c r="C1214" i="91"/>
  <c r="D1046" i="91"/>
  <c r="C976" i="91"/>
  <c r="D837" i="91"/>
  <c r="C626" i="91"/>
  <c r="D23" i="91"/>
  <c r="C162" i="91"/>
  <c r="D287" i="91"/>
  <c r="D90" i="91"/>
  <c r="D218" i="91"/>
  <c r="D5" i="91"/>
  <c r="D133" i="91"/>
  <c r="C248" i="91"/>
  <c r="C51" i="91"/>
  <c r="C171" i="91"/>
  <c r="D225" i="91"/>
  <c r="C388" i="91"/>
  <c r="D12" i="91"/>
  <c r="D222" i="91"/>
  <c r="D233" i="91"/>
  <c r="D407" i="91"/>
  <c r="D57" i="91"/>
  <c r="C259" i="91"/>
  <c r="C381" i="91"/>
  <c r="C39" i="91"/>
  <c r="D349" i="91"/>
  <c r="C503" i="91"/>
  <c r="C238" i="91"/>
  <c r="D200" i="91"/>
  <c r="D403" i="91"/>
  <c r="C533" i="91"/>
  <c r="D171" i="91"/>
  <c r="D435" i="91"/>
  <c r="D355" i="91"/>
  <c r="D597" i="91"/>
  <c r="D707" i="91"/>
  <c r="D446" i="91"/>
  <c r="D614" i="91"/>
  <c r="D718" i="91"/>
  <c r="D166" i="91"/>
  <c r="C507" i="91"/>
  <c r="D609" i="91"/>
  <c r="C708" i="91"/>
  <c r="D809" i="91"/>
  <c r="D366" i="91"/>
  <c r="D552" i="91"/>
  <c r="C671" i="91"/>
  <c r="D1250" i="91"/>
  <c r="C1157" i="91"/>
  <c r="D1066" i="91"/>
  <c r="C973" i="91"/>
  <c r="D882" i="91"/>
  <c r="C786" i="91"/>
  <c r="D621" i="91"/>
  <c r="D259" i="91"/>
  <c r="C1050" i="91"/>
  <c r="D959" i="91"/>
  <c r="C854" i="91"/>
  <c r="C717" i="91"/>
  <c r="D436" i="91"/>
  <c r="C935" i="91"/>
  <c r="C845" i="91"/>
  <c r="D712" i="91"/>
  <c r="D528" i="91"/>
  <c r="C1217" i="91"/>
  <c r="D1198" i="91"/>
  <c r="D1108" i="91"/>
  <c r="C1019" i="91"/>
  <c r="C993" i="91"/>
  <c r="C1070" i="91"/>
  <c r="D1219" i="91"/>
  <c r="C964" i="91"/>
  <c r="D1067" i="91"/>
  <c r="D872" i="91"/>
  <c r="C563" i="91"/>
  <c r="D727" i="91"/>
  <c r="D444" i="91"/>
  <c r="C794" i="91"/>
  <c r="D1116" i="91"/>
  <c r="D767" i="91"/>
  <c r="D781" i="91"/>
  <c r="C593" i="91"/>
  <c r="C963" i="91"/>
  <c r="C1209" i="91"/>
  <c r="C1009" i="91"/>
  <c r="D973" i="91"/>
  <c r="C814" i="91"/>
  <c r="C618" i="91"/>
  <c r="C26" i="91"/>
  <c r="D167" i="91"/>
  <c r="C290" i="91"/>
  <c r="C101" i="91"/>
  <c r="D226" i="91"/>
  <c r="C8" i="91"/>
  <c r="C136" i="91"/>
  <c r="C256" i="91"/>
  <c r="D56" i="91"/>
  <c r="C12" i="91"/>
  <c r="D243" i="91"/>
  <c r="D393" i="91"/>
  <c r="D20" i="91"/>
  <c r="C17" i="91"/>
  <c r="C1134" i="91"/>
  <c r="D1045" i="91"/>
  <c r="D1061" i="91"/>
  <c r="C987" i="91"/>
  <c r="C945" i="91"/>
  <c r="D1011" i="91"/>
  <c r="C1210" i="91"/>
  <c r="D937" i="91"/>
  <c r="C1219" i="91"/>
  <c r="D840" i="91"/>
  <c r="C588" i="91"/>
  <c r="D743" i="91"/>
  <c r="D573" i="91"/>
  <c r="C832" i="91"/>
  <c r="C1130" i="91"/>
  <c r="C815" i="91"/>
  <c r="D821" i="91"/>
  <c r="C768" i="91"/>
  <c r="D942" i="91"/>
  <c r="C3" i="91"/>
  <c r="C969" i="91"/>
  <c r="D957" i="91"/>
  <c r="C808" i="91"/>
  <c r="D601" i="91"/>
  <c r="C50" i="91"/>
  <c r="D175" i="91"/>
  <c r="C298" i="91"/>
  <c r="D114" i="91"/>
  <c r="D234" i="91"/>
  <c r="D29" i="91"/>
  <c r="C144" i="91"/>
  <c r="D269" i="91"/>
  <c r="D72" i="91"/>
  <c r="C28" i="91"/>
  <c r="D257" i="91"/>
  <c r="C404" i="91"/>
  <c r="D52" i="91"/>
  <c r="C33" i="91"/>
  <c r="D265" i="91"/>
  <c r="C418" i="91"/>
  <c r="D105" i="91"/>
  <c r="D276" i="91"/>
  <c r="C397" i="91"/>
  <c r="D115" i="91"/>
  <c r="C374" i="91"/>
  <c r="D516" i="91"/>
  <c r="D286" i="91"/>
  <c r="C247" i="91"/>
  <c r="C435" i="91"/>
  <c r="D554" i="91"/>
  <c r="D220" i="91"/>
  <c r="D451" i="91"/>
  <c r="D404" i="91"/>
  <c r="C606" i="91"/>
  <c r="C718" i="91"/>
  <c r="C485" i="91"/>
  <c r="C625" i="91"/>
  <c r="C737" i="91"/>
  <c r="D267" i="91"/>
  <c r="C520" i="91"/>
  <c r="C620" i="91"/>
  <c r="D721" i="91"/>
  <c r="D825" i="91"/>
  <c r="C391" i="91"/>
  <c r="D571" i="91"/>
  <c r="D684" i="91"/>
  <c r="C1237" i="91"/>
  <c r="D1146" i="91"/>
  <c r="D1050" i="91"/>
  <c r="C957" i="91"/>
  <c r="C866" i="91"/>
  <c r="C773" i="91"/>
  <c r="C596" i="91"/>
  <c r="D192" i="91"/>
  <c r="D1039" i="91"/>
  <c r="C946" i="91"/>
  <c r="D845" i="91"/>
  <c r="C693" i="91"/>
  <c r="C363" i="91"/>
  <c r="D924" i="91"/>
  <c r="D836" i="91"/>
  <c r="D688" i="91"/>
  <c r="C496" i="91"/>
  <c r="D1109" i="91"/>
  <c r="C1020" i="91"/>
  <c r="D987" i="91"/>
  <c r="D979" i="91"/>
  <c r="D896" i="91"/>
  <c r="C910" i="91"/>
  <c r="D1196" i="91"/>
  <c r="D929" i="91"/>
  <c r="C1196" i="91"/>
  <c r="D803" i="91"/>
  <c r="C824" i="91"/>
  <c r="C750" i="91"/>
  <c r="D838" i="91"/>
  <c r="D846" i="91"/>
  <c r="C1139" i="91"/>
  <c r="C821" i="91"/>
  <c r="C827" i="91"/>
  <c r="C775" i="91"/>
  <c r="D928" i="91"/>
  <c r="D1248" i="91"/>
  <c r="C921" i="91"/>
  <c r="C952" i="91"/>
  <c r="C799" i="91"/>
  <c r="D596" i="91"/>
  <c r="D55" i="91"/>
  <c r="D183" i="91"/>
  <c r="C306" i="91"/>
  <c r="C117" i="91"/>
  <c r="D242" i="91"/>
  <c r="C32" i="91"/>
  <c r="D149" i="91"/>
  <c r="C272" i="91"/>
  <c r="C75" i="91"/>
  <c r="C36" i="91"/>
  <c r="C268" i="91"/>
  <c r="D409" i="91"/>
  <c r="D60" i="91"/>
  <c r="C49" i="91"/>
  <c r="C276" i="91"/>
  <c r="D423" i="91"/>
  <c r="D113" i="91"/>
  <c r="D280" i="91"/>
  <c r="D402" i="91"/>
  <c r="D126" i="91"/>
  <c r="C377" i="91"/>
  <c r="C519" i="91"/>
  <c r="C313" i="91"/>
  <c r="D260" i="91"/>
  <c r="C438" i="91"/>
  <c r="C557" i="91"/>
  <c r="C243" i="91"/>
  <c r="D454" i="91"/>
  <c r="D419" i="91"/>
  <c r="C614" i="91"/>
  <c r="D723" i="91"/>
  <c r="D490" i="91"/>
  <c r="D630" i="91"/>
  <c r="D742" i="91"/>
  <c r="C279" i="91"/>
  <c r="C523" i="91"/>
  <c r="D625" i="91"/>
  <c r="D729" i="91"/>
  <c r="C828" i="91"/>
  <c r="D411" i="91"/>
  <c r="D592" i="91"/>
  <c r="C687" i="91"/>
  <c r="D1234" i="91"/>
  <c r="D1138" i="91"/>
  <c r="C1045" i="91"/>
  <c r="D954" i="91"/>
  <c r="C863" i="91"/>
  <c r="C770" i="91"/>
  <c r="C591" i="91"/>
  <c r="D131" i="91"/>
  <c r="C1034" i="91"/>
  <c r="D943" i="91"/>
  <c r="D842" i="91"/>
  <c r="C685" i="91"/>
  <c r="C358" i="91"/>
  <c r="C919" i="91"/>
  <c r="C833" i="91"/>
  <c r="D680" i="91"/>
  <c r="D491" i="91"/>
  <c r="C1104" i="91"/>
  <c r="C953" i="91"/>
  <c r="D904" i="91"/>
  <c r="C972" i="91"/>
  <c r="D889" i="91"/>
  <c r="C902" i="91"/>
  <c r="C1192" i="91"/>
  <c r="C923" i="91"/>
  <c r="D1177" i="91"/>
  <c r="D783" i="91"/>
  <c r="C830" i="91"/>
  <c r="D757" i="91"/>
  <c r="C495" i="91"/>
  <c r="D852" i="91"/>
  <c r="D1143" i="91"/>
  <c r="D163" i="91"/>
  <c r="C859" i="91"/>
  <c r="D796" i="91"/>
  <c r="D921" i="91"/>
  <c r="D1235" i="91"/>
  <c r="C847" i="91"/>
  <c r="D949" i="91"/>
  <c r="D792" i="91"/>
  <c r="D566" i="91"/>
  <c r="C58" i="91"/>
  <c r="C186" i="91"/>
  <c r="C330" i="91"/>
  <c r="D122" i="91"/>
  <c r="C245" i="91"/>
  <c r="D37" i="91"/>
  <c r="C152" i="91"/>
  <c r="D277" i="91"/>
  <c r="D80" i="91"/>
  <c r="C44" i="91"/>
  <c r="D275" i="91"/>
  <c r="C412" i="91"/>
  <c r="D68" i="91"/>
  <c r="C57" i="91"/>
  <c r="D283" i="91"/>
  <c r="C426" i="91"/>
  <c r="D121" i="91"/>
  <c r="C291" i="91"/>
  <c r="C405" i="91"/>
  <c r="D174" i="91"/>
  <c r="D381" i="91"/>
  <c r="C527" i="91"/>
  <c r="C339" i="91"/>
  <c r="C265" i="91"/>
  <c r="C441" i="91"/>
  <c r="C565" i="91"/>
  <c r="C252" i="91"/>
  <c r="C461" i="91"/>
  <c r="D429" i="91"/>
  <c r="D619" i="91"/>
  <c r="D731" i="91"/>
  <c r="C500" i="91"/>
  <c r="C633" i="91"/>
  <c r="C745" i="91"/>
  <c r="D284" i="91"/>
  <c r="D526" i="91"/>
  <c r="C628" i="91"/>
  <c r="C732" i="91"/>
  <c r="D833" i="91"/>
  <c r="D430" i="91"/>
  <c r="D595" i="91"/>
  <c r="D692" i="91"/>
  <c r="D1226" i="91"/>
  <c r="C1133" i="91"/>
  <c r="D1042" i="91"/>
  <c r="C949" i="91"/>
  <c r="D860" i="91"/>
  <c r="C763" i="91"/>
  <c r="D587" i="91"/>
  <c r="C1122" i="91"/>
  <c r="D1031" i="91"/>
  <c r="C938" i="91"/>
  <c r="D839" i="91"/>
  <c r="C677" i="91"/>
  <c r="C299" i="91"/>
  <c r="D916" i="91"/>
  <c r="D1083" i="91"/>
  <c r="C853" i="91"/>
  <c r="C1242" i="91"/>
  <c r="C924" i="91"/>
  <c r="C797" i="91"/>
  <c r="D829" i="91"/>
  <c r="D1145" i="91"/>
  <c r="C560" i="91"/>
  <c r="D1240" i="91"/>
  <c r="C188" i="91"/>
  <c r="C862" i="91"/>
  <c r="C870" i="91"/>
  <c r="C599" i="91"/>
  <c r="C889" i="91"/>
  <c r="D1165" i="91"/>
  <c r="D541" i="91"/>
  <c r="D902" i="91"/>
  <c r="D1153" i="91"/>
  <c r="D855" i="91"/>
  <c r="D1190" i="91"/>
  <c r="C643" i="91"/>
  <c r="C936" i="91"/>
  <c r="C783" i="91"/>
  <c r="D534" i="91"/>
  <c r="D71" i="91"/>
  <c r="C202" i="91"/>
  <c r="C13" i="91"/>
  <c r="C133" i="91"/>
  <c r="C269" i="91"/>
  <c r="C48" i="91"/>
  <c r="C176" i="91"/>
  <c r="C296" i="91"/>
  <c r="C91" i="91"/>
  <c r="C76" i="91"/>
  <c r="D307" i="91"/>
  <c r="D433" i="91"/>
  <c r="D108" i="91"/>
  <c r="C81" i="91"/>
  <c r="C308" i="91"/>
  <c r="C450" i="91"/>
  <c r="D153" i="91"/>
  <c r="D308" i="91"/>
  <c r="C14" i="91"/>
  <c r="D228" i="91"/>
  <c r="C406" i="91"/>
  <c r="C543" i="91"/>
  <c r="D374" i="91"/>
  <c r="D300" i="91"/>
  <c r="C457" i="91"/>
  <c r="C581" i="91"/>
  <c r="C292" i="91"/>
  <c r="C477" i="91"/>
  <c r="D459" i="91"/>
  <c r="D635" i="91"/>
  <c r="C742" i="91"/>
  <c r="C516" i="91"/>
  <c r="D654" i="91"/>
  <c r="D758" i="91"/>
  <c r="D324" i="91"/>
  <c r="C539" i="91"/>
  <c r="C644" i="91"/>
  <c r="D745" i="91"/>
  <c r="D849" i="91"/>
  <c r="C469" i="91"/>
  <c r="C607" i="91"/>
  <c r="D708" i="91"/>
  <c r="C1213" i="91"/>
  <c r="D1122" i="91"/>
  <c r="C1029" i="91"/>
  <c r="D938" i="91"/>
  <c r="D851" i="91"/>
  <c r="D741" i="91"/>
  <c r="D557" i="91"/>
  <c r="D1111" i="91"/>
  <c r="C1018" i="91"/>
  <c r="D927" i="91"/>
  <c r="C816" i="91"/>
  <c r="C653" i="91"/>
  <c r="C991" i="91"/>
  <c r="C903" i="91"/>
  <c r="C813" i="91"/>
  <c r="D648" i="91"/>
  <c r="D458" i="91"/>
  <c r="D1077" i="91"/>
  <c r="C715" i="91"/>
  <c r="D1233" i="91"/>
  <c r="D918" i="91"/>
  <c r="D754" i="91"/>
  <c r="D811" i="91"/>
  <c r="C1136" i="91"/>
  <c r="C1176" i="91"/>
  <c r="D1214" i="91"/>
  <c r="D461" i="91"/>
  <c r="D875" i="91"/>
  <c r="D888" i="91"/>
  <c r="C608" i="91"/>
  <c r="C937" i="91"/>
  <c r="C1178" i="91"/>
  <c r="C550" i="91"/>
  <c r="D926" i="91"/>
  <c r="C1135" i="91"/>
  <c r="C823" i="91"/>
  <c r="D1185" i="91"/>
  <c r="C611" i="91"/>
  <c r="D925" i="91"/>
  <c r="D776" i="91"/>
  <c r="C512" i="91"/>
  <c r="C82" i="91"/>
  <c r="D207" i="91"/>
  <c r="D18" i="91"/>
  <c r="D138" i="91"/>
  <c r="D274" i="91"/>
  <c r="D53" i="91"/>
  <c r="D181" i="91"/>
  <c r="D301" i="91"/>
  <c r="D96" i="91"/>
  <c r="C92" i="91"/>
  <c r="C318" i="91"/>
  <c r="C436" i="91"/>
  <c r="D116" i="91"/>
  <c r="C89" i="91"/>
  <c r="D315" i="91"/>
  <c r="D455" i="91"/>
  <c r="D161" i="91"/>
  <c r="C319" i="91"/>
  <c r="C22" i="91"/>
  <c r="C233" i="91"/>
  <c r="C409" i="91"/>
  <c r="D548" i="91"/>
  <c r="C399" i="91"/>
  <c r="D304" i="91"/>
  <c r="C467" i="91"/>
  <c r="D586" i="91"/>
  <c r="C310" i="91"/>
  <c r="C480" i="91"/>
  <c r="D476" i="91"/>
  <c r="C638" i="91"/>
  <c r="C79" i="91"/>
  <c r="C529" i="91"/>
  <c r="C657" i="91"/>
  <c r="C761" i="91"/>
  <c r="D336" i="91"/>
  <c r="D542" i="91"/>
  <c r="D649" i="91"/>
  <c r="C748" i="91"/>
  <c r="D857" i="91"/>
  <c r="D474" i="91"/>
  <c r="D612" i="91"/>
  <c r="C711" i="91"/>
  <c r="D1210" i="91"/>
  <c r="C1117" i="91"/>
  <c r="D1026" i="91"/>
  <c r="C933" i="91"/>
  <c r="D848" i="91"/>
  <c r="D733" i="91"/>
  <c r="D547" i="91"/>
  <c r="C1106" i="91"/>
  <c r="D1015" i="91"/>
  <c r="C922" i="91"/>
  <c r="D813" i="91"/>
  <c r="C645" i="91"/>
  <c r="D988" i="91"/>
  <c r="D900" i="91"/>
  <c r="C810" i="91"/>
  <c r="D640" i="91"/>
  <c r="C423" i="91"/>
  <c r="C1072" i="91"/>
  <c r="C651" i="91"/>
  <c r="C1216" i="91"/>
  <c r="D867" i="91"/>
  <c r="C263" i="91"/>
  <c r="D1247" i="91"/>
  <c r="D1040" i="91"/>
  <c r="C1243" i="91"/>
  <c r="C1202" i="91"/>
  <c r="C1180" i="91"/>
  <c r="C1233" i="91"/>
  <c r="D1224" i="91"/>
  <c r="C1086" i="91"/>
  <c r="C1116" i="91"/>
  <c r="C1182" i="91"/>
  <c r="D518" i="91"/>
  <c r="D563" i="91"/>
  <c r="C990" i="91"/>
  <c r="C640" i="91"/>
  <c r="C985" i="91"/>
  <c r="C355" i="91"/>
  <c r="D618" i="91"/>
  <c r="D1003" i="91"/>
  <c r="C1100" i="91"/>
  <c r="D947" i="91"/>
  <c r="D1148" i="91"/>
  <c r="C1040" i="91"/>
  <c r="D901" i="91"/>
  <c r="C738" i="91"/>
  <c r="C408" i="91"/>
  <c r="C98" i="91"/>
  <c r="C242" i="91"/>
  <c r="C37" i="91"/>
  <c r="C173" i="91"/>
  <c r="D290" i="91"/>
  <c r="C80" i="91"/>
  <c r="D205" i="91"/>
  <c r="D317" i="91"/>
  <c r="D120" i="91"/>
  <c r="C124" i="91"/>
  <c r="D345" i="91"/>
  <c r="C460" i="91"/>
  <c r="D148" i="91"/>
  <c r="C129" i="91"/>
  <c r="D367" i="91"/>
  <c r="D479" i="91"/>
  <c r="C191" i="91"/>
  <c r="D346" i="91"/>
  <c r="C54" i="91"/>
  <c r="D268" i="91"/>
  <c r="D427" i="91"/>
  <c r="C575" i="91"/>
  <c r="D6" i="91"/>
  <c r="C353" i="91"/>
  <c r="D495" i="91"/>
  <c r="D602" i="91"/>
  <c r="C343" i="91"/>
  <c r="C31" i="91"/>
  <c r="D519" i="91"/>
  <c r="C654" i="91"/>
  <c r="C267" i="91"/>
  <c r="C558" i="91"/>
  <c r="C673" i="91"/>
  <c r="C777" i="91"/>
  <c r="D405" i="91"/>
  <c r="C571" i="91"/>
  <c r="D673" i="91"/>
  <c r="C772" i="91"/>
  <c r="C7" i="91"/>
  <c r="D501" i="91"/>
  <c r="D628" i="91"/>
  <c r="C727" i="91"/>
  <c r="D1194" i="91"/>
  <c r="C1101" i="91"/>
  <c r="D1010" i="91"/>
  <c r="C917" i="91"/>
  <c r="D828" i="91"/>
  <c r="D701" i="91"/>
  <c r="C502" i="91"/>
  <c r="C1090" i="91"/>
  <c r="D999" i="91"/>
  <c r="C906" i="91"/>
  <c r="C795" i="91"/>
  <c r="C613" i="91"/>
  <c r="D972" i="91"/>
  <c r="D884" i="91"/>
  <c r="D788" i="91"/>
  <c r="D608" i="91"/>
  <c r="D217" i="91"/>
  <c r="D1072" i="91"/>
  <c r="D961" i="91"/>
  <c r="C1184" i="91"/>
  <c r="D1179" i="91"/>
  <c r="D1164" i="91"/>
  <c r="D1206" i="91"/>
  <c r="C1246" i="91"/>
  <c r="C1043" i="91"/>
  <c r="C1004" i="91"/>
  <c r="C1140" i="91"/>
  <c r="C818" i="91"/>
  <c r="D615" i="91"/>
  <c r="D1022" i="91"/>
  <c r="C680" i="91"/>
  <c r="C1039" i="91"/>
  <c r="C540" i="91"/>
  <c r="D658" i="91"/>
  <c r="C1060" i="91"/>
  <c r="D1057" i="91"/>
  <c r="C1154" i="91"/>
  <c r="C1120" i="91"/>
  <c r="C1016" i="91"/>
  <c r="D877" i="91"/>
  <c r="C698" i="91"/>
  <c r="D240" i="91"/>
  <c r="D135" i="91"/>
  <c r="C258" i="91"/>
  <c r="C53" i="91"/>
  <c r="D186" i="91"/>
  <c r="C309" i="91"/>
  <c r="D93" i="91"/>
  <c r="C216" i="91"/>
  <c r="D16" i="91"/>
  <c r="C131" i="91"/>
  <c r="C172" i="91"/>
  <c r="D361" i="91"/>
  <c r="C476" i="91"/>
  <c r="D176" i="91"/>
  <c r="C180" i="91"/>
  <c r="C378" i="91"/>
  <c r="C490" i="91"/>
  <c r="D212" i="91"/>
  <c r="C357" i="91"/>
  <c r="C78" i="91"/>
  <c r="C295" i="91"/>
  <c r="D453" i="91"/>
  <c r="C63" i="91"/>
  <c r="C87" i="91"/>
  <c r="D371" i="91"/>
  <c r="D506" i="91"/>
  <c r="D59" i="91"/>
  <c r="C368" i="91"/>
  <c r="C158" i="91"/>
  <c r="C538" i="91"/>
  <c r="C670" i="91"/>
  <c r="C351" i="91"/>
  <c r="C577" i="91"/>
  <c r="C689" i="91"/>
  <c r="D798" i="91"/>
  <c r="C439" i="91"/>
  <c r="D583" i="91"/>
  <c r="C684" i="91"/>
  <c r="D785" i="91"/>
  <c r="D203" i="91"/>
  <c r="D517" i="91"/>
  <c r="D644" i="91"/>
  <c r="D740" i="91"/>
  <c r="C1181" i="91"/>
  <c r="D1090" i="91"/>
  <c r="C997" i="91"/>
  <c r="D906" i="91"/>
  <c r="D819" i="91"/>
  <c r="D677" i="91"/>
  <c r="C459" i="91"/>
  <c r="D1079" i="91"/>
  <c r="C986" i="91"/>
  <c r="D895" i="91"/>
  <c r="D759" i="91"/>
  <c r="D575" i="91"/>
  <c r="C959" i="91"/>
  <c r="C871" i="91"/>
  <c r="D762" i="91"/>
  <c r="D590" i="91"/>
  <c r="D43" i="91"/>
  <c r="I201" i="69"/>
  <c r="F198" i="69" s="1"/>
  <c r="D121" i="76" s="1"/>
  <c r="AU36" i="63"/>
  <c r="D387" i="91"/>
  <c r="D728" i="91"/>
  <c r="D892" i="91"/>
  <c r="C515" i="91"/>
  <c r="C819" i="91"/>
  <c r="D983" i="91"/>
  <c r="D206" i="91"/>
  <c r="D693" i="91"/>
  <c r="C885" i="91"/>
  <c r="D1018" i="91"/>
  <c r="D1170" i="91"/>
  <c r="C703" i="91"/>
  <c r="D523" i="91"/>
  <c r="C820" i="91"/>
  <c r="C676" i="91"/>
  <c r="C504" i="91"/>
  <c r="C769" i="91"/>
  <c r="D600" i="91"/>
  <c r="D739" i="91"/>
  <c r="D551" i="91"/>
  <c r="C448" i="91"/>
  <c r="C605" i="91"/>
  <c r="D396" i="91"/>
  <c r="D406" i="91"/>
  <c r="D482" i="91"/>
  <c r="D224" i="91"/>
  <c r="D362" i="91"/>
  <c r="D97" i="91"/>
  <c r="C370" i="91"/>
  <c r="C215" i="91"/>
  <c r="C428" i="91"/>
  <c r="C132" i="91"/>
  <c r="C35" i="91"/>
  <c r="C168" i="91"/>
  <c r="C285" i="91"/>
  <c r="D66" i="91"/>
  <c r="C170" i="91"/>
  <c r="D448" i="91"/>
  <c r="C872" i="91"/>
  <c r="C1057" i="91"/>
  <c r="D499" i="91"/>
  <c r="C1055" i="91"/>
  <c r="D270" i="91"/>
  <c r="C883" i="91"/>
  <c r="C1001" i="91"/>
  <c r="D432" i="91"/>
  <c r="D1140" i="91"/>
  <c r="C1096" i="91"/>
  <c r="C1183" i="91"/>
  <c r="C1128" i="91"/>
  <c r="C829" i="91"/>
  <c r="H77" i="4"/>
  <c r="D462" i="91"/>
  <c r="D736" i="91"/>
  <c r="C895" i="91"/>
  <c r="D543" i="91"/>
  <c r="C822" i="91"/>
  <c r="D991" i="91"/>
  <c r="C246" i="91"/>
  <c r="D709" i="91"/>
  <c r="D890" i="91"/>
  <c r="C1021" i="91"/>
  <c r="C1173" i="91"/>
  <c r="D700" i="91"/>
  <c r="D507" i="91"/>
  <c r="D817" i="91"/>
  <c r="D665" i="91"/>
  <c r="C497" i="91"/>
  <c r="D766" i="91"/>
  <c r="C583" i="91"/>
  <c r="C734" i="91"/>
  <c r="D535" i="91"/>
  <c r="C445" i="91"/>
  <c r="C597" i="91"/>
  <c r="D392" i="91"/>
  <c r="C403" i="91"/>
  <c r="D472" i="91"/>
  <c r="C199" i="91"/>
  <c r="D354" i="91"/>
  <c r="D89" i="91"/>
  <c r="D359" i="91"/>
  <c r="D208" i="91"/>
  <c r="D417" i="91"/>
  <c r="C116" i="91"/>
  <c r="C27" i="91"/>
  <c r="D141" i="91"/>
  <c r="D282" i="91"/>
  <c r="D58" i="91"/>
  <c r="D159" i="91"/>
  <c r="C498" i="91"/>
  <c r="C888" i="91"/>
  <c r="D1084" i="91"/>
  <c r="C886" i="91"/>
  <c r="D1035" i="91"/>
  <c r="C193" i="91"/>
  <c r="C858" i="91"/>
  <c r="D984" i="91"/>
  <c r="D372" i="91"/>
  <c r="D1245" i="91"/>
  <c r="D1101" i="91"/>
  <c r="D1215" i="91"/>
  <c r="C1142" i="91"/>
  <c r="D861" i="91"/>
  <c r="AV36" i="63"/>
  <c r="H255" i="62"/>
  <c r="H259" i="62" s="1"/>
  <c r="C475" i="91"/>
  <c r="D744" i="91"/>
  <c r="D908" i="91"/>
  <c r="C547" i="91"/>
  <c r="C848" i="91"/>
  <c r="C994" i="91"/>
  <c r="D333" i="91"/>
  <c r="D717" i="91"/>
  <c r="C893" i="91"/>
  <c r="D1034" i="91"/>
  <c r="D1178" i="91"/>
  <c r="C679" i="91"/>
  <c r="D504" i="91"/>
  <c r="C804" i="91"/>
  <c r="C660" i="91"/>
  <c r="C494" i="91"/>
  <c r="C753" i="91"/>
  <c r="C580" i="91"/>
  <c r="D715" i="91"/>
  <c r="C522" i="91"/>
  <c r="C432" i="91"/>
  <c r="D594" i="91"/>
  <c r="D389" i="91"/>
  <c r="C360" i="91"/>
  <c r="D469" i="91"/>
  <c r="D86" i="91"/>
  <c r="C349" i="91"/>
  <c r="D49" i="91"/>
  <c r="C346" i="91"/>
  <c r="C187" i="91"/>
  <c r="C396" i="91"/>
  <c r="C108" i="91"/>
  <c r="C19" i="91"/>
  <c r="C128" i="91"/>
  <c r="C277" i="91"/>
  <c r="C45" i="91"/>
  <c r="C154" i="91"/>
  <c r="C553" i="91"/>
  <c r="C896" i="91"/>
  <c r="C1089" i="91"/>
  <c r="C915" i="91"/>
  <c r="C998" i="91"/>
  <c r="D83" i="91"/>
  <c r="C826" i="91"/>
  <c r="C942" i="91"/>
  <c r="C135" i="91"/>
  <c r="C667" i="91"/>
  <c r="C1127" i="91"/>
  <c r="D1228" i="91"/>
  <c r="C1151" i="91"/>
  <c r="C905" i="91"/>
  <c r="AP46" i="62"/>
  <c r="D505" i="91"/>
  <c r="D772" i="91"/>
  <c r="C927" i="91"/>
  <c r="C587" i="91"/>
  <c r="D871" i="91"/>
  <c r="D1007" i="91"/>
  <c r="C431" i="91"/>
  <c r="C749" i="91"/>
  <c r="C901" i="91"/>
  <c r="D1058" i="91"/>
  <c r="C1189" i="91"/>
  <c r="D668" i="91"/>
  <c r="C491" i="91"/>
  <c r="C796" i="91"/>
  <c r="D641" i="91"/>
  <c r="C456" i="91"/>
  <c r="D726" i="91"/>
  <c r="C561" i="91"/>
  <c r="C702" i="91"/>
  <c r="D503" i="91"/>
  <c r="C407" i="91"/>
  <c r="D578" i="91"/>
  <c r="C382" i="91"/>
  <c r="C260" i="91"/>
  <c r="D437" i="91"/>
  <c r="D22" i="91"/>
  <c r="C329" i="91"/>
  <c r="D33" i="91"/>
  <c r="D297" i="91"/>
  <c r="D172" i="91"/>
  <c r="C380" i="91"/>
  <c r="C68" i="91"/>
  <c r="C320" i="91"/>
  <c r="C112" i="91"/>
  <c r="D250" i="91"/>
  <c r="D34" i="91"/>
  <c r="C146" i="91"/>
  <c r="C610" i="91"/>
  <c r="C912" i="91"/>
  <c r="C1115" i="91"/>
  <c r="C1022" i="91"/>
  <c r="C932" i="91"/>
  <c r="C465" i="91"/>
  <c r="C736" i="91"/>
  <c r="D799" i="91"/>
  <c r="C784" i="91"/>
  <c r="D832" i="91"/>
  <c r="D1187" i="91"/>
  <c r="C1094" i="91"/>
  <c r="C1193" i="91"/>
  <c r="D953" i="91"/>
  <c r="C524" i="91"/>
  <c r="D775" i="91"/>
  <c r="D932" i="91"/>
  <c r="C621" i="91"/>
  <c r="C874" i="91"/>
  <c r="C1010" i="91"/>
  <c r="D442" i="91"/>
  <c r="D752" i="91"/>
  <c r="C909" i="91"/>
  <c r="C1061" i="91"/>
  <c r="C1197" i="91"/>
  <c r="D660" i="91"/>
  <c r="C481" i="91"/>
  <c r="D793" i="91"/>
  <c r="D633" i="91"/>
  <c r="C430" i="91"/>
  <c r="C721" i="91"/>
  <c r="C548" i="91"/>
  <c r="C694" i="91"/>
  <c r="D493" i="91"/>
  <c r="C400" i="91"/>
  <c r="D570" i="91"/>
  <c r="D364" i="91"/>
  <c r="C251" i="91"/>
  <c r="D420" i="91"/>
  <c r="C110" i="91"/>
  <c r="C323" i="91"/>
  <c r="D25" i="91"/>
  <c r="C294" i="91"/>
  <c r="D164" i="91"/>
  <c r="D377" i="91"/>
  <c r="C52" i="91"/>
  <c r="C312" i="91"/>
  <c r="D101" i="91"/>
  <c r="C229" i="91"/>
  <c r="D26" i="91"/>
  <c r="C138" i="91"/>
  <c r="C634" i="91"/>
  <c r="D917" i="91"/>
  <c r="D1125" i="91"/>
  <c r="C1028" i="91"/>
  <c r="C884" i="91"/>
  <c r="D445" i="91"/>
  <c r="C728" i="91"/>
  <c r="C765" i="91"/>
  <c r="D797" i="91"/>
  <c r="C849" i="91"/>
  <c r="C1215" i="91"/>
  <c r="C867" i="91"/>
  <c r="C1207" i="91"/>
  <c r="D1001" i="91"/>
  <c r="J165" i="4"/>
  <c r="D537" i="91"/>
  <c r="D791" i="91"/>
  <c r="D940" i="91"/>
  <c r="C629" i="91"/>
  <c r="D879" i="91"/>
  <c r="D1023" i="91"/>
  <c r="C453" i="91"/>
  <c r="C776" i="91"/>
  <c r="D914" i="91"/>
  <c r="C1069" i="91"/>
  <c r="D1202" i="91"/>
  <c r="C655" i="91"/>
  <c r="D452" i="91"/>
  <c r="C788" i="91"/>
  <c r="D617" i="91"/>
  <c r="C425" i="91"/>
  <c r="C713" i="91"/>
  <c r="C545" i="91"/>
  <c r="D691" i="91"/>
  <c r="C455" i="91"/>
  <c r="C379" i="91"/>
  <c r="C549" i="91"/>
  <c r="D360" i="91"/>
  <c r="D214" i="91"/>
  <c r="D416" i="91"/>
  <c r="C102" i="91"/>
  <c r="C305" i="91"/>
  <c r="D17" i="91"/>
  <c r="C262" i="91"/>
  <c r="D140" i="91"/>
  <c r="C372" i="91"/>
  <c r="C20" i="91"/>
  <c r="D309" i="91"/>
  <c r="C96" i="91"/>
  <c r="C213" i="91"/>
  <c r="C21" i="91"/>
  <c r="C106" i="91"/>
  <c r="C642" i="91"/>
  <c r="D941" i="91"/>
  <c r="D1139" i="91"/>
  <c r="C1035" i="91"/>
  <c r="D878" i="91"/>
  <c r="D236" i="91"/>
  <c r="C720" i="91"/>
  <c r="D735" i="91"/>
  <c r="D544" i="91"/>
  <c r="D894" i="91"/>
  <c r="D1086" i="91"/>
  <c r="C881" i="91"/>
  <c r="D1211" i="91"/>
  <c r="D1014" i="91"/>
  <c r="C556" i="91"/>
  <c r="D804" i="91"/>
  <c r="C943" i="91"/>
  <c r="C637" i="91"/>
  <c r="C882" i="91"/>
  <c r="C1026" i="91"/>
  <c r="C487" i="91"/>
  <c r="D779" i="91"/>
  <c r="D922" i="91"/>
  <c r="D1074" i="91"/>
  <c r="C1205" i="91"/>
  <c r="D652" i="91"/>
  <c r="C447" i="91"/>
  <c r="C780" i="91"/>
  <c r="C612" i="91"/>
  <c r="C366" i="91"/>
  <c r="D710" i="91"/>
  <c r="C542" i="91"/>
  <c r="C686" i="91"/>
  <c r="C446" i="91"/>
  <c r="D350" i="91"/>
  <c r="D546" i="91"/>
  <c r="D339" i="91"/>
  <c r="D209" i="91"/>
  <c r="D413" i="91"/>
  <c r="C94" i="91"/>
  <c r="D294" i="91"/>
  <c r="D487" i="91"/>
  <c r="D251" i="91"/>
  <c r="D132" i="91"/>
  <c r="D369" i="91"/>
  <c r="D168" i="91"/>
  <c r="C304" i="91"/>
  <c r="C88" i="91"/>
  <c r="D210" i="91"/>
  <c r="D10" i="91"/>
  <c r="D103" i="91"/>
  <c r="C666" i="91"/>
  <c r="C944" i="91"/>
  <c r="C1158" i="91"/>
  <c r="D1041" i="91"/>
  <c r="D815" i="91"/>
  <c r="D1213" i="91"/>
  <c r="C712" i="91"/>
  <c r="D695" i="91"/>
  <c r="D527" i="91"/>
  <c r="C1036" i="91"/>
  <c r="C1132" i="91"/>
  <c r="D958" i="91"/>
  <c r="C1212" i="91"/>
  <c r="D1056" i="91"/>
  <c r="Q26" i="63"/>
  <c r="AC36" i="63"/>
  <c r="D569" i="91"/>
  <c r="D824" i="91"/>
  <c r="C951" i="91"/>
  <c r="C669" i="91"/>
  <c r="C898" i="91"/>
  <c r="D1047" i="91"/>
  <c r="D515" i="91"/>
  <c r="D795" i="91"/>
  <c r="D930" i="91"/>
  <c r="D1082" i="91"/>
  <c r="C1221" i="91"/>
  <c r="C639" i="91"/>
  <c r="D376" i="91"/>
  <c r="D769" i="91"/>
  <c r="C595" i="91"/>
  <c r="D341" i="91"/>
  <c r="D702" i="91"/>
  <c r="C510" i="91"/>
  <c r="D667" i="91"/>
  <c r="D365" i="91"/>
  <c r="C336" i="91"/>
  <c r="C525" i="91"/>
  <c r="D313" i="91"/>
  <c r="D110" i="91"/>
  <c r="D388" i="91"/>
  <c r="C70" i="91"/>
  <c r="D262" i="91"/>
  <c r="C474" i="91"/>
  <c r="D219" i="91"/>
  <c r="D100" i="91"/>
  <c r="C348" i="91"/>
  <c r="D152" i="91"/>
  <c r="C280" i="91"/>
  <c r="C72" i="91"/>
  <c r="D202" i="91"/>
  <c r="D295" i="91"/>
  <c r="C90" i="91"/>
  <c r="C690" i="91"/>
  <c r="D989" i="91"/>
  <c r="D1181" i="91"/>
  <c r="C1068" i="91"/>
  <c r="D722" i="91"/>
  <c r="D1156" i="91"/>
  <c r="C648" i="91"/>
  <c r="D679" i="91"/>
  <c r="C569" i="91"/>
  <c r="D1182" i="91"/>
  <c r="C1164" i="91"/>
  <c r="D1070" i="91"/>
  <c r="C1071" i="91"/>
  <c r="D1088" i="91"/>
  <c r="AM26" i="63"/>
  <c r="H35" i="62"/>
  <c r="AK35" i="62"/>
  <c r="L92" i="4"/>
  <c r="H195" i="62" s="1"/>
  <c r="H96" i="62" s="1"/>
  <c r="H98" i="62" s="1"/>
  <c r="D77" i="64"/>
  <c r="D582" i="91"/>
  <c r="D827" i="91"/>
  <c r="D956" i="91"/>
  <c r="C701" i="91"/>
  <c r="D903" i="91"/>
  <c r="D1055" i="91"/>
  <c r="D525" i="91"/>
  <c r="C802" i="91"/>
  <c r="C941" i="91"/>
  <c r="C1085" i="91"/>
  <c r="D1242" i="91"/>
  <c r="D636" i="91"/>
  <c r="C352" i="91"/>
  <c r="C764" i="91"/>
  <c r="C592" i="91"/>
  <c r="C307" i="91"/>
  <c r="D694" i="91"/>
  <c r="D480" i="91"/>
  <c r="D659" i="91"/>
  <c r="D340" i="91"/>
  <c r="C331" i="91"/>
  <c r="D522" i="91"/>
  <c r="D296" i="91"/>
  <c r="D75" i="91"/>
  <c r="D356" i="91"/>
  <c r="C62" i="91"/>
  <c r="C255" i="91"/>
  <c r="D471" i="91"/>
  <c r="C212" i="91"/>
  <c r="D76" i="91"/>
  <c r="C337" i="91"/>
  <c r="C147" i="91"/>
  <c r="C264" i="91"/>
  <c r="D69" i="91"/>
  <c r="C189" i="91"/>
  <c r="C282" i="91"/>
  <c r="D87" i="91"/>
  <c r="C722" i="91"/>
  <c r="C992" i="91"/>
  <c r="C1204" i="91"/>
  <c r="D1089" i="91"/>
  <c r="D706" i="91"/>
  <c r="C1152" i="91"/>
  <c r="C632" i="91"/>
  <c r="D631" i="91"/>
  <c r="D864" i="91"/>
  <c r="D1249" i="91"/>
  <c r="D1192" i="91"/>
  <c r="C1081" i="91"/>
  <c r="D1118" i="91"/>
  <c r="C1099" i="91"/>
  <c r="C33" i="94"/>
  <c r="W2" i="91"/>
  <c r="M3" i="91" s="1"/>
  <c r="N3" i="91" s="1"/>
  <c r="O3" i="91" s="1"/>
  <c r="P3" i="91" s="1"/>
  <c r="Q3" i="91" s="1"/>
  <c r="R3" i="91" s="1"/>
  <c r="S3" i="91" s="1"/>
  <c r="T3" i="91" s="1"/>
  <c r="U3" i="91" s="1"/>
  <c r="V3" i="91" s="1"/>
  <c r="N162" i="4"/>
  <c r="M15" i="94"/>
  <c r="M19" i="94" s="1"/>
  <c r="J15" i="94"/>
  <c r="CB52" i="63"/>
  <c r="K20" i="94"/>
  <c r="N22" i="93"/>
  <c r="C30" i="94" s="1"/>
  <c r="M111" i="63"/>
  <c r="N134" i="4"/>
  <c r="I14" i="19" s="1"/>
  <c r="D13" i="93"/>
  <c r="J13" i="93" s="1"/>
  <c r="Q13" i="93" s="1"/>
  <c r="X13" i="93" s="1"/>
  <c r="J111" i="63"/>
  <c r="H111" i="63"/>
  <c r="G111" i="63"/>
  <c r="N290" i="4"/>
  <c r="S36" i="93"/>
  <c r="E111" i="63"/>
  <c r="G25" i="93"/>
  <c r="AD36" i="63"/>
  <c r="AH36" i="63"/>
  <c r="Z36" i="63"/>
  <c r="L168" i="69"/>
  <c r="G246" i="69"/>
  <c r="G250" i="69" s="1"/>
  <c r="G267" i="69"/>
  <c r="F280" i="69" s="1"/>
  <c r="F77" i="64"/>
  <c r="G82" i="64" s="1"/>
  <c r="B77" i="64"/>
  <c r="B82" i="64" s="1"/>
  <c r="D99" i="64"/>
  <c r="F99" i="64"/>
  <c r="E30" i="64"/>
  <c r="E38" i="64"/>
  <c r="AA13" i="64"/>
  <c r="Z13" i="64"/>
  <c r="X13" i="64"/>
  <c r="Y13" i="64"/>
  <c r="W13" i="64"/>
  <c r="D62" i="64"/>
  <c r="G99" i="64"/>
  <c r="E6" i="64"/>
  <c r="D115" i="64"/>
  <c r="H76" i="64"/>
  <c r="I76" i="64" s="1"/>
  <c r="J76" i="64" s="1"/>
  <c r="H86" i="64"/>
  <c r="P90" i="4" s="1"/>
  <c r="I20" i="94"/>
  <c r="E15" i="94"/>
  <c r="E19" i="94" s="1"/>
  <c r="C15" i="94"/>
  <c r="C84" i="69"/>
  <c r="B93" i="69" s="1"/>
  <c r="G83" i="69"/>
  <c r="J260" i="69"/>
  <c r="J271" i="69" s="1"/>
  <c r="I209" i="4"/>
  <c r="M165" i="4"/>
  <c r="N63" i="4"/>
  <c r="N254" i="4"/>
  <c r="O1" i="4"/>
  <c r="O63" i="4" s="1"/>
  <c r="N150" i="4"/>
  <c r="N226" i="4"/>
  <c r="AB115" i="4"/>
  <c r="AC102" i="4"/>
  <c r="N161" i="4"/>
  <c r="K161" i="4"/>
  <c r="H218" i="4"/>
  <c r="J173" i="4"/>
  <c r="J195" i="62"/>
  <c r="C113" i="94" s="1"/>
  <c r="L203" i="4"/>
  <c r="L211" i="4" s="1"/>
  <c r="G209" i="4"/>
  <c r="L162" i="4"/>
  <c r="H209" i="4"/>
  <c r="L165" i="4"/>
  <c r="K92" i="4"/>
  <c r="G195" i="62" s="1"/>
  <c r="I98" i="4"/>
  <c r="AC67" i="4"/>
  <c r="AB111" i="4" s="1"/>
  <c r="V39" i="54"/>
  <c r="D195" i="62"/>
  <c r="J92" i="4"/>
  <c r="F195" i="62" s="1"/>
  <c r="L161" i="4"/>
  <c r="H164" i="4"/>
  <c r="K241" i="4"/>
  <c r="L65" i="4"/>
  <c r="L290" i="4"/>
  <c r="H134" i="4"/>
  <c r="H291" i="4" s="1"/>
  <c r="I134" i="4"/>
  <c r="I291" i="4" s="1"/>
  <c r="F3" i="64"/>
  <c r="T18" i="64" s="1"/>
  <c r="L217" i="4"/>
  <c r="L216" i="4" s="1"/>
  <c r="K217" i="4"/>
  <c r="N238" i="4"/>
  <c r="M164" i="4"/>
  <c r="J164" i="4"/>
  <c r="L134" i="4"/>
  <c r="G14" i="19" s="1"/>
  <c r="H162" i="4"/>
  <c r="O238" i="4"/>
  <c r="M98" i="4"/>
  <c r="L98" i="4"/>
  <c r="O279" i="4"/>
  <c r="P279" i="4" s="1"/>
  <c r="Q279" i="4" s="1"/>
  <c r="R279" i="4" s="1"/>
  <c r="S279" i="4" s="1"/>
  <c r="T279" i="4" s="1"/>
  <c r="U279" i="4" s="1"/>
  <c r="A37" i="62"/>
  <c r="H19" i="62"/>
  <c r="H14" i="62"/>
  <c r="D159" i="69"/>
  <c r="AW36" i="63"/>
  <c r="BM16" i="63"/>
  <c r="BN16" i="63" s="1"/>
  <c r="BO16" i="63" s="1"/>
  <c r="BP16" i="63" s="1"/>
  <c r="AQ65" i="62" s="1"/>
  <c r="U31" i="93"/>
  <c r="G21" i="93"/>
  <c r="G28" i="93" s="1"/>
  <c r="F21" i="93"/>
  <c r="F28" i="93" s="1"/>
  <c r="D21" i="93"/>
  <c r="D28" i="93" s="1"/>
  <c r="C21" i="93"/>
  <c r="C28" i="93" s="1"/>
  <c r="N21" i="93"/>
  <c r="M21" i="93"/>
  <c r="U21" i="93"/>
  <c r="T21" i="93"/>
  <c r="M22" i="93"/>
  <c r="N41" i="93" s="1"/>
  <c r="U33" i="93"/>
  <c r="U28" i="93"/>
  <c r="U29" i="93" s="1"/>
  <c r="N18" i="93"/>
  <c r="C48" i="93"/>
  <c r="C17" i="93"/>
  <c r="D12" i="93"/>
  <c r="D49" i="93" s="1"/>
  <c r="CZ31" i="63"/>
  <c r="W33" i="63"/>
  <c r="W36" i="63"/>
  <c r="AI34" i="63"/>
  <c r="W34" i="63"/>
  <c r="BV10" i="63"/>
  <c r="BW10" i="63" s="1"/>
  <c r="BV35" i="63"/>
  <c r="BW16" i="63"/>
  <c r="BX16" i="63" s="1"/>
  <c r="BX10" i="63" s="1"/>
  <c r="AS64" i="62" s="1"/>
  <c r="AF8" i="62"/>
  <c r="AF13" i="62" s="1"/>
  <c r="AJ57" i="64"/>
  <c r="AN56" i="64"/>
  <c r="AK55" i="64"/>
  <c r="U15" i="62"/>
  <c r="U16" i="62" s="1"/>
  <c r="AJ56" i="64"/>
  <c r="W23" i="62"/>
  <c r="W24" i="62" s="1"/>
  <c r="AX25" i="63"/>
  <c r="BK76" i="63" s="1"/>
  <c r="AX61" i="63"/>
  <c r="BJ22" i="63"/>
  <c r="AX28" i="63"/>
  <c r="BF26" i="63"/>
  <c r="BK69" i="63"/>
  <c r="BL20" i="63"/>
  <c r="BK22" i="63"/>
  <c r="AY28" i="63"/>
  <c r="AY32" i="63"/>
  <c r="AK20" i="62" s="1"/>
  <c r="AU13" i="63"/>
  <c r="AI13" i="63"/>
  <c r="DA31" i="63"/>
  <c r="AL54" i="64"/>
  <c r="BD11" i="63"/>
  <c r="G158" i="69"/>
  <c r="G159" i="69" s="1"/>
  <c r="BL1" i="63"/>
  <c r="BK64" i="63"/>
  <c r="BB112" i="63"/>
  <c r="E158" i="69"/>
  <c r="F159" i="69" s="1"/>
  <c r="B221" i="4"/>
  <c r="BB12" i="63"/>
  <c r="BC11" i="63"/>
  <c r="BB11" i="63"/>
  <c r="BC71" i="63" s="1"/>
  <c r="DB31" i="63"/>
  <c r="AE34" i="63"/>
  <c r="AE33" i="63"/>
  <c r="AQ34" i="63"/>
  <c r="AE36" i="63"/>
  <c r="BJ38" i="63"/>
  <c r="BJ40" i="63" s="1"/>
  <c r="BJ77" i="63"/>
  <c r="BK70" i="63"/>
  <c r="M158" i="69"/>
  <c r="BK10" i="63"/>
  <c r="BK11" i="63" s="1"/>
  <c r="BL35" i="63"/>
  <c r="BM10" i="63"/>
  <c r="BN10" i="63" s="1"/>
  <c r="AP13" i="63"/>
  <c r="AD13" i="63"/>
  <c r="AF36" i="63"/>
  <c r="AG36" i="63"/>
  <c r="AM34" i="63"/>
  <c r="AM36" i="63"/>
  <c r="AM33" i="63"/>
  <c r="G334" i="69"/>
  <c r="Q13" i="63"/>
  <c r="AC13" i="63"/>
  <c r="BW27" i="63"/>
  <c r="BX29" i="63"/>
  <c r="BX27" i="63" s="1"/>
  <c r="DG31" i="63"/>
  <c r="AF20" i="62"/>
  <c r="AE8" i="62"/>
  <c r="AE13" i="62" s="1"/>
  <c r="CT31" i="63"/>
  <c r="AT36" i="63"/>
  <c r="AT33" i="63"/>
  <c r="AT34" i="63"/>
  <c r="DJ31" i="63"/>
  <c r="AG56" i="64"/>
  <c r="BM59" i="63"/>
  <c r="BL55" i="63"/>
  <c r="AW26" i="63"/>
  <c r="AK26" i="63"/>
  <c r="O6" i="66"/>
  <c r="O5" i="66" s="1"/>
  <c r="BG30" i="63"/>
  <c r="BG27" i="63"/>
  <c r="CS31" i="63"/>
  <c r="W162" i="69"/>
  <c r="W166" i="69" s="1"/>
  <c r="AU44" i="63"/>
  <c r="BK23" i="63"/>
  <c r="BL24" i="63" s="1"/>
  <c r="BJ25" i="63"/>
  <c r="BE35" i="63"/>
  <c r="BF11" i="63"/>
  <c r="CJ31" i="63"/>
  <c r="AN54" i="64"/>
  <c r="AC8" i="62"/>
  <c r="U26" i="63"/>
  <c r="AG26" i="63"/>
  <c r="BI29" i="63"/>
  <c r="BI27" i="63" s="1"/>
  <c r="I50" i="69" s="1"/>
  <c r="I162" i="69"/>
  <c r="I166" i="69" s="1"/>
  <c r="AS44" i="63"/>
  <c r="AG44" i="63"/>
  <c r="Z44" i="63"/>
  <c r="N44" i="63"/>
  <c r="Y56" i="63"/>
  <c r="C401" i="69"/>
  <c r="B166" i="69"/>
  <c r="BR11" i="63"/>
  <c r="BY52" i="63"/>
  <c r="BY50" i="63" s="1"/>
  <c r="CB11" i="63"/>
  <c r="CA35" i="63"/>
  <c r="M166" i="69"/>
  <c r="L111" i="63"/>
  <c r="BT50" i="63"/>
  <c r="BX52" i="63"/>
  <c r="U166" i="69"/>
  <c r="BA112" i="63"/>
  <c r="BJ110" i="63"/>
  <c r="E33" i="63"/>
  <c r="I111" i="63"/>
  <c r="M228" i="4"/>
  <c r="N228" i="4" s="1"/>
  <c r="O228" i="4" s="1"/>
  <c r="O233" i="4" s="1"/>
  <c r="BG35" i="63"/>
  <c r="F111" i="63"/>
  <c r="CD52" i="63"/>
  <c r="CA52" i="63"/>
  <c r="AX36" i="63"/>
  <c r="C111" i="63"/>
  <c r="BZ52" i="63"/>
  <c r="BZ50" i="63" s="1"/>
  <c r="J18" i="93"/>
  <c r="E23" i="64"/>
  <c r="V15" i="93"/>
  <c r="V18" i="93"/>
  <c r="C27" i="93"/>
  <c r="V20" i="93"/>
  <c r="O17" i="93"/>
  <c r="I15" i="93"/>
  <c r="P15" i="93" s="1"/>
  <c r="W15" i="93" s="1"/>
  <c r="K260" i="69"/>
  <c r="K271" i="69" s="1"/>
  <c r="AZ20" i="63"/>
  <c r="AZ25" i="63" s="1"/>
  <c r="AY61" i="63"/>
  <c r="AY18" i="63"/>
  <c r="BX76" i="63"/>
  <c r="BU35" i="63"/>
  <c r="CE14" i="63"/>
  <c r="BC7" i="63"/>
  <c r="BC21" i="63" s="1"/>
  <c r="CF16" i="63"/>
  <c r="CF14" i="63" s="1"/>
  <c r="CE10" i="63"/>
  <c r="BD35" i="63"/>
  <c r="BE11" i="63"/>
  <c r="BT98" i="63"/>
  <c r="L17" i="94"/>
  <c r="L21" i="94" s="1"/>
  <c r="J20" i="94"/>
  <c r="N15" i="94"/>
  <c r="J19" i="94" s="1"/>
  <c r="O15" i="94"/>
  <c r="G11" i="94" s="1"/>
  <c r="F15" i="94"/>
  <c r="F19" i="94" s="1"/>
  <c r="F20" i="94"/>
  <c r="E20" i="94"/>
  <c r="C20" i="94"/>
  <c r="L19" i="94"/>
  <c r="H15" i="94"/>
  <c r="G15" i="94"/>
  <c r="I17" i="94"/>
  <c r="I21" i="94" s="1"/>
  <c r="D15" i="94"/>
  <c r="H20" i="94"/>
  <c r="G82" i="69"/>
  <c r="F83" i="69"/>
  <c r="F84" i="69"/>
  <c r="E85" i="69"/>
  <c r="C95" i="69" s="1"/>
  <c r="B153" i="69"/>
  <c r="AB1" i="95"/>
  <c r="D83" i="69"/>
  <c r="C90" i="69" s="1"/>
  <c r="G86" i="69"/>
  <c r="F85" i="69"/>
  <c r="C86" i="69"/>
  <c r="B97" i="69" s="1"/>
  <c r="J47" i="64"/>
  <c r="F27" i="93"/>
  <c r="T25" i="93"/>
  <c r="T24" i="93"/>
  <c r="AE31" i="93"/>
  <c r="M16" i="93"/>
  <c r="M26" i="93" s="1"/>
  <c r="H18" i="93"/>
  <c r="C16" i="93"/>
  <c r="C26" i="93" s="1"/>
  <c r="H15" i="93"/>
  <c r="C25" i="93"/>
  <c r="AL124" i="62"/>
  <c r="AL122" i="62" s="1"/>
  <c r="AM122" i="62" s="1"/>
  <c r="AM124" i="62" s="1"/>
  <c r="B43" i="62"/>
  <c r="H277" i="62"/>
  <c r="AR46" i="62"/>
  <c r="F99" i="76"/>
  <c r="F260" i="69"/>
  <c r="F271" i="69" s="1"/>
  <c r="X21" i="67"/>
  <c r="X30" i="67" s="1"/>
  <c r="X39" i="67" s="1"/>
  <c r="F267" i="69"/>
  <c r="E280" i="69" s="1"/>
  <c r="B246" i="69"/>
  <c r="B250" i="69" s="1"/>
  <c r="X13" i="67"/>
  <c r="X22" i="67" s="1"/>
  <c r="X31" i="67" s="1"/>
  <c r="X40" i="67" s="1"/>
  <c r="F200" i="62"/>
  <c r="F148" i="62" s="1"/>
  <c r="AL49" i="62"/>
  <c r="AL57" i="62" s="1"/>
  <c r="AL93" i="62" s="1"/>
  <c r="AL95" i="62" s="1"/>
  <c r="AL96" i="62" s="1"/>
  <c r="AL97" i="62" s="1"/>
  <c r="D118" i="62"/>
  <c r="E118" i="62" s="1"/>
  <c r="AK50" i="62"/>
  <c r="G277" i="62"/>
  <c r="I277" i="62"/>
  <c r="J236" i="62"/>
  <c r="F297" i="62" s="1"/>
  <c r="H257" i="69"/>
  <c r="G43" i="62"/>
  <c r="G44" i="62" s="1"/>
  <c r="J276" i="62"/>
  <c r="J277" i="62" s="1"/>
  <c r="AH46" i="62"/>
  <c r="F24" i="69"/>
  <c r="B109" i="76"/>
  <c r="G14" i="62"/>
  <c r="J80" i="76"/>
  <c r="AV164" i="69"/>
  <c r="AG164" i="69"/>
  <c r="BF110" i="63"/>
  <c r="BL42" i="63"/>
  <c r="N24" i="93"/>
  <c r="O14" i="93"/>
  <c r="O20" i="93"/>
  <c r="I22" i="93"/>
  <c r="AE24" i="93"/>
  <c r="V12" i="93"/>
  <c r="AC3" i="93" s="1"/>
  <c r="C24" i="93"/>
  <c r="C43" i="93"/>
  <c r="O13" i="93"/>
  <c r="I18" i="93"/>
  <c r="H20" i="93"/>
  <c r="C49" i="93"/>
  <c r="U25" i="93"/>
  <c r="T27" i="93"/>
  <c r="I13" i="93"/>
  <c r="P13" i="93" s="1"/>
  <c r="C31" i="93"/>
  <c r="AE12" i="93"/>
  <c r="O19" i="93"/>
  <c r="M40" i="93"/>
  <c r="C45" i="93"/>
  <c r="C32" i="93"/>
  <c r="H19" i="93"/>
  <c r="N40" i="93"/>
  <c r="C10" i="93"/>
  <c r="O15" i="93"/>
  <c r="C44" i="93"/>
  <c r="U16" i="93"/>
  <c r="U26" i="93" s="1"/>
  <c r="M24" i="93"/>
  <c r="C46" i="93"/>
  <c r="V17" i="93"/>
  <c r="I20" i="93"/>
  <c r="AZ52" i="62"/>
  <c r="BA52" i="62" s="1"/>
  <c r="BB52" i="62" s="1"/>
  <c r="BC52" i="62" s="1"/>
  <c r="BD52" i="62" s="1"/>
  <c r="BE52" i="62" s="1"/>
  <c r="BF52" i="62" s="1"/>
  <c r="BG52" i="62" s="1"/>
  <c r="BH52" i="62" s="1"/>
  <c r="BI52" i="62" s="1"/>
  <c r="BJ52" i="62" s="1"/>
  <c r="BK52" i="62" s="1"/>
  <c r="BL52" i="62" s="1"/>
  <c r="BM52" i="62" s="1"/>
  <c r="BN52" i="62" s="1"/>
  <c r="BO52" i="62" s="1"/>
  <c r="BP52" i="62" s="1"/>
  <c r="BQ52" i="62" s="1"/>
  <c r="BR52" i="62" s="1"/>
  <c r="BS52" i="62" s="1"/>
  <c r="BT52" i="62" s="1"/>
  <c r="BU52" i="62" s="1"/>
  <c r="BV52" i="62" s="1"/>
  <c r="BW52" i="62" s="1"/>
  <c r="BX52" i="62" s="1"/>
  <c r="BY52" i="62" s="1"/>
  <c r="BZ52" i="62" s="1"/>
  <c r="CA52" i="62" s="1"/>
  <c r="CB52" i="62" s="1"/>
  <c r="CC52" i="62" s="1"/>
  <c r="CD52" i="62" s="1"/>
  <c r="CE52" i="62" s="1"/>
  <c r="CF52" i="62" s="1"/>
  <c r="CG52" i="62" s="1"/>
  <c r="CH52" i="62" s="1"/>
  <c r="CI52" i="62" s="1"/>
  <c r="CJ52" i="62" s="1"/>
  <c r="CK52" i="62" s="1"/>
  <c r="CL52" i="62" s="1"/>
  <c r="CM52" i="62" s="1"/>
  <c r="CN52" i="62" s="1"/>
  <c r="CO52" i="62" s="1"/>
  <c r="CP52" i="62" s="1"/>
  <c r="CQ52" i="62" s="1"/>
  <c r="CR52" i="62" s="1"/>
  <c r="CS52" i="62" s="1"/>
  <c r="CT52" i="62" s="1"/>
  <c r="CU52" i="62" s="1"/>
  <c r="CV52" i="62" s="1"/>
  <c r="CW52" i="62" s="1"/>
  <c r="CX52" i="62" s="1"/>
  <c r="CY52" i="62" s="1"/>
  <c r="CZ52" i="62" s="1"/>
  <c r="J159" i="62"/>
  <c r="G19" i="62"/>
  <c r="H22" i="62"/>
  <c r="H83" i="62" s="1"/>
  <c r="AK224" i="62"/>
  <c r="H74" i="62"/>
  <c r="H125" i="62"/>
  <c r="C258" i="69"/>
  <c r="C282" i="69" s="1"/>
  <c r="AF7" i="62"/>
  <c r="H99" i="76"/>
  <c r="AH7" i="62"/>
  <c r="AH35" i="62"/>
  <c r="E143" i="62"/>
  <c r="I297" i="4"/>
  <c r="I63" i="4"/>
  <c r="R1" i="39"/>
  <c r="I238" i="4"/>
  <c r="D86" i="69"/>
  <c r="C96" i="69" s="1"/>
  <c r="F86" i="69"/>
  <c r="G251" i="69"/>
  <c r="G253" i="69" s="1"/>
  <c r="H253" i="69" s="1"/>
  <c r="H252" i="69" s="1"/>
  <c r="H255" i="69" s="1"/>
  <c r="G283" i="69" s="1"/>
  <c r="D251" i="69"/>
  <c r="G252" i="69" s="1"/>
  <c r="F386" i="69"/>
  <c r="F82" i="69"/>
  <c r="C82" i="69"/>
  <c r="B89" i="69" s="1"/>
  <c r="E83" i="69"/>
  <c r="C91" i="69" s="1"/>
  <c r="E82" i="69"/>
  <c r="C89" i="69" s="1"/>
  <c r="C159" i="69"/>
  <c r="D85" i="69"/>
  <c r="C94" i="69" s="1"/>
  <c r="G84" i="69"/>
  <c r="C83" i="69"/>
  <c r="B91" i="69" s="1"/>
  <c r="AD34" i="69"/>
  <c r="Z34" i="69" s="1"/>
  <c r="CI59" i="63"/>
  <c r="CJ59" i="63" s="1"/>
  <c r="BV110" i="63"/>
  <c r="BK44" i="63"/>
  <c r="H63" i="4"/>
  <c r="H14" i="19"/>
  <c r="M291" i="4"/>
  <c r="P39" i="4"/>
  <c r="Q39" i="4" s="1"/>
  <c r="R39" i="4" s="1"/>
  <c r="S39" i="4" s="1"/>
  <c r="T39" i="4" s="1"/>
  <c r="U39" i="4" s="1"/>
  <c r="W39" i="4"/>
  <c r="H173" i="4"/>
  <c r="P276" i="4"/>
  <c r="Q276" i="4" s="1"/>
  <c r="A78" i="64"/>
  <c r="H161" i="4"/>
  <c r="J134" i="4"/>
  <c r="L150" i="4"/>
  <c r="I162" i="4"/>
  <c r="I226" i="4"/>
  <c r="J1" i="4"/>
  <c r="B195" i="62"/>
  <c r="J98" i="4"/>
  <c r="C195" i="62"/>
  <c r="K98" i="4"/>
  <c r="G194" i="62" s="1"/>
  <c r="J150" i="4"/>
  <c r="K162" i="4"/>
  <c r="I218" i="4"/>
  <c r="I164" i="4"/>
  <c r="K173" i="4"/>
  <c r="M173" i="4"/>
  <c r="H150" i="4"/>
  <c r="K150" i="4"/>
  <c r="G134" i="4"/>
  <c r="G291" i="4" s="1"/>
  <c r="I150" i="4"/>
  <c r="L173" i="4"/>
  <c r="G15" i="19"/>
  <c r="G16" i="19" s="1"/>
  <c r="M161" i="4"/>
  <c r="J162" i="4"/>
  <c r="M150" i="4"/>
  <c r="M162" i="4"/>
  <c r="J161" i="4"/>
  <c r="N164" i="4"/>
  <c r="E14" i="19"/>
  <c r="J291" i="4"/>
  <c r="M65" i="4"/>
  <c r="K240" i="4"/>
  <c r="I173" i="4"/>
  <c r="F5" i="64"/>
  <c r="H207" i="4"/>
  <c r="J207" i="4" s="1"/>
  <c r="K207" i="4" s="1"/>
  <c r="K209" i="4" s="1"/>
  <c r="H238" i="4"/>
  <c r="H204" i="4"/>
  <c r="H206" i="4"/>
  <c r="N173" i="4"/>
  <c r="H279" i="4"/>
  <c r="G279" i="4" s="1"/>
  <c r="F279" i="4" s="1"/>
  <c r="I65" i="4"/>
  <c r="M290" i="4"/>
  <c r="I161" i="4"/>
  <c r="L164" i="4"/>
  <c r="I165" i="4"/>
  <c r="H226" i="4"/>
  <c r="P40" i="4"/>
  <c r="Q40" i="4" s="1"/>
  <c r="R40" i="4" s="1"/>
  <c r="S40" i="4" s="1"/>
  <c r="T40" i="4" s="1"/>
  <c r="U40" i="4" s="1"/>
  <c r="H15" i="19"/>
  <c r="H205" i="4"/>
  <c r="G1" i="4"/>
  <c r="K242" i="4"/>
  <c r="E195" i="62"/>
  <c r="K164" i="4"/>
  <c r="H297" i="4"/>
  <c r="E196" i="4"/>
  <c r="J65" i="4"/>
  <c r="K291" i="4"/>
  <c r="M115" i="4"/>
  <c r="H11" i="19" s="1"/>
  <c r="E16" i="19"/>
  <c r="BA2" i="62"/>
  <c r="C22" i="62"/>
  <c r="C83" i="62" s="1"/>
  <c r="E267" i="69"/>
  <c r="D280" i="69" s="1"/>
  <c r="C24" i="69"/>
  <c r="C82" i="62"/>
  <c r="C87" i="62" s="1"/>
  <c r="B111" i="76"/>
  <c r="Q44" i="79"/>
  <c r="AK7" i="62"/>
  <c r="AL7" i="62"/>
  <c r="D14" i="62"/>
  <c r="F21" i="62"/>
  <c r="D43" i="62"/>
  <c r="D44" i="62" s="1"/>
  <c r="AM224" i="62"/>
  <c r="C269" i="69"/>
  <c r="H78" i="62"/>
  <c r="F14" i="62"/>
  <c r="H104" i="62"/>
  <c r="H106" i="62" s="1"/>
  <c r="H105" i="62" s="1"/>
  <c r="C5" i="94" s="1"/>
  <c r="H119" i="62"/>
  <c r="E260" i="69"/>
  <c r="E271" i="69" s="1"/>
  <c r="AO46" i="62"/>
  <c r="D9" i="62"/>
  <c r="AC7" i="62"/>
  <c r="F69" i="62"/>
  <c r="H103" i="62"/>
  <c r="D28" i="62"/>
  <c r="Z7" i="62"/>
  <c r="AM7" i="62"/>
  <c r="C117" i="76"/>
  <c r="H110" i="62"/>
  <c r="H221" i="62" s="1"/>
  <c r="E16" i="69" s="1"/>
  <c r="G4" i="66"/>
  <c r="G13" i="66" s="1"/>
  <c r="AG35" i="62"/>
  <c r="AE57" i="62"/>
  <c r="D116" i="62"/>
  <c r="E116" i="62" s="1"/>
  <c r="G63" i="62"/>
  <c r="G62" i="62"/>
  <c r="B88" i="62"/>
  <c r="B44" i="62"/>
  <c r="B70" i="62" s="1"/>
  <c r="C70" i="62" s="1"/>
  <c r="M71" i="4"/>
  <c r="H128" i="62"/>
  <c r="H193" i="62" s="1"/>
  <c r="F16" i="62"/>
  <c r="B7" i="62"/>
  <c r="H61" i="62"/>
  <c r="H157" i="62"/>
  <c r="I159" i="62" s="1"/>
  <c r="F143" i="62"/>
  <c r="G143" i="62"/>
  <c r="H67" i="62"/>
  <c r="H24" i="69"/>
  <c r="K31" i="76"/>
  <c r="K37" i="76" s="1"/>
  <c r="AB7" i="62"/>
  <c r="K74" i="4"/>
  <c r="K75" i="4" s="1"/>
  <c r="K196" i="4" s="1"/>
  <c r="AG57" i="62"/>
  <c r="H82" i="62"/>
  <c r="AI35" i="62"/>
  <c r="AE7" i="62"/>
  <c r="H43" i="62"/>
  <c r="H44" i="62" s="1"/>
  <c r="E19" i="62"/>
  <c r="G22" i="62"/>
  <c r="G83" i="62" s="1"/>
  <c r="D122" i="62"/>
  <c r="C99" i="76"/>
  <c r="C267" i="69"/>
  <c r="B28" i="62"/>
  <c r="B236" i="62" s="1"/>
  <c r="G69" i="62"/>
  <c r="B24" i="62"/>
  <c r="G125" i="62"/>
  <c r="D185" i="69" s="1"/>
  <c r="D194" i="69" s="1"/>
  <c r="G67" i="62"/>
  <c r="AI7" i="62"/>
  <c r="C260" i="69"/>
  <c r="B35" i="62"/>
  <c r="G82" i="62"/>
  <c r="E63" i="62"/>
  <c r="E62" i="62"/>
  <c r="F62" i="62"/>
  <c r="F19" i="62"/>
  <c r="D4" i="66"/>
  <c r="C35" i="62"/>
  <c r="C28" i="62"/>
  <c r="E24" i="62"/>
  <c r="F7" i="62"/>
  <c r="C7" i="62"/>
  <c r="E125" i="62"/>
  <c r="B185" i="69" s="1"/>
  <c r="B194" i="69" s="1"/>
  <c r="E103" i="62"/>
  <c r="C16" i="62"/>
  <c r="AD7" i="62"/>
  <c r="F43" i="62"/>
  <c r="F44" i="62" s="1"/>
  <c r="AR52" i="62"/>
  <c r="I207" i="69" s="1"/>
  <c r="F8" i="66"/>
  <c r="J12" i="66" s="1"/>
  <c r="J13" i="66" s="1"/>
  <c r="F28" i="62"/>
  <c r="E16" i="62"/>
  <c r="G78" i="62"/>
  <c r="C24" i="62"/>
  <c r="AN35" i="62"/>
  <c r="G144" i="62"/>
  <c r="AN46" i="62"/>
  <c r="F78" i="62"/>
  <c r="I67" i="4"/>
  <c r="I72" i="4" s="1"/>
  <c r="I307" i="4" s="1"/>
  <c r="E104" i="62"/>
  <c r="E106" i="62" s="1"/>
  <c r="E43" i="62"/>
  <c r="E44" i="62" s="1"/>
  <c r="AF57" i="62"/>
  <c r="I208" i="62"/>
  <c r="I222" i="62" s="1"/>
  <c r="F7" i="66"/>
  <c r="AR51" i="62"/>
  <c r="D246" i="69"/>
  <c r="D250" i="69" s="1"/>
  <c r="AO53" i="62"/>
  <c r="B105" i="76" s="1"/>
  <c r="F183" i="69"/>
  <c r="F193" i="69" s="1"/>
  <c r="E9" i="62"/>
  <c r="H69" i="62"/>
  <c r="C5" i="66"/>
  <c r="I127" i="62"/>
  <c r="D70" i="64"/>
  <c r="D71" i="64" s="1"/>
  <c r="C21" i="62"/>
  <c r="F150" i="62"/>
  <c r="AL46" i="62"/>
  <c r="H12" i="66"/>
  <c r="H10" i="66" s="1"/>
  <c r="F202" i="62"/>
  <c r="B21" i="62"/>
  <c r="F82" i="62"/>
  <c r="B82" i="62"/>
  <c r="B87" i="62" s="1"/>
  <c r="J67" i="4"/>
  <c r="B136" i="69"/>
  <c r="F204" i="62"/>
  <c r="AM35" i="62"/>
  <c r="C43" i="62"/>
  <c r="C44" i="62" s="1"/>
  <c r="F206" i="62"/>
  <c r="E28" i="62"/>
  <c r="E67" i="62"/>
  <c r="AA7" i="62"/>
  <c r="G153" i="62"/>
  <c r="E187" i="62"/>
  <c r="E188" i="62" s="1"/>
  <c r="F9" i="62"/>
  <c r="D47" i="62"/>
  <c r="AG7" i="62"/>
  <c r="E22" i="62"/>
  <c r="E83" i="62" s="1"/>
  <c r="AK57" i="62"/>
  <c r="AK93" i="62" s="1"/>
  <c r="AK95" i="62" s="1"/>
  <c r="E82" i="62"/>
  <c r="P25" i="79" s="1"/>
  <c r="H153" i="62"/>
  <c r="F269" i="69"/>
  <c r="AM46" i="62"/>
  <c r="AJ117" i="62"/>
  <c r="AI117" i="62"/>
  <c r="E17" i="66"/>
  <c r="E10" i="66" s="1"/>
  <c r="B117" i="62"/>
  <c r="D117" i="62"/>
  <c r="AG117" i="62"/>
  <c r="AG130" i="62" s="1"/>
  <c r="AH117" i="62"/>
  <c r="AH130" i="62" s="1"/>
  <c r="H130" i="62"/>
  <c r="H131" i="62" s="1"/>
  <c r="G35" i="62"/>
  <c r="AH124" i="62"/>
  <c r="AI122" i="62"/>
  <c r="AI124" i="62" s="1"/>
  <c r="BB2" i="62"/>
  <c r="BF2" i="62" s="1"/>
  <c r="M74" i="4"/>
  <c r="AB72" i="4" s="1"/>
  <c r="I43" i="62"/>
  <c r="V150" i="62"/>
  <c r="U157" i="62"/>
  <c r="L75" i="4"/>
  <c r="L78" i="4" s="1"/>
  <c r="H143" i="62"/>
  <c r="H144" i="62"/>
  <c r="AJ44" i="62"/>
  <c r="H45" i="62" s="1"/>
  <c r="AZ2" i="62"/>
  <c r="AQ49" i="62"/>
  <c r="AR49" i="62" s="1"/>
  <c r="AR57" i="62" s="1"/>
  <c r="AR95" i="62" s="1"/>
  <c r="AP57" i="62"/>
  <c r="AP95" i="62" s="1"/>
  <c r="C63" i="62"/>
  <c r="D62" i="62"/>
  <c r="G206" i="62"/>
  <c r="AY2" i="62"/>
  <c r="E24" i="69"/>
  <c r="AJ7" i="62"/>
  <c r="B36" i="62"/>
  <c r="B39" i="62" s="1"/>
  <c r="D73" i="62"/>
  <c r="D82" i="62"/>
  <c r="C113" i="76"/>
  <c r="Y7" i="62"/>
  <c r="AN7" i="62"/>
  <c r="B95" i="76"/>
  <c r="B96" i="76" s="1"/>
  <c r="B99" i="76"/>
  <c r="G28" i="62"/>
  <c r="K67" i="4"/>
  <c r="G200" i="62"/>
  <c r="G148" i="62" s="1"/>
  <c r="G204" i="62"/>
  <c r="G202" i="62"/>
  <c r="G9" i="62"/>
  <c r="G16" i="62"/>
  <c r="G7" i="62"/>
  <c r="G21" i="62"/>
  <c r="G150" i="62"/>
  <c r="I71" i="4"/>
  <c r="C183" i="69"/>
  <c r="C193" i="69" s="1"/>
  <c r="F125" i="62"/>
  <c r="C185" i="69" s="1"/>
  <c r="C194" i="69" s="1"/>
  <c r="F122" i="62"/>
  <c r="D35" i="62"/>
  <c r="D86" i="62"/>
  <c r="AJ35" i="62"/>
  <c r="E37" i="62"/>
  <c r="E112" i="62"/>
  <c r="E221" i="62"/>
  <c r="B16" i="69" s="1"/>
  <c r="E86" i="62"/>
  <c r="H260" i="69"/>
  <c r="H271" i="69" s="1"/>
  <c r="G37" i="62"/>
  <c r="F22" i="62"/>
  <c r="F83" i="62" s="1"/>
  <c r="E73" i="62"/>
  <c r="H202" i="62"/>
  <c r="E78" i="62"/>
  <c r="F110" i="62"/>
  <c r="G122" i="62"/>
  <c r="I152" i="62"/>
  <c r="H246" i="69"/>
  <c r="H250" i="69" s="1"/>
  <c r="E21" i="62"/>
  <c r="H261" i="62"/>
  <c r="B103" i="69"/>
  <c r="D16" i="62"/>
  <c r="H206" i="62"/>
  <c r="H81" i="76"/>
  <c r="H244" i="62"/>
  <c r="H7" i="62"/>
  <c r="E35" i="62"/>
  <c r="E14" i="62"/>
  <c r="D22" i="62"/>
  <c r="D83" i="62" s="1"/>
  <c r="L71" i="4"/>
  <c r="E7" i="62"/>
  <c r="G86" i="62"/>
  <c r="H21" i="62"/>
  <c r="J73" i="4"/>
  <c r="J75" i="4" s="1"/>
  <c r="J196" i="4" s="1"/>
  <c r="D45" i="64"/>
  <c r="D41" i="64" s="1"/>
  <c r="D47" i="64" s="1"/>
  <c r="F67" i="62"/>
  <c r="AH49" i="62"/>
  <c r="AH57" i="62" s="1"/>
  <c r="G75" i="62"/>
  <c r="G74" i="62"/>
  <c r="G128" i="62"/>
  <c r="G193" i="62" s="1"/>
  <c r="E4" i="66"/>
  <c r="E7" i="66" s="1"/>
  <c r="H28" i="62"/>
  <c r="H182" i="62" s="1"/>
  <c r="D183" i="69"/>
  <c r="D193" i="69" s="1"/>
  <c r="H150" i="62"/>
  <c r="I150" i="62" s="1"/>
  <c r="D266" i="69"/>
  <c r="F103" i="62"/>
  <c r="H16" i="62"/>
  <c r="B116" i="62"/>
  <c r="H204" i="62"/>
  <c r="G103" i="62"/>
  <c r="AI45" i="62"/>
  <c r="AI46" i="62" s="1"/>
  <c r="D7" i="62"/>
  <c r="D21" i="62"/>
  <c r="H165" i="62"/>
  <c r="I45" i="62"/>
  <c r="L67" i="4"/>
  <c r="I258" i="62"/>
  <c r="F35" i="62"/>
  <c r="F96" i="76"/>
  <c r="F103" i="76" s="1"/>
  <c r="H200" i="62"/>
  <c r="H148" i="62" s="1"/>
  <c r="H9" i="62"/>
  <c r="AO122" i="62"/>
  <c r="I195" i="62"/>
  <c r="I96" i="62" s="1"/>
  <c r="Q84" i="4"/>
  <c r="R84" i="4" s="1"/>
  <c r="S84" i="4" s="1"/>
  <c r="AT122" i="62"/>
  <c r="AT50" i="62" s="1"/>
  <c r="BV43" i="63"/>
  <c r="CH47" i="63" s="1"/>
  <c r="BW41" i="63"/>
  <c r="H16" i="19"/>
  <c r="F16" i="19"/>
  <c r="I16" i="19"/>
  <c r="AH119" i="19"/>
  <c r="AH122" i="19" s="1"/>
  <c r="E269" i="69"/>
  <c r="G99" i="76"/>
  <c r="E258" i="69"/>
  <c r="N257" i="69" s="1"/>
  <c r="R44" i="79"/>
  <c r="S44" i="79"/>
  <c r="L260" i="69"/>
  <c r="L271" i="69" s="1"/>
  <c r="E96" i="76"/>
  <c r="B7" i="66"/>
  <c r="J71" i="4"/>
  <c r="T44" i="79"/>
  <c r="D269" i="69"/>
  <c r="C41" i="64"/>
  <c r="C47" i="64" s="1"/>
  <c r="D267" i="69"/>
  <c r="C280" i="69" s="1"/>
  <c r="C96" i="76"/>
  <c r="N75" i="4"/>
  <c r="N76" i="4" s="1"/>
  <c r="AC73" i="4" s="1"/>
  <c r="B41" i="64"/>
  <c r="B47" i="64" s="1"/>
  <c r="I75" i="4"/>
  <c r="D96" i="76"/>
  <c r="O31" i="76"/>
  <c r="O37" i="76" s="1"/>
  <c r="N69" i="4"/>
  <c r="AB69" i="4"/>
  <c r="X10" i="67"/>
  <c r="X20" i="67"/>
  <c r="X29" i="67" s="1"/>
  <c r="X38" i="67" s="1"/>
  <c r="K71" i="4"/>
  <c r="F258" i="69"/>
  <c r="B13" i="66"/>
  <c r="N72" i="4"/>
  <c r="C7" i="66"/>
  <c r="N71" i="4"/>
  <c r="M257" i="69"/>
  <c r="AC69" i="4"/>
  <c r="E99" i="76"/>
  <c r="B168" i="69"/>
  <c r="J166" i="69"/>
  <c r="K163" i="69"/>
  <c r="L163" i="69"/>
  <c r="K166" i="69"/>
  <c r="AK164" i="69"/>
  <c r="M163" i="69"/>
  <c r="E163" i="69"/>
  <c r="CD14" i="63"/>
  <c r="F391" i="69"/>
  <c r="I391" i="69" s="1"/>
  <c r="J391" i="69" s="1"/>
  <c r="Q168" i="69"/>
  <c r="O168" i="69"/>
  <c r="AB163" i="69"/>
  <c r="AE166" i="69"/>
  <c r="R163" i="69"/>
  <c r="U163" i="69"/>
  <c r="H166" i="69"/>
  <c r="AC163" i="69"/>
  <c r="AB166" i="69"/>
  <c r="D163" i="69"/>
  <c r="C163" i="69"/>
  <c r="B163" i="69" s="1"/>
  <c r="C166" i="69"/>
  <c r="P163" i="69"/>
  <c r="AA166" i="69"/>
  <c r="Q163" i="69"/>
  <c r="AC166" i="69"/>
  <c r="S163" i="69"/>
  <c r="P166" i="69"/>
  <c r="M168" i="69"/>
  <c r="F163" i="69"/>
  <c r="AD163" i="69"/>
  <c r="AF163" i="69"/>
  <c r="AZ56" i="62"/>
  <c r="BA56" i="62" s="1"/>
  <c r="BB56" i="62" s="1"/>
  <c r="BC56" i="62" s="1"/>
  <c r="BD56" i="62" s="1"/>
  <c r="BE56" i="62" s="1"/>
  <c r="BF56" i="62" s="1"/>
  <c r="BG56" i="62" s="1"/>
  <c r="BH56" i="62" s="1"/>
  <c r="BI56" i="62" s="1"/>
  <c r="BJ56" i="62" s="1"/>
  <c r="BK56" i="62" s="1"/>
  <c r="BL56" i="62" s="1"/>
  <c r="BM56" i="62" s="1"/>
  <c r="BN56" i="62" s="1"/>
  <c r="BO56" i="62" s="1"/>
  <c r="BP56" i="62" s="1"/>
  <c r="BQ56" i="62" s="1"/>
  <c r="BR56" i="62" s="1"/>
  <c r="BS56" i="62" s="1"/>
  <c r="BT56" i="62" s="1"/>
  <c r="BU56" i="62" s="1"/>
  <c r="BV56" i="62" s="1"/>
  <c r="BW56" i="62" s="1"/>
  <c r="BX56" i="62" s="1"/>
  <c r="BY56" i="62" s="1"/>
  <c r="BZ56" i="62" s="1"/>
  <c r="CA56" i="62" s="1"/>
  <c r="CB56" i="62" s="1"/>
  <c r="CC56" i="62" s="1"/>
  <c r="CD56" i="62" s="1"/>
  <c r="CE56" i="62" s="1"/>
  <c r="CF56" i="62" s="1"/>
  <c r="CG56" i="62" s="1"/>
  <c r="CH56" i="62" s="1"/>
  <c r="CI56" i="62" s="1"/>
  <c r="CJ56" i="62" s="1"/>
  <c r="CK56" i="62" s="1"/>
  <c r="CL56" i="62" s="1"/>
  <c r="CM56" i="62" s="1"/>
  <c r="CN56" i="62" s="1"/>
  <c r="CO56" i="62" s="1"/>
  <c r="CP56" i="62" s="1"/>
  <c r="CQ56" i="62" s="1"/>
  <c r="CR56" i="62" s="1"/>
  <c r="CS56" i="62" s="1"/>
  <c r="CT56" i="62" s="1"/>
  <c r="CU56" i="62" s="1"/>
  <c r="CV56" i="62" s="1"/>
  <c r="CW56" i="62" s="1"/>
  <c r="CX56" i="62" s="1"/>
  <c r="CY56" i="62" s="1"/>
  <c r="CZ56" i="62" s="1"/>
  <c r="AC78" i="4"/>
  <c r="N43" i="67"/>
  <c r="M43" i="67" s="1"/>
  <c r="L43" i="67" s="1"/>
  <c r="P43" i="67"/>
  <c r="Q43" i="67" s="1"/>
  <c r="R43" i="67" s="1"/>
  <c r="S43" i="67" s="1"/>
  <c r="T43" i="67" s="1"/>
  <c r="G166" i="69"/>
  <c r="H163" i="69"/>
  <c r="G163" i="69"/>
  <c r="F168" i="69"/>
  <c r="AD166" i="69"/>
  <c r="BG38" i="63"/>
  <c r="BG40" i="63" s="1"/>
  <c r="F166" i="69"/>
  <c r="AE163" i="69"/>
  <c r="V166" i="69"/>
  <c r="T163" i="69"/>
  <c r="V163" i="69"/>
  <c r="Z163" i="69"/>
  <c r="Z166" i="69"/>
  <c r="X166" i="69"/>
  <c r="AA163" i="69"/>
  <c r="O163" i="69"/>
  <c r="AH164" i="69"/>
  <c r="N166" i="69"/>
  <c r="N163" i="69"/>
  <c r="BH41" i="63"/>
  <c r="AI164" i="69" s="1"/>
  <c r="BF40" i="63"/>
  <c r="Y163" i="69"/>
  <c r="J85" i="64"/>
  <c r="R88" i="4" s="1"/>
  <c r="Z985" i="95"/>
  <c r="Z841" i="95"/>
  <c r="Z933" i="95"/>
  <c r="Z215" i="95"/>
  <c r="Z126" i="95"/>
  <c r="Z926" i="95"/>
  <c r="Z1780" i="95"/>
  <c r="Z58" i="95"/>
  <c r="Z687" i="95"/>
  <c r="Z1067" i="95"/>
  <c r="Z587" i="95"/>
  <c r="Z1128" i="95"/>
  <c r="Z531" i="95"/>
  <c r="Z923" i="95"/>
  <c r="Z570" i="95"/>
  <c r="Z1136" i="95"/>
  <c r="Z200" i="95"/>
  <c r="Z829" i="95"/>
  <c r="Z875" i="95"/>
  <c r="Z370" i="95"/>
  <c r="Z601" i="95"/>
  <c r="Z733" i="95"/>
  <c r="Z375" i="95"/>
  <c r="Z298" i="95"/>
  <c r="Z999" i="95"/>
  <c r="Z673" i="95"/>
  <c r="Z447" i="95"/>
  <c r="Z1005" i="95"/>
  <c r="Z1569" i="95"/>
  <c r="Z469" i="95"/>
  <c r="Z855" i="95"/>
  <c r="Z517" i="95"/>
  <c r="Z301" i="95"/>
  <c r="Z731" i="95"/>
  <c r="Z221" i="95"/>
  <c r="Z1045" i="95"/>
  <c r="Z122" i="95"/>
  <c r="Z75" i="95"/>
  <c r="Z873" i="95"/>
  <c r="Z848" i="95"/>
  <c r="Z1327" i="95"/>
  <c r="Z275" i="95"/>
  <c r="Z950" i="95"/>
  <c r="Z729" i="95"/>
  <c r="Z90" i="95"/>
  <c r="Z728" i="95"/>
  <c r="Z699" i="95"/>
  <c r="Z217" i="95"/>
  <c r="Z777" i="95"/>
  <c r="Z1354" i="95"/>
  <c r="J22" i="93"/>
  <c r="G27" i="93"/>
  <c r="H22" i="93"/>
  <c r="J20" i="93"/>
  <c r="Q20" i="93" s="1"/>
  <c r="X20" i="93" s="1"/>
  <c r="J19" i="93"/>
  <c r="Q19" i="93" s="1"/>
  <c r="X19" i="93" s="1"/>
  <c r="H13" i="93"/>
  <c r="G16" i="93"/>
  <c r="G26" i="93" s="1"/>
  <c r="G24" i="93"/>
  <c r="I19" i="93"/>
  <c r="P19" i="93" s="1"/>
  <c r="H17" i="93"/>
  <c r="F24" i="93"/>
  <c r="M25" i="93"/>
  <c r="T31" i="93"/>
  <c r="E20" i="93"/>
  <c r="U27" i="93"/>
  <c r="E18" i="93"/>
  <c r="O12" i="93"/>
  <c r="V14" i="93"/>
  <c r="V22" i="93"/>
  <c r="AC5" i="93" s="1"/>
  <c r="E19" i="93"/>
  <c r="J17" i="93"/>
  <c r="H12" i="93"/>
  <c r="T33" i="93"/>
  <c r="I12" i="93"/>
  <c r="H14" i="93"/>
  <c r="N25" i="93"/>
  <c r="J15" i="93"/>
  <c r="T16" i="93"/>
  <c r="U24" i="93"/>
  <c r="E22" i="93"/>
  <c r="N16" i="93"/>
  <c r="N26" i="93" s="1"/>
  <c r="Z119" i="95"/>
  <c r="Z358" i="95"/>
  <c r="Z621" i="95"/>
  <c r="Z719" i="95"/>
  <c r="Z62" i="95"/>
  <c r="Z1155" i="95"/>
  <c r="Z838" i="95"/>
  <c r="Z526" i="95"/>
  <c r="Z214" i="95"/>
  <c r="Z477" i="95"/>
  <c r="Z325" i="95"/>
  <c r="Z567" i="95"/>
  <c r="Z1819" i="95"/>
  <c r="Z1202" i="95"/>
  <c r="Z997" i="95"/>
  <c r="Z529" i="95"/>
  <c r="Z73" i="95"/>
  <c r="Z154" i="95"/>
  <c r="Z560" i="95"/>
  <c r="Z714" i="95"/>
  <c r="Z593" i="95"/>
  <c r="Z131" i="95"/>
  <c r="Z226" i="95"/>
  <c r="Z789" i="95"/>
  <c r="Z303" i="95"/>
  <c r="Z290" i="95"/>
  <c r="Z832" i="95"/>
  <c r="Z488" i="95"/>
  <c r="Z843" i="95"/>
  <c r="Z519" i="95"/>
  <c r="Z1070" i="95"/>
  <c r="Z445" i="95"/>
  <c r="Z1023" i="95"/>
  <c r="Z1574" i="95"/>
  <c r="AG163" i="69"/>
  <c r="AG166" i="69"/>
  <c r="I118" i="62"/>
  <c r="U118" i="62" s="1"/>
  <c r="AY154" i="62"/>
  <c r="CA110" i="63"/>
  <c r="BS11" i="63"/>
  <c r="BS10" i="63" s="1"/>
  <c r="BR35" i="63"/>
  <c r="BR36" i="63" s="1"/>
  <c r="AM54" i="64"/>
  <c r="L158" i="69"/>
  <c r="BQ98" i="63"/>
  <c r="K159" i="69"/>
  <c r="BJ75" i="63"/>
  <c r="BK75" i="63" s="1"/>
  <c r="AY25" i="63"/>
  <c r="A19" i="63"/>
  <c r="BI35" i="63"/>
  <c r="AY36" i="63"/>
  <c r="BL22" i="63"/>
  <c r="A17" i="63"/>
  <c r="BJ11" i="63"/>
  <c r="AK89" i="19"/>
  <c r="AL89" i="19" s="1"/>
  <c r="Z146" i="95"/>
  <c r="Z711" i="95"/>
  <c r="Z853" i="95"/>
  <c r="Z538" i="95"/>
  <c r="Z543" i="95"/>
  <c r="Z697" i="95"/>
  <c r="Z382" i="95"/>
  <c r="Z243" i="95"/>
  <c r="Z385" i="95"/>
  <c r="Z82" i="95"/>
  <c r="Z231" i="95"/>
  <c r="Z373" i="95"/>
  <c r="Z70" i="95"/>
  <c r="Z806" i="95"/>
  <c r="Z947" i="95"/>
  <c r="Z645" i="95"/>
  <c r="Z782" i="95"/>
  <c r="Z779" i="95"/>
  <c r="Z459" i="95"/>
  <c r="Z457" i="95"/>
  <c r="Z1029" i="95"/>
  <c r="Z159" i="95"/>
  <c r="Z157" i="95"/>
  <c r="Z441" i="95"/>
  <c r="Z494" i="95"/>
  <c r="Z566" i="95"/>
  <c r="Z992" i="95"/>
  <c r="Z378" i="95"/>
  <c r="Z471" i="95"/>
  <c r="Z414" i="95"/>
  <c r="Z127" i="95"/>
  <c r="Z952" i="95"/>
  <c r="Z418" i="95"/>
  <c r="Z1610" i="95"/>
  <c r="Z1548" i="95"/>
  <c r="Z392" i="95"/>
  <c r="Z197" i="95"/>
  <c r="Z1441" i="95"/>
  <c r="Z1716" i="95"/>
  <c r="Z821" i="95"/>
  <c r="Z437" i="95"/>
  <c r="Z273" i="95"/>
  <c r="Z555" i="95"/>
  <c r="Z709" i="95"/>
  <c r="Z394" i="95"/>
  <c r="Z399" i="95"/>
  <c r="Z541" i="95"/>
  <c r="Z94" i="95"/>
  <c r="Z99" i="95"/>
  <c r="Z241" i="95"/>
  <c r="Z957" i="95"/>
  <c r="Z87" i="95"/>
  <c r="Z229" i="95"/>
  <c r="Z945" i="95"/>
  <c r="Z662" i="95"/>
  <c r="Z803" i="95"/>
  <c r="Z501" i="95"/>
  <c r="Z626" i="95"/>
  <c r="Z491" i="95"/>
  <c r="Z315" i="95"/>
  <c r="Z313" i="95"/>
  <c r="Z885" i="95"/>
  <c r="Z1034" i="95"/>
  <c r="Z1031" i="95"/>
  <c r="Z297" i="95"/>
  <c r="Z351" i="95"/>
  <c r="Z1010" i="95"/>
  <c r="Z778" i="95"/>
  <c r="Z522" i="95"/>
  <c r="Z1047" i="95"/>
  <c r="Z558" i="95"/>
  <c r="Z559" i="95"/>
  <c r="Z145" i="95"/>
  <c r="Z1333" i="95"/>
  <c r="Z1776" i="95"/>
  <c r="Z402" i="95"/>
  <c r="Z1315" i="95"/>
  <c r="Z1297" i="95"/>
  <c r="Z1875" i="95"/>
  <c r="Z324" i="95"/>
  <c r="Z1270" i="95"/>
  <c r="Z705" i="95"/>
  <c r="Z411" i="95"/>
  <c r="Z553" i="95"/>
  <c r="Z250" i="95"/>
  <c r="Z255" i="95"/>
  <c r="Z253" i="95"/>
  <c r="Z969" i="95"/>
  <c r="Z974" i="95"/>
  <c r="Z97" i="95"/>
  <c r="Z813" i="95"/>
  <c r="Z962" i="95"/>
  <c r="Z85" i="95"/>
  <c r="Z801" i="95"/>
  <c r="Z506" i="95"/>
  <c r="Z659" i="95"/>
  <c r="Z357" i="95"/>
  <c r="Z338" i="95"/>
  <c r="Z203" i="95"/>
  <c r="Z171" i="95"/>
  <c r="Z169" i="95"/>
  <c r="Z741" i="95"/>
  <c r="Z890" i="95"/>
  <c r="Z887" i="95"/>
  <c r="Z153" i="95"/>
  <c r="Z735" i="95"/>
  <c r="Z423" i="95"/>
  <c r="Z954" i="95"/>
  <c r="Z102" i="95"/>
  <c r="Z990" i="95"/>
  <c r="Z922" i="95"/>
  <c r="Z633" i="95"/>
  <c r="Z112" i="95"/>
  <c r="Z653" i="95"/>
  <c r="Z1143" i="95"/>
  <c r="Z269" i="95"/>
  <c r="Z569" i="95"/>
  <c r="Z1342" i="95"/>
  <c r="Z1107" i="95"/>
  <c r="Z630" i="95"/>
  <c r="Z1694" i="95"/>
  <c r="Z986" i="95"/>
  <c r="Z818" i="95"/>
  <c r="Z69" i="95"/>
  <c r="Z1043" i="95"/>
  <c r="Z599" i="95"/>
  <c r="Z316" i="95"/>
  <c r="Z140" i="95"/>
  <c r="Z888" i="95"/>
  <c r="Z742" i="95"/>
  <c r="Z409" i="95"/>
  <c r="Z825" i="95"/>
  <c r="Z657" i="95"/>
  <c r="Z59" i="95"/>
  <c r="Z1378" i="95"/>
  <c r="Z1850" i="95"/>
  <c r="Z431" i="95"/>
  <c r="Z123" i="95"/>
  <c r="Z265" i="95"/>
  <c r="Z837" i="95"/>
  <c r="Z842" i="95"/>
  <c r="Z983" i="95"/>
  <c r="Z681" i="95"/>
  <c r="Z686" i="95"/>
  <c r="Z827" i="95"/>
  <c r="Z525" i="95"/>
  <c r="Z674" i="95"/>
  <c r="Z815" i="95"/>
  <c r="Z513" i="95"/>
  <c r="Z218" i="95"/>
  <c r="Z227" i="95"/>
  <c r="Z1071" i="95"/>
  <c r="Z925" i="95"/>
  <c r="Z466" i="95"/>
  <c r="Z902" i="95"/>
  <c r="Z899" i="95"/>
  <c r="Z453" i="95"/>
  <c r="Z590" i="95"/>
  <c r="Z455" i="95"/>
  <c r="Z460" i="95"/>
  <c r="Z328" i="95"/>
  <c r="Z716" i="95"/>
  <c r="Z1040" i="95"/>
  <c r="Z615" i="95"/>
  <c r="Z318" i="95"/>
  <c r="Z182" i="95"/>
  <c r="Z1234" i="95"/>
  <c r="Z1598" i="95"/>
  <c r="Z1758" i="95"/>
  <c r="Z380" i="95"/>
  <c r="Z149" i="95"/>
  <c r="Z1330" i="95"/>
  <c r="Z305" i="95"/>
  <c r="Z1804" i="95"/>
  <c r="Z550" i="95"/>
  <c r="Z830" i="95"/>
  <c r="Z194" i="95"/>
  <c r="Z176" i="95"/>
  <c r="Z1198" i="95"/>
  <c r="Z863" i="95"/>
  <c r="Z995" i="95"/>
  <c r="Z693" i="95"/>
  <c r="Z698" i="95"/>
  <c r="Z839" i="95"/>
  <c r="Z537" i="95"/>
  <c r="Z530" i="95"/>
  <c r="Z683" i="95"/>
  <c r="Z381" i="95"/>
  <c r="Z518" i="95"/>
  <c r="Z671" i="95"/>
  <c r="Z369" i="95"/>
  <c r="Z949" i="95"/>
  <c r="Z83" i="95"/>
  <c r="Z927" i="95"/>
  <c r="Z781" i="95"/>
  <c r="Z322" i="95"/>
  <c r="Z758" i="95"/>
  <c r="Z755" i="95"/>
  <c r="Z309" i="95"/>
  <c r="Z302" i="95"/>
  <c r="Z311" i="95"/>
  <c r="Z354" i="95"/>
  <c r="Z472" i="95"/>
  <c r="Z143" i="95"/>
  <c r="Z1004" i="95"/>
  <c r="Z770" i="95"/>
  <c r="Z915" i="95"/>
  <c r="Z80" i="95"/>
  <c r="Z1483" i="95"/>
  <c r="Z1465" i="95"/>
  <c r="Z1264" i="95"/>
  <c r="Z1886" i="95"/>
  <c r="Z1447" i="95"/>
  <c r="Z1186" i="95"/>
  <c r="Z906" i="95"/>
  <c r="Z1328" i="95"/>
  <c r="Z1429" i="95"/>
  <c r="Z998" i="95"/>
  <c r="Z277" i="95"/>
  <c r="Z717" i="95"/>
  <c r="Z710" i="95"/>
  <c r="Z851" i="95"/>
  <c r="Z549" i="95"/>
  <c r="Z542" i="95"/>
  <c r="Z695" i="95"/>
  <c r="Z393" i="95"/>
  <c r="Z386" i="95"/>
  <c r="Z539" i="95"/>
  <c r="Z237" i="95"/>
  <c r="Z374" i="95"/>
  <c r="Z527" i="95"/>
  <c r="Z81" i="95"/>
  <c r="Z805" i="95"/>
  <c r="Z490" i="95"/>
  <c r="Z627" i="95"/>
  <c r="Z625" i="95"/>
  <c r="Z178" i="95"/>
  <c r="Z602" i="95"/>
  <c r="Z611" i="95"/>
  <c r="Z165" i="95"/>
  <c r="Z158" i="95"/>
  <c r="Z167" i="95"/>
  <c r="Z366" i="95"/>
  <c r="Z421" i="95"/>
  <c r="Z183" i="95"/>
  <c r="Z162" i="95"/>
  <c r="Z656" i="95"/>
  <c r="Z892" i="95"/>
  <c r="Z1339" i="95"/>
  <c r="Z624" i="95"/>
  <c r="Z1131" i="95"/>
  <c r="Z1793" i="95"/>
  <c r="Z521" i="95"/>
  <c r="Z1146" i="95"/>
  <c r="Z257" i="95"/>
  <c r="Z1463" i="95"/>
  <c r="Z106" i="95"/>
  <c r="Z971" i="95"/>
  <c r="Z362" i="95"/>
  <c r="Z1046" i="95"/>
  <c r="Z746" i="95"/>
  <c r="Z759" i="95"/>
  <c r="Z534" i="95"/>
  <c r="Z479" i="95"/>
  <c r="Z1788" i="95"/>
  <c r="Z721" i="95"/>
  <c r="Z130" i="95"/>
  <c r="Z554" i="95"/>
  <c r="Z707" i="95"/>
  <c r="Z405" i="95"/>
  <c r="Z398" i="95"/>
  <c r="Z551" i="95"/>
  <c r="Z249" i="95"/>
  <c r="Z242" i="95"/>
  <c r="Z395" i="95"/>
  <c r="Z93" i="95"/>
  <c r="Z230" i="95"/>
  <c r="Z239" i="95"/>
  <c r="Z507" i="95"/>
  <c r="Z661" i="95"/>
  <c r="Z346" i="95"/>
  <c r="Z483" i="95"/>
  <c r="Z481" i="95"/>
  <c r="Z1053" i="95"/>
  <c r="Z458" i="95"/>
  <c r="Z467" i="95"/>
  <c r="Z1035" i="95"/>
  <c r="Z1033" i="95"/>
  <c r="Z430" i="95"/>
  <c r="Z429" i="95"/>
  <c r="Z654" i="95"/>
  <c r="Z1057" i="95"/>
  <c r="Z299" i="95"/>
  <c r="Z88" i="95"/>
  <c r="Z1026" i="95"/>
  <c r="Z1831" i="95"/>
  <c r="Z667" i="95"/>
  <c r="Z1222" i="95"/>
  <c r="Z859" i="95"/>
  <c r="Z1612" i="95"/>
  <c r="Z308" i="95"/>
  <c r="Z895" i="95"/>
  <c r="Z1225" i="95"/>
  <c r="Z1048" i="95"/>
  <c r="Z959" i="95"/>
  <c r="Z692" i="95"/>
  <c r="Z285" i="95"/>
  <c r="Z134" i="95"/>
  <c r="Z562" i="95"/>
  <c r="Z410" i="95"/>
  <c r="Z563" i="95"/>
  <c r="Z261" i="95"/>
  <c r="Z254" i="95"/>
  <c r="Z407" i="95"/>
  <c r="Z105" i="95"/>
  <c r="Z98" i="95"/>
  <c r="Z251" i="95"/>
  <c r="Z963" i="95"/>
  <c r="Z961" i="95"/>
  <c r="Z95" i="95"/>
  <c r="Z363" i="95"/>
  <c r="Z505" i="95"/>
  <c r="Z202" i="95"/>
  <c r="Z339" i="95"/>
  <c r="Z337" i="95"/>
  <c r="Z909" i="95"/>
  <c r="Z314" i="95"/>
  <c r="Z323" i="95"/>
  <c r="Z891" i="95"/>
  <c r="Z745" i="95"/>
  <c r="Z142" i="95"/>
  <c r="Z274" i="95"/>
  <c r="Z310" i="95"/>
  <c r="Z177" i="95"/>
  <c r="Z798" i="95"/>
  <c r="Z435" i="95"/>
  <c r="Z577" i="95"/>
  <c r="Z734" i="95"/>
  <c r="Z400" i="95"/>
  <c r="Z68" i="95"/>
  <c r="Z1692" i="95"/>
  <c r="Z740" i="95"/>
  <c r="Z245" i="95"/>
  <c r="Z1453" i="95"/>
  <c r="Z1288" i="95"/>
  <c r="Z330" i="95"/>
  <c r="Z1120" i="95"/>
  <c r="Z1180" i="95"/>
  <c r="Z267" i="95"/>
  <c r="Z109" i="95"/>
  <c r="Z669" i="95"/>
  <c r="Z515" i="95"/>
  <c r="Z597" i="95"/>
  <c r="Z568" i="95"/>
  <c r="Z443" i="95"/>
  <c r="Z124" i="95"/>
  <c r="Z266" i="95"/>
  <c r="Z419" i="95"/>
  <c r="Z117" i="95"/>
  <c r="Z110" i="95"/>
  <c r="Z263" i="95"/>
  <c r="Z831" i="95"/>
  <c r="Z973" i="95"/>
  <c r="Z107" i="95"/>
  <c r="Z675" i="95"/>
  <c r="Z817" i="95"/>
  <c r="Z502" i="95"/>
  <c r="Z219" i="95"/>
  <c r="Z361" i="95"/>
  <c r="Z1077" i="95"/>
  <c r="Z195" i="95"/>
  <c r="Z193" i="95"/>
  <c r="Z765" i="95"/>
  <c r="Z170" i="95"/>
  <c r="Z586" i="95"/>
  <c r="Z591" i="95"/>
  <c r="Z589" i="95"/>
  <c r="Z1017" i="95"/>
  <c r="Z155" i="95"/>
  <c r="Z1055" i="95"/>
  <c r="Z993" i="95"/>
  <c r="Z201" i="95"/>
  <c r="Z942" i="95"/>
  <c r="Z771" i="95"/>
  <c r="Z206" i="95"/>
  <c r="Z244" i="95"/>
  <c r="Z870" i="95"/>
  <c r="Z500" i="95"/>
  <c r="Z1790" i="95"/>
  <c r="Z474" i="95"/>
  <c r="Z1471" i="95"/>
  <c r="Z1309" i="95"/>
  <c r="Z1887" i="95"/>
  <c r="Z1814" i="95"/>
  <c r="Z1117" i="95"/>
  <c r="Z1199" i="95"/>
  <c r="Z749" i="95"/>
  <c r="Z802" i="95"/>
  <c r="Z1303" i="95"/>
  <c r="Z1737" i="95"/>
  <c r="Z1210" i="95"/>
  <c r="Z1806" i="95"/>
  <c r="Z1321" i="95"/>
  <c r="Z404" i="95"/>
  <c r="Z917" i="95"/>
  <c r="Z224" i="95"/>
  <c r="Z788" i="95"/>
  <c r="Z278" i="95"/>
  <c r="Z64" i="95"/>
  <c r="Z390" i="95"/>
  <c r="Z367" i="95"/>
  <c r="Z1022" i="95"/>
  <c r="Z67" i="95"/>
  <c r="Z349" i="95"/>
  <c r="Z210" i="95"/>
  <c r="Z1236" i="95"/>
  <c r="Z1845" i="95"/>
  <c r="Z1428" i="95"/>
  <c r="Z1404" i="95"/>
  <c r="Z545" i="95"/>
  <c r="Z342" i="95"/>
  <c r="Z1586" i="95"/>
  <c r="Z610" i="95"/>
  <c r="Z1384" i="95"/>
  <c r="Z293" i="95"/>
  <c r="Z706" i="95"/>
  <c r="Z939" i="95"/>
  <c r="Z412" i="95"/>
  <c r="Z726" i="95"/>
  <c r="Z332" i="95"/>
  <c r="Z511" i="95"/>
  <c r="Z493" i="95"/>
  <c r="Z810" i="95"/>
  <c r="Z222" i="95"/>
  <c r="Z938" i="95"/>
  <c r="Z191" i="95"/>
  <c r="Z1019" i="95"/>
  <c r="Z574" i="95"/>
  <c r="Z889" i="95"/>
  <c r="Z747" i="95"/>
  <c r="Z442" i="95"/>
  <c r="Z757" i="95"/>
  <c r="Z333" i="95"/>
  <c r="Z635" i="95"/>
  <c r="Z482" i="95"/>
  <c r="Z213" i="95"/>
  <c r="Z371" i="95"/>
  <c r="Z74" i="95"/>
  <c r="Z225" i="95"/>
  <c r="Z383" i="95"/>
  <c r="Z86" i="95"/>
  <c r="Z819" i="95"/>
  <c r="Z514" i="95"/>
  <c r="Z685" i="95"/>
  <c r="Z387" i="95"/>
  <c r="Z238" i="95"/>
  <c r="Z397" i="95"/>
  <c r="Z111" i="95"/>
  <c r="Z981" i="95"/>
  <c r="Z121" i="95"/>
  <c r="Z854" i="95"/>
  <c r="Z289" i="95"/>
  <c r="Z118" i="95"/>
  <c r="Z1095" i="95"/>
  <c r="Z1670" i="95"/>
  <c r="Z1285" i="95"/>
  <c r="Z680" i="95"/>
  <c r="Z1119" i="95"/>
  <c r="Z1459" i="95"/>
  <c r="Z1360" i="95"/>
  <c r="Z1366" i="95"/>
  <c r="Z718" i="95"/>
  <c r="Z1477" i="95"/>
  <c r="Z609" i="95"/>
  <c r="Z879" i="95"/>
  <c r="Z600" i="95"/>
  <c r="Z1140" i="95"/>
  <c r="Z1797" i="95"/>
  <c r="Z1480" i="95"/>
  <c r="Z1828" i="95"/>
  <c r="Z1798" i="95"/>
  <c r="Z977" i="95"/>
  <c r="Z1380" i="95"/>
  <c r="Z1413" i="95"/>
  <c r="Z439" i="95"/>
  <c r="Z287" i="95"/>
  <c r="Z1094" i="95"/>
  <c r="Z978" i="95"/>
  <c r="Z1594" i="95"/>
  <c r="Z1408" i="95"/>
  <c r="Z864" i="95"/>
  <c r="Z646" i="95"/>
  <c r="Z883" i="95"/>
  <c r="Z1706" i="95"/>
  <c r="Z1196" i="95"/>
  <c r="Z1272" i="95"/>
  <c r="Z762" i="95"/>
  <c r="Z928" i="95"/>
  <c r="Z676" i="95"/>
  <c r="Z912" i="95"/>
  <c r="Z1718" i="95"/>
  <c r="Z1220" i="95"/>
  <c r="Z1296" i="95"/>
  <c r="Z774" i="95"/>
  <c r="Z955" i="95"/>
  <c r="Z703" i="95"/>
  <c r="Z941" i="95"/>
  <c r="Z1730" i="95"/>
  <c r="Z1244" i="95"/>
  <c r="Z1320" i="95"/>
  <c r="Z786" i="95"/>
  <c r="Z984" i="95"/>
  <c r="Z732" i="95"/>
  <c r="Z970" i="95"/>
  <c r="Z1742" i="95"/>
  <c r="Z1268" i="95"/>
  <c r="Z1344" i="95"/>
  <c r="Z822" i="95"/>
  <c r="Z1013" i="95"/>
  <c r="Z761" i="95"/>
  <c r="Z1000" i="95"/>
  <c r="Z1754" i="95"/>
  <c r="Z1292" i="95"/>
  <c r="Z1368" i="95"/>
  <c r="Z512" i="95"/>
  <c r="Z424" i="95"/>
  <c r="Z753" i="95"/>
  <c r="Z356" i="95"/>
  <c r="Z268" i="95"/>
  <c r="Z139" i="95"/>
  <c r="Z903" i="95"/>
  <c r="Z1002" i="95"/>
  <c r="Z579" i="95"/>
  <c r="Z846" i="95"/>
  <c r="Z135" i="95"/>
  <c r="Z1058" i="95"/>
  <c r="Z1644" i="95"/>
  <c r="Z1462" i="95"/>
  <c r="Z1506" i="95"/>
  <c r="Z1564" i="95"/>
  <c r="Z1206" i="95"/>
  <c r="Z631" i="95"/>
  <c r="Z1764" i="95"/>
  <c r="Z1727" i="95"/>
  <c r="Z792" i="95"/>
  <c r="Z1721" i="95"/>
  <c r="Z824" i="95"/>
  <c r="Z348" i="95"/>
  <c r="Z650" i="95"/>
  <c r="Z1238" i="95"/>
  <c r="Z584" i="95"/>
  <c r="Z852" i="95"/>
  <c r="Z1653" i="95"/>
  <c r="Z468" i="95"/>
  <c r="Z991" i="95"/>
  <c r="Z1141" i="95"/>
  <c r="Z360" i="95"/>
  <c r="Z1470" i="95"/>
  <c r="Z1536" i="95"/>
  <c r="Z1074" i="95"/>
  <c r="Z1159" i="95"/>
  <c r="Z1020" i="95"/>
  <c r="Z1153" i="95"/>
  <c r="Z408" i="95"/>
  <c r="Z1492" i="95"/>
  <c r="Z1557" i="95"/>
  <c r="Z91" i="95"/>
  <c r="Z1171" i="95"/>
  <c r="Z1049" i="95"/>
  <c r="Z1165" i="95"/>
  <c r="Z456" i="95"/>
  <c r="Z1511" i="95"/>
  <c r="Z1578" i="95"/>
  <c r="Z103" i="95"/>
  <c r="Z1183" i="95"/>
  <c r="Z1078" i="95"/>
  <c r="Z1177" i="95"/>
  <c r="Z504" i="95"/>
  <c r="Z1532" i="95"/>
  <c r="Z1600" i="95"/>
  <c r="Z92" i="95"/>
  <c r="Z1195" i="95"/>
  <c r="Z1090" i="95"/>
  <c r="Z1189" i="95"/>
  <c r="Z552" i="95"/>
  <c r="Z1553" i="95"/>
  <c r="Z1619" i="95"/>
  <c r="Z937" i="95"/>
  <c r="Z368" i="95"/>
  <c r="Z280" i="95"/>
  <c r="Z212" i="95"/>
  <c r="Z100" i="95"/>
  <c r="Z1014" i="95"/>
  <c r="Z603" i="95"/>
  <c r="Z858" i="95"/>
  <c r="Z147" i="95"/>
  <c r="Z893" i="95"/>
  <c r="Z702" i="95"/>
  <c r="Z722" i="95"/>
  <c r="Z614" i="95"/>
  <c r="Z808" i="95"/>
  <c r="Z666" i="95"/>
  <c r="Z578" i="95"/>
  <c r="Z319" i="95"/>
  <c r="Z510" i="95"/>
  <c r="Z1021" i="95"/>
  <c r="Z1009" i="95"/>
  <c r="Z913" i="95"/>
  <c r="Z861" i="95"/>
  <c r="Z286" i="95"/>
  <c r="Z1185" i="95"/>
  <c r="Z1862" i="95"/>
  <c r="Z295" i="95"/>
  <c r="Z1423" i="95"/>
  <c r="Z163" i="95"/>
  <c r="Z708" i="95"/>
  <c r="Z1863" i="95"/>
  <c r="Z1148" i="95"/>
  <c r="Z1082" i="95"/>
  <c r="Z809" i="95"/>
  <c r="Z1386" i="95"/>
  <c r="Z1122" i="95"/>
  <c r="Z1405" i="95"/>
  <c r="Z1864" i="95"/>
  <c r="Z898" i="95"/>
  <c r="Z1474" i="95"/>
  <c r="Z1573" i="95"/>
  <c r="Z1251" i="95"/>
  <c r="Z1197" i="95"/>
  <c r="Z1300" i="95"/>
  <c r="Z1016" i="95"/>
  <c r="Z1591" i="95"/>
  <c r="Z1486" i="95"/>
  <c r="Z1585" i="95"/>
  <c r="Z1263" i="95"/>
  <c r="Z1221" i="95"/>
  <c r="Z1324" i="95"/>
  <c r="Z1028" i="95"/>
  <c r="Z1603" i="95"/>
  <c r="Z1498" i="95"/>
  <c r="Z1597" i="95"/>
  <c r="Z1275" i="95"/>
  <c r="Z1245" i="95"/>
  <c r="Z1348" i="95"/>
  <c r="Z175" i="95"/>
  <c r="Z1615" i="95"/>
  <c r="Z1510" i="95"/>
  <c r="Z1609" i="95"/>
  <c r="Z1287" i="95"/>
  <c r="Z1269" i="95"/>
  <c r="Z1372" i="95"/>
  <c r="Z223" i="95"/>
  <c r="Z1627" i="95"/>
  <c r="Z1522" i="95"/>
  <c r="Z1621" i="95"/>
  <c r="Z1299" i="95"/>
  <c r="Z1293" i="95"/>
  <c r="Z1396" i="95"/>
  <c r="Z1038" i="95"/>
  <c r="Z651" i="95"/>
  <c r="Z882" i="95"/>
  <c r="Z207" i="95"/>
  <c r="Z605" i="95"/>
  <c r="Z582" i="95"/>
  <c r="Z326" i="95"/>
  <c r="Z1052" i="95"/>
  <c r="Z426" i="95"/>
  <c r="Z613" i="95"/>
  <c r="Z896" i="95"/>
  <c r="Z270" i="95"/>
  <c r="Z935" i="95"/>
  <c r="Z246" i="95"/>
  <c r="Z791" i="95"/>
  <c r="Z860" i="95"/>
  <c r="Z234" i="95"/>
  <c r="Z767" i="95"/>
  <c r="Z704" i="95"/>
  <c r="Z78" i="95"/>
  <c r="Z71" i="95"/>
  <c r="Z66" i="95"/>
  <c r="Z598" i="95"/>
  <c r="Z623" i="95"/>
  <c r="Z1278" i="95"/>
  <c r="Z1340" i="95"/>
  <c r="Z1390" i="95"/>
  <c r="Z754" i="95"/>
  <c r="Z1253" i="95"/>
  <c r="Z1678" i="95"/>
  <c r="Z1115" i="95"/>
  <c r="Z1457" i="95"/>
  <c r="Z345" i="95"/>
  <c r="Z1514" i="95"/>
  <c r="Z811" i="95"/>
  <c r="Z1006" i="95"/>
  <c r="Z1123" i="95"/>
  <c r="Z1693" i="95"/>
  <c r="Z1432" i="95"/>
  <c r="Z1147" i="95"/>
  <c r="Z1618" i="95"/>
  <c r="Z1717" i="95"/>
  <c r="Z1395" i="95"/>
  <c r="Z1472" i="95"/>
  <c r="Z1559" i="95"/>
  <c r="Z1037" i="95"/>
  <c r="Z1735" i="95"/>
  <c r="Z1630" i="95"/>
  <c r="Z1729" i="95"/>
  <c r="Z1407" i="95"/>
  <c r="Z1493" i="95"/>
  <c r="Z1580" i="95"/>
  <c r="Z1066" i="95"/>
  <c r="Z1747" i="95"/>
  <c r="Z1642" i="95"/>
  <c r="Z1741" i="95"/>
  <c r="Z1419" i="95"/>
  <c r="Z1512" i="95"/>
  <c r="Z1601" i="95"/>
  <c r="Z1085" i="95"/>
  <c r="Z1759" i="95"/>
  <c r="Z1654" i="95"/>
  <c r="Z1753" i="95"/>
  <c r="Z1431" i="95"/>
  <c r="Z1533" i="95"/>
  <c r="Z1620" i="95"/>
  <c r="Z1097" i="95"/>
  <c r="Z1771" i="95"/>
  <c r="Z1666" i="95"/>
  <c r="Z1765" i="95"/>
  <c r="Z1443" i="95"/>
  <c r="Z1554" i="95"/>
  <c r="Z1641" i="95"/>
  <c r="Z894" i="95"/>
  <c r="Z279" i="95"/>
  <c r="Z979" i="95"/>
  <c r="Z738" i="95"/>
  <c r="Z794" i="95"/>
  <c r="Z1064" i="95"/>
  <c r="Z438" i="95"/>
  <c r="Z649" i="95"/>
  <c r="Z908" i="95"/>
  <c r="Z282" i="95"/>
  <c r="Z1007" i="95"/>
  <c r="Z752" i="95"/>
  <c r="Z1880" i="95"/>
  <c r="Z1571" i="95"/>
  <c r="Z312" i="95"/>
  <c r="Z1211" i="95"/>
  <c r="Z1688" i="95"/>
  <c r="Z1137" i="95"/>
  <c r="Z1482" i="95"/>
  <c r="Z478" i="95"/>
  <c r="Z1635" i="95"/>
  <c r="Z1015" i="95"/>
  <c r="Z1127" i="95"/>
  <c r="Z1411" i="95"/>
  <c r="Z1250" i="95"/>
  <c r="Z911" i="95"/>
  <c r="Z1435" i="95"/>
  <c r="Z1762" i="95"/>
  <c r="Z451" i="95"/>
  <c r="Z1539" i="95"/>
  <c r="Z1720" i="95"/>
  <c r="Z1794" i="95"/>
  <c r="Z1205" i="95"/>
  <c r="Z331" i="95"/>
  <c r="Z84" i="95"/>
  <c r="Z499" i="95"/>
  <c r="Z1551" i="95"/>
  <c r="Z1739" i="95"/>
  <c r="Z1808" i="95"/>
  <c r="Z1217" i="95"/>
  <c r="Z379" i="95"/>
  <c r="Z151" i="95"/>
  <c r="Z547" i="95"/>
  <c r="Z1563" i="95"/>
  <c r="Z1760" i="95"/>
  <c r="Z1820" i="95"/>
  <c r="Z1229" i="95"/>
  <c r="Z427" i="95"/>
  <c r="Z199" i="95"/>
  <c r="Z595" i="95"/>
  <c r="Z1575" i="95"/>
  <c r="Z1777" i="95"/>
  <c r="Z1832" i="95"/>
  <c r="Z1241" i="95"/>
  <c r="Z475" i="95"/>
  <c r="Z247" i="95"/>
  <c r="Z628" i="95"/>
  <c r="Z1587" i="95"/>
  <c r="Z1791" i="95"/>
  <c r="Z1008" i="95"/>
  <c r="Z750" i="95"/>
  <c r="Z866" i="95"/>
  <c r="Z634" i="95"/>
  <c r="Z594" i="95"/>
  <c r="Z350" i="95"/>
  <c r="Z920" i="95"/>
  <c r="Z294" i="95"/>
  <c r="Z61" i="95"/>
  <c r="Z764" i="95"/>
  <c r="Z138" i="95"/>
  <c r="Z335" i="95"/>
  <c r="Z608" i="95"/>
  <c r="Z520" i="95"/>
  <c r="Z190" i="95"/>
  <c r="Z496" i="95"/>
  <c r="Z1065" i="95"/>
  <c r="Z572" i="95"/>
  <c r="Z484" i="95"/>
  <c r="Z1041" i="95"/>
  <c r="Z416" i="95"/>
  <c r="Z108" i="95"/>
  <c r="Z820" i="95"/>
  <c r="Z874" i="95"/>
  <c r="Z1796" i="95"/>
  <c r="Z1073" i="95"/>
  <c r="Z1209" i="95"/>
  <c r="Z1289" i="95"/>
  <c r="Z604" i="95"/>
  <c r="Z384" i="95"/>
  <c r="Z1433" i="95"/>
  <c r="Z1699" i="95"/>
  <c r="Z1394" i="95"/>
  <c r="Z63" i="95"/>
  <c r="Z1723" i="95"/>
  <c r="Z619" i="95"/>
  <c r="Z857" i="95"/>
  <c r="Z1683" i="95"/>
  <c r="Z1312" i="95"/>
  <c r="Z129" i="95"/>
  <c r="Z1349" i="95"/>
  <c r="Z785" i="95"/>
  <c r="Z648" i="95"/>
  <c r="Z886" i="95"/>
  <c r="Z1695" i="95"/>
  <c r="Z1336" i="95"/>
  <c r="Z141" i="95"/>
  <c r="Z1361" i="95"/>
  <c r="Z814" i="95"/>
  <c r="Z677" i="95"/>
  <c r="Z916" i="95"/>
  <c r="Z1707" i="95"/>
  <c r="Z1487" i="95"/>
  <c r="Z489" i="95"/>
  <c r="Z1373" i="95"/>
  <c r="Z844" i="95"/>
  <c r="Z89" i="95"/>
  <c r="Z943" i="95"/>
  <c r="Z1719" i="95"/>
  <c r="Z1673" i="95"/>
  <c r="Z849" i="95"/>
  <c r="Z1385" i="95"/>
  <c r="Z871" i="95"/>
  <c r="Z156" i="95"/>
  <c r="Z972" i="95"/>
  <c r="Z1731" i="95"/>
  <c r="Z1838" i="95"/>
  <c r="Z724" i="95"/>
  <c r="Z664" i="95"/>
  <c r="Z606" i="95"/>
  <c r="Z422" i="95"/>
  <c r="Z1076" i="95"/>
  <c r="Z450" i="95"/>
  <c r="Z769" i="95"/>
  <c r="Z776" i="95"/>
  <c r="Z150" i="95"/>
  <c r="Z359" i="95"/>
  <c r="Z620" i="95"/>
  <c r="Z532" i="95"/>
  <c r="Z262" i="95"/>
  <c r="Z464" i="95"/>
  <c r="Z376" i="95"/>
  <c r="Z561" i="95"/>
  <c r="Z352" i="95"/>
  <c r="Z417" i="95"/>
  <c r="Z428" i="95"/>
  <c r="Z340" i="95"/>
  <c r="Z321" i="95"/>
  <c r="Z272" i="95"/>
  <c r="Z184" i="95"/>
  <c r="Z172" i="95"/>
  <c r="Z897" i="95"/>
  <c r="Z877" i="95"/>
  <c r="Z914" i="95"/>
  <c r="Z1358" i="95"/>
  <c r="Z730" i="95"/>
  <c r="Z1691" i="95"/>
  <c r="Z1392" i="95"/>
  <c r="Z415" i="95"/>
  <c r="Z276" i="95"/>
  <c r="Z1827" i="95"/>
  <c r="Z533" i="95"/>
  <c r="Z1200" i="95"/>
  <c r="Z432" i="95"/>
  <c r="Z264" i="95"/>
  <c r="Z220" i="95"/>
  <c r="Z1088" i="95"/>
  <c r="Z540" i="95"/>
  <c r="Z1130" i="95"/>
  <c r="Z1160" i="95"/>
  <c r="Z1223" i="95"/>
  <c r="Z181" i="95"/>
  <c r="Z516" i="95"/>
  <c r="Z1100" i="95"/>
  <c r="Z588" i="95"/>
  <c r="Z1142" i="95"/>
  <c r="Z1194" i="95"/>
  <c r="Z1247" i="95"/>
  <c r="Z205" i="95"/>
  <c r="Z564" i="95"/>
  <c r="Z1112" i="95"/>
  <c r="Z622" i="95"/>
  <c r="Z1154" i="95"/>
  <c r="Z1218" i="95"/>
  <c r="Z1271" i="95"/>
  <c r="Z565" i="95"/>
  <c r="Z607" i="95"/>
  <c r="Z72" i="95"/>
  <c r="Z652" i="95"/>
  <c r="Z1166" i="95"/>
  <c r="Z1242" i="95"/>
  <c r="Z1295" i="95"/>
  <c r="Z865" i="95"/>
  <c r="Z665" i="95"/>
  <c r="Z144" i="95"/>
  <c r="Z679" i="95"/>
  <c r="Z1178" i="95"/>
  <c r="Z1266" i="95"/>
  <c r="Z1319" i="95"/>
  <c r="Z1121" i="95"/>
  <c r="Z120" i="95"/>
  <c r="Z462" i="95"/>
  <c r="Z793" i="95"/>
  <c r="Z932" i="95"/>
  <c r="Z306" i="95"/>
  <c r="Z133" i="95"/>
  <c r="Z632" i="95"/>
  <c r="Z544" i="95"/>
  <c r="Z334" i="95"/>
  <c r="Z476" i="95"/>
  <c r="Z388" i="95"/>
  <c r="Z573" i="95"/>
  <c r="Z320" i="95"/>
  <c r="Z232" i="95"/>
  <c r="Z208" i="95"/>
  <c r="Z284" i="95"/>
  <c r="Z196" i="95"/>
  <c r="Z128" i="95"/>
  <c r="Z1011" i="95"/>
  <c r="Z987" i="95"/>
  <c r="Z465" i="95"/>
  <c r="Z433" i="95"/>
  <c r="Z585" i="95"/>
  <c r="Z743" i="95"/>
  <c r="Z446" i="95"/>
  <c r="Z160" i="95"/>
  <c r="Z179" i="95"/>
  <c r="Z901" i="95"/>
  <c r="Z189" i="95"/>
  <c r="Z347" i="95"/>
  <c r="Z1069" i="95"/>
  <c r="Z783" i="95"/>
  <c r="Z1633" i="95"/>
  <c r="Z1072" i="95"/>
  <c r="Z1445" i="95"/>
  <c r="Z1700" i="95"/>
  <c r="Z1050" i="95"/>
  <c r="Z641" i="95"/>
  <c r="Z1841" i="95"/>
  <c r="Z396" i="95"/>
  <c r="Z1722" i="95"/>
  <c r="Z845" i="95"/>
  <c r="Z1083" i="95"/>
  <c r="Z690" i="95"/>
  <c r="Z528" i="95"/>
  <c r="Z910" i="95"/>
  <c r="Z1274" i="95"/>
  <c r="Z1448" i="95"/>
  <c r="Z1494" i="95"/>
  <c r="Z291" i="95"/>
  <c r="Z924" i="95"/>
  <c r="Z576" i="95"/>
  <c r="Z940" i="95"/>
  <c r="Z1286" i="95"/>
  <c r="Z1469" i="95"/>
  <c r="Z1516" i="95"/>
  <c r="Z327" i="95"/>
  <c r="Z953" i="95"/>
  <c r="Z616" i="95"/>
  <c r="Z967" i="95"/>
  <c r="Z1298" i="95"/>
  <c r="Z1488" i="95"/>
  <c r="Z1535" i="95"/>
  <c r="Z495" i="95"/>
  <c r="Z982" i="95"/>
  <c r="Z643" i="95"/>
  <c r="Z996" i="95"/>
  <c r="Z1310" i="95"/>
  <c r="Z1509" i="95"/>
  <c r="Z1556" i="95"/>
  <c r="Z663" i="95"/>
  <c r="Z1012" i="95"/>
  <c r="Z672" i="95"/>
  <c r="Z1025" i="95"/>
  <c r="Z1322" i="95"/>
  <c r="Z1530" i="95"/>
  <c r="Z1577" i="95"/>
  <c r="Z452" i="95"/>
  <c r="Z944" i="95"/>
  <c r="Z1855" i="95"/>
  <c r="Z868" i="95"/>
  <c r="Z1156" i="95"/>
  <c r="Z1649" i="95"/>
  <c r="Z1521" i="95"/>
  <c r="Z1504" i="95"/>
  <c r="Z1213" i="95"/>
  <c r="Z148" i="95"/>
  <c r="Z988" i="95"/>
  <c r="Z1036" i="95"/>
  <c r="Z823" i="95"/>
  <c r="Z878" i="95"/>
  <c r="Z934" i="95"/>
  <c r="Z1371" i="95"/>
  <c r="Z1062" i="95"/>
  <c r="Z904" i="95"/>
  <c r="Z1152" i="95"/>
  <c r="Z1418" i="95"/>
  <c r="Z1696" i="95"/>
  <c r="Z1740" i="95"/>
  <c r="Z292" i="95"/>
  <c r="Z1158" i="95"/>
  <c r="Z931" i="95"/>
  <c r="Z1164" i="95"/>
  <c r="Z1430" i="95"/>
  <c r="Z1715" i="95"/>
  <c r="Z1761" i="95"/>
  <c r="Z304" i="95"/>
  <c r="Z1170" i="95"/>
  <c r="Z960" i="95"/>
  <c r="Z1176" i="95"/>
  <c r="Z1442" i="95"/>
  <c r="Z1736" i="95"/>
  <c r="Z1779" i="95"/>
  <c r="Z364" i="95"/>
  <c r="Z1182" i="95"/>
  <c r="Z989" i="95"/>
  <c r="Z1188" i="95"/>
  <c r="Z1454" i="95"/>
  <c r="Z1757" i="95"/>
  <c r="Z1792" i="95"/>
  <c r="Z436" i="95"/>
  <c r="Z60" i="95"/>
  <c r="Z1018" i="95"/>
  <c r="Z96" i="95"/>
  <c r="Z1466" i="95"/>
  <c r="Z1775" i="95"/>
  <c r="Z1805" i="95"/>
  <c r="Z498" i="95"/>
  <c r="Z800" i="95"/>
  <c r="Z174" i="95"/>
  <c r="Z503" i="95"/>
  <c r="Z644" i="95"/>
  <c r="Z556" i="95"/>
  <c r="Z406" i="95"/>
  <c r="Z344" i="95"/>
  <c r="Z256" i="95"/>
  <c r="Z188" i="95"/>
  <c r="Z76" i="95"/>
  <c r="Z115" i="95"/>
  <c r="Z867" i="95"/>
  <c r="Z795" i="95"/>
  <c r="Z79" i="95"/>
  <c r="Z1207" i="95"/>
  <c r="Z1733" i="95"/>
  <c r="Z1401" i="95"/>
  <c r="Z1256" i="95"/>
  <c r="Z461" i="95"/>
  <c r="Z1849" i="95"/>
  <c r="Z1233" i="95"/>
  <c r="Z209" i="95"/>
  <c r="Z1101" i="95"/>
  <c r="Z1854" i="95"/>
  <c r="Z797" i="95"/>
  <c r="Z136" i="95"/>
  <c r="Z1306" i="95"/>
  <c r="Z994" i="95"/>
  <c r="Z668" i="95"/>
  <c r="Z77" i="95"/>
  <c r="Z497" i="95"/>
  <c r="Z1562" i="95"/>
  <c r="Z1638" i="95"/>
  <c r="Z1883" i="95"/>
  <c r="Z1581" i="95"/>
  <c r="Z1572" i="95"/>
  <c r="Z1713" i="95"/>
  <c r="Z1822" i="95"/>
  <c r="Z1829" i="95"/>
  <c r="Z391" i="95"/>
  <c r="Z1239" i="95"/>
  <c r="Z1847" i="95"/>
  <c r="Z1415" i="95"/>
  <c r="Z684" i="95"/>
  <c r="Z486" i="95"/>
  <c r="Z1422" i="95"/>
  <c r="Z1230" i="95"/>
  <c r="Z1766" i="95"/>
  <c r="Z869" i="95"/>
  <c r="Z413" i="95"/>
  <c r="Z1391" i="95"/>
  <c r="Z881" i="95"/>
  <c r="Z1671" i="95"/>
  <c r="Z775" i="95"/>
  <c r="Z1781" i="95"/>
  <c r="Z1214" i="95"/>
  <c r="Z180" i="95"/>
  <c r="Z1672" i="95"/>
  <c r="Z1500" i="95"/>
  <c r="Z1816" i="95"/>
  <c r="Z1258" i="95"/>
  <c r="Z1567" i="95"/>
  <c r="Z1588" i="95"/>
  <c r="Z1416" i="95"/>
  <c r="Z946" i="95"/>
  <c r="Z1351" i="95"/>
  <c r="Z1770" i="95"/>
  <c r="Z1631" i="95"/>
  <c r="Z1705" i="95"/>
  <c r="Z1732" i="95"/>
  <c r="Z509" i="95"/>
  <c r="Z1833" i="95"/>
  <c r="Z1767" i="95"/>
  <c r="Z958" i="95"/>
  <c r="Z1801" i="95"/>
  <c r="Z1821" i="95"/>
  <c r="Z1755" i="95"/>
  <c r="Z929" i="95"/>
  <c r="Z228" i="95"/>
  <c r="Z271" i="95"/>
  <c r="Z836" i="95"/>
  <c r="Z723" i="95"/>
  <c r="Z930" i="95"/>
  <c r="Z1099" i="95"/>
  <c r="Z876" i="95"/>
  <c r="Z1093" i="95"/>
  <c r="Z168" i="95"/>
  <c r="Z1388" i="95"/>
  <c r="Z1456" i="95"/>
  <c r="Z236" i="95"/>
  <c r="Z1255" i="95"/>
  <c r="Z1150" i="95"/>
  <c r="Z1249" i="95"/>
  <c r="Z715" i="95"/>
  <c r="Z1655" i="95"/>
  <c r="Z1184" i="95"/>
  <c r="Z1134" i="95"/>
  <c r="Z1751" i="95"/>
  <c r="Z1398" i="95"/>
  <c r="Z1773" i="95"/>
  <c r="Z1604" i="95"/>
  <c r="Z660" i="95"/>
  <c r="Z1414" i="95"/>
  <c r="Z260" i="95"/>
  <c r="Z1648" i="95"/>
  <c r="Z1744" i="95"/>
  <c r="Z1501" i="95"/>
  <c r="Z1834" i="95"/>
  <c r="Z1096" i="95"/>
  <c r="Z1856" i="95"/>
  <c r="Z1334" i="95"/>
  <c r="Z694" i="95"/>
  <c r="Z1885" i="95"/>
  <c r="Z1784" i="95"/>
  <c r="Z1698" i="95"/>
  <c r="Z1750" i="95"/>
  <c r="Z727" i="95"/>
  <c r="Z1811" i="95"/>
  <c r="Z1173" i="95"/>
  <c r="Z211" i="95"/>
  <c r="Z647" i="95"/>
  <c r="Z1424" i="95"/>
  <c r="Z1232" i="95"/>
  <c r="Z1874" i="95"/>
  <c r="Z389" i="95"/>
  <c r="Z1331" i="95"/>
  <c r="Z1079" i="95"/>
  <c r="Z1622" i="95"/>
  <c r="Z425" i="95"/>
  <c r="Z1523" i="95"/>
  <c r="Z1434" i="95"/>
  <c r="Z1273" i="95"/>
  <c r="Z1625" i="95"/>
  <c r="Z1786" i="95"/>
  <c r="Z1624" i="95"/>
  <c r="Z1335" i="95"/>
  <c r="Z1663" i="95"/>
  <c r="Z1772" i="95"/>
  <c r="Z1602" i="95"/>
  <c r="Z1323" i="95"/>
  <c r="Z1651" i="95"/>
  <c r="Z463" i="95"/>
  <c r="Z104" i="95"/>
  <c r="Z918" i="95"/>
  <c r="Z1181" i="95"/>
  <c r="Z164" i="95"/>
  <c r="Z1243" i="95"/>
  <c r="Z1138" i="95"/>
  <c r="Z1237" i="95"/>
  <c r="Z688" i="95"/>
  <c r="Z1636" i="95"/>
  <c r="Z1701" i="95"/>
  <c r="Z548" i="95"/>
  <c r="Z1399" i="95"/>
  <c r="Z1294" i="95"/>
  <c r="Z1393" i="95"/>
  <c r="Z1061" i="95"/>
  <c r="Z1852" i="95"/>
  <c r="Z1216" i="95"/>
  <c r="Z956" i="95"/>
  <c r="Z1555" i="95"/>
  <c r="Z1450" i="95"/>
  <c r="Z1549" i="95"/>
  <c r="Z1227" i="95"/>
  <c r="Z1124" i="95"/>
  <c r="Z980" i="95"/>
  <c r="Z1579" i="95"/>
  <c r="Z1201" i="95"/>
  <c r="Z1478" i="95"/>
  <c r="Z900" i="95"/>
  <c r="Z1568" i="95"/>
  <c r="Z1871" i="95"/>
  <c r="Z1528" i="95"/>
  <c r="Z1352" i="95"/>
  <c r="Z1364" i="95"/>
  <c r="Z847" i="95"/>
  <c r="Z1400" i="95"/>
  <c r="Z1051" i="95"/>
  <c r="Z1056" i="95"/>
  <c r="Z1617" i="95"/>
  <c r="Z1835" i="95"/>
  <c r="Z1276" i="95"/>
  <c r="Z655" i="95"/>
  <c r="Z198" i="95"/>
  <c r="Z1712" i="95"/>
  <c r="Z1542" i="95"/>
  <c r="Z1876" i="95"/>
  <c r="Z1318" i="95"/>
  <c r="Z1584" i="95"/>
  <c r="Z1640" i="95"/>
  <c r="Z1369" i="95"/>
  <c r="Z1103" i="95"/>
  <c r="Z1869" i="95"/>
  <c r="Z1314" i="95"/>
  <c r="Z240" i="95"/>
  <c r="Z1826" i="95"/>
  <c r="Z1703" i="95"/>
  <c r="Z1190" i="95"/>
  <c r="Z1133" i="95"/>
  <c r="Z1257" i="95"/>
  <c r="Z1818" i="95"/>
  <c r="Z449" i="95"/>
  <c r="Z1224" i="95"/>
  <c r="Z1545" i="95"/>
  <c r="Z1374" i="95"/>
  <c r="Z658" i="95"/>
  <c r="Z1231" i="95"/>
  <c r="Z1524" i="95"/>
  <c r="Z1350" i="95"/>
  <c r="Z629" i="95"/>
  <c r="Z1219" i="95"/>
  <c r="Z152" i="95"/>
  <c r="Z448" i="95"/>
  <c r="Z951" i="95"/>
  <c r="Z596" i="95"/>
  <c r="Z536" i="95"/>
  <c r="Z1387" i="95"/>
  <c r="Z1282" i="95"/>
  <c r="Z1381" i="95"/>
  <c r="Z1032" i="95"/>
  <c r="Z1840" i="95"/>
  <c r="Z1879" i="95"/>
  <c r="Z884" i="95"/>
  <c r="Z1543" i="95"/>
  <c r="Z1438" i="95"/>
  <c r="Z1537" i="95"/>
  <c r="Z1215" i="95"/>
  <c r="Z1024" i="95"/>
  <c r="Z1228" i="95"/>
  <c r="Z1248" i="95"/>
  <c r="Z1734" i="95"/>
  <c r="Z1743" i="95"/>
  <c r="Z1534" i="95"/>
  <c r="Z1240" i="95"/>
  <c r="Z1260" i="95"/>
  <c r="Z365" i="95"/>
  <c r="Z1592" i="95"/>
  <c r="Z760" i="95"/>
  <c r="Z936" i="95"/>
  <c r="Z1473" i="95"/>
  <c r="Z1080" i="95"/>
  <c r="Z828" i="95"/>
  <c r="Z1626" i="95"/>
  <c r="Z1680" i="95"/>
  <c r="Z1489" i="95"/>
  <c r="Z1284" i="95"/>
  <c r="Z1464" i="95"/>
  <c r="Z1280" i="95"/>
  <c r="Z1161" i="95"/>
  <c r="Z617" i="95"/>
  <c r="Z1329" i="95"/>
  <c r="Z1878" i="95"/>
  <c r="Z739" i="95"/>
  <c r="Z1824" i="95"/>
  <c r="Z1685" i="95"/>
  <c r="Z1467" i="95"/>
  <c r="Z1795" i="95"/>
  <c r="Z1785" i="95"/>
  <c r="Z1063" i="95"/>
  <c r="Z101" i="95"/>
  <c r="Z1882" i="95"/>
  <c r="Z1168" i="95"/>
  <c r="Z492" i="95"/>
  <c r="Z1449" i="95"/>
  <c r="Z1283" i="95"/>
  <c r="Z736" i="95"/>
  <c r="Z1502" i="95"/>
  <c r="Z185" i="95"/>
  <c r="Z1259" i="95"/>
  <c r="Z317" i="95"/>
  <c r="Z1490" i="95"/>
  <c r="Z132" i="95"/>
  <c r="Z580" i="95"/>
  <c r="Z921" i="95"/>
  <c r="Z678" i="95"/>
  <c r="Z872" i="95"/>
  <c r="Z1531" i="95"/>
  <c r="Z1426" i="95"/>
  <c r="Z1525" i="95"/>
  <c r="Z1203" i="95"/>
  <c r="Z850" i="95"/>
  <c r="Z1204" i="95"/>
  <c r="Z720" i="95"/>
  <c r="Z1687" i="95"/>
  <c r="Z1582" i="95"/>
  <c r="Z1681" i="95"/>
  <c r="Z1359" i="95"/>
  <c r="Z1410" i="95"/>
  <c r="Z1497" i="95"/>
  <c r="Z1169" i="95"/>
  <c r="Z187" i="95"/>
  <c r="Z1738" i="95"/>
  <c r="Z355" i="95"/>
  <c r="Z1515" i="95"/>
  <c r="Z1677" i="95"/>
  <c r="Z1193" i="95"/>
  <c r="Z283" i="95"/>
  <c r="Z1461" i="95"/>
  <c r="Z1235" i="95"/>
  <c r="Z1809" i="95"/>
  <c r="Z1163" i="95"/>
  <c r="Z1884" i="95"/>
  <c r="Z1782" i="95"/>
  <c r="Z1623" i="95"/>
  <c r="Z612" i="95"/>
  <c r="Z1468" i="95"/>
  <c r="Z1810" i="95"/>
  <c r="Z1817" i="95"/>
  <c r="Z343" i="95"/>
  <c r="Z1135" i="95"/>
  <c r="Z1377" i="95"/>
  <c r="Z880" i="95"/>
  <c r="Z1027" i="95"/>
  <c r="Z1440" i="95"/>
  <c r="Z1187" i="95"/>
  <c r="Z557" i="95"/>
  <c r="Z1427" i="95"/>
  <c r="Z480" i="95"/>
  <c r="Z1756" i="95"/>
  <c r="Z1367" i="95"/>
  <c r="Z766" i="95"/>
  <c r="Z1607" i="95"/>
  <c r="Z1437" i="95"/>
  <c r="Z976" i="95"/>
  <c r="Z1363" i="95"/>
  <c r="Z1544" i="95"/>
  <c r="Z1496" i="95"/>
  <c r="Z1345" i="95"/>
  <c r="Z1837" i="95"/>
  <c r="Z1708" i="95"/>
  <c r="Z1451" i="95"/>
  <c r="Z1606" i="95"/>
  <c r="Z1129" i="95"/>
  <c r="Z1446" i="95"/>
  <c r="Z1662" i="95"/>
  <c r="Z1060" i="95"/>
  <c r="Z835" i="95"/>
  <c r="Z1108" i="95"/>
  <c r="Z1540" i="95"/>
  <c r="Z1030" i="95"/>
  <c r="Z524" i="95"/>
  <c r="Z454" i="95"/>
  <c r="Z1325" i="95"/>
  <c r="Z1068" i="95"/>
  <c r="Z691" i="95"/>
  <c r="Z1675" i="95"/>
  <c r="Z1570" i="95"/>
  <c r="Z1669" i="95"/>
  <c r="Z1347" i="95"/>
  <c r="Z1389" i="95"/>
  <c r="Z1476" i="95"/>
  <c r="Z1157" i="95"/>
  <c r="Z137" i="95"/>
  <c r="Z1726" i="95"/>
  <c r="Z307" i="95"/>
  <c r="Z1503" i="95"/>
  <c r="Z1656" i="95"/>
  <c r="Z1745" i="95"/>
  <c r="Z1313" i="95"/>
  <c r="Z700" i="95"/>
  <c r="Z535" i="95"/>
  <c r="Z799" i="95"/>
  <c r="Z1659" i="95"/>
  <c r="Z1865" i="95"/>
  <c r="Z1337" i="95"/>
  <c r="Z756" i="95"/>
  <c r="Z1317" i="95"/>
  <c r="Z1800" i="95"/>
  <c r="Z1529" i="95"/>
  <c r="Z1406" i="95"/>
  <c r="Z1710" i="95"/>
  <c r="Z1541" i="95"/>
  <c r="Z1191" i="95"/>
  <c r="Z1519" i="95"/>
  <c r="Z1752" i="95"/>
  <c r="Z1583" i="95"/>
  <c r="Z113" i="95"/>
  <c r="Z1402" i="95"/>
  <c r="Z763" i="95"/>
  <c r="Z1452" i="95"/>
  <c r="Z1054" i="95"/>
  <c r="Z1560" i="95"/>
  <c r="Z1848" i="95"/>
  <c r="Z1725" i="95"/>
  <c r="Z1527" i="95"/>
  <c r="Z235" i="95"/>
  <c r="Z1873" i="95"/>
  <c r="Z1769" i="95"/>
  <c r="Z1616" i="95"/>
  <c r="Z1702" i="95"/>
  <c r="Z1355" i="95"/>
  <c r="Z1139" i="95"/>
  <c r="Z1634" i="95"/>
  <c r="Z696" i="95"/>
  <c r="Z1281" i="95"/>
  <c r="Z1830" i="95"/>
  <c r="Z682" i="95"/>
  <c r="Z1484" i="95"/>
  <c r="Z1629" i="95"/>
  <c r="Z1460" i="95"/>
  <c r="Z1697" i="95"/>
  <c r="Z1174" i="95"/>
  <c r="Z1039" i="95"/>
  <c r="Z1749" i="95"/>
  <c r="Z1425" i="95"/>
  <c r="Z1657" i="95"/>
  <c r="Z1547" i="95"/>
  <c r="Z1728" i="95"/>
  <c r="Z1867" i="95"/>
  <c r="Z1645" i="95"/>
  <c r="Z968" i="95"/>
  <c r="Z1265" i="95"/>
  <c r="Z1145" i="95"/>
  <c r="Z65" i="95"/>
  <c r="Z1714" i="95"/>
  <c r="Z259" i="95"/>
  <c r="Z1491" i="95"/>
  <c r="Z1637" i="95"/>
  <c r="Z1724" i="95"/>
  <c r="Z1301" i="95"/>
  <c r="Z670" i="95"/>
  <c r="Z487" i="95"/>
  <c r="Z772" i="95"/>
  <c r="Z1647" i="95"/>
  <c r="Z1853" i="95"/>
  <c r="Z575" i="95"/>
  <c r="Z372" i="95"/>
  <c r="Z1044" i="95"/>
  <c r="Z444" i="95"/>
  <c r="Z1106" i="95"/>
  <c r="Z204" i="95"/>
  <c r="Z1709" i="95"/>
  <c r="Z1326" i="95"/>
  <c r="Z1789" i="95"/>
  <c r="Z1859" i="95"/>
  <c r="Z1436" i="95"/>
  <c r="Z713" i="95"/>
  <c r="Z546" i="95"/>
  <c r="Z1872" i="95"/>
  <c r="Z1768" i="95"/>
  <c r="Z1611" i="95"/>
  <c r="Z571" i="95"/>
  <c r="Z1485" i="95"/>
  <c r="Z1304" i="95"/>
  <c r="Z1316" i="95"/>
  <c r="Z790" i="95"/>
  <c r="Z948" i="95"/>
  <c r="Z1844" i="95"/>
  <c r="Z1262" i="95"/>
  <c r="Z420" i="95"/>
  <c r="Z1151" i="95"/>
  <c r="Z1881" i="95"/>
  <c r="Z1338" i="95"/>
  <c r="Z288" i="95"/>
  <c r="Z1565" i="95"/>
  <c r="Z1517" i="95"/>
  <c r="Z1357" i="95"/>
  <c r="Z1376" i="95"/>
  <c r="Z1650" i="95"/>
  <c r="Z1481" i="95"/>
  <c r="Z1803" i="95"/>
  <c r="Z1246" i="95"/>
  <c r="Z1877" i="95"/>
  <c r="Z1799" i="95"/>
  <c r="Z1643" i="95"/>
  <c r="Z1383" i="95"/>
  <c r="Z1711" i="95"/>
  <c r="Z1870" i="95"/>
  <c r="Z862" i="95"/>
  <c r="Z300" i="95"/>
  <c r="Z583" i="95"/>
  <c r="Z1858" i="95"/>
  <c r="Z689" i="95"/>
  <c r="Z252" i="95"/>
  <c r="Z116" i="95"/>
  <c r="Z807" i="95"/>
  <c r="Z470" i="95"/>
  <c r="Z780" i="95"/>
  <c r="Z336" i="95"/>
  <c r="Z796" i="95"/>
  <c r="Z1226" i="95"/>
  <c r="Z1362" i="95"/>
  <c r="Z1412" i="95"/>
  <c r="Z1059" i="95"/>
  <c r="Z1110" i="95"/>
  <c r="Z816" i="95"/>
  <c r="Z1116" i="95"/>
  <c r="Z1382" i="95"/>
  <c r="Z1632" i="95"/>
  <c r="Z1679" i="95"/>
  <c r="Z186" i="95"/>
  <c r="Z377" i="95"/>
  <c r="Z1125" i="95"/>
  <c r="Z401" i="95"/>
  <c r="Z1538" i="95"/>
  <c r="Z1851" i="95"/>
  <c r="Z258" i="95"/>
  <c r="Z473" i="95"/>
  <c r="Z173" i="95"/>
  <c r="Z440" i="95"/>
  <c r="Z1505" i="95"/>
  <c r="Z919" i="95"/>
  <c r="Z1667" i="95"/>
  <c r="Z1763" i="95"/>
  <c r="Z1513" i="95"/>
  <c r="Z1689" i="95"/>
  <c r="Z1520" i="95"/>
  <c r="Z1179" i="95"/>
  <c r="Z1507" i="95"/>
  <c r="Z1212" i="95"/>
  <c r="Z1590" i="95"/>
  <c r="Z1552" i="95"/>
  <c r="Z701" i="95"/>
  <c r="Z1823" i="95"/>
  <c r="Z1252" i="95"/>
  <c r="Z403" i="95"/>
  <c r="Z434" i="95"/>
  <c r="Z1836" i="95"/>
  <c r="Z1704" i="95"/>
  <c r="Z1479" i="95"/>
  <c r="Z1807" i="95"/>
  <c r="Z1305" i="95"/>
  <c r="Z1842" i="95"/>
  <c r="Z712" i="95"/>
  <c r="Z1843" i="95"/>
  <c r="Z1403" i="95"/>
  <c r="Z1208" i="95"/>
  <c r="Z1774" i="95"/>
  <c r="Z341" i="95"/>
  <c r="Z964" i="95"/>
  <c r="Z1566" i="95"/>
  <c r="Z1397" i="95"/>
  <c r="Z773" i="95"/>
  <c r="Z1279" i="95"/>
  <c r="Z1825" i="95"/>
  <c r="Z1686" i="95"/>
  <c r="Z1365" i="95"/>
  <c r="Z1558" i="95"/>
  <c r="Z1813" i="95"/>
  <c r="Z1665" i="95"/>
  <c r="Z1341" i="95"/>
  <c r="Z1546" i="95"/>
  <c r="Z508" i="95"/>
  <c r="Z1087" i="95"/>
  <c r="Z975" i="95"/>
  <c r="Z1098" i="95"/>
  <c r="Z787" i="95"/>
  <c r="Z1104" i="95"/>
  <c r="Z1370" i="95"/>
  <c r="Z1613" i="95"/>
  <c r="Z1660" i="95"/>
  <c r="Z114" i="95"/>
  <c r="Z329" i="95"/>
  <c r="Z1113" i="95"/>
  <c r="Z353" i="95"/>
  <c r="Z1526" i="95"/>
  <c r="Z1839" i="95"/>
  <c r="Z1866" i="95"/>
  <c r="Z642" i="95"/>
  <c r="Z840" i="95"/>
  <c r="Z581" i="95"/>
  <c r="Z826" i="95"/>
  <c r="Z1682" i="95"/>
  <c r="Z1846" i="95"/>
  <c r="Z1001" i="95"/>
  <c r="Z1639" i="95"/>
  <c r="Z1308" i="95"/>
  <c r="Z1421" i="95"/>
  <c r="Z1132" i="95"/>
  <c r="Z1081" i="95"/>
  <c r="Z804" i="95"/>
  <c r="Z1444" i="95"/>
  <c r="Z1254" i="95"/>
  <c r="Z1778" i="95"/>
  <c r="Z1042" i="95"/>
  <c r="Z1860" i="95"/>
  <c r="Z1746" i="95"/>
  <c r="Z1599" i="95"/>
  <c r="Z523" i="95"/>
  <c r="Z1605" i="95"/>
  <c r="Z1661" i="95"/>
  <c r="Z1417" i="95"/>
  <c r="Z1787" i="95"/>
  <c r="Z1628" i="95"/>
  <c r="Z1458" i="95"/>
  <c r="Z1003" i="95"/>
  <c r="Z1375" i="95"/>
  <c r="Z1508" i="95"/>
  <c r="Z1343" i="95"/>
  <c r="Z737" i="95"/>
  <c r="Z1674" i="95"/>
  <c r="Z965" i="95"/>
  <c r="Z1857" i="95"/>
  <c r="Z1290" i="95"/>
  <c r="Z192" i="95"/>
  <c r="Z1307" i="95"/>
  <c r="Z907" i="95"/>
  <c r="Z1550" i="95"/>
  <c r="Z233" i="95"/>
  <c r="Z1608" i="95"/>
  <c r="Z1439" i="95"/>
  <c r="Z1614" i="95"/>
  <c r="Z1126" i="95"/>
  <c r="Z1589" i="95"/>
  <c r="Z1420" i="95"/>
  <c r="Z1593" i="95"/>
  <c r="Z1114" i="95"/>
  <c r="Z166" i="95"/>
  <c r="Z1086" i="95"/>
  <c r="Z812" i="95"/>
  <c r="Z592" i="95"/>
  <c r="Z281" i="95"/>
  <c r="Z161" i="95"/>
  <c r="Z1518" i="95"/>
  <c r="Z1311" i="95"/>
  <c r="Z1102" i="95"/>
  <c r="Z1091" i="95"/>
  <c r="Z1596" i="95"/>
  <c r="Z1092" i="95"/>
  <c r="Z1302" i="95"/>
  <c r="Z1149" i="95"/>
  <c r="Z1868" i="95"/>
  <c r="Z1346" i="95"/>
  <c r="Z751" i="95"/>
  <c r="Z1668" i="95"/>
  <c r="Z1499" i="95"/>
  <c r="Z1167" i="95"/>
  <c r="Z1495" i="95"/>
  <c r="Z1353" i="95"/>
  <c r="Z1192" i="95"/>
  <c r="Z856" i="95"/>
  <c r="Z748" i="95"/>
  <c r="Z1379" i="95"/>
  <c r="Z1175" i="95"/>
  <c r="Z1646" i="95"/>
  <c r="Z725" i="95"/>
  <c r="Z1861" i="95"/>
  <c r="Z1748" i="95"/>
  <c r="Z1595" i="95"/>
  <c r="Z1690" i="95"/>
  <c r="Z1561" i="95"/>
  <c r="Z1812" i="95"/>
  <c r="Z1664" i="95"/>
  <c r="Z1455" i="95"/>
  <c r="Z1783" i="95"/>
  <c r="Z1652" i="95"/>
  <c r="Z1684" i="95"/>
  <c r="Z1118" i="95"/>
  <c r="Z1109" i="95"/>
  <c r="Z1356" i="95"/>
  <c r="Z1144" i="95"/>
  <c r="Z1815" i="95"/>
  <c r="Z1089" i="95"/>
  <c r="Z1332" i="95"/>
  <c r="Z1084" i="95"/>
  <c r="Z1802" i="95"/>
  <c r="Z1075" i="95"/>
  <c r="Z125" i="95"/>
  <c r="Z1277" i="95"/>
  <c r="Z834" i="95"/>
  <c r="Z618" i="95"/>
  <c r="Z784" i="95"/>
  <c r="Z485" i="95"/>
  <c r="Z768" i="95"/>
  <c r="Z1658" i="95"/>
  <c r="Z833" i="95"/>
  <c r="Z1172" i="95"/>
  <c r="Z966" i="95"/>
  <c r="Z1111" i="95"/>
  <c r="Z905" i="95"/>
  <c r="Z1105" i="95"/>
  <c r="Z216" i="95"/>
  <c r="Z1409" i="95"/>
  <c r="Z1475" i="95"/>
  <c r="Z248" i="95"/>
  <c r="Z1267" i="95"/>
  <c r="Z1162" i="95"/>
  <c r="Z1261" i="95"/>
  <c r="Z744" i="95"/>
  <c r="Z1676" i="95"/>
  <c r="Z296" i="95"/>
  <c r="Z1291" i="95"/>
  <c r="BD7" i="63" l="1"/>
  <c r="AZ32" i="63"/>
  <c r="M210" i="4"/>
  <c r="A160" i="62"/>
  <c r="A167" i="62" s="1"/>
  <c r="A57" i="63"/>
  <c r="A29" i="63" s="1"/>
  <c r="J159" i="69"/>
  <c r="I65" i="62"/>
  <c r="I234" i="62"/>
  <c r="G268" i="69" s="1"/>
  <c r="G269" i="69" s="1"/>
  <c r="B272" i="69" s="1"/>
  <c r="I168" i="62"/>
  <c r="M212" i="4"/>
  <c r="M240" i="4" s="1"/>
  <c r="AO18" i="62"/>
  <c r="BC20" i="63"/>
  <c r="D156" i="69" s="1"/>
  <c r="AY33" i="63"/>
  <c r="AL8" i="62"/>
  <c r="AL13" i="62" s="1"/>
  <c r="AP65" i="62"/>
  <c r="AS65" i="62"/>
  <c r="AL15" i="62"/>
  <c r="AL18" i="62" s="1"/>
  <c r="CB80" i="63"/>
  <c r="CA116" i="63"/>
  <c r="E45" i="64"/>
  <c r="I261" i="62"/>
  <c r="CM76" i="62"/>
  <c r="CY76" i="62"/>
  <c r="CN76" i="62"/>
  <c r="CZ76" i="62"/>
  <c r="CC76" i="62"/>
  <c r="CO76" i="62"/>
  <c r="CD76" i="62"/>
  <c r="CP76" i="62"/>
  <c r="CE76" i="62"/>
  <c r="CQ76" i="62"/>
  <c r="CF76" i="62"/>
  <c r="CR76" i="62"/>
  <c r="CG76" i="62"/>
  <c r="CS76" i="62"/>
  <c r="CH76" i="62"/>
  <c r="CT76" i="62"/>
  <c r="CI76" i="62"/>
  <c r="CU76" i="62"/>
  <c r="CJ76" i="62"/>
  <c r="CV76" i="62"/>
  <c r="CX76" i="62"/>
  <c r="CK76" i="62"/>
  <c r="CW76" i="62"/>
  <c r="CL76" i="62"/>
  <c r="CY64" i="62"/>
  <c r="CT64" i="62"/>
  <c r="CL64" i="62"/>
  <c r="CG64" i="62"/>
  <c r="CX64" i="62"/>
  <c r="CS64" i="62"/>
  <c r="CK64" i="62"/>
  <c r="CF64" i="62"/>
  <c r="CM64" i="62"/>
  <c r="CR64" i="62"/>
  <c r="CZ64" i="62"/>
  <c r="CW64" i="62"/>
  <c r="CE64" i="62"/>
  <c r="CC64" i="62"/>
  <c r="CH64" i="62"/>
  <c r="CJ64" i="62"/>
  <c r="CO64" i="62"/>
  <c r="CU64" i="62"/>
  <c r="CV64" i="62"/>
  <c r="CQ64" i="62"/>
  <c r="CN64" i="62"/>
  <c r="CI64" i="62"/>
  <c r="CD64" i="62"/>
  <c r="CP64" i="62"/>
  <c r="O168" i="62"/>
  <c r="N168" i="62"/>
  <c r="P168" i="62"/>
  <c r="Q168" i="62"/>
  <c r="O65" i="62"/>
  <c r="K42" i="64" s="1"/>
  <c r="P65" i="62"/>
  <c r="L42" i="64" s="1"/>
  <c r="Q65" i="62"/>
  <c r="M42" i="64" s="1"/>
  <c r="O77" i="62"/>
  <c r="K43" i="64" s="1"/>
  <c r="P77" i="62"/>
  <c r="L43" i="64" s="1"/>
  <c r="Q77" i="62"/>
  <c r="M43" i="64" s="1"/>
  <c r="I81" i="76"/>
  <c r="EY31" i="63"/>
  <c r="D31" i="93"/>
  <c r="O25" i="93"/>
  <c r="E14" i="93"/>
  <c r="F16" i="93"/>
  <c r="F25" i="93"/>
  <c r="H25" i="93" s="1"/>
  <c r="O24" i="93"/>
  <c r="O18" i="93"/>
  <c r="O26" i="93"/>
  <c r="J14" i="93"/>
  <c r="N27" i="93"/>
  <c r="AB24" i="93"/>
  <c r="H27" i="93"/>
  <c r="H24" i="93"/>
  <c r="D64" i="64"/>
  <c r="C64" i="64" s="1"/>
  <c r="D101" i="76"/>
  <c r="H91" i="62"/>
  <c r="H76" i="4"/>
  <c r="H171" i="62"/>
  <c r="R276" i="4"/>
  <c r="S276" i="4" s="1"/>
  <c r="T276" i="4" s="1"/>
  <c r="U276" i="4" s="1"/>
  <c r="T84" i="4"/>
  <c r="T20" i="64"/>
  <c r="AW1" i="62"/>
  <c r="AW31" i="62"/>
  <c r="AW30" i="62"/>
  <c r="AU1" i="62"/>
  <c r="AU31" i="62"/>
  <c r="AU65" i="62"/>
  <c r="AU30" i="62"/>
  <c r="BA1" i="62"/>
  <c r="AO97" i="62"/>
  <c r="G58" i="62"/>
  <c r="F58" i="62"/>
  <c r="F85" i="62"/>
  <c r="BJ2" i="62"/>
  <c r="AV1" i="62"/>
  <c r="AV31" i="62"/>
  <c r="K167" i="62" s="1"/>
  <c r="AV30" i="62"/>
  <c r="AC9" i="62"/>
  <c r="AC13" i="62"/>
  <c r="AX1" i="62"/>
  <c r="AX31" i="62"/>
  <c r="AX65" i="62"/>
  <c r="AX15" i="62"/>
  <c r="AX8" i="62"/>
  <c r="AX11" i="62"/>
  <c r="AX30" i="62"/>
  <c r="AX20" i="62"/>
  <c r="AX23" i="62"/>
  <c r="EZ18" i="63"/>
  <c r="FA18" i="63"/>
  <c r="ES18" i="63"/>
  <c r="ET18" i="63"/>
  <c r="EX18" i="63"/>
  <c r="EY18" i="63"/>
  <c r="FY63" i="63"/>
  <c r="BY312" i="62"/>
  <c r="BY51" i="62" s="1"/>
  <c r="BY304" i="62"/>
  <c r="BZ303" i="62"/>
  <c r="O297" i="4"/>
  <c r="H194" i="62"/>
  <c r="F77" i="4"/>
  <c r="B77" i="76"/>
  <c r="J82" i="64"/>
  <c r="L291" i="4"/>
  <c r="E82" i="64"/>
  <c r="H72" i="4"/>
  <c r="H307" i="4" s="1"/>
  <c r="I69" i="4"/>
  <c r="H126" i="62"/>
  <c r="I126" i="62" s="1"/>
  <c r="F259" i="69"/>
  <c r="H68" i="4"/>
  <c r="H317" i="4" s="1"/>
  <c r="D43" i="93"/>
  <c r="D27" i="93"/>
  <c r="E27" i="93" s="1"/>
  <c r="I21" i="93"/>
  <c r="I17" i="93"/>
  <c r="P17" i="93" s="1"/>
  <c r="C29" i="93"/>
  <c r="E29" i="93" s="1"/>
  <c r="D10" i="93"/>
  <c r="D25" i="93"/>
  <c r="E25" i="93" s="1"/>
  <c r="Q18" i="93"/>
  <c r="X18" i="93" s="1"/>
  <c r="E17" i="93"/>
  <c r="I19" i="94"/>
  <c r="M203" i="4"/>
  <c r="M211" i="4" s="1"/>
  <c r="E159" i="69"/>
  <c r="G90" i="76"/>
  <c r="H90" i="76"/>
  <c r="G97" i="76" s="1"/>
  <c r="K16" i="60"/>
  <c r="Q16" i="60"/>
  <c r="Q15" i="60"/>
  <c r="I30" i="60"/>
  <c r="W14" i="60"/>
  <c r="AC13" i="60"/>
  <c r="R16" i="60"/>
  <c r="R31" i="60" s="1"/>
  <c r="J31" i="60"/>
  <c r="I16" i="93"/>
  <c r="H22" i="60"/>
  <c r="I22" i="60"/>
  <c r="AE31" i="77"/>
  <c r="I24" i="77"/>
  <c r="E24" i="77"/>
  <c r="C27" i="77"/>
  <c r="AE24" i="77"/>
  <c r="C25" i="77"/>
  <c r="F27" i="60"/>
  <c r="H27" i="60" s="1"/>
  <c r="H24" i="60"/>
  <c r="F25" i="60"/>
  <c r="R23" i="77"/>
  <c r="D82" i="64"/>
  <c r="O14" i="77"/>
  <c r="O18" i="77"/>
  <c r="O19" i="77" s="1"/>
  <c r="V33" i="60"/>
  <c r="V25" i="60"/>
  <c r="BF1" i="38"/>
  <c r="BB35" i="38"/>
  <c r="AH10" i="57"/>
  <c r="G68" i="4"/>
  <c r="G317" i="4" s="1"/>
  <c r="R24" i="60"/>
  <c r="J25" i="60"/>
  <c r="J27" i="60"/>
  <c r="R27" i="60" s="1"/>
  <c r="Y27" i="60" s="1"/>
  <c r="G25" i="77"/>
  <c r="G27" i="77"/>
  <c r="H27" i="77" s="1"/>
  <c r="J15" i="77"/>
  <c r="D28" i="77"/>
  <c r="D31" i="77"/>
  <c r="C18" i="77"/>
  <c r="E13" i="77"/>
  <c r="C14" i="77"/>
  <c r="I13" i="77"/>
  <c r="Y23" i="79"/>
  <c r="Y29" i="79"/>
  <c r="U31" i="77"/>
  <c r="W15" i="77"/>
  <c r="C29" i="77"/>
  <c r="I16" i="77"/>
  <c r="C32" i="77"/>
  <c r="E16" i="77"/>
  <c r="P12" i="60"/>
  <c r="N14" i="60"/>
  <c r="N17" i="60"/>
  <c r="U30" i="57"/>
  <c r="G116" i="62"/>
  <c r="J16" i="77"/>
  <c r="D29" i="77"/>
  <c r="D32" i="77"/>
  <c r="G17" i="60"/>
  <c r="G18" i="60"/>
  <c r="G19" i="60" s="1"/>
  <c r="H16" i="60"/>
  <c r="Q36" i="60"/>
  <c r="X13" i="60"/>
  <c r="S31" i="60"/>
  <c r="Q18" i="60"/>
  <c r="U24" i="57"/>
  <c r="U16" i="57"/>
  <c r="V14" i="77"/>
  <c r="V18" i="77"/>
  <c r="V19" i="77" s="1"/>
  <c r="O25" i="77"/>
  <c r="J258" i="62"/>
  <c r="K258" i="62" s="1"/>
  <c r="H12" i="60"/>
  <c r="F17" i="60"/>
  <c r="U13" i="57"/>
  <c r="U17" i="57"/>
  <c r="U18" i="57" s="1"/>
  <c r="P12" i="77"/>
  <c r="N17" i="77"/>
  <c r="P17" i="77" s="1"/>
  <c r="N40" i="77"/>
  <c r="O40" i="77"/>
  <c r="E185" i="69"/>
  <c r="E194" i="69" s="1"/>
  <c r="C6" i="94"/>
  <c r="N291" i="4"/>
  <c r="O18" i="60"/>
  <c r="O19" i="60" s="1"/>
  <c r="O14" i="60"/>
  <c r="P13" i="60"/>
  <c r="N32" i="77"/>
  <c r="P16" i="77"/>
  <c r="F13" i="57"/>
  <c r="F17" i="57"/>
  <c r="F18" i="57" s="1"/>
  <c r="I20" i="77"/>
  <c r="E20" i="77"/>
  <c r="D16" i="93"/>
  <c r="J16" i="93" s="1"/>
  <c r="U31" i="60"/>
  <c r="W15" i="60"/>
  <c r="H69" i="4"/>
  <c r="R23" i="60"/>
  <c r="N17" i="57"/>
  <c r="N18" i="57" s="1"/>
  <c r="N13" i="57"/>
  <c r="I22" i="77"/>
  <c r="E22" i="77"/>
  <c r="J21" i="77"/>
  <c r="R21" i="77" s="1"/>
  <c r="Y21" i="77" s="1"/>
  <c r="AI14" i="62"/>
  <c r="AK165" i="62"/>
  <c r="I20" i="60"/>
  <c r="E20" i="60"/>
  <c r="Y23" i="60"/>
  <c r="H96" i="4"/>
  <c r="H118" i="4" s="1"/>
  <c r="V17" i="77"/>
  <c r="F17" i="77"/>
  <c r="H12" i="77"/>
  <c r="F25" i="77"/>
  <c r="V31" i="60"/>
  <c r="V18" i="60"/>
  <c r="V19" i="60" s="1"/>
  <c r="V17" i="60"/>
  <c r="CC29" i="63"/>
  <c r="CC27" i="63"/>
  <c r="Z29" i="79"/>
  <c r="Z23" i="79"/>
  <c r="I20" i="19"/>
  <c r="I21" i="19" s="1"/>
  <c r="J3" i="19"/>
  <c r="W30" i="77"/>
  <c r="W24" i="77"/>
  <c r="AC5" i="77" s="1"/>
  <c r="U25" i="77"/>
  <c r="Z35" i="77" s="1"/>
  <c r="U33" i="77"/>
  <c r="BK35" i="63"/>
  <c r="H159" i="69"/>
  <c r="AC6" i="93"/>
  <c r="AC32" i="93" s="1"/>
  <c r="E13" i="93"/>
  <c r="BJ37" i="63"/>
  <c r="AL57" i="64"/>
  <c r="AH110" i="62"/>
  <c r="AH112" i="62" s="1"/>
  <c r="AB11" i="62"/>
  <c r="AD15" i="62"/>
  <c r="AD18" i="62" s="1"/>
  <c r="Y20" i="62"/>
  <c r="Y59" i="62" s="1"/>
  <c r="AE56" i="64"/>
  <c r="W12" i="77"/>
  <c r="AB24" i="77" s="1"/>
  <c r="U17" i="77"/>
  <c r="E23" i="60"/>
  <c r="I23" i="60"/>
  <c r="BG35" i="38"/>
  <c r="BK1" i="38"/>
  <c r="BO1" i="38" s="1"/>
  <c r="BS1" i="38" s="1"/>
  <c r="U18" i="60"/>
  <c r="Y23" i="77"/>
  <c r="G14" i="77"/>
  <c r="G18" i="77"/>
  <c r="G19" i="77" s="1"/>
  <c r="N14" i="77"/>
  <c r="P14" i="77" s="1"/>
  <c r="P13" i="77"/>
  <c r="N18" i="77"/>
  <c r="BM35" i="63"/>
  <c r="AJ21" i="62"/>
  <c r="BN110" i="63"/>
  <c r="AN164" i="69"/>
  <c r="BO41" i="63"/>
  <c r="C31" i="77"/>
  <c r="E15" i="77"/>
  <c r="C28" i="77"/>
  <c r="I15" i="77"/>
  <c r="N8" i="57"/>
  <c r="N9" i="57" s="1"/>
  <c r="N3" i="57"/>
  <c r="N7" i="57"/>
  <c r="N16" i="57"/>
  <c r="DK52" i="63"/>
  <c r="C49" i="77"/>
  <c r="AE12" i="77"/>
  <c r="E12" i="77"/>
  <c r="C45" i="77"/>
  <c r="C48" i="77"/>
  <c r="C17" i="77"/>
  <c r="C43" i="77"/>
  <c r="C46" i="77"/>
  <c r="C44" i="77"/>
  <c r="I12" i="77"/>
  <c r="C10" i="77"/>
  <c r="C47" i="77"/>
  <c r="Y20" i="60"/>
  <c r="I12" i="60"/>
  <c r="N25" i="60"/>
  <c r="U14" i="77"/>
  <c r="U18" i="77"/>
  <c r="W13" i="77"/>
  <c r="R22" i="77"/>
  <c r="H21" i="77"/>
  <c r="AM24" i="62"/>
  <c r="P1" i="4"/>
  <c r="P226" i="4" s="1"/>
  <c r="E11" i="94"/>
  <c r="G69" i="4"/>
  <c r="G71" i="4"/>
  <c r="G72" i="4"/>
  <c r="G307" i="4" s="1"/>
  <c r="G78" i="4"/>
  <c r="G117" i="4" s="1"/>
  <c r="U25" i="60"/>
  <c r="W24" i="60"/>
  <c r="AC5" i="60" s="1"/>
  <c r="U33" i="60"/>
  <c r="F76" i="4"/>
  <c r="Q21" i="60"/>
  <c r="F16" i="57"/>
  <c r="F9" i="57"/>
  <c r="F7" i="57"/>
  <c r="D14" i="77"/>
  <c r="J13" i="77"/>
  <c r="D18" i="77"/>
  <c r="V29" i="79"/>
  <c r="V23" i="79"/>
  <c r="P18" i="60"/>
  <c r="N19" i="60"/>
  <c r="C19" i="57"/>
  <c r="I19" i="57" s="1"/>
  <c r="Q19" i="57" s="1"/>
  <c r="X19" i="57" s="1"/>
  <c r="C22" i="57"/>
  <c r="I22" i="57" s="1"/>
  <c r="Q22" i="57" s="1"/>
  <c r="X22" i="57" s="1"/>
  <c r="C15" i="57"/>
  <c r="C20" i="57"/>
  <c r="I20" i="57" s="1"/>
  <c r="Q20" i="57" s="1"/>
  <c r="X20" i="57" s="1"/>
  <c r="C23" i="57"/>
  <c r="C14" i="57"/>
  <c r="C12" i="57"/>
  <c r="C11" i="57"/>
  <c r="N27" i="57" s="1"/>
  <c r="C21" i="57"/>
  <c r="I21" i="57" s="1"/>
  <c r="Q21" i="57" s="1"/>
  <c r="X21" i="57" s="1"/>
  <c r="J24" i="77"/>
  <c r="D27" i="77"/>
  <c r="D25" i="77"/>
  <c r="N32" i="60"/>
  <c r="L96" i="4"/>
  <c r="L122" i="4" s="1"/>
  <c r="D132" i="94"/>
  <c r="AE9" i="62"/>
  <c r="C19" i="94"/>
  <c r="Y16" i="60"/>
  <c r="D31" i="60"/>
  <c r="D28" i="60"/>
  <c r="J15" i="60"/>
  <c r="E23" i="77"/>
  <c r="I23" i="77"/>
  <c r="H15" i="60"/>
  <c r="F18" i="60"/>
  <c r="J13" i="60"/>
  <c r="D14" i="60"/>
  <c r="D18" i="60"/>
  <c r="G76" i="4"/>
  <c r="G77" i="4"/>
  <c r="F2" i="54"/>
  <c r="N22" i="54"/>
  <c r="N2" i="54"/>
  <c r="E22" i="54"/>
  <c r="W23" i="54"/>
  <c r="W16" i="77"/>
  <c r="AD20" i="62"/>
  <c r="AD59" i="62" s="1"/>
  <c r="U17" i="60"/>
  <c r="W12" i="60"/>
  <c r="AC3" i="60" s="1"/>
  <c r="AC6" i="60" s="1"/>
  <c r="AC32" i="60" s="1"/>
  <c r="U23" i="79"/>
  <c r="U29" i="79"/>
  <c r="H66" i="76"/>
  <c r="F14" i="60"/>
  <c r="N25" i="77"/>
  <c r="P25" i="77" s="1"/>
  <c r="K34" i="77"/>
  <c r="P24" i="77"/>
  <c r="I34" i="77"/>
  <c r="O41" i="77"/>
  <c r="V15" i="62"/>
  <c r="V16" i="62" s="1"/>
  <c r="W20" i="62"/>
  <c r="C82" i="64"/>
  <c r="BM98" i="63"/>
  <c r="I86" i="64"/>
  <c r="X14" i="67"/>
  <c r="X15" i="67" s="1"/>
  <c r="X24" i="67" s="1"/>
  <c r="X33" i="67" s="1"/>
  <c r="AT84" i="62"/>
  <c r="G5" i="101" s="1"/>
  <c r="AG16" i="62"/>
  <c r="V25" i="77"/>
  <c r="V33" i="77"/>
  <c r="X23" i="79"/>
  <c r="X29" i="79"/>
  <c r="W16" i="60"/>
  <c r="H20" i="77"/>
  <c r="AL56" i="64"/>
  <c r="AL58" i="64"/>
  <c r="C25" i="60"/>
  <c r="C27" i="60"/>
  <c r="E27" i="60" s="1"/>
  <c r="AE31" i="60"/>
  <c r="E24" i="60"/>
  <c r="I24" i="60"/>
  <c r="AE24" i="60"/>
  <c r="F71" i="4"/>
  <c r="F78" i="4"/>
  <c r="F117" i="4" s="1"/>
  <c r="F72" i="4"/>
  <c r="F307" i="4" s="1"/>
  <c r="F69" i="4"/>
  <c r="S39" i="79"/>
  <c r="S40" i="79" s="1"/>
  <c r="S23" i="79"/>
  <c r="S29" i="79"/>
  <c r="T29" i="79"/>
  <c r="W29" i="79"/>
  <c r="F5" i="57"/>
  <c r="T23" i="79"/>
  <c r="H13" i="77"/>
  <c r="F18" i="77"/>
  <c r="F14" i="77"/>
  <c r="Y22" i="77"/>
  <c r="T16" i="60"/>
  <c r="D46" i="77"/>
  <c r="D48" i="77"/>
  <c r="D49" i="77"/>
  <c r="D10" i="77"/>
  <c r="D47" i="77"/>
  <c r="D44" i="77"/>
  <c r="D43" i="77"/>
  <c r="D45" i="77"/>
  <c r="D17" i="77"/>
  <c r="J12" i="77"/>
  <c r="Y21" i="60"/>
  <c r="W21" i="60"/>
  <c r="AB24" i="60" s="1"/>
  <c r="V28" i="60"/>
  <c r="W23" i="79"/>
  <c r="BI55" i="63"/>
  <c r="BI59" i="63" s="1"/>
  <c r="BH59" i="63"/>
  <c r="I18" i="60"/>
  <c r="I19" i="60" s="1"/>
  <c r="C19" i="60"/>
  <c r="E18" i="60"/>
  <c r="AR38" i="19"/>
  <c r="AK70" i="19"/>
  <c r="I21" i="77"/>
  <c r="P23" i="77"/>
  <c r="W20" i="77"/>
  <c r="P20" i="93"/>
  <c r="D47" i="93"/>
  <c r="D44" i="93"/>
  <c r="V21" i="93"/>
  <c r="D46" i="93"/>
  <c r="E12" i="93"/>
  <c r="P21" i="93"/>
  <c r="D45" i="93"/>
  <c r="J12" i="93"/>
  <c r="J27" i="93" s="1"/>
  <c r="D32" i="93"/>
  <c r="D48" i="93"/>
  <c r="V25" i="93"/>
  <c r="J21" i="93"/>
  <c r="K21" i="93" s="1"/>
  <c r="H21" i="93"/>
  <c r="I168" i="69"/>
  <c r="J163" i="69"/>
  <c r="W163" i="69"/>
  <c r="X163" i="69"/>
  <c r="BQ49" i="63"/>
  <c r="AG59" i="62"/>
  <c r="BM11" i="63"/>
  <c r="I163" i="69"/>
  <c r="N233" i="4"/>
  <c r="I254" i="69"/>
  <c r="J254" i="69" s="1"/>
  <c r="K254" i="69" s="1"/>
  <c r="K255" i="69" s="1"/>
  <c r="J283" i="69" s="1"/>
  <c r="E115" i="64"/>
  <c r="H259" i="69" s="1"/>
  <c r="D118" i="64"/>
  <c r="E61" i="64"/>
  <c r="E111" i="64" s="1"/>
  <c r="E113" i="64" s="1"/>
  <c r="F110" i="64" s="1"/>
  <c r="F113" i="64" s="1"/>
  <c r="D51" i="64"/>
  <c r="E51" i="64"/>
  <c r="F25" i="64"/>
  <c r="F38" i="64" s="1"/>
  <c r="E39" i="64"/>
  <c r="D48" i="64"/>
  <c r="E48" i="64"/>
  <c r="E50" i="64"/>
  <c r="D50" i="64"/>
  <c r="E49" i="64"/>
  <c r="D49" i="64"/>
  <c r="K19" i="94"/>
  <c r="F11" i="94"/>
  <c r="CN59" i="63"/>
  <c r="CO59" i="63" s="1"/>
  <c r="CP59" i="63" s="1"/>
  <c r="CQ59" i="63" s="1"/>
  <c r="CR59" i="63" s="1"/>
  <c r="CS59" i="63" s="1"/>
  <c r="CT59" i="63" s="1"/>
  <c r="G255" i="69"/>
  <c r="F283" i="69" s="1"/>
  <c r="W168" i="69"/>
  <c r="I253" i="69"/>
  <c r="G3" i="64"/>
  <c r="O226" i="4"/>
  <c r="O254" i="4"/>
  <c r="W55" i="4"/>
  <c r="G178" i="62"/>
  <c r="N203" i="4"/>
  <c r="H112" i="62"/>
  <c r="H132" i="62" s="1"/>
  <c r="H37" i="62"/>
  <c r="AF59" i="62"/>
  <c r="P22" i="93"/>
  <c r="AD24" i="93" s="1"/>
  <c r="O22" i="93"/>
  <c r="O21" i="93"/>
  <c r="E21" i="93"/>
  <c r="C35" i="94"/>
  <c r="W13" i="93"/>
  <c r="Y13" i="93" s="1"/>
  <c r="Y35" i="93"/>
  <c r="V27" i="93"/>
  <c r="V30" i="93"/>
  <c r="K22" i="93"/>
  <c r="M27" i="93"/>
  <c r="O27" i="93" s="1"/>
  <c r="AC13" i="93"/>
  <c r="V24" i="93"/>
  <c r="D24" i="93"/>
  <c r="E24" i="93" s="1"/>
  <c r="CV31" i="63"/>
  <c r="BE71" i="63"/>
  <c r="DF31" i="63"/>
  <c r="B50" i="69"/>
  <c r="AB23" i="62"/>
  <c r="AO165" i="62"/>
  <c r="AF54" i="64"/>
  <c r="AJ84" i="62"/>
  <c r="H84" i="62" s="1"/>
  <c r="AJ54" i="64"/>
  <c r="AK84" i="62"/>
  <c r="Y23" i="62"/>
  <c r="BL11" i="63"/>
  <c r="AF9" i="62"/>
  <c r="H297" i="62"/>
  <c r="BM55" i="63"/>
  <c r="BN59" i="63"/>
  <c r="AC11" i="62"/>
  <c r="BJ26" i="63"/>
  <c r="AF56" i="64"/>
  <c r="X23" i="62"/>
  <c r="AH58" i="64"/>
  <c r="Y15" i="62"/>
  <c r="Y11" i="62"/>
  <c r="U23" i="62"/>
  <c r="AE58" i="64"/>
  <c r="AH56" i="64"/>
  <c r="AN58" i="64"/>
  <c r="AN165" i="62"/>
  <c r="AK58" i="64"/>
  <c r="AF23" i="62"/>
  <c r="AA8" i="62"/>
  <c r="AA13" i="62" s="1"/>
  <c r="AF15" i="62"/>
  <c r="AH55" i="64"/>
  <c r="V20" i="62"/>
  <c r="AG58" i="64"/>
  <c r="AB8" i="62"/>
  <c r="AB13" i="62" s="1"/>
  <c r="AB20" i="62"/>
  <c r="AB59" i="62" s="1"/>
  <c r="BK98" i="63"/>
  <c r="DN31" i="63"/>
  <c r="DZ31" i="63" s="1"/>
  <c r="AK59" i="62"/>
  <c r="AK54" i="64"/>
  <c r="C50" i="69"/>
  <c r="AH57" i="64"/>
  <c r="AD23" i="62"/>
  <c r="AI54" i="64"/>
  <c r="AN57" i="64"/>
  <c r="AO17" i="62"/>
  <c r="AC23" i="62"/>
  <c r="E297" i="62"/>
  <c r="BJ29" i="63"/>
  <c r="BJ27" i="63" s="1"/>
  <c r="BJ28" i="63" s="1"/>
  <c r="J298" i="62"/>
  <c r="J299" i="62" s="1"/>
  <c r="AG55" i="64"/>
  <c r="X8" i="62"/>
  <c r="X13" i="62" s="1"/>
  <c r="V23" i="62"/>
  <c r="AH54" i="64"/>
  <c r="AN55" i="64"/>
  <c r="AL55" i="64"/>
  <c r="AF57" i="64"/>
  <c r="AP116" i="62"/>
  <c r="E50" i="69"/>
  <c r="X20" i="62"/>
  <c r="AK56" i="64"/>
  <c r="AC20" i="62"/>
  <c r="D297" i="62"/>
  <c r="BL64" i="63"/>
  <c r="AF58" i="64"/>
  <c r="AJ58" i="64"/>
  <c r="Y8" i="62"/>
  <c r="Y13" i="62" s="1"/>
  <c r="AM58" i="64"/>
  <c r="AM55" i="64"/>
  <c r="AG57" i="64"/>
  <c r="W15" i="62"/>
  <c r="Z15" i="62"/>
  <c r="AE54" i="64"/>
  <c r="AE11" i="62"/>
  <c r="AE23" i="62"/>
  <c r="X11" i="62"/>
  <c r="AC63" i="62"/>
  <c r="F25" i="69"/>
  <c r="V8" i="62"/>
  <c r="AC15" i="62"/>
  <c r="AC18" i="62" s="1"/>
  <c r="AA23" i="62"/>
  <c r="DL31" i="63"/>
  <c r="N158" i="69"/>
  <c r="N159" i="69" s="1"/>
  <c r="AZ28" i="63"/>
  <c r="DE31" i="63"/>
  <c r="BL25" i="63"/>
  <c r="BL26" i="63" s="1"/>
  <c r="G50" i="69"/>
  <c r="AA11" i="62"/>
  <c r="Z23" i="62"/>
  <c r="W11" i="62"/>
  <c r="AF55" i="64"/>
  <c r="AD11" i="62"/>
  <c r="F50" i="69"/>
  <c r="AI55" i="64"/>
  <c r="D50" i="69"/>
  <c r="AI58" i="64"/>
  <c r="U8" i="62"/>
  <c r="AE15" i="62"/>
  <c r="AE18" i="62" s="1"/>
  <c r="AB15" i="62"/>
  <c r="AB18" i="62" s="1"/>
  <c r="G297" i="62"/>
  <c r="BK25" i="63"/>
  <c r="BK26" i="63" s="1"/>
  <c r="AI57" i="64"/>
  <c r="U75" i="62"/>
  <c r="W8" i="62"/>
  <c r="AE20" i="62"/>
  <c r="U11" i="62"/>
  <c r="AE48" i="64"/>
  <c r="AJ55" i="64"/>
  <c r="AD8" i="62"/>
  <c r="AD13" i="62" s="1"/>
  <c r="U20" i="62"/>
  <c r="Z11" i="62"/>
  <c r="AG54" i="64"/>
  <c r="BJ43" i="63"/>
  <c r="BK43" i="63" s="1"/>
  <c r="BK77" i="63"/>
  <c r="AA15" i="62"/>
  <c r="H50" i="69"/>
  <c r="AE55" i="64"/>
  <c r="AM165" i="62"/>
  <c r="X15" i="62"/>
  <c r="AE57" i="64"/>
  <c r="AL165" i="62"/>
  <c r="AZ61" i="63"/>
  <c r="DM31" i="63"/>
  <c r="V11" i="62"/>
  <c r="Z8" i="62"/>
  <c r="Z13" i="62" s="1"/>
  <c r="AI56" i="64"/>
  <c r="AA20" i="62"/>
  <c r="AA59" i="62" s="1"/>
  <c r="AF11" i="62"/>
  <c r="AK57" i="64"/>
  <c r="AM56" i="64"/>
  <c r="Z20" i="62"/>
  <c r="Z59" i="62" s="1"/>
  <c r="BW35" i="63"/>
  <c r="H47" i="62"/>
  <c r="W17" i="93"/>
  <c r="S17" i="93"/>
  <c r="R31" i="93"/>
  <c r="S13" i="93"/>
  <c r="BC12" i="63"/>
  <c r="BC8" i="63"/>
  <c r="BC9" i="63" s="1"/>
  <c r="BC112" i="63"/>
  <c r="BC15" i="63"/>
  <c r="CA75" i="63"/>
  <c r="BU77" i="63"/>
  <c r="BX77" i="63"/>
  <c r="BX78" i="63"/>
  <c r="CG16" i="63"/>
  <c r="AV65" i="62" s="1"/>
  <c r="BX35" i="63"/>
  <c r="CA79" i="63" s="1"/>
  <c r="CA81" i="63" s="1"/>
  <c r="BY12" i="63"/>
  <c r="D19" i="94"/>
  <c r="D11" i="94"/>
  <c r="H19" i="94"/>
  <c r="C11" i="94"/>
  <c r="G19" i="94"/>
  <c r="F252" i="69"/>
  <c r="K19" i="93"/>
  <c r="K20" i="93"/>
  <c r="F116" i="62"/>
  <c r="AQ57" i="62"/>
  <c r="AQ95" i="62" s="1"/>
  <c r="AQ96" i="62" s="1"/>
  <c r="AQ97" i="62" s="1"/>
  <c r="H158" i="62"/>
  <c r="L207" i="4"/>
  <c r="M207" i="4" s="1"/>
  <c r="N207" i="4" s="1"/>
  <c r="B69" i="62"/>
  <c r="B80" i="62" s="1"/>
  <c r="B81" i="62" s="1"/>
  <c r="BE2" i="62"/>
  <c r="G118" i="62"/>
  <c r="F118" i="62"/>
  <c r="AM49" i="62"/>
  <c r="AL50" i="62"/>
  <c r="C69" i="62"/>
  <c r="C80" i="62" s="1"/>
  <c r="C81" i="62" s="1"/>
  <c r="D81" i="62" s="1"/>
  <c r="D80" i="62" s="1"/>
  <c r="D70" i="62"/>
  <c r="D69" i="62" s="1"/>
  <c r="Q22" i="93"/>
  <c r="Q33" i="93" s="1"/>
  <c r="F26" i="93"/>
  <c r="H26" i="93" s="1"/>
  <c r="K13" i="93"/>
  <c r="H16" i="93"/>
  <c r="R13" i="93"/>
  <c r="P18" i="93"/>
  <c r="W18" i="93" s="1"/>
  <c r="P36" i="93"/>
  <c r="K18" i="93"/>
  <c r="AI19" i="19"/>
  <c r="G8" i="66"/>
  <c r="G5" i="66"/>
  <c r="B89" i="62"/>
  <c r="R25" i="79"/>
  <c r="R27" i="79" s="1"/>
  <c r="C100" i="76"/>
  <c r="G47" i="62"/>
  <c r="J72" i="4"/>
  <c r="J307" i="4" s="1"/>
  <c r="G7" i="66"/>
  <c r="C116" i="76"/>
  <c r="J69" i="4"/>
  <c r="R198" i="39"/>
  <c r="R31" i="39"/>
  <c r="R155" i="39"/>
  <c r="L204" i="4"/>
  <c r="M204" i="4" s="1"/>
  <c r="N204" i="4" s="1"/>
  <c r="O204" i="4" s="1"/>
  <c r="J63" i="4"/>
  <c r="J254" i="4"/>
  <c r="B3" i="64"/>
  <c r="J297" i="4"/>
  <c r="J226" i="4"/>
  <c r="J238" i="4"/>
  <c r="L206" i="4"/>
  <c r="M206" i="4" s="1"/>
  <c r="M214" i="4" s="1"/>
  <c r="M242" i="4" s="1"/>
  <c r="Q93" i="4"/>
  <c r="R93" i="4" s="1"/>
  <c r="S93" i="4" s="1"/>
  <c r="T93" i="4" s="1"/>
  <c r="U93" i="4" s="1"/>
  <c r="L72" i="4"/>
  <c r="L307" i="4" s="1"/>
  <c r="L208" i="4"/>
  <c r="M208" i="4" s="1"/>
  <c r="M216" i="4" s="1"/>
  <c r="K77" i="4"/>
  <c r="L68" i="4"/>
  <c r="L317" i="4" s="1"/>
  <c r="F1" i="4"/>
  <c r="G297" i="4"/>
  <c r="G63" i="4"/>
  <c r="H117" i="4"/>
  <c r="E117" i="4"/>
  <c r="P254" i="4"/>
  <c r="H3" i="64"/>
  <c r="P297" i="4"/>
  <c r="P63" i="4"/>
  <c r="D65" i="64"/>
  <c r="C101" i="76"/>
  <c r="B93" i="62"/>
  <c r="B95" i="62" s="1"/>
  <c r="B96" i="62" s="1"/>
  <c r="B194" i="62" s="1"/>
  <c r="B113" i="76"/>
  <c r="B116" i="76" s="1"/>
  <c r="D88" i="62"/>
  <c r="D93" i="62" s="1"/>
  <c r="D95" i="62" s="1"/>
  <c r="G218" i="62"/>
  <c r="D12" i="69" s="1"/>
  <c r="S15" i="93"/>
  <c r="H218" i="62"/>
  <c r="E12" i="69" s="1"/>
  <c r="Q25" i="79"/>
  <c r="Q35" i="79" s="1"/>
  <c r="E5" i="66"/>
  <c r="K69" i="4"/>
  <c r="B119" i="62"/>
  <c r="D119" i="62"/>
  <c r="J76" i="4"/>
  <c r="B62" i="4"/>
  <c r="L69" i="4"/>
  <c r="H80" i="62"/>
  <c r="H81" i="62" s="1"/>
  <c r="B62" i="76"/>
  <c r="B63" i="76" s="1"/>
  <c r="C62" i="76"/>
  <c r="C63" i="76" s="1"/>
  <c r="S25" i="79"/>
  <c r="AI130" i="62"/>
  <c r="E97" i="76"/>
  <c r="AJ124" i="62"/>
  <c r="AJ122" i="62" s="1"/>
  <c r="L205" i="4"/>
  <c r="M205" i="4" s="1"/>
  <c r="M213" i="4" s="1"/>
  <c r="M241" i="4" s="1"/>
  <c r="K78" i="4"/>
  <c r="C132" i="94" s="1"/>
  <c r="AI49" i="62"/>
  <c r="AI57" i="62" s="1"/>
  <c r="AI59" i="62" s="1"/>
  <c r="E47" i="62"/>
  <c r="H63" i="62"/>
  <c r="H62" i="62"/>
  <c r="J77" i="4"/>
  <c r="K76" i="4"/>
  <c r="H58" i="62"/>
  <c r="P26" i="79"/>
  <c r="P35" i="79"/>
  <c r="P37" i="79" s="1"/>
  <c r="P27" i="79"/>
  <c r="C88" i="62"/>
  <c r="C89" i="62" s="1"/>
  <c r="G96" i="76"/>
  <c r="G101" i="76" s="1"/>
  <c r="F5" i="66"/>
  <c r="F101" i="76"/>
  <c r="E58" i="62"/>
  <c r="I76" i="4"/>
  <c r="E88" i="62"/>
  <c r="E89" i="62" s="1"/>
  <c r="AD89" i="62" s="1"/>
  <c r="J68" i="4"/>
  <c r="J317" i="4" s="1"/>
  <c r="D13" i="66"/>
  <c r="J78" i="4"/>
  <c r="J96" i="4" s="1"/>
  <c r="D259" i="69"/>
  <c r="H86" i="62"/>
  <c r="H36" i="62" s="1"/>
  <c r="AJ45" i="62"/>
  <c r="H46" i="62" s="1"/>
  <c r="J175" i="62"/>
  <c r="E282" i="69"/>
  <c r="I68" i="4"/>
  <c r="I317" i="4" s="1"/>
  <c r="F97" i="76"/>
  <c r="F47" i="62"/>
  <c r="D8" i="66"/>
  <c r="D5" i="66"/>
  <c r="D7" i="66"/>
  <c r="AR96" i="62"/>
  <c r="AR97" i="62" s="1"/>
  <c r="B100" i="76"/>
  <c r="B101" i="76"/>
  <c r="N78" i="4"/>
  <c r="B351" i="69"/>
  <c r="G112" i="62"/>
  <c r="AL98" i="62"/>
  <c r="AP96" i="62"/>
  <c r="AP97" i="62" s="1"/>
  <c r="F37" i="62"/>
  <c r="L196" i="4"/>
  <c r="L77" i="4"/>
  <c r="L76" i="4"/>
  <c r="H133" i="62"/>
  <c r="H113" i="62"/>
  <c r="H185" i="62"/>
  <c r="H187" i="62" s="1"/>
  <c r="H188" i="62" s="1"/>
  <c r="I188" i="62" s="1"/>
  <c r="H184" i="62"/>
  <c r="D36" i="62"/>
  <c r="D39" i="62" s="1"/>
  <c r="D87" i="62"/>
  <c r="AO96" i="62"/>
  <c r="AO98" i="62" s="1"/>
  <c r="J97" i="62"/>
  <c r="K97" i="62" s="1"/>
  <c r="L97" i="62" s="1"/>
  <c r="M97" i="62" s="1"/>
  <c r="BC2" i="62"/>
  <c r="BG2" i="62" s="1"/>
  <c r="G117" i="62"/>
  <c r="D17" i="66" s="1"/>
  <c r="D10" i="66" s="1"/>
  <c r="D11" i="66" s="1"/>
  <c r="F117" i="62"/>
  <c r="C17" i="66" s="1"/>
  <c r="C10" i="66" s="1"/>
  <c r="C11" i="66" s="1"/>
  <c r="E117" i="62"/>
  <c r="E133" i="62" s="1"/>
  <c r="F74" i="62"/>
  <c r="E74" i="62"/>
  <c r="E75" i="62"/>
  <c r="E8" i="66"/>
  <c r="E13" i="66"/>
  <c r="F112" i="62"/>
  <c r="F132" i="62" s="1"/>
  <c r="D74" i="62"/>
  <c r="D75" i="62"/>
  <c r="E11" i="66"/>
  <c r="I194" i="62"/>
  <c r="E101" i="76"/>
  <c r="F100" i="76"/>
  <c r="M75" i="4"/>
  <c r="M196" i="4" s="1"/>
  <c r="I148" i="62"/>
  <c r="H146" i="62"/>
  <c r="F221" i="62"/>
  <c r="C16" i="69" s="1"/>
  <c r="AK96" i="62"/>
  <c r="AK97" i="62" s="1"/>
  <c r="BD2" i="62"/>
  <c r="BH2" i="62" s="1"/>
  <c r="W150" i="62"/>
  <c r="V157" i="62"/>
  <c r="I77" i="4"/>
  <c r="G87" i="62"/>
  <c r="G36" i="62"/>
  <c r="G39" i="62" s="1"/>
  <c r="E36" i="62"/>
  <c r="E39" i="62" s="1"/>
  <c r="E87" i="62"/>
  <c r="H258" i="62"/>
  <c r="F86" i="62"/>
  <c r="F218" i="62"/>
  <c r="C12" i="69" s="1"/>
  <c r="H134" i="62"/>
  <c r="E134" i="62"/>
  <c r="E113" i="62"/>
  <c r="K68" i="4"/>
  <c r="K317" i="4" s="1"/>
  <c r="K72" i="4"/>
  <c r="K307" i="4" s="1"/>
  <c r="E218" i="62"/>
  <c r="B12" i="69" s="1"/>
  <c r="AN122" i="62"/>
  <c r="AN124" i="62" s="1"/>
  <c r="BW110" i="63"/>
  <c r="BV38" i="63"/>
  <c r="AT153" i="62"/>
  <c r="I196" i="4"/>
  <c r="I78" i="4"/>
  <c r="I79" i="4" s="1"/>
  <c r="I318" i="4" s="1"/>
  <c r="D100" i="76"/>
  <c r="C97" i="76"/>
  <c r="N196" i="4"/>
  <c r="T13" i="60"/>
  <c r="N77" i="4"/>
  <c r="E100" i="76"/>
  <c r="D97" i="76"/>
  <c r="N307" i="4"/>
  <c r="AC70" i="4"/>
  <c r="AB113" i="4" s="1"/>
  <c r="F282" i="69"/>
  <c r="X19" i="67"/>
  <c r="X28" i="67" s="1"/>
  <c r="X37" i="67" s="1"/>
  <c r="X9" i="67"/>
  <c r="X18" i="67" s="1"/>
  <c r="X27" i="67" s="1"/>
  <c r="X36" i="67" s="1"/>
  <c r="E259" i="69"/>
  <c r="L3" i="76"/>
  <c r="AK75" i="62"/>
  <c r="L117" i="4"/>
  <c r="BG43" i="63"/>
  <c r="AH162" i="69" s="1"/>
  <c r="BH38" i="63"/>
  <c r="BI41" i="63"/>
  <c r="AJ164" i="69" s="1"/>
  <c r="BH110" i="63"/>
  <c r="AK16" i="62"/>
  <c r="Q90" i="4"/>
  <c r="J86" i="64"/>
  <c r="R90" i="4" s="1"/>
  <c r="AK94" i="19"/>
  <c r="P16" i="93"/>
  <c r="T26" i="93"/>
  <c r="V16" i="93"/>
  <c r="Q14" i="93"/>
  <c r="R14" i="93" s="1"/>
  <c r="K14" i="93"/>
  <c r="P12" i="93"/>
  <c r="I25" i="93"/>
  <c r="I24" i="93"/>
  <c r="I10" i="93"/>
  <c r="I27" i="93"/>
  <c r="K27" i="93" s="1"/>
  <c r="D26" i="93"/>
  <c r="E26" i="93" s="1"/>
  <c r="Q15" i="93"/>
  <c r="K15" i="93"/>
  <c r="K17" i="93"/>
  <c r="Q17" i="93"/>
  <c r="W20" i="93"/>
  <c r="Y20" i="93" s="1"/>
  <c r="R20" i="93"/>
  <c r="O16" i="93"/>
  <c r="Q36" i="93"/>
  <c r="W19" i="93"/>
  <c r="Y19" i="93" s="1"/>
  <c r="R19" i="93"/>
  <c r="W14" i="93"/>
  <c r="S14" i="93"/>
  <c r="CC41" i="63"/>
  <c r="CJ49" i="63" s="1"/>
  <c r="CB110" i="63"/>
  <c r="P228" i="4"/>
  <c r="P233" i="4" s="1"/>
  <c r="BS35" i="63"/>
  <c r="BS50" i="63" s="1"/>
  <c r="BT11" i="63"/>
  <c r="BU24" i="63" s="1"/>
  <c r="J77" i="62" s="1"/>
  <c r="BS98" i="63"/>
  <c r="A161" i="62"/>
  <c r="A168" i="62" s="1"/>
  <c r="A58" i="63"/>
  <c r="A30" i="63" s="1"/>
  <c r="M159" i="69"/>
  <c r="L159" i="69"/>
  <c r="AZ33" i="63"/>
  <c r="AZ36" i="63"/>
  <c r="BN11" i="63"/>
  <c r="BN35" i="63"/>
  <c r="BN98" i="63"/>
  <c r="BO10" i="63"/>
  <c r="AP64" i="62" s="1"/>
  <c r="BE7" i="63"/>
  <c r="BD21" i="63"/>
  <c r="BD15" i="63"/>
  <c r="BD12" i="63"/>
  <c r="BD8" i="63"/>
  <c r="BD112" i="63"/>
  <c r="BD20" i="63"/>
  <c r="BU50" i="63"/>
  <c r="BQ45" i="63"/>
  <c r="A60" i="63"/>
  <c r="A163" i="62"/>
  <c r="A170" i="62" s="1"/>
  <c r="K82" i="64" l="1"/>
  <c r="L82" i="64" s="1"/>
  <c r="M82" i="64" s="1"/>
  <c r="N82" i="64" s="1"/>
  <c r="O82" i="64" s="1"/>
  <c r="O74" i="64" s="1"/>
  <c r="O73" i="64" s="1"/>
  <c r="BC28" i="63"/>
  <c r="BC32" i="63"/>
  <c r="AL20" i="62" s="1"/>
  <c r="AL36" i="62" s="1"/>
  <c r="BC25" i="63"/>
  <c r="BC61" i="63"/>
  <c r="U42" i="79"/>
  <c r="U44" i="79" s="1"/>
  <c r="J78" i="76"/>
  <c r="CB81" i="63"/>
  <c r="BE20" i="63"/>
  <c r="FK31" i="63"/>
  <c r="EL31" i="63"/>
  <c r="CU59" i="63"/>
  <c r="DF59" i="63"/>
  <c r="DR59" i="63" s="1"/>
  <c r="ED59" i="63" s="1"/>
  <c r="EP59" i="63" s="1"/>
  <c r="FB59" i="63" s="1"/>
  <c r="FN59" i="63" s="1"/>
  <c r="W21" i="93"/>
  <c r="Z22" i="93"/>
  <c r="P34" i="93"/>
  <c r="Z12" i="93"/>
  <c r="E16" i="93"/>
  <c r="X23" i="67"/>
  <c r="X32" i="67" s="1"/>
  <c r="X41" i="67" s="1"/>
  <c r="P238" i="4"/>
  <c r="O244" i="4" s="1"/>
  <c r="K243" i="4"/>
  <c r="U84" i="4"/>
  <c r="AH21" i="62"/>
  <c r="BI2" i="62"/>
  <c r="M215" i="4"/>
  <c r="AY1" i="62"/>
  <c r="M258" i="62"/>
  <c r="N258" i="62" s="1"/>
  <c r="O258" i="62" s="1"/>
  <c r="P258" i="62" s="1"/>
  <c r="Q258" i="62" s="1"/>
  <c r="BN2" i="62"/>
  <c r="BK2" i="62"/>
  <c r="BF1" i="62"/>
  <c r="BL2" i="62"/>
  <c r="AZ1" i="62"/>
  <c r="AF82" i="62"/>
  <c r="K16" i="76" s="1"/>
  <c r="AF18" i="62"/>
  <c r="FJ18" i="63"/>
  <c r="FF18" i="63"/>
  <c r="FE18" i="63"/>
  <c r="FM18" i="63"/>
  <c r="FK18" i="63"/>
  <c r="FL18" i="63"/>
  <c r="BZ312" i="62"/>
  <c r="BZ51" i="62" s="1"/>
  <c r="BZ304" i="62"/>
  <c r="CA303" i="62"/>
  <c r="BE1" i="62"/>
  <c r="BB1" i="62"/>
  <c r="Q1" i="4"/>
  <c r="R1" i="4" s="1"/>
  <c r="E63" i="64"/>
  <c r="L101" i="4"/>
  <c r="AB105" i="4" s="1"/>
  <c r="N97" i="62"/>
  <c r="AT115" i="62"/>
  <c r="AS147" i="62" s="1"/>
  <c r="D261" i="69"/>
  <c r="E67" i="64"/>
  <c r="E116" i="64" s="1"/>
  <c r="F263" i="69"/>
  <c r="G263" i="69" s="1"/>
  <c r="AS115" i="62"/>
  <c r="AM84" i="62"/>
  <c r="AL59" i="64"/>
  <c r="W106" i="62"/>
  <c r="AN90" i="62"/>
  <c r="I26" i="93"/>
  <c r="B99" i="62"/>
  <c r="AG65" i="62"/>
  <c r="R22" i="93"/>
  <c r="R33" i="93" s="1"/>
  <c r="P33" i="93"/>
  <c r="Q21" i="93"/>
  <c r="X21" i="93" s="1"/>
  <c r="Y21" i="93" s="1"/>
  <c r="AK19" i="62"/>
  <c r="H122" i="4"/>
  <c r="H132" i="4" s="1"/>
  <c r="AM25" i="62"/>
  <c r="H22" i="66"/>
  <c r="H33" i="66" s="1"/>
  <c r="AM102" i="62"/>
  <c r="AM119" i="62" s="1"/>
  <c r="AM106" i="62"/>
  <c r="M32" i="76" s="1"/>
  <c r="C26" i="69"/>
  <c r="C22" i="66"/>
  <c r="C33" i="66" s="1"/>
  <c r="AH102" i="62"/>
  <c r="AH131" i="62" s="1"/>
  <c r="D235" i="69" s="1"/>
  <c r="AH24" i="62"/>
  <c r="I255" i="69"/>
  <c r="H283" i="69" s="1"/>
  <c r="AI9" i="62"/>
  <c r="AI10" i="62"/>
  <c r="AH17" i="62"/>
  <c r="AH16" i="62"/>
  <c r="AG75" i="62"/>
  <c r="AK17" i="62"/>
  <c r="J253" i="69"/>
  <c r="J255" i="69" s="1"/>
  <c r="I283" i="69" s="1"/>
  <c r="N4" i="76"/>
  <c r="H26" i="69"/>
  <c r="L21" i="77"/>
  <c r="K21" i="77"/>
  <c r="Q21" i="77"/>
  <c r="L15" i="60"/>
  <c r="I25" i="60"/>
  <c r="I27" i="60"/>
  <c r="I28" i="60"/>
  <c r="Q24" i="60"/>
  <c r="K24" i="60"/>
  <c r="AC13" i="77"/>
  <c r="W14" i="77"/>
  <c r="R15" i="77"/>
  <c r="J30" i="77"/>
  <c r="E27" i="77"/>
  <c r="K20" i="60"/>
  <c r="Q20" i="60"/>
  <c r="O22" i="54"/>
  <c r="O2" i="54"/>
  <c r="F22" i="54"/>
  <c r="X23" i="54"/>
  <c r="G2" i="54"/>
  <c r="R24" i="77"/>
  <c r="J27" i="77"/>
  <c r="R27" i="77" s="1"/>
  <c r="Y27" i="77" s="1"/>
  <c r="J25" i="77"/>
  <c r="I4" i="60"/>
  <c r="I6" i="60"/>
  <c r="I17" i="60"/>
  <c r="K12" i="60"/>
  <c r="I8" i="60"/>
  <c r="Q12" i="60"/>
  <c r="I10" i="60"/>
  <c r="L14" i="60"/>
  <c r="I14" i="60"/>
  <c r="K24" i="77"/>
  <c r="L15" i="77"/>
  <c r="I27" i="77"/>
  <c r="I25" i="77"/>
  <c r="Q24" i="77"/>
  <c r="I28" i="77"/>
  <c r="N96" i="4"/>
  <c r="N122" i="4" s="1"/>
  <c r="F132" i="94"/>
  <c r="T21" i="60"/>
  <c r="X21" i="60"/>
  <c r="S21" i="60"/>
  <c r="K15" i="77"/>
  <c r="I30" i="77"/>
  <c r="Q15" i="77"/>
  <c r="K23" i="60"/>
  <c r="Q23" i="60"/>
  <c r="J20" i="19"/>
  <c r="J21" i="19" s="1"/>
  <c r="K3" i="19"/>
  <c r="I11" i="57"/>
  <c r="C16" i="57"/>
  <c r="C29" i="57" s="1"/>
  <c r="P14" i="60"/>
  <c r="Q22" i="60"/>
  <c r="K22" i="60"/>
  <c r="D19" i="60"/>
  <c r="J18" i="60"/>
  <c r="C13" i="57"/>
  <c r="I12" i="57"/>
  <c r="C17" i="57"/>
  <c r="R25" i="60"/>
  <c r="R33" i="60"/>
  <c r="F19" i="77"/>
  <c r="H18" i="77"/>
  <c r="C27" i="57"/>
  <c r="I14" i="57"/>
  <c r="Q14" i="57" s="1"/>
  <c r="I4" i="77"/>
  <c r="K12" i="77"/>
  <c r="L14" i="77"/>
  <c r="I6" i="77"/>
  <c r="Q12" i="77"/>
  <c r="I10" i="77"/>
  <c r="I8" i="77"/>
  <c r="I17" i="77"/>
  <c r="AC3" i="77"/>
  <c r="AC6" i="77" s="1"/>
  <c r="AC32" i="77" s="1"/>
  <c r="R13" i="60"/>
  <c r="J14" i="60"/>
  <c r="K13" i="60"/>
  <c r="C26" i="57"/>
  <c r="I23" i="57"/>
  <c r="BO110" i="63"/>
  <c r="BP41" i="63"/>
  <c r="AO164" i="69"/>
  <c r="B10" i="57"/>
  <c r="E11" i="57"/>
  <c r="E14" i="57"/>
  <c r="G14" i="57" s="1"/>
  <c r="T20" i="57"/>
  <c r="V20" i="57" s="1"/>
  <c r="E21" i="57"/>
  <c r="G21" i="57" s="1"/>
  <c r="E12" i="57"/>
  <c r="M11" i="57"/>
  <c r="M19" i="57"/>
  <c r="O19" i="57" s="1"/>
  <c r="E20" i="57"/>
  <c r="G20" i="57" s="1"/>
  <c r="T21" i="57"/>
  <c r="V21" i="57" s="1"/>
  <c r="M21" i="57"/>
  <c r="O21" i="57" s="1"/>
  <c r="T26" i="57"/>
  <c r="M23" i="57"/>
  <c r="O23" i="57" s="1"/>
  <c r="M14" i="57"/>
  <c r="E19" i="57"/>
  <c r="G19" i="57" s="1"/>
  <c r="T23" i="57"/>
  <c r="T24" i="57" s="1"/>
  <c r="T12" i="57"/>
  <c r="E23" i="57"/>
  <c r="M12" i="57"/>
  <c r="M22" i="57"/>
  <c r="O22" i="57" s="1"/>
  <c r="T22" i="57"/>
  <c r="V22" i="57" s="1"/>
  <c r="E15" i="57"/>
  <c r="G15" i="57" s="1"/>
  <c r="M20" i="57"/>
  <c r="O20" i="57" s="1"/>
  <c r="T11" i="57"/>
  <c r="T19" i="57"/>
  <c r="V19" i="57" s="1"/>
  <c r="M15" i="57"/>
  <c r="T14" i="57"/>
  <c r="T15" i="57"/>
  <c r="V15" i="57" s="1"/>
  <c r="M26" i="57"/>
  <c r="O26" i="57" s="1"/>
  <c r="E22" i="57"/>
  <c r="G22" i="57" s="1"/>
  <c r="F19" i="60"/>
  <c r="H18" i="60"/>
  <c r="CD29" i="63"/>
  <c r="CD27" i="63"/>
  <c r="Q22" i="77"/>
  <c r="K22" i="77"/>
  <c r="L16" i="77"/>
  <c r="K16" i="77"/>
  <c r="Q16" i="77"/>
  <c r="I31" i="77"/>
  <c r="I15" i="57"/>
  <c r="Q15" i="57" s="1"/>
  <c r="C28" i="57"/>
  <c r="G79" i="4"/>
  <c r="G318" i="4" s="1"/>
  <c r="G96" i="4"/>
  <c r="BJ1" i="38"/>
  <c r="BN1" i="38" s="1"/>
  <c r="BR1" i="38" s="1"/>
  <c r="BF35" i="38"/>
  <c r="Q23" i="77"/>
  <c r="K23" i="77"/>
  <c r="AD16" i="62"/>
  <c r="Q19" i="60"/>
  <c r="DL52" i="63"/>
  <c r="X22" i="93"/>
  <c r="Y24" i="60"/>
  <c r="Y25" i="60" s="1"/>
  <c r="J6" i="77"/>
  <c r="R12" i="77"/>
  <c r="J4" i="77"/>
  <c r="J8" i="77"/>
  <c r="J10" i="77"/>
  <c r="J17" i="77"/>
  <c r="M30" i="77"/>
  <c r="N28" i="57"/>
  <c r="R15" i="60"/>
  <c r="J30" i="60"/>
  <c r="J17" i="60"/>
  <c r="P18" i="77"/>
  <c r="N19" i="77"/>
  <c r="P19" i="77" s="1"/>
  <c r="X15" i="60"/>
  <c r="S15" i="60"/>
  <c r="Q30" i="60"/>
  <c r="Q34" i="60"/>
  <c r="T15" i="60"/>
  <c r="R26" i="79"/>
  <c r="AT90" i="62"/>
  <c r="K15" i="60"/>
  <c r="DM52" i="63"/>
  <c r="I14" i="77"/>
  <c r="Q13" i="77"/>
  <c r="K13" i="77"/>
  <c r="L16" i="60"/>
  <c r="V75" i="62"/>
  <c r="J18" i="77"/>
  <c r="D19" i="77"/>
  <c r="I31" i="60"/>
  <c r="J14" i="77"/>
  <c r="R13" i="77"/>
  <c r="Q20" i="77"/>
  <c r="K20" i="77"/>
  <c r="S16" i="60"/>
  <c r="X16" i="60"/>
  <c r="Q32" i="60"/>
  <c r="Q31" i="60"/>
  <c r="R35" i="79"/>
  <c r="R37" i="79" s="1"/>
  <c r="L168" i="62"/>
  <c r="F96" i="4"/>
  <c r="F79" i="4"/>
  <c r="F318" i="4" s="1"/>
  <c r="AF28" i="54"/>
  <c r="H101" i="4"/>
  <c r="H46" i="19" s="1"/>
  <c r="E18" i="77"/>
  <c r="C19" i="77"/>
  <c r="I18" i="77"/>
  <c r="H79" i="4"/>
  <c r="H318" i="4" s="1"/>
  <c r="R16" i="77"/>
  <c r="J31" i="77"/>
  <c r="W18" i="77"/>
  <c r="U19" i="77"/>
  <c r="Y31" i="77" s="1"/>
  <c r="U19" i="60"/>
  <c r="W18" i="60"/>
  <c r="J25" i="93"/>
  <c r="K25" i="93" s="1"/>
  <c r="J10" i="93"/>
  <c r="Q12" i="93"/>
  <c r="R12" i="93" s="1"/>
  <c r="J24" i="93"/>
  <c r="K24" i="93" s="1"/>
  <c r="O30" i="93"/>
  <c r="O31" i="93" s="1"/>
  <c r="W22" i="93"/>
  <c r="K12" i="93"/>
  <c r="AK115" i="62"/>
  <c r="F63" i="64"/>
  <c r="AF63" i="62"/>
  <c r="AI63" i="62"/>
  <c r="AN84" i="62"/>
  <c r="I84" i="62" s="1"/>
  <c r="B175" i="69" s="1"/>
  <c r="B176" i="69" s="1"/>
  <c r="AL84" i="62"/>
  <c r="AO84" i="62"/>
  <c r="AG77" i="62"/>
  <c r="AK82" i="62"/>
  <c r="AK86" i="62" s="1"/>
  <c r="L26" i="76"/>
  <c r="AH116" i="62"/>
  <c r="AL116" i="62"/>
  <c r="AL115" i="62"/>
  <c r="AP115" i="62"/>
  <c r="AG59" i="64"/>
  <c r="AH59" i="64"/>
  <c r="F33" i="64"/>
  <c r="E4" i="64"/>
  <c r="N215" i="4"/>
  <c r="O207" i="4"/>
  <c r="O203" i="4"/>
  <c r="N211" i="4"/>
  <c r="AL90" i="62"/>
  <c r="AK90" i="62"/>
  <c r="AS84" i="62"/>
  <c r="F5" i="101" s="1"/>
  <c r="AE63" i="62"/>
  <c r="H87" i="62"/>
  <c r="AO90" i="62"/>
  <c r="I259" i="62"/>
  <c r="AM90" i="62"/>
  <c r="CG14" i="63"/>
  <c r="AV11" i="62" s="1"/>
  <c r="CH16" i="63"/>
  <c r="P24" i="93"/>
  <c r="X31" i="93"/>
  <c r="V26" i="93"/>
  <c r="R21" i="93"/>
  <c r="F22" i="66"/>
  <c r="F33" i="66" s="1"/>
  <c r="AK106" i="62"/>
  <c r="AK24" i="62"/>
  <c r="AK102" i="62"/>
  <c r="AK25" i="62"/>
  <c r="F26" i="69"/>
  <c r="F27" i="69" s="1"/>
  <c r="L4" i="76"/>
  <c r="AH59" i="62"/>
  <c r="AK162" i="69"/>
  <c r="AK166" i="69" s="1"/>
  <c r="BK38" i="63"/>
  <c r="D54" i="69"/>
  <c r="AE59" i="62"/>
  <c r="W16" i="62"/>
  <c r="W75" i="62"/>
  <c r="AF90" i="62"/>
  <c r="AF84" i="62"/>
  <c r="G84" i="62" s="1"/>
  <c r="M4" i="76"/>
  <c r="G26" i="69"/>
  <c r="AL106" i="62"/>
  <c r="AL25" i="62"/>
  <c r="G22" i="66"/>
  <c r="G33" i="66" s="1"/>
  <c r="AL24" i="62"/>
  <c r="AL102" i="62"/>
  <c r="AK21" i="62"/>
  <c r="AK36" i="62"/>
  <c r="AA63" i="62"/>
  <c r="AA9" i="62"/>
  <c r="AA82" i="62"/>
  <c r="AA83" i="62" s="1"/>
  <c r="Y75" i="62"/>
  <c r="Y16" i="62"/>
  <c r="C54" i="69"/>
  <c r="AI75" i="62"/>
  <c r="AI16" i="62"/>
  <c r="AI17" i="62"/>
  <c r="AF59" i="64"/>
  <c r="X16" i="62"/>
  <c r="X75" i="62"/>
  <c r="W63" i="62"/>
  <c r="W9" i="62"/>
  <c r="AB16" i="62"/>
  <c r="AB75" i="62"/>
  <c r="V9" i="62"/>
  <c r="V63" i="62"/>
  <c r="AI82" i="62"/>
  <c r="AH75" i="62"/>
  <c r="AD24" i="62"/>
  <c r="AD102" i="62"/>
  <c r="AD110" i="62"/>
  <c r="AD86" i="62" s="1"/>
  <c r="AD106" i="62"/>
  <c r="AF110" i="62"/>
  <c r="AF86" i="62" s="1"/>
  <c r="AF106" i="62"/>
  <c r="AF102" i="62"/>
  <c r="AF24" i="62"/>
  <c r="AC16" i="62"/>
  <c r="AC75" i="62"/>
  <c r="AC82" i="62"/>
  <c r="Z63" i="62"/>
  <c r="Z9" i="62"/>
  <c r="Z82" i="62"/>
  <c r="Z83" i="62" s="1"/>
  <c r="AE16" i="62"/>
  <c r="AE75" i="62"/>
  <c r="AE82" i="62"/>
  <c r="AE17" i="62"/>
  <c r="AK10" i="62"/>
  <c r="AK63" i="62"/>
  <c r="AK9" i="62"/>
  <c r="L2" i="76"/>
  <c r="AC59" i="62"/>
  <c r="B54" i="69"/>
  <c r="X106" i="62"/>
  <c r="X24" i="62"/>
  <c r="AI28" i="62"/>
  <c r="DH31" i="63"/>
  <c r="AK28" i="62"/>
  <c r="V24" i="62"/>
  <c r="V106" i="62"/>
  <c r="Y24" i="62"/>
  <c r="Y106" i="62"/>
  <c r="AA8" i="67" s="1"/>
  <c r="AB102" i="62"/>
  <c r="AB106" i="62"/>
  <c r="AB24" i="62"/>
  <c r="AA16" i="62"/>
  <c r="AA75" i="62"/>
  <c r="AD75" i="62"/>
  <c r="AG10" i="62"/>
  <c r="AG63" i="62"/>
  <c r="AG82" i="62"/>
  <c r="AG9" i="62"/>
  <c r="AG28" i="62"/>
  <c r="B25" i="69"/>
  <c r="Y82" i="62"/>
  <c r="Y63" i="62"/>
  <c r="Y9" i="62"/>
  <c r="AH9" i="62"/>
  <c r="AH10" i="62"/>
  <c r="C25" i="69"/>
  <c r="AH63" i="62"/>
  <c r="AH28" i="62"/>
  <c r="AH82" i="62"/>
  <c r="BK29" i="63"/>
  <c r="BK27" i="63"/>
  <c r="BK28" i="63" s="1"/>
  <c r="AD82" i="62"/>
  <c r="AD88" i="62" s="1"/>
  <c r="AD9" i="62"/>
  <c r="AD63" i="62"/>
  <c r="AE102" i="62"/>
  <c r="AE106" i="62"/>
  <c r="AE110" i="62"/>
  <c r="AE86" i="62" s="1"/>
  <c r="AE24" i="62"/>
  <c r="D25" i="69"/>
  <c r="AI21" i="62"/>
  <c r="Z24" i="62"/>
  <c r="Z106" i="62"/>
  <c r="AC24" i="62"/>
  <c r="AC106" i="62"/>
  <c r="AC102" i="62"/>
  <c r="AC110" i="62"/>
  <c r="AC86" i="62" s="1"/>
  <c r="D72" i="64"/>
  <c r="AG108" i="62"/>
  <c r="AI116" i="62"/>
  <c r="AH106" i="62"/>
  <c r="AB82" i="62"/>
  <c r="AB63" i="62"/>
  <c r="AB9" i="62"/>
  <c r="AG84" i="62"/>
  <c r="AC90" i="62"/>
  <c r="AG102" i="62"/>
  <c r="B26" i="69"/>
  <c r="AG24" i="62"/>
  <c r="AG110" i="62"/>
  <c r="AG106" i="62"/>
  <c r="B22" i="66"/>
  <c r="AI110" i="62"/>
  <c r="AI24" i="62"/>
  <c r="D26" i="69"/>
  <c r="AI102" i="62"/>
  <c r="AI131" i="62" s="1"/>
  <c r="D22" i="66"/>
  <c r="AI106" i="62"/>
  <c r="DQ31" i="63"/>
  <c r="AJ16" i="62"/>
  <c r="AJ75" i="62"/>
  <c r="AJ17" i="62"/>
  <c r="AE59" i="64"/>
  <c r="AO19" i="62"/>
  <c r="AO75" i="62"/>
  <c r="P3" i="76"/>
  <c r="AF16" i="62"/>
  <c r="AF17" i="62"/>
  <c r="AF75" i="62"/>
  <c r="BN55" i="63"/>
  <c r="BO59" i="63"/>
  <c r="AJ59" i="64"/>
  <c r="AG17" i="62"/>
  <c r="Z16" i="62"/>
  <c r="Z75" i="62"/>
  <c r="X9" i="62"/>
  <c r="X82" i="62"/>
  <c r="X63" i="62"/>
  <c r="AE90" i="62"/>
  <c r="E54" i="69"/>
  <c r="AE84" i="62"/>
  <c r="AJ102" i="62"/>
  <c r="AJ110" i="62" s="1"/>
  <c r="AJ24" i="62"/>
  <c r="E22" i="66"/>
  <c r="AJ106" i="62"/>
  <c r="E26" i="69"/>
  <c r="AH84" i="62"/>
  <c r="DR31" i="63"/>
  <c r="AG116" i="62"/>
  <c r="U9" i="62"/>
  <c r="U63" i="62"/>
  <c r="AJ116" i="62"/>
  <c r="AK116" i="62"/>
  <c r="AL127" i="62"/>
  <c r="AX152" i="62"/>
  <c r="AM116" i="62"/>
  <c r="AM115" i="62"/>
  <c r="AA102" i="62"/>
  <c r="AA24" i="62"/>
  <c r="AA106" i="62"/>
  <c r="AI84" i="62"/>
  <c r="M168" i="62"/>
  <c r="J43" i="64"/>
  <c r="J168" i="62"/>
  <c r="L77" i="62"/>
  <c r="H43" i="64" s="1"/>
  <c r="M77" i="62"/>
  <c r="I43" i="64" s="1"/>
  <c r="AJ14" i="62"/>
  <c r="AJ9" i="62"/>
  <c r="AJ82" i="62"/>
  <c r="AJ63" i="62"/>
  <c r="E25" i="69"/>
  <c r="AJ10" i="62"/>
  <c r="AJ28" i="62"/>
  <c r="AI59" i="64"/>
  <c r="AK59" i="64"/>
  <c r="AD84" i="62"/>
  <c r="AD90" i="62"/>
  <c r="U24" i="62"/>
  <c r="U106" i="62"/>
  <c r="AY152" i="62"/>
  <c r="R18" i="93"/>
  <c r="S18" i="93"/>
  <c r="AL63" i="62"/>
  <c r="AL9" i="62"/>
  <c r="M2" i="76"/>
  <c r="AL10" i="62"/>
  <c r="N208" i="4"/>
  <c r="N216" i="4" s="1"/>
  <c r="U244" i="4" s="1"/>
  <c r="N206" i="4"/>
  <c r="E70" i="62"/>
  <c r="E69" i="62" s="1"/>
  <c r="E80" i="62" s="1"/>
  <c r="E81" i="62" s="1"/>
  <c r="K79" i="4"/>
  <c r="K318" i="4" s="1"/>
  <c r="AM57" i="62"/>
  <c r="AM93" i="62" s="1"/>
  <c r="AM95" i="62" s="1"/>
  <c r="AM96" i="62" s="1"/>
  <c r="AM97" i="62" s="1"/>
  <c r="AN49" i="62"/>
  <c r="AM50" i="62"/>
  <c r="D89" i="62"/>
  <c r="AC89" i="62" s="1"/>
  <c r="AJ46" i="62"/>
  <c r="G130" i="62"/>
  <c r="G131" i="62" s="1"/>
  <c r="AC74" i="4"/>
  <c r="AC75" i="4" s="1"/>
  <c r="AB114" i="4" s="1"/>
  <c r="P27" i="93"/>
  <c r="L79" i="4"/>
  <c r="L318" i="4" s="1"/>
  <c r="E93" i="62"/>
  <c r="E95" i="62" s="1"/>
  <c r="E99" i="62" s="1"/>
  <c r="M244" i="4"/>
  <c r="L209" i="4"/>
  <c r="N205" i="4"/>
  <c r="M217" i="4"/>
  <c r="M246" i="4" s="1"/>
  <c r="K244" i="4"/>
  <c r="L244" i="4"/>
  <c r="N244" i="4"/>
  <c r="E1" i="4"/>
  <c r="F63" i="4"/>
  <c r="F297" i="4"/>
  <c r="E118" i="4"/>
  <c r="Q63" i="4"/>
  <c r="Q254" i="4"/>
  <c r="Q238" i="4"/>
  <c r="P244" i="4" s="1"/>
  <c r="Q226" i="4"/>
  <c r="I3" i="64"/>
  <c r="Q297" i="4"/>
  <c r="Q27" i="79"/>
  <c r="R28" i="79" s="1"/>
  <c r="F119" i="62"/>
  <c r="G119" i="62"/>
  <c r="E119" i="62"/>
  <c r="AJ49" i="62"/>
  <c r="AJ57" i="62" s="1"/>
  <c r="AJ59" i="62" s="1"/>
  <c r="AJ130" i="62"/>
  <c r="J117" i="4"/>
  <c r="J69" i="19" s="1"/>
  <c r="S27" i="79"/>
  <c r="S28" i="79" s="1"/>
  <c r="S35" i="79"/>
  <c r="S26" i="79"/>
  <c r="M78" i="4"/>
  <c r="K96" i="4"/>
  <c r="K97" i="4" s="1"/>
  <c r="K319" i="4" s="1"/>
  <c r="K117" i="4"/>
  <c r="M209" i="4"/>
  <c r="AK98" i="62"/>
  <c r="AO100" i="62" s="1"/>
  <c r="B98" i="62"/>
  <c r="B192" i="62" s="1"/>
  <c r="B191" i="62" s="1"/>
  <c r="M77" i="4"/>
  <c r="G100" i="76"/>
  <c r="C93" i="62"/>
  <c r="C95" i="62" s="1"/>
  <c r="C99" i="62" s="1"/>
  <c r="H96" i="76"/>
  <c r="I96" i="76" s="1"/>
  <c r="J96" i="76" s="1"/>
  <c r="K96" i="76" s="1"/>
  <c r="Q36" i="79"/>
  <c r="J176" i="62"/>
  <c r="J177" i="62" s="1"/>
  <c r="AQ98" i="62"/>
  <c r="F36" i="62"/>
  <c r="F39" i="62" s="1"/>
  <c r="F87" i="62"/>
  <c r="H88" i="62"/>
  <c r="AP98" i="62"/>
  <c r="AP100" i="62" s="1"/>
  <c r="AH115" i="62"/>
  <c r="AH90" i="62"/>
  <c r="AG115" i="62"/>
  <c r="AG90" i="62"/>
  <c r="AI90" i="62"/>
  <c r="AI115" i="62"/>
  <c r="AJ115" i="62"/>
  <c r="AJ90" i="62"/>
  <c r="F134" i="62"/>
  <c r="F133" i="62"/>
  <c r="F113" i="62"/>
  <c r="F88" i="62"/>
  <c r="F89" i="62" s="1"/>
  <c r="AE89" i="62" s="1"/>
  <c r="F80" i="62"/>
  <c r="F81" i="62" s="1"/>
  <c r="AM98" i="62"/>
  <c r="W157" i="62"/>
  <c r="X150" i="62"/>
  <c r="F130" i="62"/>
  <c r="F131" i="62" s="1"/>
  <c r="D96" i="62"/>
  <c r="D194" i="62" s="1"/>
  <c r="D99" i="62"/>
  <c r="H39" i="62"/>
  <c r="H40" i="62" s="1"/>
  <c r="G113" i="62"/>
  <c r="G88" i="62"/>
  <c r="G133" i="62"/>
  <c r="G132" i="62"/>
  <c r="G80" i="62"/>
  <c r="G81" i="62" s="1"/>
  <c r="G134" i="62"/>
  <c r="AR98" i="62"/>
  <c r="B17" i="66"/>
  <c r="B10" i="66" s="1"/>
  <c r="E130" i="62"/>
  <c r="E131" i="62" s="1"/>
  <c r="CH45" i="63"/>
  <c r="BV40" i="63"/>
  <c r="BV45" i="63"/>
  <c r="I117" i="4"/>
  <c r="J79" i="4"/>
  <c r="J318" i="4" s="1"/>
  <c r="I96" i="4"/>
  <c r="I122" i="4" s="1"/>
  <c r="P204" i="4"/>
  <c r="E175" i="69"/>
  <c r="F176" i="69" s="1"/>
  <c r="CI16" i="63"/>
  <c r="J118" i="4"/>
  <c r="E9" i="19" s="1"/>
  <c r="J122" i="4"/>
  <c r="J101" i="4"/>
  <c r="L69" i="19"/>
  <c r="G6" i="19"/>
  <c r="BH43" i="63"/>
  <c r="AI162" i="69" s="1"/>
  <c r="BI38" i="63"/>
  <c r="BI40" i="63" s="1"/>
  <c r="BH40" i="63"/>
  <c r="AH166" i="69"/>
  <c r="AH163" i="69"/>
  <c r="BJ90" i="63"/>
  <c r="BI110" i="63"/>
  <c r="AM57" i="64"/>
  <c r="AM59" i="64" s="1"/>
  <c r="L151" i="4"/>
  <c r="L132" i="4"/>
  <c r="P26" i="93"/>
  <c r="P30" i="93"/>
  <c r="R17" i="93"/>
  <c r="X17" i="93"/>
  <c r="Y17" i="93" s="1"/>
  <c r="AC20" i="93" s="1"/>
  <c r="AC36" i="93" s="1"/>
  <c r="AC22" i="93"/>
  <c r="Y18" i="93"/>
  <c r="AC23" i="93" s="1"/>
  <c r="J26" i="93"/>
  <c r="Q16" i="93"/>
  <c r="X15" i="93"/>
  <c r="Y15" i="93" s="1"/>
  <c r="AC29" i="93" s="1"/>
  <c r="R15" i="93"/>
  <c r="W16" i="93"/>
  <c r="AD13" i="93"/>
  <c r="P25" i="93"/>
  <c r="P35" i="93"/>
  <c r="W12" i="93"/>
  <c r="P32" i="93"/>
  <c r="P31" i="93"/>
  <c r="X14" i="93"/>
  <c r="Y14" i="93" s="1"/>
  <c r="AC26" i="93" s="1"/>
  <c r="CD41" i="63"/>
  <c r="CK49" i="63" s="1"/>
  <c r="CC110" i="63"/>
  <c r="BE32" i="63"/>
  <c r="BE25" i="63"/>
  <c r="BE28" i="63"/>
  <c r="BE22" i="63"/>
  <c r="BP10" i="63"/>
  <c r="BO35" i="63"/>
  <c r="BO98" i="63"/>
  <c r="BC33" i="63"/>
  <c r="BC36" i="63"/>
  <c r="J76" i="62"/>
  <c r="F43" i="64"/>
  <c r="F270" i="69"/>
  <c r="G270" i="69"/>
  <c r="D270" i="69"/>
  <c r="E270" i="69"/>
  <c r="BO9" i="63"/>
  <c r="BD9" i="63"/>
  <c r="B112" i="69"/>
  <c r="F44" i="69"/>
  <c r="F45" i="69" s="1"/>
  <c r="AR84" i="62"/>
  <c r="M243" i="4"/>
  <c r="BE112" i="63"/>
  <c r="F156" i="69"/>
  <c r="BE8" i="63"/>
  <c r="BE21" i="63"/>
  <c r="BE12" i="63"/>
  <c r="BE5" i="63"/>
  <c r="AL17" i="62"/>
  <c r="AL16" i="62"/>
  <c r="AL28" i="62"/>
  <c r="AL75" i="62"/>
  <c r="G25" i="69"/>
  <c r="M3" i="76"/>
  <c r="AL19" i="62"/>
  <c r="AL82" i="62"/>
  <c r="BD25" i="63"/>
  <c r="BD32" i="63"/>
  <c r="BD28" i="63"/>
  <c r="E156" i="69"/>
  <c r="E157" i="69" s="1"/>
  <c r="C156" i="69"/>
  <c r="D157" i="69" s="1"/>
  <c r="AS90" i="62"/>
  <c r="BD61" i="63"/>
  <c r="BF20" i="63"/>
  <c r="AM15" i="62" s="1"/>
  <c r="AM18" i="62" s="1"/>
  <c r="AL21" i="62" l="1"/>
  <c r="AL59" i="62"/>
  <c r="AM60" i="64"/>
  <c r="CV59" i="63"/>
  <c r="DG59" i="63"/>
  <c r="DS59" i="63" s="1"/>
  <c r="EE59" i="63" s="1"/>
  <c r="EQ59" i="63" s="1"/>
  <c r="FC59" i="63" s="1"/>
  <c r="FO59" i="63" s="1"/>
  <c r="EX31" i="63"/>
  <c r="FW31" i="63"/>
  <c r="W27" i="93"/>
  <c r="K26" i="93"/>
  <c r="Y22" i="93"/>
  <c r="AC11" i="93" s="1"/>
  <c r="I234" i="69"/>
  <c r="R36" i="79"/>
  <c r="Q37" i="77"/>
  <c r="AR81" i="62"/>
  <c r="J84" i="62"/>
  <c r="H85" i="62"/>
  <c r="G85" i="62"/>
  <c r="S1" i="4"/>
  <c r="R297" i="4"/>
  <c r="R254" i="4"/>
  <c r="R238" i="4"/>
  <c r="R226" i="4"/>
  <c r="R63" i="4"/>
  <c r="U229" i="4"/>
  <c r="B63" i="4"/>
  <c r="E7" i="54" s="1"/>
  <c r="L46" i="19"/>
  <c r="Q37" i="60"/>
  <c r="G7" i="19"/>
  <c r="L104" i="4"/>
  <c r="AK22" i="19" s="1"/>
  <c r="C27" i="94"/>
  <c r="P37" i="93"/>
  <c r="F115" i="64"/>
  <c r="F118" i="64" s="1"/>
  <c r="F119" i="64" s="1"/>
  <c r="F120" i="64" s="1"/>
  <c r="K115" i="64"/>
  <c r="L115" i="64"/>
  <c r="N115" i="64"/>
  <c r="O115" i="64"/>
  <c r="F303" i="62"/>
  <c r="E303" i="62"/>
  <c r="D303" i="62"/>
  <c r="AF87" i="62"/>
  <c r="BM2" i="62"/>
  <c r="E69" i="64"/>
  <c r="BH1" i="62"/>
  <c r="BP2" i="62"/>
  <c r="BO2" i="62"/>
  <c r="BG1" i="62"/>
  <c r="BJ1" i="62"/>
  <c r="BR2" i="62"/>
  <c r="FW18" i="63"/>
  <c r="FY18" i="63"/>
  <c r="FX18" i="63"/>
  <c r="FQ18" i="63"/>
  <c r="FR18" i="63"/>
  <c r="FV18" i="63"/>
  <c r="CA312" i="62"/>
  <c r="CA51" i="62" s="1"/>
  <c r="CA304" i="62"/>
  <c r="CC303" i="62"/>
  <c r="CB303" i="62"/>
  <c r="BD1" i="62"/>
  <c r="BC1" i="62"/>
  <c r="D45" i="54"/>
  <c r="D37" i="54"/>
  <c r="E45" i="54"/>
  <c r="E37" i="54"/>
  <c r="F37" i="54"/>
  <c r="F45" i="54"/>
  <c r="N101" i="4"/>
  <c r="E27" i="94" s="1"/>
  <c r="H151" i="4"/>
  <c r="H286" i="4" s="1"/>
  <c r="AC79" i="4"/>
  <c r="AC103" i="4" s="1"/>
  <c r="O229" i="4"/>
  <c r="E17" i="54"/>
  <c r="F17" i="54"/>
  <c r="F9" i="54"/>
  <c r="F13" i="54"/>
  <c r="E3" i="54"/>
  <c r="AE24" i="54" s="1"/>
  <c r="AE37" i="54" s="1"/>
  <c r="E15" i="54"/>
  <c r="E5" i="54"/>
  <c r="AE25" i="54" s="1"/>
  <c r="AE38" i="54" s="1"/>
  <c r="CK45" i="63"/>
  <c r="H23" i="66"/>
  <c r="I37" i="66" s="1"/>
  <c r="H2" i="54"/>
  <c r="H22" i="54"/>
  <c r="Q31" i="93"/>
  <c r="Q25" i="93"/>
  <c r="R25" i="93" s="1"/>
  <c r="Q30" i="93"/>
  <c r="N151" i="4"/>
  <c r="N286" i="4" s="1"/>
  <c r="N132" i="4"/>
  <c r="E97" i="62"/>
  <c r="E96" i="62" s="1"/>
  <c r="E194" i="62" s="1"/>
  <c r="J180" i="62"/>
  <c r="AE88" i="62"/>
  <c r="AE93" i="62" s="1"/>
  <c r="AE95" i="62" s="1"/>
  <c r="AE96" i="62" s="1"/>
  <c r="AE97" i="62" s="1"/>
  <c r="AM110" i="62"/>
  <c r="AM112" i="62" s="1"/>
  <c r="AM128" i="62" s="1"/>
  <c r="C34" i="66"/>
  <c r="AT147" i="62"/>
  <c r="D34" i="69"/>
  <c r="AK83" i="62"/>
  <c r="H228" i="69" s="1"/>
  <c r="G101" i="4"/>
  <c r="H102" i="4" s="1"/>
  <c r="G97" i="4"/>
  <c r="G319" i="4" s="1"/>
  <c r="G118" i="4"/>
  <c r="BP110" i="63"/>
  <c r="BQ41" i="63"/>
  <c r="AP164" i="69"/>
  <c r="CB83" i="63"/>
  <c r="C18" i="57"/>
  <c r="I17" i="57"/>
  <c r="AC87" i="62"/>
  <c r="H97" i="4"/>
  <c r="H319" i="4" s="1"/>
  <c r="Q18" i="77"/>
  <c r="X13" i="77"/>
  <c r="S13" i="77"/>
  <c r="Q36" i="77"/>
  <c r="S31" i="77"/>
  <c r="Q14" i="77"/>
  <c r="T13" i="77"/>
  <c r="Q12" i="57"/>
  <c r="I13" i="57"/>
  <c r="AD24" i="77"/>
  <c r="X24" i="77"/>
  <c r="S24" i="77"/>
  <c r="Q33" i="77"/>
  <c r="Q25" i="77"/>
  <c r="N79" i="4"/>
  <c r="N318" i="4" s="1"/>
  <c r="E132" i="94"/>
  <c r="CE41" i="63"/>
  <c r="CL49" i="63" s="1"/>
  <c r="CL45" i="63" s="1"/>
  <c r="H104" i="4"/>
  <c r="H62" i="4" s="1"/>
  <c r="X15" i="57"/>
  <c r="O12" i="57"/>
  <c r="M17" i="57"/>
  <c r="M13" i="57"/>
  <c r="O13" i="57" s="1"/>
  <c r="Q23" i="57"/>
  <c r="I26" i="57"/>
  <c r="Q26" i="57" s="1"/>
  <c r="X26" i="57" s="1"/>
  <c r="E26" i="57"/>
  <c r="G26" i="57" s="1"/>
  <c r="G23" i="57"/>
  <c r="J19" i="60"/>
  <c r="R18" i="60"/>
  <c r="Q27" i="77"/>
  <c r="K27" i="77"/>
  <c r="X20" i="60"/>
  <c r="S20" i="60"/>
  <c r="T20" i="60"/>
  <c r="Q31" i="77"/>
  <c r="S16" i="77"/>
  <c r="Q32" i="77"/>
  <c r="X16" i="77"/>
  <c r="T16" i="77"/>
  <c r="T17" i="57"/>
  <c r="T13" i="57"/>
  <c r="V12" i="57"/>
  <c r="F101" i="4"/>
  <c r="F97" i="4"/>
  <c r="F319" i="4" s="1"/>
  <c r="F118" i="4"/>
  <c r="R14" i="60"/>
  <c r="R36" i="60"/>
  <c r="Y13" i="60"/>
  <c r="S13" i="60"/>
  <c r="S22" i="60"/>
  <c r="X22" i="60"/>
  <c r="Z22" i="60" s="1"/>
  <c r="R3" i="77"/>
  <c r="R4" i="77" s="1"/>
  <c r="R5" i="77"/>
  <c r="R6" i="77" s="1"/>
  <c r="R17" i="77"/>
  <c r="R7" i="77"/>
  <c r="R8" i="77" s="1"/>
  <c r="R35" i="77"/>
  <c r="Y12" i="77"/>
  <c r="O14" i="57"/>
  <c r="X22" i="77"/>
  <c r="Z22" i="77" s="1"/>
  <c r="S22" i="77"/>
  <c r="I16" i="57"/>
  <c r="Q11" i="57"/>
  <c r="Q29" i="57" s="1"/>
  <c r="Q35" i="60"/>
  <c r="S12" i="60"/>
  <c r="Q7" i="60"/>
  <c r="Q3" i="60"/>
  <c r="AD13" i="60"/>
  <c r="X12" i="60"/>
  <c r="Q28" i="60"/>
  <c r="Q17" i="60"/>
  <c r="Q5" i="60"/>
  <c r="U29" i="60"/>
  <c r="V29" i="60" s="1"/>
  <c r="Q14" i="60"/>
  <c r="R30" i="77"/>
  <c r="Y15" i="77"/>
  <c r="CE29" i="63"/>
  <c r="CE27" i="63" s="1"/>
  <c r="K20" i="19"/>
  <c r="K21" i="19" s="1"/>
  <c r="L3" i="19"/>
  <c r="AE87" i="62"/>
  <c r="Z16" i="60"/>
  <c r="AC29" i="60" s="1"/>
  <c r="AC28" i="60"/>
  <c r="AC30" i="60" s="1"/>
  <c r="AC39" i="60" s="1"/>
  <c r="X12" i="77"/>
  <c r="Q28" i="77"/>
  <c r="Q17" i="77"/>
  <c r="S17" i="77" s="1"/>
  <c r="Q3" i="77"/>
  <c r="Q35" i="77"/>
  <c r="Q7" i="77"/>
  <c r="S12" i="77"/>
  <c r="Q5" i="77"/>
  <c r="AD13" i="77"/>
  <c r="U29" i="77"/>
  <c r="V29" i="77" s="1"/>
  <c r="AC25" i="60"/>
  <c r="X23" i="60"/>
  <c r="Z23" i="60" s="1"/>
  <c r="S23" i="60"/>
  <c r="S24" i="60"/>
  <c r="AD24" i="60"/>
  <c r="Q33" i="60"/>
  <c r="X24" i="60"/>
  <c r="Q25" i="60"/>
  <c r="X20" i="77"/>
  <c r="S20" i="77"/>
  <c r="T20" i="77"/>
  <c r="M16" i="57"/>
  <c r="O11" i="57"/>
  <c r="M7" i="57"/>
  <c r="M3" i="57"/>
  <c r="M8" i="57"/>
  <c r="M5" i="57"/>
  <c r="S15" i="77"/>
  <c r="Q34" i="77"/>
  <c r="Q30" i="77"/>
  <c r="X15" i="77"/>
  <c r="T15" i="77"/>
  <c r="R14" i="77"/>
  <c r="R36" i="77"/>
  <c r="Y13" i="77"/>
  <c r="G12" i="57"/>
  <c r="E17" i="57"/>
  <c r="E13" i="57"/>
  <c r="K27" i="60"/>
  <c r="Q27" i="60"/>
  <c r="CJ16" i="63"/>
  <c r="CJ10" i="63" s="1"/>
  <c r="T30" i="57"/>
  <c r="V14" i="57"/>
  <c r="X14" i="57"/>
  <c r="R30" i="60"/>
  <c r="R17" i="60"/>
  <c r="Y15" i="60"/>
  <c r="Y17" i="60" s="1"/>
  <c r="M28" i="57"/>
  <c r="O15" i="57"/>
  <c r="R25" i="77"/>
  <c r="R33" i="77"/>
  <c r="Y24" i="77"/>
  <c r="R31" i="77"/>
  <c r="Y16" i="77"/>
  <c r="X18" i="60"/>
  <c r="X23" i="77"/>
  <c r="Z23" i="77" s="1"/>
  <c r="S23" i="77"/>
  <c r="Z21" i="60"/>
  <c r="AC23" i="60" s="1"/>
  <c r="AC22" i="60"/>
  <c r="G22" i="54"/>
  <c r="P2" i="54"/>
  <c r="Y23" i="54"/>
  <c r="P22" i="54"/>
  <c r="AG28" i="54"/>
  <c r="X21" i="77"/>
  <c r="S21" i="77"/>
  <c r="T21" i="77"/>
  <c r="V28" i="77"/>
  <c r="J19" i="77"/>
  <c r="R18" i="77"/>
  <c r="R19" i="77" s="1"/>
  <c r="V11" i="57"/>
  <c r="T16" i="57"/>
  <c r="T3" i="57"/>
  <c r="T5" i="57"/>
  <c r="T7" i="57"/>
  <c r="T9" i="57"/>
  <c r="G11" i="57"/>
  <c r="E16" i="57"/>
  <c r="E7" i="57"/>
  <c r="E3" i="57"/>
  <c r="E5" i="57"/>
  <c r="E9" i="57"/>
  <c r="G30" i="77"/>
  <c r="G31" i="77" s="1"/>
  <c r="I19" i="77"/>
  <c r="B20" i="57"/>
  <c r="B15" i="57"/>
  <c r="B22" i="57"/>
  <c r="B21" i="57"/>
  <c r="B11" i="57"/>
  <c r="M27" i="57" s="1"/>
  <c r="B19" i="57"/>
  <c r="B23" i="57"/>
  <c r="B12" i="57"/>
  <c r="B14" i="57"/>
  <c r="B197" i="69"/>
  <c r="B202" i="69" s="1"/>
  <c r="AK101" i="62"/>
  <c r="P16" i="76"/>
  <c r="AK81" i="62"/>
  <c r="AK85" i="62"/>
  <c r="Q35" i="93"/>
  <c r="X12" i="93"/>
  <c r="X25" i="93" s="1"/>
  <c r="Q27" i="93"/>
  <c r="R27" i="93" s="1"/>
  <c r="Q24" i="93"/>
  <c r="R24" i="93" s="1"/>
  <c r="I33" i="66"/>
  <c r="AK160" i="62"/>
  <c r="AF85" i="62"/>
  <c r="I90" i="62"/>
  <c r="AL14" i="62"/>
  <c r="L5" i="76"/>
  <c r="AK161" i="62"/>
  <c r="N116" i="4"/>
  <c r="F36" i="64"/>
  <c r="G32" i="64" s="1"/>
  <c r="AH60" i="64"/>
  <c r="AH47" i="64" s="1"/>
  <c r="AH41" i="64"/>
  <c r="N214" i="4"/>
  <c r="N242" i="4" s="1"/>
  <c r="O206" i="4"/>
  <c r="O211" i="4"/>
  <c r="P203" i="4"/>
  <c r="N213" i="4"/>
  <c r="N241" i="4" s="1"/>
  <c r="O205" i="4"/>
  <c r="O213" i="4" s="1"/>
  <c r="O241" i="4" s="1"/>
  <c r="O208" i="4"/>
  <c r="O216" i="4" s="1"/>
  <c r="O215" i="4"/>
  <c r="P207" i="4"/>
  <c r="Q207" i="4" s="1"/>
  <c r="R207" i="4" s="1"/>
  <c r="S207" i="4" s="1"/>
  <c r="T207" i="4" s="1"/>
  <c r="U207" i="4" s="1"/>
  <c r="AC88" i="62"/>
  <c r="AC93" i="62" s="1"/>
  <c r="AC95" i="62" s="1"/>
  <c r="AC96" i="62" s="1"/>
  <c r="AC97" i="62" s="1"/>
  <c r="AC85" i="62"/>
  <c r="AC83" i="62"/>
  <c r="M5" i="76"/>
  <c r="AD87" i="62"/>
  <c r="E34" i="69"/>
  <c r="E235" i="69"/>
  <c r="BP59" i="63"/>
  <c r="BO55" i="63"/>
  <c r="D27" i="69"/>
  <c r="D44" i="69"/>
  <c r="D45" i="69" s="1"/>
  <c r="AH83" i="62"/>
  <c r="E228" i="69" s="1"/>
  <c r="M16" i="76"/>
  <c r="AH85" i="62"/>
  <c r="AA17" i="67"/>
  <c r="AA35" i="67" s="1"/>
  <c r="AA26" i="67" s="1"/>
  <c r="AB8" i="67"/>
  <c r="AA4" i="67"/>
  <c r="G23" i="66"/>
  <c r="H37" i="66" s="1"/>
  <c r="H234" i="69"/>
  <c r="L32" i="76"/>
  <c r="O16" i="76"/>
  <c r="O15" i="76" s="1"/>
  <c r="AJ85" i="62"/>
  <c r="AJ83" i="62"/>
  <c r="G228" i="69" s="1"/>
  <c r="AH86" i="62"/>
  <c r="AH88" i="62"/>
  <c r="AH89" i="62" s="1"/>
  <c r="C49" i="69" s="1"/>
  <c r="E234" i="69"/>
  <c r="D23" i="66"/>
  <c r="E37" i="66" s="1"/>
  <c r="AG131" i="62"/>
  <c r="AH113" i="62"/>
  <c r="AH119" i="62"/>
  <c r="AJ221" i="62"/>
  <c r="AG83" i="62"/>
  <c r="D228" i="69" s="1"/>
  <c r="AG85" i="62"/>
  <c r="L16" i="76"/>
  <c r="D34" i="66"/>
  <c r="D33" i="66"/>
  <c r="C44" i="69"/>
  <c r="C45" i="69" s="1"/>
  <c r="C27" i="69"/>
  <c r="AK125" i="62"/>
  <c r="C123" i="76" s="1"/>
  <c r="AK110" i="62"/>
  <c r="AK112" i="62" s="1"/>
  <c r="AK113" i="62" s="1"/>
  <c r="AK119" i="62"/>
  <c r="AK163" i="62" s="1"/>
  <c r="H115" i="62"/>
  <c r="D115" i="62" s="1"/>
  <c r="E115" i="62" s="1"/>
  <c r="AK14" i="62"/>
  <c r="AF221" i="62"/>
  <c r="G234" i="69"/>
  <c r="F23" i="66"/>
  <c r="G37" i="66" s="1"/>
  <c r="K32" i="76"/>
  <c r="AH221" i="62"/>
  <c r="AG221" i="62"/>
  <c r="H16" i="76"/>
  <c r="AF218" i="62"/>
  <c r="J223" i="69" s="1"/>
  <c r="B226" i="69" s="1"/>
  <c r="AG41" i="64"/>
  <c r="AG60" i="64"/>
  <c r="AG47" i="64" s="1"/>
  <c r="AF60" i="64"/>
  <c r="AF47" i="64" s="1"/>
  <c r="AF41" i="64"/>
  <c r="AL60" i="64"/>
  <c r="AK60" i="64"/>
  <c r="AK47" i="64" s="1"/>
  <c r="AI86" i="62"/>
  <c r="AI112" i="62"/>
  <c r="F234" i="69"/>
  <c r="E23" i="66"/>
  <c r="F37" i="66" s="1"/>
  <c r="AI41" i="64"/>
  <c r="AI60" i="64"/>
  <c r="AI47" i="64" s="1"/>
  <c r="G16" i="76"/>
  <c r="AB83" i="62"/>
  <c r="I16" i="76"/>
  <c r="AD83" i="62"/>
  <c r="AD85" i="62"/>
  <c r="J16" i="76"/>
  <c r="AE83" i="62"/>
  <c r="AE85" i="62"/>
  <c r="N16" i="76"/>
  <c r="AI85" i="62"/>
  <c r="AI83" i="62"/>
  <c r="F228" i="69" s="1"/>
  <c r="AL110" i="62"/>
  <c r="AL112" i="62" s="1"/>
  <c r="AL113" i="62" s="1"/>
  <c r="AL119" i="62"/>
  <c r="BK90" i="63"/>
  <c r="BK37" i="63"/>
  <c r="BL38" i="63"/>
  <c r="BK40" i="63"/>
  <c r="AF83" i="62"/>
  <c r="C228" i="69" s="1"/>
  <c r="AD93" i="62"/>
  <c r="AD95" i="62" s="1"/>
  <c r="AD96" i="62" s="1"/>
  <c r="AD97" i="62" s="1"/>
  <c r="AJ86" i="62"/>
  <c r="AJ60" i="64"/>
  <c r="AJ47" i="64" s="1"/>
  <c r="AJ41" i="64"/>
  <c r="B33" i="66"/>
  <c r="B34" i="66"/>
  <c r="AJ131" i="62"/>
  <c r="F34" i="69" s="1"/>
  <c r="C234" i="69"/>
  <c r="B23" i="66"/>
  <c r="C37" i="66" s="1"/>
  <c r="C23" i="66"/>
  <c r="D37" i="66" s="1"/>
  <c r="D234" i="69"/>
  <c r="AJ112" i="62"/>
  <c r="E27" i="69"/>
  <c r="E44" i="69"/>
  <c r="E45" i="69" s="1"/>
  <c r="AP165" i="62"/>
  <c r="AG112" i="62"/>
  <c r="AG86" i="62"/>
  <c r="BL29" i="63"/>
  <c r="BL27" i="63" s="1"/>
  <c r="BL28" i="63" s="1"/>
  <c r="B44" i="69"/>
  <c r="B45" i="69" s="1"/>
  <c r="B27" i="69"/>
  <c r="AI221" i="62"/>
  <c r="CA74" i="63"/>
  <c r="CA73" i="63"/>
  <c r="AC25" i="93"/>
  <c r="AC27" i="93" s="1"/>
  <c r="AC38" i="93" s="1"/>
  <c r="AK99" i="62"/>
  <c r="H230" i="69" s="1"/>
  <c r="E6" i="19"/>
  <c r="AN50" i="62"/>
  <c r="AN57" i="62"/>
  <c r="AN93" i="62" s="1"/>
  <c r="AN95" i="62" s="1"/>
  <c r="CD82" i="63"/>
  <c r="CD83" i="63"/>
  <c r="C96" i="62"/>
  <c r="C194" i="62" s="1"/>
  <c r="T18" i="77"/>
  <c r="Q28" i="79"/>
  <c r="N209" i="4"/>
  <c r="B45" i="54"/>
  <c r="B37" i="54"/>
  <c r="C45" i="54"/>
  <c r="C37" i="54"/>
  <c r="E63" i="4"/>
  <c r="E46" i="19"/>
  <c r="Q244" i="4"/>
  <c r="Q229" i="4"/>
  <c r="J3" i="64"/>
  <c r="B197" i="62"/>
  <c r="K69" i="19"/>
  <c r="F6" i="19"/>
  <c r="AQ100" i="62"/>
  <c r="K122" i="4"/>
  <c r="L97" i="4"/>
  <c r="L319" i="4" s="1"/>
  <c r="K101" i="4"/>
  <c r="K102" i="4" s="1"/>
  <c r="S16" i="93"/>
  <c r="M79" i="4"/>
  <c r="M318" i="4" s="1"/>
  <c r="S36" i="79"/>
  <c r="S37" i="79"/>
  <c r="M117" i="4"/>
  <c r="M69" i="19" s="1"/>
  <c r="T18" i="60"/>
  <c r="AB74" i="4"/>
  <c r="M96" i="4"/>
  <c r="H101" i="76"/>
  <c r="H100" i="76"/>
  <c r="E176" i="69"/>
  <c r="Y150" i="62"/>
  <c r="X157" i="62"/>
  <c r="F93" i="62"/>
  <c r="F95" i="62" s="1"/>
  <c r="G89" i="62"/>
  <c r="AF89" i="62" s="1"/>
  <c r="AF88" i="62" s="1"/>
  <c r="AF93" i="62" s="1"/>
  <c r="AF95" i="62" s="1"/>
  <c r="AF96" i="62" s="1"/>
  <c r="AF97" i="62" s="1"/>
  <c r="G93" i="62"/>
  <c r="G95" i="62" s="1"/>
  <c r="G98" i="62" s="1"/>
  <c r="D98" i="62"/>
  <c r="D192" i="62" s="1"/>
  <c r="H89" i="62"/>
  <c r="H93" i="62"/>
  <c r="H95" i="62" s="1"/>
  <c r="I101" i="4"/>
  <c r="I102" i="4" s="1"/>
  <c r="J97" i="4"/>
  <c r="J319" i="4" s="1"/>
  <c r="CH46" i="63"/>
  <c r="I118" i="4"/>
  <c r="M229" i="4"/>
  <c r="M233" i="4" s="1"/>
  <c r="I97" i="4"/>
  <c r="I319" i="4" s="1"/>
  <c r="P229" i="4"/>
  <c r="Q204" i="4"/>
  <c r="R204" i="4" s="1"/>
  <c r="S204" i="4" s="1"/>
  <c r="I151" i="4"/>
  <c r="I132" i="4"/>
  <c r="BI43" i="63"/>
  <c r="AJ162" i="69" s="1"/>
  <c r="AK163" i="69" s="1"/>
  <c r="AN25" i="62"/>
  <c r="E7" i="19"/>
  <c r="E17" i="19" s="1"/>
  <c r="J46" i="19"/>
  <c r="J104" i="4"/>
  <c r="J151" i="4"/>
  <c r="J132" i="4"/>
  <c r="AI166" i="69"/>
  <c r="AI163" i="69"/>
  <c r="I260" i="62"/>
  <c r="J260" i="62" s="1"/>
  <c r="AN116" i="62"/>
  <c r="I116" i="62" s="1"/>
  <c r="AO115" i="62"/>
  <c r="AO116" i="62"/>
  <c r="AN115" i="62"/>
  <c r="I115" i="62" s="1"/>
  <c r="H175" i="4"/>
  <c r="C6" i="54"/>
  <c r="C15" i="54"/>
  <c r="B3" i="54"/>
  <c r="AB24" i="54" s="1"/>
  <c r="C16" i="54"/>
  <c r="B6" i="54"/>
  <c r="B14" i="54"/>
  <c r="C13" i="54"/>
  <c r="B9" i="54"/>
  <c r="B8" i="54"/>
  <c r="B13" i="54"/>
  <c r="B4" i="54"/>
  <c r="C9" i="54"/>
  <c r="L286" i="4"/>
  <c r="L175" i="4"/>
  <c r="AC24" i="93"/>
  <c r="AC37" i="93" s="1"/>
  <c r="X16" i="93"/>
  <c r="Q26" i="93"/>
  <c r="R26" i="93" s="1"/>
  <c r="R16" i="93"/>
  <c r="W26" i="93"/>
  <c r="W10" i="93"/>
  <c r="W25" i="93"/>
  <c r="AC28" i="93"/>
  <c r="AC30" i="93" s="1"/>
  <c r="AC39" i="93" s="1"/>
  <c r="W24" i="93"/>
  <c r="CD110" i="63"/>
  <c r="CE75" i="63"/>
  <c r="AM16" i="62"/>
  <c r="AM75" i="62"/>
  <c r="N3" i="76"/>
  <c r="AM17" i="62"/>
  <c r="AM19" i="62"/>
  <c r="J235" i="62"/>
  <c r="V43" i="79" s="1"/>
  <c r="BP11" i="63"/>
  <c r="BP98" i="63"/>
  <c r="BP35" i="63"/>
  <c r="BQ11" i="63"/>
  <c r="AP90" i="62"/>
  <c r="AP84" i="62"/>
  <c r="N229" i="4"/>
  <c r="BD36" i="63"/>
  <c r="BD33" i="63"/>
  <c r="BF22" i="63"/>
  <c r="BF28" i="63"/>
  <c r="BF25" i="63"/>
  <c r="BG20" i="63"/>
  <c r="BE75" i="63"/>
  <c r="Q16" i="76"/>
  <c r="AL86" i="62"/>
  <c r="AL83" i="62"/>
  <c r="I228" i="69" s="1"/>
  <c r="AL99" i="62"/>
  <c r="I230" i="69" s="1"/>
  <c r="AL101" i="62"/>
  <c r="AL85" i="62"/>
  <c r="BE6" i="63"/>
  <c r="BE39" i="63"/>
  <c r="BE70" i="63"/>
  <c r="BE63" i="63"/>
  <c r="BE66" i="63"/>
  <c r="BE67" i="63" s="1"/>
  <c r="BE68" i="63" s="1"/>
  <c r="M247" i="4"/>
  <c r="BE33" i="63"/>
  <c r="BE36" i="63"/>
  <c r="BE9" i="63"/>
  <c r="BP9" i="63"/>
  <c r="AK88" i="62"/>
  <c r="AK89" i="62" s="1"/>
  <c r="F49" i="69" s="1"/>
  <c r="C157" i="69"/>
  <c r="B156" i="69"/>
  <c r="B157" i="69" s="1"/>
  <c r="C112" i="69"/>
  <c r="G44" i="69"/>
  <c r="G45" i="69" s="1"/>
  <c r="G27" i="69"/>
  <c r="F157" i="69"/>
  <c r="CK12" i="63" l="1"/>
  <c r="AW64" i="62"/>
  <c r="BH20" i="63"/>
  <c r="AW65" i="62"/>
  <c r="FJ31" i="63"/>
  <c r="CW59" i="63"/>
  <c r="DH59" i="63"/>
  <c r="DT59" i="63" s="1"/>
  <c r="EF59" i="63" s="1"/>
  <c r="ER59" i="63" s="1"/>
  <c r="FD59" i="63" s="1"/>
  <c r="FP59" i="63" s="1"/>
  <c r="C3" i="94"/>
  <c r="C4" i="54"/>
  <c r="F7" i="54"/>
  <c r="G13" i="54"/>
  <c r="B5" i="54"/>
  <c r="AB25" i="54" s="1"/>
  <c r="C3" i="54"/>
  <c r="U3" i="54" s="1"/>
  <c r="D14" i="54"/>
  <c r="F69" i="64"/>
  <c r="B12" i="54"/>
  <c r="F10" i="54"/>
  <c r="C5" i="54"/>
  <c r="AC25" i="54" s="1"/>
  <c r="AC38" i="54" s="1"/>
  <c r="C12" i="54"/>
  <c r="D7" i="54"/>
  <c r="C11" i="54"/>
  <c r="B17" i="54"/>
  <c r="B7" i="54"/>
  <c r="B10" i="54"/>
  <c r="C14" i="54"/>
  <c r="C10" i="54"/>
  <c r="D12" i="54"/>
  <c r="C8" i="54"/>
  <c r="C17" i="54"/>
  <c r="G12" i="54"/>
  <c r="B15" i="54"/>
  <c r="B11" i="54"/>
  <c r="C7" i="54"/>
  <c r="D6" i="54"/>
  <c r="E6" i="54"/>
  <c r="D10" i="54"/>
  <c r="E9" i="54"/>
  <c r="L198" i="4"/>
  <c r="M198" i="4" s="1"/>
  <c r="N198" i="4" s="1"/>
  <c r="O198" i="4" s="1"/>
  <c r="P198" i="4" s="1"/>
  <c r="Q198" i="4" s="1"/>
  <c r="R198" i="4" s="1"/>
  <c r="S198" i="4" s="1"/>
  <c r="T198" i="4" s="1"/>
  <c r="U198" i="4" s="1"/>
  <c r="E8" i="54"/>
  <c r="D13" i="54"/>
  <c r="F11" i="54"/>
  <c r="L118" i="4"/>
  <c r="G9" i="19" s="1"/>
  <c r="G17" i="19" s="1"/>
  <c r="E4" i="54"/>
  <c r="D17" i="54"/>
  <c r="D5" i="54"/>
  <c r="AD25" i="54" s="1"/>
  <c r="AD38" i="54" s="1"/>
  <c r="L112" i="4"/>
  <c r="L266" i="4" s="1"/>
  <c r="L267" i="4" s="1"/>
  <c r="F15" i="54"/>
  <c r="F12" i="54"/>
  <c r="E12" i="54"/>
  <c r="L257" i="4"/>
  <c r="D15" i="54"/>
  <c r="E10" i="54"/>
  <c r="E14" i="54"/>
  <c r="W113" i="4"/>
  <c r="W114" i="4" s="1"/>
  <c r="E13" i="54"/>
  <c r="D11" i="54"/>
  <c r="AJ19" i="19"/>
  <c r="E16" i="54"/>
  <c r="AE26" i="54" s="1"/>
  <c r="E11" i="54"/>
  <c r="L106" i="4"/>
  <c r="L308" i="4" s="1"/>
  <c r="C18" i="54"/>
  <c r="D9" i="54"/>
  <c r="D8" i="54"/>
  <c r="T204" i="4"/>
  <c r="S226" i="4"/>
  <c r="R229" i="4" s="1"/>
  <c r="S238" i="4"/>
  <c r="R244" i="4" s="1"/>
  <c r="K3" i="64"/>
  <c r="S297" i="4"/>
  <c r="S254" i="4"/>
  <c r="T1" i="4"/>
  <c r="S63" i="4"/>
  <c r="K303" i="62"/>
  <c r="L303" i="62"/>
  <c r="D498" i="69" s="1"/>
  <c r="BV2" i="62"/>
  <c r="J312" i="62"/>
  <c r="H303" i="62"/>
  <c r="I165" i="62"/>
  <c r="I169" i="62" s="1"/>
  <c r="J303" i="62"/>
  <c r="K304" i="62" s="1"/>
  <c r="L312" i="62"/>
  <c r="L317" i="62" s="1"/>
  <c r="BN1" i="62"/>
  <c r="K312" i="62"/>
  <c r="K313" i="62" s="1"/>
  <c r="BR1" i="62"/>
  <c r="G303" i="62"/>
  <c r="N104" i="4"/>
  <c r="B114" i="4" s="1"/>
  <c r="M4" i="54" s="1"/>
  <c r="J81" i="76"/>
  <c r="F121" i="64"/>
  <c r="BK1" i="62"/>
  <c r="BI1" i="62"/>
  <c r="N46" i="19"/>
  <c r="E192" i="62"/>
  <c r="E197" i="62" s="1"/>
  <c r="B186" i="69" s="1"/>
  <c r="B188" i="69" s="1"/>
  <c r="I7" i="19"/>
  <c r="F18" i="67"/>
  <c r="F25" i="67" s="1"/>
  <c r="I303" i="62"/>
  <c r="BS2" i="62"/>
  <c r="BQ2" i="62"/>
  <c r="BL1" i="62"/>
  <c r="BT2" i="62"/>
  <c r="CB312" i="62"/>
  <c r="CB51" i="62" s="1"/>
  <c r="CB304" i="62"/>
  <c r="N175" i="4"/>
  <c r="AB117" i="4"/>
  <c r="AU115" i="62"/>
  <c r="CL46" i="63"/>
  <c r="CK46" i="63"/>
  <c r="AM113" i="62"/>
  <c r="Z23" i="54"/>
  <c r="H12" i="54"/>
  <c r="H13" i="54"/>
  <c r="Q2" i="54"/>
  <c r="Q22" i="54"/>
  <c r="Y12" i="93"/>
  <c r="AC9" i="93" s="1"/>
  <c r="AC12" i="93" s="1"/>
  <c r="AC33" i="93" s="1"/>
  <c r="X26" i="93"/>
  <c r="Y26" i="93" s="1"/>
  <c r="AC98" i="62"/>
  <c r="AC99" i="62" s="1"/>
  <c r="AE98" i="62"/>
  <c r="AE99" i="62" s="1"/>
  <c r="L15" i="76"/>
  <c r="B198" i="62"/>
  <c r="H112" i="4"/>
  <c r="H266" i="4" s="1"/>
  <c r="H267" i="4" s="1"/>
  <c r="H198" i="4"/>
  <c r="P205" i="4"/>
  <c r="Q205" i="4" s="1"/>
  <c r="R205" i="4" s="1"/>
  <c r="S205" i="4" s="1"/>
  <c r="T205" i="4" s="1"/>
  <c r="U205" i="4" s="1"/>
  <c r="D21" i="57"/>
  <c r="H21" i="57"/>
  <c r="S3" i="60"/>
  <c r="Q4" i="60"/>
  <c r="T3" i="60"/>
  <c r="Q13" i="57"/>
  <c r="Q35" i="57"/>
  <c r="Q36" i="57" s="1"/>
  <c r="X12" i="57"/>
  <c r="D22" i="57"/>
  <c r="H22" i="57"/>
  <c r="AC22" i="77"/>
  <c r="AC24" i="77" s="1"/>
  <c r="AC37" i="77" s="1"/>
  <c r="Z21" i="77"/>
  <c r="AC23" i="77" s="1"/>
  <c r="T3" i="77"/>
  <c r="S3" i="77"/>
  <c r="Q4" i="77"/>
  <c r="S7" i="60"/>
  <c r="Q8" i="60"/>
  <c r="T7" i="60"/>
  <c r="Y18" i="60"/>
  <c r="Y19" i="60" s="1"/>
  <c r="Y14" i="60"/>
  <c r="Z13" i="60"/>
  <c r="B28" i="57"/>
  <c r="D15" i="57"/>
  <c r="H15" i="57"/>
  <c r="D20" i="57"/>
  <c r="H20" i="57"/>
  <c r="R29" i="77"/>
  <c r="S28" i="77"/>
  <c r="X28" i="77"/>
  <c r="X17" i="77"/>
  <c r="AC9" i="77"/>
  <c r="Z12" i="77"/>
  <c r="X10" i="77"/>
  <c r="Q32" i="57"/>
  <c r="X23" i="57"/>
  <c r="X24" i="57" s="1"/>
  <c r="S14" i="77"/>
  <c r="Z20" i="77"/>
  <c r="AC20" i="77"/>
  <c r="AC36" i="77" s="1"/>
  <c r="Q34" i="57"/>
  <c r="Q6" i="57"/>
  <c r="Q2" i="57"/>
  <c r="Q16" i="57"/>
  <c r="Q4" i="57"/>
  <c r="X11" i="57"/>
  <c r="Y25" i="93"/>
  <c r="X27" i="60"/>
  <c r="S27" i="60"/>
  <c r="O17" i="57"/>
  <c r="M18" i="57"/>
  <c r="AC24" i="60"/>
  <c r="AC37" i="60" s="1"/>
  <c r="X25" i="60"/>
  <c r="Z24" i="60"/>
  <c r="AC11" i="60" s="1"/>
  <c r="F104" i="4"/>
  <c r="F102" i="4"/>
  <c r="F46" i="19"/>
  <c r="Z13" i="77"/>
  <c r="X18" i="77"/>
  <c r="X14" i="77"/>
  <c r="E18" i="57"/>
  <c r="G17" i="57"/>
  <c r="M3" i="19"/>
  <c r="M20" i="19" s="1"/>
  <c r="M21" i="19" s="1"/>
  <c r="L20" i="19"/>
  <c r="L21" i="19" s="1"/>
  <c r="Q30" i="57"/>
  <c r="Q19" i="77"/>
  <c r="S19" i="77" s="1"/>
  <c r="S18" i="77"/>
  <c r="S33" i="60"/>
  <c r="V17" i="57"/>
  <c r="T18" i="57"/>
  <c r="X19" i="60"/>
  <c r="Z18" i="60"/>
  <c r="Y14" i="77"/>
  <c r="Y18" i="77"/>
  <c r="Y19" i="77" s="1"/>
  <c r="Y17" i="77"/>
  <c r="Y10" i="77"/>
  <c r="H106" i="4"/>
  <c r="H308" i="4" s="1"/>
  <c r="CF29" i="63"/>
  <c r="CF27" i="63"/>
  <c r="AC28" i="77"/>
  <c r="AC30" i="77" s="1"/>
  <c r="AC39" i="77" s="1"/>
  <c r="Z16" i="77"/>
  <c r="AC29" i="77" s="1"/>
  <c r="Q17" i="57"/>
  <c r="Q18" i="57" s="1"/>
  <c r="I18" i="57"/>
  <c r="Y25" i="77"/>
  <c r="Z15" i="60"/>
  <c r="AC26" i="60" s="1"/>
  <c r="AC27" i="60" s="1"/>
  <c r="AC38" i="60" s="1"/>
  <c r="Z15" i="77"/>
  <c r="AC26" i="77" s="1"/>
  <c r="AC25" i="77"/>
  <c r="AC27" i="77" s="1"/>
  <c r="AC38" i="77" s="1"/>
  <c r="S14" i="60"/>
  <c r="R9" i="77"/>
  <c r="R10" i="77" s="1"/>
  <c r="S25" i="77"/>
  <c r="AU109" i="62"/>
  <c r="BQ110" i="63"/>
  <c r="AQ164" i="69"/>
  <c r="CC83" i="63"/>
  <c r="H14" i="57"/>
  <c r="B27" i="57"/>
  <c r="D14" i="57"/>
  <c r="Q6" i="60"/>
  <c r="T5" i="60"/>
  <c r="S5" i="60"/>
  <c r="B17" i="57"/>
  <c r="H12" i="57"/>
  <c r="D12" i="57"/>
  <c r="B13" i="57"/>
  <c r="Z20" i="60"/>
  <c r="AC20" i="60"/>
  <c r="AC36" i="60" s="1"/>
  <c r="S33" i="77"/>
  <c r="B26" i="57"/>
  <c r="D26" i="57" s="1"/>
  <c r="D23" i="57"/>
  <c r="H23" i="57"/>
  <c r="S5" i="77"/>
  <c r="T5" i="77"/>
  <c r="Q6" i="77"/>
  <c r="S28" i="60"/>
  <c r="R29" i="60"/>
  <c r="DN52" i="63"/>
  <c r="X25" i="77"/>
  <c r="Z24" i="77"/>
  <c r="AC11" i="77"/>
  <c r="H19" i="57"/>
  <c r="D19" i="57"/>
  <c r="O8" i="57"/>
  <c r="M9" i="57"/>
  <c r="X17" i="60"/>
  <c r="X10" i="60"/>
  <c r="Z12" i="60"/>
  <c r="AC9" i="60" s="1"/>
  <c r="AC12" i="60" s="1"/>
  <c r="AC33" i="60" s="1"/>
  <c r="X28" i="60"/>
  <c r="X14" i="60"/>
  <c r="S27" i="77"/>
  <c r="X27" i="77"/>
  <c r="G104" i="4"/>
  <c r="H105" i="4" s="1"/>
  <c r="G102" i="4"/>
  <c r="G46" i="19"/>
  <c r="H11" i="57"/>
  <c r="B16" i="57"/>
  <c r="B29" i="57" s="1"/>
  <c r="D11" i="57"/>
  <c r="S7" i="77"/>
  <c r="Q8" i="77"/>
  <c r="T7" i="77"/>
  <c r="R19" i="60"/>
  <c r="S18" i="60"/>
  <c r="X24" i="93"/>
  <c r="X10" i="93"/>
  <c r="X27" i="93"/>
  <c r="Y27" i="93" s="1"/>
  <c r="Y24" i="93"/>
  <c r="AK39" i="62"/>
  <c r="AL128" i="62"/>
  <c r="AM221" i="62"/>
  <c r="C402" i="69"/>
  <c r="AE49" i="4"/>
  <c r="F115" i="62"/>
  <c r="B115" i="62"/>
  <c r="I12" i="19"/>
  <c r="N117" i="4"/>
  <c r="T23" i="60"/>
  <c r="I180" i="62"/>
  <c r="P208" i="4"/>
  <c r="Q208" i="4" s="1"/>
  <c r="R208" i="4" s="1"/>
  <c r="S208" i="4" s="1"/>
  <c r="T208" i="4" s="1"/>
  <c r="U208" i="4" s="1"/>
  <c r="P211" i="4"/>
  <c r="Q203" i="4"/>
  <c r="R203" i="4" s="1"/>
  <c r="O209" i="4"/>
  <c r="O214" i="4"/>
  <c r="O242" i="4" s="1"/>
  <c r="P206" i="4"/>
  <c r="G115" i="62"/>
  <c r="E197" i="69"/>
  <c r="C120" i="76" s="1"/>
  <c r="AL221" i="62"/>
  <c r="AD98" i="62"/>
  <c r="AD99" i="62" s="1"/>
  <c r="AK221" i="62"/>
  <c r="F235" i="69"/>
  <c r="M15" i="76"/>
  <c r="AK218" i="62"/>
  <c r="P11" i="76" s="1"/>
  <c r="N15" i="76"/>
  <c r="BM29" i="63"/>
  <c r="E28" i="66"/>
  <c r="J65" i="62"/>
  <c r="J64" i="62" s="1"/>
  <c r="AG39" i="62"/>
  <c r="AJ218" i="62"/>
  <c r="AG87" i="62"/>
  <c r="B48" i="69" s="1"/>
  <c r="AH218" i="62"/>
  <c r="AL42" i="64"/>
  <c r="AL43" i="64" s="1"/>
  <c r="AK42" i="64"/>
  <c r="AK43" i="64" s="1"/>
  <c r="AK44" i="64" s="1"/>
  <c r="E52" i="64" s="1"/>
  <c r="AG218" i="62"/>
  <c r="AG88" i="62"/>
  <c r="AG89" i="62" s="1"/>
  <c r="B49" i="69" s="1"/>
  <c r="AG113" i="62"/>
  <c r="Q15" i="76"/>
  <c r="BP55" i="63"/>
  <c r="BQ59" i="63"/>
  <c r="AJ39" i="62"/>
  <c r="AJ87" i="62"/>
  <c r="E48" i="69" s="1"/>
  <c r="C34" i="69"/>
  <c r="C235" i="69"/>
  <c r="P15" i="76"/>
  <c r="BK91" i="63"/>
  <c r="BK92" i="63"/>
  <c r="AJ128" i="62"/>
  <c r="AJ113" i="62"/>
  <c r="AJ88" i="62"/>
  <c r="AB4" i="67"/>
  <c r="AC8" i="67"/>
  <c r="AB17" i="67"/>
  <c r="AB35" i="67" s="1"/>
  <c r="AB26" i="67" s="1"/>
  <c r="AI88" i="62"/>
  <c r="AI89" i="62" s="1"/>
  <c r="D49" i="69" s="1"/>
  <c r="AI113" i="62"/>
  <c r="AI218" i="62"/>
  <c r="AH87" i="62"/>
  <c r="C48" i="69" s="1"/>
  <c r="AH93" i="62"/>
  <c r="AH95" i="62" s="1"/>
  <c r="AH39" i="62"/>
  <c r="BL40" i="63"/>
  <c r="AL162" i="69"/>
  <c r="BM38" i="63"/>
  <c r="BL90" i="63"/>
  <c r="AI87" i="62"/>
  <c r="D48" i="69" s="1"/>
  <c r="AI39" i="62"/>
  <c r="E26" i="66"/>
  <c r="J317" i="62"/>
  <c r="C98" i="62"/>
  <c r="C192" i="62" s="1"/>
  <c r="C191" i="62" s="1"/>
  <c r="AN96" i="62"/>
  <c r="AN97" i="62" s="1"/>
  <c r="AW9" i="95"/>
  <c r="B16" i="54"/>
  <c r="AB26" i="54" s="1"/>
  <c r="E112" i="4"/>
  <c r="E198" i="4"/>
  <c r="N97" i="4"/>
  <c r="N319" i="4" s="1"/>
  <c r="N47" i="54" s="1"/>
  <c r="M97" i="4"/>
  <c r="M319" i="4" s="1"/>
  <c r="S20" i="93"/>
  <c r="M122" i="4"/>
  <c r="M132" i="4" s="1"/>
  <c r="M101" i="4"/>
  <c r="AB79" i="4"/>
  <c r="T23" i="77"/>
  <c r="AF98" i="62"/>
  <c r="AF99" i="62" s="1"/>
  <c r="C230" i="69" s="1"/>
  <c r="F7" i="19"/>
  <c r="K46" i="19"/>
  <c r="L102" i="4"/>
  <c r="K104" i="4"/>
  <c r="K105" i="4" s="1"/>
  <c r="H6" i="19"/>
  <c r="K132" i="4"/>
  <c r="K151" i="4"/>
  <c r="F97" i="62"/>
  <c r="F96" i="62" s="1"/>
  <c r="F99" i="62"/>
  <c r="H99" i="62"/>
  <c r="C4" i="94" s="1"/>
  <c r="C350" i="69"/>
  <c r="C352" i="69" s="1"/>
  <c r="H141" i="62"/>
  <c r="H192" i="62"/>
  <c r="H97" i="62"/>
  <c r="Z150" i="62"/>
  <c r="Y157" i="62"/>
  <c r="D191" i="62"/>
  <c r="D197" i="62"/>
  <c r="D198" i="62" s="1"/>
  <c r="G99" i="62"/>
  <c r="B350" i="69"/>
  <c r="B352" i="69" s="1"/>
  <c r="G97" i="62"/>
  <c r="G192" i="62"/>
  <c r="J102" i="4"/>
  <c r="I104" i="4"/>
  <c r="I105" i="4" s="1"/>
  <c r="I46" i="19"/>
  <c r="AJ166" i="69"/>
  <c r="I175" i="4"/>
  <c r="I286" i="4"/>
  <c r="AN106" i="62"/>
  <c r="N32" i="76" s="1"/>
  <c r="O4" i="76"/>
  <c r="AJ163" i="69"/>
  <c r="I23" i="62"/>
  <c r="I102" i="62" s="1"/>
  <c r="I22" i="66"/>
  <c r="I26" i="69"/>
  <c r="AN102" i="62"/>
  <c r="AN24" i="62"/>
  <c r="J175" i="4"/>
  <c r="J286" i="4"/>
  <c r="J106" i="4"/>
  <c r="J308" i="4" s="1"/>
  <c r="J112" i="4"/>
  <c r="J266" i="4" s="1"/>
  <c r="J257" i="4"/>
  <c r="J198" i="4"/>
  <c r="J62" i="4"/>
  <c r="O3" i="67"/>
  <c r="AF3" i="67"/>
  <c r="S3" i="67"/>
  <c r="AG3" i="67"/>
  <c r="V125" i="62"/>
  <c r="AC3" i="67"/>
  <c r="N3" i="67"/>
  <c r="L3" i="67"/>
  <c r="L6" i="67" s="1"/>
  <c r="I108" i="62"/>
  <c r="I236" i="62"/>
  <c r="G257" i="69"/>
  <c r="Q3" i="67"/>
  <c r="AU164" i="69"/>
  <c r="J108" i="62"/>
  <c r="J109" i="62" s="1"/>
  <c r="T3" i="67"/>
  <c r="I80" i="76"/>
  <c r="AB3" i="67"/>
  <c r="AE3" i="67"/>
  <c r="R3" i="67"/>
  <c r="AA3" i="67"/>
  <c r="AA6" i="67" s="1"/>
  <c r="M3" i="67"/>
  <c r="M6" i="67" s="1"/>
  <c r="Z3" i="67"/>
  <c r="Z6" i="67" s="1"/>
  <c r="H6" i="66"/>
  <c r="E44" i="64"/>
  <c r="E41" i="64" s="1"/>
  <c r="P3" i="67"/>
  <c r="X3" i="67" s="1"/>
  <c r="AD3" i="67"/>
  <c r="Y3" i="67"/>
  <c r="Y6" i="67" s="1"/>
  <c r="U16" i="54"/>
  <c r="AC26" i="54"/>
  <c r="Y16" i="93"/>
  <c r="AC16" i="93"/>
  <c r="CF41" i="63"/>
  <c r="CM49" i="63" s="1"/>
  <c r="CE110" i="63"/>
  <c r="AL218" i="62"/>
  <c r="AL39" i="62"/>
  <c r="AL88" i="62"/>
  <c r="AL89" i="62" s="1"/>
  <c r="G49" i="69" s="1"/>
  <c r="BH28" i="63"/>
  <c r="BH25" i="63"/>
  <c r="BH26" i="63" s="1"/>
  <c r="BG28" i="63"/>
  <c r="BG25" i="63"/>
  <c r="BG26" i="63" s="1"/>
  <c r="BI20" i="63"/>
  <c r="AN15" i="62" s="1"/>
  <c r="AN18" i="62" s="1"/>
  <c r="AQ84" i="62"/>
  <c r="AQ90" i="62"/>
  <c r="AR90" i="62"/>
  <c r="AC81" i="62" l="1"/>
  <c r="L11" i="54"/>
  <c r="M16" i="54"/>
  <c r="L8" i="54"/>
  <c r="K8" i="54"/>
  <c r="N112" i="4"/>
  <c r="N266" i="4" s="1"/>
  <c r="N267" i="4" s="1"/>
  <c r="C19" i="54"/>
  <c r="P12" i="54"/>
  <c r="B19" i="54"/>
  <c r="CK13" i="63"/>
  <c r="CW12" i="63"/>
  <c r="DI12" i="63" s="1"/>
  <c r="DU12" i="63" s="1"/>
  <c r="EG12" i="63" s="1"/>
  <c r="ES12" i="63" s="1"/>
  <c r="FE12" i="63" s="1"/>
  <c r="CX59" i="63"/>
  <c r="DI59" i="63"/>
  <c r="DU59" i="63" s="1"/>
  <c r="EG59" i="63" s="1"/>
  <c r="ES59" i="63" s="1"/>
  <c r="FE59" i="63" s="1"/>
  <c r="FQ59" i="63" s="1"/>
  <c r="FV31" i="63"/>
  <c r="I171" i="62"/>
  <c r="I173" i="62" s="1"/>
  <c r="I174" i="62" s="1"/>
  <c r="AC24" i="54"/>
  <c r="AC37" i="54" s="1"/>
  <c r="FQ12" i="63"/>
  <c r="E191" i="62"/>
  <c r="N5" i="54"/>
  <c r="N11" i="54"/>
  <c r="K7" i="54"/>
  <c r="K10" i="54"/>
  <c r="M6" i="54"/>
  <c r="B182" i="69"/>
  <c r="B184" i="69" s="1"/>
  <c r="L47" i="54"/>
  <c r="O4" i="54"/>
  <c r="N14" i="54"/>
  <c r="P17" i="54"/>
  <c r="L5" i="54"/>
  <c r="M14" i="54"/>
  <c r="N7" i="54"/>
  <c r="M9" i="54"/>
  <c r="K15" i="54"/>
  <c r="O10" i="54"/>
  <c r="N12" i="54"/>
  <c r="O13" i="54"/>
  <c r="K17" i="54"/>
  <c r="N4" i="54"/>
  <c r="O12" i="54"/>
  <c r="N36" i="54"/>
  <c r="N17" i="54"/>
  <c r="L7" i="54"/>
  <c r="K46" i="54"/>
  <c r="L6" i="54"/>
  <c r="AC80" i="4"/>
  <c r="O8" i="54"/>
  <c r="N8" i="54"/>
  <c r="O16" i="54"/>
  <c r="K45" i="54"/>
  <c r="L19" i="54"/>
  <c r="E19" i="54"/>
  <c r="N118" i="4"/>
  <c r="I9" i="19" s="1"/>
  <c r="I17" i="19" s="1"/>
  <c r="AH27" i="19" s="1"/>
  <c r="N6" i="54"/>
  <c r="K14" i="54"/>
  <c r="E18" i="54"/>
  <c r="L45" i="54"/>
  <c r="D19" i="54"/>
  <c r="M11" i="54"/>
  <c r="L4" i="54"/>
  <c r="N3" i="54"/>
  <c r="M8" i="54"/>
  <c r="L13" i="54"/>
  <c r="K5" i="54"/>
  <c r="O5" i="54"/>
  <c r="N106" i="4"/>
  <c r="N308" i="4" s="1"/>
  <c r="N37" i="54" s="1"/>
  <c r="L16" i="54"/>
  <c r="K36" i="54"/>
  <c r="L10" i="54"/>
  <c r="K12" i="54"/>
  <c r="L17" i="54"/>
  <c r="N16" i="54"/>
  <c r="M47" i="54"/>
  <c r="L12" i="54"/>
  <c r="M13" i="54"/>
  <c r="O9" i="54"/>
  <c r="K9" i="54"/>
  <c r="O11" i="54"/>
  <c r="K47" i="54"/>
  <c r="N257" i="4"/>
  <c r="N10" i="54"/>
  <c r="M46" i="54"/>
  <c r="O17" i="54"/>
  <c r="L9" i="54"/>
  <c r="N9" i="54"/>
  <c r="K16" i="54"/>
  <c r="P8" i="54"/>
  <c r="N46" i="54"/>
  <c r="K11" i="54"/>
  <c r="L46" i="54"/>
  <c r="O6" i="54"/>
  <c r="N13" i="54"/>
  <c r="K4" i="54"/>
  <c r="L3" i="64"/>
  <c r="T254" i="4"/>
  <c r="T226" i="4"/>
  <c r="S229" i="4" s="1"/>
  <c r="T238" i="4"/>
  <c r="S244" i="4" s="1"/>
  <c r="T297" i="4"/>
  <c r="U1" i="4"/>
  <c r="T63" i="4"/>
  <c r="S203" i="4"/>
  <c r="R211" i="4"/>
  <c r="U204" i="4"/>
  <c r="L3" i="54"/>
  <c r="O14" i="54"/>
  <c r="L15" i="54"/>
  <c r="L36" i="54"/>
  <c r="K13" i="54"/>
  <c r="N19" i="54"/>
  <c r="L37" i="54"/>
  <c r="M5" i="54"/>
  <c r="L14" i="54"/>
  <c r="I30" i="62"/>
  <c r="I28" i="62" s="1"/>
  <c r="I182" i="62" s="1"/>
  <c r="AL32" i="62" s="1"/>
  <c r="J237" i="62"/>
  <c r="F45" i="64"/>
  <c r="M312" i="62"/>
  <c r="M317" i="62" s="1"/>
  <c r="BU2" i="62"/>
  <c r="J313" i="62"/>
  <c r="BW2" i="62"/>
  <c r="BX2" i="62"/>
  <c r="BZ2" i="62"/>
  <c r="L313" i="62"/>
  <c r="D500" i="69" s="1"/>
  <c r="D499" i="69" s="1"/>
  <c r="BM1" i="62"/>
  <c r="BS1" i="62"/>
  <c r="M12" i="54"/>
  <c r="K6" i="54"/>
  <c r="BO1" i="62"/>
  <c r="BT1" i="62"/>
  <c r="BP1" i="62"/>
  <c r="BQ1" i="62"/>
  <c r="M10" i="54"/>
  <c r="M17" i="54"/>
  <c r="K3" i="54"/>
  <c r="M303" i="62"/>
  <c r="CC312" i="62"/>
  <c r="CC51" i="62" s="1"/>
  <c r="CC304" i="62"/>
  <c r="CD303" i="62"/>
  <c r="D16" i="54"/>
  <c r="V16" i="54" s="1"/>
  <c r="AC85" i="4"/>
  <c r="AB119" i="4" s="1"/>
  <c r="M3" i="54"/>
  <c r="AE39" i="54"/>
  <c r="F42" i="64"/>
  <c r="F61" i="64" s="1"/>
  <c r="Q12" i="54"/>
  <c r="Q17" i="54"/>
  <c r="Q8" i="54"/>
  <c r="B18" i="57"/>
  <c r="D17" i="57"/>
  <c r="H17" i="57"/>
  <c r="H18" i="57" s="1"/>
  <c r="J19" i="57"/>
  <c r="P19" i="57"/>
  <c r="AH6" i="19"/>
  <c r="AI6" i="19" s="1"/>
  <c r="I6" i="57"/>
  <c r="I7" i="57" s="1"/>
  <c r="Q7" i="57"/>
  <c r="AC16" i="77"/>
  <c r="Z14" i="77"/>
  <c r="CG29" i="63"/>
  <c r="CG27" i="63" s="1"/>
  <c r="Z18" i="77"/>
  <c r="X19" i="77"/>
  <c r="K16" i="57"/>
  <c r="K18" i="57" s="1"/>
  <c r="P14" i="57"/>
  <c r="K14" i="57"/>
  <c r="J14" i="57"/>
  <c r="Q9" i="77"/>
  <c r="DO52" i="63"/>
  <c r="J11" i="57"/>
  <c r="P11" i="57"/>
  <c r="H16" i="57"/>
  <c r="F106" i="4"/>
  <c r="F308" i="4" s="1"/>
  <c r="F105" i="4"/>
  <c r="F112" i="4"/>
  <c r="F266" i="4" s="1"/>
  <c r="F267" i="4" s="1"/>
  <c r="F198" i="4"/>
  <c r="AR115" i="62"/>
  <c r="AQ116" i="62"/>
  <c r="AQ115" i="62"/>
  <c r="AR116" i="62"/>
  <c r="AC12" i="77"/>
  <c r="AC33" i="77" s="1"/>
  <c r="G105" i="4"/>
  <c r="G106" i="4"/>
  <c r="G308" i="4" s="1"/>
  <c r="G112" i="4"/>
  <c r="G266" i="4" s="1"/>
  <c r="G267" i="4" s="1"/>
  <c r="G62" i="4"/>
  <c r="G198" i="4"/>
  <c r="J22" i="57"/>
  <c r="P22" i="57"/>
  <c r="H27" i="57"/>
  <c r="P23" i="57"/>
  <c r="J23" i="57"/>
  <c r="H26" i="57"/>
  <c r="X13" i="57"/>
  <c r="X17" i="57"/>
  <c r="X18" i="57" s="1"/>
  <c r="Z14" i="60"/>
  <c r="AC16" i="60"/>
  <c r="P20" i="57"/>
  <c r="K20" i="57"/>
  <c r="J20" i="57"/>
  <c r="P15" i="57"/>
  <c r="J15" i="57"/>
  <c r="K15" i="57"/>
  <c r="K17" i="57"/>
  <c r="K19" i="57" s="1"/>
  <c r="Q9" i="60"/>
  <c r="X2" i="57"/>
  <c r="X6" i="57"/>
  <c r="X8" i="57"/>
  <c r="X4" i="57"/>
  <c r="X16" i="57"/>
  <c r="Q5" i="57"/>
  <c r="I4" i="57"/>
  <c r="I5" i="57" s="1"/>
  <c r="AH4" i="19"/>
  <c r="P21" i="57"/>
  <c r="J21" i="57"/>
  <c r="J12" i="57"/>
  <c r="P12" i="57"/>
  <c r="H13" i="57"/>
  <c r="Q3" i="57"/>
  <c r="Q8" i="57" s="1"/>
  <c r="I2" i="57"/>
  <c r="I3" i="57" s="1"/>
  <c r="AH2" i="19"/>
  <c r="AI2" i="19" s="1"/>
  <c r="E47" i="64"/>
  <c r="F47" i="64" s="1"/>
  <c r="F67" i="64" s="1"/>
  <c r="I6" i="19"/>
  <c r="N69" i="19"/>
  <c r="I38" i="62"/>
  <c r="I184" i="62"/>
  <c r="AN32" i="62"/>
  <c r="AK32" i="62"/>
  <c r="AM32" i="62"/>
  <c r="I185" i="62"/>
  <c r="I270" i="62" s="1"/>
  <c r="Q206" i="4"/>
  <c r="R206" i="4" s="1"/>
  <c r="S206" i="4" s="1"/>
  <c r="T206" i="4" s="1"/>
  <c r="U206" i="4" s="1"/>
  <c r="P209" i="4"/>
  <c r="Q211" i="4"/>
  <c r="F46" i="69"/>
  <c r="O223" i="69"/>
  <c r="G226" i="69" s="1"/>
  <c r="AB6" i="67"/>
  <c r="D46" i="69"/>
  <c r="N11" i="76"/>
  <c r="M223" i="69"/>
  <c r="E226" i="69" s="1"/>
  <c r="M11" i="76"/>
  <c r="L223" i="69"/>
  <c r="D226" i="69" s="1"/>
  <c r="C46" i="69"/>
  <c r="O11" i="76"/>
  <c r="N223" i="69"/>
  <c r="F226" i="69" s="1"/>
  <c r="E46" i="69"/>
  <c r="AI93" i="62"/>
  <c r="AI95" i="62" s="1"/>
  <c r="AG93" i="62"/>
  <c r="AG95" i="62" s="1"/>
  <c r="BQ55" i="63"/>
  <c r="BR59" i="63"/>
  <c r="BM40" i="63"/>
  <c r="BM43" i="63"/>
  <c r="BM90" i="63"/>
  <c r="AL166" i="69"/>
  <c r="AL163" i="69"/>
  <c r="AJ89" i="62"/>
  <c r="E49" i="69" s="1"/>
  <c r="AJ93" i="62"/>
  <c r="AJ95" i="62" s="1"/>
  <c r="B102" i="69"/>
  <c r="AO102" i="62"/>
  <c r="AO25" i="62"/>
  <c r="J22" i="66"/>
  <c r="J26" i="69"/>
  <c r="P4" i="76"/>
  <c r="AO106" i="62"/>
  <c r="AD8" i="67"/>
  <c r="AC4" i="67"/>
  <c r="AC6" i="67" s="1"/>
  <c r="AC17" i="67"/>
  <c r="AC35" i="67" s="1"/>
  <c r="AC26" i="67" s="1"/>
  <c r="L11" i="76"/>
  <c r="K223" i="69"/>
  <c r="C226" i="69" s="1"/>
  <c r="B46" i="69"/>
  <c r="BN29" i="63"/>
  <c r="BL92" i="63"/>
  <c r="BL91" i="63"/>
  <c r="AH101" i="62"/>
  <c r="AH96" i="62"/>
  <c r="E60" i="64"/>
  <c r="BM27" i="63"/>
  <c r="C197" i="62"/>
  <c r="C198" i="62" s="1"/>
  <c r="AN98" i="62"/>
  <c r="AR100" i="62" s="1"/>
  <c r="I62" i="4"/>
  <c r="AA109" i="4"/>
  <c r="M102" i="4"/>
  <c r="N102" i="4"/>
  <c r="AB109" i="4"/>
  <c r="M104" i="4"/>
  <c r="D18" i="54" s="1"/>
  <c r="M46" i="19"/>
  <c r="D27" i="94"/>
  <c r="BI62" i="63"/>
  <c r="M151" i="4"/>
  <c r="M7" i="54" s="1"/>
  <c r="H7" i="19"/>
  <c r="K175" i="4"/>
  <c r="K19" i="54" s="1"/>
  <c r="K286" i="4"/>
  <c r="K112" i="4"/>
  <c r="K118" i="4"/>
  <c r="F9" i="19" s="1"/>
  <c r="F17" i="19" s="1"/>
  <c r="K198" i="4"/>
  <c r="K257" i="4"/>
  <c r="L105" i="4"/>
  <c r="AK19" i="19" s="1"/>
  <c r="AA104" i="4"/>
  <c r="K106" i="4"/>
  <c r="K308" i="4" s="1"/>
  <c r="K37" i="54" s="1"/>
  <c r="B18" i="54"/>
  <c r="J234" i="69"/>
  <c r="AA150" i="62"/>
  <c r="AA157" i="62" s="1"/>
  <c r="Z157" i="62"/>
  <c r="E198" i="62"/>
  <c r="F192" i="62"/>
  <c r="F194" i="62"/>
  <c r="G191" i="62"/>
  <c r="D182" i="69"/>
  <c r="G197" i="62"/>
  <c r="H191" i="62"/>
  <c r="C24" i="94"/>
  <c r="H197" i="62"/>
  <c r="E182" i="69"/>
  <c r="AN119" i="62"/>
  <c r="I119" i="62" s="1"/>
  <c r="I112" i="4"/>
  <c r="I266" i="4" s="1"/>
  <c r="I267" i="4" s="1"/>
  <c r="I198" i="4"/>
  <c r="J105" i="4"/>
  <c r="I106" i="4"/>
  <c r="I308" i="4" s="1"/>
  <c r="AN125" i="62"/>
  <c r="AN110" i="62"/>
  <c r="I23" i="66"/>
  <c r="J37" i="66" s="1"/>
  <c r="AB63" i="4"/>
  <c r="S27" i="62"/>
  <c r="R27" i="62"/>
  <c r="R24" i="62"/>
  <c r="C64" i="69"/>
  <c r="I25" i="62"/>
  <c r="AB64" i="4" s="1"/>
  <c r="S24" i="62"/>
  <c r="CN16" i="63"/>
  <c r="I103" i="62"/>
  <c r="C65" i="69" s="1"/>
  <c r="I125" i="62"/>
  <c r="D6" i="94" s="1"/>
  <c r="H4" i="66"/>
  <c r="H7" i="66" s="1"/>
  <c r="B130" i="69"/>
  <c r="I104" i="62"/>
  <c r="B43" i="66"/>
  <c r="H258" i="69"/>
  <c r="G258" i="69"/>
  <c r="G282" i="69" s="1"/>
  <c r="I296" i="62"/>
  <c r="I233" i="62"/>
  <c r="AC14" i="93"/>
  <c r="AC15" i="93" s="1"/>
  <c r="AC34" i="93" s="1"/>
  <c r="AC17" i="93"/>
  <c r="AC18" i="93" s="1"/>
  <c r="AC35" i="93" s="1"/>
  <c r="CG41" i="63"/>
  <c r="CF110" i="63"/>
  <c r="J234" i="62"/>
  <c r="F3" i="67"/>
  <c r="N212" i="4"/>
  <c r="N210" i="4"/>
  <c r="C175" i="69"/>
  <c r="C176" i="69" s="1"/>
  <c r="P223" i="69"/>
  <c r="H226" i="69" s="1"/>
  <c r="Q11" i="76"/>
  <c r="G46" i="69"/>
  <c r="BI25" i="63"/>
  <c r="BI26" i="63" s="1"/>
  <c r="BI28" i="63"/>
  <c r="I29" i="62" l="1"/>
  <c r="CO11" i="63"/>
  <c r="CY59" i="63"/>
  <c r="DJ59" i="63"/>
  <c r="DV59" i="63" s="1"/>
  <c r="EH59" i="63" s="1"/>
  <c r="ET59" i="63" s="1"/>
  <c r="FF59" i="63" s="1"/>
  <c r="FR59" i="63" s="1"/>
  <c r="M15" i="54"/>
  <c r="N15" i="54"/>
  <c r="AB118" i="4"/>
  <c r="K368" i="69"/>
  <c r="S209" i="4"/>
  <c r="U209" i="4"/>
  <c r="T209" i="4"/>
  <c r="T203" i="4"/>
  <c r="S211" i="4"/>
  <c r="M3" i="64"/>
  <c r="U254" i="4"/>
  <c r="U226" i="4"/>
  <c r="T229" i="4" s="1"/>
  <c r="U238" i="4"/>
  <c r="T244" i="4" s="1"/>
  <c r="U297" i="4"/>
  <c r="U63" i="4"/>
  <c r="M313" i="62"/>
  <c r="BV1" i="62"/>
  <c r="CD2" i="62"/>
  <c r="CA2" i="62"/>
  <c r="BY2" i="62"/>
  <c r="CB2" i="62"/>
  <c r="AA105" i="4"/>
  <c r="AA34" i="19" s="1"/>
  <c r="AA47" i="19"/>
  <c r="AA48" i="19"/>
  <c r="CD312" i="62"/>
  <c r="CD51" i="62" s="1"/>
  <c r="CD304" i="62"/>
  <c r="CF303" i="62"/>
  <c r="CE303" i="62"/>
  <c r="AH64" i="19"/>
  <c r="R209" i="4"/>
  <c r="AD26" i="54"/>
  <c r="AO27" i="19"/>
  <c r="F41" i="64"/>
  <c r="N29" i="94"/>
  <c r="CN49" i="63"/>
  <c r="D501" i="69"/>
  <c r="J115" i="62"/>
  <c r="U115" i="62" s="1"/>
  <c r="J116" i="62"/>
  <c r="U116" i="62" s="1"/>
  <c r="W23" i="57"/>
  <c r="P32" i="57"/>
  <c r="R23" i="57"/>
  <c r="S23" i="57"/>
  <c r="V23" i="57" s="1"/>
  <c r="DR52" i="63"/>
  <c r="DP52" i="63"/>
  <c r="R22" i="57"/>
  <c r="W22" i="57"/>
  <c r="Y22" i="57" s="1"/>
  <c r="S9" i="77"/>
  <c r="T9" i="77"/>
  <c r="Q10" i="77"/>
  <c r="Y4" i="57"/>
  <c r="X5" i="57"/>
  <c r="U4" i="57"/>
  <c r="U8" i="57"/>
  <c r="X9" i="57"/>
  <c r="Y8" i="57"/>
  <c r="W14" i="57"/>
  <c r="Y14" i="57" s="1"/>
  <c r="P29" i="57"/>
  <c r="P33" i="57"/>
  <c r="R14" i="57"/>
  <c r="S14" i="57"/>
  <c r="X7" i="57"/>
  <c r="Y6" i="57"/>
  <c r="U6" i="57"/>
  <c r="U2" i="57"/>
  <c r="X3" i="57"/>
  <c r="Y2" i="57"/>
  <c r="S9" i="60"/>
  <c r="Q10" i="60"/>
  <c r="T9" i="60"/>
  <c r="CH29" i="63"/>
  <c r="CH27" i="63" s="1"/>
  <c r="AC17" i="77"/>
  <c r="AC14" i="77"/>
  <c r="AC15" i="77" s="1"/>
  <c r="AC34" i="77" s="1"/>
  <c r="P30" i="57"/>
  <c r="R15" i="57"/>
  <c r="W15" i="57"/>
  <c r="Y15" i="57" s="1"/>
  <c r="S15" i="57"/>
  <c r="AC18" i="77"/>
  <c r="AC35" i="77" s="1"/>
  <c r="R20" i="57"/>
  <c r="W20" i="57"/>
  <c r="Y20" i="57" s="1"/>
  <c r="S20" i="57"/>
  <c r="U27" i="57"/>
  <c r="I8" i="57"/>
  <c r="I9" i="57" s="1"/>
  <c r="AH8" i="19"/>
  <c r="AI8" i="19" s="1"/>
  <c r="Q9" i="57"/>
  <c r="R19" i="57"/>
  <c r="W19" i="57"/>
  <c r="Y19" i="57" s="1"/>
  <c r="S19" i="57"/>
  <c r="AC17" i="60"/>
  <c r="AC18" i="60" s="1"/>
  <c r="AC35" i="60" s="1"/>
  <c r="AC14" i="60"/>
  <c r="AC15" i="60" s="1"/>
  <c r="AC34" i="60" s="1"/>
  <c r="W12" i="57"/>
  <c r="P35" i="57"/>
  <c r="P36" i="57" s="1"/>
  <c r="R12" i="57"/>
  <c r="P13" i="57"/>
  <c r="R13" i="57" s="1"/>
  <c r="R30" i="57"/>
  <c r="P17" i="57"/>
  <c r="S12" i="57"/>
  <c r="CH42" i="63"/>
  <c r="W11" i="57"/>
  <c r="P16" i="57"/>
  <c r="P27" i="57"/>
  <c r="P34" i="57"/>
  <c r="R11" i="57"/>
  <c r="P4" i="57"/>
  <c r="P6" i="57"/>
  <c r="P2" i="57"/>
  <c r="S11" i="57"/>
  <c r="T28" i="57"/>
  <c r="U28" i="57" s="1"/>
  <c r="P26" i="57"/>
  <c r="J26" i="57"/>
  <c r="J5" i="57"/>
  <c r="J7" i="57"/>
  <c r="J3" i="57"/>
  <c r="J9" i="57"/>
  <c r="R21" i="57"/>
  <c r="W21" i="57"/>
  <c r="Y21" i="57" s="1"/>
  <c r="E68" i="64"/>
  <c r="E70" i="64" s="1"/>
  <c r="E71" i="64" s="1"/>
  <c r="I187" i="62"/>
  <c r="AK173" i="62" s="1"/>
  <c r="I39" i="62"/>
  <c r="I47" i="62" s="1"/>
  <c r="Q209" i="4"/>
  <c r="AG101" i="62"/>
  <c r="AG96" i="62"/>
  <c r="AG97" i="62" s="1"/>
  <c r="AI96" i="62"/>
  <c r="AI97" i="62" s="1"/>
  <c r="AI101" i="62"/>
  <c r="I117" i="62"/>
  <c r="I139" i="62" s="1"/>
  <c r="E72" i="64"/>
  <c r="AE8" i="67"/>
  <c r="AD4" i="67"/>
  <c r="AD6" i="67" s="1"/>
  <c r="AD17" i="67"/>
  <c r="AD35" i="67" s="1"/>
  <c r="AD26" i="67" s="1"/>
  <c r="AJ101" i="62"/>
  <c r="AJ96" i="62"/>
  <c r="AJ97" i="62" s="1"/>
  <c r="AH97" i="62"/>
  <c r="AH98" i="62"/>
  <c r="AH99" i="62" s="1"/>
  <c r="E230" i="69" s="1"/>
  <c r="AO133" i="62"/>
  <c r="AO108" i="62"/>
  <c r="K234" i="69"/>
  <c r="O32" i="76"/>
  <c r="BO29" i="63"/>
  <c r="BM91" i="63"/>
  <c r="BM92" i="63"/>
  <c r="BN27" i="63"/>
  <c r="AO119" i="62"/>
  <c r="AO110" i="62"/>
  <c r="AO112" i="62" s="1"/>
  <c r="AO125" i="62"/>
  <c r="D123" i="76" s="1"/>
  <c r="AO161" i="62"/>
  <c r="AO140" i="62"/>
  <c r="AO160" i="62"/>
  <c r="AO139" i="62"/>
  <c r="AM162" i="69"/>
  <c r="BM44" i="63"/>
  <c r="BN73" i="63"/>
  <c r="BR55" i="63"/>
  <c r="AQ165" i="62" s="1"/>
  <c r="BS59" i="63"/>
  <c r="M175" i="4"/>
  <c r="M19" i="54" s="1"/>
  <c r="N105" i="4"/>
  <c r="AC86" i="4" s="1"/>
  <c r="AJ22" i="19"/>
  <c r="AL22" i="19" s="1"/>
  <c r="M118" i="4"/>
  <c r="H9" i="19" s="1"/>
  <c r="H17" i="19" s="1"/>
  <c r="H23" i="19" s="1"/>
  <c r="M112" i="4"/>
  <c r="M266" i="4" s="1"/>
  <c r="M267" i="4" s="1"/>
  <c r="M105" i="4"/>
  <c r="AB86" i="4" s="1"/>
  <c r="AM19" i="19"/>
  <c r="M257" i="4"/>
  <c r="AB80" i="4"/>
  <c r="T24" i="77" s="1"/>
  <c r="T33" i="77" s="1"/>
  <c r="M286" i="4"/>
  <c r="AN221" i="62"/>
  <c r="C119" i="62"/>
  <c r="G23" i="19"/>
  <c r="F23" i="19"/>
  <c r="K266" i="4"/>
  <c r="F197" i="62"/>
  <c r="F198" i="62" s="1"/>
  <c r="C26" i="94"/>
  <c r="C28" i="94"/>
  <c r="C29" i="94" s="1"/>
  <c r="D186" i="69"/>
  <c r="G198" i="62"/>
  <c r="F191" i="62"/>
  <c r="C182" i="69"/>
  <c r="H198" i="62"/>
  <c r="E186" i="69"/>
  <c r="I110" i="62"/>
  <c r="I221" i="62" s="1"/>
  <c r="F16" i="69" s="1"/>
  <c r="AN112" i="62"/>
  <c r="AN113" i="62" s="1"/>
  <c r="CO16" i="63"/>
  <c r="CP16" i="63" s="1"/>
  <c r="I240" i="62"/>
  <c r="Z5" i="67"/>
  <c r="M5" i="67"/>
  <c r="Y5" i="67"/>
  <c r="AC5" i="67"/>
  <c r="I106" i="62"/>
  <c r="L5" i="67"/>
  <c r="AA5" i="67"/>
  <c r="AB5" i="67"/>
  <c r="H5" i="66"/>
  <c r="H8" i="66"/>
  <c r="H13" i="66"/>
  <c r="F185" i="69"/>
  <c r="F194" i="69" s="1"/>
  <c r="AU165" i="69"/>
  <c r="E177" i="69"/>
  <c r="F49" i="64"/>
  <c r="I91" i="62"/>
  <c r="E62" i="64"/>
  <c r="I262" i="62"/>
  <c r="I263" i="62" s="1"/>
  <c r="J77" i="76"/>
  <c r="F187" i="69" s="1"/>
  <c r="I238" i="62"/>
  <c r="R105" i="62"/>
  <c r="S105" i="62" s="1"/>
  <c r="G175" i="69"/>
  <c r="G176" i="69" s="1"/>
  <c r="AG48" i="4"/>
  <c r="K262" i="62"/>
  <c r="V42" i="79"/>
  <c r="V44" i="79" s="1"/>
  <c r="H268" i="69"/>
  <c r="J233" i="62"/>
  <c r="J262" i="62" s="1"/>
  <c r="AN19" i="62"/>
  <c r="AN16" i="62"/>
  <c r="AN75" i="62"/>
  <c r="O3" i="76"/>
  <c r="AN17" i="62"/>
  <c r="I15" i="62"/>
  <c r="N240" i="4"/>
  <c r="N217" i="4"/>
  <c r="N246" i="4" s="1"/>
  <c r="G3" i="67"/>
  <c r="H3" i="67" s="1"/>
  <c r="E3" i="67"/>
  <c r="D3" i="67" s="1"/>
  <c r="AY65" i="62" l="1"/>
  <c r="CZ59" i="63"/>
  <c r="DK59" i="63"/>
  <c r="DW59" i="63" s="1"/>
  <c r="EI59" i="63" s="1"/>
  <c r="EU59" i="63" s="1"/>
  <c r="FG59" i="63" s="1"/>
  <c r="FS59" i="63" s="1"/>
  <c r="U203" i="4"/>
  <c r="U211" i="4" s="1"/>
  <c r="T211" i="4"/>
  <c r="CE2" i="62"/>
  <c r="BZ1" i="62"/>
  <c r="CH2" i="62"/>
  <c r="CF2" i="62"/>
  <c r="BU1" i="62"/>
  <c r="CC2" i="62"/>
  <c r="BX1" i="62"/>
  <c r="BW1" i="62"/>
  <c r="CE312" i="62"/>
  <c r="CE51" i="62" s="1"/>
  <c r="CE304" i="62"/>
  <c r="AV115" i="62"/>
  <c r="K115" i="62" s="1"/>
  <c r="K108" i="62"/>
  <c r="K109" i="62" s="1"/>
  <c r="R110" i="62"/>
  <c r="DQ52" i="63"/>
  <c r="R27" i="57"/>
  <c r="Q28" i="57"/>
  <c r="AC91" i="4"/>
  <c r="W7" i="57"/>
  <c r="W27" i="57"/>
  <c r="W5" i="57"/>
  <c r="Y11" i="57"/>
  <c r="W16" i="57"/>
  <c r="W9" i="57"/>
  <c r="W3" i="57"/>
  <c r="CH52" i="63"/>
  <c r="CH53" i="63" s="1"/>
  <c r="CH50" i="63" s="1"/>
  <c r="CH38" i="63" s="1"/>
  <c r="S13" i="57"/>
  <c r="P18" i="57"/>
  <c r="R17" i="57"/>
  <c r="S17" i="57"/>
  <c r="U9" i="57"/>
  <c r="V8" i="57"/>
  <c r="CI52" i="63"/>
  <c r="V4" i="57"/>
  <c r="U5" i="57"/>
  <c r="Y12" i="57"/>
  <c r="W17" i="57"/>
  <c r="W13" i="57"/>
  <c r="CI29" i="63"/>
  <c r="CI27" i="63"/>
  <c r="H2" i="57"/>
  <c r="H3" i="57" s="1"/>
  <c r="R2" i="57"/>
  <c r="S2" i="57"/>
  <c r="S3" i="57" s="1"/>
  <c r="P3" i="57"/>
  <c r="R3" i="57" s="1"/>
  <c r="S6" i="57"/>
  <c r="S7" i="57" s="1"/>
  <c r="R6" i="57"/>
  <c r="H6" i="57"/>
  <c r="H7" i="57" s="1"/>
  <c r="P7" i="57"/>
  <c r="R7" i="57" s="1"/>
  <c r="U3" i="57"/>
  <c r="V2" i="57"/>
  <c r="S16" i="57"/>
  <c r="U7" i="57"/>
  <c r="V6" i="57"/>
  <c r="R26" i="57"/>
  <c r="W26" i="57"/>
  <c r="P5" i="57"/>
  <c r="R5" i="57" s="1"/>
  <c r="W4" i="4"/>
  <c r="H4" i="57"/>
  <c r="H5" i="57" s="1"/>
  <c r="R4" i="57"/>
  <c r="AF4" i="19"/>
  <c r="AI4" i="19" s="1"/>
  <c r="S4" i="57"/>
  <c r="S5" i="57" s="1"/>
  <c r="CH41" i="63"/>
  <c r="CO49" i="63" s="1"/>
  <c r="AC81" i="4"/>
  <c r="Y23" i="57"/>
  <c r="W24" i="57"/>
  <c r="AU163" i="69"/>
  <c r="I105" i="62"/>
  <c r="D5" i="94" s="1"/>
  <c r="M34" i="19"/>
  <c r="AB81" i="4"/>
  <c r="F68" i="64"/>
  <c r="AL173" i="62"/>
  <c r="I268" i="62"/>
  <c r="I269" i="62" s="1"/>
  <c r="AN173" i="62"/>
  <c r="AM173" i="62"/>
  <c r="AM171" i="62"/>
  <c r="AK171" i="62"/>
  <c r="AK175" i="62" s="1"/>
  <c r="AK181" i="62" s="1"/>
  <c r="AL171" i="62"/>
  <c r="AN171" i="62"/>
  <c r="AB91" i="4"/>
  <c r="N34" i="19"/>
  <c r="AN19" i="19"/>
  <c r="AI98" i="62"/>
  <c r="AI99" i="62" s="1"/>
  <c r="F230" i="69" s="1"/>
  <c r="BT59" i="63"/>
  <c r="BT55" i="63" s="1"/>
  <c r="BS55" i="63"/>
  <c r="AO142" i="62"/>
  <c r="AO163" i="62"/>
  <c r="AJ98" i="62"/>
  <c r="AJ99" i="62" s="1"/>
  <c r="G230" i="69" s="1"/>
  <c r="AG98" i="62"/>
  <c r="AG99" i="62" s="1"/>
  <c r="D230" i="69" s="1"/>
  <c r="AV109" i="62"/>
  <c r="AO113" i="62"/>
  <c r="AO128" i="62"/>
  <c r="BP29" i="63"/>
  <c r="BP27" i="63" s="1"/>
  <c r="AM117" i="62"/>
  <c r="AK117" i="62"/>
  <c r="AN117" i="62"/>
  <c r="F17" i="66"/>
  <c r="AL117" i="62"/>
  <c r="AL130" i="62" s="1"/>
  <c r="AL131" i="62" s="1"/>
  <c r="AM166" i="69"/>
  <c r="AM163" i="69"/>
  <c r="BO27" i="63"/>
  <c r="AO221" i="62"/>
  <c r="AE4" i="67"/>
  <c r="AE17" i="67"/>
  <c r="AE35" i="67" s="1"/>
  <c r="AE26" i="67" s="1"/>
  <c r="AF8" i="67"/>
  <c r="AD5" i="67"/>
  <c r="AB102" i="4"/>
  <c r="S22" i="93"/>
  <c r="S33" i="93" s="1"/>
  <c r="AD39" i="54"/>
  <c r="T24" i="60"/>
  <c r="T33" i="60" s="1"/>
  <c r="I23" i="19"/>
  <c r="C186" i="69"/>
  <c r="C184" i="69" s="1"/>
  <c r="AG49" i="4"/>
  <c r="I37" i="62"/>
  <c r="E184" i="69"/>
  <c r="E188" i="69"/>
  <c r="E401" i="69"/>
  <c r="D188" i="69"/>
  <c r="D184" i="69"/>
  <c r="I111" i="62"/>
  <c r="AN128" i="62"/>
  <c r="E173" i="69"/>
  <c r="CQ16" i="63"/>
  <c r="CP14" i="63"/>
  <c r="AU162" i="69"/>
  <c r="F48" i="64"/>
  <c r="F51" i="64"/>
  <c r="F26" i="64" s="1"/>
  <c r="F30" i="64" s="1"/>
  <c r="G25" i="64" s="1"/>
  <c r="F50" i="64"/>
  <c r="E64" i="64"/>
  <c r="E65" i="64" s="1"/>
  <c r="F62" i="64"/>
  <c r="E174" i="69"/>
  <c r="AW164" i="69"/>
  <c r="E307" i="69"/>
  <c r="K236" i="62"/>
  <c r="K80" i="76"/>
  <c r="G44" i="64"/>
  <c r="G67" i="64" s="1"/>
  <c r="G116" i="64" s="1"/>
  <c r="N243" i="4"/>
  <c r="U230" i="4" s="1"/>
  <c r="I93" i="76"/>
  <c r="I18" i="62"/>
  <c r="I19" i="62" s="1"/>
  <c r="I17" i="62"/>
  <c r="I71" i="62"/>
  <c r="I73" i="62" s="1"/>
  <c r="I75" i="62" s="1"/>
  <c r="K77" i="76"/>
  <c r="G187" i="69" s="1"/>
  <c r="J238" i="62"/>
  <c r="J275" i="62"/>
  <c r="J274" i="62" s="1"/>
  <c r="DA59" i="63" l="1"/>
  <c r="DL59" i="63"/>
  <c r="DX59" i="63" s="1"/>
  <c r="EJ59" i="63" s="1"/>
  <c r="EV59" i="63" s="1"/>
  <c r="FH59" i="63" s="1"/>
  <c r="FT59" i="63" s="1"/>
  <c r="CB1" i="62"/>
  <c r="CG2" i="62"/>
  <c r="CJ2" i="62"/>
  <c r="CL2" i="62"/>
  <c r="CA1" i="62"/>
  <c r="BY1" i="62"/>
  <c r="CD20" i="62"/>
  <c r="CD82" i="62" s="1"/>
  <c r="CD15" i="62"/>
  <c r="CD23" i="62"/>
  <c r="CD8" i="62"/>
  <c r="CD65" i="62"/>
  <c r="CD1" i="62"/>
  <c r="CD107" i="62"/>
  <c r="CD31" i="62"/>
  <c r="CD11" i="62"/>
  <c r="CD30" i="62"/>
  <c r="CD165" i="62" s="1"/>
  <c r="CI2" i="62"/>
  <c r="T230" i="4"/>
  <c r="S230" i="4"/>
  <c r="CF312" i="62"/>
  <c r="CF51" i="62" s="1"/>
  <c r="CF304" i="62"/>
  <c r="CG303" i="62"/>
  <c r="R230" i="4"/>
  <c r="CI41" i="63"/>
  <c r="CP49" i="63" s="1"/>
  <c r="CH43" i="63"/>
  <c r="P8" i="57"/>
  <c r="CJ29" i="63"/>
  <c r="CJ27" i="63"/>
  <c r="W18" i="57"/>
  <c r="Y17" i="57"/>
  <c r="AM175" i="62"/>
  <c r="AM181" i="62" s="1"/>
  <c r="CJ42" i="63"/>
  <c r="CG69" i="63"/>
  <c r="K263" i="62"/>
  <c r="AN130" i="62"/>
  <c r="AN131" i="62" s="1"/>
  <c r="J235" i="69" s="1"/>
  <c r="F9" i="64"/>
  <c r="AN175" i="62"/>
  <c r="AL175" i="62"/>
  <c r="AL181" i="62" s="1"/>
  <c r="BQ29" i="63"/>
  <c r="BQ27" i="63" s="1"/>
  <c r="F10" i="66"/>
  <c r="J11" i="66"/>
  <c r="H34" i="69"/>
  <c r="H235" i="69"/>
  <c r="AE6" i="67"/>
  <c r="AE5" i="67"/>
  <c r="AF17" i="67"/>
  <c r="AF35" i="67" s="1"/>
  <c r="AF26" i="67" s="1"/>
  <c r="AG8" i="67"/>
  <c r="AF4" i="67"/>
  <c r="AK162" i="62"/>
  <c r="AK130" i="62"/>
  <c r="AK131" i="62" s="1"/>
  <c r="AM130" i="62"/>
  <c r="AM131" i="62" s="1"/>
  <c r="AM125" i="62"/>
  <c r="AM126" i="62" s="1"/>
  <c r="BU55" i="63"/>
  <c r="C70" i="64"/>
  <c r="CH40" i="63"/>
  <c r="D401" i="69"/>
  <c r="D402" i="69" s="1"/>
  <c r="B307" i="69" s="1"/>
  <c r="C307" i="69" s="1"/>
  <c r="D307" i="69" s="1"/>
  <c r="E402" i="69"/>
  <c r="C188" i="69"/>
  <c r="I401" i="69"/>
  <c r="F401" i="69"/>
  <c r="CR16" i="63"/>
  <c r="CQ14" i="63"/>
  <c r="N247" i="4"/>
  <c r="F39" i="64"/>
  <c r="G33" i="64" s="1"/>
  <c r="G15" i="64"/>
  <c r="F6" i="64"/>
  <c r="Q230" i="4"/>
  <c r="P230" i="4"/>
  <c r="I307" i="69"/>
  <c r="E320" i="69"/>
  <c r="I320" i="69" s="1"/>
  <c r="AO114" i="62"/>
  <c r="AL114" i="62"/>
  <c r="AL120" i="62" s="1"/>
  <c r="AL121" i="62" s="1"/>
  <c r="AK114" i="62"/>
  <c r="AH114" i="62"/>
  <c r="AP114" i="62"/>
  <c r="AI114" i="62"/>
  <c r="J263" i="62"/>
  <c r="AJ114" i="62"/>
  <c r="AM114" i="62"/>
  <c r="AR114" i="62"/>
  <c r="AG114" i="62"/>
  <c r="AN114" i="62"/>
  <c r="AN120" i="62" s="1"/>
  <c r="AQ114" i="62"/>
  <c r="G38" i="64"/>
  <c r="DB59" i="63" l="1"/>
  <c r="DM59" i="63"/>
  <c r="DY59" i="63" s="1"/>
  <c r="EK59" i="63" s="1"/>
  <c r="EW59" i="63" s="1"/>
  <c r="FI59" i="63" s="1"/>
  <c r="FU59" i="63" s="1"/>
  <c r="CF65" i="62"/>
  <c r="CF8" i="62"/>
  <c r="CF31" i="62"/>
  <c r="CF23" i="62"/>
  <c r="CF11" i="62"/>
  <c r="CF15" i="62"/>
  <c r="CF107" i="62"/>
  <c r="CG115" i="62" s="1"/>
  <c r="CF1" i="62"/>
  <c r="CF30" i="62"/>
  <c r="CF165" i="62" s="1"/>
  <c r="CF20" i="62"/>
  <c r="CF82" i="62" s="1"/>
  <c r="CN2" i="62"/>
  <c r="CK2" i="62"/>
  <c r="CM2" i="62"/>
  <c r="CE84" i="62"/>
  <c r="CE65" i="62"/>
  <c r="CE8" i="62"/>
  <c r="CE11" i="62"/>
  <c r="CE20" i="62"/>
  <c r="CE82" i="62" s="1"/>
  <c r="CE15" i="62"/>
  <c r="CE1" i="62"/>
  <c r="CE23" i="62"/>
  <c r="CE107" i="62"/>
  <c r="CF115" i="62" s="1"/>
  <c r="CE30" i="62"/>
  <c r="CE165" i="62" s="1"/>
  <c r="CE90" i="62"/>
  <c r="CE31" i="62"/>
  <c r="CE114" i="62"/>
  <c r="CE112" i="62" s="1"/>
  <c r="CD84" i="62"/>
  <c r="CC107" i="62"/>
  <c r="CD106" i="62" s="1"/>
  <c r="CC23" i="62"/>
  <c r="CC102" i="62" s="1"/>
  <c r="CC1" i="62"/>
  <c r="CC15" i="62"/>
  <c r="CC8" i="62"/>
  <c r="CC20" i="62"/>
  <c r="CC82" i="62" s="1"/>
  <c r="CC65" i="62"/>
  <c r="CC31" i="62"/>
  <c r="CD63" i="62"/>
  <c r="CD90" i="62"/>
  <c r="CC11" i="62"/>
  <c r="CC30" i="62"/>
  <c r="CC165" i="62" s="1"/>
  <c r="CE115" i="62"/>
  <c r="CD6" i="62"/>
  <c r="CD16" i="62" s="1"/>
  <c r="CH15" i="62"/>
  <c r="CH20" i="62"/>
  <c r="CH82" i="62" s="1"/>
  <c r="CH23" i="62"/>
  <c r="CH31" i="62"/>
  <c r="CH11" i="62"/>
  <c r="CH1" i="62"/>
  <c r="CH30" i="62"/>
  <c r="CH165" i="62" s="1"/>
  <c r="CH65" i="62"/>
  <c r="CH107" i="62"/>
  <c r="CI115" i="62" s="1"/>
  <c r="CH8" i="62"/>
  <c r="CD102" i="62"/>
  <c r="CP2" i="62"/>
  <c r="CG312" i="62"/>
  <c r="CG51" i="62" s="1"/>
  <c r="CG304" i="62"/>
  <c r="CH303" i="62"/>
  <c r="CN52" i="63"/>
  <c r="CJ52" i="63"/>
  <c r="CL52" i="63"/>
  <c r="CK52" i="63"/>
  <c r="CM52" i="63"/>
  <c r="CK53" i="63"/>
  <c r="AN183" i="62"/>
  <c r="J165" i="62"/>
  <c r="J30" i="62" s="1"/>
  <c r="J28" i="62" s="1"/>
  <c r="AR165" i="62"/>
  <c r="CJ41" i="63"/>
  <c r="R8" i="57"/>
  <c r="H8" i="57"/>
  <c r="H9" i="57" s="1"/>
  <c r="S8" i="57"/>
  <c r="S9" i="57" s="1"/>
  <c r="P9" i="57"/>
  <c r="R9" i="57" s="1"/>
  <c r="CH69" i="63"/>
  <c r="CG70" i="63"/>
  <c r="AN121" i="62"/>
  <c r="J34" i="69"/>
  <c r="H269" i="69"/>
  <c r="I34" i="69"/>
  <c r="I235" i="69"/>
  <c r="G34" i="69"/>
  <c r="G235" i="69"/>
  <c r="AF6" i="67"/>
  <c r="AF5" i="67"/>
  <c r="AG17" i="67"/>
  <c r="AG35" i="67" s="1"/>
  <c r="AG26" i="67" s="1"/>
  <c r="AG4" i="67"/>
  <c r="F11" i="66"/>
  <c r="F2" i="66"/>
  <c r="CT47" i="63"/>
  <c r="CH44" i="63"/>
  <c r="G36" i="64"/>
  <c r="H32" i="64" s="1"/>
  <c r="O116" i="4"/>
  <c r="F60" i="64"/>
  <c r="F53" i="64"/>
  <c r="H55" i="64"/>
  <c r="CR14" i="63"/>
  <c r="CS16" i="63"/>
  <c r="AZ65" i="62" s="1"/>
  <c r="AS114" i="62"/>
  <c r="AV114" i="62"/>
  <c r="AT114" i="62"/>
  <c r="AU114" i="62"/>
  <c r="AO138" i="62"/>
  <c r="J114" i="62"/>
  <c r="AO159" i="62"/>
  <c r="F22" i="64"/>
  <c r="F4" i="64" s="1"/>
  <c r="G21" i="64"/>
  <c r="AM120" i="62"/>
  <c r="AJ126" i="62" s="1"/>
  <c r="H114" i="62"/>
  <c r="AK159" i="62"/>
  <c r="I114" i="62"/>
  <c r="AK120" i="62"/>
  <c r="DC59" i="63" l="1"/>
  <c r="DN59" i="63"/>
  <c r="DZ59" i="63" s="1"/>
  <c r="EL59" i="63" s="1"/>
  <c r="EX59" i="63" s="1"/>
  <c r="FJ59" i="63" s="1"/>
  <c r="FV59" i="63" s="1"/>
  <c r="CD24" i="62"/>
  <c r="CC119" i="62"/>
  <c r="CC120" i="62"/>
  <c r="CD119" i="62"/>
  <c r="CD120" i="62"/>
  <c r="CE85" i="62"/>
  <c r="CD9" i="62"/>
  <c r="CD75" i="62"/>
  <c r="CH84" i="62"/>
  <c r="CQ2" i="62"/>
  <c r="CC86" i="62"/>
  <c r="CC88" i="62"/>
  <c r="CI23" i="62"/>
  <c r="CI107" i="62"/>
  <c r="CJ115" i="62" s="1"/>
  <c r="CI31" i="62"/>
  <c r="CI20" i="62"/>
  <c r="CI82" i="62" s="1"/>
  <c r="CI65" i="62"/>
  <c r="CI8" i="62"/>
  <c r="CI1" i="62"/>
  <c r="CI11" i="62"/>
  <c r="CI15" i="62"/>
  <c r="CI75" i="62" s="1"/>
  <c r="CI30" i="62"/>
  <c r="CI165" i="62" s="1"/>
  <c r="CI114" i="62"/>
  <c r="CI112" i="62" s="1"/>
  <c r="CC6" i="62"/>
  <c r="CC24" i="62" s="1"/>
  <c r="CO2" i="62"/>
  <c r="CF90" i="62"/>
  <c r="CF84" i="62"/>
  <c r="CH6" i="62"/>
  <c r="CH7" i="62" s="1"/>
  <c r="CG20" i="62"/>
  <c r="CG82" i="62" s="1"/>
  <c r="CG30" i="62"/>
  <c r="CG165" i="62" s="1"/>
  <c r="CG107" i="62"/>
  <c r="CH106" i="62" s="1"/>
  <c r="CG1" i="62"/>
  <c r="CG8" i="62"/>
  <c r="CG65" i="62"/>
  <c r="CH90" i="62"/>
  <c r="CG31" i="62"/>
  <c r="CG15" i="62"/>
  <c r="CG11" i="62"/>
  <c r="CG23" i="62"/>
  <c r="CG114" i="62"/>
  <c r="CG112" i="62" s="1"/>
  <c r="CF75" i="62"/>
  <c r="CE106" i="62"/>
  <c r="CE102" i="62"/>
  <c r="CJ1" i="62"/>
  <c r="CJ8" i="62"/>
  <c r="CJ11" i="62"/>
  <c r="CJ31" i="62"/>
  <c r="CJ15" i="62"/>
  <c r="CJ30" i="62"/>
  <c r="CJ165" i="62" s="1"/>
  <c r="CJ23" i="62"/>
  <c r="CJ107" i="62"/>
  <c r="CK115" i="62" s="1"/>
  <c r="CJ65" i="62"/>
  <c r="CJ20" i="62"/>
  <c r="CJ82" i="62" s="1"/>
  <c r="CJ83" i="62" s="1"/>
  <c r="CL23" i="62"/>
  <c r="CL8" i="62"/>
  <c r="CL31" i="62"/>
  <c r="CL20" i="62"/>
  <c r="CL82" i="62" s="1"/>
  <c r="CL30" i="62"/>
  <c r="CL165" i="62" s="1"/>
  <c r="CL15" i="62"/>
  <c r="CL1" i="62"/>
  <c r="CL65" i="62"/>
  <c r="CL11" i="62"/>
  <c r="CL107" i="62"/>
  <c r="CM115" i="62" s="1"/>
  <c r="CR2" i="62"/>
  <c r="CD115" i="62"/>
  <c r="CD114" i="62"/>
  <c r="CD112" i="62" s="1"/>
  <c r="CD113" i="62" s="1"/>
  <c r="CE75" i="62"/>
  <c r="CF106" i="62"/>
  <c r="CF102" i="62"/>
  <c r="CT2" i="62"/>
  <c r="CF6" i="62"/>
  <c r="CF9" i="62" s="1"/>
  <c r="CF63" i="62"/>
  <c r="CH102" i="62"/>
  <c r="CH25" i="62"/>
  <c r="CE6" i="62"/>
  <c r="CE9" i="62" s="1"/>
  <c r="CE63" i="62"/>
  <c r="CF114" i="62"/>
  <c r="CF112" i="62" s="1"/>
  <c r="CH83" i="62"/>
  <c r="CC84" i="62"/>
  <c r="CD85" i="62" s="1"/>
  <c r="CF85" i="62"/>
  <c r="CH312" i="62"/>
  <c r="CH51" i="62" s="1"/>
  <c r="CH304" i="62"/>
  <c r="CI303" i="62"/>
  <c r="AW115" i="62"/>
  <c r="CK50" i="63"/>
  <c r="CK54" i="63" s="1"/>
  <c r="CL53" i="63"/>
  <c r="CL50" i="63" s="1"/>
  <c r="CL54" i="63" s="1"/>
  <c r="CK43" i="63"/>
  <c r="CQ49" i="63"/>
  <c r="J171" i="62"/>
  <c r="J173" i="62" s="1"/>
  <c r="J174" i="62" s="1"/>
  <c r="J169" i="62"/>
  <c r="I120" i="62"/>
  <c r="I140" i="62" s="1"/>
  <c r="F64" i="64"/>
  <c r="AG5" i="67"/>
  <c r="AG6" i="67"/>
  <c r="J117" i="62"/>
  <c r="F70" i="64"/>
  <c r="F71" i="64" s="1"/>
  <c r="J31" i="62"/>
  <c r="K114" i="62"/>
  <c r="AT146" i="62"/>
  <c r="AS146" i="62"/>
  <c r="CS14" i="63"/>
  <c r="AZ11" i="62" s="1"/>
  <c r="CT16" i="63"/>
  <c r="J12" i="19"/>
  <c r="F23" i="64"/>
  <c r="B114" i="62"/>
  <c r="D114" i="62"/>
  <c r="H120" i="62"/>
  <c r="AM121" i="62"/>
  <c r="AK121" i="62"/>
  <c r="AK164" i="62"/>
  <c r="U114" i="62"/>
  <c r="DD59" i="63" l="1"/>
  <c r="DO59" i="63"/>
  <c r="EA59" i="63" s="1"/>
  <c r="EM59" i="63" s="1"/>
  <c r="EY59" i="63" s="1"/>
  <c r="FK59" i="63" s="1"/>
  <c r="FW59" i="63" s="1"/>
  <c r="CJ114" i="62"/>
  <c r="CJ112" i="62" s="1"/>
  <c r="CF119" i="62"/>
  <c r="CF120" i="62"/>
  <c r="CH119" i="62"/>
  <c r="CH120" i="62"/>
  <c r="CE113" i="62"/>
  <c r="CE119" i="62"/>
  <c r="CE120" i="62"/>
  <c r="CF24" i="62"/>
  <c r="CH24" i="62"/>
  <c r="CH9" i="62"/>
  <c r="CC9" i="62"/>
  <c r="CF16" i="62"/>
  <c r="CG83" i="62"/>
  <c r="CG85" i="62"/>
  <c r="CG86" i="62"/>
  <c r="CG88" i="62"/>
  <c r="CG92" i="62" s="1"/>
  <c r="CI84" i="62"/>
  <c r="CJ85" i="62" s="1"/>
  <c r="CI90" i="62"/>
  <c r="CE24" i="62"/>
  <c r="CG90" i="62"/>
  <c r="CG84" i="62"/>
  <c r="CH85" i="62" s="1"/>
  <c r="CI83" i="62"/>
  <c r="CI85" i="62"/>
  <c r="CG102" i="62"/>
  <c r="CG106" i="62"/>
  <c r="CG25" i="62"/>
  <c r="CC16" i="62"/>
  <c r="CH16" i="62"/>
  <c r="CH103" i="62"/>
  <c r="CE16" i="62"/>
  <c r="CJ90" i="62"/>
  <c r="CJ84" i="62"/>
  <c r="CH75" i="62"/>
  <c r="N312" i="62"/>
  <c r="CG75" i="62"/>
  <c r="CI106" i="62"/>
  <c r="CI102" i="62"/>
  <c r="CI25" i="62"/>
  <c r="CL84" i="62"/>
  <c r="CJ25" i="62"/>
  <c r="CJ102" i="62"/>
  <c r="CJ106" i="62"/>
  <c r="CH63" i="62"/>
  <c r="CC93" i="62"/>
  <c r="CC95" i="62" s="1"/>
  <c r="CJ75" i="62"/>
  <c r="CV2" i="62"/>
  <c r="CN15" i="62"/>
  <c r="CN20" i="62"/>
  <c r="CN82" i="62" s="1"/>
  <c r="CN83" i="62" s="1"/>
  <c r="CN65" i="62"/>
  <c r="CN8" i="62"/>
  <c r="CN23" i="62"/>
  <c r="CN107" i="62"/>
  <c r="CN31" i="62"/>
  <c r="CN1" i="62"/>
  <c r="CN30" i="62"/>
  <c r="CN165" i="62" s="1"/>
  <c r="CN11" i="62"/>
  <c r="CF113" i="62"/>
  <c r="N303" i="62"/>
  <c r="F498" i="69" s="1"/>
  <c r="CG63" i="62"/>
  <c r="CG6" i="62"/>
  <c r="CG7" i="62" s="1"/>
  <c r="CU2" i="62"/>
  <c r="CL83" i="62"/>
  <c r="CX2" i="62"/>
  <c r="CL6" i="62"/>
  <c r="CL7" i="62" s="1"/>
  <c r="O312" i="62"/>
  <c r="CK90" i="62"/>
  <c r="CK15" i="62"/>
  <c r="CK1" i="62"/>
  <c r="O303" i="62" s="1"/>
  <c r="CK65" i="62"/>
  <c r="CK107" i="62"/>
  <c r="CL106" i="62" s="1"/>
  <c r="CK20" i="62"/>
  <c r="CK82" i="62" s="1"/>
  <c r="CK8" i="62"/>
  <c r="CK31" i="62"/>
  <c r="CK23" i="62"/>
  <c r="CK11" i="62"/>
  <c r="CK30" i="62"/>
  <c r="CK165" i="62" s="1"/>
  <c r="CK114" i="62"/>
  <c r="CK112" i="62" s="1"/>
  <c r="CI63" i="62"/>
  <c r="CI6" i="62"/>
  <c r="CI9" i="62" s="1"/>
  <c r="CM1" i="62"/>
  <c r="Q312" i="62" s="1"/>
  <c r="CM20" i="62"/>
  <c r="CM82" i="62" s="1"/>
  <c r="CM65" i="62"/>
  <c r="CM31" i="62"/>
  <c r="CM107" i="62"/>
  <c r="CN115" i="62" s="1"/>
  <c r="CM8" i="62"/>
  <c r="CM11" i="62"/>
  <c r="CM23" i="62"/>
  <c r="CM15" i="62"/>
  <c r="CM30" i="62"/>
  <c r="CM165" i="62" s="1"/>
  <c r="CM114" i="62"/>
  <c r="CM112" i="62" s="1"/>
  <c r="CP30" i="62"/>
  <c r="CP165" i="62" s="1"/>
  <c r="CP8" i="62"/>
  <c r="CP1" i="62"/>
  <c r="CP107" i="62"/>
  <c r="CQ115" i="62" s="1"/>
  <c r="CP23" i="62"/>
  <c r="CP11" i="62"/>
  <c r="CP31" i="62"/>
  <c r="CP15" i="62"/>
  <c r="CP65" i="62"/>
  <c r="CP20" i="62"/>
  <c r="CP82" i="62" s="1"/>
  <c r="CP117" i="62"/>
  <c r="CL25" i="62"/>
  <c r="CL102" i="62"/>
  <c r="CJ63" i="62"/>
  <c r="CJ6" i="62"/>
  <c r="CJ7" i="62" s="1"/>
  <c r="CH115" i="62"/>
  <c r="CH114" i="62"/>
  <c r="CH112" i="62" s="1"/>
  <c r="CH113" i="62" s="1"/>
  <c r="CS2" i="62"/>
  <c r="CI312" i="62"/>
  <c r="CI51" i="62" s="1"/>
  <c r="CI304" i="62"/>
  <c r="CJ303" i="62"/>
  <c r="J38" i="62"/>
  <c r="CN29" i="63"/>
  <c r="CN27" i="63"/>
  <c r="J182" i="62"/>
  <c r="J29" i="62"/>
  <c r="F65" i="64"/>
  <c r="D272" i="69"/>
  <c r="T63" i="64"/>
  <c r="AR117" i="62"/>
  <c r="U117" i="62"/>
  <c r="AQ117" i="62"/>
  <c r="G17" i="66"/>
  <c r="G10" i="66" s="1"/>
  <c r="AP117" i="62"/>
  <c r="AO117" i="62"/>
  <c r="CU16" i="63"/>
  <c r="CV16" i="63" s="1"/>
  <c r="CW16" i="63" s="1"/>
  <c r="J55" i="64"/>
  <c r="H121" i="62"/>
  <c r="C120" i="62"/>
  <c r="D120" i="62"/>
  <c r="D121" i="62" s="1"/>
  <c r="B120" i="62"/>
  <c r="AH120" i="62" s="1"/>
  <c r="AH121" i="62" s="1"/>
  <c r="E114" i="62"/>
  <c r="E120" i="62" s="1"/>
  <c r="E121" i="62" s="1"/>
  <c r="F114" i="62"/>
  <c r="F120" i="62" s="1"/>
  <c r="F121" i="62" s="1"/>
  <c r="G114" i="62"/>
  <c r="G120" i="62" s="1"/>
  <c r="G121" i="62" s="1"/>
  <c r="I121" i="62"/>
  <c r="I112" i="62"/>
  <c r="DE59" i="63" l="1"/>
  <c r="DQ59" i="63" s="1"/>
  <c r="EC59" i="63" s="1"/>
  <c r="EO59" i="63" s="1"/>
  <c r="FA59" i="63" s="1"/>
  <c r="FM59" i="63" s="1"/>
  <c r="FY59" i="63" s="1"/>
  <c r="DP59" i="63"/>
  <c r="EB59" i="63" s="1"/>
  <c r="EN59" i="63" s="1"/>
  <c r="EZ59" i="63" s="1"/>
  <c r="FL59" i="63" s="1"/>
  <c r="FX59" i="63" s="1"/>
  <c r="BA65" i="62"/>
  <c r="CL119" i="62"/>
  <c r="CL120" i="62"/>
  <c r="CJ119" i="62"/>
  <c r="CJ120" i="62"/>
  <c r="CI119" i="62"/>
  <c r="CI120" i="62"/>
  <c r="CG113" i="62"/>
  <c r="CG119" i="62"/>
  <c r="CG120" i="62"/>
  <c r="Q303" i="62"/>
  <c r="Q313" i="62" s="1"/>
  <c r="CL9" i="62"/>
  <c r="CL24" i="62"/>
  <c r="CG24" i="62"/>
  <c r="P303" i="62"/>
  <c r="CK84" i="62"/>
  <c r="CL85" i="62" s="1"/>
  <c r="Q317" i="62"/>
  <c r="Q318" i="62" s="1"/>
  <c r="Q319" i="62" s="1"/>
  <c r="CP6" i="62"/>
  <c r="CP7" i="62" s="1"/>
  <c r="CK63" i="62"/>
  <c r="CK6" i="62"/>
  <c r="CK7" i="62" s="1"/>
  <c r="CT107" i="62"/>
  <c r="CT1" i="62"/>
  <c r="CT15" i="62"/>
  <c r="CT23" i="62"/>
  <c r="CT11" i="62"/>
  <c r="CT20" i="62"/>
  <c r="CT82" i="62" s="1"/>
  <c r="CT65" i="62"/>
  <c r="CT31" i="62"/>
  <c r="CT30" i="62"/>
  <c r="CT8" i="62"/>
  <c r="CT117" i="62"/>
  <c r="CR107" i="62"/>
  <c r="CS115" i="62" s="1"/>
  <c r="CR1" i="62"/>
  <c r="CR23" i="62"/>
  <c r="CR31" i="62"/>
  <c r="CR11" i="62"/>
  <c r="CR65" i="62"/>
  <c r="CR30" i="62"/>
  <c r="CR165" i="62" s="1"/>
  <c r="CR8" i="62"/>
  <c r="CR20" i="62"/>
  <c r="CR82" i="62" s="1"/>
  <c r="CR83" i="62" s="1"/>
  <c r="CR15" i="62"/>
  <c r="CR117" i="62"/>
  <c r="CJ103" i="62"/>
  <c r="CL16" i="62"/>
  <c r="CJ24" i="62"/>
  <c r="CX31" i="62"/>
  <c r="CX11" i="62"/>
  <c r="CX15" i="62"/>
  <c r="CX30" i="62"/>
  <c r="CX23" i="62"/>
  <c r="CX20" i="62"/>
  <c r="CX82" i="62" s="1"/>
  <c r="CX65" i="62"/>
  <c r="CX8" i="62"/>
  <c r="CX1" i="62"/>
  <c r="CX107" i="62"/>
  <c r="CX117" i="62"/>
  <c r="N317" i="62"/>
  <c r="N318" i="62" s="1"/>
  <c r="N319" i="62" s="1"/>
  <c r="N313" i="62"/>
  <c r="F500" i="69" s="1"/>
  <c r="F499" i="69" s="1"/>
  <c r="CW2" i="62"/>
  <c r="CM83" i="62"/>
  <c r="CK83" i="62"/>
  <c r="CK86" i="62"/>
  <c r="CK88" i="62"/>
  <c r="CK92" i="62" s="1"/>
  <c r="CZ2" i="62"/>
  <c r="CL75" i="62"/>
  <c r="CK25" i="62"/>
  <c r="CK102" i="62"/>
  <c r="CK113" i="62" s="1"/>
  <c r="CK106" i="62"/>
  <c r="CO11" i="62"/>
  <c r="CO20" i="62"/>
  <c r="CO82" i="62" s="1"/>
  <c r="CO31" i="62"/>
  <c r="CO23" i="62"/>
  <c r="CO15" i="62"/>
  <c r="CO8" i="62"/>
  <c r="CO65" i="62"/>
  <c r="CO1" i="62"/>
  <c r="CP75" i="62"/>
  <c r="CO107" i="62"/>
  <c r="CO30" i="62"/>
  <c r="CO165" i="62" s="1"/>
  <c r="CO114" i="62"/>
  <c r="CO112" i="62" s="1"/>
  <c r="CO117" i="62"/>
  <c r="CP83" i="62"/>
  <c r="CL115" i="62"/>
  <c r="CL114" i="62"/>
  <c r="CL112" i="62" s="1"/>
  <c r="CL113" i="62" s="1"/>
  <c r="CN84" i="62"/>
  <c r="CN90" i="62"/>
  <c r="CM85" i="62"/>
  <c r="CG103" i="62"/>
  <c r="CN75" i="62"/>
  <c r="CL90" i="62"/>
  <c r="CK85" i="62"/>
  <c r="CM75" i="62"/>
  <c r="CI16" i="62"/>
  <c r="CI7" i="62"/>
  <c r="CY2" i="62"/>
  <c r="CJ16" i="62"/>
  <c r="CI24" i="62"/>
  <c r="CN114" i="62"/>
  <c r="CN112" i="62" s="1"/>
  <c r="CJ9" i="62"/>
  <c r="CP17" i="62"/>
  <c r="CM102" i="62"/>
  <c r="CM106" i="62"/>
  <c r="CM25" i="62"/>
  <c r="CK75" i="62"/>
  <c r="CQ31" i="62"/>
  <c r="CQ65" i="62"/>
  <c r="CQ1" i="62"/>
  <c r="CQ11" i="62"/>
  <c r="CQ20" i="62"/>
  <c r="CQ82" i="62" s="1"/>
  <c r="CQ30" i="62"/>
  <c r="CQ165" i="62" s="1"/>
  <c r="CQ15" i="62"/>
  <c r="CQ23" i="62"/>
  <c r="CQ8" i="62"/>
  <c r="CQ107" i="62"/>
  <c r="CR115" i="62" s="1"/>
  <c r="CQ117" i="62"/>
  <c r="CQ114" i="62"/>
  <c r="CQ112" i="62" s="1"/>
  <c r="CG93" i="62"/>
  <c r="CG95" i="62" s="1"/>
  <c r="CL103" i="62"/>
  <c r="CG9" i="62"/>
  <c r="CO115" i="62"/>
  <c r="CC101" i="62"/>
  <c r="CC96" i="62"/>
  <c r="CC97" i="62" s="1"/>
  <c r="CI103" i="62"/>
  <c r="CM63" i="62"/>
  <c r="CM6" i="62"/>
  <c r="CM7" i="62" s="1"/>
  <c r="O313" i="62"/>
  <c r="O317" i="62"/>
  <c r="O318" i="62" s="1"/>
  <c r="O319" i="62" s="1"/>
  <c r="CN25" i="62"/>
  <c r="CN106" i="62"/>
  <c r="CN102" i="62"/>
  <c r="CM90" i="62"/>
  <c r="CM84" i="62"/>
  <c r="CN85" i="62" s="1"/>
  <c r="CP84" i="62"/>
  <c r="CL63" i="62"/>
  <c r="CN63" i="62"/>
  <c r="CN6" i="62"/>
  <c r="CN7" i="62" s="1"/>
  <c r="CI113" i="62"/>
  <c r="CJ113" i="62"/>
  <c r="CP25" i="62"/>
  <c r="CP102" i="62"/>
  <c r="H498" i="69"/>
  <c r="G498" i="69"/>
  <c r="CG16" i="62"/>
  <c r="P312" i="62"/>
  <c r="P317" i="62" s="1"/>
  <c r="P318" i="62" s="1"/>
  <c r="P319" i="62" s="1"/>
  <c r="CJ312" i="62"/>
  <c r="CJ51" i="62" s="1"/>
  <c r="CJ304" i="62"/>
  <c r="CK303" i="62"/>
  <c r="CO29" i="63"/>
  <c r="CO27" i="63"/>
  <c r="F274" i="69"/>
  <c r="G274" i="69" s="1"/>
  <c r="H274" i="69" s="1"/>
  <c r="I274" i="69" s="1"/>
  <c r="J274" i="69" s="1"/>
  <c r="K274" i="69" s="1"/>
  <c r="L274" i="69" s="1"/>
  <c r="G275" i="69"/>
  <c r="H275" i="69" s="1"/>
  <c r="I275" i="69" s="1"/>
  <c r="J275" i="69" s="1"/>
  <c r="K275" i="69" s="1"/>
  <c r="L275" i="69" s="1"/>
  <c r="M275" i="69" s="1"/>
  <c r="E273" i="69"/>
  <c r="F273" i="69" s="1"/>
  <c r="G273" i="69" s="1"/>
  <c r="H273" i="69" s="1"/>
  <c r="I273" i="69" s="1"/>
  <c r="J273" i="69" s="1"/>
  <c r="K273" i="69" s="1"/>
  <c r="H263" i="69"/>
  <c r="I263" i="69" s="1"/>
  <c r="J263" i="69" s="1"/>
  <c r="K263" i="69" s="1"/>
  <c r="K265" i="69" s="1"/>
  <c r="E262" i="69"/>
  <c r="F262" i="69" s="1"/>
  <c r="E261" i="69"/>
  <c r="F261" i="69" s="1"/>
  <c r="G261" i="69" s="1"/>
  <c r="H261" i="69" s="1"/>
  <c r="AO162" i="62"/>
  <c r="AO141" i="62"/>
  <c r="AO130" i="62"/>
  <c r="AO131" i="62" s="1"/>
  <c r="K235" i="69" s="1"/>
  <c r="AO120" i="62"/>
  <c r="AO32" i="62"/>
  <c r="AO28" i="62" s="1"/>
  <c r="AP32" i="62"/>
  <c r="AP28" i="62" s="1"/>
  <c r="AR32" i="62"/>
  <c r="AR28" i="62" s="1"/>
  <c r="AQ32" i="62"/>
  <c r="AQ28" i="62" s="1"/>
  <c r="J184" i="62"/>
  <c r="J185" i="62"/>
  <c r="CX16" i="63"/>
  <c r="CW14" i="63"/>
  <c r="I133" i="62"/>
  <c r="I134" i="62"/>
  <c r="I128" i="62"/>
  <c r="I122" i="62"/>
  <c r="I132" i="62"/>
  <c r="I113" i="62"/>
  <c r="CN119" i="62" l="1"/>
  <c r="CN120" i="62"/>
  <c r="CK119" i="62"/>
  <c r="CK120" i="62"/>
  <c r="CP119" i="62"/>
  <c r="CP120" i="62"/>
  <c r="CM119" i="62"/>
  <c r="CM120" i="62"/>
  <c r="CM9" i="62"/>
  <c r="CP16" i="62"/>
  <c r="CK24" i="62"/>
  <c r="L277" i="69"/>
  <c r="K277" i="69"/>
  <c r="I110" i="64" s="1"/>
  <c r="M277" i="69"/>
  <c r="I115" i="64"/>
  <c r="CK9" i="62"/>
  <c r="CK16" i="62"/>
  <c r="CP24" i="62"/>
  <c r="CN9" i="62"/>
  <c r="CP90" i="62"/>
  <c r="CP9" i="62"/>
  <c r="CN24" i="62"/>
  <c r="CC98" i="62"/>
  <c r="CC99" i="62" s="1"/>
  <c r="CQ6" i="62"/>
  <c r="CQ24" i="62" s="1"/>
  <c r="CQ63" i="62"/>
  <c r="CM24" i="62"/>
  <c r="CY11" i="62"/>
  <c r="CY15" i="62"/>
  <c r="CY1" i="62"/>
  <c r="CY30" i="62"/>
  <c r="CY65" i="62"/>
  <c r="CY23" i="62"/>
  <c r="CY20" i="62"/>
  <c r="CY82" i="62" s="1"/>
  <c r="CY107" i="62"/>
  <c r="CZ115" i="62" s="1"/>
  <c r="CY31" i="62"/>
  <c r="CY8" i="62"/>
  <c r="CY114" i="62"/>
  <c r="CY112" i="62" s="1"/>
  <c r="CY117" i="62"/>
  <c r="CP115" i="62"/>
  <c r="CP114" i="62"/>
  <c r="CP112" i="62" s="1"/>
  <c r="CP113" i="62" s="1"/>
  <c r="CW107" i="62"/>
  <c r="CX106" i="62" s="1"/>
  <c r="CW31" i="62"/>
  <c r="CW20" i="62"/>
  <c r="CW82" i="62" s="1"/>
  <c r="CW15" i="62"/>
  <c r="CW11" i="62"/>
  <c r="CW23" i="62"/>
  <c r="CW8" i="62"/>
  <c r="CW1" i="62"/>
  <c r="CW30" i="62"/>
  <c r="CW65" i="62"/>
  <c r="CW117" i="62"/>
  <c r="CX102" i="62"/>
  <c r="CX25" i="62"/>
  <c r="CR75" i="62"/>
  <c r="CR17" i="62"/>
  <c r="CT84" i="62"/>
  <c r="CQ25" i="62"/>
  <c r="CQ102" i="62"/>
  <c r="CQ106" i="62"/>
  <c r="CK103" i="62"/>
  <c r="H500" i="69"/>
  <c r="G500" i="69"/>
  <c r="G499" i="69" s="1"/>
  <c r="G501" i="69" s="1"/>
  <c r="E500" i="69"/>
  <c r="E499" i="69" s="1"/>
  <c r="E501" i="69" s="1"/>
  <c r="CU115" i="62"/>
  <c r="CX83" i="62"/>
  <c r="CR114" i="62"/>
  <c r="CR112" i="62" s="1"/>
  <c r="CQ75" i="62"/>
  <c r="CQ17" i="62"/>
  <c r="CX75" i="62"/>
  <c r="CX17" i="62"/>
  <c r="CT6" i="62"/>
  <c r="CT7" i="62" s="1"/>
  <c r="CT17" i="62"/>
  <c r="CN103" i="62"/>
  <c r="CM103" i="62"/>
  <c r="CM16" i="62"/>
  <c r="CO90" i="62"/>
  <c r="CO84" i="62"/>
  <c r="CP85" i="62" s="1"/>
  <c r="CR6" i="62"/>
  <c r="CR7" i="62" s="1"/>
  <c r="CR63" i="62"/>
  <c r="CU1" i="62"/>
  <c r="CU11" i="62"/>
  <c r="CU65" i="62"/>
  <c r="CU20" i="62"/>
  <c r="CU82" i="62" s="1"/>
  <c r="CU31" i="62"/>
  <c r="CU8" i="62"/>
  <c r="CU15" i="62"/>
  <c r="CU75" i="62" s="1"/>
  <c r="CU30" i="62"/>
  <c r="CU23" i="62"/>
  <c r="CU107" i="62"/>
  <c r="CV115" i="62" s="1"/>
  <c r="CU117" i="62"/>
  <c r="CU114" i="62"/>
  <c r="CU112" i="62" s="1"/>
  <c r="CQ83" i="62"/>
  <c r="CO6" i="62"/>
  <c r="CO16" i="62" s="1"/>
  <c r="CO63" i="62"/>
  <c r="CZ8" i="62"/>
  <c r="CZ31" i="62"/>
  <c r="CZ23" i="62"/>
  <c r="CZ30" i="62"/>
  <c r="CZ65" i="62"/>
  <c r="CZ11" i="62"/>
  <c r="CZ15" i="62"/>
  <c r="CZ1" i="62"/>
  <c r="CZ20" i="62"/>
  <c r="CZ82" i="62" s="1"/>
  <c r="CZ107" i="62"/>
  <c r="CZ117" i="62"/>
  <c r="CV30" i="62"/>
  <c r="CV23" i="62"/>
  <c r="CV107" i="62"/>
  <c r="CW115" i="62" s="1"/>
  <c r="CV65" i="62"/>
  <c r="CV8" i="62"/>
  <c r="CV31" i="62"/>
  <c r="CV1" i="62"/>
  <c r="CV20" i="62"/>
  <c r="CV82" i="62" s="1"/>
  <c r="CV11" i="62"/>
  <c r="CV15" i="62"/>
  <c r="CV117" i="62"/>
  <c r="CQ85" i="62"/>
  <c r="CM113" i="62"/>
  <c r="CO75" i="62"/>
  <c r="CO17" i="62"/>
  <c r="CX90" i="62"/>
  <c r="CX84" i="62"/>
  <c r="CP63" i="62"/>
  <c r="CS23" i="62"/>
  <c r="CS11" i="62"/>
  <c r="CT90" i="62"/>
  <c r="CS20" i="62"/>
  <c r="CS82" i="62" s="1"/>
  <c r="CS31" i="62"/>
  <c r="CS30" i="62"/>
  <c r="CS165" i="62" s="1"/>
  <c r="CS8" i="62"/>
  <c r="CS107" i="62"/>
  <c r="CS1" i="62"/>
  <c r="CS65" i="62"/>
  <c r="CS15" i="62"/>
  <c r="CS114" i="62"/>
  <c r="CS112" i="62" s="1"/>
  <c r="CS117" i="62"/>
  <c r="P313" i="62"/>
  <c r="CO106" i="62"/>
  <c r="CO25" i="62"/>
  <c r="CO102" i="62"/>
  <c r="CK93" i="62"/>
  <c r="CK95" i="62" s="1"/>
  <c r="CY115" i="62"/>
  <c r="CR90" i="62"/>
  <c r="CR84" i="62"/>
  <c r="CT83" i="62"/>
  <c r="CQ84" i="62"/>
  <c r="CR85" i="62" s="1"/>
  <c r="CQ90" i="62"/>
  <c r="F501" i="69"/>
  <c r="H499" i="69"/>
  <c r="CG101" i="62"/>
  <c r="CG96" i="62"/>
  <c r="CG97" i="62" s="1"/>
  <c r="CP106" i="62"/>
  <c r="CN113" i="62"/>
  <c r="CN16" i="62"/>
  <c r="CP103" i="62"/>
  <c r="CO83" i="62"/>
  <c r="CO85" i="62"/>
  <c r="CO86" i="62"/>
  <c r="CO88" i="62"/>
  <c r="CO92" i="62" s="1"/>
  <c r="CX63" i="62"/>
  <c r="CX6" i="62"/>
  <c r="CR25" i="62"/>
  <c r="CR102" i="62"/>
  <c r="CR106" i="62"/>
  <c r="CT102" i="62"/>
  <c r="CT25" i="62"/>
  <c r="CK312" i="62"/>
  <c r="CK51" i="62" s="1"/>
  <c r="CK304" i="62"/>
  <c r="CL303" i="62"/>
  <c r="G262" i="69"/>
  <c r="H262" i="69" s="1"/>
  <c r="CP29" i="63"/>
  <c r="CP27" i="63" s="1"/>
  <c r="F265" i="69"/>
  <c r="F266" i="69" s="1"/>
  <c r="J39" i="62"/>
  <c r="AO171" i="62" s="1"/>
  <c r="J270" i="62"/>
  <c r="J284" i="69"/>
  <c r="E272" i="69"/>
  <c r="D277" i="69"/>
  <c r="D278" i="69" s="1"/>
  <c r="AO143" i="62"/>
  <c r="AO164" i="62"/>
  <c r="CY16" i="63"/>
  <c r="BB65" i="62" s="1"/>
  <c r="CX14" i="63"/>
  <c r="D351" i="69"/>
  <c r="I130" i="62"/>
  <c r="I131" i="62" s="1"/>
  <c r="I129" i="62"/>
  <c r="I193" i="62"/>
  <c r="CV114" i="62" l="1"/>
  <c r="CV112" i="62" s="1"/>
  <c r="CZ114" i="62"/>
  <c r="CZ112" i="62" s="1"/>
  <c r="CQ119" i="62"/>
  <c r="CQ120" i="62"/>
  <c r="CR119" i="62"/>
  <c r="CR120" i="62"/>
  <c r="CX119" i="62"/>
  <c r="CX120" i="62"/>
  <c r="CO119" i="62"/>
  <c r="CO120" i="62"/>
  <c r="CT119" i="62"/>
  <c r="CT120" i="62"/>
  <c r="CQ113" i="62"/>
  <c r="CR24" i="62"/>
  <c r="M279" i="69"/>
  <c r="K110" i="64"/>
  <c r="G265" i="69"/>
  <c r="E118" i="64" s="1"/>
  <c r="E119" i="64" s="1"/>
  <c r="E120" i="64" s="1"/>
  <c r="CQ16" i="62"/>
  <c r="CT24" i="62"/>
  <c r="CR16" i="62"/>
  <c r="CR9" i="62"/>
  <c r="CG98" i="62"/>
  <c r="CG100" i="62" s="1"/>
  <c r="CT115" i="62"/>
  <c r="CT114" i="62"/>
  <c r="CT112" i="62" s="1"/>
  <c r="CT113" i="62" s="1"/>
  <c r="CO24" i="62"/>
  <c r="CO7" i="62"/>
  <c r="CW83" i="62"/>
  <c r="CW86" i="62"/>
  <c r="CW88" i="62"/>
  <c r="CV84" i="62"/>
  <c r="CW85" i="62" s="1"/>
  <c r="CV90" i="62"/>
  <c r="CW90" i="62"/>
  <c r="CW84" i="62"/>
  <c r="CX85" i="62" s="1"/>
  <c r="CY25" i="62"/>
  <c r="CY106" i="62"/>
  <c r="CY102" i="62"/>
  <c r="CY83" i="62"/>
  <c r="CY85" i="62"/>
  <c r="CK101" i="62"/>
  <c r="CK96" i="62"/>
  <c r="CK97" i="62" s="1"/>
  <c r="CO93" i="62"/>
  <c r="CO95" i="62" s="1"/>
  <c r="CO103" i="62"/>
  <c r="CS90" i="62"/>
  <c r="CS84" i="62"/>
  <c r="CT85" i="62" s="1"/>
  <c r="CV63" i="62"/>
  <c r="CV6" i="62"/>
  <c r="CV7" i="62" s="1"/>
  <c r="CZ90" i="62"/>
  <c r="CZ84" i="62"/>
  <c r="CW114" i="62"/>
  <c r="CW112" i="62" s="1"/>
  <c r="CU90" i="62"/>
  <c r="CU84" i="62"/>
  <c r="CV85" i="62" s="1"/>
  <c r="CX115" i="62"/>
  <c r="CX114" i="62"/>
  <c r="CX112" i="62" s="1"/>
  <c r="CX113" i="62" s="1"/>
  <c r="CZ75" i="62"/>
  <c r="CZ17" i="62"/>
  <c r="CS83" i="62"/>
  <c r="CS86" i="62"/>
  <c r="CS88" i="62"/>
  <c r="CS92" i="62" s="1"/>
  <c r="CT16" i="62"/>
  <c r="CR113" i="62"/>
  <c r="CQ103" i="62"/>
  <c r="CT106" i="62"/>
  <c r="CT103" i="62"/>
  <c r="F502" i="69"/>
  <c r="H501" i="69"/>
  <c r="F490" i="69"/>
  <c r="CV102" i="62"/>
  <c r="CV106" i="62"/>
  <c r="CV25" i="62"/>
  <c r="CU25" i="62"/>
  <c r="CU106" i="62"/>
  <c r="CU102" i="62"/>
  <c r="CT75" i="62"/>
  <c r="CY17" i="62"/>
  <c r="CY75" i="62"/>
  <c r="CX24" i="62"/>
  <c r="CX7" i="62"/>
  <c r="CZ106" i="62"/>
  <c r="CZ25" i="62"/>
  <c r="CZ102" i="62"/>
  <c r="CY90" i="62"/>
  <c r="CY84" i="62"/>
  <c r="CZ85" i="62" s="1"/>
  <c r="CS106" i="62"/>
  <c r="CS102" i="62"/>
  <c r="CS25" i="62"/>
  <c r="CV75" i="62"/>
  <c r="CV17" i="62"/>
  <c r="CU17" i="62"/>
  <c r="CT9" i="62"/>
  <c r="CU85" i="62"/>
  <c r="CW63" i="62"/>
  <c r="CW6" i="62"/>
  <c r="CX103" i="62"/>
  <c r="CR103" i="62"/>
  <c r="CO113" i="62"/>
  <c r="CZ63" i="62"/>
  <c r="CZ6" i="62"/>
  <c r="CU63" i="62"/>
  <c r="CU6" i="62"/>
  <c r="CU7" i="62" s="1"/>
  <c r="E502" i="69"/>
  <c r="E490" i="69"/>
  <c r="CW102" i="62"/>
  <c r="CW25" i="62"/>
  <c r="CW106" i="62"/>
  <c r="CS6" i="62"/>
  <c r="CS24" i="62" s="1"/>
  <c r="CS63" i="62"/>
  <c r="CO9" i="62"/>
  <c r="CT63" i="62"/>
  <c r="G490" i="69"/>
  <c r="G502" i="69"/>
  <c r="CY63" i="62"/>
  <c r="CY6" i="62"/>
  <c r="CY9" i="62" s="1"/>
  <c r="CS17" i="62"/>
  <c r="CS75" i="62"/>
  <c r="CV83" i="62"/>
  <c r="CX9" i="62"/>
  <c r="CS85" i="62"/>
  <c r="CZ83" i="62"/>
  <c r="CU83" i="62"/>
  <c r="CX16" i="62"/>
  <c r="CW17" i="62"/>
  <c r="CW75" i="62"/>
  <c r="CQ9" i="62"/>
  <c r="CQ7" i="62"/>
  <c r="CL312" i="62"/>
  <c r="CL51" i="62" s="1"/>
  <c r="CL304" i="62"/>
  <c r="CM303" i="62"/>
  <c r="I262" i="69"/>
  <c r="J262" i="69" s="1"/>
  <c r="J265" i="69" s="1"/>
  <c r="H265" i="69"/>
  <c r="CQ29" i="63"/>
  <c r="CR29" i="63" s="1"/>
  <c r="CQ27" i="63"/>
  <c r="CW47" i="63"/>
  <c r="CT45" i="63"/>
  <c r="L262" i="62"/>
  <c r="CX47" i="63"/>
  <c r="J110" i="64"/>
  <c r="AP171" i="62"/>
  <c r="AQ171" i="62"/>
  <c r="AR171" i="62"/>
  <c r="L279" i="69"/>
  <c r="F272" i="69"/>
  <c r="E277" i="69"/>
  <c r="E278" i="69" s="1"/>
  <c r="CZ16" i="63"/>
  <c r="B137" i="69"/>
  <c r="BC65" i="62" l="1"/>
  <c r="CS119" i="62"/>
  <c r="CS120" i="62"/>
  <c r="CZ119" i="62"/>
  <c r="CZ120" i="62"/>
  <c r="CU113" i="62"/>
  <c r="CU119" i="62"/>
  <c r="CU120" i="62"/>
  <c r="CY113" i="62"/>
  <c r="CY119" i="62"/>
  <c r="CY120" i="62"/>
  <c r="CV119" i="62"/>
  <c r="CV120" i="62"/>
  <c r="CW119" i="62"/>
  <c r="CW120" i="62"/>
  <c r="CW113" i="62"/>
  <c r="CG99" i="62"/>
  <c r="K113" i="64"/>
  <c r="K63" i="64" s="1"/>
  <c r="H115" i="64"/>
  <c r="P262" i="69"/>
  <c r="E121" i="64"/>
  <c r="I284" i="69"/>
  <c r="CY7" i="62"/>
  <c r="CK98" i="62"/>
  <c r="CK99" i="62" s="1"/>
  <c r="CU9" i="62"/>
  <c r="CY16" i="62"/>
  <c r="CW7" i="62"/>
  <c r="CV24" i="62"/>
  <c r="CZ7" i="62"/>
  <c r="CZ9" i="62"/>
  <c r="CW9" i="62"/>
  <c r="CV103" i="62"/>
  <c r="CO101" i="62"/>
  <c r="CO96" i="62"/>
  <c r="CO97" i="62" s="1"/>
  <c r="CS9" i="62"/>
  <c r="CS7" i="62"/>
  <c r="CS103" i="62"/>
  <c r="CS93" i="62"/>
  <c r="CS95" i="62" s="1"/>
  <c r="CW93" i="62"/>
  <c r="CW95" i="62" s="1"/>
  <c r="CW92" i="62"/>
  <c r="CS16" i="62"/>
  <c r="CW103" i="62"/>
  <c r="CU16" i="62"/>
  <c r="CZ24" i="62"/>
  <c r="CU24" i="62"/>
  <c r="CV9" i="62"/>
  <c r="CW16" i="62"/>
  <c r="CW24" i="62"/>
  <c r="CZ103" i="62"/>
  <c r="CU103" i="62"/>
  <c r="CZ16" i="62"/>
  <c r="CS113" i="62"/>
  <c r="CZ113" i="62"/>
  <c r="E468" i="69"/>
  <c r="CV16" i="62"/>
  <c r="CY24" i="62"/>
  <c r="CV113" i="62"/>
  <c r="CY103" i="62"/>
  <c r="CM312" i="62"/>
  <c r="CM51" i="62" s="1"/>
  <c r="CM304" i="62"/>
  <c r="CN303" i="62"/>
  <c r="AW114" i="62"/>
  <c r="L263" i="62"/>
  <c r="AX115" i="62"/>
  <c r="AX114" i="62"/>
  <c r="CT46" i="63"/>
  <c r="CU49" i="63"/>
  <c r="CR27" i="63"/>
  <c r="CS29" i="63"/>
  <c r="F284" i="69"/>
  <c r="G266" i="69"/>
  <c r="G284" i="69"/>
  <c r="I261" i="69"/>
  <c r="G272" i="69"/>
  <c r="F277" i="69"/>
  <c r="F278" i="69" s="1"/>
  <c r="DA16" i="63"/>
  <c r="DB16" i="63" s="1"/>
  <c r="CK100" i="62" l="1"/>
  <c r="CO98" i="62"/>
  <c r="CO99" i="62" s="1"/>
  <c r="CS101" i="62"/>
  <c r="CS96" i="62"/>
  <c r="CS97" i="62" s="1"/>
  <c r="CW101" i="62"/>
  <c r="CW96" i="62"/>
  <c r="CW97" i="62" s="1"/>
  <c r="F468" i="69"/>
  <c r="D468" i="69"/>
  <c r="I468" i="69"/>
  <c r="CN312" i="62"/>
  <c r="CN51" i="62" s="1"/>
  <c r="CN304" i="62"/>
  <c r="CO303" i="62"/>
  <c r="M262" i="62"/>
  <c r="N262" i="62" s="1"/>
  <c r="O262" i="62" s="1"/>
  <c r="P262" i="62" s="1"/>
  <c r="Q262" i="62" s="1"/>
  <c r="CS27" i="63"/>
  <c r="CT29" i="63"/>
  <c r="CT27" i="63" s="1"/>
  <c r="I265" i="69"/>
  <c r="N262" i="69" s="1"/>
  <c r="G277" i="69"/>
  <c r="H272" i="69"/>
  <c r="DC16" i="63"/>
  <c r="DB14" i="63"/>
  <c r="CO100" i="62" l="1"/>
  <c r="G115" i="64"/>
  <c r="G118" i="64" s="1"/>
  <c r="G69" i="64" s="1"/>
  <c r="O262" i="69"/>
  <c r="CW98" i="62"/>
  <c r="CW99" i="62" s="1"/>
  <c r="CS98" i="62"/>
  <c r="CS100" i="62" s="1"/>
  <c r="CO312" i="62"/>
  <c r="CO51" i="62" s="1"/>
  <c r="CO304" i="62"/>
  <c r="CP303" i="62"/>
  <c r="CU29" i="63"/>
  <c r="CV29" i="63" s="1"/>
  <c r="H284" i="69"/>
  <c r="I272" i="69"/>
  <c r="I277" i="69" s="1"/>
  <c r="G110" i="64" s="1"/>
  <c r="G113" i="64" s="1"/>
  <c r="G63" i="64" s="1"/>
  <c r="H277" i="69"/>
  <c r="DC14" i="63"/>
  <c r="DD16" i="63"/>
  <c r="CS99" i="62" l="1"/>
  <c r="CW100" i="62"/>
  <c r="CP312" i="62"/>
  <c r="CP51" i="62" s="1"/>
  <c r="CP304" i="62"/>
  <c r="CQ303" i="62"/>
  <c r="CU27" i="63"/>
  <c r="CV27" i="63"/>
  <c r="CW29" i="63"/>
  <c r="G119" i="64"/>
  <c r="I279" i="69"/>
  <c r="J272" i="69"/>
  <c r="DD14" i="63"/>
  <c r="DE16" i="63"/>
  <c r="BD65" i="62" s="1"/>
  <c r="G120" i="64" l="1"/>
  <c r="G121" i="64"/>
  <c r="CQ312" i="62"/>
  <c r="CQ51" i="62" s="1"/>
  <c r="CQ304" i="62"/>
  <c r="CR303" i="62"/>
  <c r="CW27" i="63"/>
  <c r="CX29" i="63"/>
  <c r="J277" i="69"/>
  <c r="H110" i="64" s="1"/>
  <c r="DE14" i="63"/>
  <c r="BD11" i="62" s="1"/>
  <c r="DF16" i="63"/>
  <c r="BE65" i="62" l="1"/>
  <c r="CR312" i="62"/>
  <c r="CR51" i="62" s="1"/>
  <c r="CR304" i="62"/>
  <c r="CS303" i="62"/>
  <c r="CY29" i="63"/>
  <c r="CY27" i="63" s="1"/>
  <c r="CX27" i="63"/>
  <c r="K279" i="69"/>
  <c r="J279" i="69"/>
  <c r="DG16" i="63"/>
  <c r="DH16" i="63" s="1"/>
  <c r="DI16" i="63" s="1"/>
  <c r="CS312" i="62" l="1"/>
  <c r="CS51" i="62" s="1"/>
  <c r="CS304" i="62"/>
  <c r="CT303" i="62"/>
  <c r="CZ29" i="63"/>
  <c r="CZ27" i="63"/>
  <c r="DI14" i="63"/>
  <c r="DJ16" i="63"/>
  <c r="CT312" i="62" l="1"/>
  <c r="CT51" i="62" s="1"/>
  <c r="CT304" i="62"/>
  <c r="CU303" i="62"/>
  <c r="DA29" i="63"/>
  <c r="DA27" i="63" s="1"/>
  <c r="DK16" i="63"/>
  <c r="BF65" i="62" s="1"/>
  <c r="DJ14" i="63"/>
  <c r="CU312" i="62" l="1"/>
  <c r="CU51" i="62" s="1"/>
  <c r="CU304" i="62"/>
  <c r="CV303" i="62"/>
  <c r="DB29" i="63"/>
  <c r="DL16" i="63"/>
  <c r="BG65" i="62" l="1"/>
  <c r="CV312" i="62"/>
  <c r="CV51" i="62" s="1"/>
  <c r="CV304" i="62"/>
  <c r="CW303" i="62"/>
  <c r="CW312" i="62" s="1"/>
  <c r="CW51" i="62" s="1"/>
  <c r="DC29" i="63"/>
  <c r="DB27" i="63"/>
  <c r="DM16" i="63"/>
  <c r="DN16" i="63" s="1"/>
  <c r="CX303" i="62" l="1"/>
  <c r="CX312" i="62" s="1"/>
  <c r="CX51" i="62" s="1"/>
  <c r="DD29" i="63"/>
  <c r="DD27" i="63" s="1"/>
  <c r="DC27" i="63"/>
  <c r="DO16" i="63"/>
  <c r="DN14" i="63"/>
  <c r="CZ303" i="62" l="1"/>
  <c r="CZ312" i="62" s="1"/>
  <c r="CZ51" i="62" s="1"/>
  <c r="CY303" i="62"/>
  <c r="CY312" i="62" s="1"/>
  <c r="CY51" i="62" s="1"/>
  <c r="DE29" i="63"/>
  <c r="DE27" i="63"/>
  <c r="DO14" i="63"/>
  <c r="DP16" i="63"/>
  <c r="DF29" i="63" l="1"/>
  <c r="DF27" i="63" s="1"/>
  <c r="DP14" i="63"/>
  <c r="DQ16" i="63"/>
  <c r="BH65" i="62" s="1"/>
  <c r="DG29" i="63" l="1"/>
  <c r="DG27" i="63" s="1"/>
  <c r="DR16" i="63"/>
  <c r="DQ14" i="63"/>
  <c r="BH11" i="62" s="1"/>
  <c r="DS16" i="63" l="1"/>
  <c r="DT16" i="63" s="1"/>
  <c r="DU16" i="63" s="1"/>
  <c r="BI65" i="62"/>
  <c r="DH29" i="63"/>
  <c r="DV16" i="63" l="1"/>
  <c r="DU14" i="63"/>
  <c r="DI29" i="63"/>
  <c r="DI27" i="63" s="1"/>
  <c r="DH27" i="63"/>
  <c r="DW16" i="63" l="1"/>
  <c r="DV14" i="63"/>
  <c r="DJ29" i="63"/>
  <c r="DK29" i="63" s="1"/>
  <c r="DX16" i="63" l="1"/>
  <c r="BJ65" i="62"/>
  <c r="DJ27" i="63"/>
  <c r="DK27" i="63"/>
  <c r="DL29" i="63"/>
  <c r="DM29" i="63" s="1"/>
  <c r="DL27" i="63"/>
  <c r="DY16" i="63" l="1"/>
  <c r="DZ16" i="63" s="1"/>
  <c r="BK65" i="62"/>
  <c r="DM27" i="63"/>
  <c r="DN29" i="63"/>
  <c r="DN27" i="63" s="1"/>
  <c r="EA16" i="63" l="1"/>
  <c r="DZ14" i="63"/>
  <c r="DO29" i="63"/>
  <c r="EB16" i="63" l="1"/>
  <c r="EA14" i="63"/>
  <c r="DP29" i="63"/>
  <c r="DO27" i="63"/>
  <c r="F331" i="69"/>
  <c r="EC16" i="63" l="1"/>
  <c r="EB14" i="63"/>
  <c r="DQ29" i="63"/>
  <c r="DP27" i="63"/>
  <c r="J331" i="69"/>
  <c r="C331" i="69"/>
  <c r="D331" i="69" s="1"/>
  <c r="ED16" i="63" l="1"/>
  <c r="EC14" i="63"/>
  <c r="BL11" i="62" s="1"/>
  <c r="BL65" i="62"/>
  <c r="DR29" i="63"/>
  <c r="DQ27" i="63"/>
  <c r="J338" i="69"/>
  <c r="DR27" i="63" l="1"/>
  <c r="DS27" i="63"/>
  <c r="DS29" i="63"/>
  <c r="EE16" i="63"/>
  <c r="EF16" i="63" s="1"/>
  <c r="EG16" i="63" s="1"/>
  <c r="BM65" i="62"/>
  <c r="R94" i="4"/>
  <c r="S94" i="4" s="1"/>
  <c r="T94" i="4" s="1"/>
  <c r="U94" i="4" s="1"/>
  <c r="AE78" i="4"/>
  <c r="AD78" i="4"/>
  <c r="EH16" i="63" l="1"/>
  <c r="EG14" i="63"/>
  <c r="DT29" i="63"/>
  <c r="DT27" i="63"/>
  <c r="O15" i="54"/>
  <c r="DU29" i="63" l="1"/>
  <c r="DU27" i="63"/>
  <c r="EI16" i="63"/>
  <c r="EH14" i="63"/>
  <c r="AS50" i="62"/>
  <c r="AS53" i="62" s="1"/>
  <c r="EJ16" i="63" l="1"/>
  <c r="BN65" i="62"/>
  <c r="DV29" i="63"/>
  <c r="DV27" i="63"/>
  <c r="AS49" i="62"/>
  <c r="DW29" i="63" l="1"/>
  <c r="DW27" i="63"/>
  <c r="EK16" i="63"/>
  <c r="EL16" i="63" s="1"/>
  <c r="BO65" i="62"/>
  <c r="AT53" i="62"/>
  <c r="AS57" i="62"/>
  <c r="AS95" i="62" s="1"/>
  <c r="AS96" i="62" s="1"/>
  <c r="AS97" i="62" s="1"/>
  <c r="EM16" i="63" l="1"/>
  <c r="EL14" i="63"/>
  <c r="DX29" i="63"/>
  <c r="DX27" i="63"/>
  <c r="AT49" i="62"/>
  <c r="AS98" i="62"/>
  <c r="AS100" i="62" s="1"/>
  <c r="DY29" i="63" l="1"/>
  <c r="DY27" i="63"/>
  <c r="EN16" i="63"/>
  <c r="EM14" i="63"/>
  <c r="AT57" i="62"/>
  <c r="AT95" i="62" s="1"/>
  <c r="AU49" i="62"/>
  <c r="AT96" i="62"/>
  <c r="AT97" i="62" s="1"/>
  <c r="EO16" i="63" l="1"/>
  <c r="EN14" i="63"/>
  <c r="DZ29" i="63"/>
  <c r="DZ27" i="63"/>
  <c r="AU57" i="62"/>
  <c r="AV49" i="62"/>
  <c r="AT98" i="62"/>
  <c r="AT100" i="62" s="1"/>
  <c r="K168" i="62"/>
  <c r="EA29" i="63" l="1"/>
  <c r="EA27" i="63" s="1"/>
  <c r="EP16" i="63"/>
  <c r="EO14" i="63"/>
  <c r="BP11" i="62" s="1"/>
  <c r="BP65" i="62"/>
  <c r="AV57" i="62"/>
  <c r="AV95" i="62" s="1"/>
  <c r="AU95" i="62"/>
  <c r="C31" i="94"/>
  <c r="CD57" i="63"/>
  <c r="CD55" i="63" s="1"/>
  <c r="EQ16" i="63" l="1"/>
  <c r="ER16" i="63" s="1"/>
  <c r="ES16" i="63" s="1"/>
  <c r="BQ65" i="62"/>
  <c r="EB29" i="63"/>
  <c r="EB27" i="63"/>
  <c r="CE57" i="63"/>
  <c r="CE55" i="63" s="1"/>
  <c r="EC29" i="63" l="1"/>
  <c r="EC27" i="63" s="1"/>
  <c r="ET16" i="63"/>
  <c r="ES14" i="63"/>
  <c r="CF57" i="63"/>
  <c r="CF55" i="63" s="1"/>
  <c r="EU16" i="63" l="1"/>
  <c r="ET14" i="63"/>
  <c r="ED29" i="63"/>
  <c r="ED27" i="63"/>
  <c r="CG57" i="63"/>
  <c r="CG55" i="63" s="1"/>
  <c r="EE27" i="63" l="1"/>
  <c r="EE29" i="63"/>
  <c r="EV16" i="63"/>
  <c r="BR65" i="62"/>
  <c r="CH57" i="63"/>
  <c r="EW16" i="63" l="1"/>
  <c r="EX16" i="63" s="1"/>
  <c r="BS65" i="62"/>
  <c r="EF29" i="63"/>
  <c r="G45" i="64"/>
  <c r="K81" i="76"/>
  <c r="K237" i="62"/>
  <c r="CI57" i="63"/>
  <c r="CH55" i="63"/>
  <c r="EG29" i="63" l="1"/>
  <c r="EF27" i="63"/>
  <c r="EY16" i="63"/>
  <c r="EX14" i="63"/>
  <c r="CJ57" i="63"/>
  <c r="CI55" i="63"/>
  <c r="EH29" i="63" l="1"/>
  <c r="EH27" i="63"/>
  <c r="EZ16" i="63"/>
  <c r="EY14" i="63"/>
  <c r="EG27" i="63"/>
  <c r="CJ55" i="63"/>
  <c r="G48" i="64"/>
  <c r="G51" i="64"/>
  <c r="G26" i="64" s="1"/>
  <c r="G30" i="64" s="1"/>
  <c r="G49" i="64"/>
  <c r="G50" i="64"/>
  <c r="FA16" i="63" l="1"/>
  <c r="EZ14" i="63"/>
  <c r="EI29" i="63"/>
  <c r="EI27" i="63"/>
  <c r="AW165" i="62"/>
  <c r="J15" i="19"/>
  <c r="G39" i="64"/>
  <c r="H33" i="64" s="1"/>
  <c r="H25" i="64"/>
  <c r="EJ29" i="63" l="1"/>
  <c r="FB16" i="63"/>
  <c r="FA14" i="63"/>
  <c r="BT11" i="62" s="1"/>
  <c r="BT65" i="62"/>
  <c r="G53" i="64"/>
  <c r="H56" i="64"/>
  <c r="H38" i="64"/>
  <c r="H36" i="64"/>
  <c r="I32" i="64" s="1"/>
  <c r="P116" i="4"/>
  <c r="H8" i="64"/>
  <c r="FC16" i="63" l="1"/>
  <c r="FD16" i="63" s="1"/>
  <c r="FE16" i="63" s="1"/>
  <c r="BU65" i="62"/>
  <c r="EK29" i="63"/>
  <c r="EK27" i="63"/>
  <c r="EJ27" i="63"/>
  <c r="P125" i="4"/>
  <c r="K12" i="19"/>
  <c r="CN57" i="63"/>
  <c r="EL29" i="63" l="1"/>
  <c r="EL27" i="63"/>
  <c r="FF16" i="63"/>
  <c r="FE14" i="63"/>
  <c r="AX165" i="62"/>
  <c r="J56" i="64"/>
  <c r="K56" i="64" s="1"/>
  <c r="CN55" i="63"/>
  <c r="CO57" i="63"/>
  <c r="FG16" i="63" l="1"/>
  <c r="FF14" i="63"/>
  <c r="EM29" i="63"/>
  <c r="EM27" i="63"/>
  <c r="CO55" i="63"/>
  <c r="AY31" i="62"/>
  <c r="EN29" i="63" l="1"/>
  <c r="EN27" i="63" s="1"/>
  <c r="FH16" i="63"/>
  <c r="BV65" i="62"/>
  <c r="CP55" i="63"/>
  <c r="AY30" i="62" s="1"/>
  <c r="CQ57" i="63"/>
  <c r="FI16" i="63" l="1"/>
  <c r="FJ16" i="63" s="1"/>
  <c r="BW65" i="62"/>
  <c r="EO29" i="63"/>
  <c r="AY165" i="62"/>
  <c r="CQ55" i="63"/>
  <c r="CR57" i="63"/>
  <c r="EP29" i="63" l="1"/>
  <c r="EP27" i="63"/>
  <c r="EO27" i="63"/>
  <c r="FK16" i="63"/>
  <c r="FJ14" i="63"/>
  <c r="CS57" i="63"/>
  <c r="AZ31" i="62" s="1"/>
  <c r="L167" i="62" s="1"/>
  <c r="CR55" i="63"/>
  <c r="FL16" i="63" l="1"/>
  <c r="FK14" i="63"/>
  <c r="EQ29" i="63"/>
  <c r="CT57" i="63"/>
  <c r="CS55" i="63"/>
  <c r="AZ30" i="62" s="1"/>
  <c r="AZ165" i="62" s="1"/>
  <c r="ER29" i="63" l="1"/>
  <c r="ER27" i="63"/>
  <c r="EQ27" i="63"/>
  <c r="FM16" i="63"/>
  <c r="FL14" i="63"/>
  <c r="L165" i="62"/>
  <c r="N13" i="100" s="1"/>
  <c r="CU57" i="63"/>
  <c r="CT55" i="63"/>
  <c r="FN16" i="63" l="1"/>
  <c r="FM14" i="63"/>
  <c r="BX11" i="62" s="1"/>
  <c r="BX65" i="62"/>
  <c r="ES29" i="63"/>
  <c r="ES27" i="63"/>
  <c r="CV57" i="63"/>
  <c r="BA31" i="62" s="1"/>
  <c r="CU55" i="63"/>
  <c r="L30" i="62"/>
  <c r="L171" i="62"/>
  <c r="ET29" i="63" l="1"/>
  <c r="ET27" i="63"/>
  <c r="FO16" i="63"/>
  <c r="FP16" i="63" s="1"/>
  <c r="FQ16" i="63" s="1"/>
  <c r="BY65" i="62"/>
  <c r="L38" i="62"/>
  <c r="CW57" i="63"/>
  <c r="CV55" i="63"/>
  <c r="BA30" i="62" s="1"/>
  <c r="BA165" i="62" s="1"/>
  <c r="FR16" i="63" l="1"/>
  <c r="FQ14" i="63"/>
  <c r="EU29" i="63"/>
  <c r="CX57" i="63"/>
  <c r="CW55" i="63"/>
  <c r="EV29" i="63" l="1"/>
  <c r="EU27" i="63"/>
  <c r="FS16" i="63"/>
  <c r="FR14" i="63"/>
  <c r="CY57" i="63"/>
  <c r="BB31" i="62" s="1"/>
  <c r="CX55" i="63"/>
  <c r="FT16" i="63" l="1"/>
  <c r="BZ65" i="62"/>
  <c r="EW29" i="63"/>
  <c r="EW27" i="63"/>
  <c r="EV27" i="63"/>
  <c r="CY55" i="63"/>
  <c r="BB30" i="62" s="1"/>
  <c r="BB165" i="62" s="1"/>
  <c r="CZ57" i="63"/>
  <c r="EX29" i="63" l="1"/>
  <c r="EX27" i="63"/>
  <c r="FU16" i="63"/>
  <c r="FV16" i="63" s="1"/>
  <c r="CA65" i="62"/>
  <c r="CZ55" i="63"/>
  <c r="DA57" i="63"/>
  <c r="FW16" i="63" l="1"/>
  <c r="FV14" i="63"/>
  <c r="EY29" i="63"/>
  <c r="EY27" i="63"/>
  <c r="DA55" i="63"/>
  <c r="DB57" i="63"/>
  <c r="BC31" i="62" s="1"/>
  <c r="EZ29" i="63" l="1"/>
  <c r="EZ27" i="63" s="1"/>
  <c r="FX16" i="63"/>
  <c r="FW14" i="63"/>
  <c r="DB55" i="63"/>
  <c r="BC30" i="62" s="1"/>
  <c r="BC165" i="62" s="1"/>
  <c r="DC57" i="63"/>
  <c r="FY16" i="63" l="1"/>
  <c r="FX14" i="63"/>
  <c r="FA29" i="63"/>
  <c r="DC55" i="63"/>
  <c r="DD57" i="63"/>
  <c r="FB29" i="63" l="1"/>
  <c r="FB27" i="63" s="1"/>
  <c r="FA27" i="63"/>
  <c r="FY14" i="63"/>
  <c r="CB11" i="62" s="1"/>
  <c r="CB65" i="62"/>
  <c r="DE57" i="63"/>
  <c r="BD31" i="62" s="1"/>
  <c r="M167" i="62" s="1"/>
  <c r="DD55" i="63"/>
  <c r="FC29" i="63" l="1"/>
  <c r="FC27" i="63"/>
  <c r="DF57" i="63"/>
  <c r="DE55" i="63"/>
  <c r="BD30" i="62" s="1"/>
  <c r="BD165" i="62" s="1"/>
  <c r="FD27" i="63" l="1"/>
  <c r="FD29" i="63"/>
  <c r="DG57" i="63"/>
  <c r="DF55" i="63"/>
  <c r="FE29" i="63" l="1"/>
  <c r="FE27" i="63"/>
  <c r="DH57" i="63"/>
  <c r="BE31" i="62" s="1"/>
  <c r="DG55" i="63"/>
  <c r="FF27" i="63" l="1"/>
  <c r="FF29" i="63"/>
  <c r="DI57" i="63"/>
  <c r="DH55" i="63"/>
  <c r="BE30" i="62" s="1"/>
  <c r="FG29" i="63" l="1"/>
  <c r="FG27" i="63"/>
  <c r="BE165" i="62"/>
  <c r="DJ57" i="63"/>
  <c r="DI55" i="63"/>
  <c r="FH29" i="63" l="1"/>
  <c r="FH27" i="63"/>
  <c r="DK57" i="63"/>
  <c r="BF31" i="62" s="1"/>
  <c r="DJ55" i="63"/>
  <c r="FI29" i="63" l="1"/>
  <c r="DK55" i="63"/>
  <c r="BF30" i="62" s="1"/>
  <c r="DL57" i="63"/>
  <c r="FJ29" i="63" l="1"/>
  <c r="FJ27" i="63" s="1"/>
  <c r="FI27" i="63"/>
  <c r="BF165" i="62"/>
  <c r="DL55" i="63"/>
  <c r="DM57" i="63"/>
  <c r="FK29" i="63" l="1"/>
  <c r="FK27" i="63"/>
  <c r="DM55" i="63"/>
  <c r="DN57" i="63"/>
  <c r="BG31" i="62" s="1"/>
  <c r="FL29" i="63" l="1"/>
  <c r="FL27" i="63" s="1"/>
  <c r="DN55" i="63"/>
  <c r="BG30" i="62" s="1"/>
  <c r="DO57" i="63"/>
  <c r="FM29" i="63" l="1"/>
  <c r="FM27" i="63"/>
  <c r="BG165" i="62"/>
  <c r="DO55" i="63"/>
  <c r="DP57" i="63"/>
  <c r="FN29" i="63" l="1"/>
  <c r="FN27" i="63" s="1"/>
  <c r="DQ57" i="63"/>
  <c r="BH31" i="62" s="1"/>
  <c r="N167" i="62" s="1"/>
  <c r="DP55" i="63"/>
  <c r="FO29" i="63" l="1"/>
  <c r="DR57" i="63"/>
  <c r="DQ55" i="63"/>
  <c r="FP29" i="63" l="1"/>
  <c r="FP27" i="63"/>
  <c r="FO27" i="63"/>
  <c r="DR55" i="63"/>
  <c r="DS57" i="63"/>
  <c r="BH30" i="62"/>
  <c r="M165" i="62"/>
  <c r="FQ29" i="63" l="1"/>
  <c r="FQ27" i="63"/>
  <c r="DT57" i="63"/>
  <c r="DS55" i="63"/>
  <c r="BH165" i="62"/>
  <c r="N165" i="62"/>
  <c r="N30" i="62" s="1"/>
  <c r="M171" i="62"/>
  <c r="M30" i="62"/>
  <c r="FR29" i="63" l="1"/>
  <c r="DU57" i="63"/>
  <c r="DT55" i="63"/>
  <c r="BI30" i="62" s="1"/>
  <c r="BI31" i="62"/>
  <c r="N171" i="62"/>
  <c r="N38" i="62" s="1"/>
  <c r="M38" i="62"/>
  <c r="FS29" i="63" l="1"/>
  <c r="FS27" i="63"/>
  <c r="FR27" i="63"/>
  <c r="BI165" i="62"/>
  <c r="DV57" i="63"/>
  <c r="DU55" i="63"/>
  <c r="CB10" i="63"/>
  <c r="CC11" i="63" s="1"/>
  <c r="CC10" i="63" s="1"/>
  <c r="CE11" i="63"/>
  <c r="FT29" i="63" l="1"/>
  <c r="DW57" i="63"/>
  <c r="DV55" i="63"/>
  <c r="CB35" i="63"/>
  <c r="CF11" i="63"/>
  <c r="K65" i="62"/>
  <c r="G42" i="64" s="1"/>
  <c r="K77" i="62"/>
  <c r="G43" i="64" s="1"/>
  <c r="CC23" i="63"/>
  <c r="CD10" i="63"/>
  <c r="AU64" i="62" s="1"/>
  <c r="CB37" i="63" l="1"/>
  <c r="CB116" i="63"/>
  <c r="FU29" i="63"/>
  <c r="FU27" i="63"/>
  <c r="FT27" i="63"/>
  <c r="DX57" i="63"/>
  <c r="DW55" i="63"/>
  <c r="BJ30" i="62" s="1"/>
  <c r="BJ31" i="62"/>
  <c r="CC35" i="63"/>
  <c r="G41" i="64"/>
  <c r="G47" i="64" s="1"/>
  <c r="G61" i="64" s="1"/>
  <c r="CD23" i="63"/>
  <c r="CD35" i="63" s="1"/>
  <c r="CD116" i="63" s="1"/>
  <c r="K76" i="62"/>
  <c r="L76" i="62" s="1"/>
  <c r="L65" i="62"/>
  <c r="H42" i="64" s="1"/>
  <c r="CE23" i="63" l="1"/>
  <c r="AU76" i="62"/>
  <c r="AU84" i="62" s="1"/>
  <c r="H5" i="101" s="1"/>
  <c r="CC37" i="63"/>
  <c r="CC116" i="63"/>
  <c r="FV29" i="63"/>
  <c r="FV27" i="63"/>
  <c r="BJ165" i="62"/>
  <c r="DY57" i="63"/>
  <c r="DX55" i="63"/>
  <c r="G68" i="64"/>
  <c r="K117" i="62"/>
  <c r="K235" i="62"/>
  <c r="W43" i="79" s="1"/>
  <c r="CD75" i="63"/>
  <c r="CD37" i="63"/>
  <c r="M65" i="62"/>
  <c r="I42" i="64" s="1"/>
  <c r="CF23" i="63"/>
  <c r="CG23" i="63" s="1"/>
  <c r="M76" i="62"/>
  <c r="N76" i="62" s="1"/>
  <c r="O76" i="62" s="1"/>
  <c r="L235" i="62"/>
  <c r="CF10" i="63"/>
  <c r="CG10" i="63" s="1"/>
  <c r="AV64" i="62" s="1"/>
  <c r="CE35" i="63"/>
  <c r="CH23" i="63" l="1"/>
  <c r="CI23" i="63" s="1"/>
  <c r="CJ23" i="63" s="1"/>
  <c r="AV76" i="62"/>
  <c r="AU90" i="62"/>
  <c r="CE78" i="63"/>
  <c r="CE116" i="63"/>
  <c r="FW29" i="63"/>
  <c r="FW27" i="63" s="1"/>
  <c r="DZ57" i="63"/>
  <c r="DY55" i="63"/>
  <c r="O235" i="62"/>
  <c r="P76" i="62"/>
  <c r="N235" i="62"/>
  <c r="G62" i="64"/>
  <c r="CH10" i="63"/>
  <c r="CG35" i="63"/>
  <c r="I296" i="69"/>
  <c r="AU117" i="62"/>
  <c r="AS117" i="62"/>
  <c r="AS130" i="62" s="1"/>
  <c r="AV117" i="62"/>
  <c r="AT117" i="62"/>
  <c r="G70" i="64"/>
  <c r="G71" i="64" s="1"/>
  <c r="J42" i="64"/>
  <c r="CF35" i="63"/>
  <c r="CF116" i="63" s="1"/>
  <c r="J11" i="19"/>
  <c r="M235" i="62"/>
  <c r="CH35" i="63" l="1"/>
  <c r="H61" i="64" s="1"/>
  <c r="H111" i="64" s="1"/>
  <c r="H113" i="64" s="1"/>
  <c r="H63" i="64" s="1"/>
  <c r="CK25" i="63"/>
  <c r="AW76" i="62"/>
  <c r="CG37" i="63"/>
  <c r="CG116" i="63"/>
  <c r="FX29" i="63"/>
  <c r="FX27" i="63"/>
  <c r="EA57" i="63"/>
  <c r="DZ55" i="63"/>
  <c r="BK30" i="62" s="1"/>
  <c r="BK31" i="62"/>
  <c r="P235" i="62"/>
  <c r="Q76" i="62"/>
  <c r="Q235" i="62" s="1"/>
  <c r="G64" i="64"/>
  <c r="G65" i="64" s="1"/>
  <c r="G5" i="64"/>
  <c r="G6" i="64" s="1"/>
  <c r="H15" i="64"/>
  <c r="G22" i="64"/>
  <c r="G4" i="64" s="1"/>
  <c r="AS149" i="62"/>
  <c r="AT130" i="62"/>
  <c r="AG43" i="4"/>
  <c r="AV84" i="62"/>
  <c r="K84" i="62" l="1"/>
  <c r="I5" i="101"/>
  <c r="CH116" i="63"/>
  <c r="H62" i="64"/>
  <c r="H64" i="64" s="1"/>
  <c r="H65" i="64" s="1"/>
  <c r="CK26" i="63"/>
  <c r="CW25" i="63"/>
  <c r="DI25" i="63" s="1"/>
  <c r="DU25" i="63" s="1"/>
  <c r="EG25" i="63" s="1"/>
  <c r="ES25" i="63" s="1"/>
  <c r="FE25" i="63" s="1"/>
  <c r="FQ25" i="63" s="1"/>
  <c r="FY29" i="63"/>
  <c r="FY27" i="63"/>
  <c r="BK165" i="62"/>
  <c r="EB57" i="63"/>
  <c r="EA55" i="63"/>
  <c r="G23" i="64"/>
  <c r="H21" i="64"/>
  <c r="R76" i="62"/>
  <c r="S76" i="62" s="1"/>
  <c r="AG44" i="4"/>
  <c r="K64" i="62"/>
  <c r="AV90" i="62"/>
  <c r="CI10" i="63"/>
  <c r="EC57" i="63" l="1"/>
  <c r="EB55" i="63"/>
  <c r="O210" i="4"/>
  <c r="O212" i="4"/>
  <c r="K234" i="62"/>
  <c r="D175" i="69"/>
  <c r="D176" i="69" s="1"/>
  <c r="CI35" i="63"/>
  <c r="CI116" i="63" s="1"/>
  <c r="ED57" i="63" l="1"/>
  <c r="EC55" i="63"/>
  <c r="BL30" i="62" s="1"/>
  <c r="BL31" i="62"/>
  <c r="O167" i="62" s="1"/>
  <c r="I61" i="64"/>
  <c r="I62" i="64" s="1"/>
  <c r="CI37" i="63"/>
  <c r="O240" i="4"/>
  <c r="O217" i="4"/>
  <c r="O246" i="4" s="1"/>
  <c r="CJ35" i="63"/>
  <c r="CJ116" i="63" s="1"/>
  <c r="CN23" i="63"/>
  <c r="W42" i="79"/>
  <c r="W44" i="79" s="1"/>
  <c r="K233" i="62"/>
  <c r="BL165" i="62" l="1"/>
  <c r="O165" i="62"/>
  <c r="EE57" i="63"/>
  <c r="ED55" i="63"/>
  <c r="I111" i="64"/>
  <c r="I113" i="64" s="1"/>
  <c r="I63" i="64" s="1"/>
  <c r="I64" i="64" s="1"/>
  <c r="I65" i="64" s="1"/>
  <c r="O243" i="4"/>
  <c r="O247" i="4" s="1"/>
  <c r="J61" i="64"/>
  <c r="CJ66" i="63"/>
  <c r="J62" i="64"/>
  <c r="J111" i="64"/>
  <c r="J113" i="64" s="1"/>
  <c r="J63" i="64" s="1"/>
  <c r="L77" i="76"/>
  <c r="H187" i="69" s="1"/>
  <c r="K275" i="62"/>
  <c r="K274" i="62" s="1"/>
  <c r="K238" i="62"/>
  <c r="CO23" i="63"/>
  <c r="AW90" i="62"/>
  <c r="AW84" i="62"/>
  <c r="J5" i="101" s="1"/>
  <c r="EF57" i="63" l="1"/>
  <c r="EE55" i="63"/>
  <c r="O30" i="62"/>
  <c r="O171" i="62"/>
  <c r="O38" i="62" s="1"/>
  <c r="J64" i="64"/>
  <c r="J65" i="64" s="1"/>
  <c r="K62" i="64"/>
  <c r="R231" i="4"/>
  <c r="R233" i="4" s="1"/>
  <c r="T231" i="4"/>
  <c r="T233" i="4" s="1"/>
  <c r="S231" i="4"/>
  <c r="S233" i="4" s="1"/>
  <c r="U231" i="4"/>
  <c r="U233" i="4" s="1"/>
  <c r="CP23" i="63"/>
  <c r="AY76" i="62" l="1"/>
  <c r="EG57" i="63"/>
  <c r="EF55" i="63"/>
  <c r="BM30" i="62" s="1"/>
  <c r="BM31" i="62"/>
  <c r="K64" i="64"/>
  <c r="K65" i="64" s="1"/>
  <c r="L62" i="64"/>
  <c r="CQ23" i="63"/>
  <c r="BM165" i="62" l="1"/>
  <c r="EH57" i="63"/>
  <c r="EG55" i="63"/>
  <c r="L64" i="64"/>
  <c r="L65" i="64" s="1"/>
  <c r="M62" i="64"/>
  <c r="CO10" i="63"/>
  <c r="CN35" i="63"/>
  <c r="AX90" i="62"/>
  <c r="AX84" i="62"/>
  <c r="K5" i="101" s="1"/>
  <c r="CR23" i="63"/>
  <c r="CN116" i="63" l="1"/>
  <c r="N61" i="64"/>
  <c r="N62" i="64" s="1"/>
  <c r="EI57" i="63"/>
  <c r="EH55" i="63"/>
  <c r="M64" i="64"/>
  <c r="M65" i="64" s="1"/>
  <c r="CS23" i="63"/>
  <c r="AZ76" i="62" s="1"/>
  <c r="CP10" i="63"/>
  <c r="CO35" i="63"/>
  <c r="CO116" i="63" l="1"/>
  <c r="O61" i="64"/>
  <c r="O111" i="64" s="1"/>
  <c r="O113" i="64" s="1"/>
  <c r="O63" i="64" s="1"/>
  <c r="N111" i="64"/>
  <c r="N113" i="64" s="1"/>
  <c r="N63" i="64" s="1"/>
  <c r="N64" i="64" s="1"/>
  <c r="N65" i="64" s="1"/>
  <c r="N46" i="64"/>
  <c r="AY64" i="62"/>
  <c r="CP35" i="63"/>
  <c r="CP116" i="63" s="1"/>
  <c r="EJ57" i="63"/>
  <c r="EI55" i="63"/>
  <c r="BN30" i="62" s="1"/>
  <c r="BN31" i="62"/>
  <c r="CT23" i="63"/>
  <c r="CQ10" i="63"/>
  <c r="O62" i="64" l="1"/>
  <c r="O64" i="64" s="1"/>
  <c r="O65" i="64" s="1"/>
  <c r="N51" i="64"/>
  <c r="N26" i="64" s="1"/>
  <c r="N48" i="64"/>
  <c r="N49" i="64"/>
  <c r="N50" i="64"/>
  <c r="BN165" i="62"/>
  <c r="EK57" i="63"/>
  <c r="EJ55" i="63"/>
  <c r="AY90" i="62"/>
  <c r="AY84" i="62"/>
  <c r="L5" i="101" s="1"/>
  <c r="CR10" i="63"/>
  <c r="CQ35" i="63"/>
  <c r="CU23" i="63"/>
  <c r="N9" i="64" l="1"/>
  <c r="N57" i="64"/>
  <c r="O57" i="64" s="1"/>
  <c r="EL57" i="63"/>
  <c r="EK55" i="63"/>
  <c r="CS10" i="63"/>
  <c r="AZ64" i="62" s="1"/>
  <c r="CR35" i="63"/>
  <c r="CV23" i="63"/>
  <c r="BA76" i="62" s="1"/>
  <c r="EM57" i="63" l="1"/>
  <c r="EL55" i="63"/>
  <c r="BO30" i="62" s="1"/>
  <c r="BO31" i="62"/>
  <c r="CW23" i="63"/>
  <c r="CT10" i="63"/>
  <c r="CS35" i="63"/>
  <c r="AI43" i="4" s="1"/>
  <c r="BO165" i="62" l="1"/>
  <c r="EN57" i="63"/>
  <c r="EM55" i="63"/>
  <c r="L64" i="62"/>
  <c r="AZ84" i="62"/>
  <c r="AZ90" i="62"/>
  <c r="AI44" i="4"/>
  <c r="AJ43" i="4"/>
  <c r="CU10" i="63"/>
  <c r="CT35" i="63"/>
  <c r="CW20" i="63"/>
  <c r="CX23" i="63"/>
  <c r="L84" i="62" l="1"/>
  <c r="B5" i="101" s="1"/>
  <c r="M5" i="101"/>
  <c r="EO57" i="63"/>
  <c r="EN55" i="63"/>
  <c r="CY23" i="63"/>
  <c r="BB76" i="62" s="1"/>
  <c r="CW28" i="63"/>
  <c r="CW22" i="63"/>
  <c r="CV10" i="63"/>
  <c r="BA64" i="62" s="1"/>
  <c r="CU35" i="63"/>
  <c r="M64" i="62"/>
  <c r="N64" i="62" s="1"/>
  <c r="O64" i="62" s="1"/>
  <c r="L234" i="62"/>
  <c r="EP57" i="63" l="1"/>
  <c r="EO55" i="63"/>
  <c r="BP30" i="62" s="1"/>
  <c r="BP31" i="62"/>
  <c r="P167" i="62" s="1"/>
  <c r="BA84" i="62"/>
  <c r="N5" i="101" s="1"/>
  <c r="BA90" i="62"/>
  <c r="O234" i="62"/>
  <c r="P64" i="62"/>
  <c r="N234" i="62"/>
  <c r="CW10" i="63"/>
  <c r="CV35" i="63"/>
  <c r="M234" i="62"/>
  <c r="CZ23" i="63"/>
  <c r="BP165" i="62" l="1"/>
  <c r="P165" i="62"/>
  <c r="EQ57" i="63"/>
  <c r="EP55" i="63"/>
  <c r="P234" i="62"/>
  <c r="Q64" i="62"/>
  <c r="DA23" i="63"/>
  <c r="CX10" i="63"/>
  <c r="CW7" i="63"/>
  <c r="CW35" i="63"/>
  <c r="P171" i="62" l="1"/>
  <c r="P38" i="62" s="1"/>
  <c r="P30" i="62"/>
  <c r="ER57" i="63"/>
  <c r="EQ55" i="63"/>
  <c r="CW9" i="63"/>
  <c r="Q234" i="62"/>
  <c r="CY10" i="63"/>
  <c r="BB64" i="62" s="1"/>
  <c r="CX35" i="63"/>
  <c r="CW32" i="63"/>
  <c r="DB23" i="63"/>
  <c r="BC76" i="62" s="1"/>
  <c r="ES57" i="63" l="1"/>
  <c r="ER55" i="63"/>
  <c r="BQ30" i="62" s="1"/>
  <c r="BQ31" i="62"/>
  <c r="BB84" i="62"/>
  <c r="O5" i="101" s="1"/>
  <c r="BB90" i="62"/>
  <c r="DC23" i="63"/>
  <c r="CW34" i="63"/>
  <c r="CW36" i="63"/>
  <c r="CZ10" i="63"/>
  <c r="CY35" i="63"/>
  <c r="BQ165" i="62" l="1"/>
  <c r="ET57" i="63"/>
  <c r="ES55" i="63"/>
  <c r="DA10" i="63"/>
  <c r="CZ35" i="63"/>
  <c r="DD23" i="63"/>
  <c r="EU57" i="63" l="1"/>
  <c r="ET55" i="63"/>
  <c r="DE23" i="63"/>
  <c r="BD76" i="62" s="1"/>
  <c r="DB10" i="63"/>
  <c r="BC64" i="62" s="1"/>
  <c r="DA35" i="63"/>
  <c r="EV57" i="63" l="1"/>
  <c r="EU55" i="63"/>
  <c r="BR30" i="62" s="1"/>
  <c r="BR31" i="62"/>
  <c r="BC90" i="62"/>
  <c r="BC84" i="62"/>
  <c r="P5" i="101" s="1"/>
  <c r="DF23" i="63"/>
  <c r="DC10" i="63"/>
  <c r="DB35" i="63"/>
  <c r="BR165" i="62" l="1"/>
  <c r="EW57" i="63"/>
  <c r="EV55" i="63"/>
  <c r="DD10" i="63"/>
  <c r="DC35" i="63"/>
  <c r="DG23" i="63"/>
  <c r="EX57" i="63" l="1"/>
  <c r="EW55" i="63"/>
  <c r="DH23" i="63"/>
  <c r="BE76" i="62" s="1"/>
  <c r="DE10" i="63"/>
  <c r="BD64" i="62" s="1"/>
  <c r="DD35" i="63"/>
  <c r="EY57" i="63" l="1"/>
  <c r="EX55" i="63"/>
  <c r="BS30" i="62" s="1"/>
  <c r="BS31" i="62"/>
  <c r="BD84" i="62"/>
  <c r="BD90" i="62"/>
  <c r="DF10" i="63"/>
  <c r="DE35" i="63"/>
  <c r="DI23" i="63"/>
  <c r="M84" i="62" l="1"/>
  <c r="C5" i="101" s="1"/>
  <c r="Q5" i="101"/>
  <c r="BS165" i="62"/>
  <c r="EZ57" i="63"/>
  <c r="EY55" i="63"/>
  <c r="DI20" i="63"/>
  <c r="DJ23" i="63"/>
  <c r="DG10" i="63"/>
  <c r="DF35" i="63"/>
  <c r="FA57" i="63" l="1"/>
  <c r="EZ55" i="63"/>
  <c r="DK23" i="63"/>
  <c r="BF76" i="62" s="1"/>
  <c r="DH10" i="63"/>
  <c r="BE64" i="62" s="1"/>
  <c r="DG35" i="63"/>
  <c r="DI28" i="63"/>
  <c r="DI22" i="63"/>
  <c r="FB57" i="63" l="1"/>
  <c r="FA55" i="63"/>
  <c r="BT30" i="62" s="1"/>
  <c r="BT31" i="62"/>
  <c r="Q167" i="62" s="1"/>
  <c r="BE84" i="62"/>
  <c r="BE90" i="62"/>
  <c r="DL23" i="63"/>
  <c r="DI10" i="63"/>
  <c r="DH35" i="63"/>
  <c r="BT165" i="62" l="1"/>
  <c r="Q165" i="62"/>
  <c r="FC57" i="63"/>
  <c r="FB55" i="63"/>
  <c r="DJ10" i="63"/>
  <c r="DI7" i="63"/>
  <c r="DI35" i="63"/>
  <c r="DM23" i="63"/>
  <c r="Q30" i="62" l="1"/>
  <c r="Q171" i="62"/>
  <c r="Q38" i="62" s="1"/>
  <c r="FD57" i="63"/>
  <c r="FC55" i="63"/>
  <c r="DN23" i="63"/>
  <c r="BG76" i="62" s="1"/>
  <c r="DI32" i="63"/>
  <c r="DK10" i="63"/>
  <c r="BF64" i="62" s="1"/>
  <c r="DJ35" i="63"/>
  <c r="FE57" i="63" l="1"/>
  <c r="FD55" i="63"/>
  <c r="BU30" i="62" s="1"/>
  <c r="BU165" i="62" s="1"/>
  <c r="BU31" i="62"/>
  <c r="BF84" i="62"/>
  <c r="BF90" i="62"/>
  <c r="DL10" i="63"/>
  <c r="DK35" i="63"/>
  <c r="DI34" i="63"/>
  <c r="DI36" i="63"/>
  <c r="DO23" i="63"/>
  <c r="FF57" i="63" l="1"/>
  <c r="FE55" i="63"/>
  <c r="DP23" i="63"/>
  <c r="DM10" i="63"/>
  <c r="DL35" i="63"/>
  <c r="FG57" i="63" l="1"/>
  <c r="FF55" i="63"/>
  <c r="DQ23" i="63"/>
  <c r="BH76" i="62" s="1"/>
  <c r="DN10" i="63"/>
  <c r="BG64" i="62" s="1"/>
  <c r="DM35" i="63"/>
  <c r="FH57" i="63" l="1"/>
  <c r="FG55" i="63"/>
  <c r="BV30" i="62" s="1"/>
  <c r="BV165" i="62" s="1"/>
  <c r="BV31" i="62"/>
  <c r="BG84" i="62"/>
  <c r="BG90" i="62"/>
  <c r="DO10" i="63"/>
  <c r="DN35" i="63"/>
  <c r="DR23" i="63"/>
  <c r="DS23" i="63" s="1"/>
  <c r="DT23" i="63" s="1"/>
  <c r="FI57" i="63" l="1"/>
  <c r="FH55" i="63"/>
  <c r="BI76" i="62"/>
  <c r="DU23" i="63"/>
  <c r="DP10" i="63"/>
  <c r="DO35" i="63"/>
  <c r="FJ57" i="63" l="1"/>
  <c r="FI55" i="63"/>
  <c r="DV23" i="63"/>
  <c r="DW23" i="63" s="1"/>
  <c r="DU20" i="63"/>
  <c r="DQ10" i="63"/>
  <c r="BH64" i="62" s="1"/>
  <c r="DP35" i="63"/>
  <c r="FK57" i="63" l="1"/>
  <c r="FJ55" i="63"/>
  <c r="BW30" i="62" s="1"/>
  <c r="BW165" i="62" s="1"/>
  <c r="BW31" i="62"/>
  <c r="DU28" i="63"/>
  <c r="DU22" i="63"/>
  <c r="BJ76" i="62"/>
  <c r="DX23" i="63"/>
  <c r="DY23" i="63" s="1"/>
  <c r="DZ23" i="63" s="1"/>
  <c r="BH90" i="62"/>
  <c r="BH84" i="62"/>
  <c r="N84" i="62" s="1"/>
  <c r="DR10" i="63"/>
  <c r="DS10" i="63" s="1"/>
  <c r="DT10" i="63" s="1"/>
  <c r="FL57" i="63" l="1"/>
  <c r="FK55" i="63"/>
  <c r="BK76" i="62"/>
  <c r="EA23" i="63"/>
  <c r="EB23" i="63" s="1"/>
  <c r="EC23" i="63" s="1"/>
  <c r="DU10" i="63"/>
  <c r="BI64" i="62"/>
  <c r="AU96" i="62"/>
  <c r="AU123" i="62"/>
  <c r="AU122" i="62" s="1"/>
  <c r="FM57" i="63" l="1"/>
  <c r="FL55" i="63"/>
  <c r="BL76" i="62"/>
  <c r="ED23" i="63"/>
  <c r="EE23" i="63" s="1"/>
  <c r="EF23" i="63" s="1"/>
  <c r="BI90" i="62"/>
  <c r="BI84" i="62"/>
  <c r="DV10" i="63"/>
  <c r="DW10" i="63" s="1"/>
  <c r="DU7" i="63"/>
  <c r="DU32" i="63" s="1"/>
  <c r="DU34" i="63" s="1"/>
  <c r="AU130" i="62"/>
  <c r="AU50" i="62"/>
  <c r="AU53" i="62" s="1"/>
  <c r="AU97" i="62"/>
  <c r="AU98" i="62"/>
  <c r="AU100" i="62" s="1"/>
  <c r="FN57" i="63" l="1"/>
  <c r="FM55" i="63"/>
  <c r="BX30" i="62" s="1"/>
  <c r="BX165" i="62" s="1"/>
  <c r="BX31" i="62"/>
  <c r="BM76" i="62"/>
  <c r="EG23" i="63"/>
  <c r="DX10" i="63"/>
  <c r="DY10" i="63" s="1"/>
  <c r="DZ10" i="63" s="1"/>
  <c r="BJ64" i="62"/>
  <c r="AC115" i="4"/>
  <c r="AD115" i="4"/>
  <c r="AE115" i="4"/>
  <c r="AG115" i="4"/>
  <c r="AC116" i="4"/>
  <c r="AD116" i="4"/>
  <c r="AE116" i="4"/>
  <c r="AG116" i="4"/>
  <c r="FO57" i="63" l="1"/>
  <c r="FN55" i="63"/>
  <c r="EH23" i="63"/>
  <c r="EI23" i="63" s="1"/>
  <c r="EG20" i="63"/>
  <c r="BJ84" i="62"/>
  <c r="BJ90" i="62"/>
  <c r="EA10" i="63"/>
  <c r="EB10" i="63" s="1"/>
  <c r="EC10" i="63" s="1"/>
  <c r="BK64" i="62"/>
  <c r="AV96" i="62"/>
  <c r="AV98" i="62" s="1"/>
  <c r="FP57" i="63" l="1"/>
  <c r="FO55" i="63"/>
  <c r="EG28" i="63"/>
  <c r="EG22" i="63"/>
  <c r="BN76" i="62"/>
  <c r="EJ23" i="63"/>
  <c r="EK23" i="63" s="1"/>
  <c r="EL23" i="63" s="1"/>
  <c r="ED10" i="63"/>
  <c r="EE10" i="63" s="1"/>
  <c r="EF10" i="63" s="1"/>
  <c r="BL64" i="62"/>
  <c r="BK84" i="62"/>
  <c r="BK90" i="62"/>
  <c r="AV97" i="62"/>
  <c r="AV100" i="62"/>
  <c r="AV123" i="62"/>
  <c r="FQ57" i="63" l="1"/>
  <c r="FP55" i="63"/>
  <c r="BY30" i="62" s="1"/>
  <c r="BY165" i="62" s="1"/>
  <c r="BY31" i="62"/>
  <c r="BO76" i="62"/>
  <c r="EM23" i="63"/>
  <c r="EN23" i="63" s="1"/>
  <c r="EO23" i="63" s="1"/>
  <c r="BL90" i="62"/>
  <c r="BL84" i="62"/>
  <c r="O84" i="62" s="1"/>
  <c r="EG10" i="63"/>
  <c r="BM64" i="62"/>
  <c r="K123" i="62"/>
  <c r="AV122" i="62"/>
  <c r="AV130" i="62" s="1"/>
  <c r="K176" i="62"/>
  <c r="K177" i="62"/>
  <c r="AH33" i="19"/>
  <c r="AH70" i="19" s="1"/>
  <c r="W27" i="4"/>
  <c r="W32" i="4"/>
  <c r="W33" i="4"/>
  <c r="W59" i="4"/>
  <c r="W60" i="4"/>
  <c r="W61" i="4"/>
  <c r="AD76" i="4"/>
  <c r="P231" i="4"/>
  <c r="Q231" i="4"/>
  <c r="Q233" i="4" s="1"/>
  <c r="J5" i="19"/>
  <c r="J16" i="19" s="1"/>
  <c r="J14" i="19"/>
  <c r="FR57" i="63" l="1"/>
  <c r="FQ55" i="63"/>
  <c r="BP76" i="62"/>
  <c r="EP23" i="63"/>
  <c r="EQ23" i="63" s="1"/>
  <c r="ER23" i="63" s="1"/>
  <c r="BM84" i="62"/>
  <c r="BM90" i="62"/>
  <c r="EH10" i="63"/>
  <c r="EI10" i="63" s="1"/>
  <c r="EG7" i="63"/>
  <c r="AV50" i="62"/>
  <c r="AV53" i="62" s="1"/>
  <c r="K189" i="62" s="1"/>
  <c r="AD102" i="4"/>
  <c r="K370" i="69"/>
  <c r="AO33" i="19"/>
  <c r="AE102" i="4"/>
  <c r="AE98" i="4"/>
  <c r="O70" i="4"/>
  <c r="FS57" i="63" l="1"/>
  <c r="FR55" i="63"/>
  <c r="BQ76" i="62"/>
  <c r="ES23" i="63"/>
  <c r="EG9" i="63"/>
  <c r="EG32" i="63"/>
  <c r="EG34" i="63" s="1"/>
  <c r="EJ10" i="63"/>
  <c r="EK10" i="63" s="1"/>
  <c r="EL10" i="63" s="1"/>
  <c r="BN64" i="62"/>
  <c r="F5" i="54"/>
  <c r="AF25" i="54" s="1"/>
  <c r="AF38" i="54" s="1"/>
  <c r="AD69" i="4"/>
  <c r="O71" i="4"/>
  <c r="O73" i="4"/>
  <c r="F6" i="54" s="1"/>
  <c r="FT57" i="63" l="1"/>
  <c r="FS55" i="63"/>
  <c r="BZ30" i="62" s="1"/>
  <c r="BZ165" i="62" s="1"/>
  <c r="BZ31" i="62"/>
  <c r="ET23" i="63"/>
  <c r="EU23" i="63" s="1"/>
  <c r="ES20" i="63"/>
  <c r="BN84" i="62"/>
  <c r="BN90" i="62"/>
  <c r="EM10" i="63"/>
  <c r="EN10" i="63" s="1"/>
  <c r="EO10" i="63" s="1"/>
  <c r="BO64" i="62"/>
  <c r="O75" i="4"/>
  <c r="O78" i="4" s="1"/>
  <c r="F8" i="54" s="1"/>
  <c r="O96" i="4"/>
  <c r="F14" i="54" s="1"/>
  <c r="G132" i="94"/>
  <c r="O77" i="4"/>
  <c r="O196" i="4"/>
  <c r="P196" i="4" s="1"/>
  <c r="Q196" i="4" s="1"/>
  <c r="R196" i="4" s="1"/>
  <c r="S196" i="4" s="1"/>
  <c r="T196" i="4" s="1"/>
  <c r="U196" i="4" s="1"/>
  <c r="AD71" i="4"/>
  <c r="AD74" i="4"/>
  <c r="O79" i="4"/>
  <c r="O318" i="4" s="1"/>
  <c r="O46" i="54" s="1"/>
  <c r="O117" i="4"/>
  <c r="F19" i="54" s="1"/>
  <c r="K180" i="62" l="1"/>
  <c r="FU57" i="63"/>
  <c r="FT55" i="63"/>
  <c r="ES22" i="63"/>
  <c r="ES28" i="63"/>
  <c r="BR76" i="62"/>
  <c r="EV23" i="63"/>
  <c r="EW23" i="63" s="1"/>
  <c r="EX23" i="63" s="1"/>
  <c r="BO90" i="62"/>
  <c r="BO84" i="62"/>
  <c r="EP10" i="63"/>
  <c r="EQ10" i="63" s="1"/>
  <c r="ER10" i="63" s="1"/>
  <c r="BP64" i="62"/>
  <c r="J6" i="19"/>
  <c r="O69" i="19"/>
  <c r="AD79" i="4"/>
  <c r="O101" i="4"/>
  <c r="O122" i="4"/>
  <c r="O3" i="54" s="1"/>
  <c r="O97" i="4"/>
  <c r="O319" i="4" s="1"/>
  <c r="O47" i="54" s="1"/>
  <c r="E408" i="69"/>
  <c r="FV57" i="63" l="1"/>
  <c r="FU55" i="63"/>
  <c r="BS76" i="62"/>
  <c r="EY23" i="63"/>
  <c r="EZ23" i="63" s="1"/>
  <c r="FA23" i="63" s="1"/>
  <c r="BP84" i="62"/>
  <c r="P84" i="62" s="1"/>
  <c r="BP90" i="62"/>
  <c r="ES10" i="63"/>
  <c r="BQ64" i="62"/>
  <c r="F16" i="54"/>
  <c r="AF26" i="54" s="1"/>
  <c r="D449" i="69"/>
  <c r="F449" i="69"/>
  <c r="C449" i="69"/>
  <c r="C117" i="94"/>
  <c r="O104" i="4"/>
  <c r="F18" i="54" s="1"/>
  <c r="C115" i="94"/>
  <c r="O132" i="4"/>
  <c r="O151" i="4"/>
  <c r="O7" i="54" s="1"/>
  <c r="F27" i="94"/>
  <c r="O475" i="95"/>
  <c r="O102" i="4"/>
  <c r="O46" i="19"/>
  <c r="J7" i="19"/>
  <c r="AC117" i="4"/>
  <c r="AD103" i="4"/>
  <c r="E379" i="69"/>
  <c r="F379" i="69"/>
  <c r="B379" i="69"/>
  <c r="C379" i="69"/>
  <c r="M408" i="69"/>
  <c r="FW57" i="63" l="1"/>
  <c r="FV55" i="63"/>
  <c r="CA30" i="62" s="1"/>
  <c r="CA165" i="62" s="1"/>
  <c r="CA31" i="62"/>
  <c r="BT76" i="62"/>
  <c r="FB23" i="63"/>
  <c r="FC23" i="63" s="1"/>
  <c r="FD23" i="63" s="1"/>
  <c r="BQ84" i="62"/>
  <c r="BQ90" i="62"/>
  <c r="ET10" i="63"/>
  <c r="EU10" i="63" s="1"/>
  <c r="ES7" i="63"/>
  <c r="AX9" i="95"/>
  <c r="AX8" i="95" s="1"/>
  <c r="AX7" i="95" s="1"/>
  <c r="AX6" i="95" s="1"/>
  <c r="W112" i="4"/>
  <c r="O112" i="4"/>
  <c r="AD80" i="4"/>
  <c r="O105" i="4"/>
  <c r="O118" i="4"/>
  <c r="J9" i="19" s="1"/>
  <c r="J17" i="19" s="1"/>
  <c r="O257" i="4"/>
  <c r="E381" i="69"/>
  <c r="E409" i="69"/>
  <c r="O286" i="4"/>
  <c r="O175" i="4"/>
  <c r="O19" i="54" s="1"/>
  <c r="FX57" i="63" l="1"/>
  <c r="FW55" i="63"/>
  <c r="BU76" i="62"/>
  <c r="FE23" i="63"/>
  <c r="ES9" i="63"/>
  <c r="ES32" i="63"/>
  <c r="ES34" i="63" s="1"/>
  <c r="EV10" i="63"/>
  <c r="EW10" i="63" s="1"/>
  <c r="EX10" i="63" s="1"/>
  <c r="BR64" i="62"/>
  <c r="J23" i="19"/>
  <c r="AI27" i="19"/>
  <c r="AF39" i="54"/>
  <c r="AL92" i="4"/>
  <c r="AC118" i="4"/>
  <c r="E382" i="69"/>
  <c r="E383" i="69"/>
  <c r="M409" i="69"/>
  <c r="E410" i="69"/>
  <c r="M410" i="69" s="1"/>
  <c r="O266" i="4"/>
  <c r="O267" i="4" s="1"/>
  <c r="AD86" i="4"/>
  <c r="AD91" i="4"/>
  <c r="AD81" i="4"/>
  <c r="O34" i="19"/>
  <c r="FY57" i="63" l="1"/>
  <c r="FX55" i="63"/>
  <c r="FF23" i="63"/>
  <c r="FG23" i="63" s="1"/>
  <c r="FE20" i="63"/>
  <c r="BR84" i="62"/>
  <c r="BR90" i="62"/>
  <c r="EY10" i="63"/>
  <c r="EZ10" i="63" s="1"/>
  <c r="FA10" i="63" s="1"/>
  <c r="BS64" i="62"/>
  <c r="AP27" i="19"/>
  <c r="AJ25" i="19"/>
  <c r="AI64" i="19"/>
  <c r="FY55" i="63" l="1"/>
  <c r="CB30" i="62" s="1"/>
  <c r="CB165" i="62" s="1"/>
  <c r="CB31" i="62"/>
  <c r="FE22" i="63"/>
  <c r="FE28" i="63"/>
  <c r="BV76" i="62"/>
  <c r="FH23" i="63"/>
  <c r="FI23" i="63" s="1"/>
  <c r="FJ23" i="63" s="1"/>
  <c r="BS84" i="62"/>
  <c r="BS90" i="62"/>
  <c r="FB10" i="63"/>
  <c r="FC10" i="63" s="1"/>
  <c r="FD10" i="63" s="1"/>
  <c r="BT64" i="62"/>
  <c r="AT165" i="62"/>
  <c r="AU165" i="62"/>
  <c r="AV165" i="62"/>
  <c r="BV55" i="63"/>
  <c r="AS165" i="62"/>
  <c r="BW76" i="62" l="1"/>
  <c r="FK23" i="63"/>
  <c r="FL23" i="63" s="1"/>
  <c r="FM23" i="63" s="1"/>
  <c r="BT84" i="62"/>
  <c r="Q84" i="62" s="1"/>
  <c r="BT90" i="62"/>
  <c r="FE10" i="63"/>
  <c r="BU64" i="62"/>
  <c r="K165" i="62"/>
  <c r="BX76" i="62" l="1"/>
  <c r="FN23" i="63"/>
  <c r="FO23" i="63" s="1"/>
  <c r="FP23" i="63" s="1"/>
  <c r="BU84" i="62"/>
  <c r="BU90" i="62"/>
  <c r="FF10" i="63"/>
  <c r="FG10" i="63" s="1"/>
  <c r="FE7" i="63"/>
  <c r="K30" i="62"/>
  <c r="K28" i="62" s="1"/>
  <c r="L166" i="62"/>
  <c r="K166" i="62"/>
  <c r="K171" i="62"/>
  <c r="K185" i="62" s="1"/>
  <c r="K187" i="62" s="1"/>
  <c r="K169" i="62"/>
  <c r="AH58" i="19"/>
  <c r="AJ58" i="19" s="1"/>
  <c r="BY76" i="62" l="1"/>
  <c r="FQ23" i="63"/>
  <c r="FE9" i="63"/>
  <c r="FE32" i="63"/>
  <c r="FE34" i="63" s="1"/>
  <c r="FH10" i="63"/>
  <c r="FI10" i="63" s="1"/>
  <c r="FJ10" i="63" s="1"/>
  <c r="BV64" i="62"/>
  <c r="AK77" i="19"/>
  <c r="AH77" i="19" s="1"/>
  <c r="AI77" i="19" s="1"/>
  <c r="K270" i="62"/>
  <c r="K182" i="62"/>
  <c r="K184" i="62" s="1"/>
  <c r="L184" i="62" s="1"/>
  <c r="K29" i="62"/>
  <c r="K38" i="62"/>
  <c r="K173" i="62"/>
  <c r="K39" i="62"/>
  <c r="FR23" i="63" l="1"/>
  <c r="FS23" i="63" s="1"/>
  <c r="FQ20" i="63"/>
  <c r="FK10" i="63"/>
  <c r="FL10" i="63" s="1"/>
  <c r="FM10" i="63" s="1"/>
  <c r="BW64" i="62"/>
  <c r="BV84" i="62"/>
  <c r="BV90" i="62"/>
  <c r="AH132" i="19"/>
  <c r="BB171" i="62"/>
  <c r="BA171" i="62"/>
  <c r="BA173" i="62"/>
  <c r="BB173" i="62"/>
  <c r="K174" i="62"/>
  <c r="L174" i="62" s="1"/>
  <c r="L182" i="62"/>
  <c r="M184" i="62"/>
  <c r="N184" i="62" s="1"/>
  <c r="K268" i="62"/>
  <c r="K269" i="62" s="1"/>
  <c r="FQ28" i="63" l="1"/>
  <c r="FQ22" i="63"/>
  <c r="BZ76" i="62"/>
  <c r="FT23" i="63"/>
  <c r="FU23" i="63" s="1"/>
  <c r="FV23" i="63" s="1"/>
  <c r="BW90" i="62"/>
  <c r="BW84" i="62"/>
  <c r="FN10" i="63"/>
  <c r="FO10" i="63" s="1"/>
  <c r="FP10" i="63" s="1"/>
  <c r="BX64" i="62"/>
  <c r="BA175" i="62"/>
  <c r="N182" i="62"/>
  <c r="N28" i="62" s="1"/>
  <c r="O184" i="62"/>
  <c r="BB175" i="62"/>
  <c r="M174" i="62"/>
  <c r="M182" i="62"/>
  <c r="M28" i="62" s="1"/>
  <c r="L185" i="62"/>
  <c r="AY32" i="62"/>
  <c r="AY28" i="62" s="1"/>
  <c r="AX32" i="62"/>
  <c r="AX28" i="62" s="1"/>
  <c r="L28" i="62"/>
  <c r="L29" i="62" s="1"/>
  <c r="AW32" i="62"/>
  <c r="AW28" i="62" s="1"/>
  <c r="AZ32" i="62"/>
  <c r="AZ28" i="62" s="1"/>
  <c r="CA76" i="62" l="1"/>
  <c r="FW23" i="63"/>
  <c r="FX23" i="63" s="1"/>
  <c r="FY23" i="63" s="1"/>
  <c r="CB76" i="62" s="1"/>
  <c r="CC75" i="62" s="1"/>
  <c r="FQ10" i="63"/>
  <c r="BY64" i="62"/>
  <c r="BX84" i="62"/>
  <c r="BX90" i="62"/>
  <c r="P184" i="62"/>
  <c r="O182" i="62"/>
  <c r="N174" i="62"/>
  <c r="N29" i="62"/>
  <c r="M173" i="62"/>
  <c r="M175" i="62" s="1"/>
  <c r="M176" i="62" s="1"/>
  <c r="M177" i="62" s="1"/>
  <c r="L173" i="62"/>
  <c r="AW171" i="62"/>
  <c r="AW173" i="62"/>
  <c r="AY173" i="62"/>
  <c r="AY171" i="62"/>
  <c r="M29" i="62"/>
  <c r="AX173" i="62"/>
  <c r="AX171" i="62"/>
  <c r="AZ173" i="62"/>
  <c r="AZ171" i="62"/>
  <c r="O67" i="4"/>
  <c r="O69" i="4" s="1"/>
  <c r="F4" i="54" s="1"/>
  <c r="K7" i="62"/>
  <c r="K35" i="62"/>
  <c r="K44" i="62"/>
  <c r="BY84" i="62" l="1"/>
  <c r="BY90" i="62"/>
  <c r="FR10" i="63"/>
  <c r="FS10" i="63" s="1"/>
  <c r="FQ7" i="63"/>
  <c r="O187" i="62"/>
  <c r="O28" i="62"/>
  <c r="O29" i="62" s="1"/>
  <c r="O185" i="62"/>
  <c r="N173" i="62"/>
  <c r="N175" i="62" s="1"/>
  <c r="N176" i="62" s="1"/>
  <c r="N177" i="62" s="1"/>
  <c r="O174" i="62"/>
  <c r="Q184" i="62"/>
  <c r="Q182" i="62" s="1"/>
  <c r="P182" i="62"/>
  <c r="X68" i="4"/>
  <c r="F3" i="54"/>
  <c r="AF24" i="54" s="1"/>
  <c r="AF37" i="54" s="1"/>
  <c r="L175" i="62"/>
  <c r="AY175" i="62"/>
  <c r="AZ175" i="62"/>
  <c r="AX175" i="62"/>
  <c r="AW175" i="62"/>
  <c r="O72" i="4"/>
  <c r="W39" i="54"/>
  <c r="O76" i="4"/>
  <c r="AD73" i="4" s="1"/>
  <c r="O68" i="4"/>
  <c r="AD67" i="4"/>
  <c r="O106" i="4"/>
  <c r="O308" i="4" s="1"/>
  <c r="O37" i="54" s="1"/>
  <c r="FQ9" i="63" l="1"/>
  <c r="FQ32" i="63"/>
  <c r="FQ34" i="63" s="1"/>
  <c r="FT10" i="63"/>
  <c r="FU10" i="63" s="1"/>
  <c r="FV10" i="63" s="1"/>
  <c r="BZ64" i="62"/>
  <c r="P187" i="62"/>
  <c r="P185" i="62"/>
  <c r="P28" i="62"/>
  <c r="P29" i="62" s="1"/>
  <c r="O173" i="62"/>
  <c r="O175" i="62" s="1"/>
  <c r="P174" i="62"/>
  <c r="Q174" i="62" s="1"/>
  <c r="Q173" i="62" s="1"/>
  <c r="Q185" i="62"/>
  <c r="Q39" i="62" s="1"/>
  <c r="Q187" i="62"/>
  <c r="Q28" i="62"/>
  <c r="O39" i="62"/>
  <c r="O270" i="62"/>
  <c r="O189" i="62"/>
  <c r="L176" i="62"/>
  <c r="AD68" i="4"/>
  <c r="O317" i="4"/>
  <c r="O45" i="54" s="1"/>
  <c r="AD75" i="4"/>
  <c r="AD85" i="4"/>
  <c r="AC111" i="4"/>
  <c r="AD70" i="4"/>
  <c r="AC113" i="4" s="1"/>
  <c r="O307" i="4"/>
  <c r="O36" i="54" s="1"/>
  <c r="BZ84" i="62" l="1"/>
  <c r="BZ90" i="62"/>
  <c r="FW10" i="63"/>
  <c r="FX10" i="63" s="1"/>
  <c r="FY10" i="63" s="1"/>
  <c r="CB64" i="62" s="1"/>
  <c r="CA64" i="62"/>
  <c r="O268" i="62"/>
  <c r="O269" i="62" s="1"/>
  <c r="Q270" i="62"/>
  <c r="Q29" i="62"/>
  <c r="O176" i="62"/>
  <c r="O177" i="62" s="1"/>
  <c r="Q189" i="62"/>
  <c r="Q175" i="62"/>
  <c r="Q176" i="62" s="1"/>
  <c r="Q177" i="62" s="1"/>
  <c r="P173" i="62"/>
  <c r="P175" i="62" s="1"/>
  <c r="P39" i="62"/>
  <c r="P270" i="62"/>
  <c r="P189" i="62"/>
  <c r="L177" i="62"/>
  <c r="R130" i="62" s="1"/>
  <c r="AC119" i="4"/>
  <c r="AC114" i="4"/>
  <c r="AL67" i="4"/>
  <c r="AC120" i="4"/>
  <c r="AC112" i="4"/>
  <c r="CB84" i="62" l="1"/>
  <c r="CC85" i="62" s="1"/>
  <c r="CB90" i="62"/>
  <c r="CC90" i="62"/>
  <c r="CC63" i="62"/>
  <c r="CA84" i="62"/>
  <c r="CA90" i="62"/>
  <c r="P268" i="62"/>
  <c r="P269" i="62" s="1"/>
  <c r="P176" i="62"/>
  <c r="P177" i="62" s="1"/>
  <c r="Q268" i="62"/>
  <c r="Q269" i="62" s="1"/>
  <c r="AS32" i="62"/>
  <c r="AS28" i="62" s="1"/>
  <c r="AS171" i="62" s="1"/>
  <c r="AT32" i="62"/>
  <c r="AT28" i="62" s="1"/>
  <c r="AU32" i="62"/>
  <c r="AU28" i="62" s="1"/>
  <c r="AV32" i="62"/>
  <c r="AV28" i="62" s="1"/>
  <c r="K186" i="62"/>
  <c r="K188" i="62"/>
  <c r="AS173" i="62" l="1"/>
  <c r="AS175" i="62" s="1"/>
  <c r="M186" i="62"/>
  <c r="L39" i="62"/>
  <c r="L270" i="62"/>
  <c r="AV173" i="62"/>
  <c r="AV171" i="62"/>
  <c r="AU173" i="62"/>
  <c r="AU171" i="62"/>
  <c r="AT173" i="62"/>
  <c r="AT171" i="62"/>
  <c r="M188" i="62"/>
  <c r="N188" i="62" s="1"/>
  <c r="N187" i="62" s="1"/>
  <c r="L187" i="62"/>
  <c r="L189" i="62" s="1"/>
  <c r="M185" i="62" l="1"/>
  <c r="N186" i="62"/>
  <c r="N185" i="62" s="1"/>
  <c r="N268" i="62"/>
  <c r="N269" i="62" s="1"/>
  <c r="AV175" i="62"/>
  <c r="AU175" i="62"/>
  <c r="AT175" i="62"/>
  <c r="L268" i="62"/>
  <c r="L269" i="62" s="1"/>
  <c r="M187" i="62"/>
  <c r="N39" i="62" l="1"/>
  <c r="N270" i="62"/>
  <c r="N189" i="62"/>
  <c r="M39" i="62"/>
  <c r="M270" i="62"/>
  <c r="M268" i="62"/>
  <c r="M269" i="62" s="1"/>
  <c r="M189" i="62"/>
  <c r="C125" i="94"/>
  <c r="AX102" i="62" l="1"/>
  <c r="AX106" i="62"/>
  <c r="K9" i="101" s="1"/>
  <c r="CY47" i="63"/>
  <c r="AX119" i="62" l="1"/>
  <c r="K7" i="101"/>
  <c r="AW47" i="62"/>
  <c r="O476" i="95"/>
  <c r="AW123" i="62"/>
  <c r="O477" i="95" l="1"/>
  <c r="AZ53" i="62"/>
  <c r="BA53" i="62" s="1"/>
  <c r="BB53" i="62" s="1"/>
  <c r="BC53" i="62" s="1"/>
  <c r="BD53" i="62" s="1"/>
  <c r="BE53" i="62" s="1"/>
  <c r="BF53" i="62" s="1"/>
  <c r="BG53" i="62" s="1"/>
  <c r="BH53" i="62" s="1"/>
  <c r="BI53" i="62" s="1"/>
  <c r="BJ53" i="62" s="1"/>
  <c r="BK53" i="62" s="1"/>
  <c r="BL53" i="62" s="1"/>
  <c r="BM53" i="62" s="1"/>
  <c r="BN53" i="62" s="1"/>
  <c r="BO53" i="62" s="1"/>
  <c r="BP53" i="62" s="1"/>
  <c r="BQ53" i="62" s="1"/>
  <c r="BR53" i="62" s="1"/>
  <c r="BS53" i="62" s="1"/>
  <c r="BT53" i="62" s="1"/>
  <c r="BU53" i="62" s="1"/>
  <c r="BV53" i="62" s="1"/>
  <c r="BW53" i="62" s="1"/>
  <c r="BX53" i="62" s="1"/>
  <c r="BY53" i="62" s="1"/>
  <c r="BZ53" i="62" s="1"/>
  <c r="CA53" i="62" s="1"/>
  <c r="CB53" i="62" s="1"/>
  <c r="CC53" i="62" s="1"/>
  <c r="CD53" i="62" s="1"/>
  <c r="CE53" i="62" s="1"/>
  <c r="CF53" i="62" s="1"/>
  <c r="CG53" i="62" s="1"/>
  <c r="CH53" i="62" s="1"/>
  <c r="CI53" i="62" s="1"/>
  <c r="CJ53" i="62" s="1"/>
  <c r="CK53" i="62" s="1"/>
  <c r="CL53" i="62" s="1"/>
  <c r="CM53" i="62" s="1"/>
  <c r="CN53" i="62" s="1"/>
  <c r="CO53" i="62" s="1"/>
  <c r="CP53" i="62" s="1"/>
  <c r="CQ53" i="62" s="1"/>
  <c r="CR53" i="62" s="1"/>
  <c r="CS53" i="62" s="1"/>
  <c r="CT53" i="62" s="1"/>
  <c r="CU53" i="62" s="1"/>
  <c r="CV53" i="62" s="1"/>
  <c r="CW53" i="62" s="1"/>
  <c r="CX53" i="62" s="1"/>
  <c r="CY53" i="62" s="1"/>
  <c r="CZ53" i="62" s="1"/>
  <c r="CX12" i="63" l="1"/>
  <c r="CX7" i="63" s="1"/>
  <c r="CY12" i="63"/>
  <c r="CY7" i="63" s="1"/>
  <c r="CY18" i="63"/>
  <c r="CX25" i="63"/>
  <c r="DJ25" i="63" s="1"/>
  <c r="CY25" i="63"/>
  <c r="CY20" i="63" s="1"/>
  <c r="AX82" i="62"/>
  <c r="AX85" i="62" l="1"/>
  <c r="K6" i="101" s="1"/>
  <c r="K4" i="101"/>
  <c r="BB8" i="62"/>
  <c r="BB63" i="62" s="1"/>
  <c r="DJ12" i="63"/>
  <c r="DJ7" i="63" s="1"/>
  <c r="AX75" i="62"/>
  <c r="DJ20" i="63"/>
  <c r="DV25" i="63"/>
  <c r="AX6" i="62"/>
  <c r="AX16" i="62" s="1"/>
  <c r="DK25" i="63"/>
  <c r="CY9" i="63"/>
  <c r="AX63" i="62"/>
  <c r="DK12" i="63"/>
  <c r="CX9" i="63"/>
  <c r="CY22" i="63"/>
  <c r="CY28" i="63"/>
  <c r="CY14" i="63"/>
  <c r="BB11" i="62" s="1"/>
  <c r="DK18" i="63"/>
  <c r="CX20" i="63"/>
  <c r="DJ32" i="63" l="1"/>
  <c r="DJ36" i="63" s="1"/>
  <c r="DV12" i="63"/>
  <c r="DJ22" i="63"/>
  <c r="BB15" i="62"/>
  <c r="DJ28" i="63"/>
  <c r="DK7" i="63"/>
  <c r="DW12" i="63"/>
  <c r="DV7" i="63"/>
  <c r="EH12" i="63"/>
  <c r="BF8" i="62"/>
  <c r="BF63" i="62" s="1"/>
  <c r="DK20" i="63"/>
  <c r="DK22" i="63" s="1"/>
  <c r="DW25" i="63"/>
  <c r="EH25" i="63"/>
  <c r="DV20" i="63"/>
  <c r="DK14" i="63"/>
  <c r="BF11" i="62" s="1"/>
  <c r="DW18" i="63"/>
  <c r="AX9" i="62"/>
  <c r="AX24" i="62"/>
  <c r="CY32" i="63"/>
  <c r="CX28" i="63"/>
  <c r="CX32" i="63"/>
  <c r="CX22" i="63"/>
  <c r="BF15" i="62" l="1"/>
  <c r="BF75" i="62" s="1"/>
  <c r="DK28" i="63"/>
  <c r="BB75" i="62"/>
  <c r="BB17" i="62"/>
  <c r="BJ8" i="62"/>
  <c r="BJ63" i="62" s="1"/>
  <c r="EH7" i="63"/>
  <c r="ET12" i="63"/>
  <c r="DW7" i="63"/>
  <c r="EI12" i="63"/>
  <c r="BB20" i="62"/>
  <c r="BB82" i="62" s="1"/>
  <c r="O4" i="101" s="1"/>
  <c r="ET25" i="63"/>
  <c r="EH20" i="63"/>
  <c r="DV22" i="63"/>
  <c r="DV28" i="63"/>
  <c r="DV32" i="63"/>
  <c r="DK32" i="63"/>
  <c r="EI25" i="63"/>
  <c r="DW20" i="63"/>
  <c r="BJ15" i="62" s="1"/>
  <c r="BJ75" i="62" s="1"/>
  <c r="EI18" i="63"/>
  <c r="DW14" i="63"/>
  <c r="BJ11" i="62" s="1"/>
  <c r="CX36" i="63"/>
  <c r="CX34" i="63"/>
  <c r="DJ34" i="63"/>
  <c r="CY36" i="63"/>
  <c r="CY34" i="63"/>
  <c r="BF17" i="62" l="1"/>
  <c r="BB83" i="62"/>
  <c r="BB85" i="62"/>
  <c r="O6" i="101" s="1"/>
  <c r="BF20" i="62"/>
  <c r="BF82" i="62" s="1"/>
  <c r="DV34" i="63"/>
  <c r="EI7" i="63"/>
  <c r="EI9" i="63" s="1"/>
  <c r="EU12" i="63"/>
  <c r="ET7" i="63"/>
  <c r="FF12" i="63"/>
  <c r="DK36" i="63"/>
  <c r="EH9" i="63"/>
  <c r="BN8" i="62"/>
  <c r="BN63" i="62" s="1"/>
  <c r="DW22" i="63"/>
  <c r="DW28" i="63"/>
  <c r="DW32" i="63"/>
  <c r="DW34" i="63" s="1"/>
  <c r="EU25" i="63"/>
  <c r="EI20" i="63"/>
  <c r="BN15" i="62" s="1"/>
  <c r="BN75" i="62" s="1"/>
  <c r="EH22" i="63"/>
  <c r="EH28" i="63"/>
  <c r="EH32" i="63"/>
  <c r="DK34" i="63"/>
  <c r="FF25" i="63"/>
  <c r="ET20" i="63"/>
  <c r="EU18" i="63"/>
  <c r="EI14" i="63"/>
  <c r="BN11" i="62" s="1"/>
  <c r="AX125" i="62"/>
  <c r="BJ20" i="62" l="1"/>
  <c r="BJ82" i="62" s="1"/>
  <c r="BJ83" i="62" s="1"/>
  <c r="BF83" i="62"/>
  <c r="BF85" i="62"/>
  <c r="EU7" i="63"/>
  <c r="EU9" i="63" s="1"/>
  <c r="FG12" i="63"/>
  <c r="FF7" i="63"/>
  <c r="FR12" i="63"/>
  <c r="FR7" i="63" s="1"/>
  <c r="ET9" i="63"/>
  <c r="BR8" i="62"/>
  <c r="BR63" i="62" s="1"/>
  <c r="EH34" i="63"/>
  <c r="EI22" i="63"/>
  <c r="EI28" i="63"/>
  <c r="FG25" i="63"/>
  <c r="EU20" i="63"/>
  <c r="BR15" i="62" s="1"/>
  <c r="BR75" i="62" s="1"/>
  <c r="EI32" i="63"/>
  <c r="EI34" i="63" s="1"/>
  <c r="ET22" i="63"/>
  <c r="ET28" i="63"/>
  <c r="ET32" i="63"/>
  <c r="FR25" i="63"/>
  <c r="FR20" i="63" s="1"/>
  <c r="FF20" i="63"/>
  <c r="FG18" i="63"/>
  <c r="EU14" i="63"/>
  <c r="D3" i="77"/>
  <c r="G3" i="77"/>
  <c r="D4" i="77"/>
  <c r="G4" i="77"/>
  <c r="C5" i="77"/>
  <c r="D5" i="77"/>
  <c r="G5" i="77"/>
  <c r="O5" i="77"/>
  <c r="V5" i="77"/>
  <c r="Y5" i="77" s="1"/>
  <c r="Y6" i="77" s="1"/>
  <c r="D6" i="77"/>
  <c r="G6" i="77"/>
  <c r="O6" i="77"/>
  <c r="V6" i="77"/>
  <c r="C7" i="77"/>
  <c r="D7" i="77"/>
  <c r="G7" i="77"/>
  <c r="O7" i="77"/>
  <c r="V7" i="77"/>
  <c r="Y7" i="77" s="1"/>
  <c r="Y8" i="77" s="1"/>
  <c r="D8" i="77"/>
  <c r="G8" i="77"/>
  <c r="O8" i="77"/>
  <c r="V8" i="77"/>
  <c r="E7" i="4"/>
  <c r="F7" i="4"/>
  <c r="G7" i="4"/>
  <c r="H177" i="4" s="1"/>
  <c r="H178" i="4" s="1"/>
  <c r="H7" i="4"/>
  <c r="I281" i="4" s="1"/>
  <c r="I7" i="4"/>
  <c r="J281" i="4" s="1"/>
  <c r="J7" i="4"/>
  <c r="K281" i="4" s="1"/>
  <c r="K7" i="4"/>
  <c r="L281" i="4" s="1"/>
  <c r="L7" i="4"/>
  <c r="C23" i="54" s="1"/>
  <c r="M7" i="4"/>
  <c r="D23" i="54" s="1"/>
  <c r="N7" i="4"/>
  <c r="O7" i="4"/>
  <c r="F23" i="54" s="1"/>
  <c r="E8" i="4"/>
  <c r="F8" i="4"/>
  <c r="G8" i="4"/>
  <c r="H8" i="4"/>
  <c r="I8" i="4"/>
  <c r="J8" i="4"/>
  <c r="K8" i="4"/>
  <c r="B24" i="54" s="1"/>
  <c r="L8" i="4"/>
  <c r="M8" i="4"/>
  <c r="D24" i="54" s="1"/>
  <c r="N8" i="4"/>
  <c r="E24" i="54" s="1"/>
  <c r="O8" i="4"/>
  <c r="F24" i="54" s="1"/>
  <c r="E9" i="4"/>
  <c r="E182" i="4" s="1"/>
  <c r="E183" i="4" s="1"/>
  <c r="F9" i="4"/>
  <c r="F182" i="4" s="1"/>
  <c r="F183" i="4" s="1"/>
  <c r="F324" i="4" s="1"/>
  <c r="G9" i="4"/>
  <c r="G182" i="4" s="1"/>
  <c r="G183" i="4" s="1"/>
  <c r="G324" i="4" s="1"/>
  <c r="H9" i="4"/>
  <c r="H182" i="4" s="1"/>
  <c r="H183" i="4" s="1"/>
  <c r="H324" i="4" s="1"/>
  <c r="I9" i="4"/>
  <c r="I182" i="4" s="1"/>
  <c r="I183" i="4" s="1"/>
  <c r="I324" i="4" s="1"/>
  <c r="J9" i="4"/>
  <c r="J182" i="4" s="1"/>
  <c r="J183" i="4" s="1"/>
  <c r="J324" i="4" s="1"/>
  <c r="K9" i="4"/>
  <c r="L9" i="4"/>
  <c r="M9" i="4"/>
  <c r="D25" i="54" s="1"/>
  <c r="N9" i="4"/>
  <c r="E25" i="54" s="1"/>
  <c r="O9" i="4"/>
  <c r="F25" i="54" s="1"/>
  <c r="E10" i="4"/>
  <c r="E186" i="4" s="1"/>
  <c r="E187" i="4" s="1"/>
  <c r="F10" i="4"/>
  <c r="F186" i="4" s="1"/>
  <c r="F187" i="4" s="1"/>
  <c r="F323" i="4" s="1"/>
  <c r="G10" i="4"/>
  <c r="G186" i="4" s="1"/>
  <c r="G187" i="4" s="1"/>
  <c r="G323" i="4" s="1"/>
  <c r="H10" i="4"/>
  <c r="H186" i="4" s="1"/>
  <c r="H187" i="4" s="1"/>
  <c r="H323" i="4" s="1"/>
  <c r="I10" i="4"/>
  <c r="I186" i="4" s="1"/>
  <c r="I187" i="4" s="1"/>
  <c r="I323" i="4" s="1"/>
  <c r="J10" i="4"/>
  <c r="J186" i="4" s="1"/>
  <c r="J187" i="4" s="1"/>
  <c r="J323" i="4" s="1"/>
  <c r="K10" i="4"/>
  <c r="B26" i="54" s="1"/>
  <c r="L10" i="4"/>
  <c r="C26" i="54" s="1"/>
  <c r="M10" i="4"/>
  <c r="D26" i="54" s="1"/>
  <c r="N10" i="4"/>
  <c r="E26" i="54" s="1"/>
  <c r="O10" i="4"/>
  <c r="O186" i="4" s="1"/>
  <c r="P186" i="4" s="1"/>
  <c r="Q186" i="4" s="1"/>
  <c r="R186" i="4" s="1"/>
  <c r="S186" i="4" s="1"/>
  <c r="T186" i="4" s="1"/>
  <c r="U186" i="4" s="1"/>
  <c r="E11" i="4"/>
  <c r="E190" i="4" s="1"/>
  <c r="F11" i="4"/>
  <c r="F190" i="4" s="1"/>
  <c r="G11" i="4"/>
  <c r="G190" i="4" s="1"/>
  <c r="H11" i="4"/>
  <c r="H190" i="4" s="1"/>
  <c r="I11" i="4"/>
  <c r="I190" i="4" s="1"/>
  <c r="J11" i="4"/>
  <c r="J190" i="4" s="1"/>
  <c r="K11" i="4"/>
  <c r="B27" i="54" s="1"/>
  <c r="L11" i="4"/>
  <c r="C27" i="54" s="1"/>
  <c r="M11" i="4"/>
  <c r="N11" i="4"/>
  <c r="O11" i="4"/>
  <c r="F27" i="54" s="1"/>
  <c r="E14" i="4"/>
  <c r="F14" i="4"/>
  <c r="G14" i="4"/>
  <c r="H14" i="4"/>
  <c r="I14" i="4"/>
  <c r="J14" i="4"/>
  <c r="K14" i="4"/>
  <c r="L14" i="4"/>
  <c r="M14" i="4"/>
  <c r="N14" i="4"/>
  <c r="O14" i="4"/>
  <c r="P14" i="4" s="1"/>
  <c r="E15" i="4"/>
  <c r="F15" i="4"/>
  <c r="G15" i="4"/>
  <c r="H15" i="4"/>
  <c r="H235" i="4" s="1"/>
  <c r="I15" i="4"/>
  <c r="I235" i="4" s="1"/>
  <c r="J15" i="4"/>
  <c r="J235" i="4" s="1"/>
  <c r="K15" i="4"/>
  <c r="B29" i="54" s="1"/>
  <c r="L15" i="4"/>
  <c r="C29" i="54" s="1"/>
  <c r="M15" i="4"/>
  <c r="D29" i="54" s="1"/>
  <c r="N15" i="4"/>
  <c r="E29" i="54" s="1"/>
  <c r="O15" i="4"/>
  <c r="F29" i="54" s="1"/>
  <c r="E16" i="4"/>
  <c r="F16" i="4"/>
  <c r="G16" i="4"/>
  <c r="H16" i="4"/>
  <c r="I16" i="4"/>
  <c r="J16" i="4"/>
  <c r="K16" i="4"/>
  <c r="L16" i="4"/>
  <c r="M16" i="4"/>
  <c r="N16" i="4"/>
  <c r="O16" i="4"/>
  <c r="P16" i="4" s="1"/>
  <c r="Q16" i="4" s="1"/>
  <c r="R16" i="4" s="1"/>
  <c r="S16" i="4" s="1"/>
  <c r="T16" i="4" s="1"/>
  <c r="U16" i="4" s="1"/>
  <c r="F17" i="4"/>
  <c r="G17" i="4"/>
  <c r="H17" i="4"/>
  <c r="I17" i="4"/>
  <c r="J17" i="4"/>
  <c r="K17" i="4"/>
  <c r="B30" i="54" s="1"/>
  <c r="L17" i="4"/>
  <c r="C30" i="54" s="1"/>
  <c r="M17" i="4"/>
  <c r="D30" i="54" s="1"/>
  <c r="N17" i="4"/>
  <c r="E30" i="54" s="1"/>
  <c r="O17" i="4"/>
  <c r="F30" i="54" s="1"/>
  <c r="E18" i="4"/>
  <c r="F18" i="4"/>
  <c r="G18" i="4"/>
  <c r="H18" i="4"/>
  <c r="I18" i="4"/>
  <c r="J18" i="4"/>
  <c r="J252" i="4" s="1"/>
  <c r="K245" i="4" s="1"/>
  <c r="K18" i="4"/>
  <c r="K252" i="4" s="1"/>
  <c r="L18" i="4"/>
  <c r="L252" i="4" s="1"/>
  <c r="M245" i="4" s="1"/>
  <c r="M252" i="4" s="1"/>
  <c r="N245" i="4" s="1"/>
  <c r="N252" i="4" s="1"/>
  <c r="O245" i="4" s="1"/>
  <c r="O252" i="4" s="1"/>
  <c r="P245" i="4" s="1"/>
  <c r="M18" i="4"/>
  <c r="N18" i="4"/>
  <c r="O18" i="4"/>
  <c r="P18" i="4" s="1"/>
  <c r="Q18" i="4" s="1"/>
  <c r="R18" i="4" s="1"/>
  <c r="S18" i="4" s="1"/>
  <c r="T18" i="4" s="1"/>
  <c r="U18" i="4" s="1"/>
  <c r="E19" i="4"/>
  <c r="F19" i="4"/>
  <c r="G19" i="4"/>
  <c r="H19" i="4"/>
  <c r="I19" i="4"/>
  <c r="J19" i="4"/>
  <c r="K19" i="4"/>
  <c r="B31" i="54" s="1"/>
  <c r="L19" i="4"/>
  <c r="C31" i="54" s="1"/>
  <c r="M19" i="4"/>
  <c r="D31" i="54" s="1"/>
  <c r="N19" i="4"/>
  <c r="E31" i="54" s="1"/>
  <c r="O19" i="4"/>
  <c r="F31" i="54" s="1"/>
  <c r="E20" i="4"/>
  <c r="F20" i="4"/>
  <c r="G20" i="4"/>
  <c r="H20" i="4"/>
  <c r="I20" i="4"/>
  <c r="J20" i="4"/>
  <c r="K20" i="4"/>
  <c r="L20" i="4"/>
  <c r="M20" i="4"/>
  <c r="N20" i="4"/>
  <c r="O20" i="4"/>
  <c r="P20" i="4" s="1"/>
  <c r="Q20" i="4" s="1"/>
  <c r="R20" i="4" s="1"/>
  <c r="S20" i="4" s="1"/>
  <c r="T20" i="4" s="1"/>
  <c r="U20" i="4" s="1"/>
  <c r="E21" i="4"/>
  <c r="F21" i="4"/>
  <c r="G21" i="4"/>
  <c r="H21" i="4"/>
  <c r="I21" i="4"/>
  <c r="J21" i="4"/>
  <c r="K21" i="4"/>
  <c r="B32" i="54" s="1"/>
  <c r="L21" i="4"/>
  <c r="C32" i="54" s="1"/>
  <c r="M21" i="4"/>
  <c r="D32" i="54" s="1"/>
  <c r="N21" i="4"/>
  <c r="E32" i="54" s="1"/>
  <c r="O21" i="4"/>
  <c r="F32" i="54" s="1"/>
  <c r="E28" i="4"/>
  <c r="E192" i="4" s="1"/>
  <c r="E193" i="4" s="1"/>
  <c r="F28" i="4"/>
  <c r="G28" i="4"/>
  <c r="G192" i="4" s="1"/>
  <c r="G193" i="4" s="1"/>
  <c r="G325" i="4" s="1"/>
  <c r="H28" i="4"/>
  <c r="H192" i="4" s="1"/>
  <c r="H193" i="4" s="1"/>
  <c r="H325" i="4" s="1"/>
  <c r="I28" i="4"/>
  <c r="I192" i="4" s="1"/>
  <c r="I193" i="4" s="1"/>
  <c r="I325" i="4" s="1"/>
  <c r="J28" i="4"/>
  <c r="J192" i="4" s="1"/>
  <c r="J193" i="4" s="1"/>
  <c r="J325" i="4" s="1"/>
  <c r="K28" i="4"/>
  <c r="B35" i="54" s="1"/>
  <c r="L28" i="4"/>
  <c r="M28" i="4"/>
  <c r="N28" i="4"/>
  <c r="O28" i="4"/>
  <c r="O192" i="4" s="1"/>
  <c r="P192" i="4" s="1"/>
  <c r="Q192" i="4" s="1"/>
  <c r="R192" i="4" s="1"/>
  <c r="S192" i="4" s="1"/>
  <c r="T192" i="4" s="1"/>
  <c r="U192" i="4" s="1"/>
  <c r="E29" i="4"/>
  <c r="F293" i="4" s="1"/>
  <c r="F29" i="4"/>
  <c r="G293" i="4" s="1"/>
  <c r="F295" i="4" s="1"/>
  <c r="G29" i="4"/>
  <c r="H29" i="4"/>
  <c r="I293" i="4" s="1"/>
  <c r="H295" i="4" s="1"/>
  <c r="I29" i="4"/>
  <c r="J29" i="4"/>
  <c r="K293" i="4" s="1"/>
  <c r="K29" i="4"/>
  <c r="B36" i="54" s="1"/>
  <c r="L29" i="4"/>
  <c r="C36" i="54" s="1"/>
  <c r="M29" i="4"/>
  <c r="D36" i="54" s="1"/>
  <c r="N29" i="4"/>
  <c r="O29" i="4"/>
  <c r="E36" i="4"/>
  <c r="E35" i="4" s="1"/>
  <c r="F36" i="4"/>
  <c r="G36" i="4"/>
  <c r="H36" i="4"/>
  <c r="I36" i="4"/>
  <c r="I35" i="4" s="1"/>
  <c r="J36" i="4"/>
  <c r="J35" i="4" s="1"/>
  <c r="K36" i="4"/>
  <c r="B39" i="54" s="1"/>
  <c r="L36" i="4"/>
  <c r="C39" i="54" s="1"/>
  <c r="M36" i="4"/>
  <c r="N36" i="4"/>
  <c r="E39" i="54" s="1"/>
  <c r="O36" i="4"/>
  <c r="P36" i="4" s="1"/>
  <c r="E44" i="4"/>
  <c r="F44" i="4"/>
  <c r="G44" i="4"/>
  <c r="H44" i="4"/>
  <c r="H26" i="19" s="1"/>
  <c r="I44" i="4"/>
  <c r="I26" i="19" s="1"/>
  <c r="J44" i="4"/>
  <c r="J26" i="19" s="1"/>
  <c r="J28" i="19" s="1"/>
  <c r="K44" i="4"/>
  <c r="B42" i="54" s="1"/>
  <c r="L44" i="4"/>
  <c r="L26" i="19" s="1"/>
  <c r="L28" i="19" s="1"/>
  <c r="M44" i="4"/>
  <c r="D42" i="54" s="1"/>
  <c r="N44" i="4"/>
  <c r="N29" i="19" s="1"/>
  <c r="O44" i="4"/>
  <c r="E45" i="4"/>
  <c r="F45" i="4"/>
  <c r="G45" i="4"/>
  <c r="H45" i="4"/>
  <c r="I45" i="4"/>
  <c r="J45" i="4"/>
  <c r="K45" i="4"/>
  <c r="L45" i="4"/>
  <c r="C43" i="54" s="1"/>
  <c r="M45" i="4"/>
  <c r="D43" i="54" s="1"/>
  <c r="N45" i="4"/>
  <c r="O45" i="4"/>
  <c r="P45" i="4" s="1"/>
  <c r="E46" i="4"/>
  <c r="F46" i="4"/>
  <c r="G46" i="4"/>
  <c r="H46" i="4"/>
  <c r="I46" i="4"/>
  <c r="J46" i="4"/>
  <c r="K46" i="4"/>
  <c r="L46" i="4"/>
  <c r="M46" i="4"/>
  <c r="N46" i="4"/>
  <c r="O46" i="4"/>
  <c r="P46" i="4" s="1"/>
  <c r="Q46" i="4" s="1"/>
  <c r="R46" i="4" s="1"/>
  <c r="S46" i="4" s="1"/>
  <c r="T46" i="4" s="1"/>
  <c r="U46" i="4" s="1"/>
  <c r="E47" i="4"/>
  <c r="F47" i="4"/>
  <c r="G47" i="4"/>
  <c r="H47" i="4"/>
  <c r="I47" i="4"/>
  <c r="J47" i="4"/>
  <c r="K47" i="4"/>
  <c r="L47" i="4"/>
  <c r="M47" i="4"/>
  <c r="N47" i="4"/>
  <c r="O47" i="4"/>
  <c r="P47" i="4" s="1"/>
  <c r="Q47" i="4" s="1"/>
  <c r="R47" i="4" s="1"/>
  <c r="S47" i="4" s="1"/>
  <c r="T47" i="4" s="1"/>
  <c r="U47" i="4" s="1"/>
  <c r="E48" i="4"/>
  <c r="F48" i="4"/>
  <c r="G48" i="4"/>
  <c r="H48" i="4"/>
  <c r="I48" i="4"/>
  <c r="J256" i="4" s="1"/>
  <c r="J48" i="4"/>
  <c r="J264" i="4" s="1"/>
  <c r="K48" i="4"/>
  <c r="B44" i="54" s="1"/>
  <c r="L48" i="4"/>
  <c r="C44" i="54" s="1"/>
  <c r="M48" i="4"/>
  <c r="D44" i="54" s="1"/>
  <c r="N48" i="4"/>
  <c r="O48" i="4"/>
  <c r="F44" i="54" s="1"/>
  <c r="E49" i="4"/>
  <c r="F49" i="4"/>
  <c r="G49" i="4"/>
  <c r="H49" i="4"/>
  <c r="I49" i="4"/>
  <c r="J49" i="4"/>
  <c r="K49" i="4"/>
  <c r="L49" i="4"/>
  <c r="M49" i="4"/>
  <c r="N49" i="4"/>
  <c r="O49" i="4"/>
  <c r="P49" i="4" s="1"/>
  <c r="E50" i="4"/>
  <c r="F50" i="4"/>
  <c r="G50" i="4"/>
  <c r="H50" i="4"/>
  <c r="I50" i="4"/>
  <c r="J50" i="4"/>
  <c r="K50" i="4"/>
  <c r="L50" i="4"/>
  <c r="M50" i="4"/>
  <c r="N50" i="4"/>
  <c r="O50" i="4"/>
  <c r="E51" i="4"/>
  <c r="F51" i="4"/>
  <c r="G51" i="4"/>
  <c r="H51" i="4"/>
  <c r="I51" i="4"/>
  <c r="J51" i="4"/>
  <c r="K51" i="4"/>
  <c r="L51" i="4"/>
  <c r="M51" i="4"/>
  <c r="N51" i="4"/>
  <c r="O51" i="4"/>
  <c r="E52" i="4"/>
  <c r="E199" i="4" s="1"/>
  <c r="F52" i="4"/>
  <c r="F199" i="4" s="1"/>
  <c r="G52" i="4"/>
  <c r="G199" i="4" s="1"/>
  <c r="H52" i="4"/>
  <c r="H199" i="4" s="1"/>
  <c r="I52" i="4"/>
  <c r="I199" i="4" s="1"/>
  <c r="J52" i="4"/>
  <c r="J199" i="4" s="1"/>
  <c r="J262" i="4" s="1"/>
  <c r="K52" i="4"/>
  <c r="K199" i="4" s="1"/>
  <c r="K262" i="4" s="1"/>
  <c r="L52" i="4"/>
  <c r="L199" i="4" s="1"/>
  <c r="M199" i="4" s="1"/>
  <c r="N199" i="4" s="1"/>
  <c r="O199" i="4" s="1"/>
  <c r="P199" i="4" s="1"/>
  <c r="Q199" i="4" s="1"/>
  <c r="R199" i="4" s="1"/>
  <c r="S199" i="4" s="1"/>
  <c r="T199" i="4" s="1"/>
  <c r="U199" i="4" s="1"/>
  <c r="M52" i="4"/>
  <c r="N52" i="4"/>
  <c r="O52" i="4"/>
  <c r="P52" i="4" s="1"/>
  <c r="Q52" i="4" s="1"/>
  <c r="R52" i="4" s="1"/>
  <c r="S52" i="4" s="1"/>
  <c r="T52" i="4" s="1"/>
  <c r="U52" i="4" s="1"/>
  <c r="E53" i="4"/>
  <c r="F53" i="4"/>
  <c r="G53" i="4"/>
  <c r="H53" i="4"/>
  <c r="I53" i="4"/>
  <c r="J53" i="4"/>
  <c r="K53" i="4"/>
  <c r="L53" i="4"/>
  <c r="M53" i="4"/>
  <c r="N53" i="4"/>
  <c r="O53" i="4"/>
  <c r="E54" i="4"/>
  <c r="F54" i="4"/>
  <c r="G54" i="4"/>
  <c r="H54" i="4"/>
  <c r="I54" i="4"/>
  <c r="J54" i="4"/>
  <c r="K54" i="4"/>
  <c r="L54" i="4"/>
  <c r="M54" i="4"/>
  <c r="N54" i="4"/>
  <c r="O54" i="4"/>
  <c r="P54" i="4" s="1"/>
  <c r="Q54" i="4" s="1"/>
  <c r="R54" i="4" s="1"/>
  <c r="S54" i="4" s="1"/>
  <c r="T54" i="4" s="1"/>
  <c r="U54" i="4" s="1"/>
  <c r="F9" i="2"/>
  <c r="C3" i="60"/>
  <c r="D3" i="60"/>
  <c r="F3" i="60"/>
  <c r="G3" i="60"/>
  <c r="O3" i="60"/>
  <c r="V3" i="60"/>
  <c r="Y3" i="60" s="1"/>
  <c r="Y4" i="60" s="1"/>
  <c r="C4" i="60"/>
  <c r="D4" i="60"/>
  <c r="F4" i="60"/>
  <c r="G4" i="60"/>
  <c r="O4" i="60"/>
  <c r="V4" i="60"/>
  <c r="C5" i="60"/>
  <c r="D5" i="60"/>
  <c r="F5" i="60"/>
  <c r="G5" i="60"/>
  <c r="N5" i="60"/>
  <c r="O5" i="60"/>
  <c r="U5" i="60"/>
  <c r="X5" i="60" s="1"/>
  <c r="V5" i="60"/>
  <c r="Y5" i="60" s="1"/>
  <c r="Y6" i="60" s="1"/>
  <c r="C6" i="60"/>
  <c r="D6" i="60"/>
  <c r="F6" i="60"/>
  <c r="G6" i="60"/>
  <c r="N6" i="60"/>
  <c r="O6" i="60"/>
  <c r="U6" i="60"/>
  <c r="V6" i="60"/>
  <c r="C7" i="60"/>
  <c r="D7" i="60"/>
  <c r="F7" i="60"/>
  <c r="G7" i="60"/>
  <c r="N7" i="60"/>
  <c r="O7" i="60"/>
  <c r="U7" i="60"/>
  <c r="V7" i="60"/>
  <c r="Y7" i="60" s="1"/>
  <c r="Y8" i="60" s="1"/>
  <c r="C8" i="60"/>
  <c r="D8" i="60"/>
  <c r="F8" i="60"/>
  <c r="G8" i="60"/>
  <c r="N8" i="60"/>
  <c r="O8" i="60"/>
  <c r="U8" i="60"/>
  <c r="V8" i="60"/>
  <c r="J143" i="62"/>
  <c r="K144" i="62" s="1"/>
  <c r="C106" i="19"/>
  <c r="E106" i="19"/>
  <c r="F106" i="19"/>
  <c r="J124" i="19"/>
  <c r="E302" i="69"/>
  <c r="A302" i="69" s="1"/>
  <c r="D22" i="18"/>
  <c r="E22" i="18"/>
  <c r="F22" i="18"/>
  <c r="D23" i="18"/>
  <c r="E23" i="18"/>
  <c r="F23" i="18"/>
  <c r="D24" i="18"/>
  <c r="E24" i="18"/>
  <c r="F24" i="18"/>
  <c r="D25" i="18"/>
  <c r="E25" i="18"/>
  <c r="F25" i="18"/>
  <c r="D26" i="18"/>
  <c r="E26" i="18"/>
  <c r="F26" i="18"/>
  <c r="D27" i="18"/>
  <c r="E27" i="18"/>
  <c r="F27" i="18"/>
  <c r="BJ85" i="62" l="1"/>
  <c r="BN20" i="62"/>
  <c r="BN82" i="62" s="1"/>
  <c r="BN83" i="62" s="1"/>
  <c r="Q49" i="4"/>
  <c r="R49" i="4" s="1"/>
  <c r="S49" i="4" s="1"/>
  <c r="T49" i="4" s="1"/>
  <c r="U49" i="4" s="1"/>
  <c r="O269" i="4"/>
  <c r="Q269" i="4" s="1"/>
  <c r="R269" i="4" s="1"/>
  <c r="S269" i="4" s="1"/>
  <c r="T269" i="4" s="1"/>
  <c r="U269" i="4" s="1"/>
  <c r="O29" i="19"/>
  <c r="EU32" i="63"/>
  <c r="EU34" i="63" s="1"/>
  <c r="BR11" i="62"/>
  <c r="ET34" i="63"/>
  <c r="BR20" i="62"/>
  <c r="BR82" i="62" s="1"/>
  <c r="FR9" i="63"/>
  <c r="FF9" i="63"/>
  <c r="FG7" i="63"/>
  <c r="FG9" i="63" s="1"/>
  <c r="FS12" i="63"/>
  <c r="FS7" i="63" s="1"/>
  <c r="BZ8" i="62" s="1"/>
  <c r="BZ63" i="62" s="1"/>
  <c r="E23" i="54"/>
  <c r="U106" i="19"/>
  <c r="X106" i="19"/>
  <c r="AA106" i="19"/>
  <c r="T106" i="19"/>
  <c r="W106" i="19"/>
  <c r="Z106" i="19"/>
  <c r="FF28" i="63"/>
  <c r="FF22" i="63"/>
  <c r="FF32" i="63"/>
  <c r="FR28" i="63"/>
  <c r="FR22" i="63"/>
  <c r="FR32" i="63"/>
  <c r="EU22" i="63"/>
  <c r="EU28" i="63"/>
  <c r="FS25" i="63"/>
  <c r="FS20" i="63" s="1"/>
  <c r="BZ15" i="62" s="1"/>
  <c r="BZ75" i="62" s="1"/>
  <c r="FG20" i="63"/>
  <c r="BV15" i="62" s="1"/>
  <c r="BV75" i="62" s="1"/>
  <c r="FS18" i="63"/>
  <c r="FS14" i="63" s="1"/>
  <c r="BZ11" i="62" s="1"/>
  <c r="FG14" i="63"/>
  <c r="BV11" i="62" s="1"/>
  <c r="N177" i="4"/>
  <c r="N18" i="54" s="1"/>
  <c r="L27" i="19"/>
  <c r="J39" i="19" s="1"/>
  <c r="J60" i="19" s="1"/>
  <c r="J313" i="4" s="1"/>
  <c r="H281" i="4"/>
  <c r="K190" i="4"/>
  <c r="O182" i="4"/>
  <c r="O183" i="4" s="1"/>
  <c r="O324" i="4" s="1"/>
  <c r="O32" i="54" s="1"/>
  <c r="N281" i="4"/>
  <c r="I272" i="4"/>
  <c r="I271" i="4"/>
  <c r="H3" i="60"/>
  <c r="P177" i="4"/>
  <c r="P18" i="54" s="1"/>
  <c r="J27" i="19"/>
  <c r="W107" i="4"/>
  <c r="K235" i="4"/>
  <c r="L264" i="4"/>
  <c r="M256" i="4"/>
  <c r="P281" i="4"/>
  <c r="L235" i="4"/>
  <c r="M235" i="4" s="1"/>
  <c r="N235" i="4" s="1"/>
  <c r="O235" i="4" s="1"/>
  <c r="J275" i="4"/>
  <c r="L218" i="4"/>
  <c r="L227" i="4" s="1"/>
  <c r="J271" i="4"/>
  <c r="O264" i="4"/>
  <c r="P256" i="4" s="1"/>
  <c r="M182" i="4"/>
  <c r="M183" i="4" s="1"/>
  <c r="M324" i="4" s="1"/>
  <c r="M32" i="54" s="1"/>
  <c r="S43" i="62"/>
  <c r="S44" i="62" s="1"/>
  <c r="L295" i="4"/>
  <c r="J177" i="4"/>
  <c r="J178" i="4" s="1"/>
  <c r="K295" i="4"/>
  <c r="K294" i="4" s="1"/>
  <c r="K287" i="4" s="1"/>
  <c r="K285" i="4" s="1"/>
  <c r="K283" i="4" s="1"/>
  <c r="K282" i="4" s="1"/>
  <c r="M269" i="4"/>
  <c r="O113" i="4"/>
  <c r="R43" i="62"/>
  <c r="R44" i="62" s="1"/>
  <c r="L293" i="4"/>
  <c r="M113" i="4"/>
  <c r="F26" i="4"/>
  <c r="F300" i="4" s="1"/>
  <c r="M27" i="19"/>
  <c r="B109" i="19" s="1"/>
  <c r="E7" i="60"/>
  <c r="L113" i="4"/>
  <c r="M26" i="19"/>
  <c r="K113" i="4"/>
  <c r="O274" i="4"/>
  <c r="P274" i="4" s="1"/>
  <c r="Q274" i="4" s="1"/>
  <c r="R274" i="4" s="1"/>
  <c r="S274" i="4" s="1"/>
  <c r="T274" i="4" s="1"/>
  <c r="U274" i="4" s="1"/>
  <c r="W52" i="4"/>
  <c r="N186" i="4"/>
  <c r="N187" i="4" s="1"/>
  <c r="N323" i="4" s="1"/>
  <c r="N31" i="54" s="1"/>
  <c r="O190" i="4"/>
  <c r="P190" i="4" s="1"/>
  <c r="Q190" i="4" s="1"/>
  <c r="R190" i="4" s="1"/>
  <c r="S190" i="4" s="1"/>
  <c r="T190" i="4" s="1"/>
  <c r="U190" i="4" s="1"/>
  <c r="O177" i="4"/>
  <c r="P7" i="60"/>
  <c r="I27" i="19"/>
  <c r="I33" i="19" s="1"/>
  <c r="R106" i="19"/>
  <c r="I269" i="4"/>
  <c r="R16" i="19"/>
  <c r="J120" i="19" s="1"/>
  <c r="O281" i="4"/>
  <c r="M264" i="4"/>
  <c r="N113" i="4"/>
  <c r="W48" i="4"/>
  <c r="N256" i="4"/>
  <c r="G26" i="4"/>
  <c r="G300" i="4" s="1"/>
  <c r="H5" i="60"/>
  <c r="E43" i="4"/>
  <c r="E41" i="4" s="1"/>
  <c r="K13" i="4"/>
  <c r="B33" i="54" s="1"/>
  <c r="E7" i="77"/>
  <c r="M281" i="4"/>
  <c r="L256" i="4"/>
  <c r="AH51" i="19"/>
  <c r="M293" i="4"/>
  <c r="K256" i="4"/>
  <c r="F192" i="4"/>
  <c r="F193" i="4" s="1"/>
  <c r="F325" i="4" s="1"/>
  <c r="F326" i="4" s="1"/>
  <c r="O187" i="4"/>
  <c r="P187" i="4" s="1"/>
  <c r="L35" i="4"/>
  <c r="C40" i="54" s="1"/>
  <c r="J13" i="4"/>
  <c r="K27" i="19"/>
  <c r="K321" i="4" s="1"/>
  <c r="B48" i="54" s="1"/>
  <c r="M177" i="4"/>
  <c r="M18" i="54" s="1"/>
  <c r="K35" i="4"/>
  <c r="B40" i="54" s="1"/>
  <c r="H27" i="19"/>
  <c r="H41" i="19" s="1"/>
  <c r="H42" i="19" s="1"/>
  <c r="H269" i="4"/>
  <c r="N182" i="4"/>
  <c r="N183" i="4" s="1"/>
  <c r="N324" i="4" s="1"/>
  <c r="N32" i="54" s="1"/>
  <c r="H7" i="60"/>
  <c r="M275" i="4"/>
  <c r="W47" i="4"/>
  <c r="D26" i="77"/>
  <c r="K26" i="19"/>
  <c r="K28" i="19" s="1"/>
  <c r="W5" i="60"/>
  <c r="F9" i="60"/>
  <c r="F10" i="60" s="1"/>
  <c r="H293" i="4"/>
  <c r="G295" i="4" s="1"/>
  <c r="G294" i="4" s="1"/>
  <c r="G287" i="4" s="1"/>
  <c r="G285" i="4" s="1"/>
  <c r="K275" i="4"/>
  <c r="N264" i="4"/>
  <c r="L190" i="4"/>
  <c r="K186" i="4"/>
  <c r="K187" i="4" s="1"/>
  <c r="K323" i="4" s="1"/>
  <c r="K31" i="54" s="1"/>
  <c r="L274" i="4"/>
  <c r="N274" i="4"/>
  <c r="K264" i="4"/>
  <c r="K192" i="4"/>
  <c r="K193" i="4" s="1"/>
  <c r="K325" i="4" s="1"/>
  <c r="K33" i="54" s="1"/>
  <c r="G326" i="4"/>
  <c r="H275" i="4"/>
  <c r="I5" i="4"/>
  <c r="I326" i="4"/>
  <c r="Q45" i="4"/>
  <c r="G43" i="54"/>
  <c r="F36" i="54"/>
  <c r="O30" i="4"/>
  <c r="O271" i="4" s="1"/>
  <c r="O295" i="4"/>
  <c r="P293" i="4" s="1"/>
  <c r="O275" i="4"/>
  <c r="P275" i="4" s="1"/>
  <c r="Q275" i="4" s="1"/>
  <c r="R275" i="4" s="1"/>
  <c r="S275" i="4" s="1"/>
  <c r="T275" i="4" s="1"/>
  <c r="U275" i="4" s="1"/>
  <c r="W29" i="4"/>
  <c r="O88" i="64" s="1"/>
  <c r="I387" i="69"/>
  <c r="AH32" i="19"/>
  <c r="AH69" i="19" s="1"/>
  <c r="AH79" i="19" s="1"/>
  <c r="B298" i="69" s="1"/>
  <c r="C298" i="69" s="1"/>
  <c r="D298" i="69" s="1"/>
  <c r="N26" i="4"/>
  <c r="N300" i="4" s="1"/>
  <c r="N25" i="54" s="1"/>
  <c r="N192" i="4"/>
  <c r="N193" i="4" s="1"/>
  <c r="N325" i="4" s="1"/>
  <c r="N33" i="54" s="1"/>
  <c r="E36" i="54"/>
  <c r="F88" i="64"/>
  <c r="N295" i="4"/>
  <c r="N275" i="4"/>
  <c r="F15" i="18" s="1"/>
  <c r="I5" i="18" s="1"/>
  <c r="AL45" i="19" s="1"/>
  <c r="AR39" i="19" s="1"/>
  <c r="Q106" i="19"/>
  <c r="O293" i="4"/>
  <c r="E27" i="54"/>
  <c r="N190" i="4"/>
  <c r="B23" i="54"/>
  <c r="C25" i="54"/>
  <c r="L182" i="4"/>
  <c r="L183" i="4" s="1"/>
  <c r="L324" i="4" s="1"/>
  <c r="L32" i="54" s="1"/>
  <c r="H43" i="4"/>
  <c r="H41" i="4" s="1"/>
  <c r="L245" i="4"/>
  <c r="L246" i="4" s="1"/>
  <c r="K246" i="4"/>
  <c r="V9" i="60"/>
  <c r="V10" i="60" s="1"/>
  <c r="H272" i="4"/>
  <c r="I275" i="4"/>
  <c r="C26" i="60"/>
  <c r="Z5" i="60"/>
  <c r="X6" i="60"/>
  <c r="H326" i="4"/>
  <c r="C24" i="54"/>
  <c r="M274" i="4"/>
  <c r="L177" i="4"/>
  <c r="K5" i="4"/>
  <c r="K274" i="4"/>
  <c r="G272" i="4"/>
  <c r="G35" i="4"/>
  <c r="D27" i="54"/>
  <c r="M190" i="4"/>
  <c r="B25" i="54"/>
  <c r="K182" i="4"/>
  <c r="K183" i="4" s="1"/>
  <c r="K324" i="4" s="1"/>
  <c r="K32" i="54" s="1"/>
  <c r="H271" i="4"/>
  <c r="M186" i="4"/>
  <c r="M187" i="4" s="1"/>
  <c r="M323" i="4" s="1"/>
  <c r="M31" i="54" s="1"/>
  <c r="F269" i="4"/>
  <c r="F43" i="4"/>
  <c r="F309" i="4" s="1"/>
  <c r="F27" i="19"/>
  <c r="F41" i="19" s="1"/>
  <c r="F42" i="19" s="1"/>
  <c r="F26" i="19"/>
  <c r="J5" i="4"/>
  <c r="K177" i="4"/>
  <c r="J274" i="4"/>
  <c r="G27" i="19"/>
  <c r="G321" i="4" s="1"/>
  <c r="G26" i="19"/>
  <c r="G269" i="4"/>
  <c r="G271" i="4"/>
  <c r="L186" i="4"/>
  <c r="L187" i="4" s="1"/>
  <c r="L323" i="4" s="1"/>
  <c r="L31" i="54" s="1"/>
  <c r="O9" i="60"/>
  <c r="O10" i="60" s="1"/>
  <c r="D26" i="60"/>
  <c r="O193" i="4"/>
  <c r="P193" i="4" s="1"/>
  <c r="W28" i="4"/>
  <c r="N13" i="4"/>
  <c r="E33" i="54" s="1"/>
  <c r="C88" i="64"/>
  <c r="F43" i="54"/>
  <c r="I13" i="4"/>
  <c r="G5" i="4"/>
  <c r="F35" i="54"/>
  <c r="P5" i="60"/>
  <c r="W49" i="4"/>
  <c r="W46" i="4"/>
  <c r="H26" i="4"/>
  <c r="H300" i="4" s="1"/>
  <c r="G13" i="4"/>
  <c r="G9" i="60"/>
  <c r="G10" i="60" s="1"/>
  <c r="N293" i="4"/>
  <c r="W53" i="4"/>
  <c r="P8" i="4"/>
  <c r="Q8" i="4" s="1"/>
  <c r="R8" i="4" s="1"/>
  <c r="S8" i="4" s="1"/>
  <c r="K79" i="64" s="1"/>
  <c r="F89" i="64"/>
  <c r="E26" i="19"/>
  <c r="W54" i="4"/>
  <c r="M30" i="4"/>
  <c r="M271" i="4" s="1"/>
  <c r="E26" i="4"/>
  <c r="E25" i="4" s="1"/>
  <c r="E5" i="60"/>
  <c r="M295" i="4"/>
  <c r="L30" i="4"/>
  <c r="L271" i="4" s="1"/>
  <c r="K26" i="4"/>
  <c r="K300" i="4" s="1"/>
  <c r="K25" i="54" s="1"/>
  <c r="E88" i="64"/>
  <c r="E42" i="54"/>
  <c r="N43" i="4"/>
  <c r="N269" i="4"/>
  <c r="F5" i="4"/>
  <c r="G274" i="4"/>
  <c r="G281" i="4"/>
  <c r="W45" i="4"/>
  <c r="E43" i="54"/>
  <c r="W51" i="4"/>
  <c r="P51" i="4"/>
  <c r="Q51" i="4" s="1"/>
  <c r="R51" i="4" s="1"/>
  <c r="S51" i="4" s="1"/>
  <c r="T51" i="4" s="1"/>
  <c r="U51" i="4" s="1"/>
  <c r="O43" i="4"/>
  <c r="H13" i="4"/>
  <c r="F272" i="4"/>
  <c r="F271" i="4"/>
  <c r="F35" i="4"/>
  <c r="C42" i="54"/>
  <c r="L43" i="4"/>
  <c r="L269" i="4"/>
  <c r="G39" i="54"/>
  <c r="Q36" i="4"/>
  <c r="R36" i="4" s="1"/>
  <c r="S36" i="4" s="1"/>
  <c r="K89" i="64" s="1"/>
  <c r="P271" i="4"/>
  <c r="H89" i="64"/>
  <c r="P35" i="4"/>
  <c r="G40" i="54" s="1"/>
  <c r="E13" i="4"/>
  <c r="G275" i="4"/>
  <c r="J43" i="4"/>
  <c r="J41" i="4" s="1"/>
  <c r="Q14" i="4"/>
  <c r="R14" i="4" s="1"/>
  <c r="S14" i="4" s="1"/>
  <c r="W7" i="60"/>
  <c r="X7" i="60"/>
  <c r="F294" i="4"/>
  <c r="E3" i="60"/>
  <c r="J326" i="4"/>
  <c r="H274" i="4"/>
  <c r="H5" i="4"/>
  <c r="I177" i="4"/>
  <c r="I178" i="4" s="1"/>
  <c r="I274" i="4"/>
  <c r="J295" i="4"/>
  <c r="I26" i="4"/>
  <c r="J293" i="4"/>
  <c r="I295" i="4" s="1"/>
  <c r="I294" i="4" s="1"/>
  <c r="I287" i="4" s="1"/>
  <c r="I285" i="4" s="1"/>
  <c r="I283" i="4" s="1"/>
  <c r="I282" i="4" s="1"/>
  <c r="W44" i="4"/>
  <c r="F42" i="54"/>
  <c r="F13" i="4"/>
  <c r="K43" i="4"/>
  <c r="K41" i="4" s="1"/>
  <c r="B43" i="54"/>
  <c r="W36" i="4"/>
  <c r="O89" i="64" s="1"/>
  <c r="F39" i="54"/>
  <c r="O35" i="4"/>
  <c r="G89" i="64"/>
  <c r="E5" i="4"/>
  <c r="F26" i="54"/>
  <c r="M26" i="4"/>
  <c r="D35" i="54"/>
  <c r="O13" i="4"/>
  <c r="F33" i="54" s="1"/>
  <c r="P19" i="4"/>
  <c r="N5" i="4"/>
  <c r="V106" i="19" s="1"/>
  <c r="I43" i="4"/>
  <c r="D39" i="54"/>
  <c r="M35" i="4"/>
  <c r="D40" i="54" s="1"/>
  <c r="E89" i="64"/>
  <c r="L26" i="4"/>
  <c r="L192" i="4"/>
  <c r="L193" i="4" s="1"/>
  <c r="L325" i="4" s="1"/>
  <c r="L33" i="54" s="1"/>
  <c r="C35" i="54"/>
  <c r="M13" i="4"/>
  <c r="D33" i="54" s="1"/>
  <c r="L13" i="4"/>
  <c r="C33" i="54" s="1"/>
  <c r="M5" i="4"/>
  <c r="O256" i="4"/>
  <c r="E44" i="54"/>
  <c r="G43" i="4"/>
  <c r="J26" i="4"/>
  <c r="B88" i="64"/>
  <c r="L5" i="4"/>
  <c r="H35" i="4"/>
  <c r="N30" i="4"/>
  <c r="N271" i="4" s="1"/>
  <c r="O5" i="4"/>
  <c r="G88" i="64"/>
  <c r="K30" i="4"/>
  <c r="K271" i="4" s="1"/>
  <c r="D88" i="64"/>
  <c r="E35" i="54"/>
  <c r="W50" i="4"/>
  <c r="O26" i="4"/>
  <c r="L275" i="4"/>
  <c r="M43" i="4"/>
  <c r="M41" i="4" s="1"/>
  <c r="N35" i="4"/>
  <c r="E40" i="54" s="1"/>
  <c r="D89" i="64"/>
  <c r="C89" i="64"/>
  <c r="B89" i="64"/>
  <c r="E5" i="77"/>
  <c r="P21" i="4"/>
  <c r="G9" i="77"/>
  <c r="G10" i="77" s="1"/>
  <c r="BN85" i="62" l="1"/>
  <c r="BV8" i="62"/>
  <c r="BV63" i="62" s="1"/>
  <c r="FS9" i="63"/>
  <c r="FF34" i="63"/>
  <c r="FR34" i="63"/>
  <c r="BR83" i="62"/>
  <c r="BR85" i="62"/>
  <c r="O87" i="64"/>
  <c r="T8" i="4"/>
  <c r="S157" i="4"/>
  <c r="S271" i="4"/>
  <c r="T14" i="4"/>
  <c r="S35" i="4"/>
  <c r="T36" i="4"/>
  <c r="L89" i="64" s="1"/>
  <c r="FS32" i="63"/>
  <c r="BZ20" i="62" s="1"/>
  <c r="BZ82" i="62" s="1"/>
  <c r="FG32" i="63"/>
  <c r="FG34" i="63" s="1"/>
  <c r="FG22" i="63"/>
  <c r="FG28" i="63"/>
  <c r="FS22" i="63"/>
  <c r="FS28" i="63"/>
  <c r="R157" i="4"/>
  <c r="R271" i="4"/>
  <c r="R35" i="4"/>
  <c r="H43" i="54"/>
  <c r="R45" i="4"/>
  <c r="S45" i="4" s="1"/>
  <c r="T45" i="4" s="1"/>
  <c r="U45" i="4" s="1"/>
  <c r="G39" i="19"/>
  <c r="G60" i="19" s="1"/>
  <c r="J33" i="19"/>
  <c r="M321" i="4"/>
  <c r="D48" i="54" s="1"/>
  <c r="M29" i="19"/>
  <c r="N178" i="4"/>
  <c r="N20" i="54" s="1"/>
  <c r="P182" i="4"/>
  <c r="Q182" i="4" s="1"/>
  <c r="R182" i="4" s="1"/>
  <c r="S182" i="4" s="1"/>
  <c r="T182" i="4" s="1"/>
  <c r="U182" i="4" s="1"/>
  <c r="P183" i="4"/>
  <c r="Q183" i="4" s="1"/>
  <c r="R183" i="4" s="1"/>
  <c r="S183" i="4" s="1"/>
  <c r="J41" i="19"/>
  <c r="J73" i="19" s="1"/>
  <c r="K70" i="19" s="1"/>
  <c r="K71" i="19" s="1"/>
  <c r="J83" i="19"/>
  <c r="J107" i="4"/>
  <c r="L29" i="19"/>
  <c r="L321" i="4"/>
  <c r="C48" i="54" s="1"/>
  <c r="L41" i="19"/>
  <c r="L42" i="19" s="1"/>
  <c r="L37" i="19"/>
  <c r="L57" i="19" s="1"/>
  <c r="G25" i="4"/>
  <c r="G23" i="4" s="1"/>
  <c r="G310" i="4" s="1"/>
  <c r="F25" i="4"/>
  <c r="F23" i="4" s="1"/>
  <c r="F310" i="4" s="1"/>
  <c r="F39" i="19"/>
  <c r="F60" i="19" s="1"/>
  <c r="I39" i="19"/>
  <c r="J40" i="19" s="1"/>
  <c r="M294" i="4"/>
  <c r="M287" i="4" s="1"/>
  <c r="M285" i="4" s="1"/>
  <c r="M288" i="4" s="1"/>
  <c r="J29" i="19"/>
  <c r="O294" i="4"/>
  <c r="O287" i="4" s="1"/>
  <c r="O285" i="4" s="1"/>
  <c r="O288" i="4" s="1"/>
  <c r="H39" i="19"/>
  <c r="E39" i="19"/>
  <c r="E107" i="4" s="1"/>
  <c r="O323" i="4"/>
  <c r="O31" i="54" s="1"/>
  <c r="J37" i="19"/>
  <c r="J57" i="19" s="1"/>
  <c r="I37" i="19"/>
  <c r="J321" i="4"/>
  <c r="P323" i="4"/>
  <c r="P31" i="54" s="1"/>
  <c r="Q187" i="4"/>
  <c r="R187" i="4" s="1"/>
  <c r="S187" i="4" s="1"/>
  <c r="L294" i="4"/>
  <c r="L287" i="4" s="1"/>
  <c r="L285" i="4" s="1"/>
  <c r="L283" i="4" s="1"/>
  <c r="L282" i="4" s="1"/>
  <c r="L219" i="4"/>
  <c r="F37" i="19"/>
  <c r="F57" i="19" s="1"/>
  <c r="F313" i="4" s="1"/>
  <c r="J3" i="4"/>
  <c r="J303" i="4" s="1"/>
  <c r="K33" i="19"/>
  <c r="H25" i="4"/>
  <c r="H23" i="4" s="1"/>
  <c r="H310" i="4" s="1"/>
  <c r="H294" i="4"/>
  <c r="H287" i="4" s="1"/>
  <c r="H285" i="4" s="1"/>
  <c r="H283" i="4" s="1"/>
  <c r="H282" i="4" s="1"/>
  <c r="G283" i="4"/>
  <c r="G282" i="4" s="1"/>
  <c r="AK71" i="19"/>
  <c r="H79" i="64"/>
  <c r="K326" i="4"/>
  <c r="K34" i="54" s="1"/>
  <c r="E38" i="54"/>
  <c r="G41" i="19"/>
  <c r="G42" i="19" s="1"/>
  <c r="AO32" i="19"/>
  <c r="G3" i="4"/>
  <c r="G303" i="4" s="1"/>
  <c r="G299" i="4"/>
  <c r="G37" i="19"/>
  <c r="G57" i="19" s="1"/>
  <c r="G313" i="4" s="1"/>
  <c r="K39" i="19"/>
  <c r="K60" i="19" s="1"/>
  <c r="K313" i="4" s="1"/>
  <c r="K42" i="54" s="1"/>
  <c r="T24" i="54" s="1"/>
  <c r="H321" i="4"/>
  <c r="M37" i="19"/>
  <c r="F304" i="4"/>
  <c r="R21" i="19"/>
  <c r="AH35" i="19" s="1"/>
  <c r="M41" i="19"/>
  <c r="M42" i="19" s="1"/>
  <c r="N26" i="19"/>
  <c r="M28" i="19"/>
  <c r="M178" i="4"/>
  <c r="M20" i="54" s="1"/>
  <c r="F41" i="4"/>
  <c r="F321" i="4"/>
  <c r="O325" i="4"/>
  <c r="O33" i="54" s="1"/>
  <c r="K41" i="19"/>
  <c r="K73" i="19" s="1"/>
  <c r="L70" i="19" s="1"/>
  <c r="L71" i="19" s="1"/>
  <c r="I41" i="19"/>
  <c r="N326" i="4"/>
  <c r="N34" i="54" s="1"/>
  <c r="K37" i="19"/>
  <c r="H37" i="19"/>
  <c r="H57" i="19" s="1"/>
  <c r="H313" i="4" s="1"/>
  <c r="K29" i="19"/>
  <c r="I321" i="4"/>
  <c r="F48" i="19"/>
  <c r="E37" i="19"/>
  <c r="E23" i="4"/>
  <c r="E48" i="19"/>
  <c r="O18" i="54"/>
  <c r="O178" i="4"/>
  <c r="O20" i="54" s="1"/>
  <c r="B87" i="64"/>
  <c r="B90" i="64" s="1"/>
  <c r="E44" i="19"/>
  <c r="E63" i="19" s="1"/>
  <c r="I3" i="4"/>
  <c r="H9" i="60"/>
  <c r="E3" i="4"/>
  <c r="F87" i="64"/>
  <c r="E87" i="64"/>
  <c r="E97" i="64" s="1"/>
  <c r="H44" i="19"/>
  <c r="H63" i="19" s="1"/>
  <c r="B38" i="54"/>
  <c r="K25" i="4"/>
  <c r="B41" i="54" s="1"/>
  <c r="K18" i="54"/>
  <c r="K178" i="4"/>
  <c r="K20" i="54" s="1"/>
  <c r="K3" i="4"/>
  <c r="B28" i="54"/>
  <c r="K299" i="4"/>
  <c r="K24" i="54" s="1"/>
  <c r="J304" i="4"/>
  <c r="F44" i="19"/>
  <c r="F63" i="19" s="1"/>
  <c r="F314" i="4" s="1"/>
  <c r="L18" i="54"/>
  <c r="L178" i="4"/>
  <c r="L20" i="54" s="1"/>
  <c r="L326" i="4"/>
  <c r="L34" i="54" s="1"/>
  <c r="H309" i="4"/>
  <c r="H328" i="4"/>
  <c r="C87" i="64"/>
  <c r="G24" i="54"/>
  <c r="P157" i="4"/>
  <c r="H304" i="4"/>
  <c r="N294" i="4"/>
  <c r="N287" i="4" s="1"/>
  <c r="N285" i="4" s="1"/>
  <c r="J387" i="69"/>
  <c r="H387" i="69"/>
  <c r="F40" i="54"/>
  <c r="W35" i="4"/>
  <c r="D87" i="64"/>
  <c r="M25" i="4"/>
  <c r="D38" i="54"/>
  <c r="M300" i="4"/>
  <c r="M25" i="54" s="1"/>
  <c r="Q193" i="4"/>
  <c r="R193" i="4" s="1"/>
  <c r="S193" i="4" s="1"/>
  <c r="P325" i="4"/>
  <c r="F46" i="54"/>
  <c r="W43" i="4"/>
  <c r="O304" i="4"/>
  <c r="O29" i="54" s="1"/>
  <c r="AG29" i="54" s="1"/>
  <c r="O41" i="4"/>
  <c r="O309" i="4"/>
  <c r="O38" i="54" s="1"/>
  <c r="X27" i="54" s="1"/>
  <c r="W41" i="54" s="1"/>
  <c r="L3" i="4"/>
  <c r="L299" i="4"/>
  <c r="L24" i="54" s="1"/>
  <c r="C28" i="54"/>
  <c r="B46" i="54"/>
  <c r="K328" i="4"/>
  <c r="K309" i="4"/>
  <c r="K38" i="54" s="1"/>
  <c r="T27" i="54" s="1"/>
  <c r="K304" i="4"/>
  <c r="K29" i="54" s="1"/>
  <c r="AC29" i="54" s="1"/>
  <c r="K44" i="19"/>
  <c r="L48" i="19"/>
  <c r="I300" i="4"/>
  <c r="I25" i="4"/>
  <c r="I23" i="4" s="1"/>
  <c r="I310" i="4" s="1"/>
  <c r="I299" i="4"/>
  <c r="O25" i="4"/>
  <c r="F38" i="54"/>
  <c r="O300" i="4"/>
  <c r="O25" i="54" s="1"/>
  <c r="W26" i="4"/>
  <c r="D28" i="54"/>
  <c r="M299" i="4"/>
  <c r="M24" i="54" s="1"/>
  <c r="M3" i="4"/>
  <c r="I309" i="4"/>
  <c r="I304" i="4"/>
  <c r="I328" i="4"/>
  <c r="I44" i="19"/>
  <c r="I63" i="19" s="1"/>
  <c r="I48" i="19"/>
  <c r="J48" i="19"/>
  <c r="I41" i="4"/>
  <c r="X8" i="60"/>
  <c r="Z7" i="60"/>
  <c r="E28" i="54"/>
  <c r="N3" i="4"/>
  <c r="N299" i="4"/>
  <c r="N24" i="54" s="1"/>
  <c r="I79" i="64"/>
  <c r="H24" i="54"/>
  <c r="Q157" i="4"/>
  <c r="H39" i="54"/>
  <c r="Q35" i="4"/>
  <c r="H40" i="54" s="1"/>
  <c r="Q271" i="4"/>
  <c r="I89" i="64"/>
  <c r="D46" i="54"/>
  <c r="M309" i="4"/>
  <c r="M38" i="54" s="1"/>
  <c r="V27" i="54" s="1"/>
  <c r="M304" i="4"/>
  <c r="M29" i="54" s="1"/>
  <c r="AE29" i="54" s="1"/>
  <c r="M44" i="19"/>
  <c r="N48" i="19"/>
  <c r="J25" i="4"/>
  <c r="J23" i="4" s="1"/>
  <c r="J310" i="4" s="1"/>
  <c r="J300" i="4"/>
  <c r="J294" i="4"/>
  <c r="J287" i="4" s="1"/>
  <c r="J285" i="4" s="1"/>
  <c r="J283" i="4" s="1"/>
  <c r="J282" i="4" s="1"/>
  <c r="J299" i="4"/>
  <c r="G32" i="54"/>
  <c r="Q21" i="4"/>
  <c r="R21" i="4" s="1"/>
  <c r="S21" i="4" s="1"/>
  <c r="T21" i="4" s="1"/>
  <c r="U21" i="4" s="1"/>
  <c r="G309" i="4"/>
  <c r="G304" i="4"/>
  <c r="G328" i="4"/>
  <c r="G48" i="19"/>
  <c r="H48" i="19"/>
  <c r="G44" i="19"/>
  <c r="G63" i="19" s="1"/>
  <c r="Q19" i="4"/>
  <c r="R19" i="4" s="1"/>
  <c r="S19" i="4" s="1"/>
  <c r="T19" i="4" s="1"/>
  <c r="U19" i="4" s="1"/>
  <c r="G31" i="54"/>
  <c r="F3" i="4"/>
  <c r="F299" i="4"/>
  <c r="G87" i="64"/>
  <c r="E414" i="69"/>
  <c r="N25" i="4"/>
  <c r="G41" i="4"/>
  <c r="F28" i="54"/>
  <c r="O3" i="4"/>
  <c r="O299" i="4"/>
  <c r="O24" i="54" s="1"/>
  <c r="L25" i="4"/>
  <c r="C38" i="54"/>
  <c r="L300" i="4"/>
  <c r="L25" i="54" s="1"/>
  <c r="W30" i="4"/>
  <c r="H3" i="4"/>
  <c r="H299" i="4"/>
  <c r="J309" i="4"/>
  <c r="J328" i="4"/>
  <c r="J44" i="19"/>
  <c r="K48" i="19"/>
  <c r="C46" i="54"/>
  <c r="L41" i="4"/>
  <c r="L328" i="4"/>
  <c r="L309" i="4"/>
  <c r="L38" i="54" s="1"/>
  <c r="U27" i="54" s="1"/>
  <c r="T41" i="54" s="1"/>
  <c r="L304" i="4"/>
  <c r="L29" i="54" s="1"/>
  <c r="AD29" i="54" s="1"/>
  <c r="L44" i="19"/>
  <c r="M48" i="19"/>
  <c r="AQ22" i="19" s="1"/>
  <c r="E46" i="54"/>
  <c r="N41" i="4"/>
  <c r="N309" i="4"/>
  <c r="N304" i="4"/>
  <c r="N29" i="54" s="1"/>
  <c r="AF29" i="54" s="1"/>
  <c r="E32" i="18"/>
  <c r="O48" i="19"/>
  <c r="FS34" i="63" l="1"/>
  <c r="CD83" i="62"/>
  <c r="BZ85" i="62"/>
  <c r="BV20" i="62"/>
  <c r="BV82" i="62" s="1"/>
  <c r="T157" i="4"/>
  <c r="L79" i="64"/>
  <c r="U8" i="4"/>
  <c r="T271" i="4"/>
  <c r="T193" i="4"/>
  <c r="S325" i="4"/>
  <c r="T183" i="4"/>
  <c r="S324" i="4"/>
  <c r="S323" i="4"/>
  <c r="T187" i="4"/>
  <c r="T35" i="4"/>
  <c r="U36" i="4"/>
  <c r="M89" i="64" s="1"/>
  <c r="T13" i="4"/>
  <c r="U14" i="4"/>
  <c r="U13" i="4" s="1"/>
  <c r="S13" i="4"/>
  <c r="R325" i="4"/>
  <c r="R324" i="4"/>
  <c r="R323" i="4"/>
  <c r="H40" i="19"/>
  <c r="G107" i="4"/>
  <c r="J42" i="19"/>
  <c r="F107" i="4"/>
  <c r="F108" i="4" s="1"/>
  <c r="F320" i="4" s="1"/>
  <c r="I52" i="19"/>
  <c r="I83" i="19"/>
  <c r="G38" i="19"/>
  <c r="P324" i="4"/>
  <c r="P32" i="54" s="1"/>
  <c r="Q324" i="4"/>
  <c r="Q32" i="54" s="1"/>
  <c r="L80" i="19"/>
  <c r="H60" i="19"/>
  <c r="G40" i="19"/>
  <c r="E57" i="19"/>
  <c r="E60" i="19"/>
  <c r="L52" i="19"/>
  <c r="F40" i="19"/>
  <c r="I60" i="19"/>
  <c r="I313" i="4" s="1"/>
  <c r="O283" i="4"/>
  <c r="O282" i="4" s="1"/>
  <c r="P282" i="4" s="1"/>
  <c r="Q282" i="4" s="1"/>
  <c r="R282" i="4" s="1"/>
  <c r="S282" i="4" s="1"/>
  <c r="T282" i="4" s="1"/>
  <c r="U282" i="4" s="1"/>
  <c r="Q323" i="4"/>
  <c r="Q31" i="54" s="1"/>
  <c r="I107" i="4"/>
  <c r="J108" i="4" s="1"/>
  <c r="J320" i="4" s="1"/>
  <c r="L73" i="19"/>
  <c r="M70" i="19" s="1"/>
  <c r="M71" i="19" s="1"/>
  <c r="M80" i="19" s="1"/>
  <c r="M38" i="19"/>
  <c r="M283" i="4"/>
  <c r="M282" i="4" s="1"/>
  <c r="I40" i="19"/>
  <c r="H107" i="4"/>
  <c r="J59" i="19"/>
  <c r="I38" i="19"/>
  <c r="J38" i="19"/>
  <c r="J47" i="19"/>
  <c r="F38" i="19"/>
  <c r="I57" i="19"/>
  <c r="I303" i="4"/>
  <c r="H47" i="19"/>
  <c r="J52" i="19"/>
  <c r="K38" i="19"/>
  <c r="K57" i="19"/>
  <c r="K52" i="19"/>
  <c r="L38" i="19"/>
  <c r="L288" i="4"/>
  <c r="O326" i="4"/>
  <c r="O34" i="54" s="1"/>
  <c r="C90" i="64"/>
  <c r="E57" i="4"/>
  <c r="E47" i="19"/>
  <c r="K107" i="4"/>
  <c r="K108" i="4" s="1"/>
  <c r="K320" i="4" s="1"/>
  <c r="K48" i="54" s="1"/>
  <c r="K83" i="19"/>
  <c r="M73" i="19"/>
  <c r="N70" i="19" s="1"/>
  <c r="N71" i="19" s="1"/>
  <c r="K40" i="19"/>
  <c r="E90" i="64"/>
  <c r="E91" i="64" s="1"/>
  <c r="E92" i="64" s="1"/>
  <c r="K42" i="19"/>
  <c r="H38" i="19"/>
  <c r="F90" i="64"/>
  <c r="F91" i="64" s="1"/>
  <c r="F92" i="64" s="1"/>
  <c r="AO35" i="19"/>
  <c r="AT35" i="19" s="1"/>
  <c r="AT3" i="54" s="1"/>
  <c r="AT4" i="54" s="1"/>
  <c r="AT5" i="54" s="1"/>
  <c r="AT6" i="54" s="1"/>
  <c r="AT7" i="54" s="1"/>
  <c r="AT8" i="54" s="1"/>
  <c r="AT9" i="54" s="1"/>
  <c r="AT10" i="54" s="1"/>
  <c r="AT11" i="54" s="1"/>
  <c r="AT12" i="54" s="1"/>
  <c r="AT13" i="54" s="1"/>
  <c r="AT14" i="54" s="1"/>
  <c r="AT15" i="54" s="1"/>
  <c r="AT16" i="54" s="1"/>
  <c r="AT17" i="54" s="1"/>
  <c r="AT18" i="54" s="1"/>
  <c r="AT19" i="54" s="1"/>
  <c r="AT20" i="54" s="1"/>
  <c r="AT21" i="54" s="1"/>
  <c r="AT22" i="54" s="1"/>
  <c r="AT23" i="54" s="1"/>
  <c r="AT24" i="54" s="1"/>
  <c r="AT25" i="54" s="1"/>
  <c r="AT26" i="54" s="1"/>
  <c r="AT27" i="54" s="1"/>
  <c r="AT28" i="54" s="1"/>
  <c r="AT29" i="54" s="1"/>
  <c r="AT30" i="54" s="1"/>
  <c r="AT31" i="54" s="1"/>
  <c r="AT32" i="54" s="1"/>
  <c r="AT33" i="54" s="1"/>
  <c r="AT34" i="54" s="1"/>
  <c r="AT35" i="54" s="1"/>
  <c r="AT36" i="54" s="1"/>
  <c r="AT37" i="54" s="1"/>
  <c r="AT38" i="54" s="1"/>
  <c r="AT39" i="54" s="1"/>
  <c r="AT40" i="54" s="1"/>
  <c r="AT41" i="54" s="1"/>
  <c r="AT42" i="54" s="1"/>
  <c r="AT43" i="54" s="1"/>
  <c r="AT44" i="54" s="1"/>
  <c r="AT45" i="54" s="1"/>
  <c r="AT46" i="54" s="1"/>
  <c r="AT47" i="54" s="1"/>
  <c r="AT48" i="54" s="1"/>
  <c r="AT49" i="54" s="1"/>
  <c r="AT50" i="54" s="1"/>
  <c r="AT51" i="54" s="1"/>
  <c r="AT52" i="54" s="1"/>
  <c r="AT53" i="54" s="1"/>
  <c r="AT54" i="54" s="1"/>
  <c r="AT55" i="54" s="1"/>
  <c r="AT56" i="54" s="1"/>
  <c r="AT57" i="54" s="1"/>
  <c r="AT58" i="54" s="1"/>
  <c r="AT59" i="54" s="1"/>
  <c r="AT60" i="54" s="1"/>
  <c r="AT61" i="54" s="1"/>
  <c r="AT62" i="54" s="1"/>
  <c r="AT63" i="54" s="1"/>
  <c r="AT64" i="54" s="1"/>
  <c r="AT65" i="54" s="1"/>
  <c r="AT66" i="54" s="1"/>
  <c r="AT67" i="54" s="1"/>
  <c r="AT68" i="54" s="1"/>
  <c r="AT69" i="54" s="1"/>
  <c r="AT70" i="54" s="1"/>
  <c r="AT71" i="54" s="1"/>
  <c r="AT72" i="54" s="1"/>
  <c r="AT73" i="54" s="1"/>
  <c r="AT74" i="54" s="1"/>
  <c r="AH72" i="19"/>
  <c r="AI82" i="19" s="1"/>
  <c r="AF51" i="19"/>
  <c r="M52" i="19"/>
  <c r="F97" i="64"/>
  <c r="O26" i="19"/>
  <c r="N28" i="19"/>
  <c r="AH19" i="19"/>
  <c r="AG22" i="19" s="1"/>
  <c r="AH23" i="19" s="1"/>
  <c r="J122" i="19"/>
  <c r="N27" i="19"/>
  <c r="M33" i="19"/>
  <c r="M57" i="19"/>
  <c r="I73" i="19"/>
  <c r="J70" i="19" s="1"/>
  <c r="J71" i="19" s="1"/>
  <c r="I42" i="19"/>
  <c r="I51" i="19"/>
  <c r="I53" i="19" s="1"/>
  <c r="K23" i="4"/>
  <c r="K57" i="4" s="1"/>
  <c r="N288" i="4"/>
  <c r="N283" i="4"/>
  <c r="N282" i="4" s="1"/>
  <c r="B34" i="54"/>
  <c r="K303" i="4"/>
  <c r="K28" i="54" s="1"/>
  <c r="J57" i="4"/>
  <c r="K47" i="19"/>
  <c r="I57" i="4"/>
  <c r="F57" i="4"/>
  <c r="G47" i="19"/>
  <c r="F303" i="4"/>
  <c r="O23" i="4"/>
  <c r="O57" i="4" s="1"/>
  <c r="F41" i="54"/>
  <c r="E34" i="54"/>
  <c r="N303" i="4"/>
  <c r="N28" i="54" s="1"/>
  <c r="P106" i="19"/>
  <c r="O47" i="19"/>
  <c r="P33" i="54"/>
  <c r="Q325" i="4"/>
  <c r="Q33" i="54" s="1"/>
  <c r="L66" i="19"/>
  <c r="L314" i="4" s="1"/>
  <c r="L43" i="54" s="1"/>
  <c r="U25" i="54" s="1"/>
  <c r="T38" i="54" s="1"/>
  <c r="L79" i="19"/>
  <c r="L63" i="19"/>
  <c r="C41" i="54"/>
  <c r="L23" i="4"/>
  <c r="F32" i="18"/>
  <c r="I6" i="18"/>
  <c r="AL46" i="19" s="1"/>
  <c r="AK72" i="19" s="1"/>
  <c r="H32" i="54"/>
  <c r="F34" i="54"/>
  <c r="O303" i="4"/>
  <c r="O28" i="54" s="1"/>
  <c r="N38" i="54"/>
  <c r="W27" i="54" s="1"/>
  <c r="V41" i="54" s="1"/>
  <c r="K106" i="19"/>
  <c r="J63" i="19"/>
  <c r="J65" i="19" s="1"/>
  <c r="J66" i="19"/>
  <c r="J314" i="4" s="1"/>
  <c r="N23" i="4"/>
  <c r="N57" i="4" s="1"/>
  <c r="E41" i="54"/>
  <c r="F414" i="69"/>
  <c r="D414" i="69"/>
  <c r="M414" i="69"/>
  <c r="H31" i="54"/>
  <c r="M66" i="19"/>
  <c r="M79" i="19"/>
  <c r="M63" i="19"/>
  <c r="D34" i="54"/>
  <c r="M303" i="4"/>
  <c r="M28" i="54" s="1"/>
  <c r="N47" i="19"/>
  <c r="M23" i="4"/>
  <c r="D41" i="54"/>
  <c r="J89" i="64"/>
  <c r="G57" i="4"/>
  <c r="K63" i="19"/>
  <c r="K66" i="19"/>
  <c r="K314" i="4" s="1"/>
  <c r="K43" i="54" s="1"/>
  <c r="T25" i="54" s="1"/>
  <c r="C34" i="54"/>
  <c r="L303" i="4"/>
  <c r="L28" i="54" s="1"/>
  <c r="L47" i="19"/>
  <c r="M47" i="19"/>
  <c r="AP22" i="19" s="1"/>
  <c r="D90" i="64"/>
  <c r="D97" i="64"/>
  <c r="G90" i="64"/>
  <c r="H90" i="64" s="1"/>
  <c r="G97" i="64"/>
  <c r="H57" i="4"/>
  <c r="H303" i="4"/>
  <c r="I47" i="19"/>
  <c r="F47" i="19"/>
  <c r="U41" i="54"/>
  <c r="AR19" i="19"/>
  <c r="J79" i="64"/>
  <c r="W41" i="4"/>
  <c r="BV83" i="62" l="1"/>
  <c r="BV85" i="62"/>
  <c r="BZ83" i="62"/>
  <c r="U157" i="4"/>
  <c r="M79" i="64"/>
  <c r="U271" i="4"/>
  <c r="T323" i="4"/>
  <c r="U187" i="4"/>
  <c r="U323" i="4" s="1"/>
  <c r="S326" i="4"/>
  <c r="U183" i="4"/>
  <c r="U324" i="4" s="1"/>
  <c r="T324" i="4"/>
  <c r="U193" i="4"/>
  <c r="U325" i="4" s="1"/>
  <c r="T325" i="4"/>
  <c r="U35" i="4"/>
  <c r="R326" i="4"/>
  <c r="H108" i="4"/>
  <c r="H320" i="4" s="1"/>
  <c r="G108" i="4"/>
  <c r="G320" i="4" s="1"/>
  <c r="P326" i="4"/>
  <c r="P34" i="54" s="1"/>
  <c r="J51" i="19"/>
  <c r="J53" i="19" s="1"/>
  <c r="I108" i="4"/>
  <c r="I320" i="4" s="1"/>
  <c r="B47" i="54"/>
  <c r="K310" i="4"/>
  <c r="K39" i="54" s="1"/>
  <c r="T26" i="54" s="1"/>
  <c r="AB28" i="54"/>
  <c r="AC41" i="54" s="1"/>
  <c r="K109" i="4"/>
  <c r="B20" i="54"/>
  <c r="AB27" i="54" s="1"/>
  <c r="AH80" i="19"/>
  <c r="AN83" i="19" s="1"/>
  <c r="AN84" i="19" s="1"/>
  <c r="N44" i="19"/>
  <c r="N321" i="4"/>
  <c r="E48" i="54" s="1"/>
  <c r="N41" i="19"/>
  <c r="N37" i="19"/>
  <c r="AM9" i="19"/>
  <c r="AM11" i="19" s="1"/>
  <c r="P26" i="19"/>
  <c r="O28" i="19"/>
  <c r="Q326" i="4"/>
  <c r="Q34" i="54" s="1"/>
  <c r="M314" i="4"/>
  <c r="AO22" i="19"/>
  <c r="F42" i="18"/>
  <c r="I7" i="18"/>
  <c r="AL47" i="19" s="1"/>
  <c r="I90" i="64"/>
  <c r="G91" i="64"/>
  <c r="G92" i="64" s="1"/>
  <c r="L310" i="4"/>
  <c r="L39" i="54" s="1"/>
  <c r="U26" i="54" s="1"/>
  <c r="T40" i="54" s="1"/>
  <c r="C47" i="54"/>
  <c r="E47" i="54"/>
  <c r="N310" i="4"/>
  <c r="L57" i="4"/>
  <c r="D47" i="54"/>
  <c r="M310" i="4"/>
  <c r="M39" i="54" s="1"/>
  <c r="V26" i="54" s="1"/>
  <c r="M57" i="4"/>
  <c r="W57" i="4"/>
  <c r="F47" i="54"/>
  <c r="O310" i="4"/>
  <c r="O39" i="54" s="1"/>
  <c r="X26" i="54" s="1"/>
  <c r="W40" i="54" s="1"/>
  <c r="U326" i="4" l="1"/>
  <c r="T326" i="4"/>
  <c r="K51" i="19"/>
  <c r="K53" i="19" s="1"/>
  <c r="AN77" i="19"/>
  <c r="AO77" i="19"/>
  <c r="AN78" i="19"/>
  <c r="AH134" i="19"/>
  <c r="Q26" i="19"/>
  <c r="P28" i="19"/>
  <c r="N57" i="19"/>
  <c r="N52" i="19"/>
  <c r="N38" i="19"/>
  <c r="N73" i="19"/>
  <c r="O70" i="19" s="1"/>
  <c r="O71" i="19" s="1"/>
  <c r="N42" i="19"/>
  <c r="N66" i="19"/>
  <c r="N314" i="4" s="1"/>
  <c r="N79" i="19"/>
  <c r="N63" i="19"/>
  <c r="U40" i="54"/>
  <c r="AQ19" i="19"/>
  <c r="H91" i="64"/>
  <c r="E19" i="19"/>
  <c r="F19" i="19"/>
  <c r="G19" i="19"/>
  <c r="E18" i="19"/>
  <c r="H19" i="19"/>
  <c r="F18" i="19"/>
  <c r="G18" i="19"/>
  <c r="H18" i="19"/>
  <c r="I18" i="19"/>
  <c r="I9" i="18"/>
  <c r="AL49" i="19" s="1"/>
  <c r="J18" i="19"/>
  <c r="R5" i="19"/>
  <c r="I19" i="19"/>
  <c r="J19" i="19"/>
  <c r="AI28" i="19" s="1"/>
  <c r="J115" i="19"/>
  <c r="M43" i="54"/>
  <c r="V25" i="54" s="1"/>
  <c r="AB97" i="4"/>
  <c r="N39" i="54"/>
  <c r="W26" i="54" s="1"/>
  <c r="V40" i="54" s="1"/>
  <c r="J106" i="19"/>
  <c r="L51" i="19" l="1"/>
  <c r="L53" i="19" s="1"/>
  <c r="N43" i="54"/>
  <c r="W25" i="54" s="1"/>
  <c r="V38" i="54" s="1"/>
  <c r="AC97" i="4"/>
  <c r="I106" i="19"/>
  <c r="Q28" i="19"/>
  <c r="R26" i="19"/>
  <c r="S26" i="19" s="1"/>
  <c r="U38" i="54"/>
  <c r="AP19" i="19"/>
  <c r="AR40" i="19"/>
  <c r="AK73" i="19"/>
  <c r="AI65" i="19"/>
  <c r="AP28" i="19"/>
  <c r="AH28" i="19"/>
  <c r="I91" i="64"/>
  <c r="J90" i="64"/>
  <c r="K90" i="64" s="1"/>
  <c r="L90" i="64" s="1"/>
  <c r="M90" i="64" s="1"/>
  <c r="K91" i="64" l="1"/>
  <c r="S28" i="19"/>
  <c r="T26" i="19"/>
  <c r="R28" i="19"/>
  <c r="M51" i="19"/>
  <c r="M53" i="19" s="1"/>
  <c r="AH65" i="19"/>
  <c r="AO28" i="19"/>
  <c r="J91" i="64"/>
  <c r="L91" i="64" l="1"/>
  <c r="T28" i="19"/>
  <c r="U26" i="19"/>
  <c r="N51" i="19"/>
  <c r="N53" i="19" s="1"/>
  <c r="M91" i="64" l="1"/>
  <c r="N90" i="64"/>
  <c r="U28" i="19"/>
  <c r="V26" i="19"/>
  <c r="O51" i="19"/>
  <c r="P51" i="19" s="1"/>
  <c r="N91" i="64" l="1"/>
  <c r="O90" i="64"/>
  <c r="V28" i="19"/>
  <c r="W26" i="19"/>
  <c r="Q51" i="19"/>
  <c r="O91" i="64" l="1"/>
  <c r="O84" i="64"/>
  <c r="O83" i="64" s="1"/>
  <c r="W28" i="19"/>
  <c r="X26" i="19"/>
  <c r="X28" i="19" s="1"/>
  <c r="R51" i="19"/>
  <c r="S51" i="19" s="1"/>
  <c r="T51" i="19" l="1"/>
  <c r="U51" i="19" l="1"/>
  <c r="Y26" i="19"/>
  <c r="V51" i="19" l="1"/>
  <c r="Z26" i="19"/>
  <c r="Y28" i="19"/>
  <c r="W51" i="19" l="1"/>
  <c r="AA26" i="19"/>
  <c r="AA28" i="19" s="1"/>
  <c r="Z28" i="19"/>
  <c r="CJ45" i="63"/>
  <c r="CJ48" i="63"/>
  <c r="CJ53" i="63"/>
  <c r="CJ50" i="63" s="1"/>
  <c r="CJ54" i="63" s="1"/>
  <c r="X51" i="19" l="1"/>
  <c r="CO41" i="63"/>
  <c r="CV49" i="63" s="1"/>
  <c r="CO52" i="63"/>
  <c r="Y51" i="19" l="1"/>
  <c r="Z51" i="19" l="1"/>
  <c r="AA51" i="19" l="1"/>
  <c r="L81" i="76" l="1"/>
  <c r="M81" i="76"/>
  <c r="N81" i="76"/>
  <c r="O81" i="76"/>
  <c r="H45" i="64"/>
  <c r="I45" i="64"/>
  <c r="J45" i="64"/>
  <c r="K45" i="64"/>
  <c r="L45" i="64"/>
  <c r="M45" i="64"/>
  <c r="N45" i="64"/>
  <c r="L169" i="62"/>
  <c r="M169" i="62"/>
  <c r="N169" i="62"/>
  <c r="O169" i="62"/>
  <c r="P169" i="62"/>
  <c r="Q169" i="62"/>
  <c r="L237" i="62"/>
  <c r="M237" i="62"/>
  <c r="N237" i="62"/>
  <c r="O237" i="62"/>
  <c r="P237" i="62"/>
  <c r="Q237" i="62"/>
  <c r="D438" i="69" l="1"/>
  <c r="F438" i="69"/>
  <c r="R1" i="100" l="1"/>
  <c r="I100" i="62"/>
  <c r="J100" i="62"/>
  <c r="K100" i="62"/>
  <c r="I179" i="62"/>
  <c r="I192" i="62"/>
  <c r="J192" i="62"/>
  <c r="C135" i="69" s="1"/>
  <c r="K192" i="62"/>
  <c r="H182" i="69" s="1"/>
  <c r="K322" i="62"/>
  <c r="AM2" i="19"/>
  <c r="AM4" i="19" s="1"/>
  <c r="AH56" i="19"/>
  <c r="G290" i="69"/>
  <c r="H290" i="69"/>
  <c r="I290" i="69" s="1"/>
  <c r="D296" i="69" s="1"/>
  <c r="C296" i="69" l="1"/>
  <c r="AH75" i="19"/>
  <c r="AJ56" i="19"/>
  <c r="D24" i="94"/>
  <c r="D26" i="94" s="1"/>
  <c r="I196" i="62"/>
  <c r="I197" i="62" s="1"/>
  <c r="B135" i="69"/>
  <c r="D135" i="69" s="1"/>
  <c r="B141" i="69" s="1"/>
  <c r="F182" i="69"/>
  <c r="B296" i="69"/>
  <c r="C110" i="94"/>
  <c r="F24" i="94"/>
  <c r="E24" i="94"/>
  <c r="G182" i="69"/>
  <c r="I198" i="62" l="1"/>
  <c r="B139" i="69"/>
  <c r="B138" i="69" s="1"/>
  <c r="S35" i="62"/>
  <c r="F186" i="69"/>
  <c r="R45" i="62"/>
  <c r="R35" i="62"/>
  <c r="AN75" i="19"/>
  <c r="Y45" i="67"/>
  <c r="Y46" i="67" s="1"/>
  <c r="AO75" i="19"/>
  <c r="Z45" i="67"/>
  <c r="Z46" i="67" s="1"/>
  <c r="AB45" i="67"/>
  <c r="AB46" i="67" s="1"/>
  <c r="AD45" i="67"/>
  <c r="AD46" i="67" s="1"/>
  <c r="AI75" i="19"/>
  <c r="AH130" i="19"/>
  <c r="AC45" i="67"/>
  <c r="AC46" i="67" s="1"/>
  <c r="AE45" i="67"/>
  <c r="AE46" i="67" s="1"/>
  <c r="AG45" i="67"/>
  <c r="AG46" i="67" s="1"/>
  <c r="AA45" i="67"/>
  <c r="AA46" i="67" s="1"/>
  <c r="AF45" i="67"/>
  <c r="AF46" i="67" s="1"/>
  <c r="F188" i="69" l="1"/>
  <c r="F184" i="69"/>
  <c r="L511" i="69"/>
  <c r="L514" i="69"/>
  <c r="L515" i="69"/>
  <c r="CP41" i="63" l="1"/>
  <c r="CW49" i="63"/>
  <c r="CP52" i="63"/>
  <c r="AY107" i="62"/>
  <c r="L8" i="101" s="1"/>
  <c r="AY115" i="62" l="1"/>
  <c r="AY114" i="62"/>
  <c r="AY109" i="62"/>
  <c r="AY108" i="62"/>
  <c r="CW45" i="63"/>
  <c r="CW46" i="63" l="1"/>
  <c r="BD111" i="62" l="1"/>
  <c r="BM111" i="62" l="1"/>
  <c r="BQ111" i="62" l="1"/>
  <c r="BU111" i="62" l="1"/>
  <c r="BP111" i="62"/>
  <c r="BT111" i="62" l="1"/>
  <c r="BY111" i="62"/>
  <c r="CC111" i="62" l="1"/>
  <c r="BX111" i="62"/>
  <c r="CB111" i="62" l="1"/>
  <c r="CG111" i="62"/>
  <c r="CC110" i="62"/>
  <c r="CK111" i="62" l="1"/>
  <c r="CG110" i="62"/>
  <c r="CG122" i="62" s="1"/>
  <c r="CF111" i="62"/>
  <c r="CJ111" i="62" l="1"/>
  <c r="CF110" i="62"/>
  <c r="CF122" i="62" s="1"/>
  <c r="CG50" i="62"/>
  <c r="CG49" i="62" s="1"/>
  <c r="CK110" i="62"/>
  <c r="CK122" i="62" s="1"/>
  <c r="CO111" i="62"/>
  <c r="CG58" i="62" l="1"/>
  <c r="CG48" i="62"/>
  <c r="CO110" i="62"/>
  <c r="CO122" i="62" s="1"/>
  <c r="CS111" i="62"/>
  <c r="CK50" i="62"/>
  <c r="CK49" i="62" s="1"/>
  <c r="CF50" i="62"/>
  <c r="CF49" i="62" s="1"/>
  <c r="CF48" i="62" s="1"/>
  <c r="CJ110" i="62"/>
  <c r="CJ122" i="62" s="1"/>
  <c r="CN111" i="62"/>
  <c r="CR111" i="62" l="1"/>
  <c r="CN110" i="62"/>
  <c r="CN122" i="62" s="1"/>
  <c r="CJ50" i="62"/>
  <c r="CJ49" i="62" s="1"/>
  <c r="CJ48" i="62" s="1"/>
  <c r="CK58" i="62"/>
  <c r="CK48" i="62"/>
  <c r="CO50" i="62"/>
  <c r="CO49" i="62" s="1"/>
  <c r="CO130" i="62"/>
  <c r="CW111" i="62"/>
  <c r="CW110" i="62" s="1"/>
  <c r="CW122" i="62" s="1"/>
  <c r="CS110" i="62"/>
  <c r="CS122" i="62" s="1"/>
  <c r="CW50" i="62" l="1"/>
  <c r="CW49" i="62" s="1"/>
  <c r="CW130" i="62"/>
  <c r="CS50" i="62"/>
  <c r="CS49" i="62" s="1"/>
  <c r="CS130" i="62"/>
  <c r="CO58" i="62"/>
  <c r="CO48" i="62"/>
  <c r="CN50" i="62"/>
  <c r="CN49" i="62" s="1"/>
  <c r="CN48" i="62" s="1"/>
  <c r="CV111" i="62"/>
  <c r="CR110" i="62"/>
  <c r="CR122" i="62" s="1"/>
  <c r="CR50" i="62" l="1"/>
  <c r="CR49" i="62" s="1"/>
  <c r="CR48" i="62" s="1"/>
  <c r="CR130" i="62"/>
  <c r="CZ111" i="62"/>
  <c r="CZ110" i="62" s="1"/>
  <c r="CZ122" i="62" s="1"/>
  <c r="CV110" i="62"/>
  <c r="CV122" i="62" s="1"/>
  <c r="CS58" i="62"/>
  <c r="CS48" i="62"/>
  <c r="CW58" i="62"/>
  <c r="CW48" i="62"/>
  <c r="CZ50" i="62" l="1"/>
  <c r="CZ49" i="62" s="1"/>
  <c r="CZ48" i="62" s="1"/>
  <c r="CZ130" i="62"/>
  <c r="CV50" i="62"/>
  <c r="CV49" i="62" s="1"/>
  <c r="CV48" i="62" s="1"/>
  <c r="CV130" i="62"/>
  <c r="BH87" i="62"/>
  <c r="BL87" i="62" s="1"/>
  <c r="BP87" i="62" l="1"/>
  <c r="BT87" i="62" l="1"/>
  <c r="BX87" i="62" l="1"/>
  <c r="CB87" i="62" l="1"/>
  <c r="CF87" i="62" l="1"/>
  <c r="CJ87" i="62" l="1"/>
  <c r="CF86" i="62"/>
  <c r="CN87" i="62" l="1"/>
  <c r="CJ86" i="62"/>
  <c r="CN86" i="62" l="1"/>
  <c r="CR87" i="62"/>
  <c r="CV87" i="62" l="1"/>
  <c r="CR86" i="62"/>
  <c r="CV86" i="62" l="1"/>
  <c r="CZ87" i="62"/>
  <c r="CZ86" i="62" s="1"/>
  <c r="AY47" i="62"/>
  <c r="O478" i="95" l="1"/>
  <c r="AW50" i="62" l="1"/>
  <c r="AW57" i="62" s="1"/>
  <c r="AW95" i="62"/>
  <c r="AW88" i="62" s="1"/>
  <c r="AW96" i="62"/>
  <c r="AW98" i="62" s="1"/>
  <c r="AW97" i="62"/>
  <c r="AW100" i="62" l="1"/>
  <c r="AW93" i="62"/>
  <c r="CQ41" i="63" l="1"/>
  <c r="CX49" i="63" s="1"/>
  <c r="CQ52" i="63"/>
  <c r="CX45" i="63" l="1"/>
  <c r="CX46" i="63" l="1"/>
  <c r="CY52" i="63" l="1"/>
  <c r="CY53" i="63" s="1"/>
  <c r="CR41" i="63"/>
  <c r="CS41" i="63" s="1"/>
  <c r="AI48" i="4" s="1"/>
  <c r="CR52" i="63"/>
  <c r="CS52" i="63"/>
  <c r="CT52" i="63"/>
  <c r="CT53" i="63" s="1"/>
  <c r="CU52" i="63"/>
  <c r="CV52" i="63"/>
  <c r="CW52" i="63"/>
  <c r="CW53" i="63" s="1"/>
  <c r="CX52" i="63"/>
  <c r="CX53" i="63" s="1"/>
  <c r="AZ107" i="62"/>
  <c r="F334" i="69"/>
  <c r="F338" i="69" s="1"/>
  <c r="L107" i="62" l="1"/>
  <c r="H44" i="64" s="1"/>
  <c r="H41" i="64" s="1"/>
  <c r="M8" i="101"/>
  <c r="CY50" i="63"/>
  <c r="CY49" i="63"/>
  <c r="CY45" i="63" s="1"/>
  <c r="CY46" i="63" s="1"/>
  <c r="CZ49" i="63"/>
  <c r="CX50" i="63"/>
  <c r="CX38" i="63" s="1"/>
  <c r="CX40" i="63" s="1"/>
  <c r="CT41" i="63"/>
  <c r="AZ115" i="62"/>
  <c r="L115" i="62" s="1"/>
  <c r="CT50" i="63"/>
  <c r="CT38" i="63" s="1"/>
  <c r="CT43" i="63" s="1"/>
  <c r="CT44" i="63" s="1"/>
  <c r="AZ114" i="62"/>
  <c r="L114" i="62" s="1"/>
  <c r="CY38" i="63"/>
  <c r="CW50" i="63"/>
  <c r="CW38" i="63" s="1"/>
  <c r="AI49" i="4"/>
  <c r="AJ48" i="4"/>
  <c r="L377" i="69" l="1"/>
  <c r="K377" i="69" s="1"/>
  <c r="H401" i="69"/>
  <c r="H402" i="69" s="1"/>
  <c r="F307" i="69"/>
  <c r="F320" i="69" s="1"/>
  <c r="J320" i="69" s="1"/>
  <c r="L80" i="76"/>
  <c r="L108" i="62"/>
  <c r="R108" i="62" s="1"/>
  <c r="L236" i="62"/>
  <c r="L233" i="62" s="1"/>
  <c r="B8" i="101"/>
  <c r="G401" i="69"/>
  <c r="G402" i="69" s="1"/>
  <c r="M377" i="69"/>
  <c r="DF47" i="63"/>
  <c r="DF53" i="63" s="1"/>
  <c r="DF50" i="63" s="1"/>
  <c r="CX5" i="63"/>
  <c r="CX39" i="63" s="1"/>
  <c r="CU41" i="63"/>
  <c r="DA49" i="63"/>
  <c r="CT40" i="63"/>
  <c r="CW5" i="63"/>
  <c r="CW39" i="63" s="1"/>
  <c r="BB23" i="62"/>
  <c r="CW40" i="63"/>
  <c r="CY5" i="63"/>
  <c r="CY39" i="63" s="1"/>
  <c r="CY40" i="63"/>
  <c r="L109" i="62" l="1"/>
  <c r="H67" i="64" s="1"/>
  <c r="S107" i="62"/>
  <c r="O44" i="64" s="1"/>
  <c r="O41" i="64" s="1"/>
  <c r="M77" i="76"/>
  <c r="I187" i="69" s="1"/>
  <c r="L275" i="62"/>
  <c r="L274" i="62" s="1"/>
  <c r="CX62" i="63"/>
  <c r="CX6" i="63"/>
  <c r="CV41" i="63"/>
  <c r="DB49" i="63"/>
  <c r="H68" i="64"/>
  <c r="H116" i="64"/>
  <c r="H118" i="64" s="1"/>
  <c r="H46" i="64"/>
  <c r="BB25" i="62"/>
  <c r="BB6" i="62"/>
  <c r="BB102" i="62"/>
  <c r="O7" i="101" s="1"/>
  <c r="CY6" i="63"/>
  <c r="CY62" i="63"/>
  <c r="CW6" i="63"/>
  <c r="CW62" i="63"/>
  <c r="CW41" i="63" l="1"/>
  <c r="DC49" i="63"/>
  <c r="BA107" i="62"/>
  <c r="N8" i="101" s="1"/>
  <c r="CW43" i="63"/>
  <c r="BB16" i="62"/>
  <c r="BB7" i="62"/>
  <c r="BB9" i="62"/>
  <c r="H51" i="64"/>
  <c r="H26" i="64" s="1"/>
  <c r="H30" i="64" s="1"/>
  <c r="H48" i="64"/>
  <c r="H50" i="64"/>
  <c r="H49" i="64"/>
  <c r="P154" i="4"/>
  <c r="H69" i="64"/>
  <c r="H119" i="64"/>
  <c r="BB24" i="62"/>
  <c r="BB103" i="62"/>
  <c r="BB119" i="62"/>
  <c r="BB120" i="62"/>
  <c r="CW44" i="63" l="1"/>
  <c r="DI47" i="63"/>
  <c r="DI53" i="63" s="1"/>
  <c r="DI50" i="63" s="1"/>
  <c r="BA115" i="62"/>
  <c r="BA114" i="62"/>
  <c r="CX41" i="63"/>
  <c r="DD49" i="63"/>
  <c r="CX43" i="63"/>
  <c r="P9" i="54"/>
  <c r="K15" i="19"/>
  <c r="H57" i="64"/>
  <c r="H9" i="64"/>
  <c r="H13" i="64" s="1"/>
  <c r="I25" i="64"/>
  <c r="H39" i="64"/>
  <c r="I33" i="64" s="1"/>
  <c r="H16" i="64"/>
  <c r="L117" i="62"/>
  <c r="H70" i="64"/>
  <c r="H71" i="64" s="1"/>
  <c r="DJ47" i="63" l="1"/>
  <c r="DJ53" i="63" s="1"/>
  <c r="DJ50" i="63" s="1"/>
  <c r="CX44" i="63"/>
  <c r="CY41" i="63"/>
  <c r="DE49" i="63"/>
  <c r="G331" i="69" s="1"/>
  <c r="CY43" i="63"/>
  <c r="H5" i="64"/>
  <c r="H6" i="64" s="1"/>
  <c r="P17" i="4" s="1"/>
  <c r="G30" i="54" s="1"/>
  <c r="H19" i="64"/>
  <c r="I15" i="64" s="1"/>
  <c r="P115" i="4"/>
  <c r="I38" i="64"/>
  <c r="I57" i="64"/>
  <c r="H53" i="64"/>
  <c r="I36" i="64"/>
  <c r="J32" i="64" s="1"/>
  <c r="Q116" i="4"/>
  <c r="I8" i="64"/>
  <c r="AW117" i="62"/>
  <c r="AW130" i="62" s="1"/>
  <c r="AX117" i="62"/>
  <c r="C337" i="69"/>
  <c r="AY117" i="62"/>
  <c r="AZ117" i="62"/>
  <c r="H22" i="64" l="1"/>
  <c r="H4" i="64" s="1"/>
  <c r="P15" i="4" s="1"/>
  <c r="G29" i="54" s="1"/>
  <c r="CY44" i="63"/>
  <c r="DK47" i="63"/>
  <c r="DK53" i="63" s="1"/>
  <c r="DK50" i="63" s="1"/>
  <c r="G338" i="69"/>
  <c r="G336" i="69"/>
  <c r="K331" i="69" s="1"/>
  <c r="K338" i="69" s="1"/>
  <c r="DF49" i="63"/>
  <c r="DF45" i="63" s="1"/>
  <c r="CZ41" i="63"/>
  <c r="BB107" i="62"/>
  <c r="O8" i="101" s="1"/>
  <c r="J57" i="64"/>
  <c r="I21" i="64"/>
  <c r="Q125" i="4"/>
  <c r="L12" i="19"/>
  <c r="P124" i="4"/>
  <c r="K11" i="19"/>
  <c r="P13" i="4" l="1"/>
  <c r="G33" i="54" s="1"/>
  <c r="BB106" i="62"/>
  <c r="O9" i="101" s="1"/>
  <c r="BB114" i="62"/>
  <c r="BB115" i="62"/>
  <c r="DA41" i="63"/>
  <c r="DG49" i="63"/>
  <c r="DF46" i="63"/>
  <c r="DF38" i="63"/>
  <c r="DF40" i="63" s="1"/>
  <c r="K57" i="64"/>
  <c r="L57" i="64" s="1"/>
  <c r="P4" i="54"/>
  <c r="L238" i="62"/>
  <c r="DB41" i="63" l="1"/>
  <c r="DH49" i="63"/>
  <c r="DI49" i="63" l="1"/>
  <c r="DC41" i="63"/>
  <c r="BC107" i="62"/>
  <c r="P8" i="101" s="1"/>
  <c r="BC115" i="62" l="1"/>
  <c r="BC114" i="62"/>
  <c r="DD41" i="63"/>
  <c r="DJ49" i="63"/>
  <c r="DJ45" i="63" s="1"/>
  <c r="DI45" i="63"/>
  <c r="DI46" i="63" l="1"/>
  <c r="DI38" i="63"/>
  <c r="DJ38" i="63"/>
  <c r="DJ46" i="63"/>
  <c r="DK49" i="63"/>
  <c r="DK45" i="63" s="1"/>
  <c r="DE41" i="63"/>
  <c r="DL49" i="63" l="1"/>
  <c r="DF41" i="63"/>
  <c r="BD107" i="62"/>
  <c r="Q8" i="101" s="1"/>
  <c r="DF43" i="63"/>
  <c r="DK46" i="63"/>
  <c r="DK38" i="63"/>
  <c r="DJ5" i="63"/>
  <c r="DJ39" i="63" s="1"/>
  <c r="DJ40" i="63"/>
  <c r="BF23" i="62"/>
  <c r="DI40" i="63"/>
  <c r="DI5" i="63"/>
  <c r="BF102" i="62" l="1"/>
  <c r="BF6" i="62"/>
  <c r="BF25" i="62"/>
  <c r="DJ62" i="63"/>
  <c r="DJ6" i="63"/>
  <c r="DK5" i="63"/>
  <c r="DK39" i="63" s="1"/>
  <c r="DK40" i="63"/>
  <c r="DF44" i="63"/>
  <c r="DR47" i="63"/>
  <c r="DR53" i="63" s="1"/>
  <c r="DR50" i="63" s="1"/>
  <c r="M107" i="62"/>
  <c r="C8" i="101" s="1"/>
  <c r="BD115" i="62"/>
  <c r="BD114" i="62"/>
  <c r="M114" i="62" s="1"/>
  <c r="DI6" i="63"/>
  <c r="DI62" i="63"/>
  <c r="DG41" i="63"/>
  <c r="DM49" i="63"/>
  <c r="DI39" i="63"/>
  <c r="DH41" i="63" l="1"/>
  <c r="DN49" i="63"/>
  <c r="DK6" i="63"/>
  <c r="DK62" i="63"/>
  <c r="M80" i="76"/>
  <c r="M108" i="62"/>
  <c r="S104" i="62" s="1"/>
  <c r="I44" i="64"/>
  <c r="I41" i="64" s="1"/>
  <c r="G307" i="69"/>
  <c r="G320" i="69" s="1"/>
  <c r="K320" i="69" s="1"/>
  <c r="M236" i="62"/>
  <c r="M233" i="62" s="1"/>
  <c r="BF24" i="62"/>
  <c r="BF16" i="62"/>
  <c r="BF9" i="62"/>
  <c r="BF7" i="62"/>
  <c r="BF120" i="62"/>
  <c r="BF103" i="62"/>
  <c r="BF119" i="62"/>
  <c r="S108" i="62" l="1"/>
  <c r="M109" i="62"/>
  <c r="I67" i="64" s="1"/>
  <c r="DI41" i="63"/>
  <c r="BE107" i="62"/>
  <c r="DO49" i="63"/>
  <c r="DI43" i="63"/>
  <c r="BE115" i="62" l="1"/>
  <c r="BE114" i="62"/>
  <c r="DP49" i="63"/>
  <c r="DJ41" i="63"/>
  <c r="DJ43" i="63" s="1"/>
  <c r="I46" i="64"/>
  <c r="I116" i="64"/>
  <c r="I118" i="64" s="1"/>
  <c r="I68" i="64"/>
  <c r="DU47" i="63"/>
  <c r="DU53" i="63" s="1"/>
  <c r="DU50" i="63" s="1"/>
  <c r="DI44" i="63"/>
  <c r="I51" i="64" l="1"/>
  <c r="I26" i="64" s="1"/>
  <c r="I30" i="64" s="1"/>
  <c r="I49" i="64"/>
  <c r="I48" i="64"/>
  <c r="Q154" i="4"/>
  <c r="I50" i="64"/>
  <c r="DK41" i="63"/>
  <c r="BF107" i="62" s="1"/>
  <c r="DQ49" i="63"/>
  <c r="DK43" i="63"/>
  <c r="I119" i="64"/>
  <c r="I69" i="64"/>
  <c r="DV47" i="63"/>
  <c r="DV53" i="63" s="1"/>
  <c r="DV50" i="63" s="1"/>
  <c r="DJ44" i="63"/>
  <c r="DK44" i="63" l="1"/>
  <c r="DW47" i="63"/>
  <c r="DW53" i="63" s="1"/>
  <c r="DW50" i="63" s="1"/>
  <c r="I16" i="64"/>
  <c r="M117" i="62"/>
  <c r="L15" i="19"/>
  <c r="Q9" i="54"/>
  <c r="I9" i="64"/>
  <c r="I13" i="64" s="1"/>
  <c r="I58" i="64"/>
  <c r="DL41" i="63"/>
  <c r="DR49" i="63"/>
  <c r="DR45" i="63" s="1"/>
  <c r="I70" i="64"/>
  <c r="I71" i="64" s="1"/>
  <c r="J25" i="64"/>
  <c r="J38" i="64" s="1"/>
  <c r="I39" i="64"/>
  <c r="J33" i="64" s="1"/>
  <c r="DR46" i="63" l="1"/>
  <c r="DR38" i="63"/>
  <c r="DR40" i="63" s="1"/>
  <c r="BF106" i="62"/>
  <c r="BF114" i="62"/>
  <c r="BF115" i="62"/>
  <c r="J8" i="64"/>
  <c r="BC117" i="62"/>
  <c r="BD117" i="62"/>
  <c r="BE117" i="62" s="1"/>
  <c r="BF117" i="62" s="1"/>
  <c r="BG117" i="62" s="1"/>
  <c r="BH117" i="62" s="1"/>
  <c r="BI117" i="62" s="1"/>
  <c r="BJ117" i="62" s="1"/>
  <c r="BK117" i="62" s="1"/>
  <c r="BL117" i="62" s="1"/>
  <c r="BM117" i="62" s="1"/>
  <c r="BN117" i="62" s="1"/>
  <c r="BO117" i="62" s="1"/>
  <c r="BP117" i="62" s="1"/>
  <c r="BQ117" i="62" s="1"/>
  <c r="BR117" i="62" s="1"/>
  <c r="BS117" i="62" s="1"/>
  <c r="BT117" i="62" s="1"/>
  <c r="BU117" i="62" s="1"/>
  <c r="BV117" i="62" s="1"/>
  <c r="BW117" i="62" s="1"/>
  <c r="BX117" i="62" s="1"/>
  <c r="BY117" i="62" s="1"/>
  <c r="BZ117" i="62" s="1"/>
  <c r="CA117" i="62" s="1"/>
  <c r="CB117" i="62" s="1"/>
  <c r="CC117" i="62" s="1"/>
  <c r="CD117" i="62" s="1"/>
  <c r="CE117" i="62" s="1"/>
  <c r="CF117" i="62" s="1"/>
  <c r="CG117" i="62" s="1"/>
  <c r="CH117" i="62" s="1"/>
  <c r="CI117" i="62" s="1"/>
  <c r="CJ117" i="62" s="1"/>
  <c r="CK117" i="62" s="1"/>
  <c r="CL117" i="62" s="1"/>
  <c r="CM117" i="62" s="1"/>
  <c r="CN117" i="62" s="1"/>
  <c r="BB117" i="62"/>
  <c r="BA117" i="62"/>
  <c r="R116" i="4"/>
  <c r="J36" i="64"/>
  <c r="K32" i="64" s="1"/>
  <c r="J58" i="64"/>
  <c r="K58" i="64" s="1"/>
  <c r="L58" i="64" s="1"/>
  <c r="M58" i="64" s="1"/>
  <c r="N58" i="64" s="1"/>
  <c r="O58" i="64" s="1"/>
  <c r="I53" i="64"/>
  <c r="DS49" i="63"/>
  <c r="DM41" i="63"/>
  <c r="I19" i="64"/>
  <c r="J15" i="64" s="1"/>
  <c r="I5" i="64"/>
  <c r="I6" i="64" s="1"/>
  <c r="Q17" i="4" s="1"/>
  <c r="H30" i="54" s="1"/>
  <c r="Q115" i="4"/>
  <c r="J21" i="64" l="1"/>
  <c r="Q124" i="4"/>
  <c r="L11" i="19"/>
  <c r="R125" i="4"/>
  <c r="M12" i="19"/>
  <c r="I22" i="64"/>
  <c r="I4" i="64" s="1"/>
  <c r="Q15" i="4" s="1"/>
  <c r="DN41" i="63"/>
  <c r="DT49" i="63"/>
  <c r="DO41" i="63" l="1"/>
  <c r="BG107" i="62"/>
  <c r="DU49" i="63"/>
  <c r="H29" i="54"/>
  <c r="Q13" i="4"/>
  <c r="H33" i="54" s="1"/>
  <c r="Q4" i="54"/>
  <c r="M238" i="62"/>
  <c r="BG115" i="62" l="1"/>
  <c r="BG114" i="62"/>
  <c r="DP41" i="63"/>
  <c r="DV49" i="63"/>
  <c r="DU45" i="63"/>
  <c r="DQ41" i="63" l="1"/>
  <c r="DW49" i="63"/>
  <c r="DU38" i="63"/>
  <c r="DU46" i="63"/>
  <c r="DW45" i="63"/>
  <c r="DV45" i="63"/>
  <c r="DV38" i="63" l="1"/>
  <c r="DV46" i="63"/>
  <c r="DU40" i="63"/>
  <c r="DU5" i="63"/>
  <c r="DU39" i="63" s="1"/>
  <c r="DW38" i="63"/>
  <c r="BJ23" i="62" s="1"/>
  <c r="DW46" i="63"/>
  <c r="DR41" i="63"/>
  <c r="DR43" i="63" s="1"/>
  <c r="BH107" i="62"/>
  <c r="DX49" i="63"/>
  <c r="M115" i="62"/>
  <c r="ED47" i="63" l="1"/>
  <c r="ED53" i="63" s="1"/>
  <c r="ED50" i="63" s="1"/>
  <c r="DR44" i="63"/>
  <c r="BJ102" i="62"/>
  <c r="BJ25" i="62"/>
  <c r="BJ6" i="62"/>
  <c r="N107" i="62"/>
  <c r="BH115" i="62"/>
  <c r="BH114" i="62"/>
  <c r="N114" i="62" s="1"/>
  <c r="DU62" i="63"/>
  <c r="DU6" i="63"/>
  <c r="DS41" i="63"/>
  <c r="DY49" i="63"/>
  <c r="DW40" i="63"/>
  <c r="DW5" i="63"/>
  <c r="DV40" i="63"/>
  <c r="DV5" i="63"/>
  <c r="DV39" i="63" s="1"/>
  <c r="BJ24" i="62" l="1"/>
  <c r="BJ7" i="62"/>
  <c r="BJ16" i="62"/>
  <c r="BJ9" i="62"/>
  <c r="BJ103" i="62"/>
  <c r="BJ120" i="62"/>
  <c r="BJ119" i="62"/>
  <c r="DV6" i="63"/>
  <c r="DV62" i="63"/>
  <c r="J44" i="64"/>
  <c r="J41" i="64" s="1"/>
  <c r="N108" i="62"/>
  <c r="N236" i="62"/>
  <c r="N233" i="62" s="1"/>
  <c r="N80" i="76"/>
  <c r="H307" i="69"/>
  <c r="DW39" i="63"/>
  <c r="DW62" i="63"/>
  <c r="DW6" i="63"/>
  <c r="DZ49" i="63"/>
  <c r="DT41" i="63"/>
  <c r="DU41" i="63" l="1"/>
  <c r="EA49" i="63"/>
  <c r="BI107" i="62"/>
  <c r="DU43" i="63"/>
  <c r="S109" i="62"/>
  <c r="O67" i="64" s="1"/>
  <c r="O46" i="64" s="1"/>
  <c r="N109" i="62"/>
  <c r="J67" i="64" s="1"/>
  <c r="O50" i="64" l="1"/>
  <c r="O51" i="64"/>
  <c r="O26" i="64" s="1"/>
  <c r="O48" i="64"/>
  <c r="O49" i="64"/>
  <c r="J68" i="64"/>
  <c r="J116" i="64"/>
  <c r="J118" i="64" s="1"/>
  <c r="J46" i="64"/>
  <c r="DU44" i="63"/>
  <c r="EG47" i="63"/>
  <c r="EG53" i="63" s="1"/>
  <c r="EG50" i="63" s="1"/>
  <c r="BI115" i="62"/>
  <c r="BI114" i="62"/>
  <c r="EB49" i="63"/>
  <c r="DV41" i="63"/>
  <c r="DV43" i="63"/>
  <c r="J51" i="64" l="1"/>
  <c r="J26" i="64" s="1"/>
  <c r="J30" i="64" s="1"/>
  <c r="R154" i="4"/>
  <c r="M15" i="19" s="1"/>
  <c r="J50" i="64"/>
  <c r="J49" i="64"/>
  <c r="J48" i="64"/>
  <c r="J119" i="64"/>
  <c r="J69" i="64"/>
  <c r="J70" i="64" s="1"/>
  <c r="J71" i="64" s="1"/>
  <c r="DV44" i="63"/>
  <c r="EH47" i="63"/>
  <c r="EH53" i="63" s="1"/>
  <c r="EH50" i="63" s="1"/>
  <c r="DW41" i="63"/>
  <c r="EC49" i="63"/>
  <c r="O9" i="64"/>
  <c r="J9" i="64" l="1"/>
  <c r="J13" i="64" s="1"/>
  <c r="J59" i="64"/>
  <c r="N117" i="62"/>
  <c r="J16" i="64"/>
  <c r="ED49" i="63"/>
  <c r="ED45" i="63" s="1"/>
  <c r="DX41" i="63"/>
  <c r="BJ107" i="62"/>
  <c r="DW43" i="63"/>
  <c r="J39" i="64"/>
  <c r="K33" i="64" s="1"/>
  <c r="K25" i="64"/>
  <c r="K38" i="64" s="1"/>
  <c r="S116" i="4" l="1"/>
  <c r="S125" i="4" s="1"/>
  <c r="K36" i="64"/>
  <c r="L32" i="64" s="1"/>
  <c r="J19" i="64"/>
  <c r="K15" i="64" s="1"/>
  <c r="J5" i="64"/>
  <c r="J6" i="64" s="1"/>
  <c r="R17" i="4" s="1"/>
  <c r="R115" i="4"/>
  <c r="ED38" i="63"/>
  <c r="ED40" i="63" s="1"/>
  <c r="ED46" i="63"/>
  <c r="DW44" i="63"/>
  <c r="EI47" i="63"/>
  <c r="EI53" i="63" s="1"/>
  <c r="EI50" i="63" s="1"/>
  <c r="K59" i="64"/>
  <c r="L59" i="64" s="1"/>
  <c r="M59" i="64" s="1"/>
  <c r="J53" i="64"/>
  <c r="BJ114" i="62"/>
  <c r="BJ115" i="62"/>
  <c r="BJ106" i="62"/>
  <c r="DY41" i="63"/>
  <c r="EE49" i="63"/>
  <c r="K8" i="64"/>
  <c r="K21" i="64" l="1"/>
  <c r="J22" i="64"/>
  <c r="J4" i="64" s="1"/>
  <c r="R15" i="4" s="1"/>
  <c r="R13" i="4" s="1"/>
  <c r="DZ41" i="63"/>
  <c r="EF49" i="63"/>
  <c r="R124" i="4"/>
  <c r="N238" i="62" s="1"/>
  <c r="M11" i="19"/>
  <c r="EA41" i="63" l="1"/>
  <c r="EG49" i="63"/>
  <c r="EG45" i="63" s="1"/>
  <c r="BK107" i="62"/>
  <c r="BK114" i="62" l="1"/>
  <c r="BK115" i="62"/>
  <c r="EH49" i="63"/>
  <c r="EH45" i="63" s="1"/>
  <c r="EB41" i="63"/>
  <c r="EG46" i="63"/>
  <c r="EG38" i="63"/>
  <c r="EG5" i="63" l="1"/>
  <c r="EG40" i="63"/>
  <c r="EC41" i="63"/>
  <c r="EI49" i="63"/>
  <c r="EI45" i="63" s="1"/>
  <c r="EH38" i="63"/>
  <c r="EH46" i="63"/>
  <c r="EH5" i="63" l="1"/>
  <c r="EH39" i="63" s="1"/>
  <c r="EH40" i="63"/>
  <c r="EI38" i="63"/>
  <c r="EI46" i="63"/>
  <c r="ED41" i="63"/>
  <c r="EJ49" i="63"/>
  <c r="BL107" i="62"/>
  <c r="ED43" i="63"/>
  <c r="EG39" i="63"/>
  <c r="EG62" i="63"/>
  <c r="EG6" i="63"/>
  <c r="EP47" i="63" l="1"/>
  <c r="EP53" i="63" s="1"/>
  <c r="EP50" i="63" s="1"/>
  <c r="ED44" i="63"/>
  <c r="EK49" i="63"/>
  <c r="EE41" i="63"/>
  <c r="EI5" i="63"/>
  <c r="EI39" i="63" s="1"/>
  <c r="EI40" i="63"/>
  <c r="BN23" i="62"/>
  <c r="O107" i="62"/>
  <c r="BL114" i="62"/>
  <c r="O114" i="62" s="1"/>
  <c r="BL115" i="62"/>
  <c r="EH62" i="63"/>
  <c r="EH6" i="63"/>
  <c r="BN25" i="62" l="1"/>
  <c r="BN102" i="62"/>
  <c r="BN6" i="62"/>
  <c r="BN24" i="62" s="1"/>
  <c r="O80" i="76"/>
  <c r="O108" i="62"/>
  <c r="O109" i="62" s="1"/>
  <c r="K67" i="64" s="1"/>
  <c r="K44" i="64"/>
  <c r="K41" i="64" s="1"/>
  <c r="O236" i="62"/>
  <c r="O233" i="62" s="1"/>
  <c r="EI6" i="63"/>
  <c r="EI62" i="63"/>
  <c r="EF41" i="63"/>
  <c r="EL49" i="63"/>
  <c r="K46" i="64" l="1"/>
  <c r="K68" i="64"/>
  <c r="K116" i="64"/>
  <c r="K118" i="64" s="1"/>
  <c r="EG41" i="63"/>
  <c r="EM49" i="63"/>
  <c r="BM107" i="62"/>
  <c r="EG43" i="63"/>
  <c r="BN7" i="62"/>
  <c r="BN9" i="62"/>
  <c r="BN16" i="62"/>
  <c r="BN120" i="62"/>
  <c r="BN103" i="62"/>
  <c r="BN119" i="62"/>
  <c r="EN49" i="63" l="1"/>
  <c r="EH41" i="63"/>
  <c r="EH43" i="63"/>
  <c r="BM115" i="62"/>
  <c r="BM114" i="62"/>
  <c r="K119" i="64"/>
  <c r="K69" i="64"/>
  <c r="K70" i="64" s="1"/>
  <c r="K71" i="64" s="1"/>
  <c r="ES47" i="63"/>
  <c r="ES53" i="63" s="1"/>
  <c r="ES50" i="63" s="1"/>
  <c r="EG44" i="63"/>
  <c r="K51" i="64"/>
  <c r="K26" i="64" s="1"/>
  <c r="K30" i="64" s="1"/>
  <c r="K48" i="64"/>
  <c r="K49" i="64"/>
  <c r="K50" i="64"/>
  <c r="K16" i="64" l="1"/>
  <c r="O117" i="62"/>
  <c r="ET47" i="63"/>
  <c r="ET53" i="63" s="1"/>
  <c r="ET50" i="63" s="1"/>
  <c r="EH44" i="63"/>
  <c r="L25" i="64"/>
  <c r="L38" i="64" s="1"/>
  <c r="K39" i="64"/>
  <c r="L33" i="64" s="1"/>
  <c r="EI41" i="63"/>
  <c r="EO49" i="63"/>
  <c r="EI43" i="63"/>
  <c r="K9" i="64"/>
  <c r="K13" i="64" s="1"/>
  <c r="T62" i="64"/>
  <c r="K55" i="64"/>
  <c r="L8" i="64" l="1"/>
  <c r="T116" i="4"/>
  <c r="T125" i="4" s="1"/>
  <c r="L36" i="64"/>
  <c r="M32" i="64" s="1"/>
  <c r="EP49" i="63"/>
  <c r="EP45" i="63" s="1"/>
  <c r="BN107" i="62"/>
  <c r="EJ41" i="63"/>
  <c r="S115" i="4"/>
  <c r="S124" i="4" s="1"/>
  <c r="O238" i="62" s="1"/>
  <c r="K5" i="64"/>
  <c r="K6" i="64" s="1"/>
  <c r="K19" i="64"/>
  <c r="L15" i="64" s="1"/>
  <c r="EU47" i="63"/>
  <c r="EU53" i="63" s="1"/>
  <c r="EU50" i="63" s="1"/>
  <c r="EI44" i="63"/>
  <c r="L55" i="64"/>
  <c r="M55" i="64" s="1"/>
  <c r="N55" i="64" s="1"/>
  <c r="O55" i="64" s="1"/>
  <c r="K53" i="64"/>
  <c r="BN114" i="62" l="1"/>
  <c r="BN115" i="62"/>
  <c r="BN106" i="62"/>
  <c r="EQ49" i="63"/>
  <c r="EK41" i="63"/>
  <c r="K22" i="64"/>
  <c r="K4" i="64" s="1"/>
  <c r="EP46" i="63"/>
  <c r="EP38" i="63"/>
  <c r="EP40" i="63" s="1"/>
  <c r="L21" i="64"/>
  <c r="ER49" i="63" l="1"/>
  <c r="EL41" i="63"/>
  <c r="EM41" i="63" l="1"/>
  <c r="ES49" i="63"/>
  <c r="BO107" i="62"/>
  <c r="ES45" i="63"/>
  <c r="ES38" i="63" l="1"/>
  <c r="ES46" i="63"/>
  <c r="BO114" i="62"/>
  <c r="BO115" i="62"/>
  <c r="EN41" i="63"/>
  <c r="ET49" i="63"/>
  <c r="ET45" i="63" s="1"/>
  <c r="ET46" i="63" l="1"/>
  <c r="ET38" i="63"/>
  <c r="EO41" i="63"/>
  <c r="EU49" i="63"/>
  <c r="EU45" i="63" s="1"/>
  <c r="ES5" i="63"/>
  <c r="ES39" i="63" s="1"/>
  <c r="ES40" i="63"/>
  <c r="ES6" i="63" l="1"/>
  <c r="ES62" i="63"/>
  <c r="EU46" i="63"/>
  <c r="EU38" i="63"/>
  <c r="EV49" i="63"/>
  <c r="EP41" i="63"/>
  <c r="BP107" i="62"/>
  <c r="EP43" i="63"/>
  <c r="ET5" i="63"/>
  <c r="ET39" i="63" s="1"/>
  <c r="ET40" i="63"/>
  <c r="ET62" i="63" l="1"/>
  <c r="ET6" i="63"/>
  <c r="EU5" i="63"/>
  <c r="EU39" i="63" s="1"/>
  <c r="EU40" i="63"/>
  <c r="BR23" i="62"/>
  <c r="EP44" i="63"/>
  <c r="FB47" i="63"/>
  <c r="FB53" i="63" s="1"/>
  <c r="FB50" i="63" s="1"/>
  <c r="P107" i="62"/>
  <c r="BP114" i="62"/>
  <c r="P114" i="62" s="1"/>
  <c r="BP115" i="62"/>
  <c r="EW49" i="63"/>
  <c r="EQ41" i="63"/>
  <c r="P108" i="62" l="1"/>
  <c r="P109" i="62" s="1"/>
  <c r="L67" i="64" s="1"/>
  <c r="L44" i="64"/>
  <c r="L41" i="64" s="1"/>
  <c r="P236" i="62"/>
  <c r="P233" i="62" s="1"/>
  <c r="EX49" i="63"/>
  <c r="ER41" i="63"/>
  <c r="EU62" i="63"/>
  <c r="EU6" i="63"/>
  <c r="BR25" i="62"/>
  <c r="BR6" i="62"/>
  <c r="BR102" i="62"/>
  <c r="BR9" i="62" l="1"/>
  <c r="BR16" i="62"/>
  <c r="BR7" i="62"/>
  <c r="BR24" i="62"/>
  <c r="ES41" i="63"/>
  <c r="ES43" i="63" s="1"/>
  <c r="EY49" i="63"/>
  <c r="BQ107" i="62"/>
  <c r="BR119" i="62"/>
  <c r="BR120" i="62"/>
  <c r="BR103" i="62"/>
  <c r="L68" i="64"/>
  <c r="L116" i="64"/>
  <c r="L118" i="64" s="1"/>
  <c r="L46" i="64"/>
  <c r="FE47" i="63" l="1"/>
  <c r="FE53" i="63" s="1"/>
  <c r="FE50" i="63" s="1"/>
  <c r="ES44" i="63"/>
  <c r="BQ115" i="62"/>
  <c r="BQ114" i="62"/>
  <c r="EZ49" i="63"/>
  <c r="ET41" i="63"/>
  <c r="ET43" i="63"/>
  <c r="L48" i="64"/>
  <c r="L51" i="64"/>
  <c r="L26" i="64" s="1"/>
  <c r="L30" i="64" s="1"/>
  <c r="L49" i="64"/>
  <c r="L50" i="64"/>
  <c r="L69" i="64"/>
  <c r="L119" i="64"/>
  <c r="L9" i="64" l="1"/>
  <c r="L13" i="64" s="1"/>
  <c r="U62" i="64"/>
  <c r="L56" i="64"/>
  <c r="P117" i="62"/>
  <c r="L16" i="64"/>
  <c r="ET44" i="63"/>
  <c r="FF47" i="63"/>
  <c r="FF53" i="63" s="1"/>
  <c r="FF50" i="63" s="1"/>
  <c r="FA49" i="63"/>
  <c r="EU41" i="63"/>
  <c r="EU43" i="63" s="1"/>
  <c r="M25" i="64"/>
  <c r="M38" i="64" s="1"/>
  <c r="L39" i="64"/>
  <c r="M33" i="64" s="1"/>
  <c r="L70" i="64"/>
  <c r="L71" i="64" s="1"/>
  <c r="EU44" i="63" l="1"/>
  <c r="FG47" i="63"/>
  <c r="FG53" i="63" s="1"/>
  <c r="FG50" i="63" s="1"/>
  <c r="L5" i="64"/>
  <c r="L6" i="64" s="1"/>
  <c r="T115" i="4"/>
  <c r="T124" i="4" s="1"/>
  <c r="P238" i="62" s="1"/>
  <c r="L19" i="64"/>
  <c r="M15" i="64" s="1"/>
  <c r="U116" i="4"/>
  <c r="U125" i="4" s="1"/>
  <c r="M36" i="64"/>
  <c r="N32" i="64" s="1"/>
  <c r="M56" i="64"/>
  <c r="N56" i="64" s="1"/>
  <c r="L53" i="64"/>
  <c r="EV41" i="63"/>
  <c r="FB49" i="63"/>
  <c r="FB45" i="63" s="1"/>
  <c r="BR107" i="62"/>
  <c r="M8" i="64"/>
  <c r="FB38" i="63" l="1"/>
  <c r="FB40" i="63" s="1"/>
  <c r="FB46" i="63"/>
  <c r="L22" i="64"/>
  <c r="L4" i="64" s="1"/>
  <c r="FC49" i="63"/>
  <c r="EW41" i="63"/>
  <c r="N53" i="64"/>
  <c r="O56" i="64"/>
  <c r="O53" i="64" s="1"/>
  <c r="M21" i="64"/>
  <c r="BR115" i="62"/>
  <c r="BR114" i="62"/>
  <c r="BR106" i="62"/>
  <c r="FD49" i="63" l="1"/>
  <c r="EX41" i="63"/>
  <c r="EY41" i="63" l="1"/>
  <c r="FE49" i="63"/>
  <c r="BS107" i="62"/>
  <c r="FE45" i="63"/>
  <c r="FE38" i="63" l="1"/>
  <c r="FE46" i="63"/>
  <c r="BS115" i="62"/>
  <c r="BS114" i="62"/>
  <c r="FF49" i="63"/>
  <c r="FF45" i="63" s="1"/>
  <c r="EZ41" i="63"/>
  <c r="FF38" i="63" l="1"/>
  <c r="FF46" i="63"/>
  <c r="FA41" i="63"/>
  <c r="FG49" i="63"/>
  <c r="FG45" i="63" s="1"/>
  <c r="FE5" i="63"/>
  <c r="FE39" i="63" s="1"/>
  <c r="FE40" i="63"/>
  <c r="FE6" i="63" l="1"/>
  <c r="FE62" i="63"/>
  <c r="FG38" i="63"/>
  <c r="FG46" i="63"/>
  <c r="BT107" i="62"/>
  <c r="FH49" i="63"/>
  <c r="FB41" i="63"/>
  <c r="FF5" i="63"/>
  <c r="FF39" i="63" s="1"/>
  <c r="FF40" i="63"/>
  <c r="FF6" i="63" l="1"/>
  <c r="FF62" i="63"/>
  <c r="FC41" i="63"/>
  <c r="FI49" i="63"/>
  <c r="FG40" i="63"/>
  <c r="FG5" i="63"/>
  <c r="BV23" i="62"/>
  <c r="FB43" i="63"/>
  <c r="Q107" i="62"/>
  <c r="BT114" i="62"/>
  <c r="Q114" i="62" s="1"/>
  <c r="BT115" i="62"/>
  <c r="FN47" i="63" l="1"/>
  <c r="FN53" i="63" s="1"/>
  <c r="FN50" i="63" s="1"/>
  <c r="FB44" i="63"/>
  <c r="FG6" i="63"/>
  <c r="FG62" i="63"/>
  <c r="BV102" i="62"/>
  <c r="BV6" i="62"/>
  <c r="BV25" i="62"/>
  <c r="FG39" i="63"/>
  <c r="FJ49" i="63"/>
  <c r="FD41" i="63"/>
  <c r="M44" i="64"/>
  <c r="M41" i="64" s="1"/>
  <c r="N44" i="64"/>
  <c r="N41" i="64" s="1"/>
  <c r="Q108" i="62"/>
  <c r="Q109" i="62" s="1"/>
  <c r="M67" i="64" s="1"/>
  <c r="Q236" i="62"/>
  <c r="Q233" i="62" s="1"/>
  <c r="BV24" i="62" l="1"/>
  <c r="BV7" i="62"/>
  <c r="BV9" i="62"/>
  <c r="BV16" i="62"/>
  <c r="BV103" i="62"/>
  <c r="BV120" i="62"/>
  <c r="BV119" i="62"/>
  <c r="FK49" i="63"/>
  <c r="BU107" i="62"/>
  <c r="FE41" i="63"/>
  <c r="O116" i="64"/>
  <c r="O118" i="64" s="1"/>
  <c r="N116" i="64"/>
  <c r="N118" i="64" s="1"/>
  <c r="M68" i="64"/>
  <c r="M46" i="64"/>
  <c r="M116" i="64"/>
  <c r="M118" i="64" s="1"/>
  <c r="BU114" i="62" l="1"/>
  <c r="BU112" i="62" s="1"/>
  <c r="BU115" i="62"/>
  <c r="M69" i="64"/>
  <c r="M70" i="64" s="1"/>
  <c r="M71" i="64" s="1"/>
  <c r="M119" i="64"/>
  <c r="M48" i="64"/>
  <c r="M49" i="64"/>
  <c r="M51" i="64"/>
  <c r="M26" i="64" s="1"/>
  <c r="M30" i="64" s="1"/>
  <c r="M50" i="64"/>
  <c r="FF41" i="63"/>
  <c r="FL49" i="63"/>
  <c r="N68" i="64"/>
  <c r="O119" i="64"/>
  <c r="O69" i="64"/>
  <c r="O16" i="64" s="1"/>
  <c r="FE43" i="63"/>
  <c r="N69" i="64"/>
  <c r="N16" i="64" s="1"/>
  <c r="N119" i="64"/>
  <c r="M39" i="64" l="1"/>
  <c r="N33" i="64" s="1"/>
  <c r="N36" i="64" s="1"/>
  <c r="O32" i="64" s="1"/>
  <c r="N25" i="64"/>
  <c r="M16" i="64"/>
  <c r="Q117" i="62"/>
  <c r="M57" i="64"/>
  <c r="M53" i="64" s="1"/>
  <c r="M9" i="64"/>
  <c r="M13" i="64" s="1"/>
  <c r="FE44" i="63"/>
  <c r="FQ47" i="63"/>
  <c r="FF43" i="63"/>
  <c r="FG41" i="63"/>
  <c r="FM49" i="63"/>
  <c r="O68" i="64"/>
  <c r="O70" i="64" s="1"/>
  <c r="O71" i="64" s="1"/>
  <c r="N70" i="64"/>
  <c r="N71" i="64" s="1"/>
  <c r="N5" i="64" l="1"/>
  <c r="FR47" i="63"/>
  <c r="FR53" i="63" s="1"/>
  <c r="FR50" i="63" s="1"/>
  <c r="FF44" i="63"/>
  <c r="FQ53" i="63"/>
  <c r="FQ50" i="63" s="1"/>
  <c r="N8" i="64"/>
  <c r="M5" i="64"/>
  <c r="M6" i="64" s="1"/>
  <c r="M19" i="64"/>
  <c r="N15" i="64" s="1"/>
  <c r="N19" i="64" s="1"/>
  <c r="O15" i="64" s="1"/>
  <c r="O19" i="64" s="1"/>
  <c r="U115" i="4"/>
  <c r="U124" i="4" s="1"/>
  <c r="Q238" i="62" s="1"/>
  <c r="BV107" i="62"/>
  <c r="FH41" i="63"/>
  <c r="FN49" i="63"/>
  <c r="FN45" i="63" s="1"/>
  <c r="N30" i="64"/>
  <c r="N38" i="64"/>
  <c r="FG43" i="63"/>
  <c r="N6" i="64" l="1"/>
  <c r="FI41" i="63"/>
  <c r="FO49" i="63"/>
  <c r="BV114" i="62"/>
  <c r="BV112" i="62" s="1"/>
  <c r="BV113" i="62" s="1"/>
  <c r="BV115" i="62"/>
  <c r="BV106" i="62"/>
  <c r="FG44" i="63"/>
  <c r="FS47" i="63"/>
  <c r="FS53" i="63" s="1"/>
  <c r="FS50" i="63" s="1"/>
  <c r="M22" i="64"/>
  <c r="M4" i="64" s="1"/>
  <c r="N21" i="64"/>
  <c r="N13" i="64"/>
  <c r="O25" i="64"/>
  <c r="N39" i="64"/>
  <c r="O33" i="64" s="1"/>
  <c r="FN46" i="63"/>
  <c r="FN38" i="63"/>
  <c r="FN40" i="63" s="1"/>
  <c r="N22" i="64" l="1"/>
  <c r="N4" i="64" s="1"/>
  <c r="O8" i="64"/>
  <c r="O5" i="64"/>
  <c r="O6" i="64" s="1"/>
  <c r="O36" i="64"/>
  <c r="O30" i="64"/>
  <c r="O38" i="64"/>
  <c r="FP49" i="63"/>
  <c r="FJ41" i="63"/>
  <c r="O39" i="64" l="1"/>
  <c r="FK41" i="63"/>
  <c r="BW107" i="62"/>
  <c r="FQ49" i="63"/>
  <c r="O21" i="64"/>
  <c r="O13" i="64"/>
  <c r="O22" i="64" s="1"/>
  <c r="O4" i="64" s="1"/>
  <c r="BW114" i="62" l="1"/>
  <c r="BW112" i="62" s="1"/>
  <c r="BW115" i="62"/>
  <c r="FR49" i="63"/>
  <c r="FR45" i="63" s="1"/>
  <c r="FL41" i="63"/>
  <c r="FQ45" i="63"/>
  <c r="FR38" i="63" l="1"/>
  <c r="FR46" i="63"/>
  <c r="FQ46" i="63"/>
  <c r="FQ38" i="63"/>
  <c r="FS49" i="63"/>
  <c r="FS45" i="63" s="1"/>
  <c r="FM41" i="63"/>
  <c r="FT49" i="63" l="1"/>
  <c r="BX107" i="62"/>
  <c r="FN41" i="63"/>
  <c r="FN43" i="63"/>
  <c r="FN44" i="63" s="1"/>
  <c r="FS38" i="63"/>
  <c r="FS46" i="63"/>
  <c r="FQ5" i="63"/>
  <c r="FQ40" i="63"/>
  <c r="BZ23" i="62"/>
  <c r="FR5" i="63"/>
  <c r="FR39" i="63" s="1"/>
  <c r="FR40" i="63"/>
  <c r="BZ102" i="62" l="1"/>
  <c r="BZ25" i="62"/>
  <c r="CD25" i="62"/>
  <c r="BZ6" i="62"/>
  <c r="FQ62" i="63"/>
  <c r="FQ6" i="63"/>
  <c r="FQ39" i="63"/>
  <c r="FU49" i="63"/>
  <c r="FO41" i="63"/>
  <c r="BX115" i="62"/>
  <c r="BX114" i="62"/>
  <c r="BX112" i="62" s="1"/>
  <c r="FS5" i="63"/>
  <c r="FS39" i="63" s="1"/>
  <c r="FS40" i="63"/>
  <c r="FR6" i="63"/>
  <c r="FR62" i="63"/>
  <c r="FS6" i="63" l="1"/>
  <c r="FS62" i="63"/>
  <c r="FV49" i="63"/>
  <c r="FP41" i="63"/>
  <c r="BZ24" i="62"/>
  <c r="BZ7" i="62"/>
  <c r="BZ9" i="62"/>
  <c r="BZ16" i="62"/>
  <c r="CD7" i="62"/>
  <c r="CD103" i="62"/>
  <c r="BZ119" i="62"/>
  <c r="BZ120" i="62"/>
  <c r="BZ103" i="62"/>
  <c r="FW49" i="63" l="1"/>
  <c r="FQ41" i="63"/>
  <c r="BY107" i="62"/>
  <c r="BY115" i="62" l="1"/>
  <c r="BY114" i="62"/>
  <c r="BY112" i="62" s="1"/>
  <c r="FX49" i="63"/>
  <c r="FR41" i="63"/>
  <c r="FR43" i="63" s="1"/>
  <c r="FR44" i="63" s="1"/>
  <c r="FQ43" i="63"/>
  <c r="FQ44" i="63" s="1"/>
  <c r="N115" i="62"/>
  <c r="O115" i="62"/>
  <c r="P115" i="62"/>
  <c r="Q115" i="62"/>
  <c r="FS41" i="63" l="1"/>
  <c r="FS43" i="63" s="1"/>
  <c r="FS44" i="63" s="1"/>
  <c r="FY49" i="63"/>
  <c r="FT41" i="63" l="1"/>
  <c r="FU41" i="63" s="1"/>
  <c r="FV41" i="63" s="1"/>
  <c r="BZ107" i="62"/>
  <c r="BZ106" i="62" l="1"/>
  <c r="BZ115" i="62"/>
  <c r="BZ114" i="62"/>
  <c r="BZ112" i="62" s="1"/>
  <c r="BZ113" i="62" s="1"/>
  <c r="FW41" i="63"/>
  <c r="FX41" i="63" s="1"/>
  <c r="FY41" i="63" s="1"/>
  <c r="CB107" i="62" s="1"/>
  <c r="CA107" i="62"/>
  <c r="CB115" i="62" l="1"/>
  <c r="CB114" i="62"/>
  <c r="CB112" i="62" s="1"/>
  <c r="CC115" i="62"/>
  <c r="CC106" i="62"/>
  <c r="CC114" i="62"/>
  <c r="CC112" i="62" s="1"/>
  <c r="CA115" i="62"/>
  <c r="CA114" i="62"/>
  <c r="CA112" i="62" s="1"/>
  <c r="CC113" i="62" l="1"/>
  <c r="CC122" i="62"/>
  <c r="CC50" i="62" l="1"/>
  <c r="CC49" i="62" s="1"/>
  <c r="CC48" i="62" l="1"/>
  <c r="CC58" i="62"/>
  <c r="J308" i="69" l="1"/>
  <c r="F33" i="67"/>
  <c r="O27" i="19"/>
  <c r="O37" i="19" s="1"/>
  <c r="N33" i="19"/>
  <c r="N80" i="19"/>
  <c r="O57" i="19" l="1"/>
  <c r="O38" i="19"/>
  <c r="O52" i="19"/>
  <c r="O321" i="4"/>
  <c r="F48" i="54" s="1"/>
  <c r="O41" i="19"/>
  <c r="O44" i="19"/>
  <c r="O66" i="19" l="1"/>
  <c r="O314" i="4" s="1"/>
  <c r="O53" i="19"/>
  <c r="O63" i="19"/>
  <c r="O79" i="19"/>
  <c r="P29" i="19"/>
  <c r="O80" i="19"/>
  <c r="O42" i="19"/>
  <c r="P27" i="19" l="1"/>
  <c r="Q27" i="19"/>
  <c r="O43" i="54"/>
  <c r="X25" i="54" s="1"/>
  <c r="W38" i="54" s="1"/>
  <c r="AD97" i="4"/>
  <c r="Q44" i="4" l="1"/>
  <c r="Q41" i="19"/>
  <c r="Q29" i="19"/>
  <c r="R27" i="19" s="1"/>
  <c r="Q321" i="4"/>
  <c r="H48" i="54" s="1"/>
  <c r="P44" i="4"/>
  <c r="Y39" i="19"/>
  <c r="M39" i="19"/>
  <c r="N39" i="19"/>
  <c r="L39" i="19"/>
  <c r="O39" i="19"/>
  <c r="P321" i="4"/>
  <c r="G48" i="54" s="1"/>
  <c r="P41" i="19"/>
  <c r="O107" i="4" l="1"/>
  <c r="AH38" i="19"/>
  <c r="O40" i="19"/>
  <c r="O60" i="19"/>
  <c r="O313" i="4" s="1"/>
  <c r="O42" i="54" s="1"/>
  <c r="X24" i="54" s="1"/>
  <c r="W37" i="54" s="1"/>
  <c r="AJ50" i="19" s="1"/>
  <c r="O78" i="19"/>
  <c r="Y60" i="19"/>
  <c r="Y78" i="19"/>
  <c r="N40" i="19"/>
  <c r="N60" i="19"/>
  <c r="N313" i="4" s="1"/>
  <c r="N42" i="54" s="1"/>
  <c r="W24" i="54" s="1"/>
  <c r="V37" i="54" s="1"/>
  <c r="N107" i="4"/>
  <c r="N78" i="19"/>
  <c r="L60" i="19"/>
  <c r="L313" i="4" s="1"/>
  <c r="L42" i="54" s="1"/>
  <c r="U24" i="54" s="1"/>
  <c r="T37" i="54" s="1"/>
  <c r="L78" i="19"/>
  <c r="L107" i="4"/>
  <c r="L40" i="19"/>
  <c r="H121" i="19"/>
  <c r="H123" i="19" s="1"/>
  <c r="M107" i="4"/>
  <c r="M78" i="19"/>
  <c r="M60" i="19"/>
  <c r="M40" i="19"/>
  <c r="P268" i="4"/>
  <c r="O328" i="4"/>
  <c r="M328" i="4"/>
  <c r="G42" i="54"/>
  <c r="N328" i="4"/>
  <c r="O106" i="19" s="1"/>
  <c r="F420" i="69"/>
  <c r="E420" i="69" s="1"/>
  <c r="P166" i="4"/>
  <c r="R44" i="4"/>
  <c r="R321" i="4"/>
  <c r="R41" i="19"/>
  <c r="R29" i="19"/>
  <c r="S27" i="19" s="1"/>
  <c r="Q268" i="4"/>
  <c r="Q166" i="4"/>
  <c r="H42" i="54"/>
  <c r="R73" i="19" l="1"/>
  <c r="R166" i="4"/>
  <c r="R268" i="4"/>
  <c r="M313" i="4"/>
  <c r="M42" i="54" s="1"/>
  <c r="V24" i="54" s="1"/>
  <c r="AN22" i="19"/>
  <c r="M108" i="4"/>
  <c r="D20" i="54"/>
  <c r="AD27" i="54" s="1"/>
  <c r="AD40" i="54" s="1"/>
  <c r="AM22" i="19"/>
  <c r="AQ11" i="19" s="1"/>
  <c r="M109" i="4"/>
  <c r="AB96" i="4" s="1"/>
  <c r="AB92" i="4"/>
  <c r="L108" i="4"/>
  <c r="C20" i="54"/>
  <c r="AC27" i="54" s="1"/>
  <c r="AC40" i="54" s="1"/>
  <c r="AL19" i="19"/>
  <c r="AJ51" i="19"/>
  <c r="L109" i="4"/>
  <c r="Q171" i="4"/>
  <c r="Q13" i="54" s="1"/>
  <c r="Q258" i="4"/>
  <c r="S321" i="4"/>
  <c r="S44" i="4"/>
  <c r="S29" i="19"/>
  <c r="T27" i="19" s="1"/>
  <c r="S41" i="19"/>
  <c r="E20" i="54"/>
  <c r="AE27" i="54" s="1"/>
  <c r="AE40" i="54" s="1"/>
  <c r="AC92" i="4"/>
  <c r="AA103" i="4" s="1"/>
  <c r="N109" i="4"/>
  <c r="N108" i="4"/>
  <c r="G106" i="19"/>
  <c r="P258" i="4"/>
  <c r="P171" i="4"/>
  <c r="P13" i="54" s="1"/>
  <c r="AF39" i="19"/>
  <c r="AH40" i="19"/>
  <c r="AH43" i="19" s="1"/>
  <c r="AJ43" i="19" s="1"/>
  <c r="F20" i="54"/>
  <c r="AF27" i="54" s="1"/>
  <c r="AF40" i="54" s="1"/>
  <c r="O108" i="4"/>
  <c r="O109" i="4"/>
  <c r="AD96" i="4" s="1"/>
  <c r="AD92" i="4"/>
  <c r="Q164" i="4" l="1"/>
  <c r="S73" i="19"/>
  <c r="T321" i="4"/>
  <c r="T41" i="19"/>
  <c r="T29" i="19"/>
  <c r="U27" i="19" s="1"/>
  <c r="T44" i="4"/>
  <c r="S268" i="4"/>
  <c r="S166" i="4"/>
  <c r="AC28" i="54"/>
  <c r="L320" i="4"/>
  <c r="L48" i="54" s="1"/>
  <c r="AE28" i="54"/>
  <c r="N320" i="4"/>
  <c r="N48" i="54" s="1"/>
  <c r="AE41" i="54"/>
  <c r="AD41" i="54"/>
  <c r="AD28" i="54"/>
  <c r="M320" i="4"/>
  <c r="M48" i="54" s="1"/>
  <c r="AC96" i="4"/>
  <c r="H106" i="19"/>
  <c r="R258" i="4"/>
  <c r="R171" i="4"/>
  <c r="R164" i="4" s="1"/>
  <c r="AF41" i="54"/>
  <c r="O320" i="4"/>
  <c r="O48" i="54" s="1"/>
  <c r="P164" i="4"/>
  <c r="AO19" i="19"/>
  <c r="U37" i="54"/>
  <c r="S171" i="4" l="1"/>
  <c r="S164" i="4" s="1"/>
  <c r="S258" i="4"/>
  <c r="T268" i="4"/>
  <c r="T166" i="4"/>
  <c r="U44" i="4"/>
  <c r="U321" i="4"/>
  <c r="U41" i="19"/>
  <c r="U29" i="19"/>
  <c r="V27" i="19" s="1"/>
  <c r="T73" i="19"/>
  <c r="V29" i="19" l="1"/>
  <c r="W27" i="19" s="1"/>
  <c r="V37" i="19"/>
  <c r="V41" i="19"/>
  <c r="V39" i="19"/>
  <c r="V44" i="19"/>
  <c r="U73" i="19"/>
  <c r="V70" i="19" s="1"/>
  <c r="V71" i="19" s="1"/>
  <c r="U166" i="4"/>
  <c r="U268" i="4"/>
  <c r="T171" i="4"/>
  <c r="T164" i="4" s="1"/>
  <c r="T258" i="4"/>
  <c r="V80" i="19" l="1"/>
  <c r="U258" i="4"/>
  <c r="U171" i="4"/>
  <c r="U164" i="4" s="1"/>
  <c r="V63" i="19"/>
  <c r="V79" i="19"/>
  <c r="V66" i="19"/>
  <c r="V53" i="19"/>
  <c r="V60" i="19"/>
  <c r="V78" i="19"/>
  <c r="V42" i="19"/>
  <c r="V73" i="19"/>
  <c r="W70" i="19" s="1"/>
  <c r="W71" i="19" s="1"/>
  <c r="V57" i="19"/>
  <c r="V52" i="19"/>
  <c r="W41" i="19"/>
  <c r="W44" i="19"/>
  <c r="W29" i="19"/>
  <c r="X27" i="19" s="1"/>
  <c r="W63" i="19" l="1"/>
  <c r="W79" i="19"/>
  <c r="W66" i="19"/>
  <c r="W53" i="19"/>
  <c r="X41" i="19"/>
  <c r="X44" i="19"/>
  <c r="X29" i="19"/>
  <c r="Y29" i="19" s="1"/>
  <c r="W42" i="19"/>
  <c r="W73" i="19"/>
  <c r="X70" i="19" s="1"/>
  <c r="X71" i="19" s="1"/>
  <c r="W80" i="19"/>
  <c r="X80" i="19" l="1"/>
  <c r="Y27" i="19"/>
  <c r="Z27" i="19"/>
  <c r="X79" i="19"/>
  <c r="X66" i="19"/>
  <c r="X53" i="19"/>
  <c r="X63" i="19"/>
  <c r="X73" i="19"/>
  <c r="Y70" i="19" s="1"/>
  <c r="Y71" i="19" s="1"/>
  <c r="Y80" i="19" s="1"/>
  <c r="X42" i="19"/>
  <c r="Z39" i="19" l="1"/>
  <c r="Z44" i="19"/>
  <c r="Z41" i="19"/>
  <c r="Z29" i="19"/>
  <c r="AA27" i="19" s="1"/>
  <c r="Z37" i="19"/>
  <c r="Y44" i="19"/>
  <c r="Y41" i="19"/>
  <c r="Y37" i="19"/>
  <c r="Y52" i="19" l="1"/>
  <c r="Y57" i="19"/>
  <c r="Y73" i="19"/>
  <c r="Z70" i="19" s="1"/>
  <c r="Z71" i="19" s="1"/>
  <c r="Z80" i="19" s="1"/>
  <c r="Y42" i="19"/>
  <c r="Y79" i="19"/>
  <c r="Y66" i="19"/>
  <c r="Y53" i="19"/>
  <c r="Y63" i="19"/>
  <c r="Z52" i="19"/>
  <c r="Z57" i="19"/>
  <c r="Z38" i="19"/>
  <c r="AA41" i="19"/>
  <c r="AA39" i="19"/>
  <c r="AA44" i="19"/>
  <c r="AA29" i="19"/>
  <c r="AA37" i="19"/>
  <c r="Z73" i="19"/>
  <c r="AA70" i="19" s="1"/>
  <c r="AA71" i="19" s="1"/>
  <c r="Z42" i="19"/>
  <c r="Z79" i="19"/>
  <c r="Z53" i="19"/>
  <c r="Z66" i="19"/>
  <c r="Z63" i="19"/>
  <c r="Z40" i="19"/>
  <c r="Z60" i="19"/>
  <c r="Z78" i="19"/>
  <c r="AA80" i="19" l="1"/>
  <c r="AA66" i="19"/>
  <c r="AA79" i="19"/>
  <c r="AA53" i="19"/>
  <c r="AA63" i="19"/>
  <c r="AA52" i="19"/>
  <c r="AA57" i="19"/>
  <c r="AA38" i="19"/>
  <c r="AA78" i="19"/>
  <c r="AA60" i="19"/>
  <c r="AA40" i="19"/>
  <c r="AA73" i="19"/>
  <c r="AA42" i="19"/>
  <c r="C3" i="77" l="1"/>
  <c r="E3" i="77"/>
  <c r="F3" i="77"/>
  <c r="H3" i="77"/>
  <c r="N3" i="77"/>
  <c r="O3" i="77"/>
  <c r="P3" i="77"/>
  <c r="U3" i="77"/>
  <c r="V3" i="77"/>
  <c r="W3" i="77"/>
  <c r="X3" i="77"/>
  <c r="Y3" i="77"/>
  <c r="Z3" i="77"/>
  <c r="C4" i="77"/>
  <c r="F4" i="77"/>
  <c r="N4" i="77"/>
  <c r="O4" i="77"/>
  <c r="T4" i="77"/>
  <c r="U4" i="77"/>
  <c r="V4" i="77"/>
  <c r="X4" i="77"/>
  <c r="Y4" i="77"/>
  <c r="F5" i="77"/>
  <c r="H5" i="77"/>
  <c r="N5" i="77"/>
  <c r="P5" i="77"/>
  <c r="U5" i="77"/>
  <c r="W5" i="77"/>
  <c r="X5" i="77"/>
  <c r="Z5" i="77"/>
  <c r="C6" i="77"/>
  <c r="F6" i="77"/>
  <c r="N6" i="77"/>
  <c r="T6" i="77"/>
  <c r="U6" i="77"/>
  <c r="X6" i="77"/>
  <c r="F7" i="77"/>
  <c r="H7" i="77"/>
  <c r="N7" i="77"/>
  <c r="P7" i="77"/>
  <c r="U7" i="77"/>
  <c r="W7" i="77"/>
  <c r="X7" i="77"/>
  <c r="Z7" i="77"/>
  <c r="C8" i="77"/>
  <c r="F8" i="77"/>
  <c r="N8" i="77"/>
  <c r="T8" i="77"/>
  <c r="U8" i="77"/>
  <c r="X8" i="77"/>
  <c r="F9" i="77"/>
  <c r="H9" i="77"/>
  <c r="N9" i="77"/>
  <c r="O9" i="77"/>
  <c r="P9" i="77"/>
  <c r="U9" i="77"/>
  <c r="V9" i="77"/>
  <c r="W9" i="77"/>
  <c r="F10" i="77"/>
  <c r="N10" i="77"/>
  <c r="O10" i="77"/>
  <c r="T10" i="77"/>
  <c r="U10" i="77"/>
  <c r="V10" i="77"/>
  <c r="T12" i="77"/>
  <c r="T14" i="77"/>
  <c r="T17" i="77"/>
  <c r="T19" i="77"/>
  <c r="C26" i="77"/>
  <c r="L30" i="77"/>
  <c r="M31" i="77"/>
  <c r="S39" i="77"/>
  <c r="S40" i="77"/>
  <c r="C3" i="93"/>
  <c r="D3" i="93"/>
  <c r="E3" i="93"/>
  <c r="F3" i="93"/>
  <c r="G3" i="93"/>
  <c r="H3" i="93"/>
  <c r="I3" i="93"/>
  <c r="J3" i="93"/>
  <c r="K3" i="93"/>
  <c r="M3" i="93"/>
  <c r="N3" i="93"/>
  <c r="O3" i="93"/>
  <c r="P3" i="93"/>
  <c r="Q3" i="93"/>
  <c r="R3" i="93"/>
  <c r="S3" i="93"/>
  <c r="T3" i="93"/>
  <c r="U3" i="93"/>
  <c r="V3" i="93"/>
  <c r="W3" i="93"/>
  <c r="X3" i="93"/>
  <c r="Y3" i="93"/>
  <c r="C4" i="93"/>
  <c r="D4" i="93"/>
  <c r="F4" i="93"/>
  <c r="G4" i="93"/>
  <c r="I4" i="93"/>
  <c r="J4" i="93"/>
  <c r="M4" i="93"/>
  <c r="N4" i="93"/>
  <c r="P4" i="93"/>
  <c r="Q4" i="93"/>
  <c r="S4" i="93"/>
  <c r="T4" i="93"/>
  <c r="U4" i="93"/>
  <c r="W4" i="93"/>
  <c r="X4" i="93"/>
  <c r="C5" i="93"/>
  <c r="D5" i="93"/>
  <c r="E5" i="93"/>
  <c r="F5" i="93"/>
  <c r="G5" i="93"/>
  <c r="H5" i="93"/>
  <c r="I5" i="93"/>
  <c r="J5" i="93"/>
  <c r="K5" i="93"/>
  <c r="M5" i="93"/>
  <c r="N5" i="93"/>
  <c r="O5" i="93"/>
  <c r="P5" i="93"/>
  <c r="Q5" i="93"/>
  <c r="R5" i="93"/>
  <c r="S5" i="93"/>
  <c r="T5" i="93"/>
  <c r="U5" i="93"/>
  <c r="V5" i="93"/>
  <c r="W5" i="93"/>
  <c r="X5" i="93"/>
  <c r="Y5" i="93"/>
  <c r="C6" i="93"/>
  <c r="D6" i="93"/>
  <c r="F6" i="93"/>
  <c r="G6" i="93"/>
  <c r="I6" i="93"/>
  <c r="J6" i="93"/>
  <c r="M6" i="93"/>
  <c r="N6" i="93"/>
  <c r="P6" i="93"/>
  <c r="Q6" i="93"/>
  <c r="S6" i="93"/>
  <c r="T6" i="93"/>
  <c r="U6" i="93"/>
  <c r="W6" i="93"/>
  <c r="X6" i="93"/>
  <c r="C7" i="93"/>
  <c r="D7" i="93"/>
  <c r="E7" i="93"/>
  <c r="F7" i="93"/>
  <c r="G7" i="93"/>
  <c r="H7" i="93"/>
  <c r="I7" i="93"/>
  <c r="J7" i="93"/>
  <c r="K7" i="93"/>
  <c r="M7" i="93"/>
  <c r="N7" i="93"/>
  <c r="O7" i="93"/>
  <c r="P7" i="93"/>
  <c r="Q7" i="93"/>
  <c r="R7" i="93"/>
  <c r="S7" i="93"/>
  <c r="T7" i="93"/>
  <c r="U7" i="93"/>
  <c r="V7" i="93"/>
  <c r="W7" i="93"/>
  <c r="X7" i="93"/>
  <c r="Y7" i="93"/>
  <c r="C8" i="93"/>
  <c r="D8" i="93"/>
  <c r="F8" i="93"/>
  <c r="G8" i="93"/>
  <c r="I8" i="93"/>
  <c r="J8" i="93"/>
  <c r="M8" i="93"/>
  <c r="N8" i="93"/>
  <c r="P8" i="93"/>
  <c r="Q8" i="93"/>
  <c r="S8" i="93"/>
  <c r="T8" i="93"/>
  <c r="U8" i="93"/>
  <c r="W8" i="93"/>
  <c r="X8" i="93"/>
  <c r="F9" i="93"/>
  <c r="G9" i="93"/>
  <c r="H9" i="93"/>
  <c r="M9" i="93"/>
  <c r="N9" i="93"/>
  <c r="O9" i="93"/>
  <c r="P9" i="93"/>
  <c r="Q9" i="93"/>
  <c r="R9" i="93"/>
  <c r="S9" i="93"/>
  <c r="T9" i="93"/>
  <c r="U9" i="93"/>
  <c r="V9" i="93"/>
  <c r="F10" i="93"/>
  <c r="G10" i="93"/>
  <c r="M10" i="93"/>
  <c r="N10" i="93"/>
  <c r="P10" i="93"/>
  <c r="Q10" i="93"/>
  <c r="S10" i="93"/>
  <c r="T10" i="93"/>
  <c r="U10" i="93"/>
  <c r="S12" i="93"/>
  <c r="S24" i="93"/>
  <c r="S25" i="93"/>
  <c r="S26" i="93"/>
  <c r="P28" i="93"/>
  <c r="R39" i="93"/>
  <c r="R40" i="93"/>
  <c r="AT2" i="54"/>
  <c r="D3" i="54"/>
  <c r="G3" i="54"/>
  <c r="H3" i="54"/>
  <c r="P3" i="54"/>
  <c r="Q3" i="54"/>
  <c r="V3" i="54"/>
  <c r="D4" i="54"/>
  <c r="G4" i="54"/>
  <c r="H4" i="54"/>
  <c r="G5" i="54"/>
  <c r="H5" i="54"/>
  <c r="P5" i="54"/>
  <c r="Q5" i="54"/>
  <c r="G6" i="54"/>
  <c r="H6" i="54"/>
  <c r="P6" i="54"/>
  <c r="Q6" i="54"/>
  <c r="G7" i="54"/>
  <c r="H7" i="54"/>
  <c r="P7" i="54"/>
  <c r="Q7" i="54"/>
  <c r="G8" i="54"/>
  <c r="H8" i="54"/>
  <c r="G9" i="54"/>
  <c r="H9" i="54"/>
  <c r="G10" i="54"/>
  <c r="H10" i="54"/>
  <c r="P10" i="54"/>
  <c r="Q10" i="54"/>
  <c r="G11" i="54"/>
  <c r="H11" i="54"/>
  <c r="P11" i="54"/>
  <c r="Q11" i="54"/>
  <c r="G14" i="54"/>
  <c r="H14" i="54"/>
  <c r="P14" i="54"/>
  <c r="Q14" i="54"/>
  <c r="G15" i="54"/>
  <c r="H15" i="54"/>
  <c r="P15" i="54"/>
  <c r="Q15" i="54"/>
  <c r="G16" i="54"/>
  <c r="H16" i="54"/>
  <c r="P16" i="54"/>
  <c r="Q16" i="54"/>
  <c r="G17" i="54"/>
  <c r="H17" i="54"/>
  <c r="G18" i="54"/>
  <c r="H18" i="54"/>
  <c r="Q18" i="54"/>
  <c r="G19" i="54"/>
  <c r="H19" i="54"/>
  <c r="P19" i="54"/>
  <c r="Q19" i="54"/>
  <c r="G20" i="54"/>
  <c r="H20" i="54"/>
  <c r="P20" i="54"/>
  <c r="Q20" i="54"/>
  <c r="G23" i="54"/>
  <c r="H23" i="54"/>
  <c r="P24" i="54"/>
  <c r="Q24" i="54"/>
  <c r="Y24" i="54"/>
  <c r="Z24" i="54"/>
  <c r="AD24" i="54"/>
  <c r="AG24" i="54"/>
  <c r="AH24" i="54"/>
  <c r="G25" i="54"/>
  <c r="H25" i="54"/>
  <c r="P25" i="54"/>
  <c r="Q25" i="54"/>
  <c r="Y25" i="54"/>
  <c r="Z25" i="54"/>
  <c r="AG25" i="54"/>
  <c r="AH25" i="54"/>
  <c r="G26" i="54"/>
  <c r="H26" i="54"/>
  <c r="Y26" i="54"/>
  <c r="Z26" i="54"/>
  <c r="AG26" i="54"/>
  <c r="AH26" i="54"/>
  <c r="G27" i="54"/>
  <c r="H27" i="54"/>
  <c r="Y27" i="54"/>
  <c r="Z27" i="54"/>
  <c r="AG27" i="54"/>
  <c r="AH27" i="54"/>
  <c r="G28" i="54"/>
  <c r="H28" i="54"/>
  <c r="P28" i="54"/>
  <c r="Q28" i="54"/>
  <c r="P29" i="54"/>
  <c r="Q29" i="54"/>
  <c r="AH29" i="54"/>
  <c r="M33" i="54"/>
  <c r="G34" i="54"/>
  <c r="H34" i="54"/>
  <c r="M34" i="54"/>
  <c r="G35" i="54"/>
  <c r="H35" i="54"/>
  <c r="G36" i="54"/>
  <c r="H36" i="54"/>
  <c r="M36" i="54"/>
  <c r="P36" i="54"/>
  <c r="Q36" i="54"/>
  <c r="G37" i="54"/>
  <c r="H37" i="54"/>
  <c r="M37" i="54"/>
  <c r="P37" i="54"/>
  <c r="Q37" i="54"/>
  <c r="X37" i="54"/>
  <c r="Y37" i="54"/>
  <c r="AD37" i="54"/>
  <c r="AG37" i="54"/>
  <c r="AH37" i="54"/>
  <c r="G38" i="54"/>
  <c r="H38" i="54"/>
  <c r="P38" i="54"/>
  <c r="Q38" i="54"/>
  <c r="X38" i="54"/>
  <c r="Y38" i="54"/>
  <c r="AG38" i="54"/>
  <c r="AH38" i="54"/>
  <c r="P39" i="54"/>
  <c r="Q39" i="54"/>
  <c r="U39" i="54"/>
  <c r="X39" i="54"/>
  <c r="Y39" i="54"/>
  <c r="AG39" i="54"/>
  <c r="AH39" i="54"/>
  <c r="X40" i="54"/>
  <c r="Y40" i="54"/>
  <c r="AG40" i="54"/>
  <c r="AH40" i="54"/>
  <c r="G41" i="54"/>
  <c r="H41" i="54"/>
  <c r="X41" i="54"/>
  <c r="Y41" i="54"/>
  <c r="AG41" i="54"/>
  <c r="AH41" i="54"/>
  <c r="P42" i="54"/>
  <c r="Q42" i="54"/>
  <c r="P43" i="54"/>
  <c r="Q43" i="54"/>
  <c r="G44" i="54"/>
  <c r="H44" i="54"/>
  <c r="G45" i="54"/>
  <c r="H45" i="54"/>
  <c r="M45" i="54"/>
  <c r="N45" i="54"/>
  <c r="P45" i="54"/>
  <c r="Q45" i="54"/>
  <c r="G46" i="54"/>
  <c r="H46" i="54"/>
  <c r="P46" i="54"/>
  <c r="Q46" i="54"/>
  <c r="G47" i="54"/>
  <c r="H47" i="54"/>
  <c r="P47" i="54"/>
  <c r="Q47" i="54"/>
  <c r="P48" i="54"/>
  <c r="Q48" i="54"/>
  <c r="K22" i="66"/>
  <c r="N2" i="76"/>
  <c r="O2" i="76"/>
  <c r="P2" i="76"/>
  <c r="N5" i="76"/>
  <c r="O5" i="76"/>
  <c r="P5" i="76"/>
  <c r="R11" i="76"/>
  <c r="S11" i="76"/>
  <c r="T11" i="76"/>
  <c r="R15" i="76"/>
  <c r="S15" i="76"/>
  <c r="T15" i="76"/>
  <c r="R16" i="76"/>
  <c r="S16" i="76"/>
  <c r="T16" i="76"/>
  <c r="M26" i="76"/>
  <c r="N26" i="76"/>
  <c r="D62" i="76"/>
  <c r="E62" i="76"/>
  <c r="F62" i="76"/>
  <c r="G62" i="76"/>
  <c r="H62" i="76"/>
  <c r="D63" i="76"/>
  <c r="E63" i="76"/>
  <c r="F63" i="76"/>
  <c r="G63" i="76"/>
  <c r="H63" i="76"/>
  <c r="F65" i="76"/>
  <c r="G65" i="76"/>
  <c r="H65" i="76"/>
  <c r="K75" i="76"/>
  <c r="L75" i="76"/>
  <c r="K76" i="76"/>
  <c r="I92" i="76"/>
  <c r="J92" i="76"/>
  <c r="K92" i="76"/>
  <c r="J93" i="76"/>
  <c r="K93" i="76"/>
  <c r="I99" i="76"/>
  <c r="J99" i="76"/>
  <c r="K99" i="76"/>
  <c r="I100" i="76"/>
  <c r="J100" i="76"/>
  <c r="K100" i="76"/>
  <c r="I101" i="76"/>
  <c r="J101" i="76"/>
  <c r="K101" i="76"/>
  <c r="D120" i="76"/>
  <c r="AW3" i="95"/>
  <c r="AX3" i="95"/>
  <c r="AW4" i="95"/>
  <c r="AX4" i="95"/>
  <c r="AW5" i="95"/>
  <c r="AX5" i="95"/>
  <c r="AW6" i="95"/>
  <c r="AW7" i="95"/>
  <c r="AW8" i="95"/>
  <c r="N405" i="95"/>
  <c r="N406" i="95"/>
  <c r="N407" i="95"/>
  <c r="N408" i="95"/>
  <c r="N409" i="95"/>
  <c r="N410" i="95"/>
  <c r="N411" i="95"/>
  <c r="N412" i="95"/>
  <c r="N413" i="95"/>
  <c r="N414" i="95"/>
  <c r="N415" i="95"/>
  <c r="N416" i="95"/>
  <c r="N417" i="95"/>
  <c r="N418" i="95"/>
  <c r="N419" i="95"/>
  <c r="N420" i="95"/>
  <c r="N421" i="95"/>
  <c r="N422" i="95"/>
  <c r="N423" i="95"/>
  <c r="N424" i="95"/>
  <c r="N425" i="95"/>
  <c r="N426" i="95"/>
  <c r="N427" i="95"/>
  <c r="N428" i="95"/>
  <c r="N429" i="95"/>
  <c r="N430" i="95"/>
  <c r="N431" i="95"/>
  <c r="N432" i="95"/>
  <c r="N433" i="95"/>
  <c r="N434" i="95"/>
  <c r="N435" i="95"/>
  <c r="N436" i="95"/>
  <c r="N437" i="95"/>
  <c r="N438" i="95"/>
  <c r="N439" i="95"/>
  <c r="N440" i="95"/>
  <c r="N441" i="95"/>
  <c r="N442" i="95"/>
  <c r="N443" i="95"/>
  <c r="N444" i="95"/>
  <c r="N445" i="95"/>
  <c r="N446" i="95"/>
  <c r="N447" i="95"/>
  <c r="N448" i="95"/>
  <c r="N449" i="95"/>
  <c r="N450" i="95"/>
  <c r="N451" i="95"/>
  <c r="N452" i="95"/>
  <c r="N453" i="95"/>
  <c r="N454" i="95"/>
  <c r="N455" i="95"/>
  <c r="N456" i="95"/>
  <c r="N457" i="95"/>
  <c r="N458" i="95"/>
  <c r="N459" i="95"/>
  <c r="N460" i="95"/>
  <c r="N461" i="95"/>
  <c r="N462" i="95"/>
  <c r="N463" i="95"/>
  <c r="N464" i="95"/>
  <c r="N465" i="95"/>
  <c r="N466" i="95"/>
  <c r="N467" i="95"/>
  <c r="N468" i="95"/>
  <c r="N469" i="95"/>
  <c r="N470" i="95"/>
  <c r="N471" i="95"/>
  <c r="N472" i="95"/>
  <c r="N473" i="95"/>
  <c r="N474" i="95"/>
  <c r="N475" i="95"/>
  <c r="N476" i="95"/>
  <c r="N477" i="95"/>
  <c r="N478" i="95"/>
  <c r="N479" i="95"/>
  <c r="O479" i="95"/>
  <c r="N480" i="95"/>
  <c r="O480" i="95"/>
  <c r="N481" i="95"/>
  <c r="O481" i="95"/>
  <c r="H73" i="64"/>
  <c r="I73" i="64"/>
  <c r="J73" i="64"/>
  <c r="K73" i="64"/>
  <c r="L73" i="64"/>
  <c r="M73" i="64"/>
  <c r="N73" i="64"/>
  <c r="H74" i="64"/>
  <c r="I74" i="64"/>
  <c r="J74" i="64"/>
  <c r="K74" i="64"/>
  <c r="L74" i="64"/>
  <c r="M74" i="64"/>
  <c r="N74" i="64"/>
  <c r="H77" i="64"/>
  <c r="I77" i="64"/>
  <c r="J77" i="64"/>
  <c r="K77" i="64"/>
  <c r="L77" i="64"/>
  <c r="M77" i="64"/>
  <c r="H78" i="64"/>
  <c r="I78" i="64"/>
  <c r="J78" i="64"/>
  <c r="K78" i="64"/>
  <c r="L78" i="64"/>
  <c r="M78" i="64"/>
  <c r="H83" i="64"/>
  <c r="I83" i="64"/>
  <c r="J83" i="64"/>
  <c r="K83" i="64"/>
  <c r="L83" i="64"/>
  <c r="M83" i="64"/>
  <c r="N83" i="64"/>
  <c r="H84" i="64"/>
  <c r="I84" i="64"/>
  <c r="J84" i="64"/>
  <c r="K84" i="64"/>
  <c r="L84" i="64"/>
  <c r="M84" i="64"/>
  <c r="N84" i="64"/>
  <c r="H87" i="64"/>
  <c r="I87" i="64"/>
  <c r="J87" i="64"/>
  <c r="K87" i="64"/>
  <c r="L87" i="64"/>
  <c r="M87" i="64"/>
  <c r="H88" i="64"/>
  <c r="I88" i="64"/>
  <c r="J88" i="64"/>
  <c r="K88" i="64"/>
  <c r="L88" i="64"/>
  <c r="M88" i="64"/>
  <c r="H97" i="64"/>
  <c r="K97" i="64"/>
  <c r="P3" i="4"/>
  <c r="Q3" i="4"/>
  <c r="R3" i="4"/>
  <c r="S3" i="4"/>
  <c r="T3" i="4"/>
  <c r="U3" i="4"/>
  <c r="P5" i="4"/>
  <c r="Q5" i="4"/>
  <c r="R5" i="4"/>
  <c r="S5" i="4"/>
  <c r="T5" i="4"/>
  <c r="U5" i="4"/>
  <c r="P6" i="4"/>
  <c r="Q6" i="4"/>
  <c r="R6" i="4"/>
  <c r="S6" i="4"/>
  <c r="T6" i="4"/>
  <c r="U6" i="4"/>
  <c r="P7" i="4"/>
  <c r="Q7" i="4"/>
  <c r="R7" i="4"/>
  <c r="S7" i="4"/>
  <c r="T7" i="4"/>
  <c r="U7" i="4"/>
  <c r="P9" i="4"/>
  <c r="Q9" i="4"/>
  <c r="R9" i="4"/>
  <c r="S9" i="4"/>
  <c r="T9" i="4"/>
  <c r="U9" i="4"/>
  <c r="P10" i="4"/>
  <c r="Q10" i="4"/>
  <c r="R10" i="4"/>
  <c r="S10" i="4"/>
  <c r="T10" i="4"/>
  <c r="U10" i="4"/>
  <c r="P11" i="4"/>
  <c r="Q11" i="4"/>
  <c r="R11" i="4"/>
  <c r="S11" i="4"/>
  <c r="T11" i="4"/>
  <c r="U11" i="4"/>
  <c r="W20" i="4"/>
  <c r="P23" i="4"/>
  <c r="Q23" i="4"/>
  <c r="R23" i="4"/>
  <c r="S23" i="4"/>
  <c r="T23" i="4"/>
  <c r="U23" i="4"/>
  <c r="P25" i="4"/>
  <c r="Q25" i="4"/>
  <c r="R25" i="4"/>
  <c r="S25" i="4"/>
  <c r="T25" i="4"/>
  <c r="U25" i="4"/>
  <c r="P26" i="4"/>
  <c r="Q26" i="4"/>
  <c r="R26" i="4"/>
  <c r="S26" i="4"/>
  <c r="T26" i="4"/>
  <c r="U26" i="4"/>
  <c r="P27" i="4"/>
  <c r="Q27" i="4"/>
  <c r="R27" i="4"/>
  <c r="S27" i="4"/>
  <c r="T27" i="4"/>
  <c r="U27" i="4"/>
  <c r="P28" i="4"/>
  <c r="Q28" i="4"/>
  <c r="R28" i="4"/>
  <c r="S28" i="4"/>
  <c r="T28" i="4"/>
  <c r="U28" i="4"/>
  <c r="P29" i="4"/>
  <c r="Q29" i="4"/>
  <c r="R29" i="4"/>
  <c r="S29" i="4"/>
  <c r="T29" i="4"/>
  <c r="U29" i="4"/>
  <c r="P32" i="4"/>
  <c r="Q32" i="4"/>
  <c r="R32" i="4"/>
  <c r="S32" i="4"/>
  <c r="T32" i="4"/>
  <c r="U32" i="4"/>
  <c r="P33" i="4"/>
  <c r="Q33" i="4"/>
  <c r="R33" i="4"/>
  <c r="S33" i="4"/>
  <c r="T33" i="4"/>
  <c r="U33" i="4"/>
  <c r="J38" i="4"/>
  <c r="K38" i="4"/>
  <c r="L38" i="4"/>
  <c r="M38" i="4"/>
  <c r="N38" i="4"/>
  <c r="O38" i="4"/>
  <c r="P38" i="4"/>
  <c r="Q38" i="4"/>
  <c r="R38" i="4"/>
  <c r="S38" i="4"/>
  <c r="T38" i="4"/>
  <c r="U38" i="4"/>
  <c r="W38" i="4"/>
  <c r="P41" i="4"/>
  <c r="Q41" i="4"/>
  <c r="R41" i="4"/>
  <c r="S41" i="4"/>
  <c r="T41" i="4"/>
  <c r="U41" i="4"/>
  <c r="AE41" i="4"/>
  <c r="AG41" i="4"/>
  <c r="AI41" i="4"/>
  <c r="AJ41" i="4"/>
  <c r="AG42" i="4"/>
  <c r="AI42" i="4"/>
  <c r="P43" i="4"/>
  <c r="Q43" i="4"/>
  <c r="R43" i="4"/>
  <c r="S43" i="4"/>
  <c r="T43" i="4"/>
  <c r="U43" i="4"/>
  <c r="AE45" i="4"/>
  <c r="AG45" i="4"/>
  <c r="AI45" i="4"/>
  <c r="AJ45" i="4"/>
  <c r="AE46" i="4"/>
  <c r="AG46" i="4"/>
  <c r="AI46" i="4"/>
  <c r="AJ46" i="4"/>
  <c r="AG47" i="4"/>
  <c r="AI47" i="4"/>
  <c r="P48" i="4"/>
  <c r="Q48" i="4"/>
  <c r="R48" i="4"/>
  <c r="S48" i="4"/>
  <c r="T48" i="4"/>
  <c r="U48" i="4"/>
  <c r="P50" i="4"/>
  <c r="Q50" i="4"/>
  <c r="R50" i="4"/>
  <c r="S50" i="4"/>
  <c r="T50" i="4"/>
  <c r="U50" i="4"/>
  <c r="AE50" i="4"/>
  <c r="AG50" i="4"/>
  <c r="AI50" i="4"/>
  <c r="AJ50" i="4"/>
  <c r="AZ51" i="4"/>
  <c r="P55" i="4"/>
  <c r="Q55" i="4"/>
  <c r="R55" i="4"/>
  <c r="S55" i="4"/>
  <c r="T55" i="4"/>
  <c r="U55" i="4"/>
  <c r="AD56" i="4"/>
  <c r="P57" i="4"/>
  <c r="Q57" i="4"/>
  <c r="R57" i="4"/>
  <c r="S57" i="4"/>
  <c r="T57" i="4"/>
  <c r="U57" i="4"/>
  <c r="AD57" i="4"/>
  <c r="P59" i="4"/>
  <c r="Q59" i="4"/>
  <c r="R59" i="4"/>
  <c r="S59" i="4"/>
  <c r="T59" i="4"/>
  <c r="U59" i="4"/>
  <c r="P60" i="4"/>
  <c r="Q60" i="4"/>
  <c r="R60" i="4"/>
  <c r="S60" i="4"/>
  <c r="T60" i="4"/>
  <c r="U60" i="4"/>
  <c r="P61" i="4"/>
  <c r="Q61" i="4"/>
  <c r="R61" i="4"/>
  <c r="S61" i="4"/>
  <c r="T61" i="4"/>
  <c r="U61" i="4"/>
  <c r="AB61" i="4"/>
  <c r="AC61" i="4"/>
  <c r="AD61" i="4"/>
  <c r="AE61" i="4"/>
  <c r="AF61" i="4"/>
  <c r="AG61" i="4"/>
  <c r="AH61" i="4"/>
  <c r="AB62" i="4"/>
  <c r="AC62" i="4"/>
  <c r="AD62" i="4"/>
  <c r="AE62" i="4"/>
  <c r="AF62" i="4"/>
  <c r="AC63" i="4"/>
  <c r="AD63" i="4"/>
  <c r="AE63" i="4"/>
  <c r="AF63" i="4"/>
  <c r="AG63" i="4"/>
  <c r="AH63" i="4"/>
  <c r="P64" i="4"/>
  <c r="Q64" i="4"/>
  <c r="R64" i="4"/>
  <c r="S64" i="4"/>
  <c r="T64" i="4"/>
  <c r="U64" i="4"/>
  <c r="AC64" i="4"/>
  <c r="AD64" i="4"/>
  <c r="AE64" i="4"/>
  <c r="AF64" i="4"/>
  <c r="P65" i="4"/>
  <c r="Q65" i="4"/>
  <c r="R65" i="4"/>
  <c r="S65" i="4"/>
  <c r="T65" i="4"/>
  <c r="U65" i="4"/>
  <c r="AB65" i="4"/>
  <c r="AC65" i="4"/>
  <c r="AD65" i="4"/>
  <c r="AE65" i="4"/>
  <c r="AF65" i="4"/>
  <c r="AG65" i="4"/>
  <c r="AH65" i="4"/>
  <c r="P66" i="4"/>
  <c r="Q66" i="4"/>
  <c r="R66" i="4"/>
  <c r="S66" i="4"/>
  <c r="T66" i="4"/>
  <c r="U66" i="4"/>
  <c r="AB66" i="4"/>
  <c r="AC66" i="4"/>
  <c r="AD66" i="4"/>
  <c r="AE66" i="4"/>
  <c r="AF66" i="4"/>
  <c r="M67" i="4"/>
  <c r="P67" i="4"/>
  <c r="Q67" i="4"/>
  <c r="R67" i="4"/>
  <c r="S67" i="4"/>
  <c r="T67" i="4"/>
  <c r="U67" i="4"/>
  <c r="W67" i="4"/>
  <c r="AB67" i="4"/>
  <c r="AE67" i="4"/>
  <c r="AF67" i="4"/>
  <c r="AG67" i="4"/>
  <c r="AH67" i="4"/>
  <c r="AK67" i="4"/>
  <c r="M68" i="4"/>
  <c r="N68" i="4"/>
  <c r="P68" i="4"/>
  <c r="Q68" i="4"/>
  <c r="R68" i="4"/>
  <c r="S68" i="4"/>
  <c r="T68" i="4"/>
  <c r="U68" i="4"/>
  <c r="AB68" i="4"/>
  <c r="AC68" i="4"/>
  <c r="AE68" i="4"/>
  <c r="AF68" i="4"/>
  <c r="M69" i="4"/>
  <c r="P69" i="4"/>
  <c r="Q69" i="4"/>
  <c r="R69" i="4"/>
  <c r="S69" i="4"/>
  <c r="T69" i="4"/>
  <c r="U69" i="4"/>
  <c r="AE69" i="4"/>
  <c r="AF69" i="4"/>
  <c r="AG69" i="4"/>
  <c r="AH69" i="4"/>
  <c r="P70" i="4"/>
  <c r="Q70" i="4"/>
  <c r="R70" i="4"/>
  <c r="S70" i="4"/>
  <c r="T70" i="4"/>
  <c r="U70" i="4"/>
  <c r="AB70" i="4"/>
  <c r="AE70" i="4"/>
  <c r="AF70" i="4"/>
  <c r="AG70" i="4"/>
  <c r="AH70" i="4"/>
  <c r="P71" i="4"/>
  <c r="Q71" i="4"/>
  <c r="R71" i="4"/>
  <c r="S71" i="4"/>
  <c r="T71" i="4"/>
  <c r="U71" i="4"/>
  <c r="AE71" i="4"/>
  <c r="AF71" i="4"/>
  <c r="AG71" i="4"/>
  <c r="AH71" i="4"/>
  <c r="M72" i="4"/>
  <c r="P72" i="4"/>
  <c r="Q72" i="4"/>
  <c r="R72" i="4"/>
  <c r="S72" i="4"/>
  <c r="T72" i="4"/>
  <c r="U72" i="4"/>
  <c r="AE72" i="4"/>
  <c r="AF72" i="4"/>
  <c r="AG72" i="4"/>
  <c r="AH72" i="4"/>
  <c r="P73" i="4"/>
  <c r="Q73" i="4"/>
  <c r="R73" i="4"/>
  <c r="S73" i="4"/>
  <c r="T73" i="4"/>
  <c r="U73" i="4"/>
  <c r="AB73" i="4"/>
  <c r="AE73" i="4"/>
  <c r="AF73" i="4"/>
  <c r="AG73" i="4"/>
  <c r="AH73" i="4"/>
  <c r="P74" i="4"/>
  <c r="Q74" i="4"/>
  <c r="R74" i="4"/>
  <c r="S74" i="4"/>
  <c r="T74" i="4"/>
  <c r="U74" i="4"/>
  <c r="AE74" i="4"/>
  <c r="AF74" i="4"/>
  <c r="AG74" i="4"/>
  <c r="AH74" i="4"/>
  <c r="P75" i="4"/>
  <c r="Q75" i="4"/>
  <c r="R75" i="4"/>
  <c r="S75" i="4"/>
  <c r="T75" i="4"/>
  <c r="U75" i="4"/>
  <c r="AB75" i="4"/>
  <c r="AE75" i="4"/>
  <c r="AF75" i="4"/>
  <c r="AG75" i="4"/>
  <c r="AH75" i="4"/>
  <c r="M76" i="4"/>
  <c r="P76" i="4"/>
  <c r="Q76" i="4"/>
  <c r="R76" i="4"/>
  <c r="S76" i="4"/>
  <c r="T76" i="4"/>
  <c r="U76" i="4"/>
  <c r="AE76" i="4"/>
  <c r="AF76" i="4"/>
  <c r="AG76" i="4"/>
  <c r="AH76" i="4"/>
  <c r="P77" i="4"/>
  <c r="Q77" i="4"/>
  <c r="R77" i="4"/>
  <c r="S77" i="4"/>
  <c r="T77" i="4"/>
  <c r="U77" i="4"/>
  <c r="W77" i="4"/>
  <c r="P78" i="4"/>
  <c r="Q78" i="4"/>
  <c r="R78" i="4"/>
  <c r="S78" i="4"/>
  <c r="T78" i="4"/>
  <c r="U78" i="4"/>
  <c r="P79" i="4"/>
  <c r="Q79" i="4"/>
  <c r="R79" i="4"/>
  <c r="S79" i="4"/>
  <c r="T79" i="4"/>
  <c r="U79" i="4"/>
  <c r="AE79" i="4"/>
  <c r="AF79" i="4"/>
  <c r="AG79" i="4"/>
  <c r="AH79" i="4"/>
  <c r="P80" i="4"/>
  <c r="Q80" i="4"/>
  <c r="R80" i="4"/>
  <c r="S80" i="4"/>
  <c r="T80" i="4"/>
  <c r="U80" i="4"/>
  <c r="AE80" i="4"/>
  <c r="AF80" i="4"/>
  <c r="AG80" i="4"/>
  <c r="AH80" i="4"/>
  <c r="AJ80" i="4"/>
  <c r="AL80" i="4"/>
  <c r="P81" i="4"/>
  <c r="Q81" i="4"/>
  <c r="R81" i="4"/>
  <c r="S81" i="4"/>
  <c r="T81" i="4"/>
  <c r="U81" i="4"/>
  <c r="AE81" i="4"/>
  <c r="AF81" i="4"/>
  <c r="AG81" i="4"/>
  <c r="AH81" i="4"/>
  <c r="AJ82" i="4"/>
  <c r="AK82" i="4"/>
  <c r="AB85" i="4"/>
  <c r="AE85" i="4"/>
  <c r="AF85" i="4"/>
  <c r="AG85" i="4"/>
  <c r="AH85" i="4"/>
  <c r="P86" i="4"/>
  <c r="Q86" i="4"/>
  <c r="R86" i="4"/>
  <c r="S86" i="4"/>
  <c r="T86" i="4"/>
  <c r="U86" i="4"/>
  <c r="AE86" i="4"/>
  <c r="AF86" i="4"/>
  <c r="P87" i="4"/>
  <c r="Q87" i="4"/>
  <c r="R87" i="4"/>
  <c r="S87" i="4"/>
  <c r="T87" i="4"/>
  <c r="U87" i="4"/>
  <c r="P89" i="4"/>
  <c r="Q89" i="4"/>
  <c r="R89" i="4"/>
  <c r="S89" i="4"/>
  <c r="T89" i="4"/>
  <c r="U89" i="4"/>
  <c r="AE91" i="4"/>
  <c r="AF91" i="4"/>
  <c r="AG91" i="4"/>
  <c r="AH91" i="4"/>
  <c r="AE92" i="4"/>
  <c r="AF92" i="4"/>
  <c r="P96" i="4"/>
  <c r="Q96" i="4"/>
  <c r="R96" i="4"/>
  <c r="S96" i="4"/>
  <c r="T96" i="4"/>
  <c r="U96" i="4"/>
  <c r="W96" i="4"/>
  <c r="AE96" i="4"/>
  <c r="AF96" i="4"/>
  <c r="P97" i="4"/>
  <c r="Q97" i="4"/>
  <c r="R97" i="4"/>
  <c r="S97" i="4"/>
  <c r="T97" i="4"/>
  <c r="U97" i="4"/>
  <c r="AG97" i="4"/>
  <c r="P98" i="4"/>
  <c r="Q98" i="4"/>
  <c r="R98" i="4"/>
  <c r="S98" i="4"/>
  <c r="T98" i="4"/>
  <c r="U98" i="4"/>
  <c r="AG98" i="4"/>
  <c r="AI98" i="4"/>
  <c r="P101" i="4"/>
  <c r="Q101" i="4"/>
  <c r="R101" i="4"/>
  <c r="S101" i="4"/>
  <c r="T101" i="4"/>
  <c r="U101" i="4"/>
  <c r="W101" i="4"/>
  <c r="P102" i="4"/>
  <c r="Q102" i="4"/>
  <c r="R102" i="4"/>
  <c r="S102" i="4"/>
  <c r="T102" i="4"/>
  <c r="U102" i="4"/>
  <c r="AG102" i="4"/>
  <c r="P103" i="4"/>
  <c r="Q103" i="4"/>
  <c r="R103" i="4"/>
  <c r="S103" i="4"/>
  <c r="T103" i="4"/>
  <c r="U103" i="4"/>
  <c r="W103" i="4"/>
  <c r="AG103" i="4"/>
  <c r="P104" i="4"/>
  <c r="Q104" i="4"/>
  <c r="R104" i="4"/>
  <c r="S104" i="4"/>
  <c r="T104" i="4"/>
  <c r="U104" i="4"/>
  <c r="W104" i="4"/>
  <c r="X104" i="4"/>
  <c r="P105" i="4"/>
  <c r="Q105" i="4"/>
  <c r="R105" i="4"/>
  <c r="S105" i="4"/>
  <c r="T105" i="4"/>
  <c r="U105" i="4"/>
  <c r="V105" i="4"/>
  <c r="M106" i="4"/>
  <c r="P106" i="4"/>
  <c r="Q106" i="4"/>
  <c r="R106" i="4"/>
  <c r="S106" i="4"/>
  <c r="T106" i="4"/>
  <c r="U106" i="4"/>
  <c r="W106" i="4"/>
  <c r="X106" i="4"/>
  <c r="P107" i="4"/>
  <c r="Q107" i="4"/>
  <c r="R107" i="4"/>
  <c r="S107" i="4"/>
  <c r="T107" i="4"/>
  <c r="U107" i="4"/>
  <c r="P108" i="4"/>
  <c r="Q108" i="4"/>
  <c r="R108" i="4"/>
  <c r="S108" i="4"/>
  <c r="T108" i="4"/>
  <c r="U108" i="4"/>
  <c r="P109" i="4"/>
  <c r="Q109" i="4"/>
  <c r="R109" i="4"/>
  <c r="S109" i="4"/>
  <c r="T109" i="4"/>
  <c r="U109" i="4"/>
  <c r="P111" i="4"/>
  <c r="Q111" i="4"/>
  <c r="R111" i="4"/>
  <c r="S111" i="4"/>
  <c r="T111" i="4"/>
  <c r="U111" i="4"/>
  <c r="AD111" i="4"/>
  <c r="AE111" i="4"/>
  <c r="AG111" i="4"/>
  <c r="P112" i="4"/>
  <c r="Q112" i="4"/>
  <c r="R112" i="4"/>
  <c r="S112" i="4"/>
  <c r="T112" i="4"/>
  <c r="U112" i="4"/>
  <c r="AB112" i="4"/>
  <c r="AD112" i="4"/>
  <c r="AE112" i="4"/>
  <c r="AD113" i="4"/>
  <c r="AE113" i="4"/>
  <c r="AG113" i="4"/>
  <c r="AD114" i="4"/>
  <c r="AE114" i="4"/>
  <c r="AG114" i="4"/>
  <c r="P117" i="4"/>
  <c r="Q117" i="4"/>
  <c r="R117" i="4"/>
  <c r="S117" i="4"/>
  <c r="T117" i="4"/>
  <c r="U117" i="4"/>
  <c r="AD117" i="4"/>
  <c r="AE117" i="4"/>
  <c r="AG117" i="4"/>
  <c r="P118" i="4"/>
  <c r="Q118" i="4"/>
  <c r="R118" i="4"/>
  <c r="S118" i="4"/>
  <c r="T118" i="4"/>
  <c r="U118" i="4"/>
  <c r="AD118" i="4"/>
  <c r="AE118" i="4"/>
  <c r="AG118" i="4"/>
  <c r="AD119" i="4"/>
  <c r="AE119" i="4"/>
  <c r="AG119" i="4"/>
  <c r="AB120" i="4"/>
  <c r="AD120" i="4"/>
  <c r="AE120" i="4"/>
  <c r="P122" i="4"/>
  <c r="Q122" i="4"/>
  <c r="R122" i="4"/>
  <c r="S122" i="4"/>
  <c r="T122" i="4"/>
  <c r="U122" i="4"/>
  <c r="P129" i="4"/>
  <c r="Q129" i="4"/>
  <c r="R129" i="4"/>
  <c r="S129" i="4"/>
  <c r="T129" i="4"/>
  <c r="U129" i="4"/>
  <c r="P132" i="4"/>
  <c r="Q132" i="4"/>
  <c r="R132" i="4"/>
  <c r="S132" i="4"/>
  <c r="T132" i="4"/>
  <c r="U132" i="4"/>
  <c r="P134" i="4"/>
  <c r="Q134" i="4"/>
  <c r="R134" i="4"/>
  <c r="S134" i="4"/>
  <c r="T134" i="4"/>
  <c r="U134" i="4"/>
  <c r="P135" i="4"/>
  <c r="Q135" i="4"/>
  <c r="R135" i="4"/>
  <c r="S135" i="4"/>
  <c r="T135" i="4"/>
  <c r="U135" i="4"/>
  <c r="P136" i="4"/>
  <c r="Q136" i="4"/>
  <c r="R136" i="4"/>
  <c r="S136" i="4"/>
  <c r="T136" i="4"/>
  <c r="U136" i="4"/>
  <c r="P137" i="4"/>
  <c r="Q137" i="4"/>
  <c r="R137" i="4"/>
  <c r="S137" i="4"/>
  <c r="T137" i="4"/>
  <c r="U137" i="4"/>
  <c r="P138" i="4"/>
  <c r="Q138" i="4"/>
  <c r="R138" i="4"/>
  <c r="S138" i="4"/>
  <c r="T138" i="4"/>
  <c r="U138" i="4"/>
  <c r="P139" i="4"/>
  <c r="Q139" i="4"/>
  <c r="R139" i="4"/>
  <c r="S139" i="4"/>
  <c r="T139" i="4"/>
  <c r="U139" i="4"/>
  <c r="P142" i="4"/>
  <c r="Q142" i="4"/>
  <c r="R142" i="4"/>
  <c r="S142" i="4"/>
  <c r="T142" i="4"/>
  <c r="U142" i="4"/>
  <c r="P143" i="4"/>
  <c r="Q143" i="4"/>
  <c r="R143" i="4"/>
  <c r="S143" i="4"/>
  <c r="T143" i="4"/>
  <c r="U143" i="4"/>
  <c r="P150" i="4"/>
  <c r="Q150" i="4"/>
  <c r="R150" i="4"/>
  <c r="S150" i="4"/>
  <c r="T150" i="4"/>
  <c r="U150" i="4"/>
  <c r="P151" i="4"/>
  <c r="Q151" i="4"/>
  <c r="R151" i="4"/>
  <c r="S151" i="4"/>
  <c r="T151" i="4"/>
  <c r="U151" i="4"/>
  <c r="P155" i="4"/>
  <c r="Q155" i="4"/>
  <c r="R155" i="4"/>
  <c r="S155" i="4"/>
  <c r="T155" i="4"/>
  <c r="U155" i="4"/>
  <c r="P161" i="4"/>
  <c r="Q161" i="4"/>
  <c r="R161" i="4"/>
  <c r="S161" i="4"/>
  <c r="T161" i="4"/>
  <c r="U161" i="4"/>
  <c r="P162" i="4"/>
  <c r="Q162" i="4"/>
  <c r="R162" i="4"/>
  <c r="S162" i="4"/>
  <c r="T162" i="4"/>
  <c r="U162" i="4"/>
  <c r="P165" i="4"/>
  <c r="Q165" i="4"/>
  <c r="R165" i="4"/>
  <c r="S165" i="4"/>
  <c r="T165" i="4"/>
  <c r="U165" i="4"/>
  <c r="P173" i="4"/>
  <c r="Q173" i="4"/>
  <c r="R173" i="4"/>
  <c r="S173" i="4"/>
  <c r="T173" i="4"/>
  <c r="U173" i="4"/>
  <c r="P175" i="4"/>
  <c r="Q175" i="4"/>
  <c r="R175" i="4"/>
  <c r="S175" i="4"/>
  <c r="T175" i="4"/>
  <c r="U175" i="4"/>
  <c r="Q177" i="4"/>
  <c r="R177" i="4"/>
  <c r="S177" i="4"/>
  <c r="T177" i="4"/>
  <c r="U177" i="4"/>
  <c r="P178" i="4"/>
  <c r="Q178" i="4"/>
  <c r="R178" i="4"/>
  <c r="S178" i="4"/>
  <c r="T178" i="4"/>
  <c r="U178" i="4"/>
  <c r="M192" i="4"/>
  <c r="M193" i="4"/>
  <c r="P212" i="4"/>
  <c r="Q212" i="4"/>
  <c r="R212" i="4"/>
  <c r="S212" i="4"/>
  <c r="T212" i="4"/>
  <c r="U212" i="4"/>
  <c r="P213" i="4"/>
  <c r="Q213" i="4"/>
  <c r="R213" i="4"/>
  <c r="S213" i="4"/>
  <c r="T213" i="4"/>
  <c r="U213" i="4"/>
  <c r="P214" i="4"/>
  <c r="Q214" i="4"/>
  <c r="R214" i="4"/>
  <c r="S214" i="4"/>
  <c r="T214" i="4"/>
  <c r="U214" i="4"/>
  <c r="P215" i="4"/>
  <c r="Q215" i="4"/>
  <c r="R215" i="4"/>
  <c r="S215" i="4"/>
  <c r="T215" i="4"/>
  <c r="U215" i="4"/>
  <c r="P216" i="4"/>
  <c r="Q216" i="4"/>
  <c r="R216" i="4"/>
  <c r="S216" i="4"/>
  <c r="T216" i="4"/>
  <c r="U216" i="4"/>
  <c r="P217" i="4"/>
  <c r="Q217" i="4"/>
  <c r="R217" i="4"/>
  <c r="S217" i="4"/>
  <c r="T217" i="4"/>
  <c r="U217" i="4"/>
  <c r="P235" i="4"/>
  <c r="Q235" i="4"/>
  <c r="R235" i="4"/>
  <c r="S235" i="4"/>
  <c r="T235" i="4"/>
  <c r="U235" i="4"/>
  <c r="P240" i="4"/>
  <c r="Q240" i="4"/>
  <c r="R240" i="4"/>
  <c r="S240" i="4"/>
  <c r="T240" i="4"/>
  <c r="U240" i="4"/>
  <c r="P241" i="4"/>
  <c r="Q241" i="4"/>
  <c r="R241" i="4"/>
  <c r="S241" i="4"/>
  <c r="T241" i="4"/>
  <c r="U241" i="4"/>
  <c r="P242" i="4"/>
  <c r="Q242" i="4"/>
  <c r="R242" i="4"/>
  <c r="S242" i="4"/>
  <c r="T242" i="4"/>
  <c r="U242" i="4"/>
  <c r="P243" i="4"/>
  <c r="Q243" i="4"/>
  <c r="R243" i="4"/>
  <c r="S243" i="4"/>
  <c r="T243" i="4"/>
  <c r="U243" i="4"/>
  <c r="Q245" i="4"/>
  <c r="R245" i="4"/>
  <c r="S245" i="4"/>
  <c r="T245" i="4"/>
  <c r="U245" i="4"/>
  <c r="P246" i="4"/>
  <c r="Q246" i="4"/>
  <c r="R246" i="4"/>
  <c r="S246" i="4"/>
  <c r="T246" i="4"/>
  <c r="U246" i="4"/>
  <c r="P247" i="4"/>
  <c r="Q247" i="4"/>
  <c r="R247" i="4"/>
  <c r="S247" i="4"/>
  <c r="T247" i="4"/>
  <c r="U247" i="4"/>
  <c r="P252" i="4"/>
  <c r="Q252" i="4"/>
  <c r="R252" i="4"/>
  <c r="S252" i="4"/>
  <c r="T252" i="4"/>
  <c r="U252" i="4"/>
  <c r="Q256" i="4"/>
  <c r="R256" i="4"/>
  <c r="S256" i="4"/>
  <c r="T256" i="4"/>
  <c r="U256" i="4"/>
  <c r="P257" i="4"/>
  <c r="Q257" i="4"/>
  <c r="R257" i="4"/>
  <c r="S257" i="4"/>
  <c r="T257" i="4"/>
  <c r="U257" i="4"/>
  <c r="J258" i="4"/>
  <c r="K258" i="4"/>
  <c r="K260" i="4"/>
  <c r="P260" i="4"/>
  <c r="Q260" i="4"/>
  <c r="R260" i="4"/>
  <c r="S260" i="4"/>
  <c r="T260" i="4"/>
  <c r="U260" i="4"/>
  <c r="P262" i="4"/>
  <c r="Q262" i="4"/>
  <c r="R262" i="4"/>
  <c r="S262" i="4"/>
  <c r="T262" i="4"/>
  <c r="U262" i="4"/>
  <c r="P264" i="4"/>
  <c r="Q264" i="4"/>
  <c r="R264" i="4"/>
  <c r="S264" i="4"/>
  <c r="T264" i="4"/>
  <c r="U264" i="4"/>
  <c r="P266" i="4"/>
  <c r="Q266" i="4"/>
  <c r="R266" i="4"/>
  <c r="S266" i="4"/>
  <c r="T266" i="4"/>
  <c r="U266" i="4"/>
  <c r="J267" i="4"/>
  <c r="K267" i="4"/>
  <c r="P267" i="4"/>
  <c r="Q267" i="4"/>
  <c r="R267" i="4"/>
  <c r="S267" i="4"/>
  <c r="T267" i="4"/>
  <c r="U267" i="4"/>
  <c r="J268" i="4"/>
  <c r="K268" i="4"/>
  <c r="J269" i="4"/>
  <c r="K269" i="4"/>
  <c r="J272" i="4"/>
  <c r="K272" i="4"/>
  <c r="L272" i="4"/>
  <c r="M272" i="4"/>
  <c r="N272" i="4"/>
  <c r="O272" i="4"/>
  <c r="P272" i="4"/>
  <c r="Q272" i="4"/>
  <c r="R272" i="4"/>
  <c r="S272" i="4"/>
  <c r="T272" i="4"/>
  <c r="U272" i="4"/>
  <c r="Q281" i="4"/>
  <c r="R281" i="4"/>
  <c r="S281" i="4"/>
  <c r="T281" i="4"/>
  <c r="U281" i="4"/>
  <c r="P283" i="4"/>
  <c r="Q283" i="4"/>
  <c r="R283" i="4"/>
  <c r="S283" i="4"/>
  <c r="T283" i="4"/>
  <c r="U283" i="4"/>
  <c r="P285" i="4"/>
  <c r="Q285" i="4"/>
  <c r="R285" i="4"/>
  <c r="S285" i="4"/>
  <c r="T285" i="4"/>
  <c r="U285" i="4"/>
  <c r="P286" i="4"/>
  <c r="Q286" i="4"/>
  <c r="R286" i="4"/>
  <c r="S286" i="4"/>
  <c r="T286" i="4"/>
  <c r="U286" i="4"/>
  <c r="P287" i="4"/>
  <c r="Q287" i="4"/>
  <c r="R287" i="4"/>
  <c r="S287" i="4"/>
  <c r="T287" i="4"/>
  <c r="U287" i="4"/>
  <c r="P290" i="4"/>
  <c r="Q290" i="4"/>
  <c r="R290" i="4"/>
  <c r="S290" i="4"/>
  <c r="T290" i="4"/>
  <c r="U290" i="4"/>
  <c r="P291" i="4"/>
  <c r="Q291" i="4"/>
  <c r="R291" i="4"/>
  <c r="S291" i="4"/>
  <c r="T291" i="4"/>
  <c r="U291" i="4"/>
  <c r="Q293" i="4"/>
  <c r="R293" i="4"/>
  <c r="S293" i="4"/>
  <c r="T293" i="4"/>
  <c r="U293" i="4"/>
  <c r="P294" i="4"/>
  <c r="Q294" i="4"/>
  <c r="R294" i="4"/>
  <c r="S294" i="4"/>
  <c r="T294" i="4"/>
  <c r="U294" i="4"/>
  <c r="P295" i="4"/>
  <c r="Q295" i="4"/>
  <c r="R295" i="4"/>
  <c r="S295" i="4"/>
  <c r="T295" i="4"/>
  <c r="U295" i="4"/>
  <c r="P299" i="4"/>
  <c r="Q299" i="4"/>
  <c r="R299" i="4"/>
  <c r="S299" i="4"/>
  <c r="T299" i="4"/>
  <c r="U299" i="4"/>
  <c r="P300" i="4"/>
  <c r="Q300" i="4"/>
  <c r="R300" i="4"/>
  <c r="S300" i="4"/>
  <c r="T300" i="4"/>
  <c r="U300" i="4"/>
  <c r="P303" i="4"/>
  <c r="Q303" i="4"/>
  <c r="R303" i="4"/>
  <c r="S303" i="4"/>
  <c r="T303" i="4"/>
  <c r="U303" i="4"/>
  <c r="P304" i="4"/>
  <c r="Q304" i="4"/>
  <c r="R304" i="4"/>
  <c r="S304" i="4"/>
  <c r="T304" i="4"/>
  <c r="U304" i="4"/>
  <c r="M307" i="4"/>
  <c r="P307" i="4"/>
  <c r="Q307" i="4"/>
  <c r="R307" i="4"/>
  <c r="S307" i="4"/>
  <c r="T307" i="4"/>
  <c r="U307" i="4"/>
  <c r="M308" i="4"/>
  <c r="P308" i="4"/>
  <c r="Q308" i="4"/>
  <c r="R308" i="4"/>
  <c r="S308" i="4"/>
  <c r="T308" i="4"/>
  <c r="U308" i="4"/>
  <c r="P309" i="4"/>
  <c r="Q309" i="4"/>
  <c r="R309" i="4"/>
  <c r="S309" i="4"/>
  <c r="T309" i="4"/>
  <c r="U309" i="4"/>
  <c r="P310" i="4"/>
  <c r="Q310" i="4"/>
  <c r="R310" i="4"/>
  <c r="S310" i="4"/>
  <c r="T310" i="4"/>
  <c r="U310" i="4"/>
  <c r="P313" i="4"/>
  <c r="Q313" i="4"/>
  <c r="R313" i="4"/>
  <c r="S313" i="4"/>
  <c r="T313" i="4"/>
  <c r="U313" i="4"/>
  <c r="P314" i="4"/>
  <c r="Q314" i="4"/>
  <c r="R314" i="4"/>
  <c r="S314" i="4"/>
  <c r="T314" i="4"/>
  <c r="U314" i="4"/>
  <c r="M317" i="4"/>
  <c r="N317" i="4"/>
  <c r="P317" i="4"/>
  <c r="Q317" i="4"/>
  <c r="R317" i="4"/>
  <c r="S317" i="4"/>
  <c r="T317" i="4"/>
  <c r="U317" i="4"/>
  <c r="P318" i="4"/>
  <c r="Q318" i="4"/>
  <c r="R318" i="4"/>
  <c r="S318" i="4"/>
  <c r="T318" i="4"/>
  <c r="U318" i="4"/>
  <c r="P319" i="4"/>
  <c r="Q319" i="4"/>
  <c r="R319" i="4"/>
  <c r="S319" i="4"/>
  <c r="T319" i="4"/>
  <c r="U319" i="4"/>
  <c r="P320" i="4"/>
  <c r="Q320" i="4"/>
  <c r="R320" i="4"/>
  <c r="S320" i="4"/>
  <c r="T320" i="4"/>
  <c r="U320" i="4"/>
  <c r="M325" i="4"/>
  <c r="M326" i="4"/>
  <c r="P328" i="4"/>
  <c r="Q328" i="4"/>
  <c r="R328" i="4"/>
  <c r="S328" i="4"/>
  <c r="T328" i="4"/>
  <c r="U328" i="4"/>
  <c r="P329" i="4"/>
  <c r="Q329" i="4"/>
  <c r="R329" i="4"/>
  <c r="S329" i="4"/>
  <c r="T329" i="4"/>
  <c r="U329" i="4"/>
  <c r="BN28" i="38"/>
  <c r="S1" i="100"/>
  <c r="T1" i="100"/>
  <c r="N2" i="100"/>
  <c r="O4" i="100"/>
  <c r="N6" i="100"/>
  <c r="N8" i="100"/>
  <c r="N11" i="100"/>
  <c r="N14" i="100"/>
  <c r="N16" i="100"/>
  <c r="N3" i="60"/>
  <c r="P3" i="60"/>
  <c r="U3" i="60"/>
  <c r="W3" i="60"/>
  <c r="X3" i="60"/>
  <c r="Z3" i="60"/>
  <c r="N4" i="60"/>
  <c r="T4" i="60"/>
  <c r="U4" i="60"/>
  <c r="X4" i="60"/>
  <c r="T6" i="60"/>
  <c r="T8" i="60"/>
  <c r="N9" i="60"/>
  <c r="P9" i="60"/>
  <c r="U9" i="60"/>
  <c r="W9" i="60"/>
  <c r="N10" i="60"/>
  <c r="T10" i="60"/>
  <c r="U10" i="60"/>
  <c r="T12" i="60"/>
  <c r="T14" i="60"/>
  <c r="T17" i="60"/>
  <c r="T19" i="60"/>
  <c r="L30" i="60"/>
  <c r="M31" i="60"/>
  <c r="S39" i="60"/>
  <c r="S40" i="60"/>
  <c r="B4" i="101"/>
  <c r="C4" i="101"/>
  <c r="F4" i="101"/>
  <c r="G4" i="101"/>
  <c r="H4" i="101"/>
  <c r="I4" i="101"/>
  <c r="J4" i="101"/>
  <c r="L4" i="101"/>
  <c r="M4" i="101"/>
  <c r="N4" i="101"/>
  <c r="P4" i="101"/>
  <c r="Q4" i="101"/>
  <c r="B6" i="101"/>
  <c r="C6" i="101"/>
  <c r="F6" i="101"/>
  <c r="G6" i="101"/>
  <c r="H6" i="101"/>
  <c r="I6" i="101"/>
  <c r="J6" i="101"/>
  <c r="L6" i="101"/>
  <c r="M6" i="101"/>
  <c r="N6" i="101"/>
  <c r="P6" i="101"/>
  <c r="Q6" i="101"/>
  <c r="B7" i="101"/>
  <c r="C7" i="101"/>
  <c r="F7" i="101"/>
  <c r="G7" i="101"/>
  <c r="H7" i="101"/>
  <c r="I7" i="101"/>
  <c r="J7" i="101"/>
  <c r="L7" i="101"/>
  <c r="M7" i="101"/>
  <c r="N7" i="101"/>
  <c r="P7" i="101"/>
  <c r="Q7" i="101"/>
  <c r="B9" i="101"/>
  <c r="C9" i="101"/>
  <c r="F9" i="101"/>
  <c r="G9" i="101"/>
  <c r="H9" i="101"/>
  <c r="I9" i="101"/>
  <c r="J9" i="101"/>
  <c r="L9" i="101"/>
  <c r="M9" i="101"/>
  <c r="N9" i="101"/>
  <c r="P9" i="101"/>
  <c r="Q9" i="101"/>
  <c r="B11" i="101"/>
  <c r="C11" i="101"/>
  <c r="B12" i="101"/>
  <c r="C12" i="101"/>
  <c r="B13" i="101"/>
  <c r="C13" i="101"/>
  <c r="B14" i="101"/>
  <c r="C14" i="101"/>
  <c r="B15" i="101"/>
  <c r="C15" i="101"/>
  <c r="B16" i="101"/>
  <c r="C16" i="101"/>
  <c r="B17" i="101"/>
  <c r="C17" i="101"/>
  <c r="B19" i="101"/>
  <c r="C19" i="101"/>
  <c r="B20" i="101"/>
  <c r="C20" i="101"/>
  <c r="B21" i="101"/>
  <c r="C21" i="101"/>
  <c r="B22" i="101"/>
  <c r="C22" i="101"/>
  <c r="D3" i="94"/>
  <c r="E3" i="94"/>
  <c r="F3" i="94"/>
  <c r="D4" i="94"/>
  <c r="E4" i="94"/>
  <c r="F4" i="94"/>
  <c r="E5" i="94"/>
  <c r="F5" i="94"/>
  <c r="E6" i="94"/>
  <c r="F6" i="94"/>
  <c r="C8" i="94"/>
  <c r="D8" i="94"/>
  <c r="E8" i="94"/>
  <c r="F8" i="94"/>
  <c r="G24" i="94"/>
  <c r="H24" i="94"/>
  <c r="E25" i="94"/>
  <c r="F25" i="94"/>
  <c r="G25" i="94"/>
  <c r="H25" i="94"/>
  <c r="E26" i="94"/>
  <c r="F26" i="94"/>
  <c r="G26" i="94"/>
  <c r="H26" i="94"/>
  <c r="G27" i="94"/>
  <c r="H27" i="94"/>
  <c r="C32" i="94"/>
  <c r="C34" i="94"/>
  <c r="C104" i="94"/>
  <c r="D104" i="94"/>
  <c r="C105" i="94"/>
  <c r="D105" i="94"/>
  <c r="C106" i="94"/>
  <c r="D106" i="94"/>
  <c r="C109" i="94"/>
  <c r="C111" i="94"/>
  <c r="C112" i="94"/>
  <c r="C114" i="94"/>
  <c r="C118" i="94"/>
  <c r="C119" i="94"/>
  <c r="C120" i="94"/>
  <c r="C121" i="94"/>
  <c r="C122" i="94"/>
  <c r="Q23" i="79"/>
  <c r="R23" i="79"/>
  <c r="Q24" i="79"/>
  <c r="T25" i="79"/>
  <c r="U25" i="79"/>
  <c r="V25" i="79"/>
  <c r="W25" i="79"/>
  <c r="X25" i="79"/>
  <c r="Y25" i="79"/>
  <c r="Z25" i="79"/>
  <c r="Q26" i="79"/>
  <c r="T26" i="79"/>
  <c r="U26" i="79"/>
  <c r="V26" i="79"/>
  <c r="W26" i="79"/>
  <c r="X26" i="79"/>
  <c r="Y26" i="79"/>
  <c r="Z26" i="79"/>
  <c r="T27" i="79"/>
  <c r="U27" i="79"/>
  <c r="V27" i="79"/>
  <c r="W27" i="79"/>
  <c r="X27" i="79"/>
  <c r="Y27" i="79"/>
  <c r="Z27" i="79"/>
  <c r="T28" i="79"/>
  <c r="U28" i="79"/>
  <c r="V28" i="79"/>
  <c r="W28" i="79"/>
  <c r="X28" i="79"/>
  <c r="Y28" i="79"/>
  <c r="Z28" i="79"/>
  <c r="Q29" i="79"/>
  <c r="R29" i="79"/>
  <c r="T35" i="79"/>
  <c r="U35" i="79"/>
  <c r="V35" i="79"/>
  <c r="W35" i="79"/>
  <c r="X35" i="79"/>
  <c r="T36" i="79"/>
  <c r="U36" i="79"/>
  <c r="V36" i="79"/>
  <c r="W36" i="79"/>
  <c r="X36" i="79"/>
  <c r="Q37" i="79"/>
  <c r="T37" i="79"/>
  <c r="U37" i="79"/>
  <c r="V37" i="79"/>
  <c r="W37" i="79"/>
  <c r="X37" i="79"/>
  <c r="Q39" i="79"/>
  <c r="T39" i="79"/>
  <c r="U39" i="79"/>
  <c r="V39" i="79"/>
  <c r="W39" i="79"/>
  <c r="X39" i="79"/>
  <c r="Y39" i="79"/>
  <c r="Z39" i="79"/>
  <c r="Q40" i="79"/>
  <c r="R40" i="79"/>
  <c r="T40" i="79"/>
  <c r="U40" i="79"/>
  <c r="V40" i="79"/>
  <c r="W40" i="79"/>
  <c r="X40" i="79"/>
  <c r="A1" i="63"/>
  <c r="BF5" i="63"/>
  <c r="BG5" i="63"/>
  <c r="BH5" i="63"/>
  <c r="BI5" i="63"/>
  <c r="BJ5" i="63"/>
  <c r="BK5" i="63"/>
  <c r="BL5" i="63"/>
  <c r="BM5" i="63"/>
  <c r="BN5" i="63"/>
  <c r="BO5" i="63"/>
  <c r="BP5" i="63"/>
  <c r="BQ5" i="63"/>
  <c r="BR5" i="63"/>
  <c r="BS5" i="63"/>
  <c r="BT5" i="63"/>
  <c r="BU5" i="63"/>
  <c r="BV5" i="63"/>
  <c r="BW5" i="63"/>
  <c r="BX5" i="63"/>
  <c r="CA5" i="63"/>
  <c r="CB5" i="63"/>
  <c r="CC5" i="63"/>
  <c r="CD5" i="63"/>
  <c r="CE5" i="63"/>
  <c r="CF5" i="63"/>
  <c r="CG5" i="63"/>
  <c r="CH5" i="63"/>
  <c r="CI5" i="63"/>
  <c r="CJ5" i="63"/>
  <c r="CN5" i="63"/>
  <c r="CO5" i="63"/>
  <c r="CP5" i="63"/>
  <c r="CQ5" i="63"/>
  <c r="CR5" i="63"/>
  <c r="CS5" i="63"/>
  <c r="CT5" i="63"/>
  <c r="CU5" i="63"/>
  <c r="CV5" i="63"/>
  <c r="CZ5" i="63"/>
  <c r="DA5" i="63"/>
  <c r="DB5" i="63"/>
  <c r="DC5" i="63"/>
  <c r="DD5" i="63"/>
  <c r="DE5" i="63"/>
  <c r="DF5" i="63"/>
  <c r="DG5" i="63"/>
  <c r="DH5" i="63"/>
  <c r="DL5" i="63"/>
  <c r="DM5" i="63"/>
  <c r="DN5" i="63"/>
  <c r="DO5" i="63"/>
  <c r="DP5" i="63"/>
  <c r="DQ5" i="63"/>
  <c r="DR5" i="63"/>
  <c r="DS5" i="63"/>
  <c r="DT5" i="63"/>
  <c r="DX5" i="63"/>
  <c r="DY5" i="63"/>
  <c r="DZ5" i="63"/>
  <c r="EA5" i="63"/>
  <c r="EB5" i="63"/>
  <c r="EC5" i="63"/>
  <c r="ED5" i="63"/>
  <c r="EE5" i="63"/>
  <c r="EF5" i="63"/>
  <c r="EJ5" i="63"/>
  <c r="EK5" i="63"/>
  <c r="EL5" i="63"/>
  <c r="EM5" i="63"/>
  <c r="EN5" i="63"/>
  <c r="EO5" i="63"/>
  <c r="EP5" i="63"/>
  <c r="EQ5" i="63"/>
  <c r="ER5" i="63"/>
  <c r="EV5" i="63"/>
  <c r="EW5" i="63"/>
  <c r="EX5" i="63"/>
  <c r="EY5" i="63"/>
  <c r="EZ5" i="63"/>
  <c r="FA5" i="63"/>
  <c r="FB5" i="63"/>
  <c r="FC5" i="63"/>
  <c r="FD5" i="63"/>
  <c r="FH5" i="63"/>
  <c r="FI5" i="63"/>
  <c r="FJ5" i="63"/>
  <c r="FK5" i="63"/>
  <c r="FL5" i="63"/>
  <c r="FM5" i="63"/>
  <c r="FN5" i="63"/>
  <c r="FO5" i="63"/>
  <c r="FP5" i="63"/>
  <c r="FT5" i="63"/>
  <c r="FU5" i="63"/>
  <c r="FV5" i="63"/>
  <c r="FW5" i="63"/>
  <c r="FX5" i="63"/>
  <c r="FY5" i="63"/>
  <c r="BF6" i="63"/>
  <c r="BG6" i="63"/>
  <c r="BH6" i="63"/>
  <c r="BI6" i="63"/>
  <c r="BJ6" i="63"/>
  <c r="BK6" i="63"/>
  <c r="BL6" i="63"/>
  <c r="BM6" i="63"/>
  <c r="BN6" i="63"/>
  <c r="BO6" i="63"/>
  <c r="BP6" i="63"/>
  <c r="BQ6" i="63"/>
  <c r="BR6" i="63"/>
  <c r="BS6" i="63"/>
  <c r="BT6" i="63"/>
  <c r="BU6" i="63"/>
  <c r="BV6" i="63"/>
  <c r="BW6" i="63"/>
  <c r="BX6" i="63"/>
  <c r="CA6" i="63"/>
  <c r="CB6" i="63"/>
  <c r="CC6" i="63"/>
  <c r="CD6" i="63"/>
  <c r="CE6" i="63"/>
  <c r="CF6" i="63"/>
  <c r="CG6" i="63"/>
  <c r="CH6" i="63"/>
  <c r="CI6" i="63"/>
  <c r="CJ6" i="63"/>
  <c r="CN6" i="63"/>
  <c r="CO6" i="63"/>
  <c r="CP6" i="63"/>
  <c r="CQ6" i="63"/>
  <c r="CR6" i="63"/>
  <c r="CS6" i="63"/>
  <c r="CT6" i="63"/>
  <c r="CU6" i="63"/>
  <c r="CV6" i="63"/>
  <c r="CZ6" i="63"/>
  <c r="DA6" i="63"/>
  <c r="DB6" i="63"/>
  <c r="DC6" i="63"/>
  <c r="DD6" i="63"/>
  <c r="DE6" i="63"/>
  <c r="DF6" i="63"/>
  <c r="DG6" i="63"/>
  <c r="DH6" i="63"/>
  <c r="DL6" i="63"/>
  <c r="DM6" i="63"/>
  <c r="DN6" i="63"/>
  <c r="DO6" i="63"/>
  <c r="DP6" i="63"/>
  <c r="DQ6" i="63"/>
  <c r="DR6" i="63"/>
  <c r="DS6" i="63"/>
  <c r="DT6" i="63"/>
  <c r="DX6" i="63"/>
  <c r="DY6" i="63"/>
  <c r="DZ6" i="63"/>
  <c r="EA6" i="63"/>
  <c r="EB6" i="63"/>
  <c r="EC6" i="63"/>
  <c r="ED6" i="63"/>
  <c r="EE6" i="63"/>
  <c r="EF6" i="63"/>
  <c r="EJ6" i="63"/>
  <c r="EK6" i="63"/>
  <c r="EL6" i="63"/>
  <c r="EM6" i="63"/>
  <c r="EN6" i="63"/>
  <c r="EO6" i="63"/>
  <c r="EP6" i="63"/>
  <c r="EQ6" i="63"/>
  <c r="ER6" i="63"/>
  <c r="EV6" i="63"/>
  <c r="EW6" i="63"/>
  <c r="EX6" i="63"/>
  <c r="EY6" i="63"/>
  <c r="EZ6" i="63"/>
  <c r="FA6" i="63"/>
  <c r="FB6" i="63"/>
  <c r="FC6" i="63"/>
  <c r="FD6" i="63"/>
  <c r="FH6" i="63"/>
  <c r="FI6" i="63"/>
  <c r="FJ6" i="63"/>
  <c r="FK6" i="63"/>
  <c r="FL6" i="63"/>
  <c r="FM6" i="63"/>
  <c r="FN6" i="63"/>
  <c r="FO6" i="63"/>
  <c r="FP6" i="63"/>
  <c r="FT6" i="63"/>
  <c r="FU6" i="63"/>
  <c r="FV6" i="63"/>
  <c r="FW6" i="63"/>
  <c r="FX6" i="63"/>
  <c r="FY6" i="63"/>
  <c r="BF7" i="63"/>
  <c r="BG7" i="63"/>
  <c r="BH7" i="63"/>
  <c r="BI7" i="63"/>
  <c r="BJ7" i="63"/>
  <c r="BK7" i="63"/>
  <c r="BL7" i="63"/>
  <c r="BM7" i="63"/>
  <c r="BN7" i="63"/>
  <c r="BO7" i="63"/>
  <c r="BP7" i="63"/>
  <c r="BQ7" i="63"/>
  <c r="BR7" i="63"/>
  <c r="BS7" i="63"/>
  <c r="BT7" i="63"/>
  <c r="BU7" i="63"/>
  <c r="BV7" i="63"/>
  <c r="BW7" i="63"/>
  <c r="BX7" i="63"/>
  <c r="BZ7" i="63"/>
  <c r="CA7" i="63"/>
  <c r="CB7" i="63"/>
  <c r="CC7" i="63"/>
  <c r="CD7" i="63"/>
  <c r="CE7" i="63"/>
  <c r="CF7" i="63"/>
  <c r="CG7" i="63"/>
  <c r="CH7" i="63"/>
  <c r="CI7" i="63"/>
  <c r="CJ7" i="63"/>
  <c r="CN7" i="63"/>
  <c r="CO7" i="63"/>
  <c r="CP7" i="63"/>
  <c r="CQ7" i="63"/>
  <c r="CR7" i="63"/>
  <c r="CS7" i="63"/>
  <c r="CT7" i="63"/>
  <c r="CU7" i="63"/>
  <c r="CV7" i="63"/>
  <c r="CZ7" i="63"/>
  <c r="DA7" i="63"/>
  <c r="DB7" i="63"/>
  <c r="DC7" i="63"/>
  <c r="DD7" i="63"/>
  <c r="DE7" i="63"/>
  <c r="DF7" i="63"/>
  <c r="DG7" i="63"/>
  <c r="DH7" i="63"/>
  <c r="DL7" i="63"/>
  <c r="DM7" i="63"/>
  <c r="DN7" i="63"/>
  <c r="DO7" i="63"/>
  <c r="DP7" i="63"/>
  <c r="DQ7" i="63"/>
  <c r="DR7" i="63"/>
  <c r="DS7" i="63"/>
  <c r="DT7" i="63"/>
  <c r="DX7" i="63"/>
  <c r="DY7" i="63"/>
  <c r="DZ7" i="63"/>
  <c r="EA7" i="63"/>
  <c r="EB7" i="63"/>
  <c r="EC7" i="63"/>
  <c r="ED7" i="63"/>
  <c r="EE7" i="63"/>
  <c r="EF7" i="63"/>
  <c r="EJ7" i="63"/>
  <c r="EK7" i="63"/>
  <c r="EL7" i="63"/>
  <c r="EM7" i="63"/>
  <c r="EN7" i="63"/>
  <c r="EO7" i="63"/>
  <c r="EP7" i="63"/>
  <c r="EQ7" i="63"/>
  <c r="ER7" i="63"/>
  <c r="EV7" i="63"/>
  <c r="EW7" i="63"/>
  <c r="EX7" i="63"/>
  <c r="EY7" i="63"/>
  <c r="EZ7" i="63"/>
  <c r="FA7" i="63"/>
  <c r="FB7" i="63"/>
  <c r="FC7" i="63"/>
  <c r="FD7" i="63"/>
  <c r="FH7" i="63"/>
  <c r="FI7" i="63"/>
  <c r="FJ7" i="63"/>
  <c r="FK7" i="63"/>
  <c r="FL7" i="63"/>
  <c r="FM7" i="63"/>
  <c r="FN7" i="63"/>
  <c r="FO7" i="63"/>
  <c r="FP7" i="63"/>
  <c r="FT7" i="63"/>
  <c r="FU7" i="63"/>
  <c r="FV7" i="63"/>
  <c r="FW7" i="63"/>
  <c r="FX7" i="63"/>
  <c r="FY7" i="63"/>
  <c r="BN8" i="63"/>
  <c r="BQ8" i="63"/>
  <c r="BF9" i="63"/>
  <c r="BG9" i="63"/>
  <c r="BH9" i="63"/>
  <c r="BI9" i="63"/>
  <c r="BL9" i="63"/>
  <c r="BM9" i="63"/>
  <c r="BN9" i="63"/>
  <c r="BQ9" i="63"/>
  <c r="BV9" i="63"/>
  <c r="BW9" i="63"/>
  <c r="BX9" i="63"/>
  <c r="BY9" i="63"/>
  <c r="BZ9" i="63"/>
  <c r="CA9" i="63"/>
  <c r="CB9" i="63"/>
  <c r="CC9" i="63"/>
  <c r="CD9" i="63"/>
  <c r="CE9" i="63"/>
  <c r="CF9" i="63"/>
  <c r="CG9" i="63"/>
  <c r="CH9" i="63"/>
  <c r="CI9" i="63"/>
  <c r="CJ9" i="63"/>
  <c r="CN9" i="63"/>
  <c r="CO9" i="63"/>
  <c r="CP9" i="63"/>
  <c r="CQ9" i="63"/>
  <c r="CR9" i="63"/>
  <c r="CS9" i="63"/>
  <c r="CT9" i="63"/>
  <c r="CU9" i="63"/>
  <c r="CV9" i="63"/>
  <c r="CZ9" i="63"/>
  <c r="DA9" i="63"/>
  <c r="DB9" i="63"/>
  <c r="DC9" i="63"/>
  <c r="DD9" i="63"/>
  <c r="DE9" i="63"/>
  <c r="ED9" i="63"/>
  <c r="EE9" i="63"/>
  <c r="EF9" i="63"/>
  <c r="EJ9" i="63"/>
  <c r="EK9" i="63"/>
  <c r="EL9" i="63"/>
  <c r="EM9" i="63"/>
  <c r="EN9" i="63"/>
  <c r="EO9" i="63"/>
  <c r="EP9" i="63"/>
  <c r="EQ9" i="63"/>
  <c r="ER9" i="63"/>
  <c r="EV9" i="63"/>
  <c r="EW9" i="63"/>
  <c r="EX9" i="63"/>
  <c r="EY9" i="63"/>
  <c r="EZ9" i="63"/>
  <c r="FA9" i="63"/>
  <c r="FB9" i="63"/>
  <c r="FC9" i="63"/>
  <c r="FD9" i="63"/>
  <c r="FH9" i="63"/>
  <c r="FI9" i="63"/>
  <c r="FJ9" i="63"/>
  <c r="FK9" i="63"/>
  <c r="FL9" i="63"/>
  <c r="FM9" i="63"/>
  <c r="FN9" i="63"/>
  <c r="FO9" i="63"/>
  <c r="FP9" i="63"/>
  <c r="FT9" i="63"/>
  <c r="FU9" i="63"/>
  <c r="FV9" i="63"/>
  <c r="FW9" i="63"/>
  <c r="FX9" i="63"/>
  <c r="FY9" i="63"/>
  <c r="BF12" i="63"/>
  <c r="BG12" i="63"/>
  <c r="BH12" i="63"/>
  <c r="BI12" i="63"/>
  <c r="BM12" i="63"/>
  <c r="BN12" i="63"/>
  <c r="BO12" i="63"/>
  <c r="BP12" i="63"/>
  <c r="BQ12" i="63"/>
  <c r="BR12" i="63"/>
  <c r="BS12" i="63"/>
  <c r="BT12" i="63"/>
  <c r="BU12" i="63"/>
  <c r="BV12" i="63"/>
  <c r="BW12" i="63"/>
  <c r="BX12" i="63"/>
  <c r="BZ12" i="63"/>
  <c r="CA12" i="63"/>
  <c r="CB12" i="63"/>
  <c r="CC12" i="63"/>
  <c r="CD12" i="63"/>
  <c r="CE12" i="63"/>
  <c r="CF12" i="63"/>
  <c r="CG12" i="63"/>
  <c r="CH12" i="63"/>
  <c r="CI12" i="63"/>
  <c r="CJ12" i="63"/>
  <c r="CN12" i="63"/>
  <c r="CO12" i="63"/>
  <c r="CP12" i="63"/>
  <c r="CQ12" i="63"/>
  <c r="CR12" i="63"/>
  <c r="CS12" i="63"/>
  <c r="CT12" i="63"/>
  <c r="CU12" i="63"/>
  <c r="CV12" i="63"/>
  <c r="CZ12" i="63"/>
  <c r="DA12" i="63"/>
  <c r="DB12" i="63"/>
  <c r="DC12" i="63"/>
  <c r="DD12" i="63"/>
  <c r="DE12" i="63"/>
  <c r="DF12" i="63"/>
  <c r="DG12" i="63"/>
  <c r="DH12" i="63"/>
  <c r="DL12" i="63"/>
  <c r="DM12" i="63"/>
  <c r="DN12" i="63"/>
  <c r="DO12" i="63"/>
  <c r="DP12" i="63"/>
  <c r="DQ12" i="63"/>
  <c r="DR12" i="63"/>
  <c r="DS12" i="63"/>
  <c r="DT12" i="63"/>
  <c r="DX12" i="63"/>
  <c r="DY12" i="63"/>
  <c r="DZ12" i="63"/>
  <c r="EA12" i="63"/>
  <c r="EB12" i="63"/>
  <c r="EC12" i="63"/>
  <c r="ED12" i="63"/>
  <c r="EE12" i="63"/>
  <c r="EF12" i="63"/>
  <c r="EJ12" i="63"/>
  <c r="EK12" i="63"/>
  <c r="EL12" i="63"/>
  <c r="EM12" i="63"/>
  <c r="EN12" i="63"/>
  <c r="EO12" i="63"/>
  <c r="EP12" i="63"/>
  <c r="EQ12" i="63"/>
  <c r="ER12" i="63"/>
  <c r="EV12" i="63"/>
  <c r="EW12" i="63"/>
  <c r="EX12" i="63"/>
  <c r="EY12" i="63"/>
  <c r="EZ12" i="63"/>
  <c r="FA12" i="63"/>
  <c r="FB12" i="63"/>
  <c r="FC12" i="63"/>
  <c r="FD12" i="63"/>
  <c r="FH12" i="63"/>
  <c r="FI12" i="63"/>
  <c r="FJ12" i="63"/>
  <c r="FK12" i="63"/>
  <c r="FL12" i="63"/>
  <c r="FM12" i="63"/>
  <c r="FN12" i="63"/>
  <c r="FO12" i="63"/>
  <c r="FP12" i="63"/>
  <c r="FT12" i="63"/>
  <c r="FU12" i="63"/>
  <c r="FV12" i="63"/>
  <c r="FW12" i="63"/>
  <c r="FX12" i="63"/>
  <c r="FY12" i="63"/>
  <c r="BG13" i="63"/>
  <c r="BH13" i="63"/>
  <c r="BI13" i="63"/>
  <c r="BM13" i="63"/>
  <c r="BN13" i="63"/>
  <c r="BO13" i="63"/>
  <c r="BQ13" i="63"/>
  <c r="BR13" i="63"/>
  <c r="BS13" i="63"/>
  <c r="BT13" i="63"/>
  <c r="BU13" i="63"/>
  <c r="BV13" i="63"/>
  <c r="BW13" i="63"/>
  <c r="BX13" i="63"/>
  <c r="BY13" i="63"/>
  <c r="BZ13" i="63"/>
  <c r="CA13" i="63"/>
  <c r="CB13" i="63"/>
  <c r="CC13" i="63"/>
  <c r="CD13" i="63"/>
  <c r="CE13" i="63"/>
  <c r="CF13" i="63"/>
  <c r="CG13" i="63"/>
  <c r="CI13" i="63"/>
  <c r="CJ13" i="63"/>
  <c r="CL13" i="63"/>
  <c r="CM13" i="63"/>
  <c r="CN13" i="63"/>
  <c r="CO13" i="63"/>
  <c r="CP13" i="63"/>
  <c r="CQ13" i="63"/>
  <c r="CR13" i="63"/>
  <c r="BF14" i="63"/>
  <c r="BI14" i="63"/>
  <c r="BJ14" i="63"/>
  <c r="BK14" i="63"/>
  <c r="BL14" i="63"/>
  <c r="BM14" i="63"/>
  <c r="BN14" i="63"/>
  <c r="BO14" i="63"/>
  <c r="BP14" i="63"/>
  <c r="BQ14" i="63"/>
  <c r="BV14" i="63"/>
  <c r="BW14" i="63"/>
  <c r="BX14" i="63"/>
  <c r="CA14" i="63"/>
  <c r="CB14" i="63"/>
  <c r="CC14" i="63"/>
  <c r="CH14" i="63"/>
  <c r="CI14" i="63"/>
  <c r="CJ14" i="63"/>
  <c r="CN14" i="63"/>
  <c r="CO14" i="63"/>
  <c r="CT14" i="63"/>
  <c r="CU14" i="63"/>
  <c r="CV14" i="63"/>
  <c r="CZ14" i="63"/>
  <c r="DA14" i="63"/>
  <c r="DF14" i="63"/>
  <c r="DG14" i="63"/>
  <c r="DH14" i="63"/>
  <c r="DL14" i="63"/>
  <c r="DM14" i="63"/>
  <c r="DR14" i="63"/>
  <c r="DS14" i="63"/>
  <c r="DT14" i="63"/>
  <c r="DX14" i="63"/>
  <c r="DY14" i="63"/>
  <c r="ED14" i="63"/>
  <c r="EE14" i="63"/>
  <c r="EF14" i="63"/>
  <c r="EJ14" i="63"/>
  <c r="EK14" i="63"/>
  <c r="EP14" i="63"/>
  <c r="EQ14" i="63"/>
  <c r="ER14" i="63"/>
  <c r="EV14" i="63"/>
  <c r="EW14" i="63"/>
  <c r="FB14" i="63"/>
  <c r="FC14" i="63"/>
  <c r="FD14" i="63"/>
  <c r="FH14" i="63"/>
  <c r="FI14" i="63"/>
  <c r="FN14" i="63"/>
  <c r="FO14" i="63"/>
  <c r="FP14" i="63"/>
  <c r="FT14" i="63"/>
  <c r="FU14" i="63"/>
  <c r="BF18" i="63"/>
  <c r="BI18" i="63"/>
  <c r="BJ18" i="63"/>
  <c r="BK18" i="63"/>
  <c r="BL18" i="63"/>
  <c r="BM18" i="63"/>
  <c r="BN18" i="63"/>
  <c r="BO18" i="63"/>
  <c r="BP18" i="63"/>
  <c r="BQ18" i="63"/>
  <c r="BV18" i="63"/>
  <c r="BW18" i="63"/>
  <c r="BX18" i="63"/>
  <c r="CA18" i="63"/>
  <c r="CB18" i="63"/>
  <c r="CC18" i="63"/>
  <c r="CH18" i="63"/>
  <c r="CI18" i="63"/>
  <c r="CJ18" i="63"/>
  <c r="CN18" i="63"/>
  <c r="CO18" i="63"/>
  <c r="CT18" i="63"/>
  <c r="CU18" i="63"/>
  <c r="CV18" i="63"/>
  <c r="CZ18" i="63"/>
  <c r="DA18" i="63"/>
  <c r="DF18" i="63"/>
  <c r="DG18" i="63"/>
  <c r="DH18" i="63"/>
  <c r="DL18" i="63"/>
  <c r="DM18" i="63"/>
  <c r="DR18" i="63"/>
  <c r="DS18" i="63"/>
  <c r="DT18" i="63"/>
  <c r="DX18" i="63"/>
  <c r="DY18" i="63"/>
  <c r="ED18" i="63"/>
  <c r="EE18" i="63"/>
  <c r="EF18" i="63"/>
  <c r="EJ18" i="63"/>
  <c r="EK18" i="63"/>
  <c r="EP18" i="63"/>
  <c r="EQ18" i="63"/>
  <c r="ER18" i="63"/>
  <c r="EV18" i="63"/>
  <c r="EW18" i="63"/>
  <c r="FB18" i="63"/>
  <c r="FC18" i="63"/>
  <c r="FD18" i="63"/>
  <c r="FH18" i="63"/>
  <c r="FI18" i="63"/>
  <c r="FN18" i="63"/>
  <c r="FO18" i="63"/>
  <c r="FP18" i="63"/>
  <c r="FT18" i="63"/>
  <c r="FU18" i="63"/>
  <c r="BM20" i="63"/>
  <c r="BN20" i="63"/>
  <c r="BO20" i="63"/>
  <c r="BP20" i="63"/>
  <c r="BQ20" i="63"/>
  <c r="BR20" i="63"/>
  <c r="BS20" i="63"/>
  <c r="BT20" i="63"/>
  <c r="BU20" i="63"/>
  <c r="BV20" i="63"/>
  <c r="BW20" i="63"/>
  <c r="BX20" i="63"/>
  <c r="BZ20" i="63"/>
  <c r="CA20" i="63"/>
  <c r="CB20" i="63"/>
  <c r="CC20" i="63"/>
  <c r="CD20" i="63"/>
  <c r="CE20" i="63"/>
  <c r="CF20" i="63"/>
  <c r="CG20" i="63"/>
  <c r="CH20" i="63"/>
  <c r="CI20" i="63"/>
  <c r="CJ20" i="63"/>
  <c r="CN20" i="63"/>
  <c r="CO20" i="63"/>
  <c r="CP20" i="63"/>
  <c r="CQ20" i="63"/>
  <c r="CR20" i="63"/>
  <c r="CS20" i="63"/>
  <c r="CT20" i="63"/>
  <c r="CU20" i="63"/>
  <c r="CV20" i="63"/>
  <c r="CZ20" i="63"/>
  <c r="DA20" i="63"/>
  <c r="DB20" i="63"/>
  <c r="DC20" i="63"/>
  <c r="DD20" i="63"/>
  <c r="DE20" i="63"/>
  <c r="DF20" i="63"/>
  <c r="DG20" i="63"/>
  <c r="DH20" i="63"/>
  <c r="DL20" i="63"/>
  <c r="DM20" i="63"/>
  <c r="DN20" i="63"/>
  <c r="DO20" i="63"/>
  <c r="DP20" i="63"/>
  <c r="DQ20" i="63"/>
  <c r="DR20" i="63"/>
  <c r="DS20" i="63"/>
  <c r="DT20" i="63"/>
  <c r="DX20" i="63"/>
  <c r="DY20" i="63"/>
  <c r="DZ20" i="63"/>
  <c r="EA20" i="63"/>
  <c r="EB20" i="63"/>
  <c r="EC20" i="63"/>
  <c r="ED20" i="63"/>
  <c r="EE20" i="63"/>
  <c r="EF20" i="63"/>
  <c r="EJ20" i="63"/>
  <c r="EK20" i="63"/>
  <c r="EL20" i="63"/>
  <c r="EM20" i="63"/>
  <c r="EN20" i="63"/>
  <c r="EO20" i="63"/>
  <c r="EP20" i="63"/>
  <c r="EQ20" i="63"/>
  <c r="ER20" i="63"/>
  <c r="EV20" i="63"/>
  <c r="EW20" i="63"/>
  <c r="EX20" i="63"/>
  <c r="EY20" i="63"/>
  <c r="EZ20" i="63"/>
  <c r="FA20" i="63"/>
  <c r="FB20" i="63"/>
  <c r="FC20" i="63"/>
  <c r="FD20" i="63"/>
  <c r="FH20" i="63"/>
  <c r="FI20" i="63"/>
  <c r="FJ20" i="63"/>
  <c r="FK20" i="63"/>
  <c r="FL20" i="63"/>
  <c r="FM20" i="63"/>
  <c r="FN20" i="63"/>
  <c r="FO20" i="63"/>
  <c r="FP20" i="63"/>
  <c r="FT20" i="63"/>
  <c r="FU20" i="63"/>
  <c r="FV20" i="63"/>
  <c r="FW20" i="63"/>
  <c r="FX20" i="63"/>
  <c r="FY20" i="63"/>
  <c r="BM22" i="63"/>
  <c r="BN22" i="63"/>
  <c r="BO22" i="63"/>
  <c r="BP22" i="63"/>
  <c r="BQ22" i="63"/>
  <c r="BV22" i="63"/>
  <c r="BW22" i="63"/>
  <c r="BX22" i="63"/>
  <c r="CA22" i="63"/>
  <c r="CB22" i="63"/>
  <c r="CC22" i="63"/>
  <c r="CD22" i="63"/>
  <c r="CE22" i="63"/>
  <c r="CF22" i="63"/>
  <c r="CG22" i="63"/>
  <c r="CI22" i="63"/>
  <c r="CJ22" i="63"/>
  <c r="CN22" i="63"/>
  <c r="CO22" i="63"/>
  <c r="CT22" i="63"/>
  <c r="CU22" i="63"/>
  <c r="CV22" i="63"/>
  <c r="CZ22" i="63"/>
  <c r="DA22" i="63"/>
  <c r="DB22" i="63"/>
  <c r="DC22" i="63"/>
  <c r="DD22" i="63"/>
  <c r="DE22" i="63"/>
  <c r="DF22" i="63"/>
  <c r="DG22" i="63"/>
  <c r="DH22" i="63"/>
  <c r="DL22" i="63"/>
  <c r="DM22" i="63"/>
  <c r="DN22" i="63"/>
  <c r="DO22" i="63"/>
  <c r="DP22" i="63"/>
  <c r="DQ22" i="63"/>
  <c r="DR22" i="63"/>
  <c r="DS22" i="63"/>
  <c r="DT22" i="63"/>
  <c r="DX22" i="63"/>
  <c r="DY22" i="63"/>
  <c r="DZ22" i="63"/>
  <c r="EA22" i="63"/>
  <c r="EB22" i="63"/>
  <c r="EC22" i="63"/>
  <c r="ED22" i="63"/>
  <c r="EE22" i="63"/>
  <c r="EF22" i="63"/>
  <c r="EJ22" i="63"/>
  <c r="EK22" i="63"/>
  <c r="EL22" i="63"/>
  <c r="EM22" i="63"/>
  <c r="EN22" i="63"/>
  <c r="EO22" i="63"/>
  <c r="EP22" i="63"/>
  <c r="EQ22" i="63"/>
  <c r="ER22" i="63"/>
  <c r="EV22" i="63"/>
  <c r="EW22" i="63"/>
  <c r="EX22" i="63"/>
  <c r="EY22" i="63"/>
  <c r="EZ22" i="63"/>
  <c r="FA22" i="63"/>
  <c r="FB22" i="63"/>
  <c r="FC22" i="63"/>
  <c r="FD22" i="63"/>
  <c r="FH22" i="63"/>
  <c r="FI22" i="63"/>
  <c r="FJ22" i="63"/>
  <c r="FK22" i="63"/>
  <c r="FL22" i="63"/>
  <c r="FM22" i="63"/>
  <c r="FN22" i="63"/>
  <c r="FO22" i="63"/>
  <c r="FP22" i="63"/>
  <c r="FT22" i="63"/>
  <c r="FU22" i="63"/>
  <c r="FV22" i="63"/>
  <c r="FW22" i="63"/>
  <c r="FX22" i="63"/>
  <c r="FY22" i="63"/>
  <c r="BM25" i="63"/>
  <c r="BN25" i="63"/>
  <c r="BO25" i="63"/>
  <c r="BP25" i="63"/>
  <c r="BQ25" i="63"/>
  <c r="BR25" i="63"/>
  <c r="BS25" i="63"/>
  <c r="BT25" i="63"/>
  <c r="BU25" i="63"/>
  <c r="BV25" i="63"/>
  <c r="BW25" i="63"/>
  <c r="BX25" i="63"/>
  <c r="BZ25" i="63"/>
  <c r="CA25" i="63"/>
  <c r="CB25" i="63"/>
  <c r="CC25" i="63"/>
  <c r="CD25" i="63"/>
  <c r="CE25" i="63"/>
  <c r="CF25" i="63"/>
  <c r="CG25" i="63"/>
  <c r="CH25" i="63"/>
  <c r="CI25" i="63"/>
  <c r="CJ25" i="63"/>
  <c r="CN25" i="63"/>
  <c r="CO25" i="63"/>
  <c r="CP25" i="63"/>
  <c r="CQ25" i="63"/>
  <c r="CR25" i="63"/>
  <c r="CS25" i="63"/>
  <c r="CT25" i="63"/>
  <c r="CU25" i="63"/>
  <c r="CV25" i="63"/>
  <c r="CZ25" i="63"/>
  <c r="DA25" i="63"/>
  <c r="DB25" i="63"/>
  <c r="DC25" i="63"/>
  <c r="DD25" i="63"/>
  <c r="DE25" i="63"/>
  <c r="DF25" i="63"/>
  <c r="DG25" i="63"/>
  <c r="DH25" i="63"/>
  <c r="DL25" i="63"/>
  <c r="DM25" i="63"/>
  <c r="DN25" i="63"/>
  <c r="DO25" i="63"/>
  <c r="DP25" i="63"/>
  <c r="DQ25" i="63"/>
  <c r="DR25" i="63"/>
  <c r="DS25" i="63"/>
  <c r="DT25" i="63"/>
  <c r="DX25" i="63"/>
  <c r="DY25" i="63"/>
  <c r="DZ25" i="63"/>
  <c r="EA25" i="63"/>
  <c r="EB25" i="63"/>
  <c r="EC25" i="63"/>
  <c r="ED25" i="63"/>
  <c r="EE25" i="63"/>
  <c r="EF25" i="63"/>
  <c r="EJ25" i="63"/>
  <c r="EK25" i="63"/>
  <c r="EL25" i="63"/>
  <c r="EM25" i="63"/>
  <c r="EN25" i="63"/>
  <c r="EO25" i="63"/>
  <c r="EP25" i="63"/>
  <c r="EQ25" i="63"/>
  <c r="ER25" i="63"/>
  <c r="EV25" i="63"/>
  <c r="EW25" i="63"/>
  <c r="EX25" i="63"/>
  <c r="EY25" i="63"/>
  <c r="EZ25" i="63"/>
  <c r="FA25" i="63"/>
  <c r="FB25" i="63"/>
  <c r="FC25" i="63"/>
  <c r="FD25" i="63"/>
  <c r="FH25" i="63"/>
  <c r="FI25" i="63"/>
  <c r="FJ25" i="63"/>
  <c r="FK25" i="63"/>
  <c r="FL25" i="63"/>
  <c r="FM25" i="63"/>
  <c r="FN25" i="63"/>
  <c r="FO25" i="63"/>
  <c r="FP25" i="63"/>
  <c r="FT25" i="63"/>
  <c r="FU25" i="63"/>
  <c r="FV25" i="63"/>
  <c r="FW25" i="63"/>
  <c r="FX25" i="63"/>
  <c r="FY25" i="63"/>
  <c r="BM26" i="63"/>
  <c r="BN26" i="63"/>
  <c r="BO26" i="63"/>
  <c r="BP26" i="63"/>
  <c r="BQ26" i="63"/>
  <c r="BR26" i="63"/>
  <c r="BS26" i="63"/>
  <c r="BT26" i="63"/>
  <c r="BU26" i="63"/>
  <c r="BV26" i="63"/>
  <c r="BW26" i="63"/>
  <c r="BX26" i="63"/>
  <c r="BY26" i="63"/>
  <c r="BZ26" i="63"/>
  <c r="CA26" i="63"/>
  <c r="CB26" i="63"/>
  <c r="CC26" i="63"/>
  <c r="CD26" i="63"/>
  <c r="CE26" i="63"/>
  <c r="CF26" i="63"/>
  <c r="CG26" i="63"/>
  <c r="CJ26" i="63"/>
  <c r="CL26" i="63"/>
  <c r="CM26" i="63"/>
  <c r="CN26" i="63"/>
  <c r="CO26" i="63"/>
  <c r="CP26" i="63"/>
  <c r="CR26" i="63"/>
  <c r="BM28" i="63"/>
  <c r="BN28" i="63"/>
  <c r="BO28" i="63"/>
  <c r="BP28" i="63"/>
  <c r="BQ28" i="63"/>
  <c r="BV28" i="63"/>
  <c r="BW28" i="63"/>
  <c r="BX28" i="63"/>
  <c r="CA28" i="63"/>
  <c r="CB28" i="63"/>
  <c r="CC28" i="63"/>
  <c r="CD28" i="63"/>
  <c r="CE28" i="63"/>
  <c r="CF28" i="63"/>
  <c r="CG28" i="63"/>
  <c r="CH28" i="63"/>
  <c r="CI28" i="63"/>
  <c r="CJ28" i="63"/>
  <c r="CN28" i="63"/>
  <c r="CO28" i="63"/>
  <c r="CP28" i="63"/>
  <c r="CQ28" i="63"/>
  <c r="CR28" i="63"/>
  <c r="CS28" i="63"/>
  <c r="CT28" i="63"/>
  <c r="CU28" i="63"/>
  <c r="CV28" i="63"/>
  <c r="CZ28" i="63"/>
  <c r="DA28" i="63"/>
  <c r="DB28" i="63"/>
  <c r="DC28" i="63"/>
  <c r="DD28" i="63"/>
  <c r="DE28" i="63"/>
  <c r="DF28" i="63"/>
  <c r="DG28" i="63"/>
  <c r="DH28" i="63"/>
  <c r="DL28" i="63"/>
  <c r="DM28" i="63"/>
  <c r="DN28" i="63"/>
  <c r="DO28" i="63"/>
  <c r="DP28" i="63"/>
  <c r="DQ28" i="63"/>
  <c r="DR28" i="63"/>
  <c r="DS28" i="63"/>
  <c r="DT28" i="63"/>
  <c r="DX28" i="63"/>
  <c r="DY28" i="63"/>
  <c r="DZ28" i="63"/>
  <c r="EA28" i="63"/>
  <c r="EB28" i="63"/>
  <c r="EC28" i="63"/>
  <c r="ED28" i="63"/>
  <c r="EE28" i="63"/>
  <c r="EF28" i="63"/>
  <c r="EJ28" i="63"/>
  <c r="EK28" i="63"/>
  <c r="EL28" i="63"/>
  <c r="EM28" i="63"/>
  <c r="EN28" i="63"/>
  <c r="EO28" i="63"/>
  <c r="EP28" i="63"/>
  <c r="EQ28" i="63"/>
  <c r="ER28" i="63"/>
  <c r="EV28" i="63"/>
  <c r="EW28" i="63"/>
  <c r="EX28" i="63"/>
  <c r="EY28" i="63"/>
  <c r="EZ28" i="63"/>
  <c r="FA28" i="63"/>
  <c r="FB28" i="63"/>
  <c r="FC28" i="63"/>
  <c r="FD28" i="63"/>
  <c r="FH28" i="63"/>
  <c r="FI28" i="63"/>
  <c r="FJ28" i="63"/>
  <c r="FK28" i="63"/>
  <c r="FL28" i="63"/>
  <c r="FM28" i="63"/>
  <c r="FN28" i="63"/>
  <c r="FO28" i="63"/>
  <c r="FP28" i="63"/>
  <c r="FT28" i="63"/>
  <c r="FU28" i="63"/>
  <c r="FV28" i="63"/>
  <c r="FW28" i="63"/>
  <c r="FX28" i="63"/>
  <c r="FY28" i="63"/>
  <c r="BF32" i="63"/>
  <c r="BG32" i="63"/>
  <c r="BH32" i="63"/>
  <c r="BI32" i="63"/>
  <c r="BJ32" i="63"/>
  <c r="BK32" i="63"/>
  <c r="BL32" i="63"/>
  <c r="BM32" i="63"/>
  <c r="BN32" i="63"/>
  <c r="BO32" i="63"/>
  <c r="BP32" i="63"/>
  <c r="BQ32" i="63"/>
  <c r="BS32" i="63"/>
  <c r="BT32" i="63"/>
  <c r="BU32" i="63"/>
  <c r="BV32" i="63"/>
  <c r="BW32" i="63"/>
  <c r="BX32" i="63"/>
  <c r="BZ32" i="63"/>
  <c r="CA32" i="63"/>
  <c r="CB32" i="63"/>
  <c r="CC32" i="63"/>
  <c r="CD32" i="63"/>
  <c r="CE32" i="63"/>
  <c r="CF32" i="63"/>
  <c r="CG32" i="63"/>
  <c r="CH32" i="63"/>
  <c r="CI32" i="63"/>
  <c r="CJ32" i="63"/>
  <c r="CN32" i="63"/>
  <c r="CO32" i="63"/>
  <c r="CP32" i="63"/>
  <c r="CQ32" i="63"/>
  <c r="CR32" i="63"/>
  <c r="CS32" i="63"/>
  <c r="CT32" i="63"/>
  <c r="CU32" i="63"/>
  <c r="CV32" i="63"/>
  <c r="CZ32" i="63"/>
  <c r="DA32" i="63"/>
  <c r="DB32" i="63"/>
  <c r="DC32" i="63"/>
  <c r="DD32" i="63"/>
  <c r="DE32" i="63"/>
  <c r="DF32" i="63"/>
  <c r="DG32" i="63"/>
  <c r="DH32" i="63"/>
  <c r="DL32" i="63"/>
  <c r="DM32" i="63"/>
  <c r="DN32" i="63"/>
  <c r="DO32" i="63"/>
  <c r="DP32" i="63"/>
  <c r="DQ32" i="63"/>
  <c r="DR32" i="63"/>
  <c r="DS32" i="63"/>
  <c r="DT32" i="63"/>
  <c r="DX32" i="63"/>
  <c r="DY32" i="63"/>
  <c r="DZ32" i="63"/>
  <c r="EA32" i="63"/>
  <c r="EB32" i="63"/>
  <c r="EC32" i="63"/>
  <c r="ED32" i="63"/>
  <c r="EE32" i="63"/>
  <c r="EF32" i="63"/>
  <c r="EJ32" i="63"/>
  <c r="EK32" i="63"/>
  <c r="EL32" i="63"/>
  <c r="EM32" i="63"/>
  <c r="EN32" i="63"/>
  <c r="EO32" i="63"/>
  <c r="EP32" i="63"/>
  <c r="EQ32" i="63"/>
  <c r="ER32" i="63"/>
  <c r="EV32" i="63"/>
  <c r="EW32" i="63"/>
  <c r="EX32" i="63"/>
  <c r="EY32" i="63"/>
  <c r="EZ32" i="63"/>
  <c r="FA32" i="63"/>
  <c r="FB32" i="63"/>
  <c r="FC32" i="63"/>
  <c r="FD32" i="63"/>
  <c r="FH32" i="63"/>
  <c r="FI32" i="63"/>
  <c r="FJ32" i="63"/>
  <c r="FK32" i="63"/>
  <c r="FL32" i="63"/>
  <c r="FM32" i="63"/>
  <c r="FN32" i="63"/>
  <c r="FO32" i="63"/>
  <c r="FP32" i="63"/>
  <c r="FT32" i="63"/>
  <c r="FU32" i="63"/>
  <c r="FV32" i="63"/>
  <c r="FW32" i="63"/>
  <c r="FX32" i="63"/>
  <c r="FY32" i="63"/>
  <c r="BF33" i="63"/>
  <c r="BG33" i="63"/>
  <c r="BH33" i="63"/>
  <c r="BI33" i="63"/>
  <c r="BJ33" i="63"/>
  <c r="BK33" i="63"/>
  <c r="BL33" i="63"/>
  <c r="BM33" i="63"/>
  <c r="BN33" i="63"/>
  <c r="BO33" i="63"/>
  <c r="BP33" i="63"/>
  <c r="BQ33" i="63"/>
  <c r="BV33" i="63"/>
  <c r="BW33" i="63"/>
  <c r="BX33" i="63"/>
  <c r="CA33" i="63"/>
  <c r="CB33" i="63"/>
  <c r="CC33" i="63"/>
  <c r="CD33" i="63"/>
  <c r="CE33" i="63"/>
  <c r="CF33" i="63"/>
  <c r="CG33" i="63"/>
  <c r="CH33" i="63"/>
  <c r="CI33" i="63"/>
  <c r="CJ33" i="63"/>
  <c r="CN33" i="63"/>
  <c r="CO33" i="63"/>
  <c r="CP33" i="63"/>
  <c r="CQ33" i="63"/>
  <c r="CR33" i="63"/>
  <c r="CS33" i="63"/>
  <c r="CT33" i="63"/>
  <c r="CU33" i="63"/>
  <c r="CV33" i="63"/>
  <c r="CW33" i="63"/>
  <c r="CX33" i="63"/>
  <c r="CY33" i="63"/>
  <c r="CZ33" i="63"/>
  <c r="DA33" i="63"/>
  <c r="DB33" i="63"/>
  <c r="DC33" i="63"/>
  <c r="DD33" i="63"/>
  <c r="DE33" i="63"/>
  <c r="DF33" i="63"/>
  <c r="DG33" i="63"/>
  <c r="DH33" i="63"/>
  <c r="DI33" i="63"/>
  <c r="DJ33" i="63"/>
  <c r="DK33" i="63"/>
  <c r="DL33" i="63"/>
  <c r="DM33" i="63"/>
  <c r="DN33" i="63"/>
  <c r="DO33" i="63"/>
  <c r="DP33" i="63"/>
  <c r="DQ33" i="63"/>
  <c r="DR33" i="63"/>
  <c r="DS33" i="63"/>
  <c r="DT33" i="63"/>
  <c r="DU33" i="63"/>
  <c r="DV33" i="63"/>
  <c r="DW33" i="63"/>
  <c r="DX33" i="63"/>
  <c r="DY33" i="63"/>
  <c r="DZ33" i="63"/>
  <c r="EA33" i="63"/>
  <c r="EB33" i="63"/>
  <c r="EC33" i="63"/>
  <c r="ED33" i="63"/>
  <c r="EE33" i="63"/>
  <c r="EF33" i="63"/>
  <c r="EG33" i="63"/>
  <c r="EH33" i="63"/>
  <c r="EI33" i="63"/>
  <c r="EJ33" i="63"/>
  <c r="EK33" i="63"/>
  <c r="EL33" i="63"/>
  <c r="EM33" i="63"/>
  <c r="EN33" i="63"/>
  <c r="EO33" i="63"/>
  <c r="EP33" i="63"/>
  <c r="EQ33" i="63"/>
  <c r="ER33" i="63"/>
  <c r="ES33" i="63"/>
  <c r="ET33" i="63"/>
  <c r="EU33" i="63"/>
  <c r="EV33" i="63"/>
  <c r="EW33" i="63"/>
  <c r="EX33" i="63"/>
  <c r="EY33" i="63"/>
  <c r="EZ33" i="63"/>
  <c r="FA33" i="63"/>
  <c r="FB33" i="63"/>
  <c r="FC33" i="63"/>
  <c r="FD33" i="63"/>
  <c r="FE33" i="63"/>
  <c r="FF33" i="63"/>
  <c r="FG33" i="63"/>
  <c r="FH33" i="63"/>
  <c r="FI33" i="63"/>
  <c r="FJ33" i="63"/>
  <c r="FK33" i="63"/>
  <c r="FL33" i="63"/>
  <c r="FM33" i="63"/>
  <c r="FN33" i="63"/>
  <c r="FO33" i="63"/>
  <c r="FP33" i="63"/>
  <c r="FQ33" i="63"/>
  <c r="FR33" i="63"/>
  <c r="FS33" i="63"/>
  <c r="FT33" i="63"/>
  <c r="FU33" i="63"/>
  <c r="FV33" i="63"/>
  <c r="FW33" i="63"/>
  <c r="FX33" i="63"/>
  <c r="FY33" i="63"/>
  <c r="BJ34" i="63"/>
  <c r="BN34" i="63"/>
  <c r="BO34" i="63"/>
  <c r="BP34" i="63"/>
  <c r="BQ34" i="63"/>
  <c r="BR34" i="63"/>
  <c r="BS34" i="63"/>
  <c r="BT34" i="63"/>
  <c r="BU34" i="63"/>
  <c r="BV34" i="63"/>
  <c r="BW34" i="63"/>
  <c r="BX34" i="63"/>
  <c r="CA34" i="63"/>
  <c r="CB34" i="63"/>
  <c r="CC34" i="63"/>
  <c r="CD34" i="63"/>
  <c r="CE34" i="63"/>
  <c r="CF34" i="63"/>
  <c r="CG34" i="63"/>
  <c r="CH34" i="63"/>
  <c r="CI34" i="63"/>
  <c r="CJ34" i="63"/>
  <c r="CN34" i="63"/>
  <c r="CO34" i="63"/>
  <c r="CP34" i="63"/>
  <c r="CQ34" i="63"/>
  <c r="CR34" i="63"/>
  <c r="CS34" i="63"/>
  <c r="CT34" i="63"/>
  <c r="CU34" i="63"/>
  <c r="CV34" i="63"/>
  <c r="CZ34" i="63"/>
  <c r="DA34" i="63"/>
  <c r="DB34" i="63"/>
  <c r="DC34" i="63"/>
  <c r="DD34" i="63"/>
  <c r="DE34" i="63"/>
  <c r="DF34" i="63"/>
  <c r="DG34" i="63"/>
  <c r="DH34" i="63"/>
  <c r="DL34" i="63"/>
  <c r="DM34" i="63"/>
  <c r="DN34" i="63"/>
  <c r="DO34" i="63"/>
  <c r="DP34" i="63"/>
  <c r="DQ34" i="63"/>
  <c r="DR34" i="63"/>
  <c r="DS34" i="63"/>
  <c r="DT34" i="63"/>
  <c r="DX34" i="63"/>
  <c r="DY34" i="63"/>
  <c r="DZ34" i="63"/>
  <c r="EA34" i="63"/>
  <c r="EB34" i="63"/>
  <c r="EC34" i="63"/>
  <c r="ED34" i="63"/>
  <c r="EE34" i="63"/>
  <c r="EF34" i="63"/>
  <c r="EJ34" i="63"/>
  <c r="EK34" i="63"/>
  <c r="EL34" i="63"/>
  <c r="EM34" i="63"/>
  <c r="EN34" i="63"/>
  <c r="EO34" i="63"/>
  <c r="EP34" i="63"/>
  <c r="EQ34" i="63"/>
  <c r="ER34" i="63"/>
  <c r="EV34" i="63"/>
  <c r="EW34" i="63"/>
  <c r="EX34" i="63"/>
  <c r="EY34" i="63"/>
  <c r="EZ34" i="63"/>
  <c r="FA34" i="63"/>
  <c r="FB34" i="63"/>
  <c r="FC34" i="63"/>
  <c r="FD34" i="63"/>
  <c r="FH34" i="63"/>
  <c r="FI34" i="63"/>
  <c r="FJ34" i="63"/>
  <c r="FK34" i="63"/>
  <c r="FL34" i="63"/>
  <c r="FM34" i="63"/>
  <c r="FN34" i="63"/>
  <c r="FO34" i="63"/>
  <c r="FP34" i="63"/>
  <c r="FT34" i="63"/>
  <c r="FU34" i="63"/>
  <c r="FV34" i="63"/>
  <c r="FW34" i="63"/>
  <c r="FX34" i="63"/>
  <c r="FY34" i="63"/>
  <c r="BF36" i="63"/>
  <c r="BG36" i="63"/>
  <c r="BH36" i="63"/>
  <c r="BI36" i="63"/>
  <c r="BJ36" i="63"/>
  <c r="BK36" i="63"/>
  <c r="BL36" i="63"/>
  <c r="BM36" i="63"/>
  <c r="BN36" i="63"/>
  <c r="BO36" i="63"/>
  <c r="BP36" i="63"/>
  <c r="BQ36" i="63"/>
  <c r="BS36" i="63"/>
  <c r="BT36" i="63"/>
  <c r="BV36" i="63"/>
  <c r="BW36" i="63"/>
  <c r="BX36" i="63"/>
  <c r="CA36" i="63"/>
  <c r="CB36" i="63"/>
  <c r="CC36" i="63"/>
  <c r="CD36" i="63"/>
  <c r="CE36" i="63"/>
  <c r="CF36" i="63"/>
  <c r="CG36" i="63"/>
  <c r="CH36" i="63"/>
  <c r="CI36" i="63"/>
  <c r="CJ36" i="63"/>
  <c r="CN36" i="63"/>
  <c r="CO36" i="63"/>
  <c r="CP36" i="63"/>
  <c r="CQ36" i="63"/>
  <c r="CR36" i="63"/>
  <c r="CS36" i="63"/>
  <c r="CT36" i="63"/>
  <c r="CU36" i="63"/>
  <c r="CV36" i="63"/>
  <c r="CZ36" i="63"/>
  <c r="DA36" i="63"/>
  <c r="DB36" i="63"/>
  <c r="DC36" i="63"/>
  <c r="DD36" i="63"/>
  <c r="DE36" i="63"/>
  <c r="DF36" i="63"/>
  <c r="DG36" i="63"/>
  <c r="DH36" i="63"/>
  <c r="DL36" i="63"/>
  <c r="DM36" i="63"/>
  <c r="DN36" i="63"/>
  <c r="DO36" i="63"/>
  <c r="DP36" i="63"/>
  <c r="A37" i="63"/>
  <c r="BL37" i="63"/>
  <c r="BM37" i="63"/>
  <c r="BN37" i="63"/>
  <c r="BO37" i="63"/>
  <c r="BP37" i="63"/>
  <c r="BQ37" i="63"/>
  <c r="BR37" i="63"/>
  <c r="BS37" i="63"/>
  <c r="BT37" i="63"/>
  <c r="CN37" i="63"/>
  <c r="CO37" i="63"/>
  <c r="CP37" i="63"/>
  <c r="CQ37" i="63"/>
  <c r="CR37" i="63"/>
  <c r="BN38" i="63"/>
  <c r="BO38" i="63"/>
  <c r="BP38" i="63"/>
  <c r="BQ38" i="63"/>
  <c r="BR38" i="63"/>
  <c r="BS38" i="63"/>
  <c r="BT38" i="63"/>
  <c r="BU38" i="63"/>
  <c r="BW38" i="63"/>
  <c r="BX38" i="63"/>
  <c r="CA38" i="63"/>
  <c r="CB38" i="63"/>
  <c r="CC38" i="63"/>
  <c r="CD38" i="63"/>
  <c r="CE38" i="63"/>
  <c r="CF38" i="63"/>
  <c r="CG38" i="63"/>
  <c r="CI38" i="63"/>
  <c r="CJ38" i="63"/>
  <c r="CN38" i="63"/>
  <c r="CO38" i="63"/>
  <c r="CP38" i="63"/>
  <c r="CQ38" i="63"/>
  <c r="CR38" i="63"/>
  <c r="CS38" i="63"/>
  <c r="CU38" i="63"/>
  <c r="CV38" i="63"/>
  <c r="CZ38" i="63"/>
  <c r="DA38" i="63"/>
  <c r="DB38" i="63"/>
  <c r="DC38" i="63"/>
  <c r="DD38" i="63"/>
  <c r="DE38" i="63"/>
  <c r="DG38" i="63"/>
  <c r="DH38" i="63"/>
  <c r="DL38" i="63"/>
  <c r="DM38" i="63"/>
  <c r="DN38" i="63"/>
  <c r="DO38" i="63"/>
  <c r="DP38" i="63"/>
  <c r="DQ38" i="63"/>
  <c r="DS38" i="63"/>
  <c r="DT38" i="63"/>
  <c r="DX38" i="63"/>
  <c r="DY38" i="63"/>
  <c r="DZ38" i="63"/>
  <c r="EA38" i="63"/>
  <c r="EB38" i="63"/>
  <c r="EC38" i="63"/>
  <c r="EE38" i="63"/>
  <c r="EF38" i="63"/>
  <c r="EJ38" i="63"/>
  <c r="EK38" i="63"/>
  <c r="EL38" i="63"/>
  <c r="EM38" i="63"/>
  <c r="EN38" i="63"/>
  <c r="EO38" i="63"/>
  <c r="EQ38" i="63"/>
  <c r="ER38" i="63"/>
  <c r="EV38" i="63"/>
  <c r="EW38" i="63"/>
  <c r="EX38" i="63"/>
  <c r="EY38" i="63"/>
  <c r="EZ38" i="63"/>
  <c r="FA38" i="63"/>
  <c r="FC38" i="63"/>
  <c r="FD38" i="63"/>
  <c r="FH38" i="63"/>
  <c r="FI38" i="63"/>
  <c r="FJ38" i="63"/>
  <c r="FK38" i="63"/>
  <c r="FL38" i="63"/>
  <c r="FM38" i="63"/>
  <c r="FO38" i="63"/>
  <c r="FP38" i="63"/>
  <c r="FT38" i="63"/>
  <c r="FU38" i="63"/>
  <c r="FV38" i="63"/>
  <c r="FW38" i="63"/>
  <c r="FX38" i="63"/>
  <c r="FY38" i="63"/>
  <c r="BF39" i="63"/>
  <c r="BG39" i="63"/>
  <c r="BH39" i="63"/>
  <c r="BI39" i="63"/>
  <c r="BJ39" i="63"/>
  <c r="BK39" i="63"/>
  <c r="BL39" i="63"/>
  <c r="BM39" i="63"/>
  <c r="BN39" i="63"/>
  <c r="BO39" i="63"/>
  <c r="BP39" i="63"/>
  <c r="BQ39" i="63"/>
  <c r="BS39" i="63"/>
  <c r="BT39" i="63"/>
  <c r="BU39" i="63"/>
  <c r="BV39" i="63"/>
  <c r="BW39" i="63"/>
  <c r="BX39" i="63"/>
  <c r="CA39" i="63"/>
  <c r="CB39" i="63"/>
  <c r="CC39" i="63"/>
  <c r="CD39" i="63"/>
  <c r="CE39" i="63"/>
  <c r="CF39" i="63"/>
  <c r="CG39" i="63"/>
  <c r="CH39" i="63"/>
  <c r="CI39" i="63"/>
  <c r="CJ39" i="63"/>
  <c r="CN39" i="63"/>
  <c r="CO39" i="63"/>
  <c r="CP39" i="63"/>
  <c r="CQ39" i="63"/>
  <c r="CR39" i="63"/>
  <c r="CS39" i="63"/>
  <c r="CT39" i="63"/>
  <c r="CU39" i="63"/>
  <c r="CV39" i="63"/>
  <c r="CZ39" i="63"/>
  <c r="DA39" i="63"/>
  <c r="DB39" i="63"/>
  <c r="DC39" i="63"/>
  <c r="DD39" i="63"/>
  <c r="DE39" i="63"/>
  <c r="DF39" i="63"/>
  <c r="DG39" i="63"/>
  <c r="DH39" i="63"/>
  <c r="DL39" i="63"/>
  <c r="DM39" i="63"/>
  <c r="DN39" i="63"/>
  <c r="DO39" i="63"/>
  <c r="DP39" i="63"/>
  <c r="DQ39" i="63"/>
  <c r="DR39" i="63"/>
  <c r="DS39" i="63"/>
  <c r="DT39" i="63"/>
  <c r="DX39" i="63"/>
  <c r="DY39" i="63"/>
  <c r="DZ39" i="63"/>
  <c r="EA39" i="63"/>
  <c r="EB39" i="63"/>
  <c r="EC39" i="63"/>
  <c r="ED39" i="63"/>
  <c r="EE39" i="63"/>
  <c r="EF39" i="63"/>
  <c r="EJ39" i="63"/>
  <c r="EK39" i="63"/>
  <c r="EL39" i="63"/>
  <c r="EM39" i="63"/>
  <c r="EN39" i="63"/>
  <c r="EO39" i="63"/>
  <c r="EP39" i="63"/>
  <c r="EQ39" i="63"/>
  <c r="ER39" i="63"/>
  <c r="EV39" i="63"/>
  <c r="EW39" i="63"/>
  <c r="EX39" i="63"/>
  <c r="EY39" i="63"/>
  <c r="EZ39" i="63"/>
  <c r="FA39" i="63"/>
  <c r="FB39" i="63"/>
  <c r="FC39" i="63"/>
  <c r="FD39" i="63"/>
  <c r="FH39" i="63"/>
  <c r="FI39" i="63"/>
  <c r="FJ39" i="63"/>
  <c r="FK39" i="63"/>
  <c r="FL39" i="63"/>
  <c r="FM39" i="63"/>
  <c r="FN39" i="63"/>
  <c r="FO39" i="63"/>
  <c r="FP39" i="63"/>
  <c r="FT39" i="63"/>
  <c r="FU39" i="63"/>
  <c r="FV39" i="63"/>
  <c r="FW39" i="63"/>
  <c r="FX39" i="63"/>
  <c r="FY39" i="63"/>
  <c r="BN40" i="63"/>
  <c r="BO40" i="63"/>
  <c r="BP40" i="63"/>
  <c r="BQ40" i="63"/>
  <c r="BR40" i="63"/>
  <c r="BS40" i="63"/>
  <c r="BW40" i="63"/>
  <c r="BX40" i="63"/>
  <c r="CA40" i="63"/>
  <c r="CB40" i="63"/>
  <c r="CC40" i="63"/>
  <c r="CD40" i="63"/>
  <c r="CE40" i="63"/>
  <c r="CF40" i="63"/>
  <c r="CG40" i="63"/>
  <c r="CI40" i="63"/>
  <c r="CJ40" i="63"/>
  <c r="CN40" i="63"/>
  <c r="CO40" i="63"/>
  <c r="CP40" i="63"/>
  <c r="CQ40" i="63"/>
  <c r="CR40" i="63"/>
  <c r="CS40" i="63"/>
  <c r="CU40" i="63"/>
  <c r="CV40" i="63"/>
  <c r="CZ40" i="63"/>
  <c r="DA40" i="63"/>
  <c r="DB40" i="63"/>
  <c r="DC40" i="63"/>
  <c r="DD40" i="63"/>
  <c r="DE40" i="63"/>
  <c r="DG40" i="63"/>
  <c r="DH40" i="63"/>
  <c r="DL40" i="63"/>
  <c r="DM40" i="63"/>
  <c r="DN40" i="63"/>
  <c r="DO40" i="63"/>
  <c r="DP40" i="63"/>
  <c r="DQ40" i="63"/>
  <c r="DS40" i="63"/>
  <c r="DT40" i="63"/>
  <c r="DX40" i="63"/>
  <c r="DY40" i="63"/>
  <c r="DZ40" i="63"/>
  <c r="EA40" i="63"/>
  <c r="EB40" i="63"/>
  <c r="EC40" i="63"/>
  <c r="EE40" i="63"/>
  <c r="EF40" i="63"/>
  <c r="EJ40" i="63"/>
  <c r="EK40" i="63"/>
  <c r="EL40" i="63"/>
  <c r="EM40" i="63"/>
  <c r="EN40" i="63"/>
  <c r="EO40" i="63"/>
  <c r="EQ40" i="63"/>
  <c r="ER40" i="63"/>
  <c r="EV40" i="63"/>
  <c r="EW40" i="63"/>
  <c r="EX40" i="63"/>
  <c r="EY40" i="63"/>
  <c r="EZ40" i="63"/>
  <c r="FA40" i="63"/>
  <c r="FC40" i="63"/>
  <c r="FD40" i="63"/>
  <c r="FH40" i="63"/>
  <c r="FI40" i="63"/>
  <c r="FJ40" i="63"/>
  <c r="FK40" i="63"/>
  <c r="FL40" i="63"/>
  <c r="FM40" i="63"/>
  <c r="FO40" i="63"/>
  <c r="FP40" i="63"/>
  <c r="FT40" i="63"/>
  <c r="FU40" i="63"/>
  <c r="FV40" i="63"/>
  <c r="FW40" i="63"/>
  <c r="FX40" i="63"/>
  <c r="FY40" i="63"/>
  <c r="BN43" i="63"/>
  <c r="BO43" i="63"/>
  <c r="BP43" i="63"/>
  <c r="BQ43" i="63"/>
  <c r="BR43" i="63"/>
  <c r="BS43" i="63"/>
  <c r="BT43" i="63"/>
  <c r="BU43" i="63"/>
  <c r="BW43" i="63"/>
  <c r="BX43" i="63"/>
  <c r="CA43" i="63"/>
  <c r="CB43" i="63"/>
  <c r="CC43" i="63"/>
  <c r="CD43" i="63"/>
  <c r="CE43" i="63"/>
  <c r="CF43" i="63"/>
  <c r="CG43" i="63"/>
  <c r="CI43" i="63"/>
  <c r="CJ43" i="63"/>
  <c r="CN43" i="63"/>
  <c r="CO43" i="63"/>
  <c r="CP43" i="63"/>
  <c r="CQ43" i="63"/>
  <c r="CR43" i="63"/>
  <c r="CS43" i="63"/>
  <c r="CU43" i="63"/>
  <c r="CV43" i="63"/>
  <c r="CZ43" i="63"/>
  <c r="DA43" i="63"/>
  <c r="DB43" i="63"/>
  <c r="DC43" i="63"/>
  <c r="DD43" i="63"/>
  <c r="DE43" i="63"/>
  <c r="DG43" i="63"/>
  <c r="DH43" i="63"/>
  <c r="DL43" i="63"/>
  <c r="DM43" i="63"/>
  <c r="DN43" i="63"/>
  <c r="DO43" i="63"/>
  <c r="DP43" i="63"/>
  <c r="DQ43" i="63"/>
  <c r="DS43" i="63"/>
  <c r="DT43" i="63"/>
  <c r="DX43" i="63"/>
  <c r="DY43" i="63"/>
  <c r="DZ43" i="63"/>
  <c r="EA43" i="63"/>
  <c r="EB43" i="63"/>
  <c r="EC43" i="63"/>
  <c r="EE43" i="63"/>
  <c r="EF43" i="63"/>
  <c r="EJ43" i="63"/>
  <c r="EK43" i="63"/>
  <c r="EL43" i="63"/>
  <c r="EM43" i="63"/>
  <c r="EN43" i="63"/>
  <c r="EO43" i="63"/>
  <c r="EQ43" i="63"/>
  <c r="ER43" i="63"/>
  <c r="EV43" i="63"/>
  <c r="EW43" i="63"/>
  <c r="EX43" i="63"/>
  <c r="EY43" i="63"/>
  <c r="EZ43" i="63"/>
  <c r="FA43" i="63"/>
  <c r="FC43" i="63"/>
  <c r="FD43" i="63"/>
  <c r="FH43" i="63"/>
  <c r="FI43" i="63"/>
  <c r="FJ43" i="63"/>
  <c r="FK43" i="63"/>
  <c r="FL43" i="63"/>
  <c r="FM43" i="63"/>
  <c r="FO43" i="63"/>
  <c r="FP43" i="63"/>
  <c r="FT43" i="63"/>
  <c r="FU43" i="63"/>
  <c r="FV43" i="63"/>
  <c r="FW43" i="63"/>
  <c r="FX43" i="63"/>
  <c r="FY43" i="63"/>
  <c r="BP44" i="63"/>
  <c r="BQ44" i="63"/>
  <c r="CI44" i="63"/>
  <c r="CJ44" i="63"/>
  <c r="CN44" i="63"/>
  <c r="CO44" i="63"/>
  <c r="CP44" i="63"/>
  <c r="CQ44" i="63"/>
  <c r="CR44" i="63"/>
  <c r="CS44" i="63"/>
  <c r="CU44" i="63"/>
  <c r="CV44" i="63"/>
  <c r="CZ44" i="63"/>
  <c r="DA44" i="63"/>
  <c r="DB44" i="63"/>
  <c r="DC44" i="63"/>
  <c r="DD44" i="63"/>
  <c r="DE44" i="63"/>
  <c r="DG44" i="63"/>
  <c r="DH44" i="63"/>
  <c r="DL44" i="63"/>
  <c r="DM44" i="63"/>
  <c r="DN44" i="63"/>
  <c r="DO44" i="63"/>
  <c r="DP44" i="63"/>
  <c r="DQ44" i="63"/>
  <c r="DS44" i="63"/>
  <c r="DT44" i="63"/>
  <c r="DX44" i="63"/>
  <c r="DY44" i="63"/>
  <c r="DZ44" i="63"/>
  <c r="EA44" i="63"/>
  <c r="EB44" i="63"/>
  <c r="EC44" i="63"/>
  <c r="EE44" i="63"/>
  <c r="EF44" i="63"/>
  <c r="EJ44" i="63"/>
  <c r="EK44" i="63"/>
  <c r="EL44" i="63"/>
  <c r="EM44" i="63"/>
  <c r="EN44" i="63"/>
  <c r="EO44" i="63"/>
  <c r="EQ44" i="63"/>
  <c r="ER44" i="63"/>
  <c r="EV44" i="63"/>
  <c r="EW44" i="63"/>
  <c r="EX44" i="63"/>
  <c r="EY44" i="63"/>
  <c r="EZ44" i="63"/>
  <c r="FA44" i="63"/>
  <c r="FC44" i="63"/>
  <c r="FD44" i="63"/>
  <c r="FH44" i="63"/>
  <c r="FI44" i="63"/>
  <c r="FJ44" i="63"/>
  <c r="FK44" i="63"/>
  <c r="FL44" i="63"/>
  <c r="FM44" i="63"/>
  <c r="FO44" i="63"/>
  <c r="FP44" i="63"/>
  <c r="FT44" i="63"/>
  <c r="FU44" i="63"/>
  <c r="FV44" i="63"/>
  <c r="FW44" i="63"/>
  <c r="FX44" i="63"/>
  <c r="FY44" i="63"/>
  <c r="BX45" i="63"/>
  <c r="CA45" i="63"/>
  <c r="CB45" i="63"/>
  <c r="CC45" i="63"/>
  <c r="CD45" i="63"/>
  <c r="CE45" i="63"/>
  <c r="CF45" i="63"/>
  <c r="CG45" i="63"/>
  <c r="CI45" i="63"/>
  <c r="CM45" i="63"/>
  <c r="CN45" i="63"/>
  <c r="CO45" i="63"/>
  <c r="CP45" i="63"/>
  <c r="CQ45" i="63"/>
  <c r="CR45" i="63"/>
  <c r="CS45" i="63"/>
  <c r="CU45" i="63"/>
  <c r="CV45" i="63"/>
  <c r="CZ45" i="63"/>
  <c r="DA45" i="63"/>
  <c r="DB45" i="63"/>
  <c r="DC45" i="63"/>
  <c r="DD45" i="63"/>
  <c r="DE45" i="63"/>
  <c r="DG45" i="63"/>
  <c r="DH45" i="63"/>
  <c r="DL45" i="63"/>
  <c r="DM45" i="63"/>
  <c r="DN45" i="63"/>
  <c r="DO45" i="63"/>
  <c r="DP45" i="63"/>
  <c r="DQ45" i="63"/>
  <c r="DS45" i="63"/>
  <c r="DT45" i="63"/>
  <c r="DX45" i="63"/>
  <c r="DY45" i="63"/>
  <c r="DZ45" i="63"/>
  <c r="EA45" i="63"/>
  <c r="EB45" i="63"/>
  <c r="EC45" i="63"/>
  <c r="EE45" i="63"/>
  <c r="EF45" i="63"/>
  <c r="EJ45" i="63"/>
  <c r="EK45" i="63"/>
  <c r="EL45" i="63"/>
  <c r="EM45" i="63"/>
  <c r="EN45" i="63"/>
  <c r="EO45" i="63"/>
  <c r="EQ45" i="63"/>
  <c r="ER45" i="63"/>
  <c r="EV45" i="63"/>
  <c r="EW45" i="63"/>
  <c r="EX45" i="63"/>
  <c r="EY45" i="63"/>
  <c r="EZ45" i="63"/>
  <c r="FA45" i="63"/>
  <c r="FC45" i="63"/>
  <c r="FD45" i="63"/>
  <c r="FH45" i="63"/>
  <c r="FI45" i="63"/>
  <c r="FJ45" i="63"/>
  <c r="FK45" i="63"/>
  <c r="FL45" i="63"/>
  <c r="FM45" i="63"/>
  <c r="FO45" i="63"/>
  <c r="FP45" i="63"/>
  <c r="FT45" i="63"/>
  <c r="FU45" i="63"/>
  <c r="FV45" i="63"/>
  <c r="FW45" i="63"/>
  <c r="FX45" i="63"/>
  <c r="FY45" i="63"/>
  <c r="BX46" i="63"/>
  <c r="CA46" i="63"/>
  <c r="CB46" i="63"/>
  <c r="CC46" i="63"/>
  <c r="CD46" i="63"/>
  <c r="CE46" i="63"/>
  <c r="CF46" i="63"/>
  <c r="CG46" i="63"/>
  <c r="CI46" i="63"/>
  <c r="CJ46" i="63"/>
  <c r="CM46" i="63"/>
  <c r="CN46" i="63"/>
  <c r="CO46" i="63"/>
  <c r="CP46" i="63"/>
  <c r="CQ46" i="63"/>
  <c r="CR46" i="63"/>
  <c r="CS46" i="63"/>
  <c r="CU46" i="63"/>
  <c r="CV46" i="63"/>
  <c r="CZ46" i="63"/>
  <c r="DA46" i="63"/>
  <c r="DB46" i="63"/>
  <c r="DC46" i="63"/>
  <c r="DD46" i="63"/>
  <c r="DE46" i="63"/>
  <c r="DG46" i="63"/>
  <c r="DH46" i="63"/>
  <c r="DL46" i="63"/>
  <c r="DM46" i="63"/>
  <c r="DN46" i="63"/>
  <c r="DO46" i="63"/>
  <c r="DP46" i="63"/>
  <c r="DQ46" i="63"/>
  <c r="DS46" i="63"/>
  <c r="DT46" i="63"/>
  <c r="DX46" i="63"/>
  <c r="DY46" i="63"/>
  <c r="DZ46" i="63"/>
  <c r="EA46" i="63"/>
  <c r="EB46" i="63"/>
  <c r="EC46" i="63"/>
  <c r="EE46" i="63"/>
  <c r="EF46" i="63"/>
  <c r="EJ46" i="63"/>
  <c r="EK46" i="63"/>
  <c r="EL46" i="63"/>
  <c r="EM46" i="63"/>
  <c r="EN46" i="63"/>
  <c r="EO46" i="63"/>
  <c r="EQ46" i="63"/>
  <c r="ER46" i="63"/>
  <c r="EV46" i="63"/>
  <c r="EW46" i="63"/>
  <c r="EX46" i="63"/>
  <c r="EY46" i="63"/>
  <c r="EZ46" i="63"/>
  <c r="FA46" i="63"/>
  <c r="FC46" i="63"/>
  <c r="FD46" i="63"/>
  <c r="FH46" i="63"/>
  <c r="FI46" i="63"/>
  <c r="FJ46" i="63"/>
  <c r="FK46" i="63"/>
  <c r="FL46" i="63"/>
  <c r="FM46" i="63"/>
  <c r="FO46" i="63"/>
  <c r="FP46" i="63"/>
  <c r="FT46" i="63"/>
  <c r="FU46" i="63"/>
  <c r="FV46" i="63"/>
  <c r="FW46" i="63"/>
  <c r="FX46" i="63"/>
  <c r="FY46" i="63"/>
  <c r="BX47" i="63"/>
  <c r="CA47" i="63"/>
  <c r="CB47" i="63"/>
  <c r="CC47" i="63"/>
  <c r="CD47" i="63"/>
  <c r="CE47" i="63"/>
  <c r="CF47" i="63"/>
  <c r="CG47" i="63"/>
  <c r="CI47" i="63"/>
  <c r="CM47" i="63"/>
  <c r="CN47" i="63"/>
  <c r="CO47" i="63"/>
  <c r="CP47" i="63"/>
  <c r="CQ47" i="63"/>
  <c r="CR47" i="63"/>
  <c r="CS47" i="63"/>
  <c r="CU47" i="63"/>
  <c r="CV47" i="63"/>
  <c r="CZ47" i="63"/>
  <c r="DA47" i="63"/>
  <c r="DB47" i="63"/>
  <c r="DC47" i="63"/>
  <c r="DD47" i="63"/>
  <c r="DE47" i="63"/>
  <c r="DG47" i="63"/>
  <c r="DH47" i="63"/>
  <c r="DL47" i="63"/>
  <c r="DM47" i="63"/>
  <c r="DN47" i="63"/>
  <c r="DO47" i="63"/>
  <c r="DP47" i="63"/>
  <c r="DQ47" i="63"/>
  <c r="DS47" i="63"/>
  <c r="DT47" i="63"/>
  <c r="DX47" i="63"/>
  <c r="DY47" i="63"/>
  <c r="DZ47" i="63"/>
  <c r="EA47" i="63"/>
  <c r="EB47" i="63"/>
  <c r="EC47" i="63"/>
  <c r="EE47" i="63"/>
  <c r="EF47" i="63"/>
  <c r="EJ47" i="63"/>
  <c r="EK47" i="63"/>
  <c r="EL47" i="63"/>
  <c r="EM47" i="63"/>
  <c r="EN47" i="63"/>
  <c r="EO47" i="63"/>
  <c r="EQ47" i="63"/>
  <c r="ER47" i="63"/>
  <c r="EV47" i="63"/>
  <c r="EW47" i="63"/>
  <c r="EX47" i="63"/>
  <c r="EY47" i="63"/>
  <c r="EZ47" i="63"/>
  <c r="FA47" i="63"/>
  <c r="FC47" i="63"/>
  <c r="FD47" i="63"/>
  <c r="FH47" i="63"/>
  <c r="FI47" i="63"/>
  <c r="FJ47" i="63"/>
  <c r="FK47" i="63"/>
  <c r="FL47" i="63"/>
  <c r="FM47" i="63"/>
  <c r="FO47" i="63"/>
  <c r="FP47" i="63"/>
  <c r="FT47" i="63"/>
  <c r="FU47" i="63"/>
  <c r="FV47" i="63"/>
  <c r="FW47" i="63"/>
  <c r="FX47" i="63"/>
  <c r="FY47" i="63"/>
  <c r="BQ48" i="63"/>
  <c r="BT48" i="63"/>
  <c r="BV48" i="63"/>
  <c r="BT49" i="63"/>
  <c r="BQ50" i="63"/>
  <c r="BX50" i="63"/>
  <c r="CA50" i="63"/>
  <c r="CB50" i="63"/>
  <c r="CC50" i="63"/>
  <c r="CD50" i="63"/>
  <c r="CE50" i="63"/>
  <c r="CF50" i="63"/>
  <c r="CG50" i="63"/>
  <c r="CI50" i="63"/>
  <c r="CM50" i="63"/>
  <c r="CN50" i="63"/>
  <c r="CO50" i="63"/>
  <c r="CP50" i="63"/>
  <c r="CQ50" i="63"/>
  <c r="CR50" i="63"/>
  <c r="CS50" i="63"/>
  <c r="CU50" i="63"/>
  <c r="CV50" i="63"/>
  <c r="CZ50" i="63"/>
  <c r="DA50" i="63"/>
  <c r="DB50" i="63"/>
  <c r="DC50" i="63"/>
  <c r="DD50" i="63"/>
  <c r="DE50" i="63"/>
  <c r="DG50" i="63"/>
  <c r="DH50" i="63"/>
  <c r="DL50" i="63"/>
  <c r="DM50" i="63"/>
  <c r="DN50" i="63"/>
  <c r="DO50" i="63"/>
  <c r="DP50" i="63"/>
  <c r="DQ50" i="63"/>
  <c r="DS50" i="63"/>
  <c r="DT50" i="63"/>
  <c r="DX50" i="63"/>
  <c r="DY50" i="63"/>
  <c r="DZ50" i="63"/>
  <c r="EA50" i="63"/>
  <c r="EB50" i="63"/>
  <c r="EC50" i="63"/>
  <c r="EE50" i="63"/>
  <c r="EF50" i="63"/>
  <c r="EJ50" i="63"/>
  <c r="EK50" i="63"/>
  <c r="EL50" i="63"/>
  <c r="EM50" i="63"/>
  <c r="EN50" i="63"/>
  <c r="EO50" i="63"/>
  <c r="EQ50" i="63"/>
  <c r="ER50" i="63"/>
  <c r="EV50" i="63"/>
  <c r="EW50" i="63"/>
  <c r="EX50" i="63"/>
  <c r="EY50" i="63"/>
  <c r="EZ50" i="63"/>
  <c r="FA50" i="63"/>
  <c r="FC50" i="63"/>
  <c r="FD50" i="63"/>
  <c r="FH50" i="63"/>
  <c r="FI50" i="63"/>
  <c r="FJ50" i="63"/>
  <c r="FK50" i="63"/>
  <c r="FL50" i="63"/>
  <c r="FM50" i="63"/>
  <c r="FO50" i="63"/>
  <c r="FP50" i="63"/>
  <c r="FT50" i="63"/>
  <c r="FU50" i="63"/>
  <c r="FV50" i="63"/>
  <c r="FW50" i="63"/>
  <c r="FX50" i="63"/>
  <c r="FY50" i="63"/>
  <c r="BX53" i="63"/>
  <c r="CA53" i="63"/>
  <c r="CB53" i="63"/>
  <c r="CC53" i="63"/>
  <c r="CD53" i="63"/>
  <c r="CE53" i="63"/>
  <c r="CF53" i="63"/>
  <c r="CG53" i="63"/>
  <c r="CI53" i="63"/>
  <c r="CM53" i="63"/>
  <c r="CN53" i="63"/>
  <c r="CO53" i="63"/>
  <c r="CP53" i="63"/>
  <c r="CQ53" i="63"/>
  <c r="CR53" i="63"/>
  <c r="CS53" i="63"/>
  <c r="CU53" i="63"/>
  <c r="CV53" i="63"/>
  <c r="CZ53" i="63"/>
  <c r="DA53" i="63"/>
  <c r="DB53" i="63"/>
  <c r="DC53" i="63"/>
  <c r="DD53" i="63"/>
  <c r="DE53" i="63"/>
  <c r="DG53" i="63"/>
  <c r="DH53" i="63"/>
  <c r="DL53" i="63"/>
  <c r="DM53" i="63"/>
  <c r="DN53" i="63"/>
  <c r="DO53" i="63"/>
  <c r="DP53" i="63"/>
  <c r="DQ53" i="63"/>
  <c r="DS53" i="63"/>
  <c r="DT53" i="63"/>
  <c r="DX53" i="63"/>
  <c r="DY53" i="63"/>
  <c r="DZ53" i="63"/>
  <c r="EA53" i="63"/>
  <c r="EB53" i="63"/>
  <c r="EC53" i="63"/>
  <c r="EE53" i="63"/>
  <c r="EF53" i="63"/>
  <c r="EJ53" i="63"/>
  <c r="EK53" i="63"/>
  <c r="EL53" i="63"/>
  <c r="EM53" i="63"/>
  <c r="EN53" i="63"/>
  <c r="EO53" i="63"/>
  <c r="EQ53" i="63"/>
  <c r="ER53" i="63"/>
  <c r="EV53" i="63"/>
  <c r="EW53" i="63"/>
  <c r="EX53" i="63"/>
  <c r="EY53" i="63"/>
  <c r="EZ53" i="63"/>
  <c r="FA53" i="63"/>
  <c r="FC53" i="63"/>
  <c r="FD53" i="63"/>
  <c r="FH53" i="63"/>
  <c r="FI53" i="63"/>
  <c r="FJ53" i="63"/>
  <c r="FK53" i="63"/>
  <c r="FL53" i="63"/>
  <c r="FM53" i="63"/>
  <c r="FO53" i="63"/>
  <c r="FP53" i="63"/>
  <c r="FT53" i="63"/>
  <c r="FU53" i="63"/>
  <c r="FV53" i="63"/>
  <c r="FW53" i="63"/>
  <c r="FX53" i="63"/>
  <c r="FY53" i="63"/>
  <c r="BV54" i="63"/>
  <c r="BW54" i="63"/>
  <c r="BX54" i="63"/>
  <c r="BZ54" i="63"/>
  <c r="CA54" i="63"/>
  <c r="CB54" i="63"/>
  <c r="CC54" i="63"/>
  <c r="CD54" i="63"/>
  <c r="CE54" i="63"/>
  <c r="CF54" i="63"/>
  <c r="CG54" i="63"/>
  <c r="CM54" i="63"/>
  <c r="CN54" i="63"/>
  <c r="BJ61" i="63"/>
  <c r="BK61" i="63"/>
  <c r="BL61" i="63"/>
  <c r="BM61" i="63"/>
  <c r="BJ62" i="63"/>
  <c r="BK62" i="63"/>
  <c r="BL62" i="63"/>
  <c r="BM62" i="63"/>
  <c r="BN62" i="63"/>
  <c r="BO62" i="63"/>
  <c r="BP62" i="63"/>
  <c r="BQ62" i="63"/>
  <c r="BV62" i="63"/>
  <c r="BW62" i="63"/>
  <c r="BX62" i="63"/>
  <c r="CA62" i="63"/>
  <c r="CB62" i="63"/>
  <c r="CC62" i="63"/>
  <c r="CD62" i="63"/>
  <c r="CE62" i="63"/>
  <c r="CF62" i="63"/>
  <c r="CG62" i="63"/>
  <c r="CH62" i="63"/>
  <c r="CI62" i="63"/>
  <c r="CJ62" i="63"/>
  <c r="CN62" i="63"/>
  <c r="CO62" i="63"/>
  <c r="CP62" i="63"/>
  <c r="CQ62" i="63"/>
  <c r="CR62" i="63"/>
  <c r="CS62" i="63"/>
  <c r="CT62" i="63"/>
  <c r="CU62" i="63"/>
  <c r="CV62" i="63"/>
  <c r="CZ62" i="63"/>
  <c r="DA62" i="63"/>
  <c r="DB62" i="63"/>
  <c r="DC62" i="63"/>
  <c r="DD62" i="63"/>
  <c r="DE62" i="63"/>
  <c r="DF62" i="63"/>
  <c r="DG62" i="63"/>
  <c r="DH62" i="63"/>
  <c r="DL62" i="63"/>
  <c r="DM62" i="63"/>
  <c r="DN62" i="63"/>
  <c r="DO62" i="63"/>
  <c r="DP62" i="63"/>
  <c r="DQ62" i="63"/>
  <c r="DR62" i="63"/>
  <c r="DS62" i="63"/>
  <c r="DT62" i="63"/>
  <c r="DX62" i="63"/>
  <c r="DY62" i="63"/>
  <c r="DZ62" i="63"/>
  <c r="EA62" i="63"/>
  <c r="EB62" i="63"/>
  <c r="EC62" i="63"/>
  <c r="ED62" i="63"/>
  <c r="EE62" i="63"/>
  <c r="EF62" i="63"/>
  <c r="EJ62" i="63"/>
  <c r="EK62" i="63"/>
  <c r="EL62" i="63"/>
  <c r="EM62" i="63"/>
  <c r="EN62" i="63"/>
  <c r="EO62" i="63"/>
  <c r="EP62" i="63"/>
  <c r="EQ62" i="63"/>
  <c r="ER62" i="63"/>
  <c r="EV62" i="63"/>
  <c r="EW62" i="63"/>
  <c r="EX62" i="63"/>
  <c r="EY62" i="63"/>
  <c r="EZ62" i="63"/>
  <c r="FA62" i="63"/>
  <c r="FB62" i="63"/>
  <c r="FC62" i="63"/>
  <c r="FD62" i="63"/>
  <c r="FH62" i="63"/>
  <c r="FI62" i="63"/>
  <c r="FJ62" i="63"/>
  <c r="FK62" i="63"/>
  <c r="FL62" i="63"/>
  <c r="FM62" i="63"/>
  <c r="FN62" i="63"/>
  <c r="FO62" i="63"/>
  <c r="FP62" i="63"/>
  <c r="FT62" i="63"/>
  <c r="FU62" i="63"/>
  <c r="FV62" i="63"/>
  <c r="FW62" i="63"/>
  <c r="FX62" i="63"/>
  <c r="FY62" i="63"/>
  <c r="BF63" i="63"/>
  <c r="BG63" i="63"/>
  <c r="BH63" i="63"/>
  <c r="BI63" i="63"/>
  <c r="BJ65" i="63"/>
  <c r="BK65" i="63"/>
  <c r="BL65" i="63"/>
  <c r="BM65" i="63"/>
  <c r="BN65" i="63"/>
  <c r="BO65" i="63"/>
  <c r="BP65" i="63"/>
  <c r="BF66" i="63"/>
  <c r="BG66" i="63"/>
  <c r="CG66" i="63"/>
  <c r="BF67" i="63"/>
  <c r="BG67" i="63"/>
  <c r="BM67" i="63"/>
  <c r="BN67" i="63"/>
  <c r="BF68" i="63"/>
  <c r="BG68" i="63"/>
  <c r="BM68" i="63"/>
  <c r="BR68" i="63"/>
  <c r="BN69" i="63"/>
  <c r="CF69" i="63"/>
  <c r="BR70" i="63"/>
  <c r="CH70" i="63"/>
  <c r="BG71" i="63"/>
  <c r="BN71" i="63"/>
  <c r="CH71" i="63"/>
  <c r="BG73" i="63"/>
  <c r="BO73" i="63"/>
  <c r="BP73" i="63"/>
  <c r="BQ73" i="63"/>
  <c r="BR73" i="63"/>
  <c r="BS73" i="63"/>
  <c r="BT73" i="63"/>
  <c r="BU73" i="63"/>
  <c r="BS74" i="63"/>
  <c r="BI79" i="63"/>
  <c r="BJ79" i="63"/>
  <c r="BK79" i="63"/>
  <c r="BN90" i="63"/>
  <c r="BO90" i="63"/>
  <c r="BP90" i="63"/>
  <c r="BQ90" i="63"/>
  <c r="BR90" i="63"/>
  <c r="BS90" i="63"/>
  <c r="BT90" i="63"/>
  <c r="BU90" i="63"/>
  <c r="BN91" i="63"/>
  <c r="BO91" i="63"/>
  <c r="BP91" i="63"/>
  <c r="BQ91" i="63"/>
  <c r="BR91" i="63"/>
  <c r="BS91" i="63"/>
  <c r="BT91" i="63"/>
  <c r="BU91" i="63"/>
  <c r="BN92" i="63"/>
  <c r="BO92" i="63"/>
  <c r="BP92" i="63"/>
  <c r="BQ92" i="63"/>
  <c r="BR92" i="63"/>
  <c r="BS92" i="63"/>
  <c r="BT92" i="63"/>
  <c r="BU92" i="63"/>
  <c r="BV93" i="63"/>
  <c r="BW93" i="63"/>
  <c r="BX93" i="63"/>
  <c r="BZ93" i="63"/>
  <c r="CA93" i="63"/>
  <c r="CB93" i="63"/>
  <c r="CC93" i="63"/>
  <c r="CD93" i="63"/>
  <c r="CE93" i="63"/>
  <c r="BR96" i="63"/>
  <c r="BR97" i="63"/>
  <c r="BF112" i="63"/>
  <c r="BG112" i="63"/>
  <c r="BH112" i="63"/>
  <c r="BI112" i="63"/>
  <c r="BJ112" i="63"/>
  <c r="BK112" i="63"/>
  <c r="BL112" i="63"/>
  <c r="BM112" i="63"/>
  <c r="BN112" i="63"/>
  <c r="BO112" i="63"/>
  <c r="BP112" i="63"/>
  <c r="BQ112" i="63"/>
  <c r="BR112" i="63"/>
  <c r="BS112" i="63"/>
  <c r="BJ113" i="63"/>
  <c r="BK113" i="63"/>
  <c r="BL113" i="63"/>
  <c r="BM113" i="63"/>
  <c r="BN113" i="63"/>
  <c r="BO113" i="63"/>
  <c r="BP113" i="63"/>
  <c r="BQ113" i="63"/>
  <c r="BR113" i="63"/>
  <c r="BS113" i="63"/>
  <c r="BT114" i="63"/>
  <c r="BT115" i="63"/>
  <c r="I3" i="62"/>
  <c r="J3" i="62"/>
  <c r="K3" i="62"/>
  <c r="L3" i="62"/>
  <c r="M3" i="62"/>
  <c r="K4" i="62"/>
  <c r="M4" i="62"/>
  <c r="I6" i="62"/>
  <c r="L6" i="62"/>
  <c r="M6" i="62"/>
  <c r="N6" i="62"/>
  <c r="O6" i="62"/>
  <c r="P6" i="62"/>
  <c r="Q6" i="62"/>
  <c r="AO6" i="62"/>
  <c r="AP6" i="62"/>
  <c r="AQ6" i="62"/>
  <c r="AR6" i="62"/>
  <c r="AS6" i="62"/>
  <c r="AT6" i="62"/>
  <c r="AU6" i="62"/>
  <c r="AV6" i="62"/>
  <c r="AW6" i="62"/>
  <c r="AY6" i="62"/>
  <c r="AZ6" i="62"/>
  <c r="BA6" i="62"/>
  <c r="BC6" i="62"/>
  <c r="BD6" i="62"/>
  <c r="BE6" i="62"/>
  <c r="BG6" i="62"/>
  <c r="BH6" i="62"/>
  <c r="BI6" i="62"/>
  <c r="BK6" i="62"/>
  <c r="BL6" i="62"/>
  <c r="BM6" i="62"/>
  <c r="BO6" i="62"/>
  <c r="BP6" i="62"/>
  <c r="BQ6" i="62"/>
  <c r="BS6" i="62"/>
  <c r="BT6" i="62"/>
  <c r="BU6" i="62"/>
  <c r="BW6" i="62"/>
  <c r="BX6" i="62"/>
  <c r="BY6" i="62"/>
  <c r="CA6" i="62"/>
  <c r="CB6" i="62"/>
  <c r="I7" i="62"/>
  <c r="J7" i="62"/>
  <c r="L7" i="62"/>
  <c r="M7" i="62"/>
  <c r="N7" i="62"/>
  <c r="O7" i="62"/>
  <c r="P7" i="62"/>
  <c r="Q7" i="62"/>
  <c r="R7" i="62"/>
  <c r="S7" i="62"/>
  <c r="AO7" i="62"/>
  <c r="AP7" i="62"/>
  <c r="AQ7" i="62"/>
  <c r="AR7" i="62"/>
  <c r="AS7" i="62"/>
  <c r="AT7" i="62"/>
  <c r="AU7" i="62"/>
  <c r="AV7" i="62"/>
  <c r="AW7" i="62"/>
  <c r="AX7" i="62"/>
  <c r="AY7" i="62"/>
  <c r="AZ7" i="62"/>
  <c r="BA7" i="62"/>
  <c r="BC7" i="62"/>
  <c r="BD7" i="62"/>
  <c r="BE7" i="62"/>
  <c r="BG7" i="62"/>
  <c r="BH7" i="62"/>
  <c r="BI7" i="62"/>
  <c r="BK7" i="62"/>
  <c r="BL7" i="62"/>
  <c r="BM7" i="62"/>
  <c r="BO7" i="62"/>
  <c r="BP7" i="62"/>
  <c r="BQ7" i="62"/>
  <c r="BS7" i="62"/>
  <c r="BT7" i="62"/>
  <c r="BU7" i="62"/>
  <c r="BW7" i="62"/>
  <c r="BX7" i="62"/>
  <c r="BY7" i="62"/>
  <c r="CA7" i="62"/>
  <c r="CB7" i="62"/>
  <c r="CC7" i="62"/>
  <c r="CE7" i="62"/>
  <c r="CF7" i="62"/>
  <c r="I8" i="62"/>
  <c r="J8" i="62"/>
  <c r="K8" i="62"/>
  <c r="L8" i="62"/>
  <c r="M8" i="62"/>
  <c r="N8" i="62"/>
  <c r="O8" i="62"/>
  <c r="P8" i="62"/>
  <c r="Q8" i="62"/>
  <c r="AM8" i="62"/>
  <c r="AN8" i="62"/>
  <c r="AO8" i="62"/>
  <c r="AP8" i="62"/>
  <c r="AQ8" i="62"/>
  <c r="AR8" i="62"/>
  <c r="AS8" i="62"/>
  <c r="AT8" i="62"/>
  <c r="AU8" i="62"/>
  <c r="AV8" i="62"/>
  <c r="AW8" i="62"/>
  <c r="AY8" i="62"/>
  <c r="AZ8" i="62"/>
  <c r="BA8" i="62"/>
  <c r="BC8" i="62"/>
  <c r="BD8" i="62"/>
  <c r="BE8" i="62"/>
  <c r="BG8" i="62"/>
  <c r="BH8" i="62"/>
  <c r="BI8" i="62"/>
  <c r="BK8" i="62"/>
  <c r="BL8" i="62"/>
  <c r="BM8" i="62"/>
  <c r="BO8" i="62"/>
  <c r="BP8" i="62"/>
  <c r="BQ8" i="62"/>
  <c r="BS8" i="62"/>
  <c r="BT8" i="62"/>
  <c r="BU8" i="62"/>
  <c r="BW8" i="62"/>
  <c r="BX8" i="62"/>
  <c r="BY8" i="62"/>
  <c r="CA8" i="62"/>
  <c r="CB8" i="62"/>
  <c r="I9" i="62"/>
  <c r="J9" i="62"/>
  <c r="K9" i="62"/>
  <c r="L9" i="62"/>
  <c r="M9" i="62"/>
  <c r="N9" i="62"/>
  <c r="O9" i="62"/>
  <c r="P9" i="62"/>
  <c r="Q9" i="62"/>
  <c r="AM9" i="62"/>
  <c r="AN9" i="62"/>
  <c r="AO9" i="62"/>
  <c r="AP9" i="62"/>
  <c r="AQ9" i="62"/>
  <c r="AR9" i="62"/>
  <c r="AS9" i="62"/>
  <c r="AT9" i="62"/>
  <c r="AU9" i="62"/>
  <c r="AV9" i="62"/>
  <c r="AW9" i="62"/>
  <c r="AY9" i="62"/>
  <c r="AZ9" i="62"/>
  <c r="BA9" i="62"/>
  <c r="BC9" i="62"/>
  <c r="BD9" i="62"/>
  <c r="BE9" i="62"/>
  <c r="BG9" i="62"/>
  <c r="BH9" i="62"/>
  <c r="BI9" i="62"/>
  <c r="BK9" i="62"/>
  <c r="BL9" i="62"/>
  <c r="BM9" i="62"/>
  <c r="BO9" i="62"/>
  <c r="BP9" i="62"/>
  <c r="BQ9" i="62"/>
  <c r="BS9" i="62"/>
  <c r="BT9" i="62"/>
  <c r="BU9" i="62"/>
  <c r="BW9" i="62"/>
  <c r="BX9" i="62"/>
  <c r="BY9" i="62"/>
  <c r="CA9" i="62"/>
  <c r="CB9" i="62"/>
  <c r="I10" i="62"/>
  <c r="J10" i="62"/>
  <c r="K10" i="62"/>
  <c r="L10" i="62"/>
  <c r="M10" i="62"/>
  <c r="N10" i="62"/>
  <c r="O10" i="62"/>
  <c r="P10" i="62"/>
  <c r="Q10" i="62"/>
  <c r="R10" i="62"/>
  <c r="S10" i="62"/>
  <c r="AM10" i="62"/>
  <c r="AN10" i="62"/>
  <c r="AO10" i="62"/>
  <c r="AP10" i="62"/>
  <c r="AQ10" i="62"/>
  <c r="AR10" i="62"/>
  <c r="AS10" i="62"/>
  <c r="AT10" i="62"/>
  <c r="AU10" i="62"/>
  <c r="AV10" i="62"/>
  <c r="AW10" i="62"/>
  <c r="I11" i="62"/>
  <c r="J11" i="62"/>
  <c r="K11" i="62"/>
  <c r="L11" i="62"/>
  <c r="M11" i="62"/>
  <c r="N11" i="62"/>
  <c r="O11" i="62"/>
  <c r="P11" i="62"/>
  <c r="Q11" i="62"/>
  <c r="AM11" i="62"/>
  <c r="AN11" i="62"/>
  <c r="AO11" i="62"/>
  <c r="AP11" i="62"/>
  <c r="AQ11" i="62"/>
  <c r="AS11" i="62"/>
  <c r="AT11" i="62"/>
  <c r="AU11" i="62"/>
  <c r="AW11" i="62"/>
  <c r="AY11" i="62"/>
  <c r="BA11" i="62"/>
  <c r="BC11" i="62"/>
  <c r="BE11" i="62"/>
  <c r="BG11" i="62"/>
  <c r="BI11" i="62"/>
  <c r="BK11" i="62"/>
  <c r="BM11" i="62"/>
  <c r="BO11" i="62"/>
  <c r="BQ11" i="62"/>
  <c r="BS11" i="62"/>
  <c r="BU11" i="62"/>
  <c r="BW11" i="62"/>
  <c r="BY11" i="62"/>
  <c r="CA11" i="62"/>
  <c r="J12" i="62"/>
  <c r="K12" i="62"/>
  <c r="L12" i="62"/>
  <c r="M12" i="62"/>
  <c r="N12" i="62"/>
  <c r="O12" i="62"/>
  <c r="P12" i="62"/>
  <c r="Q12" i="62"/>
  <c r="R12" i="62"/>
  <c r="S12" i="62"/>
  <c r="I13" i="62"/>
  <c r="J13" i="62"/>
  <c r="K13" i="62"/>
  <c r="L13" i="62"/>
  <c r="M13" i="62"/>
  <c r="N13" i="62"/>
  <c r="O13" i="62"/>
  <c r="P13" i="62"/>
  <c r="Q13" i="62"/>
  <c r="AM13" i="62"/>
  <c r="AN13" i="62"/>
  <c r="AO13" i="62"/>
  <c r="AP13" i="62"/>
  <c r="AQ13" i="62"/>
  <c r="AR13" i="62"/>
  <c r="AS13" i="62"/>
  <c r="AT13" i="62"/>
  <c r="AU13" i="62"/>
  <c r="AV13" i="62"/>
  <c r="I14" i="62"/>
  <c r="J14" i="62"/>
  <c r="K14" i="62"/>
  <c r="L14" i="62"/>
  <c r="M14" i="62"/>
  <c r="N14" i="62"/>
  <c r="O14" i="62"/>
  <c r="P14" i="62"/>
  <c r="Q14" i="62"/>
  <c r="AM14" i="62"/>
  <c r="AN14" i="62"/>
  <c r="AO14" i="62"/>
  <c r="AP14" i="62"/>
  <c r="AQ14" i="62"/>
  <c r="AR14" i="62"/>
  <c r="AS14" i="62"/>
  <c r="AT14" i="62"/>
  <c r="AU14" i="62"/>
  <c r="AV14" i="62"/>
  <c r="J15" i="62"/>
  <c r="K15" i="62"/>
  <c r="L15" i="62"/>
  <c r="M15" i="62"/>
  <c r="N15" i="62"/>
  <c r="O15" i="62"/>
  <c r="P15" i="62"/>
  <c r="Q15" i="62"/>
  <c r="AP15" i="62"/>
  <c r="AQ15" i="62"/>
  <c r="AR15" i="62"/>
  <c r="AS15" i="62"/>
  <c r="AT15" i="62"/>
  <c r="AU15" i="62"/>
  <c r="AV15" i="62"/>
  <c r="AW15" i="62"/>
  <c r="AY15" i="62"/>
  <c r="AZ15" i="62"/>
  <c r="BA15" i="62"/>
  <c r="BC15" i="62"/>
  <c r="BD15" i="62"/>
  <c r="BE15" i="62"/>
  <c r="BG15" i="62"/>
  <c r="BH15" i="62"/>
  <c r="BI15" i="62"/>
  <c r="BK15" i="62"/>
  <c r="BL15" i="62"/>
  <c r="BM15" i="62"/>
  <c r="BO15" i="62"/>
  <c r="BP15" i="62"/>
  <c r="BQ15" i="62"/>
  <c r="BS15" i="62"/>
  <c r="BT15" i="62"/>
  <c r="BU15" i="62"/>
  <c r="BW15" i="62"/>
  <c r="BX15" i="62"/>
  <c r="BY15" i="62"/>
  <c r="CA15" i="62"/>
  <c r="CB15" i="62"/>
  <c r="I16" i="62"/>
  <c r="J16" i="62"/>
  <c r="K16" i="62"/>
  <c r="L16" i="62"/>
  <c r="M16" i="62"/>
  <c r="N16" i="62"/>
  <c r="O16" i="62"/>
  <c r="P16" i="62"/>
  <c r="Q16" i="62"/>
  <c r="AO16" i="62"/>
  <c r="AP16" i="62"/>
  <c r="AQ16" i="62"/>
  <c r="AR16" i="62"/>
  <c r="AS16" i="62"/>
  <c r="AT16" i="62"/>
  <c r="AU16" i="62"/>
  <c r="AV16" i="62"/>
  <c r="AW16" i="62"/>
  <c r="AY16" i="62"/>
  <c r="AZ16" i="62"/>
  <c r="BA16" i="62"/>
  <c r="BC16" i="62"/>
  <c r="BD16" i="62"/>
  <c r="BE16" i="62"/>
  <c r="BG16" i="62"/>
  <c r="BH16" i="62"/>
  <c r="BI16" i="62"/>
  <c r="BK16" i="62"/>
  <c r="BL16" i="62"/>
  <c r="BM16" i="62"/>
  <c r="BO16" i="62"/>
  <c r="BP16" i="62"/>
  <c r="BQ16" i="62"/>
  <c r="BS16" i="62"/>
  <c r="BT16" i="62"/>
  <c r="BU16" i="62"/>
  <c r="BW16" i="62"/>
  <c r="BX16" i="62"/>
  <c r="BY16" i="62"/>
  <c r="CA16" i="62"/>
  <c r="CB16" i="62"/>
  <c r="J17" i="62"/>
  <c r="K17" i="62"/>
  <c r="L17" i="62"/>
  <c r="M17" i="62"/>
  <c r="N17" i="62"/>
  <c r="O17" i="62"/>
  <c r="P17" i="62"/>
  <c r="Q17" i="62"/>
  <c r="AP17" i="62"/>
  <c r="AQ17" i="62"/>
  <c r="AR17" i="62"/>
  <c r="AS17" i="62"/>
  <c r="AT17" i="62"/>
  <c r="AU17" i="62"/>
  <c r="AV17" i="62"/>
  <c r="AW17" i="62"/>
  <c r="AX17" i="62"/>
  <c r="AY17" i="62"/>
  <c r="AZ17" i="62"/>
  <c r="BA17" i="62"/>
  <c r="BC17" i="62"/>
  <c r="BD17" i="62"/>
  <c r="BE17" i="62"/>
  <c r="BG17" i="62"/>
  <c r="J18" i="62"/>
  <c r="K18" i="62"/>
  <c r="L18" i="62"/>
  <c r="M18" i="62"/>
  <c r="N18" i="62"/>
  <c r="O18" i="62"/>
  <c r="P18" i="62"/>
  <c r="Q18" i="62"/>
  <c r="AP18" i="62"/>
  <c r="AQ18" i="62"/>
  <c r="AR18" i="62"/>
  <c r="AS18" i="62"/>
  <c r="AT18" i="62"/>
  <c r="AU18" i="62"/>
  <c r="AV18" i="62"/>
  <c r="J19" i="62"/>
  <c r="K19" i="62"/>
  <c r="L19" i="62"/>
  <c r="M19" i="62"/>
  <c r="N19" i="62"/>
  <c r="O19" i="62"/>
  <c r="P19" i="62"/>
  <c r="Q19" i="62"/>
  <c r="AP19" i="62"/>
  <c r="AQ19" i="62"/>
  <c r="AR19" i="62"/>
  <c r="AS19" i="62"/>
  <c r="AT19" i="62"/>
  <c r="AU19" i="62"/>
  <c r="AV19" i="62"/>
  <c r="I20" i="62"/>
  <c r="J20" i="62"/>
  <c r="K20" i="62"/>
  <c r="L20" i="62"/>
  <c r="M20" i="62"/>
  <c r="N20" i="62"/>
  <c r="O20" i="62"/>
  <c r="P20" i="62"/>
  <c r="Q20" i="62"/>
  <c r="AM20" i="62"/>
  <c r="AN20" i="62"/>
  <c r="AO20" i="62"/>
  <c r="AP20" i="62"/>
  <c r="AQ20" i="62"/>
  <c r="AR20" i="62"/>
  <c r="AS20" i="62"/>
  <c r="AT20" i="62"/>
  <c r="AU20" i="62"/>
  <c r="AV20" i="62"/>
  <c r="AW20" i="62"/>
  <c r="AY20" i="62"/>
  <c r="AZ20" i="62"/>
  <c r="BA20" i="62"/>
  <c r="BC20" i="62"/>
  <c r="BD20" i="62"/>
  <c r="BE20" i="62"/>
  <c r="BG20" i="62"/>
  <c r="BH20" i="62"/>
  <c r="BI20" i="62"/>
  <c r="BK20" i="62"/>
  <c r="BL20" i="62"/>
  <c r="BM20" i="62"/>
  <c r="BO20" i="62"/>
  <c r="BP20" i="62"/>
  <c r="BQ20" i="62"/>
  <c r="BS20" i="62"/>
  <c r="BT20" i="62"/>
  <c r="BU20" i="62"/>
  <c r="BW20" i="62"/>
  <c r="BX20" i="62"/>
  <c r="BY20" i="62"/>
  <c r="CA20" i="62"/>
  <c r="CB20" i="62"/>
  <c r="I21" i="62"/>
  <c r="J21" i="62"/>
  <c r="K21" i="62"/>
  <c r="L21" i="62"/>
  <c r="M21" i="62"/>
  <c r="N21" i="62"/>
  <c r="O21" i="62"/>
  <c r="P21" i="62"/>
  <c r="Q21" i="62"/>
  <c r="AM21" i="62"/>
  <c r="AN21" i="62"/>
  <c r="AO21" i="62"/>
  <c r="AP21" i="62"/>
  <c r="AQ21" i="62"/>
  <c r="AR21" i="62"/>
  <c r="AS21" i="62"/>
  <c r="AT21" i="62"/>
  <c r="AU21" i="62"/>
  <c r="AV21" i="62"/>
  <c r="AW21" i="62"/>
  <c r="AX21" i="62"/>
  <c r="AY21" i="62"/>
  <c r="AZ21" i="62"/>
  <c r="I22" i="62"/>
  <c r="J22" i="62"/>
  <c r="K22" i="62"/>
  <c r="L22" i="62"/>
  <c r="M22" i="62"/>
  <c r="N22" i="62"/>
  <c r="O22" i="62"/>
  <c r="P22" i="62"/>
  <c r="Q22" i="62"/>
  <c r="J23" i="62"/>
  <c r="K23" i="62"/>
  <c r="L23" i="62"/>
  <c r="M23" i="62"/>
  <c r="N23" i="62"/>
  <c r="O23" i="62"/>
  <c r="P23" i="62"/>
  <c r="Q23" i="62"/>
  <c r="AP23" i="62"/>
  <c r="AQ23" i="62"/>
  <c r="AR23" i="62"/>
  <c r="AS23" i="62"/>
  <c r="AT23" i="62"/>
  <c r="AU23" i="62"/>
  <c r="AV23" i="62"/>
  <c r="AW23" i="62"/>
  <c r="AY23" i="62"/>
  <c r="AZ23" i="62"/>
  <c r="BA23" i="62"/>
  <c r="BC23" i="62"/>
  <c r="BD23" i="62"/>
  <c r="BE23" i="62"/>
  <c r="BG23" i="62"/>
  <c r="BH23" i="62"/>
  <c r="BI23" i="62"/>
  <c r="BK23" i="62"/>
  <c r="BL23" i="62"/>
  <c r="BM23" i="62"/>
  <c r="BO23" i="62"/>
  <c r="BP23" i="62"/>
  <c r="BQ23" i="62"/>
  <c r="BS23" i="62"/>
  <c r="BT23" i="62"/>
  <c r="BU23" i="62"/>
  <c r="BW23" i="62"/>
  <c r="BX23" i="62"/>
  <c r="BY23" i="62"/>
  <c r="CA23" i="62"/>
  <c r="CB23" i="62"/>
  <c r="I24" i="62"/>
  <c r="J24" i="62"/>
  <c r="K24" i="62"/>
  <c r="L24" i="62"/>
  <c r="M24" i="62"/>
  <c r="N24" i="62"/>
  <c r="O24" i="62"/>
  <c r="P24" i="62"/>
  <c r="Q24" i="62"/>
  <c r="AO24" i="62"/>
  <c r="AP24" i="62"/>
  <c r="AQ24" i="62"/>
  <c r="AR24" i="62"/>
  <c r="AS24" i="62"/>
  <c r="AT24" i="62"/>
  <c r="AU24" i="62"/>
  <c r="AV24" i="62"/>
  <c r="AW24" i="62"/>
  <c r="AY24" i="62"/>
  <c r="AZ24" i="62"/>
  <c r="BA24" i="62"/>
  <c r="BC24" i="62"/>
  <c r="BD24" i="62"/>
  <c r="BE24" i="62"/>
  <c r="BG24" i="62"/>
  <c r="BH24" i="62"/>
  <c r="BI24" i="62"/>
  <c r="BK24" i="62"/>
  <c r="BL24" i="62"/>
  <c r="BM24" i="62"/>
  <c r="BO24" i="62"/>
  <c r="BP24" i="62"/>
  <c r="BQ24" i="62"/>
  <c r="BS24" i="62"/>
  <c r="BT24" i="62"/>
  <c r="BU24" i="62"/>
  <c r="BW24" i="62"/>
  <c r="BX24" i="62"/>
  <c r="BY24" i="62"/>
  <c r="CA24" i="62"/>
  <c r="CB24" i="62"/>
  <c r="J25" i="62"/>
  <c r="K25" i="62"/>
  <c r="L25" i="62"/>
  <c r="M25" i="62"/>
  <c r="N25" i="62"/>
  <c r="O25" i="62"/>
  <c r="P25" i="62"/>
  <c r="Q25" i="62"/>
  <c r="AP25" i="62"/>
  <c r="AQ25" i="62"/>
  <c r="AR25" i="62"/>
  <c r="AS25" i="62"/>
  <c r="AT25" i="62"/>
  <c r="AU25" i="62"/>
  <c r="AV25" i="62"/>
  <c r="AW25" i="62"/>
  <c r="AX25" i="62"/>
  <c r="AY25" i="62"/>
  <c r="AZ25" i="62"/>
  <c r="BA25" i="62"/>
  <c r="BC25" i="62"/>
  <c r="BD25" i="62"/>
  <c r="BE25" i="62"/>
  <c r="BG25" i="62"/>
  <c r="BH25" i="62"/>
  <c r="BI25" i="62"/>
  <c r="BK25" i="62"/>
  <c r="BL25" i="62"/>
  <c r="BM25" i="62"/>
  <c r="BO25" i="62"/>
  <c r="BP25" i="62"/>
  <c r="BQ25" i="62"/>
  <c r="BS25" i="62"/>
  <c r="BT25" i="62"/>
  <c r="BU25" i="62"/>
  <c r="BW25" i="62"/>
  <c r="BX25" i="62"/>
  <c r="BY25" i="62"/>
  <c r="CA25" i="62"/>
  <c r="CB25" i="62"/>
  <c r="CC25" i="62"/>
  <c r="CE25" i="62"/>
  <c r="CF25" i="62"/>
  <c r="AM28" i="62"/>
  <c r="AN28" i="62"/>
  <c r="L34" i="62"/>
  <c r="M34" i="62"/>
  <c r="N34" i="62"/>
  <c r="O34" i="62"/>
  <c r="P34" i="62"/>
  <c r="Q34" i="62"/>
  <c r="AP34" i="62"/>
  <c r="I35" i="62"/>
  <c r="L35" i="62"/>
  <c r="M35" i="62"/>
  <c r="N35" i="62"/>
  <c r="O35" i="62"/>
  <c r="P35" i="62"/>
  <c r="Q35" i="62"/>
  <c r="AO35" i="62"/>
  <c r="AP35" i="62"/>
  <c r="I36" i="62"/>
  <c r="J36" i="62"/>
  <c r="K36" i="62"/>
  <c r="L36" i="62"/>
  <c r="M36" i="62"/>
  <c r="N36" i="62"/>
  <c r="O36" i="62"/>
  <c r="P36" i="62"/>
  <c r="Q36" i="62"/>
  <c r="AM36" i="62"/>
  <c r="J37" i="62"/>
  <c r="K37" i="62"/>
  <c r="L37" i="62"/>
  <c r="M37" i="62"/>
  <c r="N37" i="62"/>
  <c r="O37" i="62"/>
  <c r="P37" i="62"/>
  <c r="Q37" i="62"/>
  <c r="AY38" i="62"/>
  <c r="AM39" i="62"/>
  <c r="AN39" i="62"/>
  <c r="I40" i="62"/>
  <c r="AY40" i="62"/>
  <c r="L41" i="62"/>
  <c r="M41" i="62"/>
  <c r="N41" i="62"/>
  <c r="O41" i="62"/>
  <c r="P41" i="62"/>
  <c r="Q41" i="62"/>
  <c r="L42" i="62"/>
  <c r="M42" i="62"/>
  <c r="N42" i="62"/>
  <c r="O42" i="62"/>
  <c r="P42" i="62"/>
  <c r="Q42" i="62"/>
  <c r="L43" i="62"/>
  <c r="M43" i="62"/>
  <c r="N43" i="62"/>
  <c r="O43" i="62"/>
  <c r="P43" i="62"/>
  <c r="Q43" i="62"/>
  <c r="AP43" i="62"/>
  <c r="I44" i="62"/>
  <c r="L44" i="62"/>
  <c r="M44" i="62"/>
  <c r="N44" i="62"/>
  <c r="O44" i="62"/>
  <c r="P44" i="62"/>
  <c r="Q44" i="62"/>
  <c r="K46" i="62"/>
  <c r="AP47" i="62"/>
  <c r="AQ47" i="62"/>
  <c r="AR47" i="62"/>
  <c r="AZ47" i="62"/>
  <c r="AZ48" i="62"/>
  <c r="BA48" i="62"/>
  <c r="BB48" i="62"/>
  <c r="BC48" i="62"/>
  <c r="BD48" i="62"/>
  <c r="BE48" i="62"/>
  <c r="BF48" i="62"/>
  <c r="BG48" i="62"/>
  <c r="BH48" i="62"/>
  <c r="BI48" i="62"/>
  <c r="BJ48" i="62"/>
  <c r="BK48" i="62"/>
  <c r="BL48" i="62"/>
  <c r="BM48" i="62"/>
  <c r="BN48" i="62"/>
  <c r="BO48" i="62"/>
  <c r="BP48" i="62"/>
  <c r="BQ48" i="62"/>
  <c r="BR48" i="62"/>
  <c r="BS48" i="62"/>
  <c r="BT48" i="62"/>
  <c r="BU48" i="62"/>
  <c r="BV48" i="62"/>
  <c r="BW48" i="62"/>
  <c r="BX48" i="62"/>
  <c r="BY48" i="62"/>
  <c r="BZ48" i="62"/>
  <c r="CA48" i="62"/>
  <c r="CB48" i="62"/>
  <c r="CD48" i="62"/>
  <c r="CE48" i="62"/>
  <c r="CH48" i="62"/>
  <c r="CI48" i="62"/>
  <c r="CL48" i="62"/>
  <c r="CM48" i="62"/>
  <c r="CP48" i="62"/>
  <c r="CQ48" i="62"/>
  <c r="CT48" i="62"/>
  <c r="CU48" i="62"/>
  <c r="CX48" i="62"/>
  <c r="CY48" i="62"/>
  <c r="BA49" i="62"/>
  <c r="BB49" i="62"/>
  <c r="BC49" i="62"/>
  <c r="BD49" i="62"/>
  <c r="BE49" i="62"/>
  <c r="BF49" i="62"/>
  <c r="BG49" i="62"/>
  <c r="BH49" i="62"/>
  <c r="BI49" i="62"/>
  <c r="BJ49" i="62"/>
  <c r="BK49" i="62"/>
  <c r="BL49" i="62"/>
  <c r="BM49" i="62"/>
  <c r="BN49" i="62"/>
  <c r="BO49" i="62"/>
  <c r="BP49" i="62"/>
  <c r="BQ49" i="62"/>
  <c r="BR49" i="62"/>
  <c r="BS49" i="62"/>
  <c r="BT49" i="62"/>
  <c r="BU49" i="62"/>
  <c r="BV49" i="62"/>
  <c r="BW49" i="62"/>
  <c r="BX49" i="62"/>
  <c r="BY49" i="62"/>
  <c r="BZ49" i="62"/>
  <c r="CA49" i="62"/>
  <c r="CB49" i="62"/>
  <c r="CD49" i="62"/>
  <c r="CE49" i="62"/>
  <c r="CH49" i="62"/>
  <c r="CI49" i="62"/>
  <c r="CL49" i="62"/>
  <c r="CM49" i="62"/>
  <c r="CP49" i="62"/>
  <c r="CQ49" i="62"/>
  <c r="CT49" i="62"/>
  <c r="CU49" i="62"/>
  <c r="CX49" i="62"/>
  <c r="CY49" i="62"/>
  <c r="AP50" i="62"/>
  <c r="AQ50" i="62"/>
  <c r="AR50" i="62"/>
  <c r="AX50" i="62"/>
  <c r="AY50" i="62"/>
  <c r="AZ50" i="62"/>
  <c r="BA50" i="62"/>
  <c r="BB50" i="62"/>
  <c r="BC50" i="62"/>
  <c r="BD50" i="62"/>
  <c r="BE50" i="62"/>
  <c r="BF50" i="62"/>
  <c r="BG50" i="62"/>
  <c r="BH50" i="62"/>
  <c r="BI50" i="62"/>
  <c r="BJ50" i="62"/>
  <c r="BK50" i="62"/>
  <c r="BL50" i="62"/>
  <c r="BM50" i="62"/>
  <c r="BN50" i="62"/>
  <c r="BO50" i="62"/>
  <c r="BP50" i="62"/>
  <c r="BQ50" i="62"/>
  <c r="BR50" i="62"/>
  <c r="BS50" i="62"/>
  <c r="BT50" i="62"/>
  <c r="BU50" i="62"/>
  <c r="BV50" i="62"/>
  <c r="BW50" i="62"/>
  <c r="BX50" i="62"/>
  <c r="BY50" i="62"/>
  <c r="BZ50" i="62"/>
  <c r="CA50" i="62"/>
  <c r="CB50" i="62"/>
  <c r="CD50" i="62"/>
  <c r="CE50" i="62"/>
  <c r="CH50" i="62"/>
  <c r="CI50" i="62"/>
  <c r="CL50" i="62"/>
  <c r="CM50" i="62"/>
  <c r="CP50" i="62"/>
  <c r="CQ50" i="62"/>
  <c r="CT50" i="62"/>
  <c r="CU50" i="62"/>
  <c r="CX50" i="62"/>
  <c r="CY50" i="62"/>
  <c r="AP53" i="62"/>
  <c r="AQ53" i="62"/>
  <c r="AR53" i="62"/>
  <c r="AZ54" i="62"/>
  <c r="AX57" i="62"/>
  <c r="AY57" i="62"/>
  <c r="AZ57" i="62"/>
  <c r="I58" i="62"/>
  <c r="J58" i="62"/>
  <c r="K58" i="62"/>
  <c r="L58" i="62"/>
  <c r="AZ58" i="62"/>
  <c r="BA58" i="62"/>
  <c r="BB58" i="62"/>
  <c r="BC58" i="62"/>
  <c r="BD58" i="62"/>
  <c r="BE58" i="62"/>
  <c r="BF58" i="62"/>
  <c r="BG58" i="62"/>
  <c r="BH58" i="62"/>
  <c r="BI58" i="62"/>
  <c r="BJ58" i="62"/>
  <c r="BK58" i="62"/>
  <c r="BL58" i="62"/>
  <c r="BM58" i="62"/>
  <c r="BN58" i="62"/>
  <c r="BO58" i="62"/>
  <c r="BP58" i="62"/>
  <c r="BQ58" i="62"/>
  <c r="BR58" i="62"/>
  <c r="BS58" i="62"/>
  <c r="BT58" i="62"/>
  <c r="BU58" i="62"/>
  <c r="BV58" i="62"/>
  <c r="BW58" i="62"/>
  <c r="BX58" i="62"/>
  <c r="BY58" i="62"/>
  <c r="BZ58" i="62"/>
  <c r="CA58" i="62"/>
  <c r="CB58" i="62"/>
  <c r="CD58" i="62"/>
  <c r="CE58" i="62"/>
  <c r="CF58" i="62"/>
  <c r="CH58" i="62"/>
  <c r="CI58" i="62"/>
  <c r="CJ58" i="62"/>
  <c r="CL58" i="62"/>
  <c r="CM58" i="62"/>
  <c r="CN58" i="62"/>
  <c r="CP58" i="62"/>
  <c r="CQ58" i="62"/>
  <c r="CR58" i="62"/>
  <c r="CT58" i="62"/>
  <c r="CU58" i="62"/>
  <c r="CV58" i="62"/>
  <c r="CX58" i="62"/>
  <c r="CY58" i="62"/>
  <c r="CZ58" i="62"/>
  <c r="I59" i="62"/>
  <c r="J59" i="62"/>
  <c r="K59" i="62"/>
  <c r="L59" i="62"/>
  <c r="M59" i="62"/>
  <c r="N59" i="62"/>
  <c r="O59" i="62"/>
  <c r="P59" i="62"/>
  <c r="Q59" i="62"/>
  <c r="AM59" i="62"/>
  <c r="AN59" i="62"/>
  <c r="AO59" i="62"/>
  <c r="AP59" i="62" a="1"/>
  <c r="AP59" i="62"/>
  <c r="AQ59" i="62"/>
  <c r="AR59" i="62"/>
  <c r="I60" i="62"/>
  <c r="J60" i="62"/>
  <c r="K60" i="62"/>
  <c r="L60" i="62"/>
  <c r="M60" i="62"/>
  <c r="N60" i="62"/>
  <c r="O60" i="62"/>
  <c r="P60" i="62"/>
  <c r="Q60" i="62"/>
  <c r="I61" i="62"/>
  <c r="J61" i="62"/>
  <c r="K61" i="62"/>
  <c r="L61" i="62"/>
  <c r="M61" i="62"/>
  <c r="N61" i="62"/>
  <c r="O61" i="62"/>
  <c r="P61" i="62"/>
  <c r="Q61" i="62"/>
  <c r="I63" i="62"/>
  <c r="J63" i="62"/>
  <c r="K63" i="62"/>
  <c r="L63" i="62"/>
  <c r="M63" i="62"/>
  <c r="N63" i="62"/>
  <c r="O63" i="62"/>
  <c r="P63" i="62"/>
  <c r="Q63" i="62"/>
  <c r="AM63" i="62"/>
  <c r="AN63" i="62"/>
  <c r="AO63" i="62"/>
  <c r="AP63" i="62"/>
  <c r="AQ63" i="62"/>
  <c r="AR63" i="62"/>
  <c r="AS63" i="62"/>
  <c r="AT63" i="62"/>
  <c r="AU63" i="62"/>
  <c r="AV63" i="62"/>
  <c r="AW63" i="62"/>
  <c r="AY63" i="62"/>
  <c r="AZ63" i="62"/>
  <c r="BA63" i="62"/>
  <c r="BC63" i="62"/>
  <c r="BD63" i="62"/>
  <c r="BE63" i="62"/>
  <c r="BG63" i="62"/>
  <c r="BH63" i="62"/>
  <c r="BI63" i="62"/>
  <c r="BK63" i="62"/>
  <c r="BL63" i="62"/>
  <c r="BM63" i="62"/>
  <c r="BO63" i="62"/>
  <c r="BP63" i="62"/>
  <c r="BQ63" i="62"/>
  <c r="BS63" i="62"/>
  <c r="BT63" i="62"/>
  <c r="BU63" i="62"/>
  <c r="BW63" i="62"/>
  <c r="BX63" i="62"/>
  <c r="BY63" i="62"/>
  <c r="CA63" i="62"/>
  <c r="CB63" i="62"/>
  <c r="J71" i="62"/>
  <c r="K71" i="62"/>
  <c r="L71" i="62"/>
  <c r="M71" i="62"/>
  <c r="N71" i="62"/>
  <c r="O71" i="62"/>
  <c r="P71" i="62"/>
  <c r="Q71" i="62"/>
  <c r="AN71" i="62"/>
  <c r="AO71" i="62"/>
  <c r="AP71" i="62"/>
  <c r="AQ71" i="62"/>
  <c r="AR71" i="62"/>
  <c r="J72" i="62"/>
  <c r="K72" i="62"/>
  <c r="L72" i="62"/>
  <c r="M72" i="62"/>
  <c r="N72" i="62"/>
  <c r="O72" i="62"/>
  <c r="P72" i="62"/>
  <c r="Q72" i="62"/>
  <c r="J73" i="62"/>
  <c r="K73" i="62"/>
  <c r="L73" i="62"/>
  <c r="M73" i="62"/>
  <c r="N73" i="62"/>
  <c r="O73" i="62"/>
  <c r="P73" i="62"/>
  <c r="Q73" i="62"/>
  <c r="J74" i="62"/>
  <c r="J75" i="62"/>
  <c r="K75" i="62"/>
  <c r="L75" i="62"/>
  <c r="M75" i="62"/>
  <c r="N75" i="62"/>
  <c r="O75" i="62"/>
  <c r="P75" i="62"/>
  <c r="Q75" i="62"/>
  <c r="AP75" i="62"/>
  <c r="AQ75" i="62"/>
  <c r="AR75" i="62"/>
  <c r="AS75" i="62"/>
  <c r="AT75" i="62"/>
  <c r="AU75" i="62"/>
  <c r="AV75" i="62"/>
  <c r="AW75" i="62"/>
  <c r="AY75" i="62"/>
  <c r="AZ75" i="62"/>
  <c r="BA75" i="62"/>
  <c r="BC75" i="62"/>
  <c r="BD75" i="62"/>
  <c r="BE75" i="62"/>
  <c r="BG75" i="62"/>
  <c r="BH75" i="62"/>
  <c r="BI75" i="62"/>
  <c r="BK75" i="62"/>
  <c r="BL75" i="62"/>
  <c r="BM75" i="62"/>
  <c r="BO75" i="62"/>
  <c r="BP75" i="62"/>
  <c r="BQ75" i="62"/>
  <c r="BS75" i="62"/>
  <c r="BT75" i="62"/>
  <c r="BU75" i="62"/>
  <c r="BW75" i="62"/>
  <c r="BX75" i="62"/>
  <c r="BY75" i="62"/>
  <c r="CA75" i="62"/>
  <c r="CB75" i="62"/>
  <c r="AO81" i="62"/>
  <c r="I82" i="62"/>
  <c r="J82" i="62"/>
  <c r="K82" i="62"/>
  <c r="L82" i="62"/>
  <c r="M82" i="62"/>
  <c r="N82" i="62"/>
  <c r="O82" i="62"/>
  <c r="P82" i="62"/>
  <c r="Q82" i="62"/>
  <c r="AM82" i="62"/>
  <c r="AN82" i="62"/>
  <c r="AO82" i="62"/>
  <c r="AP82" i="62"/>
  <c r="AQ82" i="62"/>
  <c r="AR82" i="62"/>
  <c r="AS82" i="62"/>
  <c r="AT82" i="62"/>
  <c r="AU82" i="62"/>
  <c r="AV82" i="62"/>
  <c r="AW82" i="62"/>
  <c r="AY82" i="62"/>
  <c r="AZ82" i="62"/>
  <c r="BA82" i="62"/>
  <c r="BC82" i="62"/>
  <c r="BD82" i="62"/>
  <c r="BE82" i="62"/>
  <c r="BG82" i="62"/>
  <c r="BH82" i="62"/>
  <c r="BI82" i="62"/>
  <c r="BK82" i="62"/>
  <c r="BL82" i="62"/>
  <c r="BM82" i="62"/>
  <c r="BO82" i="62"/>
  <c r="BP82" i="62"/>
  <c r="BQ82" i="62"/>
  <c r="BS82" i="62"/>
  <c r="BT82" i="62"/>
  <c r="BU82" i="62"/>
  <c r="BW82" i="62"/>
  <c r="BX82" i="62"/>
  <c r="BY82" i="62"/>
  <c r="CA82" i="62"/>
  <c r="CB82" i="62"/>
  <c r="I83" i="62"/>
  <c r="J83" i="62"/>
  <c r="K83" i="62"/>
  <c r="L83" i="62"/>
  <c r="M83" i="62"/>
  <c r="N83" i="62"/>
  <c r="O83" i="62"/>
  <c r="P83" i="62"/>
  <c r="Q83" i="62"/>
  <c r="AM83" i="62"/>
  <c r="AN83" i="62"/>
  <c r="AO83" i="62"/>
  <c r="AP83" i="62"/>
  <c r="AQ83" i="62"/>
  <c r="AR83" i="62"/>
  <c r="AS83" i="62"/>
  <c r="AT83" i="62"/>
  <c r="AU83" i="62"/>
  <c r="AV83" i="62"/>
  <c r="AW83" i="62"/>
  <c r="AX83" i="62"/>
  <c r="AY83" i="62"/>
  <c r="AZ83" i="62"/>
  <c r="BA83" i="62"/>
  <c r="BC83" i="62"/>
  <c r="BD83" i="62"/>
  <c r="BE83" i="62"/>
  <c r="BG83" i="62"/>
  <c r="BH83" i="62"/>
  <c r="BI83" i="62"/>
  <c r="BK83" i="62"/>
  <c r="BL83" i="62"/>
  <c r="BM83" i="62"/>
  <c r="BO83" i="62"/>
  <c r="BP83" i="62"/>
  <c r="BQ83" i="62"/>
  <c r="BS83" i="62"/>
  <c r="BT83" i="62"/>
  <c r="BU83" i="62"/>
  <c r="BW83" i="62"/>
  <c r="BX83" i="62"/>
  <c r="BY83" i="62"/>
  <c r="CA83" i="62"/>
  <c r="CB83" i="62"/>
  <c r="CC83" i="62"/>
  <c r="CE83" i="62"/>
  <c r="CF83" i="62"/>
  <c r="I85" i="62"/>
  <c r="J85" i="62"/>
  <c r="K85" i="62"/>
  <c r="L85" i="62"/>
  <c r="M85" i="62"/>
  <c r="N85" i="62"/>
  <c r="O85" i="62"/>
  <c r="P85" i="62"/>
  <c r="Q85" i="62"/>
  <c r="AM85" i="62"/>
  <c r="AN85" i="62"/>
  <c r="AO85" i="62"/>
  <c r="AP85" i="62"/>
  <c r="AQ85" i="62"/>
  <c r="AR85" i="62"/>
  <c r="AS85" i="62"/>
  <c r="AT85" i="62"/>
  <c r="AU85" i="62"/>
  <c r="AV85" i="62"/>
  <c r="AW85" i="62"/>
  <c r="AY85" i="62"/>
  <c r="AZ85" i="62"/>
  <c r="BA85" i="62"/>
  <c r="BC85" i="62"/>
  <c r="BD85" i="62"/>
  <c r="BE85" i="62"/>
  <c r="BG85" i="62"/>
  <c r="BH85" i="62"/>
  <c r="BI85" i="62"/>
  <c r="BK85" i="62"/>
  <c r="BL85" i="62"/>
  <c r="BM85" i="62"/>
  <c r="BO85" i="62"/>
  <c r="BP85" i="62"/>
  <c r="BQ85" i="62"/>
  <c r="BS85" i="62"/>
  <c r="BT85" i="62"/>
  <c r="BU85" i="62"/>
  <c r="BW85" i="62"/>
  <c r="BX85" i="62"/>
  <c r="BY85" i="62"/>
  <c r="CA85" i="62"/>
  <c r="CB85" i="62"/>
  <c r="I86" i="62"/>
  <c r="J86" i="62"/>
  <c r="K86" i="62"/>
  <c r="L86" i="62"/>
  <c r="M86" i="62"/>
  <c r="N86" i="62"/>
  <c r="O86" i="62"/>
  <c r="P86" i="62"/>
  <c r="Q86" i="62"/>
  <c r="AM86" i="62"/>
  <c r="AN86" i="62"/>
  <c r="AO86" i="62"/>
  <c r="AP86" i="62"/>
  <c r="AQ86" i="62"/>
  <c r="AR86" i="62"/>
  <c r="AS86" i="62"/>
  <c r="AT86" i="62"/>
  <c r="AU86" i="62"/>
  <c r="AV86" i="62"/>
  <c r="AX86" i="62"/>
  <c r="AY86" i="62"/>
  <c r="AZ86" i="62"/>
  <c r="BA86" i="62"/>
  <c r="BB86" i="62"/>
  <c r="BC86" i="62"/>
  <c r="BD86" i="62"/>
  <c r="BE86" i="62"/>
  <c r="BF86" i="62"/>
  <c r="BG86" i="62"/>
  <c r="BH86" i="62"/>
  <c r="BI86" i="62"/>
  <c r="BJ86" i="62"/>
  <c r="BK86" i="62"/>
  <c r="BL86" i="62"/>
  <c r="BM86" i="62"/>
  <c r="BN86" i="62"/>
  <c r="BO86" i="62"/>
  <c r="BP86" i="62"/>
  <c r="BQ86" i="62"/>
  <c r="BR86" i="62"/>
  <c r="BS86" i="62"/>
  <c r="BT86" i="62"/>
  <c r="BU86" i="62"/>
  <c r="BV86" i="62"/>
  <c r="BW86" i="62"/>
  <c r="BX86" i="62"/>
  <c r="BY86" i="62"/>
  <c r="BZ86" i="62"/>
  <c r="CA86" i="62"/>
  <c r="CB86" i="62"/>
  <c r="CD86" i="62"/>
  <c r="CE86" i="62"/>
  <c r="CH86" i="62"/>
  <c r="CI86" i="62"/>
  <c r="CL86" i="62"/>
  <c r="CM86" i="62"/>
  <c r="CP86" i="62"/>
  <c r="CQ86" i="62"/>
  <c r="CT86" i="62"/>
  <c r="CU86" i="62"/>
  <c r="CX86" i="62"/>
  <c r="CY86" i="62"/>
  <c r="I87" i="62"/>
  <c r="J87" i="62"/>
  <c r="K87" i="62"/>
  <c r="L87" i="62"/>
  <c r="M87" i="62"/>
  <c r="N87" i="62"/>
  <c r="O87" i="62"/>
  <c r="P87" i="62"/>
  <c r="Q87" i="62"/>
  <c r="AS87" i="62"/>
  <c r="AT87" i="62"/>
  <c r="AU87" i="62"/>
  <c r="AV87" i="62"/>
  <c r="AW87" i="62"/>
  <c r="AX87" i="62"/>
  <c r="AY87" i="62"/>
  <c r="BB87" i="62"/>
  <c r="BC87" i="62"/>
  <c r="BF87" i="62"/>
  <c r="BG87" i="62"/>
  <c r="BJ87" i="62"/>
  <c r="BK87" i="62"/>
  <c r="BN87" i="62"/>
  <c r="BO87" i="62"/>
  <c r="BR87" i="62"/>
  <c r="BS87" i="62"/>
  <c r="BV87" i="62"/>
  <c r="BW87" i="62"/>
  <c r="BZ87" i="62"/>
  <c r="CA87" i="62"/>
  <c r="CD87" i="62"/>
  <c r="CE87" i="62"/>
  <c r="CH87" i="62"/>
  <c r="CI87" i="62"/>
  <c r="CL87" i="62"/>
  <c r="CM87" i="62"/>
  <c r="CP87" i="62"/>
  <c r="CQ87" i="62"/>
  <c r="CT87" i="62"/>
  <c r="CU87" i="62"/>
  <c r="CX87" i="62"/>
  <c r="CY87" i="62"/>
  <c r="I88" i="62"/>
  <c r="J88" i="62"/>
  <c r="K88" i="62"/>
  <c r="L88" i="62"/>
  <c r="M88" i="62"/>
  <c r="N88" i="62"/>
  <c r="O88" i="62"/>
  <c r="P88" i="62"/>
  <c r="Q88" i="62"/>
  <c r="AM88" i="62"/>
  <c r="AN88" i="62"/>
  <c r="AO88" i="62"/>
  <c r="AP88" i="62"/>
  <c r="AQ88" i="62"/>
  <c r="AR88" i="62"/>
  <c r="AS88" i="62"/>
  <c r="AT88" i="62"/>
  <c r="AU88" i="62"/>
  <c r="AV88" i="62"/>
  <c r="AX88" i="62"/>
  <c r="AY88" i="62"/>
  <c r="AZ88" i="62"/>
  <c r="BA88" i="62"/>
  <c r="BB88" i="62"/>
  <c r="BC88" i="62"/>
  <c r="BD88" i="62"/>
  <c r="BE88" i="62"/>
  <c r="BF88" i="62"/>
  <c r="BG88" i="62"/>
  <c r="BH88" i="62"/>
  <c r="BI88" i="62"/>
  <c r="BJ88" i="62"/>
  <c r="BK88" i="62"/>
  <c r="BL88" i="62"/>
  <c r="BM88" i="62"/>
  <c r="BN88" i="62"/>
  <c r="BO88" i="62"/>
  <c r="BP88" i="62"/>
  <c r="BQ88" i="62"/>
  <c r="BR88" i="62"/>
  <c r="BS88" i="62"/>
  <c r="BT88" i="62"/>
  <c r="BU88" i="62"/>
  <c r="BV88" i="62"/>
  <c r="BW88" i="62"/>
  <c r="BX88" i="62"/>
  <c r="BY88" i="62"/>
  <c r="BZ88" i="62"/>
  <c r="CA88" i="62"/>
  <c r="CB88" i="62"/>
  <c r="CD88" i="62"/>
  <c r="CE88" i="62"/>
  <c r="CF88" i="62"/>
  <c r="CH88" i="62"/>
  <c r="CI88" i="62"/>
  <c r="CJ88" i="62"/>
  <c r="CL88" i="62"/>
  <c r="CM88" i="62"/>
  <c r="CN88" i="62"/>
  <c r="CP88" i="62"/>
  <c r="CQ88" i="62"/>
  <c r="CR88" i="62"/>
  <c r="CT88" i="62"/>
  <c r="CU88" i="62"/>
  <c r="CV88" i="62"/>
  <c r="CX88" i="62"/>
  <c r="CY88" i="62"/>
  <c r="CZ88" i="62"/>
  <c r="I89" i="62"/>
  <c r="J89" i="62"/>
  <c r="K89" i="62"/>
  <c r="L89" i="62"/>
  <c r="M89" i="62"/>
  <c r="N89" i="62"/>
  <c r="O89" i="62"/>
  <c r="P89" i="62"/>
  <c r="Q89" i="62"/>
  <c r="AM89" i="62"/>
  <c r="AN89" i="62"/>
  <c r="AO89" i="62"/>
  <c r="AP89" i="62"/>
  <c r="AQ89" i="62"/>
  <c r="AR89" i="62"/>
  <c r="AS89" i="62"/>
  <c r="AT89" i="62"/>
  <c r="AU89" i="62"/>
  <c r="AV89" i="62"/>
  <c r="AW89" i="62"/>
  <c r="AX89" i="62"/>
  <c r="AY89" i="62"/>
  <c r="AZ89" i="62"/>
  <c r="BB89" i="62"/>
  <c r="BC89" i="62"/>
  <c r="BD89" i="62"/>
  <c r="BF89" i="62"/>
  <c r="BG89" i="62"/>
  <c r="BH89" i="62"/>
  <c r="BJ89" i="62"/>
  <c r="BK89" i="62"/>
  <c r="BL89" i="62"/>
  <c r="BN89" i="62"/>
  <c r="BO89" i="62"/>
  <c r="BP89" i="62"/>
  <c r="BR89" i="62"/>
  <c r="BS89" i="62"/>
  <c r="BT89" i="62"/>
  <c r="BV89" i="62"/>
  <c r="BW89" i="62"/>
  <c r="BX89" i="62"/>
  <c r="BZ89" i="62"/>
  <c r="CA89" i="62"/>
  <c r="CB89" i="62"/>
  <c r="CD89" i="62"/>
  <c r="CE89" i="62"/>
  <c r="CF89" i="62"/>
  <c r="CH89" i="62"/>
  <c r="CI89" i="62"/>
  <c r="CJ89" i="62"/>
  <c r="CL89" i="62"/>
  <c r="CM89" i="62"/>
  <c r="CN89" i="62"/>
  <c r="CP89" i="62"/>
  <c r="CQ89" i="62"/>
  <c r="CR89" i="62"/>
  <c r="CT89" i="62"/>
  <c r="CU89" i="62"/>
  <c r="CV89" i="62"/>
  <c r="CX89" i="62"/>
  <c r="CY89" i="62"/>
  <c r="CZ89" i="62"/>
  <c r="S91" i="62"/>
  <c r="AO92" i="62"/>
  <c r="AP92" i="62"/>
  <c r="AQ92" i="62"/>
  <c r="AR92" i="62"/>
  <c r="AS92" i="62"/>
  <c r="AT92" i="62"/>
  <c r="AU92" i="62"/>
  <c r="AV92" i="62"/>
  <c r="AW92" i="62"/>
  <c r="AX92" i="62"/>
  <c r="AY92" i="62"/>
  <c r="AZ92" i="62"/>
  <c r="BA92" i="62"/>
  <c r="BB92" i="62"/>
  <c r="BC92" i="62"/>
  <c r="BD92" i="62"/>
  <c r="BE92" i="62"/>
  <c r="BF92" i="62"/>
  <c r="BG92" i="62"/>
  <c r="BH92" i="62"/>
  <c r="BI92" i="62"/>
  <c r="BJ92" i="62"/>
  <c r="BK92" i="62"/>
  <c r="BL92" i="62"/>
  <c r="BM92" i="62"/>
  <c r="BN92" i="62"/>
  <c r="BO92" i="62"/>
  <c r="BP92" i="62"/>
  <c r="BQ92" i="62"/>
  <c r="BR92" i="62"/>
  <c r="BS92" i="62"/>
  <c r="BT92" i="62"/>
  <c r="BU92" i="62"/>
  <c r="BV92" i="62"/>
  <c r="BW92" i="62"/>
  <c r="BX92" i="62"/>
  <c r="BY92" i="62"/>
  <c r="BZ92" i="62"/>
  <c r="CA92" i="62"/>
  <c r="CB92" i="62"/>
  <c r="CC92" i="62"/>
  <c r="CD92" i="62"/>
  <c r="CE92" i="62"/>
  <c r="CF92" i="62"/>
  <c r="CH92" i="62"/>
  <c r="CI92" i="62"/>
  <c r="CJ92" i="62"/>
  <c r="CL92" i="62"/>
  <c r="CM92" i="62"/>
  <c r="CN92" i="62"/>
  <c r="CP92" i="62"/>
  <c r="CQ92" i="62"/>
  <c r="CR92" i="62"/>
  <c r="CT92" i="62"/>
  <c r="CU92" i="62"/>
  <c r="CV92" i="62"/>
  <c r="CX92" i="62"/>
  <c r="CY92" i="62"/>
  <c r="CZ92" i="62"/>
  <c r="I93" i="62"/>
  <c r="J93" i="62"/>
  <c r="K93" i="62"/>
  <c r="L93" i="62"/>
  <c r="M93" i="62"/>
  <c r="N93" i="62"/>
  <c r="O93" i="62"/>
  <c r="P93" i="62"/>
  <c r="Q93" i="62"/>
  <c r="AO93" i="62"/>
  <c r="AP93" i="62"/>
  <c r="AQ93" i="62"/>
  <c r="AR93" i="62"/>
  <c r="AS93" i="62"/>
  <c r="AT93" i="62"/>
  <c r="AU93" i="62"/>
  <c r="AV93" i="62"/>
  <c r="AX93" i="62"/>
  <c r="AY93" i="62"/>
  <c r="AZ93" i="62"/>
  <c r="BA93" i="62"/>
  <c r="BB93" i="62"/>
  <c r="BC93" i="62"/>
  <c r="BD93" i="62"/>
  <c r="BE93" i="62"/>
  <c r="BF93" i="62"/>
  <c r="BG93" i="62"/>
  <c r="BH93" i="62"/>
  <c r="BI93" i="62"/>
  <c r="BJ93" i="62"/>
  <c r="BK93" i="62"/>
  <c r="BL93" i="62"/>
  <c r="BM93" i="62"/>
  <c r="BN93" i="62"/>
  <c r="BO93" i="62"/>
  <c r="BP93" i="62"/>
  <c r="BQ93" i="62"/>
  <c r="BR93" i="62"/>
  <c r="BS93" i="62"/>
  <c r="BT93" i="62"/>
  <c r="BU93" i="62"/>
  <c r="BV93" i="62"/>
  <c r="BW93" i="62"/>
  <c r="BX93" i="62"/>
  <c r="BY93" i="62"/>
  <c r="BZ93" i="62"/>
  <c r="CA93" i="62"/>
  <c r="CB93" i="62"/>
  <c r="CD93" i="62"/>
  <c r="CE93" i="62"/>
  <c r="CF93" i="62"/>
  <c r="CH93" i="62"/>
  <c r="CI93" i="62"/>
  <c r="CJ93" i="62"/>
  <c r="CL93" i="62"/>
  <c r="CM93" i="62"/>
  <c r="CN93" i="62"/>
  <c r="CP93" i="62"/>
  <c r="CQ93" i="62"/>
  <c r="CR93" i="62"/>
  <c r="CT93" i="62"/>
  <c r="CU93" i="62"/>
  <c r="CV93" i="62"/>
  <c r="CX93" i="62"/>
  <c r="CY93" i="62"/>
  <c r="CZ93" i="62"/>
  <c r="I95" i="62"/>
  <c r="J95" i="62"/>
  <c r="K95" i="62"/>
  <c r="L95" i="62"/>
  <c r="M95" i="62"/>
  <c r="N95" i="62"/>
  <c r="O95" i="62"/>
  <c r="P95" i="62"/>
  <c r="Q95" i="62"/>
  <c r="S95" i="62"/>
  <c r="AX95" i="62"/>
  <c r="AY95" i="62"/>
  <c r="AZ95" i="62"/>
  <c r="BA95" i="62"/>
  <c r="BB95" i="62"/>
  <c r="BC95" i="62"/>
  <c r="BD95" i="62"/>
  <c r="BE95" i="62"/>
  <c r="BF95" i="62"/>
  <c r="BG95" i="62"/>
  <c r="BH95" i="62"/>
  <c r="BI95" i="62"/>
  <c r="BJ95" i="62"/>
  <c r="BK95" i="62"/>
  <c r="BL95" i="62"/>
  <c r="BM95" i="62"/>
  <c r="BN95" i="62"/>
  <c r="BO95" i="62"/>
  <c r="BP95" i="62"/>
  <c r="BQ95" i="62"/>
  <c r="BR95" i="62"/>
  <c r="BS95" i="62"/>
  <c r="BT95" i="62"/>
  <c r="BU95" i="62"/>
  <c r="BV95" i="62"/>
  <c r="BW95" i="62"/>
  <c r="BX95" i="62"/>
  <c r="BY95" i="62"/>
  <c r="BZ95" i="62"/>
  <c r="CA95" i="62"/>
  <c r="CB95" i="62"/>
  <c r="CD95" i="62"/>
  <c r="CE95" i="62"/>
  <c r="CF95" i="62"/>
  <c r="CH95" i="62"/>
  <c r="CI95" i="62"/>
  <c r="CJ95" i="62"/>
  <c r="CL95" i="62"/>
  <c r="CM95" i="62"/>
  <c r="CN95" i="62"/>
  <c r="CP95" i="62"/>
  <c r="CQ95" i="62"/>
  <c r="CR95" i="62"/>
  <c r="CT95" i="62"/>
  <c r="CU95" i="62"/>
  <c r="CV95" i="62"/>
  <c r="CX95" i="62"/>
  <c r="CY95" i="62"/>
  <c r="CZ95" i="62"/>
  <c r="J96" i="62"/>
  <c r="K96" i="62"/>
  <c r="L96" i="62"/>
  <c r="M96" i="62"/>
  <c r="N96" i="62"/>
  <c r="O96" i="62"/>
  <c r="P96" i="62"/>
  <c r="Q96" i="62"/>
  <c r="S96" i="62"/>
  <c r="AX96" i="62"/>
  <c r="AY96" i="62"/>
  <c r="AZ96" i="62"/>
  <c r="BA96" i="62"/>
  <c r="BB96" i="62"/>
  <c r="BC96" i="62"/>
  <c r="BD96" i="62"/>
  <c r="BE96" i="62"/>
  <c r="BF96" i="62"/>
  <c r="BG96" i="62"/>
  <c r="BH96" i="62"/>
  <c r="BI96" i="62"/>
  <c r="BJ96" i="62"/>
  <c r="BK96" i="62"/>
  <c r="BL96" i="62"/>
  <c r="BM96" i="62"/>
  <c r="BN96" i="62"/>
  <c r="BO96" i="62"/>
  <c r="BP96" i="62"/>
  <c r="BQ96" i="62"/>
  <c r="BR96" i="62"/>
  <c r="BS96" i="62"/>
  <c r="BT96" i="62"/>
  <c r="BU96" i="62"/>
  <c r="BV96" i="62"/>
  <c r="BW96" i="62"/>
  <c r="BX96" i="62"/>
  <c r="BY96" i="62"/>
  <c r="BZ96" i="62"/>
  <c r="CA96" i="62"/>
  <c r="CB96" i="62"/>
  <c r="CD96" i="62"/>
  <c r="CE96" i="62"/>
  <c r="CF96" i="62"/>
  <c r="CH96" i="62"/>
  <c r="CI96" i="62"/>
  <c r="CJ96" i="62"/>
  <c r="CL96" i="62"/>
  <c r="CM96" i="62"/>
  <c r="CN96" i="62"/>
  <c r="CP96" i="62"/>
  <c r="CQ96" i="62"/>
  <c r="CR96" i="62"/>
  <c r="CT96" i="62"/>
  <c r="CU96" i="62"/>
  <c r="CV96" i="62"/>
  <c r="CX96" i="62"/>
  <c r="CY96" i="62"/>
  <c r="CZ96" i="62"/>
  <c r="I97" i="62"/>
  <c r="AX97" i="62"/>
  <c r="AY97" i="62"/>
  <c r="AZ97" i="62"/>
  <c r="BA97" i="62"/>
  <c r="BB97" i="62"/>
  <c r="BC97" i="62"/>
  <c r="BD97" i="62"/>
  <c r="BE97" i="62"/>
  <c r="BF97" i="62"/>
  <c r="BG97" i="62"/>
  <c r="BH97" i="62"/>
  <c r="BI97" i="62"/>
  <c r="BJ97" i="62"/>
  <c r="BK97" i="62"/>
  <c r="BL97" i="62"/>
  <c r="BM97" i="62"/>
  <c r="BN97" i="62"/>
  <c r="BO97" i="62"/>
  <c r="BP97" i="62"/>
  <c r="BQ97" i="62"/>
  <c r="BR97" i="62"/>
  <c r="BS97" i="62"/>
  <c r="BT97" i="62"/>
  <c r="BU97" i="62"/>
  <c r="BV97" i="62"/>
  <c r="BW97" i="62"/>
  <c r="BX97" i="62"/>
  <c r="BY97" i="62"/>
  <c r="BZ97" i="62"/>
  <c r="CA97" i="62"/>
  <c r="CB97" i="62"/>
  <c r="CD97" i="62"/>
  <c r="CE97" i="62"/>
  <c r="CF97" i="62"/>
  <c r="CH97" i="62"/>
  <c r="CI97" i="62"/>
  <c r="CJ97" i="62"/>
  <c r="CL97" i="62"/>
  <c r="CM97" i="62"/>
  <c r="CN97" i="62"/>
  <c r="CP97" i="62"/>
  <c r="CQ97" i="62"/>
  <c r="CR97" i="62"/>
  <c r="CT97" i="62"/>
  <c r="CU97" i="62"/>
  <c r="CV97" i="62"/>
  <c r="CX97" i="62"/>
  <c r="CY97" i="62"/>
  <c r="CZ97" i="62"/>
  <c r="I98" i="62"/>
  <c r="J98" i="62"/>
  <c r="K98" i="62"/>
  <c r="L98" i="62"/>
  <c r="M98" i="62"/>
  <c r="N98" i="62"/>
  <c r="O98" i="62"/>
  <c r="P98" i="62"/>
  <c r="Q98" i="62"/>
  <c r="AX98" i="62"/>
  <c r="AY98" i="62"/>
  <c r="AZ98" i="62"/>
  <c r="BA98" i="62"/>
  <c r="BB98" i="62"/>
  <c r="BC98" i="62"/>
  <c r="BD98" i="62"/>
  <c r="BE98" i="62"/>
  <c r="BF98" i="62"/>
  <c r="BG98" i="62"/>
  <c r="BH98" i="62"/>
  <c r="BI98" i="62"/>
  <c r="BJ98" i="62"/>
  <c r="BK98" i="62"/>
  <c r="BL98" i="62"/>
  <c r="BM98" i="62"/>
  <c r="BN98" i="62"/>
  <c r="BO98" i="62"/>
  <c r="BP98" i="62"/>
  <c r="BQ98" i="62"/>
  <c r="BR98" i="62"/>
  <c r="BS98" i="62"/>
  <c r="BT98" i="62"/>
  <c r="BU98" i="62"/>
  <c r="BV98" i="62"/>
  <c r="BW98" i="62"/>
  <c r="BX98" i="62"/>
  <c r="BY98" i="62"/>
  <c r="BZ98" i="62"/>
  <c r="CA98" i="62"/>
  <c r="CB98" i="62"/>
  <c r="CD98" i="62"/>
  <c r="CE98" i="62"/>
  <c r="CF98" i="62"/>
  <c r="CH98" i="62"/>
  <c r="CI98" i="62"/>
  <c r="CJ98" i="62"/>
  <c r="CL98" i="62"/>
  <c r="CM98" i="62"/>
  <c r="CN98" i="62"/>
  <c r="CP98" i="62"/>
  <c r="CQ98" i="62"/>
  <c r="CR98" i="62"/>
  <c r="CT98" i="62"/>
  <c r="CU98" i="62"/>
  <c r="CV98" i="62"/>
  <c r="CX98" i="62"/>
  <c r="CY98" i="62"/>
  <c r="CZ98" i="62"/>
  <c r="I99" i="62"/>
  <c r="J99" i="62"/>
  <c r="K99" i="62"/>
  <c r="L99" i="62"/>
  <c r="M99" i="62"/>
  <c r="N99" i="62"/>
  <c r="O99" i="62"/>
  <c r="P99" i="62"/>
  <c r="Q99" i="62"/>
  <c r="S99" i="62"/>
  <c r="AM99" i="62"/>
  <c r="AN99" i="62"/>
  <c r="AO99" i="62"/>
  <c r="AP99" i="62"/>
  <c r="AQ99" i="62"/>
  <c r="AR99" i="62"/>
  <c r="AS99" i="62"/>
  <c r="AT99" i="62"/>
  <c r="AU99" i="62"/>
  <c r="AV99" i="62"/>
  <c r="AW99" i="62"/>
  <c r="AX99" i="62"/>
  <c r="AY99" i="62"/>
  <c r="AZ99" i="62"/>
  <c r="BA99" i="62"/>
  <c r="BB99" i="62"/>
  <c r="BC99" i="62"/>
  <c r="BD99" i="62"/>
  <c r="BE99" i="62"/>
  <c r="BF99" i="62"/>
  <c r="BG99" i="62"/>
  <c r="BH99" i="62"/>
  <c r="BI99" i="62"/>
  <c r="BJ99" i="62"/>
  <c r="BK99" i="62"/>
  <c r="BL99" i="62"/>
  <c r="BM99" i="62"/>
  <c r="BN99" i="62"/>
  <c r="BO99" i="62"/>
  <c r="BP99" i="62"/>
  <c r="BQ99" i="62"/>
  <c r="BR99" i="62"/>
  <c r="BS99" i="62"/>
  <c r="BT99" i="62"/>
  <c r="BU99" i="62"/>
  <c r="BV99" i="62"/>
  <c r="BW99" i="62"/>
  <c r="BX99" i="62"/>
  <c r="BY99" i="62"/>
  <c r="BZ99" i="62"/>
  <c r="CA99" i="62"/>
  <c r="CB99" i="62"/>
  <c r="CD99" i="62"/>
  <c r="CE99" i="62"/>
  <c r="CF99" i="62"/>
  <c r="CH99" i="62"/>
  <c r="CI99" i="62"/>
  <c r="CJ99" i="62"/>
  <c r="CL99" i="62"/>
  <c r="CM99" i="62"/>
  <c r="CN99" i="62"/>
  <c r="CP99" i="62"/>
  <c r="CQ99" i="62"/>
  <c r="CR99" i="62"/>
  <c r="CT99" i="62"/>
  <c r="CU99" i="62"/>
  <c r="CV99" i="62"/>
  <c r="CX99" i="62"/>
  <c r="CY99" i="62"/>
  <c r="CZ99" i="62"/>
  <c r="L100" i="62"/>
  <c r="M100" i="62"/>
  <c r="N100" i="62"/>
  <c r="O100" i="62"/>
  <c r="P100" i="62"/>
  <c r="Q100" i="62"/>
  <c r="AX100" i="62"/>
  <c r="AY100" i="62"/>
  <c r="AZ100" i="62"/>
  <c r="BA100" i="62"/>
  <c r="BB100" i="62"/>
  <c r="BC100" i="62"/>
  <c r="BD100" i="62"/>
  <c r="BE100" i="62"/>
  <c r="BF100" i="62"/>
  <c r="BG100" i="62"/>
  <c r="BH100" i="62"/>
  <c r="BI100" i="62"/>
  <c r="BJ100" i="62"/>
  <c r="BK100" i="62"/>
  <c r="BL100" i="62"/>
  <c r="BM100" i="62"/>
  <c r="BN100" i="62"/>
  <c r="BO100" i="62"/>
  <c r="BP100" i="62"/>
  <c r="BQ100" i="62"/>
  <c r="BR100" i="62"/>
  <c r="BS100" i="62"/>
  <c r="BT100" i="62"/>
  <c r="BU100" i="62"/>
  <c r="BV100" i="62"/>
  <c r="BW100" i="62"/>
  <c r="BX100" i="62"/>
  <c r="BY100" i="62"/>
  <c r="BZ100" i="62"/>
  <c r="CA100" i="62"/>
  <c r="CB100" i="62"/>
  <c r="CC100" i="62"/>
  <c r="CD100" i="62"/>
  <c r="CE100" i="62"/>
  <c r="CF100" i="62"/>
  <c r="CH100" i="62"/>
  <c r="CI100" i="62"/>
  <c r="CJ100" i="62"/>
  <c r="CL100" i="62"/>
  <c r="CM100" i="62"/>
  <c r="CN100" i="62"/>
  <c r="CP100" i="62"/>
  <c r="CQ100" i="62"/>
  <c r="CR100" i="62"/>
  <c r="CT100" i="62"/>
  <c r="CU100" i="62"/>
  <c r="CV100" i="62"/>
  <c r="CX100" i="62"/>
  <c r="CY100" i="62"/>
  <c r="CZ100" i="62"/>
  <c r="AM101" i="62"/>
  <c r="AN101" i="62"/>
  <c r="AO101" i="62"/>
  <c r="AP101" i="62"/>
  <c r="AQ101" i="62"/>
  <c r="AR101" i="62"/>
  <c r="AS101" i="62"/>
  <c r="AT101" i="62"/>
  <c r="AU101" i="62"/>
  <c r="AV101" i="62"/>
  <c r="AW101" i="62"/>
  <c r="AX101" i="62"/>
  <c r="AY101" i="62"/>
  <c r="AZ101" i="62"/>
  <c r="BA101" i="62"/>
  <c r="BB101" i="62"/>
  <c r="BC101" i="62"/>
  <c r="BD101" i="62"/>
  <c r="BE101" i="62"/>
  <c r="BF101" i="62"/>
  <c r="BG101" i="62"/>
  <c r="BH101" i="62"/>
  <c r="BI101" i="62"/>
  <c r="BJ101" i="62"/>
  <c r="BK101" i="62"/>
  <c r="BL101" i="62"/>
  <c r="BM101" i="62"/>
  <c r="BN101" i="62"/>
  <c r="BO101" i="62"/>
  <c r="BP101" i="62"/>
  <c r="BQ101" i="62"/>
  <c r="BR101" i="62"/>
  <c r="BS101" i="62"/>
  <c r="BT101" i="62"/>
  <c r="BU101" i="62"/>
  <c r="BV101" i="62"/>
  <c r="BW101" i="62"/>
  <c r="BX101" i="62"/>
  <c r="BY101" i="62"/>
  <c r="BZ101" i="62"/>
  <c r="CA101" i="62"/>
  <c r="CB101" i="62"/>
  <c r="CD101" i="62"/>
  <c r="CE101" i="62"/>
  <c r="CF101" i="62"/>
  <c r="CH101" i="62"/>
  <c r="CI101" i="62"/>
  <c r="CJ101" i="62"/>
  <c r="CL101" i="62"/>
  <c r="CM101" i="62"/>
  <c r="CN101" i="62"/>
  <c r="CP101" i="62"/>
  <c r="CQ101" i="62"/>
  <c r="CR101" i="62"/>
  <c r="CT101" i="62"/>
  <c r="CU101" i="62"/>
  <c r="CV101" i="62"/>
  <c r="CX101" i="62"/>
  <c r="CY101" i="62"/>
  <c r="CZ101" i="62"/>
  <c r="J102" i="62"/>
  <c r="K102" i="62"/>
  <c r="L102" i="62"/>
  <c r="M102" i="62"/>
  <c r="N102" i="62"/>
  <c r="O102" i="62"/>
  <c r="P102" i="62"/>
  <c r="Q102" i="62"/>
  <c r="R102" i="62"/>
  <c r="AP102" i="62"/>
  <c r="AQ102" i="62"/>
  <c r="AR102" i="62"/>
  <c r="AS102" i="62"/>
  <c r="AT102" i="62"/>
  <c r="AU102" i="62"/>
  <c r="AV102" i="62"/>
  <c r="AW102" i="62"/>
  <c r="AY102" i="62"/>
  <c r="AZ102" i="62"/>
  <c r="BA102" i="62"/>
  <c r="BC102" i="62"/>
  <c r="BD102" i="62"/>
  <c r="BE102" i="62"/>
  <c r="BG102" i="62"/>
  <c r="BH102" i="62"/>
  <c r="BI102" i="62"/>
  <c r="BK102" i="62"/>
  <c r="BL102" i="62"/>
  <c r="BM102" i="62"/>
  <c r="BO102" i="62"/>
  <c r="BP102" i="62"/>
  <c r="BQ102" i="62"/>
  <c r="BS102" i="62"/>
  <c r="BT102" i="62"/>
  <c r="BU102" i="62"/>
  <c r="BW102" i="62"/>
  <c r="BX102" i="62"/>
  <c r="BY102" i="62"/>
  <c r="CA102" i="62"/>
  <c r="CB102" i="62"/>
  <c r="J103" i="62"/>
  <c r="K103" i="62"/>
  <c r="L103" i="62"/>
  <c r="M103" i="62"/>
  <c r="N103" i="62"/>
  <c r="O103" i="62"/>
  <c r="P103" i="62"/>
  <c r="Q103" i="62"/>
  <c r="AS103" i="62"/>
  <c r="AT103" i="62"/>
  <c r="AU103" i="62"/>
  <c r="AV103" i="62"/>
  <c r="AW103" i="62"/>
  <c r="AX103" i="62"/>
  <c r="AY103" i="62"/>
  <c r="AZ103" i="62"/>
  <c r="BA103" i="62"/>
  <c r="BC103" i="62"/>
  <c r="BD103" i="62"/>
  <c r="BE103" i="62"/>
  <c r="BG103" i="62"/>
  <c r="BH103" i="62"/>
  <c r="BI103" i="62"/>
  <c r="BK103" i="62"/>
  <c r="BL103" i="62"/>
  <c r="BM103" i="62"/>
  <c r="BO103" i="62"/>
  <c r="BP103" i="62"/>
  <c r="BQ103" i="62"/>
  <c r="BS103" i="62"/>
  <c r="BT103" i="62"/>
  <c r="BU103" i="62"/>
  <c r="BW103" i="62"/>
  <c r="BX103" i="62"/>
  <c r="BY103" i="62"/>
  <c r="CA103" i="62"/>
  <c r="CB103" i="62"/>
  <c r="CC103" i="62"/>
  <c r="CE103" i="62"/>
  <c r="CF103" i="62"/>
  <c r="J104" i="62"/>
  <c r="K104" i="62"/>
  <c r="L104" i="62"/>
  <c r="M104" i="62"/>
  <c r="N104" i="62"/>
  <c r="O104" i="62"/>
  <c r="P104" i="62"/>
  <c r="Q104" i="62"/>
  <c r="J105" i="62"/>
  <c r="K105" i="62"/>
  <c r="L105" i="62"/>
  <c r="M105" i="62"/>
  <c r="N105" i="62"/>
  <c r="O105" i="62"/>
  <c r="P105" i="62"/>
  <c r="Q105" i="62"/>
  <c r="AV105" i="62"/>
  <c r="J106" i="62"/>
  <c r="K106" i="62"/>
  <c r="L106" i="62"/>
  <c r="M106" i="62"/>
  <c r="N106" i="62"/>
  <c r="O106" i="62"/>
  <c r="P106" i="62"/>
  <c r="Q106" i="62"/>
  <c r="AP106" i="62"/>
  <c r="AQ106" i="62"/>
  <c r="AR106" i="62"/>
  <c r="AS106" i="62"/>
  <c r="AT106" i="62"/>
  <c r="AU106" i="62"/>
  <c r="AV106" i="62"/>
  <c r="AW106" i="62"/>
  <c r="AY106" i="62"/>
  <c r="AZ106" i="62"/>
  <c r="BA106" i="62"/>
  <c r="BC106" i="62"/>
  <c r="BD106" i="62"/>
  <c r="BE106" i="62"/>
  <c r="BG106" i="62"/>
  <c r="BH106" i="62"/>
  <c r="BI106" i="62"/>
  <c r="BK106" i="62"/>
  <c r="BL106" i="62"/>
  <c r="BM106" i="62"/>
  <c r="BO106" i="62"/>
  <c r="BP106" i="62"/>
  <c r="BQ106" i="62"/>
  <c r="BS106" i="62"/>
  <c r="BT106" i="62"/>
  <c r="BU106" i="62"/>
  <c r="BW106" i="62"/>
  <c r="BX106" i="62"/>
  <c r="BY106" i="62"/>
  <c r="CA106" i="62"/>
  <c r="CB106" i="62"/>
  <c r="AT108" i="62"/>
  <c r="J110" i="62"/>
  <c r="K110" i="62"/>
  <c r="L110" i="62"/>
  <c r="M110" i="62"/>
  <c r="N110" i="62"/>
  <c r="O110" i="62"/>
  <c r="P110" i="62"/>
  <c r="Q110" i="62"/>
  <c r="AP110" i="62"/>
  <c r="AQ110" i="62"/>
  <c r="AR110" i="62"/>
  <c r="AS110" i="62"/>
  <c r="AT110" i="62"/>
  <c r="AU110" i="62"/>
  <c r="AV110" i="62"/>
  <c r="AX110" i="62"/>
  <c r="AY110" i="62"/>
  <c r="AZ110" i="62"/>
  <c r="BA110" i="62"/>
  <c r="BB110" i="62"/>
  <c r="BC110" i="62"/>
  <c r="BD110" i="62"/>
  <c r="BE110" i="62"/>
  <c r="BF110" i="62"/>
  <c r="BG110" i="62"/>
  <c r="BH110" i="62"/>
  <c r="BI110" i="62"/>
  <c r="BJ110" i="62"/>
  <c r="BK110" i="62"/>
  <c r="BL110" i="62"/>
  <c r="BM110" i="62"/>
  <c r="BN110" i="62"/>
  <c r="BO110" i="62"/>
  <c r="BP110" i="62"/>
  <c r="BQ110" i="62"/>
  <c r="BR110" i="62"/>
  <c r="BS110" i="62"/>
  <c r="BT110" i="62"/>
  <c r="BU110" i="62"/>
  <c r="BV110" i="62"/>
  <c r="BW110" i="62"/>
  <c r="BX110" i="62"/>
  <c r="BY110" i="62"/>
  <c r="BZ110" i="62"/>
  <c r="CA110" i="62"/>
  <c r="CB110" i="62"/>
  <c r="CD110" i="62"/>
  <c r="CE110" i="62"/>
  <c r="CH110" i="62"/>
  <c r="CI110" i="62"/>
  <c r="CL110" i="62"/>
  <c r="CM110" i="62"/>
  <c r="CP110" i="62"/>
  <c r="CQ110" i="62"/>
  <c r="CT110" i="62"/>
  <c r="CU110" i="62"/>
  <c r="CX110" i="62"/>
  <c r="CY110" i="62"/>
  <c r="J111" i="62"/>
  <c r="K111" i="62"/>
  <c r="L111" i="62"/>
  <c r="M111" i="62"/>
  <c r="N111" i="62"/>
  <c r="O111" i="62"/>
  <c r="P111" i="62"/>
  <c r="Q111" i="62"/>
  <c r="AQ111" i="62"/>
  <c r="AT111" i="62"/>
  <c r="AU111" i="62"/>
  <c r="AV111" i="62"/>
  <c r="AW111" i="62"/>
  <c r="AX111" i="62"/>
  <c r="AY111" i="62"/>
  <c r="BB111" i="62"/>
  <c r="BC111" i="62"/>
  <c r="BF111" i="62"/>
  <c r="BG111" i="62"/>
  <c r="BJ111" i="62"/>
  <c r="BK111" i="62"/>
  <c r="BN111" i="62"/>
  <c r="BO111" i="62"/>
  <c r="BR111" i="62"/>
  <c r="BS111" i="62"/>
  <c r="BV111" i="62"/>
  <c r="BW111" i="62"/>
  <c r="BZ111" i="62"/>
  <c r="CA111" i="62"/>
  <c r="CD111" i="62"/>
  <c r="CE111" i="62"/>
  <c r="CH111" i="62"/>
  <c r="CI111" i="62"/>
  <c r="CL111" i="62"/>
  <c r="CM111" i="62"/>
  <c r="CP111" i="62"/>
  <c r="CQ111" i="62"/>
  <c r="CT111" i="62"/>
  <c r="CU111" i="62"/>
  <c r="CX111" i="62"/>
  <c r="CY111" i="62"/>
  <c r="J112" i="62"/>
  <c r="K112" i="62"/>
  <c r="L112" i="62"/>
  <c r="M112" i="62"/>
  <c r="N112" i="62"/>
  <c r="O112" i="62"/>
  <c r="P112" i="62"/>
  <c r="Q112" i="62"/>
  <c r="AP112" i="62"/>
  <c r="AQ112" i="62"/>
  <c r="AR112" i="62"/>
  <c r="AS112" i="62"/>
  <c r="AT112" i="62"/>
  <c r="AU112" i="62"/>
  <c r="AV112" i="62"/>
  <c r="AW112" i="62"/>
  <c r="AX112" i="62"/>
  <c r="AY112" i="62"/>
  <c r="AZ112" i="62"/>
  <c r="BA112" i="62"/>
  <c r="BB112" i="62"/>
  <c r="BC112" i="62"/>
  <c r="BD112" i="62"/>
  <c r="BE112" i="62"/>
  <c r="BF112" i="62"/>
  <c r="BG112" i="62"/>
  <c r="BH112" i="62"/>
  <c r="BI112" i="62"/>
  <c r="BJ112" i="62"/>
  <c r="BK112" i="62"/>
  <c r="BL112" i="62"/>
  <c r="BM112" i="62"/>
  <c r="BN112" i="62"/>
  <c r="BO112" i="62"/>
  <c r="BP112" i="62"/>
  <c r="BQ112" i="62"/>
  <c r="BR112" i="62"/>
  <c r="BS112" i="62"/>
  <c r="BT112" i="62"/>
  <c r="J113" i="62"/>
  <c r="K113" i="62"/>
  <c r="L113" i="62"/>
  <c r="M113" i="62"/>
  <c r="N113" i="62"/>
  <c r="O113" i="62"/>
  <c r="P113" i="62"/>
  <c r="Q113" i="62"/>
  <c r="AP113" i="62"/>
  <c r="AQ113" i="62"/>
  <c r="AR113" i="62"/>
  <c r="AS113" i="62"/>
  <c r="AT113" i="62"/>
  <c r="AU113" i="62"/>
  <c r="AV113" i="62"/>
  <c r="AW113" i="62"/>
  <c r="AX113" i="62"/>
  <c r="AY113" i="62"/>
  <c r="AZ113" i="62"/>
  <c r="BA113" i="62"/>
  <c r="BB113" i="62"/>
  <c r="BC113" i="62"/>
  <c r="BD113" i="62"/>
  <c r="BE113" i="62"/>
  <c r="BF113" i="62"/>
  <c r="BG113" i="62"/>
  <c r="BH113" i="62"/>
  <c r="BI113" i="62"/>
  <c r="BJ113" i="62"/>
  <c r="BK113" i="62"/>
  <c r="BL113" i="62"/>
  <c r="BM113" i="62"/>
  <c r="BN113" i="62"/>
  <c r="BO113" i="62"/>
  <c r="BP113" i="62"/>
  <c r="BQ113" i="62"/>
  <c r="BR113" i="62"/>
  <c r="BS113" i="62"/>
  <c r="BT113" i="62"/>
  <c r="BU113" i="62"/>
  <c r="BW113" i="62"/>
  <c r="BX113" i="62"/>
  <c r="BY113" i="62"/>
  <c r="CA113" i="62"/>
  <c r="CB113" i="62"/>
  <c r="R114" i="62"/>
  <c r="S114" i="62"/>
  <c r="R115" i="62"/>
  <c r="S115" i="62"/>
  <c r="K116" i="62"/>
  <c r="L116" i="62"/>
  <c r="M116" i="62"/>
  <c r="N116" i="62"/>
  <c r="O116" i="62"/>
  <c r="P116" i="62"/>
  <c r="Q116" i="62"/>
  <c r="R116" i="62"/>
  <c r="S116" i="62"/>
  <c r="AS116" i="62"/>
  <c r="AT116" i="62"/>
  <c r="AU116" i="62"/>
  <c r="AV116" i="62"/>
  <c r="AW116" i="62"/>
  <c r="AX116" i="62"/>
  <c r="AY116" i="62"/>
  <c r="AZ116" i="62"/>
  <c r="BA116" i="62"/>
  <c r="BB116" i="62"/>
  <c r="BC116" i="62"/>
  <c r="BD116" i="62"/>
  <c r="BE116" i="62"/>
  <c r="BF116" i="62"/>
  <c r="BG116" i="62"/>
  <c r="BH116" i="62"/>
  <c r="BI116" i="62"/>
  <c r="BJ116" i="62"/>
  <c r="BK116" i="62"/>
  <c r="BL116" i="62"/>
  <c r="BM116" i="62"/>
  <c r="BN116" i="62"/>
  <c r="BO116" i="62"/>
  <c r="BP116" i="62"/>
  <c r="BQ116" i="62"/>
  <c r="BR116" i="62"/>
  <c r="BS116" i="62"/>
  <c r="BT116" i="62"/>
  <c r="BU116" i="62"/>
  <c r="BV116" i="62"/>
  <c r="BW116" i="62"/>
  <c r="BX116" i="62"/>
  <c r="BY116" i="62"/>
  <c r="BZ116" i="62"/>
  <c r="CA116" i="62"/>
  <c r="CB116" i="62"/>
  <c r="CC116" i="62"/>
  <c r="CD116" i="62"/>
  <c r="CE116" i="62"/>
  <c r="CF116" i="62"/>
  <c r="CG116" i="62"/>
  <c r="CH116" i="62"/>
  <c r="CI116" i="62"/>
  <c r="CJ116" i="62"/>
  <c r="CK116" i="62"/>
  <c r="CL116" i="62"/>
  <c r="CM116" i="62"/>
  <c r="CN116" i="62"/>
  <c r="CO116" i="62"/>
  <c r="CP116" i="62"/>
  <c r="CQ116" i="62"/>
  <c r="CR116" i="62"/>
  <c r="CS116" i="62"/>
  <c r="CT116" i="62"/>
  <c r="CU116" i="62"/>
  <c r="CV116" i="62"/>
  <c r="CW116" i="62"/>
  <c r="CX116" i="62"/>
  <c r="CY116" i="62"/>
  <c r="CZ116" i="62"/>
  <c r="R117" i="62"/>
  <c r="S117" i="62"/>
  <c r="R118" i="62"/>
  <c r="S118" i="62"/>
  <c r="J119" i="62"/>
  <c r="K119" i="62"/>
  <c r="L119" i="62"/>
  <c r="M119" i="62"/>
  <c r="N119" i="62"/>
  <c r="O119" i="62"/>
  <c r="P119" i="62"/>
  <c r="Q119" i="62"/>
  <c r="R119" i="62"/>
  <c r="S119" i="62"/>
  <c r="U119" i="62"/>
  <c r="AP119" i="62"/>
  <c r="AQ119" i="62"/>
  <c r="AR119" i="62"/>
  <c r="AS119" i="62"/>
  <c r="AT119" i="62"/>
  <c r="AU119" i="62"/>
  <c r="AV119" i="62"/>
  <c r="AW119" i="62"/>
  <c r="AY119" i="62"/>
  <c r="AZ119" i="62"/>
  <c r="BA119" i="62"/>
  <c r="BC119" i="62"/>
  <c r="BD119" i="62"/>
  <c r="BE119" i="62"/>
  <c r="BG119" i="62"/>
  <c r="BH119" i="62"/>
  <c r="BI119" i="62"/>
  <c r="BK119" i="62"/>
  <c r="BL119" i="62"/>
  <c r="BM119" i="62"/>
  <c r="BO119" i="62"/>
  <c r="BP119" i="62"/>
  <c r="BQ119" i="62"/>
  <c r="BS119" i="62"/>
  <c r="BT119" i="62"/>
  <c r="BU119" i="62"/>
  <c r="BW119" i="62"/>
  <c r="BX119" i="62"/>
  <c r="BY119" i="62"/>
  <c r="CA119" i="62"/>
  <c r="CB119" i="62"/>
  <c r="J120" i="62"/>
  <c r="K120" i="62"/>
  <c r="L120" i="62"/>
  <c r="M120" i="62"/>
  <c r="N120" i="62"/>
  <c r="O120" i="62"/>
  <c r="P120" i="62"/>
  <c r="Q120" i="62"/>
  <c r="R120" i="62"/>
  <c r="S120" i="62"/>
  <c r="U120" i="62"/>
  <c r="AP120" i="62"/>
  <c r="AQ120" i="62"/>
  <c r="AR120" i="62"/>
  <c r="AS120" i="62"/>
  <c r="AT120" i="62"/>
  <c r="AU120" i="62"/>
  <c r="AV120" i="62"/>
  <c r="AW120" i="62"/>
  <c r="AX120" i="62"/>
  <c r="AY120" i="62"/>
  <c r="AZ120" i="62"/>
  <c r="BA120" i="62"/>
  <c r="BC120" i="62"/>
  <c r="BD120" i="62"/>
  <c r="BE120" i="62"/>
  <c r="BG120" i="62"/>
  <c r="BH120" i="62"/>
  <c r="BI120" i="62"/>
  <c r="BK120" i="62"/>
  <c r="BL120" i="62"/>
  <c r="BM120" i="62"/>
  <c r="BO120" i="62"/>
  <c r="BP120" i="62"/>
  <c r="BQ120" i="62"/>
  <c r="BS120" i="62"/>
  <c r="BT120" i="62"/>
  <c r="BU120" i="62"/>
  <c r="BW120" i="62"/>
  <c r="BX120" i="62"/>
  <c r="BY120" i="62"/>
  <c r="CA120" i="62"/>
  <c r="CB120" i="62"/>
  <c r="J121" i="62"/>
  <c r="K121" i="62"/>
  <c r="L121" i="62"/>
  <c r="M121" i="62"/>
  <c r="N121" i="62"/>
  <c r="O121" i="62"/>
  <c r="P121" i="62"/>
  <c r="Q121" i="62"/>
  <c r="J122" i="62"/>
  <c r="K122" i="62"/>
  <c r="L122" i="62"/>
  <c r="M122" i="62"/>
  <c r="N122" i="62"/>
  <c r="O122" i="62"/>
  <c r="P122" i="62"/>
  <c r="Q122" i="62"/>
  <c r="AP122" i="62"/>
  <c r="AQ122" i="62"/>
  <c r="AR122" i="62"/>
  <c r="AX122" i="62"/>
  <c r="AY122" i="62"/>
  <c r="AZ122" i="62"/>
  <c r="BA122" i="62"/>
  <c r="BB122" i="62"/>
  <c r="BC122" i="62"/>
  <c r="BD122" i="62"/>
  <c r="BE122" i="62"/>
  <c r="BF122" i="62"/>
  <c r="BG122" i="62"/>
  <c r="BH122" i="62"/>
  <c r="BI122" i="62"/>
  <c r="BJ122" i="62"/>
  <c r="BK122" i="62"/>
  <c r="BL122" i="62"/>
  <c r="BM122" i="62"/>
  <c r="BN122" i="62"/>
  <c r="BO122" i="62"/>
  <c r="BP122" i="62"/>
  <c r="BQ122" i="62"/>
  <c r="BR122" i="62"/>
  <c r="BS122" i="62"/>
  <c r="BT122" i="62"/>
  <c r="BU122" i="62"/>
  <c r="BV122" i="62"/>
  <c r="BW122" i="62"/>
  <c r="BX122" i="62"/>
  <c r="BY122" i="62"/>
  <c r="BZ122" i="62"/>
  <c r="CA122" i="62"/>
  <c r="CB122" i="62"/>
  <c r="CD122" i="62"/>
  <c r="CE122" i="62"/>
  <c r="CH122" i="62"/>
  <c r="CI122" i="62"/>
  <c r="CL122" i="62"/>
  <c r="CM122" i="62"/>
  <c r="CP122" i="62"/>
  <c r="CQ122" i="62"/>
  <c r="CT122" i="62"/>
  <c r="CU122" i="62"/>
  <c r="CX122" i="62"/>
  <c r="CY122" i="62"/>
  <c r="L123" i="62"/>
  <c r="M123" i="62"/>
  <c r="N123" i="62"/>
  <c r="O123" i="62"/>
  <c r="P123" i="62"/>
  <c r="Q123" i="62"/>
  <c r="R123" i="62"/>
  <c r="AX123" i="62"/>
  <c r="AY123" i="62"/>
  <c r="AZ123" i="62"/>
  <c r="BA123" i="62"/>
  <c r="BB123" i="62"/>
  <c r="BC123" i="62"/>
  <c r="BD123" i="62"/>
  <c r="BE123" i="62"/>
  <c r="BF123" i="62"/>
  <c r="BG123" i="62"/>
  <c r="BH123" i="62"/>
  <c r="BI123" i="62"/>
  <c r="BJ123" i="62"/>
  <c r="BK123" i="62"/>
  <c r="BL123" i="62"/>
  <c r="BM123" i="62"/>
  <c r="BN123" i="62"/>
  <c r="BO123" i="62"/>
  <c r="BP123" i="62"/>
  <c r="BQ123" i="62"/>
  <c r="BR123" i="62"/>
  <c r="BS123" i="62"/>
  <c r="BT123" i="62"/>
  <c r="BU123" i="62"/>
  <c r="BV123" i="62"/>
  <c r="BW123" i="62"/>
  <c r="BX123" i="62"/>
  <c r="BY123" i="62"/>
  <c r="BZ123" i="62"/>
  <c r="CA123" i="62"/>
  <c r="CB123" i="62"/>
  <c r="CC123" i="62"/>
  <c r="CD123" i="62"/>
  <c r="CE123" i="62"/>
  <c r="CF123" i="62"/>
  <c r="CG123" i="62"/>
  <c r="CH123" i="62"/>
  <c r="CI123" i="62"/>
  <c r="CJ123" i="62"/>
  <c r="CK123" i="62"/>
  <c r="CL123" i="62"/>
  <c r="CM123" i="62"/>
  <c r="CN123" i="62"/>
  <c r="CO123" i="62"/>
  <c r="CP123" i="62"/>
  <c r="CQ123" i="62"/>
  <c r="CR123" i="62"/>
  <c r="CS123" i="62"/>
  <c r="CT123" i="62"/>
  <c r="CU123" i="62"/>
  <c r="CV123" i="62"/>
  <c r="CW123" i="62"/>
  <c r="CX123" i="62"/>
  <c r="CY123" i="62"/>
  <c r="CZ123" i="62"/>
  <c r="J124" i="62"/>
  <c r="K124" i="62"/>
  <c r="L124" i="62"/>
  <c r="M124" i="62"/>
  <c r="N124" i="62"/>
  <c r="O124" i="62"/>
  <c r="P124" i="62"/>
  <c r="Q124" i="62"/>
  <c r="S124" i="62"/>
  <c r="AP124" i="62"/>
  <c r="AQ124" i="62"/>
  <c r="AR124" i="62"/>
  <c r="AZ124" i="62"/>
  <c r="BA124" i="62"/>
  <c r="BB124" i="62"/>
  <c r="BC124" i="62"/>
  <c r="BD124" i="62"/>
  <c r="BE124" i="62"/>
  <c r="BF124" i="62"/>
  <c r="BG124" i="62"/>
  <c r="BH124" i="62"/>
  <c r="BI124" i="62"/>
  <c r="BJ124" i="62"/>
  <c r="BK124" i="62"/>
  <c r="BL124" i="62"/>
  <c r="BM124" i="62"/>
  <c r="BN124" i="62"/>
  <c r="BO124" i="62"/>
  <c r="BP124" i="62"/>
  <c r="BQ124" i="62"/>
  <c r="BR124" i="62"/>
  <c r="BS124" i="62"/>
  <c r="BT124" i="62"/>
  <c r="BU124" i="62"/>
  <c r="BV124" i="62"/>
  <c r="BW124" i="62"/>
  <c r="BX124" i="62"/>
  <c r="BY124" i="62"/>
  <c r="BZ124" i="62"/>
  <c r="CA124" i="62"/>
  <c r="CB124" i="62"/>
  <c r="CC124" i="62"/>
  <c r="CD124" i="62"/>
  <c r="CE124" i="62"/>
  <c r="CF124" i="62"/>
  <c r="CG124" i="62"/>
  <c r="CH124" i="62"/>
  <c r="CI124" i="62"/>
  <c r="CJ124" i="62"/>
  <c r="CK124" i="62"/>
  <c r="CL124" i="62"/>
  <c r="CM124" i="62"/>
  <c r="CN124" i="62"/>
  <c r="CO124" i="62"/>
  <c r="CP124" i="62"/>
  <c r="CQ124" i="62"/>
  <c r="CR124" i="62"/>
  <c r="CS124" i="62"/>
  <c r="CT124" i="62"/>
  <c r="CU124" i="62"/>
  <c r="CV124" i="62"/>
  <c r="CW124" i="62"/>
  <c r="CX124" i="62"/>
  <c r="CY124" i="62"/>
  <c r="CZ124" i="62"/>
  <c r="J125" i="62"/>
  <c r="K125" i="62"/>
  <c r="L125" i="62"/>
  <c r="M125" i="62"/>
  <c r="N125" i="62"/>
  <c r="O125" i="62"/>
  <c r="P125" i="62"/>
  <c r="Q125" i="62"/>
  <c r="AP125" i="62"/>
  <c r="AQ125" i="62"/>
  <c r="AR125" i="62"/>
  <c r="AS125" i="62"/>
  <c r="AT125" i="62"/>
  <c r="AU125" i="62"/>
  <c r="AV125" i="62"/>
  <c r="AW125" i="62"/>
  <c r="AY125" i="62"/>
  <c r="AZ125" i="62"/>
  <c r="BA125" i="62"/>
  <c r="BB125" i="62"/>
  <c r="BC125" i="62"/>
  <c r="BD125" i="62"/>
  <c r="BE125" i="62"/>
  <c r="BF125" i="62"/>
  <c r="BG125" i="62"/>
  <c r="BH125" i="62"/>
  <c r="BI125" i="62"/>
  <c r="BJ125" i="62"/>
  <c r="BK125" i="62"/>
  <c r="BL125" i="62"/>
  <c r="BM125" i="62"/>
  <c r="BN125" i="62"/>
  <c r="BO125" i="62"/>
  <c r="BP125" i="62"/>
  <c r="BQ125" i="62"/>
  <c r="BR125" i="62"/>
  <c r="BS125" i="62"/>
  <c r="BT125" i="62"/>
  <c r="BU125" i="62"/>
  <c r="BV125" i="62"/>
  <c r="BW125" i="62"/>
  <c r="BX125" i="62"/>
  <c r="BY125" i="62"/>
  <c r="BZ125" i="62"/>
  <c r="CA125" i="62"/>
  <c r="CB125" i="62"/>
  <c r="CC125" i="62"/>
  <c r="CD125" i="62"/>
  <c r="CE125" i="62"/>
  <c r="CF125" i="62"/>
  <c r="CG125" i="62"/>
  <c r="CH125" i="62"/>
  <c r="CI125" i="62"/>
  <c r="CJ125" i="62"/>
  <c r="CK125" i="62"/>
  <c r="CL125" i="62"/>
  <c r="CM125" i="62"/>
  <c r="CN125" i="62"/>
  <c r="CO125" i="62"/>
  <c r="CP125" i="62"/>
  <c r="CQ125" i="62"/>
  <c r="CR125" i="62"/>
  <c r="CS125" i="62"/>
  <c r="CT125" i="62"/>
  <c r="CU125" i="62"/>
  <c r="CV125" i="62"/>
  <c r="CW125" i="62"/>
  <c r="CX125" i="62"/>
  <c r="CY125" i="62"/>
  <c r="CZ125" i="62"/>
  <c r="J126" i="62"/>
  <c r="K126" i="62"/>
  <c r="L126" i="62"/>
  <c r="M126" i="62"/>
  <c r="N126" i="62"/>
  <c r="O126" i="62"/>
  <c r="P126" i="62"/>
  <c r="Q126" i="62"/>
  <c r="S126" i="62"/>
  <c r="AT126" i="62"/>
  <c r="AW126" i="62"/>
  <c r="AY126" i="62"/>
  <c r="J127" i="62"/>
  <c r="K127" i="62"/>
  <c r="L127" i="62"/>
  <c r="M127" i="62"/>
  <c r="N127" i="62"/>
  <c r="O127" i="62"/>
  <c r="P127" i="62"/>
  <c r="Q127" i="62"/>
  <c r="J128" i="62"/>
  <c r="K128" i="62"/>
  <c r="L128" i="62"/>
  <c r="M128" i="62"/>
  <c r="N128" i="62"/>
  <c r="O128" i="62"/>
  <c r="P128" i="62"/>
  <c r="Q128" i="62"/>
  <c r="R128" i="62"/>
  <c r="AP128" i="62"/>
  <c r="AQ128" i="62"/>
  <c r="AR128" i="62"/>
  <c r="J129" i="62"/>
  <c r="K129" i="62"/>
  <c r="L129" i="62"/>
  <c r="M129" i="62"/>
  <c r="N129" i="62"/>
  <c r="O129" i="62"/>
  <c r="P129" i="62"/>
  <c r="Q129" i="62"/>
  <c r="R129" i="62"/>
  <c r="AT129" i="62"/>
  <c r="J130" i="62"/>
  <c r="K130" i="62"/>
  <c r="L130" i="62"/>
  <c r="M130" i="62"/>
  <c r="N130" i="62"/>
  <c r="O130" i="62"/>
  <c r="P130" i="62"/>
  <c r="Q130" i="62"/>
  <c r="AP130" i="62"/>
  <c r="AQ130" i="62"/>
  <c r="AR130" i="62"/>
  <c r="AX130" i="62"/>
  <c r="AY130" i="62"/>
  <c r="AZ130" i="62"/>
  <c r="BA130" i="62"/>
  <c r="BB130" i="62"/>
  <c r="BC130" i="62"/>
  <c r="BD130" i="62"/>
  <c r="BE130" i="62"/>
  <c r="BF130" i="62"/>
  <c r="BG130" i="62"/>
  <c r="CP130" i="62"/>
  <c r="CQ130" i="62"/>
  <c r="CT130" i="62"/>
  <c r="CU130" i="62"/>
  <c r="CX130" i="62"/>
  <c r="CY130" i="62"/>
  <c r="J131" i="62"/>
  <c r="K131" i="62"/>
  <c r="L131" i="62"/>
  <c r="M131" i="62"/>
  <c r="N131" i="62"/>
  <c r="O131" i="62"/>
  <c r="P131" i="62"/>
  <c r="Q131" i="62"/>
  <c r="AP131" i="62"/>
  <c r="AQ131" i="62"/>
  <c r="AR131" i="62"/>
  <c r="AS131" i="62"/>
  <c r="AT131" i="62"/>
  <c r="AU131" i="62"/>
  <c r="AV131" i="62"/>
  <c r="J132" i="62"/>
  <c r="K132" i="62"/>
  <c r="L132" i="62"/>
  <c r="M132" i="62"/>
  <c r="N132" i="62"/>
  <c r="O132" i="62"/>
  <c r="P132" i="62"/>
  <c r="Q132" i="62"/>
  <c r="J133" i="62"/>
  <c r="K133" i="62"/>
  <c r="L133" i="62"/>
  <c r="M133" i="62"/>
  <c r="N133" i="62"/>
  <c r="O133" i="62"/>
  <c r="P133" i="62"/>
  <c r="Q133" i="62"/>
  <c r="AP133" i="62"/>
  <c r="AQ133" i="62"/>
  <c r="AR133" i="62"/>
  <c r="AS133" i="62"/>
  <c r="AT133" i="62"/>
  <c r="AU133" i="62"/>
  <c r="AV133" i="62"/>
  <c r="AW133" i="62"/>
  <c r="J134" i="62"/>
  <c r="K134" i="62"/>
  <c r="L134" i="62"/>
  <c r="M134" i="62"/>
  <c r="N134" i="62"/>
  <c r="O134" i="62"/>
  <c r="P134" i="62"/>
  <c r="Q134" i="62"/>
  <c r="AO134" i="62"/>
  <c r="AP134" i="62"/>
  <c r="AQ134" i="62"/>
  <c r="AR134" i="62"/>
  <c r="AS134" i="62"/>
  <c r="AT134" i="62"/>
  <c r="AQ135" i="62"/>
  <c r="AR135" i="62"/>
  <c r="AS135" i="62"/>
  <c r="AT135" i="62"/>
  <c r="AU135" i="62"/>
  <c r="K136" i="62"/>
  <c r="L136" i="62"/>
  <c r="AP136" i="62"/>
  <c r="AQ136" i="62"/>
  <c r="AR136" i="62"/>
  <c r="AP137" i="62"/>
  <c r="AQ137" i="62"/>
  <c r="AR137" i="62"/>
  <c r="AP138" i="62"/>
  <c r="AQ138" i="62"/>
  <c r="AR138" i="62"/>
  <c r="AS138" i="62"/>
  <c r="AT138" i="62"/>
  <c r="AU138" i="62"/>
  <c r="AV138" i="62"/>
  <c r="J139" i="62"/>
  <c r="K139" i="62"/>
  <c r="AP139" i="62"/>
  <c r="AQ139" i="62"/>
  <c r="AR139" i="62"/>
  <c r="AS139" i="62"/>
  <c r="AT139" i="62"/>
  <c r="AU139" i="62"/>
  <c r="AV139" i="62"/>
  <c r="AW139" i="62"/>
  <c r="J140" i="62"/>
  <c r="K140" i="62"/>
  <c r="AP140" i="62"/>
  <c r="AQ140" i="62"/>
  <c r="AR140" i="62"/>
  <c r="AS140" i="62"/>
  <c r="AT140" i="62"/>
  <c r="AU140" i="62"/>
  <c r="AV140" i="62"/>
  <c r="AW140" i="62"/>
  <c r="AP141" i="62"/>
  <c r="AQ141" i="62"/>
  <c r="AR141" i="62"/>
  <c r="AS141" i="62"/>
  <c r="AT141" i="62"/>
  <c r="AU141" i="62"/>
  <c r="AV141" i="62"/>
  <c r="AP142" i="62"/>
  <c r="AQ142" i="62"/>
  <c r="AR142" i="62"/>
  <c r="AS142" i="62"/>
  <c r="AT142" i="62"/>
  <c r="AU142" i="62"/>
  <c r="AV142" i="62"/>
  <c r="AP143" i="62"/>
  <c r="AQ143" i="62"/>
  <c r="AR143" i="62"/>
  <c r="AS143" i="62"/>
  <c r="AT143" i="62"/>
  <c r="AU143" i="62"/>
  <c r="AV143" i="62"/>
  <c r="L144" i="62"/>
  <c r="L145" i="62"/>
  <c r="AS148" i="62"/>
  <c r="AT148" i="62"/>
  <c r="AS150" i="62"/>
  <c r="AT150" i="62"/>
  <c r="AS151" i="62"/>
  <c r="AT151" i="62"/>
  <c r="AS152" i="62"/>
  <c r="AT152" i="62"/>
  <c r="AU152" i="62"/>
  <c r="AT154" i="62"/>
  <c r="AL157" i="62"/>
  <c r="I158" i="62"/>
  <c r="J158" i="62"/>
  <c r="I160" i="62"/>
  <c r="J160" i="62"/>
  <c r="AO173" i="62"/>
  <c r="AP173" i="62"/>
  <c r="AQ173" i="62"/>
  <c r="AR173" i="62"/>
  <c r="AQ175" i="62"/>
  <c r="AR175" i="62"/>
  <c r="I178" i="62"/>
  <c r="J178" i="62"/>
  <c r="K178" i="62"/>
  <c r="L178" i="62"/>
  <c r="M178" i="62"/>
  <c r="N178" i="62"/>
  <c r="O178" i="62"/>
  <c r="P178" i="62"/>
  <c r="Q178" i="62"/>
  <c r="J179" i="62"/>
  <c r="K179" i="62"/>
  <c r="L179" i="62"/>
  <c r="M179" i="62"/>
  <c r="N179" i="62"/>
  <c r="O179" i="62"/>
  <c r="P179" i="62"/>
  <c r="Q179" i="62"/>
  <c r="L180" i="62"/>
  <c r="M180" i="62"/>
  <c r="N180" i="62"/>
  <c r="O180" i="62"/>
  <c r="P180" i="62"/>
  <c r="Q180" i="62"/>
  <c r="AN181" i="62"/>
  <c r="J187" i="62"/>
  <c r="J188" i="62"/>
  <c r="J189" i="62"/>
  <c r="I191" i="62"/>
  <c r="J191" i="62"/>
  <c r="K191" i="62"/>
  <c r="L191" i="62"/>
  <c r="M191" i="62"/>
  <c r="N191" i="62"/>
  <c r="O191" i="62"/>
  <c r="P191" i="62"/>
  <c r="Q191" i="62"/>
  <c r="L192" i="62"/>
  <c r="M192" i="62"/>
  <c r="N192" i="62"/>
  <c r="O192" i="62"/>
  <c r="P192" i="62"/>
  <c r="Q192" i="62"/>
  <c r="J193" i="62"/>
  <c r="K193" i="62"/>
  <c r="L193" i="62"/>
  <c r="M193" i="62"/>
  <c r="N193" i="62"/>
  <c r="O193" i="62"/>
  <c r="P193" i="62"/>
  <c r="Q193" i="62"/>
  <c r="J194" i="62"/>
  <c r="K194" i="62"/>
  <c r="L194" i="62"/>
  <c r="M194" i="62"/>
  <c r="N194" i="62"/>
  <c r="O194" i="62"/>
  <c r="P194" i="62"/>
  <c r="Q194" i="62"/>
  <c r="L195" i="62"/>
  <c r="M195" i="62"/>
  <c r="N195" i="62"/>
  <c r="O195" i="62"/>
  <c r="P195" i="62"/>
  <c r="Q195" i="62"/>
  <c r="J196" i="62"/>
  <c r="K196" i="62"/>
  <c r="L196" i="62"/>
  <c r="M196" i="62"/>
  <c r="J197" i="62"/>
  <c r="K197" i="62"/>
  <c r="L197" i="62"/>
  <c r="M197" i="62"/>
  <c r="N197" i="62"/>
  <c r="O197" i="62"/>
  <c r="P197" i="62"/>
  <c r="Q197" i="62"/>
  <c r="J198" i="62"/>
  <c r="K198" i="62"/>
  <c r="L198" i="62"/>
  <c r="I218" i="62"/>
  <c r="AM218" i="62"/>
  <c r="AN218" i="62"/>
  <c r="AO218" i="62"/>
  <c r="AP218" i="62"/>
  <c r="AQ218" i="62"/>
  <c r="AR218" i="62"/>
  <c r="AS218" i="62"/>
  <c r="AT218" i="62"/>
  <c r="AU218" i="62"/>
  <c r="AV218" i="62"/>
  <c r="AW218" i="62"/>
  <c r="AX219" i="62"/>
  <c r="AY219" i="62"/>
  <c r="AZ219" i="62"/>
  <c r="BA219" i="62"/>
  <c r="BB219" i="62"/>
  <c r="BC219" i="62"/>
  <c r="BD219" i="62"/>
  <c r="BE219" i="62"/>
  <c r="BF219" i="62"/>
  <c r="BG219" i="62"/>
  <c r="BH219" i="62"/>
  <c r="BI219" i="62"/>
  <c r="BJ219" i="62"/>
  <c r="BK219" i="62"/>
  <c r="BL219" i="62"/>
  <c r="BM219" i="62"/>
  <c r="BN219" i="62"/>
  <c r="BO219" i="62"/>
  <c r="BP219" i="62"/>
  <c r="BQ219" i="62"/>
  <c r="BR219" i="62"/>
  <c r="BS219" i="62"/>
  <c r="BT219" i="62"/>
  <c r="BU219" i="62"/>
  <c r="BV219" i="62"/>
  <c r="BW219" i="62"/>
  <c r="BX219" i="62"/>
  <c r="BY219" i="62"/>
  <c r="BZ219" i="62"/>
  <c r="CA219" i="62"/>
  <c r="CB219" i="62"/>
  <c r="CC219" i="62"/>
  <c r="CD219" i="62"/>
  <c r="CE219" i="62"/>
  <c r="CF219" i="62"/>
  <c r="CG219" i="62"/>
  <c r="CH219" i="62"/>
  <c r="CI219" i="62"/>
  <c r="CJ219" i="62"/>
  <c r="CK219" i="62"/>
  <c r="CL219" i="62"/>
  <c r="CM219" i="62"/>
  <c r="CN219" i="62"/>
  <c r="CO219" i="62"/>
  <c r="CP219" i="62"/>
  <c r="CQ219" i="62"/>
  <c r="CR219" i="62"/>
  <c r="CS219" i="62"/>
  <c r="CT219" i="62"/>
  <c r="CU219" i="62"/>
  <c r="CV219" i="62"/>
  <c r="CW219" i="62"/>
  <c r="CX219" i="62"/>
  <c r="CY219" i="62"/>
  <c r="CZ219" i="62"/>
  <c r="AP221" i="62"/>
  <c r="AQ221" i="62"/>
  <c r="AR221" i="62"/>
  <c r="AS221" i="62"/>
  <c r="AT221" i="62"/>
  <c r="AU221" i="62"/>
  <c r="AV221" i="62"/>
  <c r="AW221" i="62"/>
  <c r="AX221" i="62"/>
  <c r="AY221" i="62"/>
  <c r="AZ221" i="62"/>
  <c r="BA221" i="62"/>
  <c r="BB221" i="62"/>
  <c r="BC221" i="62"/>
  <c r="BD221" i="62"/>
  <c r="BE221" i="62"/>
  <c r="BF221" i="62"/>
  <c r="BG221" i="62"/>
  <c r="BH221" i="62"/>
  <c r="BI221" i="62"/>
  <c r="BJ221" i="62"/>
  <c r="BK221" i="62"/>
  <c r="BL221" i="62"/>
  <c r="BM221" i="62"/>
  <c r="BN221" i="62"/>
  <c r="BO221" i="62"/>
  <c r="BP221" i="62"/>
  <c r="BQ221" i="62"/>
  <c r="BR221" i="62"/>
  <c r="BS221" i="62"/>
  <c r="BT221" i="62"/>
  <c r="BU221" i="62"/>
  <c r="BV221" i="62"/>
  <c r="BW221" i="62"/>
  <c r="BX221" i="62"/>
  <c r="BY221" i="62"/>
  <c r="BZ221" i="62"/>
  <c r="CA221" i="62"/>
  <c r="CB221" i="62"/>
  <c r="CC221" i="62"/>
  <c r="CD221" i="62"/>
  <c r="CE221" i="62"/>
  <c r="CF221" i="62"/>
  <c r="CG221" i="62"/>
  <c r="CH221" i="62"/>
  <c r="CI221" i="62"/>
  <c r="CJ221" i="62"/>
  <c r="CK221" i="62"/>
  <c r="CL221" i="62"/>
  <c r="CM221" i="62"/>
  <c r="CN221" i="62"/>
  <c r="CO221" i="62"/>
  <c r="CP221" i="62"/>
  <c r="CQ221" i="62"/>
  <c r="CR221" i="62"/>
  <c r="CS221" i="62"/>
  <c r="CT221" i="62"/>
  <c r="CU221" i="62"/>
  <c r="CV221" i="62"/>
  <c r="CW221" i="62"/>
  <c r="CX221" i="62"/>
  <c r="CY221" i="62"/>
  <c r="CZ221" i="62"/>
  <c r="AP265" i="62"/>
  <c r="AQ265" i="62"/>
  <c r="AR265" i="62"/>
  <c r="AS265" i="62"/>
  <c r="AP266" i="62"/>
  <c r="AQ266" i="62"/>
  <c r="AR266" i="62"/>
  <c r="AS266" i="62"/>
  <c r="AP267" i="62"/>
  <c r="AQ267" i="62"/>
  <c r="AR267" i="62"/>
  <c r="AS267" i="62"/>
  <c r="J268" i="62"/>
  <c r="AS268" i="62"/>
  <c r="J269" i="62"/>
  <c r="L322" i="62"/>
  <c r="M322" i="62"/>
  <c r="N322" i="62"/>
  <c r="O322" i="62"/>
  <c r="P322" i="62"/>
  <c r="Q322" i="62"/>
  <c r="R322" i="62"/>
  <c r="L323" i="62"/>
  <c r="M323" i="62"/>
  <c r="N323" i="62"/>
  <c r="O323" i="62"/>
  <c r="P323" i="62"/>
  <c r="Q323" i="62"/>
  <c r="L326" i="62"/>
  <c r="M326" i="62"/>
  <c r="N326" i="62"/>
  <c r="O326" i="62"/>
  <c r="P326" i="62"/>
  <c r="Q326" i="62"/>
  <c r="M327" i="62"/>
  <c r="D4" i="67"/>
  <c r="E4" i="67"/>
  <c r="F4" i="67"/>
  <c r="G4" i="67"/>
  <c r="H4" i="67"/>
  <c r="N4" i="67"/>
  <c r="O4" i="67"/>
  <c r="P4" i="67"/>
  <c r="Q4" i="67"/>
  <c r="R4" i="67"/>
  <c r="S4" i="67"/>
  <c r="T4" i="67"/>
  <c r="X4" i="67"/>
  <c r="D5" i="67"/>
  <c r="E5" i="67"/>
  <c r="F5" i="67"/>
  <c r="G5" i="67"/>
  <c r="H5" i="67"/>
  <c r="N5" i="67"/>
  <c r="O5" i="67"/>
  <c r="P5" i="67"/>
  <c r="Q5" i="67"/>
  <c r="R5" i="67"/>
  <c r="S5" i="67"/>
  <c r="T5" i="67"/>
  <c r="X5" i="67"/>
  <c r="D6" i="67"/>
  <c r="E6" i="67"/>
  <c r="F6" i="67"/>
  <c r="G6" i="67"/>
  <c r="H6" i="67"/>
  <c r="N6" i="67"/>
  <c r="O6" i="67"/>
  <c r="P6" i="67"/>
  <c r="Q6" i="67"/>
  <c r="R6" i="67"/>
  <c r="S6" i="67"/>
  <c r="T6" i="67"/>
  <c r="D7" i="67"/>
  <c r="E7" i="67"/>
  <c r="F7" i="67"/>
  <c r="G7" i="67"/>
  <c r="H7" i="67"/>
  <c r="D8" i="67"/>
  <c r="E8" i="67"/>
  <c r="F8" i="67"/>
  <c r="G8" i="67"/>
  <c r="H8" i="67"/>
  <c r="N8" i="67"/>
  <c r="O8" i="67"/>
  <c r="P8" i="67"/>
  <c r="Q8" i="67"/>
  <c r="R8" i="67"/>
  <c r="S8" i="67"/>
  <c r="T8" i="67"/>
  <c r="X8" i="67"/>
  <c r="A9" i="67"/>
  <c r="C9" i="67"/>
  <c r="D9" i="67"/>
  <c r="E9" i="67"/>
  <c r="F9" i="67"/>
  <c r="G9" i="67"/>
  <c r="H9" i="67"/>
  <c r="K9" i="67"/>
  <c r="L9" i="67"/>
  <c r="M9" i="67"/>
  <c r="N9" i="67"/>
  <c r="O9" i="67"/>
  <c r="P9" i="67"/>
  <c r="Q9" i="67"/>
  <c r="R9" i="67"/>
  <c r="S9" i="67"/>
  <c r="T9" i="67"/>
  <c r="Y9" i="67"/>
  <c r="Z9" i="67"/>
  <c r="AA9" i="67"/>
  <c r="AB9" i="67"/>
  <c r="AC9" i="67"/>
  <c r="AD9" i="67"/>
  <c r="AE9" i="67"/>
  <c r="AF9" i="67"/>
  <c r="AG9" i="67"/>
  <c r="A10" i="67"/>
  <c r="C10" i="67"/>
  <c r="D10" i="67"/>
  <c r="E10" i="67"/>
  <c r="F10" i="67"/>
  <c r="G10" i="67"/>
  <c r="H10" i="67"/>
  <c r="K10" i="67"/>
  <c r="L10" i="67"/>
  <c r="M10" i="67"/>
  <c r="N10" i="67"/>
  <c r="O10" i="67"/>
  <c r="P10" i="67"/>
  <c r="Q10" i="67"/>
  <c r="R10" i="67"/>
  <c r="S10" i="67"/>
  <c r="T10" i="67"/>
  <c r="Y10" i="67"/>
  <c r="Z10" i="67"/>
  <c r="AA10" i="67"/>
  <c r="AB10" i="67"/>
  <c r="AC10" i="67"/>
  <c r="AD10" i="67"/>
  <c r="AE10" i="67"/>
  <c r="AF10" i="67"/>
  <c r="AG10" i="67"/>
  <c r="A11" i="67"/>
  <c r="C11" i="67"/>
  <c r="D11" i="67"/>
  <c r="E11" i="67"/>
  <c r="F11" i="67"/>
  <c r="G11" i="67"/>
  <c r="H11" i="67"/>
  <c r="K11" i="67"/>
  <c r="L11" i="67"/>
  <c r="M11" i="67"/>
  <c r="N11" i="67"/>
  <c r="O11" i="67"/>
  <c r="P11" i="67"/>
  <c r="Q11" i="67"/>
  <c r="R11" i="67"/>
  <c r="S11" i="67"/>
  <c r="T11" i="67"/>
  <c r="Y11" i="67"/>
  <c r="Z11" i="67"/>
  <c r="AA11" i="67"/>
  <c r="AB11" i="67"/>
  <c r="AC11" i="67"/>
  <c r="AD11" i="67"/>
  <c r="AE11" i="67"/>
  <c r="AF11" i="67"/>
  <c r="AG11" i="67"/>
  <c r="A12" i="67"/>
  <c r="C12" i="67"/>
  <c r="D12" i="67"/>
  <c r="E12" i="67"/>
  <c r="F12" i="67"/>
  <c r="G12" i="67"/>
  <c r="H12" i="67"/>
  <c r="K12" i="67"/>
  <c r="L12" i="67"/>
  <c r="M12" i="67"/>
  <c r="N12" i="67"/>
  <c r="O12" i="67"/>
  <c r="P12" i="67"/>
  <c r="Q12" i="67"/>
  <c r="R12" i="67"/>
  <c r="S12" i="67"/>
  <c r="T12" i="67"/>
  <c r="Y12" i="67"/>
  <c r="Z12" i="67"/>
  <c r="AA12" i="67"/>
  <c r="AB12" i="67"/>
  <c r="AC12" i="67"/>
  <c r="AD12" i="67"/>
  <c r="AE12" i="67"/>
  <c r="AF12" i="67"/>
  <c r="AG12" i="67"/>
  <c r="A13" i="67"/>
  <c r="C13" i="67"/>
  <c r="D13" i="67"/>
  <c r="E13" i="67"/>
  <c r="F13" i="67"/>
  <c r="G13" i="67"/>
  <c r="H13" i="67"/>
  <c r="K13" i="67"/>
  <c r="L13" i="67"/>
  <c r="M13" i="67"/>
  <c r="N13" i="67"/>
  <c r="O13" i="67"/>
  <c r="P13" i="67"/>
  <c r="Q13" i="67"/>
  <c r="R13" i="67"/>
  <c r="S13" i="67"/>
  <c r="T13" i="67"/>
  <c r="Y13" i="67"/>
  <c r="Z13" i="67"/>
  <c r="AA13" i="67"/>
  <c r="AB13" i="67"/>
  <c r="AC13" i="67"/>
  <c r="AD13" i="67"/>
  <c r="AE13" i="67"/>
  <c r="AF13" i="67"/>
  <c r="AG13" i="67"/>
  <c r="K14" i="67"/>
  <c r="L14" i="67"/>
  <c r="M14" i="67"/>
  <c r="N14" i="67"/>
  <c r="O14" i="67"/>
  <c r="P14" i="67"/>
  <c r="Q14" i="67"/>
  <c r="R14" i="67"/>
  <c r="S14" i="67"/>
  <c r="T14" i="67"/>
  <c r="Y14" i="67"/>
  <c r="Z14" i="67"/>
  <c r="AA14" i="67"/>
  <c r="AB14" i="67"/>
  <c r="AC14" i="67"/>
  <c r="AD14" i="67"/>
  <c r="AE14" i="67"/>
  <c r="AF14" i="67"/>
  <c r="AG14" i="67"/>
  <c r="D15" i="67"/>
  <c r="E15" i="67"/>
  <c r="F15" i="67"/>
  <c r="G15" i="67"/>
  <c r="H15" i="67"/>
  <c r="K15" i="67"/>
  <c r="L15" i="67"/>
  <c r="M15" i="67"/>
  <c r="N15" i="67"/>
  <c r="O15" i="67"/>
  <c r="P15" i="67"/>
  <c r="Q15" i="67"/>
  <c r="R15" i="67"/>
  <c r="S15" i="67"/>
  <c r="T15" i="67"/>
  <c r="Y15" i="67"/>
  <c r="Z15" i="67"/>
  <c r="AA15" i="67"/>
  <c r="AB15" i="67"/>
  <c r="AC15" i="67"/>
  <c r="AD15" i="67"/>
  <c r="AE15" i="67"/>
  <c r="AF15" i="67"/>
  <c r="AG15" i="67"/>
  <c r="C16" i="67"/>
  <c r="D16" i="67"/>
  <c r="E16" i="67"/>
  <c r="F16" i="67"/>
  <c r="G16" i="67"/>
  <c r="H16" i="67"/>
  <c r="C17" i="67"/>
  <c r="D17" i="67"/>
  <c r="E17" i="67"/>
  <c r="F17" i="67"/>
  <c r="G17" i="67"/>
  <c r="H17" i="67"/>
  <c r="N17" i="67"/>
  <c r="O17" i="67"/>
  <c r="P17" i="67"/>
  <c r="Q17" i="67"/>
  <c r="R17" i="67"/>
  <c r="S17" i="67"/>
  <c r="T17" i="67"/>
  <c r="C18" i="67"/>
  <c r="D18" i="67"/>
  <c r="E18" i="67"/>
  <c r="G18" i="67"/>
  <c r="H18" i="67"/>
  <c r="K18" i="67"/>
  <c r="L18" i="67"/>
  <c r="M18" i="67"/>
  <c r="N18" i="67"/>
  <c r="O18" i="67"/>
  <c r="P18" i="67"/>
  <c r="Q18" i="67"/>
  <c r="R18" i="67"/>
  <c r="S18" i="67"/>
  <c r="T18" i="67"/>
  <c r="Y18" i="67"/>
  <c r="Z18" i="67"/>
  <c r="AA18" i="67"/>
  <c r="AB18" i="67"/>
  <c r="AC18" i="67"/>
  <c r="AD18" i="67"/>
  <c r="AE18" i="67"/>
  <c r="AF18" i="67"/>
  <c r="AG18" i="67"/>
  <c r="C19" i="67"/>
  <c r="D19" i="67"/>
  <c r="E19" i="67"/>
  <c r="F19" i="67"/>
  <c r="G19" i="67"/>
  <c r="H19" i="67"/>
  <c r="K19" i="67"/>
  <c r="L19" i="67"/>
  <c r="M19" i="67"/>
  <c r="N19" i="67"/>
  <c r="O19" i="67"/>
  <c r="P19" i="67"/>
  <c r="Q19" i="67"/>
  <c r="R19" i="67"/>
  <c r="S19" i="67"/>
  <c r="T19" i="67"/>
  <c r="Y19" i="67"/>
  <c r="Z19" i="67"/>
  <c r="AA19" i="67"/>
  <c r="AB19" i="67"/>
  <c r="AC19" i="67"/>
  <c r="AD19" i="67"/>
  <c r="AE19" i="67"/>
  <c r="AF19" i="67"/>
  <c r="AG19" i="67"/>
  <c r="C20" i="67"/>
  <c r="D20" i="67"/>
  <c r="E20" i="67"/>
  <c r="F20" i="67"/>
  <c r="G20" i="67"/>
  <c r="H20" i="67"/>
  <c r="K20" i="67"/>
  <c r="L20" i="67"/>
  <c r="M20" i="67"/>
  <c r="N20" i="67"/>
  <c r="O20" i="67"/>
  <c r="P20" i="67"/>
  <c r="Q20" i="67"/>
  <c r="R20" i="67"/>
  <c r="S20" i="67"/>
  <c r="T20" i="67"/>
  <c r="Y20" i="67"/>
  <c r="Z20" i="67"/>
  <c r="AA20" i="67"/>
  <c r="AB20" i="67"/>
  <c r="AC20" i="67"/>
  <c r="AD20" i="67"/>
  <c r="AE20" i="67"/>
  <c r="AF20" i="67"/>
  <c r="AG20" i="67"/>
  <c r="K21" i="67"/>
  <c r="L21" i="67"/>
  <c r="M21" i="67"/>
  <c r="N21" i="67"/>
  <c r="O21" i="67"/>
  <c r="P21" i="67"/>
  <c r="Q21" i="67"/>
  <c r="R21" i="67"/>
  <c r="S21" i="67"/>
  <c r="T21" i="67"/>
  <c r="Y21" i="67"/>
  <c r="Z21" i="67"/>
  <c r="AA21" i="67"/>
  <c r="AB21" i="67"/>
  <c r="AC21" i="67"/>
  <c r="AD21" i="67"/>
  <c r="AE21" i="67"/>
  <c r="AF21" i="67"/>
  <c r="AG21" i="67"/>
  <c r="D22" i="67"/>
  <c r="E22" i="67"/>
  <c r="F22" i="67"/>
  <c r="G22" i="67"/>
  <c r="H22" i="67"/>
  <c r="K22" i="67"/>
  <c r="L22" i="67"/>
  <c r="M22" i="67"/>
  <c r="N22" i="67"/>
  <c r="O22" i="67"/>
  <c r="P22" i="67"/>
  <c r="Q22" i="67"/>
  <c r="R22" i="67"/>
  <c r="S22" i="67"/>
  <c r="T22" i="67"/>
  <c r="Y22" i="67"/>
  <c r="Z22" i="67"/>
  <c r="AA22" i="67"/>
  <c r="AB22" i="67"/>
  <c r="AC22" i="67"/>
  <c r="AD22" i="67"/>
  <c r="AE22" i="67"/>
  <c r="AF22" i="67"/>
  <c r="AG22" i="67"/>
  <c r="C23" i="67"/>
  <c r="D23" i="67"/>
  <c r="E23" i="67"/>
  <c r="F23" i="67"/>
  <c r="G23" i="67"/>
  <c r="H23" i="67"/>
  <c r="K23" i="67"/>
  <c r="L23" i="67"/>
  <c r="M23" i="67"/>
  <c r="N23" i="67"/>
  <c r="O23" i="67"/>
  <c r="P23" i="67"/>
  <c r="Q23" i="67"/>
  <c r="R23" i="67"/>
  <c r="S23" i="67"/>
  <c r="T23" i="67"/>
  <c r="Y23" i="67"/>
  <c r="Z23" i="67"/>
  <c r="AA23" i="67"/>
  <c r="AB23" i="67"/>
  <c r="AC23" i="67"/>
  <c r="AD23" i="67"/>
  <c r="AE23" i="67"/>
  <c r="AF23" i="67"/>
  <c r="AG23" i="67"/>
  <c r="C24" i="67"/>
  <c r="D24" i="67"/>
  <c r="E24" i="67"/>
  <c r="F24" i="67"/>
  <c r="G24" i="67"/>
  <c r="H24" i="67"/>
  <c r="K24" i="67"/>
  <c r="L24" i="67"/>
  <c r="M24" i="67"/>
  <c r="N24" i="67"/>
  <c r="O24" i="67"/>
  <c r="P24" i="67"/>
  <c r="Q24" i="67"/>
  <c r="R24" i="67"/>
  <c r="S24" i="67"/>
  <c r="T24" i="67"/>
  <c r="Y24" i="67"/>
  <c r="Z24" i="67"/>
  <c r="AA24" i="67"/>
  <c r="AB24" i="67"/>
  <c r="AC24" i="67"/>
  <c r="AD24" i="67"/>
  <c r="AE24" i="67"/>
  <c r="AF24" i="67"/>
  <c r="AG24" i="67"/>
  <c r="C25" i="67"/>
  <c r="D25" i="67"/>
  <c r="E25" i="67"/>
  <c r="G25" i="67"/>
  <c r="H25" i="67"/>
  <c r="C26" i="67"/>
  <c r="D26" i="67"/>
  <c r="E26" i="67"/>
  <c r="F26" i="67"/>
  <c r="G26" i="67"/>
  <c r="H26" i="67"/>
  <c r="N26" i="67"/>
  <c r="O26" i="67"/>
  <c r="P26" i="67"/>
  <c r="Q26" i="67"/>
  <c r="R26" i="67"/>
  <c r="S26" i="67"/>
  <c r="T26" i="67"/>
  <c r="C27" i="67"/>
  <c r="D27" i="67"/>
  <c r="E27" i="67"/>
  <c r="F27" i="67"/>
  <c r="G27" i="67"/>
  <c r="H27" i="67"/>
  <c r="K27" i="67"/>
  <c r="L27" i="67"/>
  <c r="M27" i="67"/>
  <c r="N27" i="67"/>
  <c r="O27" i="67"/>
  <c r="P27" i="67"/>
  <c r="Q27" i="67"/>
  <c r="R27" i="67"/>
  <c r="S27" i="67"/>
  <c r="T27" i="67"/>
  <c r="Y27" i="67"/>
  <c r="Z27" i="67"/>
  <c r="AA27" i="67"/>
  <c r="AB27" i="67"/>
  <c r="AC27" i="67"/>
  <c r="AD27" i="67"/>
  <c r="AE27" i="67"/>
  <c r="AF27" i="67"/>
  <c r="AG27" i="67"/>
  <c r="K28" i="67"/>
  <c r="L28" i="67"/>
  <c r="M28" i="67"/>
  <c r="N28" i="67"/>
  <c r="O28" i="67"/>
  <c r="P28" i="67"/>
  <c r="Q28" i="67"/>
  <c r="R28" i="67"/>
  <c r="S28" i="67"/>
  <c r="T28" i="67"/>
  <c r="Y28" i="67"/>
  <c r="Z28" i="67"/>
  <c r="AA28" i="67"/>
  <c r="AB28" i="67"/>
  <c r="AC28" i="67"/>
  <c r="AD28" i="67"/>
  <c r="AE28" i="67"/>
  <c r="AF28" i="67"/>
  <c r="AG28" i="67"/>
  <c r="K29" i="67"/>
  <c r="L29" i="67"/>
  <c r="M29" i="67"/>
  <c r="N29" i="67"/>
  <c r="O29" i="67"/>
  <c r="P29" i="67"/>
  <c r="Q29" i="67"/>
  <c r="R29" i="67"/>
  <c r="S29" i="67"/>
  <c r="T29" i="67"/>
  <c r="Y29" i="67"/>
  <c r="Z29" i="67"/>
  <c r="AA29" i="67"/>
  <c r="AB29" i="67"/>
  <c r="AC29" i="67"/>
  <c r="AD29" i="67"/>
  <c r="AE29" i="67"/>
  <c r="AF29" i="67"/>
  <c r="AG29" i="67"/>
  <c r="D30" i="67"/>
  <c r="E30" i="67"/>
  <c r="F30" i="67"/>
  <c r="G30" i="67"/>
  <c r="H30" i="67"/>
  <c r="K30" i="67"/>
  <c r="L30" i="67"/>
  <c r="M30" i="67"/>
  <c r="N30" i="67"/>
  <c r="O30" i="67"/>
  <c r="P30" i="67"/>
  <c r="Q30" i="67"/>
  <c r="R30" i="67"/>
  <c r="S30" i="67"/>
  <c r="T30" i="67"/>
  <c r="Y30" i="67"/>
  <c r="Z30" i="67"/>
  <c r="AA30" i="67"/>
  <c r="AB30" i="67"/>
  <c r="AC30" i="67"/>
  <c r="AD30" i="67"/>
  <c r="AE30" i="67"/>
  <c r="AF30" i="67"/>
  <c r="AG30" i="67"/>
  <c r="C31" i="67"/>
  <c r="D31" i="67"/>
  <c r="E31" i="67"/>
  <c r="F31" i="67"/>
  <c r="G31" i="67"/>
  <c r="H31" i="67"/>
  <c r="K31" i="67"/>
  <c r="L31" i="67"/>
  <c r="M31" i="67"/>
  <c r="N31" i="67"/>
  <c r="O31" i="67"/>
  <c r="P31" i="67"/>
  <c r="Q31" i="67"/>
  <c r="R31" i="67"/>
  <c r="S31" i="67"/>
  <c r="T31" i="67"/>
  <c r="Y31" i="67"/>
  <c r="Z31" i="67"/>
  <c r="AA31" i="67"/>
  <c r="AB31" i="67"/>
  <c r="AC31" i="67"/>
  <c r="AD31" i="67"/>
  <c r="AE31" i="67"/>
  <c r="AF31" i="67"/>
  <c r="AG31" i="67"/>
  <c r="C32" i="67"/>
  <c r="D32" i="67"/>
  <c r="E32" i="67"/>
  <c r="F32" i="67"/>
  <c r="G32" i="67"/>
  <c r="H32" i="67"/>
  <c r="K32" i="67"/>
  <c r="L32" i="67"/>
  <c r="M32" i="67"/>
  <c r="N32" i="67"/>
  <c r="O32" i="67"/>
  <c r="P32" i="67"/>
  <c r="Q32" i="67"/>
  <c r="R32" i="67"/>
  <c r="S32" i="67"/>
  <c r="T32" i="67"/>
  <c r="Y32" i="67"/>
  <c r="Z32" i="67"/>
  <c r="AA32" i="67"/>
  <c r="AB32" i="67"/>
  <c r="AC32" i="67"/>
  <c r="AD32" i="67"/>
  <c r="AE32" i="67"/>
  <c r="AF32" i="67"/>
  <c r="AG32" i="67"/>
  <c r="C33" i="67"/>
  <c r="D33" i="67"/>
  <c r="E33" i="67"/>
  <c r="G33" i="67"/>
  <c r="H33" i="67"/>
  <c r="K33" i="67"/>
  <c r="L33" i="67"/>
  <c r="M33" i="67"/>
  <c r="N33" i="67"/>
  <c r="O33" i="67"/>
  <c r="P33" i="67"/>
  <c r="Q33" i="67"/>
  <c r="R33" i="67"/>
  <c r="S33" i="67"/>
  <c r="T33" i="67"/>
  <c r="Y33" i="67"/>
  <c r="Z33" i="67"/>
  <c r="AA33" i="67"/>
  <c r="AB33" i="67"/>
  <c r="AC33" i="67"/>
  <c r="AD33" i="67"/>
  <c r="AE33" i="67"/>
  <c r="AF33" i="67"/>
  <c r="AG33" i="67"/>
  <c r="C34" i="67"/>
  <c r="D34" i="67"/>
  <c r="E34" i="67"/>
  <c r="F34" i="67"/>
  <c r="G34" i="67"/>
  <c r="H34" i="67"/>
  <c r="C35" i="67"/>
  <c r="D35" i="67"/>
  <c r="E35" i="67"/>
  <c r="F35" i="67"/>
  <c r="G35" i="67"/>
  <c r="H35" i="67"/>
  <c r="N35" i="67"/>
  <c r="O35" i="67"/>
  <c r="P35" i="67"/>
  <c r="Q35" i="67"/>
  <c r="R35" i="67"/>
  <c r="S35" i="67"/>
  <c r="T35" i="67"/>
  <c r="K36" i="67"/>
  <c r="L36" i="67"/>
  <c r="M36" i="67"/>
  <c r="N36" i="67"/>
  <c r="O36" i="67"/>
  <c r="P36" i="67"/>
  <c r="Q36" i="67"/>
  <c r="R36" i="67"/>
  <c r="S36" i="67"/>
  <c r="T36" i="67"/>
  <c r="Y36" i="67"/>
  <c r="Z36" i="67"/>
  <c r="AA36" i="67"/>
  <c r="AB36" i="67"/>
  <c r="AC36" i="67"/>
  <c r="AD36" i="67"/>
  <c r="AE36" i="67"/>
  <c r="AF36" i="67"/>
  <c r="AG36" i="67"/>
  <c r="D37" i="67"/>
  <c r="E37" i="67"/>
  <c r="F37" i="67"/>
  <c r="G37" i="67"/>
  <c r="H37" i="67"/>
  <c r="K37" i="67"/>
  <c r="L37" i="67"/>
  <c r="M37" i="67"/>
  <c r="N37" i="67"/>
  <c r="O37" i="67"/>
  <c r="P37" i="67"/>
  <c r="Q37" i="67"/>
  <c r="R37" i="67"/>
  <c r="S37" i="67"/>
  <c r="T37" i="67"/>
  <c r="Y37" i="67"/>
  <c r="Z37" i="67"/>
  <c r="AA37" i="67"/>
  <c r="AB37" i="67"/>
  <c r="AC37" i="67"/>
  <c r="AD37" i="67"/>
  <c r="AE37" i="67"/>
  <c r="AF37" i="67"/>
  <c r="AG37" i="67"/>
  <c r="C38" i="67"/>
  <c r="D38" i="67"/>
  <c r="E38" i="67"/>
  <c r="F38" i="67"/>
  <c r="G38" i="67"/>
  <c r="H38" i="67"/>
  <c r="K38" i="67"/>
  <c r="L38" i="67"/>
  <c r="M38" i="67"/>
  <c r="N38" i="67"/>
  <c r="O38" i="67"/>
  <c r="P38" i="67"/>
  <c r="Q38" i="67"/>
  <c r="R38" i="67"/>
  <c r="S38" i="67"/>
  <c r="T38" i="67"/>
  <c r="Y38" i="67"/>
  <c r="Z38" i="67"/>
  <c r="AA38" i="67"/>
  <c r="AB38" i="67"/>
  <c r="AC38" i="67"/>
  <c r="AD38" i="67"/>
  <c r="AE38" i="67"/>
  <c r="AF38" i="67"/>
  <c r="AG38" i="67"/>
  <c r="C39" i="67"/>
  <c r="D39" i="67"/>
  <c r="E39" i="67"/>
  <c r="F39" i="67"/>
  <c r="G39" i="67"/>
  <c r="H39" i="67"/>
  <c r="K39" i="67"/>
  <c r="L39" i="67"/>
  <c r="M39" i="67"/>
  <c r="N39" i="67"/>
  <c r="O39" i="67"/>
  <c r="P39" i="67"/>
  <c r="Q39" i="67"/>
  <c r="R39" i="67"/>
  <c r="S39" i="67"/>
  <c r="T39" i="67"/>
  <c r="Y39" i="67"/>
  <c r="Z39" i="67"/>
  <c r="AA39" i="67"/>
  <c r="AB39" i="67"/>
  <c r="AC39" i="67"/>
  <c r="AD39" i="67"/>
  <c r="AE39" i="67"/>
  <c r="AF39" i="67"/>
  <c r="AG39" i="67"/>
  <c r="C40" i="67"/>
  <c r="D40" i="67"/>
  <c r="E40" i="67"/>
  <c r="F40" i="67"/>
  <c r="G40" i="67"/>
  <c r="H40" i="67"/>
  <c r="K40" i="67"/>
  <c r="L40" i="67"/>
  <c r="M40" i="67"/>
  <c r="N40" i="67"/>
  <c r="O40" i="67"/>
  <c r="P40" i="67"/>
  <c r="Q40" i="67"/>
  <c r="R40" i="67"/>
  <c r="S40" i="67"/>
  <c r="T40" i="67"/>
  <c r="Y40" i="67"/>
  <c r="Z40" i="67"/>
  <c r="AA40" i="67"/>
  <c r="AB40" i="67"/>
  <c r="AC40" i="67"/>
  <c r="AD40" i="67"/>
  <c r="AE40" i="67"/>
  <c r="AF40" i="67"/>
  <c r="AG40" i="67"/>
  <c r="C41" i="67"/>
  <c r="D41" i="67"/>
  <c r="E41" i="67"/>
  <c r="F41" i="67"/>
  <c r="G41" i="67"/>
  <c r="H41" i="67"/>
  <c r="K41" i="67"/>
  <c r="L41" i="67"/>
  <c r="M41" i="67"/>
  <c r="N41" i="67"/>
  <c r="O41" i="67"/>
  <c r="P41" i="67"/>
  <c r="Q41" i="67"/>
  <c r="R41" i="67"/>
  <c r="S41" i="67"/>
  <c r="T41" i="67"/>
  <c r="Y41" i="67"/>
  <c r="Z41" i="67"/>
  <c r="AA41" i="67"/>
  <c r="AB41" i="67"/>
  <c r="AC41" i="67"/>
  <c r="AD41" i="67"/>
  <c r="AE41" i="67"/>
  <c r="AF41" i="67"/>
  <c r="AG41" i="67"/>
  <c r="C42" i="67"/>
  <c r="D42" i="67"/>
  <c r="E42" i="67"/>
  <c r="F42" i="67"/>
  <c r="G42" i="67"/>
  <c r="H42" i="67"/>
  <c r="L44" i="67"/>
  <c r="M44" i="67"/>
  <c r="N44" i="67"/>
  <c r="O44" i="67"/>
  <c r="P44" i="67"/>
  <c r="Q44" i="67"/>
  <c r="R44" i="67"/>
  <c r="S44" i="67"/>
  <c r="T44" i="67"/>
  <c r="L45" i="67"/>
  <c r="M45" i="67"/>
  <c r="N45" i="67"/>
  <c r="O45" i="67"/>
  <c r="P45" i="67"/>
  <c r="Q45" i="67"/>
  <c r="R45" i="67"/>
  <c r="S45" i="67"/>
  <c r="T45" i="67"/>
  <c r="C46" i="67"/>
  <c r="D46" i="67"/>
  <c r="E46" i="67"/>
  <c r="F46" i="67"/>
  <c r="G46" i="67"/>
  <c r="H46" i="67"/>
  <c r="L46" i="67"/>
  <c r="M46" i="67"/>
  <c r="N46" i="67"/>
  <c r="O46" i="67"/>
  <c r="P46" i="67"/>
  <c r="Q46" i="67"/>
  <c r="R46" i="67"/>
  <c r="S46" i="67"/>
  <c r="T46" i="67"/>
  <c r="C47" i="67"/>
  <c r="D47" i="67"/>
  <c r="E47" i="67"/>
  <c r="F47" i="67"/>
  <c r="G47" i="67"/>
  <c r="H47" i="67"/>
  <c r="C48" i="67"/>
  <c r="D48" i="67"/>
  <c r="E48" i="67"/>
  <c r="F48" i="67"/>
  <c r="G48" i="67"/>
  <c r="H48" i="67"/>
  <c r="C49" i="67"/>
  <c r="D49" i="67"/>
  <c r="E49" i="67"/>
  <c r="F49" i="67"/>
  <c r="G49" i="67"/>
  <c r="H49" i="67"/>
  <c r="C50" i="67"/>
  <c r="D50" i="67"/>
  <c r="E50" i="67"/>
  <c r="F50" i="67"/>
  <c r="G50" i="67"/>
  <c r="H50" i="67"/>
  <c r="C53" i="67"/>
  <c r="D53" i="67"/>
  <c r="E53" i="67"/>
  <c r="F53" i="67"/>
  <c r="G53" i="67"/>
  <c r="H53" i="67"/>
  <c r="C54" i="67"/>
  <c r="D54" i="67"/>
  <c r="E54" i="67"/>
  <c r="F54" i="67"/>
  <c r="G54" i="67"/>
  <c r="H54" i="67"/>
  <c r="C55" i="67"/>
  <c r="D55" i="67"/>
  <c r="E55" i="67"/>
  <c r="F55" i="67"/>
  <c r="G55" i="67"/>
  <c r="H55" i="67"/>
  <c r="C56" i="67"/>
  <c r="D56" i="67"/>
  <c r="E56" i="67"/>
  <c r="F56" i="67"/>
  <c r="G56" i="67"/>
  <c r="H56" i="67"/>
  <c r="C57" i="67"/>
  <c r="D57" i="67"/>
  <c r="E57" i="67"/>
  <c r="F57" i="67"/>
  <c r="G57" i="67"/>
  <c r="H57" i="67"/>
  <c r="K5" i="19"/>
  <c r="L5" i="19"/>
  <c r="M5" i="19"/>
  <c r="AM5" i="19"/>
  <c r="K6" i="19"/>
  <c r="L6" i="19"/>
  <c r="M6" i="19"/>
  <c r="K7" i="19"/>
  <c r="L7" i="19"/>
  <c r="M7" i="19"/>
  <c r="AM7" i="19"/>
  <c r="AM8" i="19"/>
  <c r="K9" i="19"/>
  <c r="L9" i="19"/>
  <c r="M9" i="19"/>
  <c r="R9" i="19"/>
  <c r="R12" i="19"/>
  <c r="AM12" i="19"/>
  <c r="R13" i="19"/>
  <c r="K14" i="19"/>
  <c r="L14" i="19"/>
  <c r="M14" i="19"/>
  <c r="R14" i="19"/>
  <c r="AM14" i="19"/>
  <c r="R15" i="19"/>
  <c r="K16" i="19"/>
  <c r="L16" i="19"/>
  <c r="M16" i="19"/>
  <c r="K17" i="19"/>
  <c r="L17" i="19"/>
  <c r="M17" i="19"/>
  <c r="K18" i="19"/>
  <c r="L18" i="19"/>
  <c r="M18" i="19"/>
  <c r="K19" i="19"/>
  <c r="L19" i="19"/>
  <c r="M19" i="19"/>
  <c r="R19" i="19"/>
  <c r="AT19" i="19"/>
  <c r="AU19" i="19"/>
  <c r="R22" i="19"/>
  <c r="AH22" i="19"/>
  <c r="AI22" i="19"/>
  <c r="AS22" i="19"/>
  <c r="AT22" i="19"/>
  <c r="K23" i="19"/>
  <c r="L23" i="19"/>
  <c r="M23" i="19"/>
  <c r="R23" i="19"/>
  <c r="AK25" i="19"/>
  <c r="AL25" i="19"/>
  <c r="AM25" i="19"/>
  <c r="AJ27" i="19"/>
  <c r="AK27" i="19"/>
  <c r="AQ27" i="19"/>
  <c r="AR27" i="19"/>
  <c r="AJ28" i="19"/>
  <c r="AK28" i="19"/>
  <c r="AQ28" i="19"/>
  <c r="AR28" i="19"/>
  <c r="AH29" i="19"/>
  <c r="AO29" i="19"/>
  <c r="AH30" i="19"/>
  <c r="AO30" i="19"/>
  <c r="AH31" i="19"/>
  <c r="AO31" i="19"/>
  <c r="P34" i="19"/>
  <c r="Q34" i="19"/>
  <c r="R34" i="19"/>
  <c r="S34" i="19"/>
  <c r="T34" i="19"/>
  <c r="U34" i="19"/>
  <c r="V34" i="19"/>
  <c r="AH34" i="19"/>
  <c r="AO34" i="19"/>
  <c r="AH36" i="19"/>
  <c r="AO36" i="19"/>
  <c r="AT36" i="19"/>
  <c r="P37" i="19"/>
  <c r="Q37" i="19"/>
  <c r="R37" i="19"/>
  <c r="S37" i="19"/>
  <c r="T37" i="19"/>
  <c r="U37" i="19"/>
  <c r="W37" i="19"/>
  <c r="X37" i="19"/>
  <c r="AT37" i="19"/>
  <c r="P38" i="19"/>
  <c r="Q38" i="19"/>
  <c r="R38" i="19"/>
  <c r="S38" i="19"/>
  <c r="T38" i="19"/>
  <c r="U38" i="19"/>
  <c r="V38" i="19"/>
  <c r="W38" i="19"/>
  <c r="X38" i="19"/>
  <c r="Y38" i="19"/>
  <c r="AO38" i="19"/>
  <c r="P39" i="19"/>
  <c r="Q39" i="19"/>
  <c r="R39" i="19"/>
  <c r="S39" i="19"/>
  <c r="T39" i="19"/>
  <c r="U39" i="19"/>
  <c r="W39" i="19"/>
  <c r="X39" i="19"/>
  <c r="AO39" i="19"/>
  <c r="P40" i="19"/>
  <c r="Q40" i="19"/>
  <c r="R40" i="19"/>
  <c r="S40" i="19"/>
  <c r="T40" i="19"/>
  <c r="U40" i="19"/>
  <c r="V40" i="19"/>
  <c r="W40" i="19"/>
  <c r="X40" i="19"/>
  <c r="Y40" i="19"/>
  <c r="AF41" i="19"/>
  <c r="P42" i="19"/>
  <c r="Q42" i="19"/>
  <c r="R42" i="19"/>
  <c r="S42" i="19"/>
  <c r="T42" i="19"/>
  <c r="U42" i="19"/>
  <c r="AH42" i="19"/>
  <c r="AJ42" i="19"/>
  <c r="P44" i="19"/>
  <c r="Q44" i="19"/>
  <c r="R44" i="19"/>
  <c r="S44" i="19"/>
  <c r="T44" i="19"/>
  <c r="U44" i="19"/>
  <c r="AJ44" i="19"/>
  <c r="P46" i="19"/>
  <c r="Q46" i="19"/>
  <c r="R46" i="19"/>
  <c r="S46" i="19"/>
  <c r="T46" i="19"/>
  <c r="U46" i="19"/>
  <c r="W46" i="19"/>
  <c r="AJ46" i="19"/>
  <c r="P47" i="19"/>
  <c r="Q47" i="19"/>
  <c r="R47" i="19"/>
  <c r="S47" i="19"/>
  <c r="T47" i="19"/>
  <c r="U47" i="19"/>
  <c r="V47" i="19"/>
  <c r="W47" i="19"/>
  <c r="X47" i="19"/>
  <c r="P48" i="19"/>
  <c r="Q48" i="19"/>
  <c r="R48" i="19"/>
  <c r="S48" i="19"/>
  <c r="T48" i="19"/>
  <c r="U48" i="19"/>
  <c r="V48" i="19"/>
  <c r="W48" i="19"/>
  <c r="X48" i="19"/>
  <c r="AF49" i="19"/>
  <c r="AN49" i="19"/>
  <c r="AO49" i="19"/>
  <c r="AL51" i="19"/>
  <c r="P52" i="19"/>
  <c r="Q52" i="19"/>
  <c r="R52" i="19"/>
  <c r="S52" i="19"/>
  <c r="T52" i="19"/>
  <c r="U52" i="19"/>
  <c r="W52" i="19"/>
  <c r="X52" i="19"/>
  <c r="P53" i="19"/>
  <c r="Q53" i="19"/>
  <c r="R53" i="19"/>
  <c r="S53" i="19"/>
  <c r="T53" i="19"/>
  <c r="U53" i="19"/>
  <c r="P57" i="19"/>
  <c r="Q57" i="19"/>
  <c r="R57" i="19"/>
  <c r="S57" i="19"/>
  <c r="T57" i="19"/>
  <c r="U57" i="19"/>
  <c r="W57" i="19"/>
  <c r="X57" i="19"/>
  <c r="AH57" i="19"/>
  <c r="AJ57" i="19"/>
  <c r="AJ59" i="19"/>
  <c r="P60" i="19"/>
  <c r="Q60" i="19"/>
  <c r="R60" i="19"/>
  <c r="S60" i="19"/>
  <c r="T60" i="19"/>
  <c r="U60" i="19"/>
  <c r="W60" i="19"/>
  <c r="X60" i="19"/>
  <c r="AJ60" i="19"/>
  <c r="AJ61" i="19"/>
  <c r="P63" i="19"/>
  <c r="Q63" i="19"/>
  <c r="R63" i="19"/>
  <c r="S63" i="19"/>
  <c r="T63" i="19"/>
  <c r="U63" i="19"/>
  <c r="AJ64" i="19"/>
  <c r="AK64" i="19"/>
  <c r="AJ65" i="19"/>
  <c r="AK65" i="19"/>
  <c r="P66" i="19"/>
  <c r="Q66" i="19"/>
  <c r="R66" i="19"/>
  <c r="S66" i="19"/>
  <c r="T66" i="19"/>
  <c r="U66" i="19"/>
  <c r="AH66" i="19"/>
  <c r="AH67" i="19"/>
  <c r="AH68" i="19"/>
  <c r="P69" i="19"/>
  <c r="Q69" i="19"/>
  <c r="R69" i="19"/>
  <c r="S69" i="19"/>
  <c r="T69" i="19"/>
  <c r="U69" i="19"/>
  <c r="P70" i="19"/>
  <c r="Q70" i="19"/>
  <c r="R70" i="19"/>
  <c r="S70" i="19"/>
  <c r="T70" i="19"/>
  <c r="U70" i="19"/>
  <c r="P71" i="19"/>
  <c r="Q71" i="19"/>
  <c r="R71" i="19"/>
  <c r="S71" i="19"/>
  <c r="T71" i="19"/>
  <c r="U71" i="19"/>
  <c r="AH71" i="19"/>
  <c r="AM72" i="19"/>
  <c r="AN72" i="19"/>
  <c r="O73" i="19"/>
  <c r="P73" i="19"/>
  <c r="Q73" i="19"/>
  <c r="AH73" i="19"/>
  <c r="AH76" i="19"/>
  <c r="AI76" i="19"/>
  <c r="AN76" i="19"/>
  <c r="AO76" i="19"/>
  <c r="L77" i="19"/>
  <c r="M77" i="19"/>
  <c r="N77" i="19"/>
  <c r="O77" i="19"/>
  <c r="P77" i="19"/>
  <c r="Q77" i="19"/>
  <c r="R77" i="19"/>
  <c r="S77" i="19"/>
  <c r="T77" i="19"/>
  <c r="U77" i="19"/>
  <c r="V77" i="19"/>
  <c r="W77" i="19"/>
  <c r="X77" i="19"/>
  <c r="Y77" i="19"/>
  <c r="Z77" i="19"/>
  <c r="AA77" i="19"/>
  <c r="AF77" i="19"/>
  <c r="P78" i="19"/>
  <c r="Q78" i="19"/>
  <c r="R78" i="19"/>
  <c r="S78" i="19"/>
  <c r="T78" i="19"/>
  <c r="U78" i="19"/>
  <c r="W78" i="19"/>
  <c r="X78" i="19"/>
  <c r="AH78" i="19"/>
  <c r="P79" i="19"/>
  <c r="Q79" i="19"/>
  <c r="R79" i="19"/>
  <c r="S79" i="19"/>
  <c r="T79" i="19"/>
  <c r="U79" i="19"/>
  <c r="P80" i="19"/>
  <c r="Q80" i="19"/>
  <c r="R80" i="19"/>
  <c r="S80" i="19"/>
  <c r="T80" i="19"/>
  <c r="U80" i="19"/>
  <c r="L81" i="19"/>
  <c r="M81" i="19"/>
  <c r="N81" i="19"/>
  <c r="O81" i="19"/>
  <c r="P81" i="19"/>
  <c r="Q81" i="19"/>
  <c r="R81" i="19"/>
  <c r="S81" i="19"/>
  <c r="T81" i="19"/>
  <c r="U81" i="19"/>
  <c r="V81" i="19"/>
  <c r="W81" i="19"/>
  <c r="X81" i="19"/>
  <c r="Y81" i="19"/>
  <c r="Z81" i="19"/>
  <c r="AA81" i="19"/>
  <c r="AH81" i="19"/>
  <c r="AI81" i="19"/>
  <c r="B82" i="19"/>
  <c r="L82" i="19"/>
  <c r="M82" i="19"/>
  <c r="N82" i="19"/>
  <c r="O82" i="19"/>
  <c r="P82" i="19"/>
  <c r="Q82" i="19"/>
  <c r="R82" i="19"/>
  <c r="S82" i="19"/>
  <c r="T82" i="19"/>
  <c r="U82" i="19"/>
  <c r="V82" i="19"/>
  <c r="W82" i="19"/>
  <c r="X82" i="19"/>
  <c r="Y82" i="19"/>
  <c r="Z82" i="19"/>
  <c r="AA82" i="19"/>
  <c r="L83" i="19"/>
  <c r="M83" i="19"/>
  <c r="N83" i="19"/>
  <c r="O83" i="19"/>
  <c r="P83" i="19"/>
  <c r="Q83" i="19"/>
  <c r="R83" i="19"/>
  <c r="S83" i="19"/>
  <c r="T83" i="19"/>
  <c r="U83" i="19"/>
  <c r="V83" i="19"/>
  <c r="W83" i="19"/>
  <c r="X83" i="19"/>
  <c r="Y83" i="19"/>
  <c r="Z83" i="19"/>
  <c r="AA83" i="19"/>
  <c r="AH83" i="19"/>
  <c r="AH84" i="19"/>
  <c r="AH86" i="19"/>
  <c r="AK86" i="19"/>
  <c r="AH87" i="19"/>
  <c r="AK87" i="19"/>
  <c r="AK88" i="19"/>
  <c r="AK90" i="19"/>
  <c r="AK91" i="19"/>
  <c r="D106" i="19"/>
  <c r="M106" i="19"/>
  <c r="N106" i="19"/>
  <c r="C109" i="19"/>
  <c r="D109" i="19"/>
  <c r="E109" i="19"/>
  <c r="F109" i="19"/>
  <c r="G109" i="19"/>
  <c r="H109" i="19"/>
  <c r="I109" i="19"/>
  <c r="J109" i="19"/>
  <c r="K109" i="19"/>
  <c r="M109" i="19"/>
  <c r="N109" i="19"/>
  <c r="O109" i="19"/>
  <c r="P109" i="19"/>
  <c r="Q109" i="19"/>
  <c r="R109" i="19"/>
  <c r="T109" i="19"/>
  <c r="U109" i="19"/>
  <c r="V109" i="19"/>
  <c r="W109" i="19"/>
  <c r="X109" i="19"/>
  <c r="Y109" i="19"/>
  <c r="Z109" i="19"/>
  <c r="AA109" i="19"/>
  <c r="J114" i="19"/>
  <c r="D116" i="19"/>
  <c r="D117" i="19"/>
  <c r="J117" i="19"/>
  <c r="J118" i="19"/>
  <c r="J119" i="19"/>
  <c r="J121" i="19"/>
  <c r="J123" i="19"/>
  <c r="H124" i="19"/>
  <c r="H125" i="19"/>
  <c r="AH131" i="19"/>
  <c r="AH133" i="19"/>
  <c r="AH135" i="19"/>
  <c r="AH137" i="19"/>
  <c r="F12" i="69"/>
  <c r="AF12" i="69"/>
  <c r="AF13" i="69"/>
  <c r="J24" i="69"/>
  <c r="K24" i="69"/>
  <c r="L24" i="69"/>
  <c r="M24" i="69"/>
  <c r="H25" i="69"/>
  <c r="I25" i="69"/>
  <c r="J25" i="69"/>
  <c r="K25" i="69"/>
  <c r="L25" i="69"/>
  <c r="M25" i="69"/>
  <c r="K26" i="69"/>
  <c r="L26" i="69"/>
  <c r="M26" i="69"/>
  <c r="H27" i="69"/>
  <c r="I27" i="69"/>
  <c r="J27" i="69"/>
  <c r="K27" i="69"/>
  <c r="L27" i="69"/>
  <c r="M27" i="69"/>
  <c r="H44" i="69"/>
  <c r="I44" i="69"/>
  <c r="H45" i="69"/>
  <c r="I45" i="69"/>
  <c r="H46" i="69"/>
  <c r="I46" i="69"/>
  <c r="H49" i="69"/>
  <c r="I49" i="69"/>
  <c r="B64" i="69"/>
  <c r="B65" i="69"/>
  <c r="B100" i="69"/>
  <c r="C100" i="69"/>
  <c r="D100" i="69"/>
  <c r="E100" i="69"/>
  <c r="F100" i="69"/>
  <c r="F101" i="69"/>
  <c r="C102" i="69"/>
  <c r="D102" i="69"/>
  <c r="E102" i="69"/>
  <c r="F102" i="69"/>
  <c r="D103" i="69"/>
  <c r="F103" i="69"/>
  <c r="B104" i="69"/>
  <c r="C104" i="69"/>
  <c r="D104" i="69"/>
  <c r="E104" i="69"/>
  <c r="F104" i="69"/>
  <c r="B105" i="69"/>
  <c r="C105" i="69"/>
  <c r="D105" i="69"/>
  <c r="E105" i="69"/>
  <c r="D112" i="69"/>
  <c r="E112" i="69"/>
  <c r="F112" i="69"/>
  <c r="G112" i="69"/>
  <c r="H112" i="69"/>
  <c r="I112" i="69"/>
  <c r="B129" i="69"/>
  <c r="C129" i="69"/>
  <c r="C130" i="69"/>
  <c r="B131" i="69"/>
  <c r="C131" i="69"/>
  <c r="C136" i="69"/>
  <c r="D136" i="69"/>
  <c r="C137" i="69"/>
  <c r="D137" i="69"/>
  <c r="C138" i="69"/>
  <c r="D138" i="69"/>
  <c r="C139" i="69"/>
  <c r="D139" i="69"/>
  <c r="B143" i="69"/>
  <c r="B145" i="69"/>
  <c r="B147" i="69"/>
  <c r="B149" i="69"/>
  <c r="G156" i="69"/>
  <c r="H156" i="69"/>
  <c r="I156" i="69"/>
  <c r="J156" i="69"/>
  <c r="K156" i="69"/>
  <c r="L156" i="69"/>
  <c r="M156" i="69"/>
  <c r="N156" i="69"/>
  <c r="G157" i="69"/>
  <c r="H157" i="69"/>
  <c r="I157" i="69"/>
  <c r="J157" i="69"/>
  <c r="K157" i="69"/>
  <c r="L157" i="69"/>
  <c r="M157" i="69"/>
  <c r="N157" i="69"/>
  <c r="AN162" i="69"/>
  <c r="AO162" i="69"/>
  <c r="AP162" i="69"/>
  <c r="AQ162" i="69"/>
  <c r="AR162" i="69"/>
  <c r="AS162" i="69"/>
  <c r="AV162" i="69"/>
  <c r="AW162" i="69"/>
  <c r="AN163" i="69"/>
  <c r="AO163" i="69"/>
  <c r="AP163" i="69"/>
  <c r="AQ163" i="69"/>
  <c r="AR163" i="69"/>
  <c r="AS163" i="69"/>
  <c r="AV163" i="69"/>
  <c r="AW163" i="69"/>
  <c r="AV165" i="69"/>
  <c r="AW165" i="69"/>
  <c r="AN166" i="69"/>
  <c r="B173" i="69"/>
  <c r="C173" i="69"/>
  <c r="D173" i="69"/>
  <c r="F173" i="69"/>
  <c r="G173" i="69"/>
  <c r="B174" i="69"/>
  <c r="C174" i="69"/>
  <c r="D174" i="69"/>
  <c r="F174" i="69"/>
  <c r="G174" i="69"/>
  <c r="B177" i="69"/>
  <c r="C177" i="69"/>
  <c r="D177" i="69"/>
  <c r="F177" i="69"/>
  <c r="G177" i="69"/>
  <c r="I182" i="69"/>
  <c r="J182" i="69"/>
  <c r="G183" i="69"/>
  <c r="H183" i="69"/>
  <c r="I183" i="69"/>
  <c r="J183" i="69"/>
  <c r="G184" i="69"/>
  <c r="H184" i="69"/>
  <c r="I184" i="69"/>
  <c r="J184" i="69"/>
  <c r="G185" i="69"/>
  <c r="H185" i="69"/>
  <c r="I185" i="69"/>
  <c r="J185" i="69"/>
  <c r="G186" i="69"/>
  <c r="H186" i="69"/>
  <c r="I186" i="69"/>
  <c r="J186" i="69"/>
  <c r="G188" i="69"/>
  <c r="H188" i="69"/>
  <c r="I188" i="69"/>
  <c r="J188" i="69"/>
  <c r="G193" i="69"/>
  <c r="H193" i="69"/>
  <c r="I193" i="69"/>
  <c r="J193" i="69"/>
  <c r="G194" i="69"/>
  <c r="H194" i="69"/>
  <c r="I194" i="69"/>
  <c r="J194" i="69"/>
  <c r="C197" i="69"/>
  <c r="D197" i="69"/>
  <c r="F197" i="69"/>
  <c r="C202" i="69"/>
  <c r="D202" i="69"/>
  <c r="B207" i="69"/>
  <c r="C207" i="69"/>
  <c r="F207" i="69"/>
  <c r="G207" i="69"/>
  <c r="B208" i="69"/>
  <c r="C208" i="69"/>
  <c r="F208" i="69"/>
  <c r="G208" i="69"/>
  <c r="M208" i="69"/>
  <c r="N208" i="69"/>
  <c r="B209" i="69"/>
  <c r="C209" i="69"/>
  <c r="F209" i="69"/>
  <c r="G209" i="69"/>
  <c r="M209" i="69"/>
  <c r="N209" i="69"/>
  <c r="M211" i="69"/>
  <c r="N211" i="69"/>
  <c r="M212" i="69"/>
  <c r="N212" i="69"/>
  <c r="Q223" i="69"/>
  <c r="R223" i="69"/>
  <c r="S223" i="69"/>
  <c r="T223" i="69"/>
  <c r="U223" i="69"/>
  <c r="I226" i="69"/>
  <c r="J226" i="69"/>
  <c r="K226" i="69"/>
  <c r="L226" i="69"/>
  <c r="M226" i="69"/>
  <c r="J228" i="69"/>
  <c r="K228" i="69"/>
  <c r="L228" i="69"/>
  <c r="M228" i="69"/>
  <c r="N228" i="69"/>
  <c r="J230" i="69"/>
  <c r="K230" i="69"/>
  <c r="L230" i="69"/>
  <c r="M230" i="69"/>
  <c r="N230" i="69"/>
  <c r="L234" i="69"/>
  <c r="M234" i="69"/>
  <c r="L235" i="69"/>
  <c r="M235" i="69"/>
  <c r="M236" i="69"/>
  <c r="H266" i="69"/>
  <c r="I266" i="69"/>
  <c r="J266" i="69"/>
  <c r="K266" i="69"/>
  <c r="L266" i="69"/>
  <c r="G278" i="69"/>
  <c r="H278" i="69"/>
  <c r="I278" i="69"/>
  <c r="J278" i="69"/>
  <c r="K278" i="69"/>
  <c r="L278" i="69"/>
  <c r="M278" i="69"/>
  <c r="G289" i="69"/>
  <c r="H289" i="69"/>
  <c r="I289" i="69"/>
  <c r="B290" i="69"/>
  <c r="C290" i="69"/>
  <c r="D290" i="69"/>
  <c r="B291" i="69"/>
  <c r="C291" i="69"/>
  <c r="D291" i="69"/>
  <c r="G291" i="69"/>
  <c r="H291" i="69"/>
  <c r="I291" i="69"/>
  <c r="G292" i="69"/>
  <c r="H292" i="69"/>
  <c r="I292" i="69"/>
  <c r="B293" i="69"/>
  <c r="C293" i="69"/>
  <c r="D293" i="69"/>
  <c r="E293" i="69"/>
  <c r="B294" i="69"/>
  <c r="C294" i="69"/>
  <c r="D294" i="69"/>
  <c r="E294" i="69"/>
  <c r="B297" i="69"/>
  <c r="C297" i="69"/>
  <c r="D297" i="69"/>
  <c r="I297" i="69"/>
  <c r="I298" i="69"/>
  <c r="B299" i="69"/>
  <c r="C299" i="69"/>
  <c r="D299" i="69"/>
  <c r="B300" i="69"/>
  <c r="C300" i="69"/>
  <c r="D300" i="69"/>
  <c r="F300" i="69"/>
  <c r="B301" i="69"/>
  <c r="C301" i="69"/>
  <c r="D301" i="69"/>
  <c r="B305" i="69"/>
  <c r="C305" i="69"/>
  <c r="D305" i="69"/>
  <c r="E305" i="69"/>
  <c r="F305" i="69"/>
  <c r="G305" i="69"/>
  <c r="H305" i="69"/>
  <c r="I305" i="69"/>
  <c r="J305" i="69"/>
  <c r="K305" i="69"/>
  <c r="C306" i="69"/>
  <c r="D306" i="69"/>
  <c r="E306" i="69"/>
  <c r="F306" i="69"/>
  <c r="G306" i="69"/>
  <c r="H306" i="69"/>
  <c r="I306" i="69"/>
  <c r="J306" i="69"/>
  <c r="K306" i="69"/>
  <c r="B308" i="69"/>
  <c r="E308" i="69"/>
  <c r="F308" i="69"/>
  <c r="G308" i="69"/>
  <c r="H308" i="69"/>
  <c r="B309" i="69"/>
  <c r="C309" i="69"/>
  <c r="D309" i="69"/>
  <c r="E309" i="69"/>
  <c r="F309" i="69"/>
  <c r="G309" i="69"/>
  <c r="H309" i="69"/>
  <c r="I309" i="69"/>
  <c r="J309" i="69"/>
  <c r="K309" i="69"/>
  <c r="D312" i="69"/>
  <c r="G312" i="69"/>
  <c r="H312" i="69"/>
  <c r="K312" i="69"/>
  <c r="M312" i="69"/>
  <c r="D313" i="69"/>
  <c r="G313" i="69"/>
  <c r="H313" i="69"/>
  <c r="K313" i="69"/>
  <c r="D314" i="69"/>
  <c r="G314" i="69"/>
  <c r="H314" i="69"/>
  <c r="K314" i="69"/>
  <c r="E318" i="69"/>
  <c r="F318" i="69"/>
  <c r="G318" i="69"/>
  <c r="I318" i="69"/>
  <c r="J318" i="69"/>
  <c r="K318" i="69"/>
  <c r="E319" i="69"/>
  <c r="F319" i="69"/>
  <c r="G319" i="69"/>
  <c r="E321" i="69"/>
  <c r="F321" i="69"/>
  <c r="G321" i="69"/>
  <c r="I321" i="69"/>
  <c r="J321" i="69"/>
  <c r="K321" i="69"/>
  <c r="K322" i="69"/>
  <c r="G324" i="69"/>
  <c r="I324" i="69"/>
  <c r="G325" i="69"/>
  <c r="I325" i="69"/>
  <c r="G326" i="69"/>
  <c r="I326" i="69"/>
  <c r="C330" i="69"/>
  <c r="D330" i="69"/>
  <c r="F330" i="69"/>
  <c r="G330" i="69"/>
  <c r="J330" i="69"/>
  <c r="K330" i="69"/>
  <c r="C332" i="69"/>
  <c r="D332" i="69"/>
  <c r="F332" i="69"/>
  <c r="G332" i="69"/>
  <c r="J332" i="69"/>
  <c r="K332" i="69"/>
  <c r="F333" i="69"/>
  <c r="G333" i="69"/>
  <c r="J333" i="69"/>
  <c r="K333" i="69"/>
  <c r="F335" i="69"/>
  <c r="G335" i="69"/>
  <c r="J335" i="69"/>
  <c r="K335" i="69"/>
  <c r="B336" i="69"/>
  <c r="C336" i="69"/>
  <c r="D336" i="69"/>
  <c r="C338" i="69"/>
  <c r="D350" i="69"/>
  <c r="E350" i="69"/>
  <c r="F350" i="69"/>
  <c r="G350" i="69"/>
  <c r="E351" i="69"/>
  <c r="F351" i="69"/>
  <c r="G351" i="69"/>
  <c r="D352" i="69"/>
  <c r="E352" i="69"/>
  <c r="F352" i="69"/>
  <c r="G352" i="69"/>
  <c r="I369" i="69"/>
  <c r="J369" i="69"/>
  <c r="B370" i="69"/>
  <c r="I371" i="69"/>
  <c r="B372" i="69"/>
  <c r="B373" i="69"/>
  <c r="B376" i="69"/>
  <c r="C376" i="69"/>
  <c r="D376" i="69"/>
  <c r="E376" i="69"/>
  <c r="F376" i="69"/>
  <c r="H376" i="69"/>
  <c r="I376" i="69"/>
  <c r="J376" i="69"/>
  <c r="K376" i="69"/>
  <c r="L376" i="69"/>
  <c r="M376" i="69"/>
  <c r="B377" i="69"/>
  <c r="C377" i="69"/>
  <c r="E377" i="69"/>
  <c r="F377" i="69"/>
  <c r="H377" i="69"/>
  <c r="I377" i="69"/>
  <c r="J377" i="69"/>
  <c r="B378" i="69"/>
  <c r="C378" i="69"/>
  <c r="E378" i="69"/>
  <c r="F378" i="69"/>
  <c r="H378" i="69"/>
  <c r="I378" i="69"/>
  <c r="J378" i="69"/>
  <c r="K378" i="69"/>
  <c r="L378" i="69"/>
  <c r="M378" i="69"/>
  <c r="H379" i="69"/>
  <c r="I379" i="69"/>
  <c r="J379" i="69"/>
  <c r="K379" i="69"/>
  <c r="L379" i="69"/>
  <c r="M379" i="69"/>
  <c r="B380" i="69"/>
  <c r="C380" i="69"/>
  <c r="E380" i="69"/>
  <c r="F380" i="69"/>
  <c r="K380" i="69"/>
  <c r="L380" i="69"/>
  <c r="M380" i="69"/>
  <c r="B381" i="69"/>
  <c r="C381" i="69"/>
  <c r="F381" i="69"/>
  <c r="H381" i="69"/>
  <c r="I381" i="69"/>
  <c r="J381" i="69"/>
  <c r="L381" i="69"/>
  <c r="B382" i="69"/>
  <c r="C382" i="69"/>
  <c r="F382" i="69"/>
  <c r="B383" i="69"/>
  <c r="C383" i="69"/>
  <c r="F383" i="69"/>
  <c r="H383" i="69"/>
  <c r="I383" i="69"/>
  <c r="J383" i="69"/>
  <c r="B385" i="69"/>
  <c r="C385" i="69"/>
  <c r="E385" i="69"/>
  <c r="F385" i="69"/>
  <c r="H385" i="69"/>
  <c r="I385" i="69"/>
  <c r="J385" i="69"/>
  <c r="B386" i="69"/>
  <c r="C386" i="69"/>
  <c r="I386" i="69"/>
  <c r="J386" i="69"/>
  <c r="B387" i="69"/>
  <c r="C387" i="69"/>
  <c r="B388" i="69"/>
  <c r="C388" i="69"/>
  <c r="E388" i="69"/>
  <c r="F388" i="69"/>
  <c r="H388" i="69"/>
  <c r="I388" i="69"/>
  <c r="J388" i="69"/>
  <c r="L388" i="69"/>
  <c r="B389" i="69"/>
  <c r="C389" i="69"/>
  <c r="E389" i="69"/>
  <c r="F389" i="69"/>
  <c r="H389" i="69"/>
  <c r="I389" i="69"/>
  <c r="J389" i="69"/>
  <c r="L389" i="69"/>
  <c r="B390" i="69"/>
  <c r="C390" i="69"/>
  <c r="E390" i="69"/>
  <c r="F390" i="69"/>
  <c r="H390" i="69"/>
  <c r="I390" i="69"/>
  <c r="J390" i="69"/>
  <c r="J394" i="69"/>
  <c r="C395" i="69"/>
  <c r="D395" i="69"/>
  <c r="E395" i="69"/>
  <c r="F395" i="69"/>
  <c r="G395" i="69"/>
  <c r="H395" i="69"/>
  <c r="I395" i="69"/>
  <c r="C396" i="69"/>
  <c r="D396" i="69"/>
  <c r="E396" i="69"/>
  <c r="F396" i="69"/>
  <c r="G396" i="69"/>
  <c r="H396" i="69"/>
  <c r="I396" i="69"/>
  <c r="C397" i="69"/>
  <c r="D397" i="69"/>
  <c r="E397" i="69"/>
  <c r="F397" i="69"/>
  <c r="G397" i="69"/>
  <c r="H397" i="69"/>
  <c r="I397" i="69"/>
  <c r="C399" i="69"/>
  <c r="D399" i="69"/>
  <c r="E399" i="69"/>
  <c r="F399" i="69"/>
  <c r="G399" i="69"/>
  <c r="H399" i="69"/>
  <c r="I399" i="69"/>
  <c r="K399" i="69"/>
  <c r="L399" i="69"/>
  <c r="M399" i="69"/>
  <c r="N399" i="69"/>
  <c r="O399" i="69"/>
  <c r="P399" i="69"/>
  <c r="C400" i="69"/>
  <c r="D400" i="69"/>
  <c r="E400" i="69"/>
  <c r="F400" i="69"/>
  <c r="G400" i="69"/>
  <c r="H400" i="69"/>
  <c r="I400" i="69"/>
  <c r="K400" i="69"/>
  <c r="L400" i="69"/>
  <c r="M400" i="69"/>
  <c r="N400" i="69"/>
  <c r="O400" i="69"/>
  <c r="P400" i="69"/>
  <c r="K401" i="69"/>
  <c r="L401" i="69"/>
  <c r="M401" i="69"/>
  <c r="N401" i="69"/>
  <c r="O401" i="69"/>
  <c r="P401" i="69"/>
  <c r="C403" i="69"/>
  <c r="D403" i="69"/>
  <c r="E403" i="69"/>
  <c r="F403" i="69"/>
  <c r="G403" i="69"/>
  <c r="H403" i="69"/>
  <c r="I403" i="69"/>
  <c r="D405" i="69"/>
  <c r="E405" i="69"/>
  <c r="F405" i="69"/>
  <c r="G405" i="69"/>
  <c r="H405" i="69"/>
  <c r="I405" i="69"/>
  <c r="M405" i="69"/>
  <c r="D406" i="69"/>
  <c r="E406" i="69"/>
  <c r="F406" i="69"/>
  <c r="G406" i="69"/>
  <c r="H406" i="69"/>
  <c r="I406" i="69"/>
  <c r="M406" i="69"/>
  <c r="D407" i="69"/>
  <c r="E407" i="69"/>
  <c r="F407" i="69"/>
  <c r="G407" i="69"/>
  <c r="H407" i="69"/>
  <c r="I407" i="69"/>
  <c r="M407" i="69"/>
  <c r="D408" i="69"/>
  <c r="F408" i="69"/>
  <c r="G408" i="69"/>
  <c r="H408" i="69"/>
  <c r="I408" i="69"/>
  <c r="D409" i="69"/>
  <c r="F409" i="69"/>
  <c r="G409" i="69"/>
  <c r="H409" i="69"/>
  <c r="I409" i="69"/>
  <c r="N409" i="69"/>
  <c r="O409" i="69"/>
  <c r="D410" i="69"/>
  <c r="F410" i="69"/>
  <c r="G410" i="69"/>
  <c r="H410" i="69"/>
  <c r="I410" i="69"/>
  <c r="M411" i="69"/>
  <c r="D412" i="69"/>
  <c r="E412" i="69"/>
  <c r="F412" i="69"/>
  <c r="G412" i="69"/>
  <c r="H412" i="69"/>
  <c r="I412" i="69"/>
  <c r="M412" i="69"/>
  <c r="D413" i="69"/>
  <c r="E413" i="69"/>
  <c r="F413" i="69"/>
  <c r="G413" i="69"/>
  <c r="H413" i="69"/>
  <c r="I413" i="69"/>
  <c r="M413" i="69"/>
  <c r="G414" i="69"/>
  <c r="H414" i="69"/>
  <c r="I414" i="69"/>
  <c r="D415" i="69"/>
  <c r="E415" i="69"/>
  <c r="F415" i="69"/>
  <c r="G415" i="69"/>
  <c r="H415" i="69"/>
  <c r="I415" i="69"/>
  <c r="M415" i="69"/>
  <c r="D416" i="69"/>
  <c r="E416" i="69"/>
  <c r="F416" i="69"/>
  <c r="G416" i="69"/>
  <c r="H416" i="69"/>
  <c r="I416" i="69"/>
  <c r="M416" i="69"/>
  <c r="D417" i="69"/>
  <c r="E417" i="69"/>
  <c r="F417" i="69"/>
  <c r="G417" i="69"/>
  <c r="H417" i="69"/>
  <c r="I417" i="69"/>
  <c r="M417" i="69"/>
  <c r="H420" i="69"/>
  <c r="G422" i="69"/>
  <c r="C426" i="69"/>
  <c r="E426" i="69"/>
  <c r="F426" i="69"/>
  <c r="I426" i="69"/>
  <c r="J426" i="69"/>
  <c r="L426" i="69"/>
  <c r="M426" i="69"/>
  <c r="N426" i="69"/>
  <c r="O426" i="69"/>
  <c r="C427" i="69"/>
  <c r="E427" i="69"/>
  <c r="I427" i="69"/>
  <c r="J427" i="69"/>
  <c r="L427" i="69"/>
  <c r="M427" i="69"/>
  <c r="N427" i="69"/>
  <c r="O427" i="69"/>
  <c r="M428" i="69"/>
  <c r="N428" i="69"/>
  <c r="O428" i="69"/>
  <c r="C429" i="69"/>
  <c r="D429" i="69"/>
  <c r="E429" i="69"/>
  <c r="F429" i="69"/>
  <c r="C430" i="69"/>
  <c r="D430" i="69"/>
  <c r="E430" i="69"/>
  <c r="F430" i="69"/>
  <c r="C431" i="69"/>
  <c r="D431" i="69"/>
  <c r="E431" i="69"/>
  <c r="F431" i="69"/>
  <c r="C432" i="69"/>
  <c r="D432" i="69"/>
  <c r="E432" i="69"/>
  <c r="F432" i="69"/>
  <c r="L432" i="69"/>
  <c r="M432" i="69"/>
  <c r="N432" i="69"/>
  <c r="O432" i="69"/>
  <c r="C433" i="69"/>
  <c r="D433" i="69"/>
  <c r="E433" i="69"/>
  <c r="F433" i="69"/>
  <c r="C434" i="69"/>
  <c r="D434" i="69"/>
  <c r="E434" i="69"/>
  <c r="F434" i="69"/>
  <c r="D436" i="69"/>
  <c r="E436" i="69"/>
  <c r="F436" i="69"/>
  <c r="G436" i="69"/>
  <c r="D437" i="69"/>
  <c r="E437" i="69"/>
  <c r="F437" i="69"/>
  <c r="G437" i="69"/>
  <c r="J437" i="69"/>
  <c r="D440" i="69"/>
  <c r="E440" i="69"/>
  <c r="F440" i="69"/>
  <c r="G440" i="69"/>
  <c r="D442" i="69"/>
  <c r="E442" i="69"/>
  <c r="F442" i="69"/>
  <c r="G442" i="69"/>
  <c r="D443" i="69"/>
  <c r="E443" i="69"/>
  <c r="F443" i="69"/>
  <c r="J444" i="69"/>
  <c r="L444" i="69"/>
  <c r="M444" i="69"/>
  <c r="N444" i="69"/>
  <c r="O444" i="69"/>
  <c r="P444" i="69"/>
  <c r="Q444" i="69"/>
  <c r="R444" i="69"/>
  <c r="L445" i="69"/>
  <c r="M445" i="69"/>
  <c r="N445" i="69"/>
  <c r="O445" i="69"/>
  <c r="I446" i="69"/>
  <c r="I447" i="69"/>
  <c r="J447" i="69"/>
  <c r="E448" i="69"/>
  <c r="E449" i="69"/>
  <c r="B450" i="69"/>
  <c r="C450" i="69"/>
  <c r="D450" i="69"/>
  <c r="E450" i="69"/>
  <c r="F450" i="69"/>
  <c r="H450" i="69"/>
  <c r="B451" i="69"/>
  <c r="C451" i="69"/>
  <c r="D451" i="69"/>
  <c r="E451" i="69"/>
  <c r="F451" i="69"/>
  <c r="B452" i="69"/>
  <c r="C452" i="69"/>
  <c r="D452" i="69"/>
  <c r="E452" i="69"/>
  <c r="F452" i="69"/>
  <c r="I452" i="69"/>
  <c r="B453" i="69"/>
  <c r="C453" i="69"/>
  <c r="D453" i="69"/>
  <c r="E453" i="69"/>
  <c r="F453" i="69"/>
  <c r="G453" i="69"/>
  <c r="I453" i="69"/>
  <c r="B454" i="69"/>
  <c r="C454" i="69"/>
  <c r="D454" i="69"/>
  <c r="E454" i="69"/>
  <c r="F454" i="69"/>
  <c r="I454" i="69"/>
  <c r="D459" i="69"/>
  <c r="E459" i="69"/>
  <c r="F459" i="69"/>
  <c r="L459" i="69"/>
  <c r="M459" i="69"/>
  <c r="N459" i="69"/>
  <c r="D460" i="69"/>
  <c r="E460" i="69"/>
  <c r="F460" i="69"/>
  <c r="L460" i="69"/>
  <c r="M460" i="69"/>
  <c r="N460" i="69"/>
  <c r="D461" i="69"/>
  <c r="E461" i="69"/>
  <c r="F461" i="69"/>
  <c r="D462" i="69"/>
  <c r="E462" i="69"/>
  <c r="F462" i="69"/>
  <c r="D463" i="69"/>
  <c r="E463" i="69"/>
  <c r="F463" i="69"/>
  <c r="H463" i="69"/>
  <c r="L463" i="69"/>
  <c r="M463" i="69"/>
  <c r="N463" i="69"/>
  <c r="D465" i="69"/>
  <c r="E465" i="69"/>
  <c r="F465" i="69"/>
  <c r="I465" i="69"/>
  <c r="D466" i="69"/>
  <c r="E466" i="69"/>
  <c r="F466" i="69"/>
  <c r="I466" i="69"/>
  <c r="D467" i="69"/>
  <c r="E467" i="69"/>
  <c r="F467" i="69"/>
  <c r="I467" i="69"/>
  <c r="D469" i="69"/>
  <c r="E469" i="69"/>
  <c r="F469" i="69"/>
  <c r="I469" i="69"/>
  <c r="D470" i="69"/>
  <c r="E470" i="69"/>
  <c r="F470" i="69"/>
  <c r="I470" i="69"/>
  <c r="D471" i="69"/>
  <c r="E471" i="69"/>
  <c r="F471" i="69"/>
  <c r="D476" i="69"/>
  <c r="F476" i="69"/>
  <c r="G476" i="69"/>
  <c r="J476" i="69"/>
  <c r="L476" i="69"/>
  <c r="M476" i="69"/>
  <c r="B477" i="69"/>
  <c r="D477" i="69"/>
  <c r="E477" i="69"/>
  <c r="F477" i="69"/>
  <c r="G477" i="69"/>
  <c r="I477" i="69"/>
  <c r="J477" i="69"/>
  <c r="K477" i="69"/>
  <c r="L477" i="69"/>
  <c r="M477" i="69"/>
  <c r="B478" i="69"/>
  <c r="D478" i="69"/>
  <c r="E478" i="69"/>
  <c r="F478" i="69"/>
  <c r="G478" i="69"/>
  <c r="I478" i="69"/>
  <c r="J478" i="69"/>
  <c r="K478" i="69"/>
  <c r="L478" i="69"/>
  <c r="M478" i="69"/>
  <c r="B479" i="69"/>
  <c r="D479" i="69"/>
  <c r="E479" i="69"/>
  <c r="F479" i="69"/>
  <c r="G479" i="69"/>
  <c r="I479" i="69"/>
  <c r="J479" i="69"/>
  <c r="K479" i="69"/>
  <c r="L479" i="69"/>
  <c r="M479" i="69"/>
  <c r="B480" i="69"/>
  <c r="D480" i="69"/>
  <c r="E480" i="69"/>
  <c r="F480" i="69"/>
  <c r="G480" i="69"/>
  <c r="I480" i="69"/>
  <c r="J480" i="69"/>
  <c r="K480" i="69"/>
  <c r="L480" i="69"/>
  <c r="M480" i="69"/>
  <c r="B481" i="69"/>
  <c r="D481" i="69"/>
  <c r="E481" i="69"/>
  <c r="F481" i="69"/>
  <c r="G481" i="69"/>
  <c r="I481" i="69"/>
  <c r="J481" i="69"/>
  <c r="K481" i="69"/>
  <c r="L481" i="69"/>
  <c r="M481" i="69"/>
  <c r="H482" i="69"/>
  <c r="I482" i="69"/>
  <c r="J482" i="69"/>
  <c r="D487" i="69"/>
  <c r="E487" i="69"/>
  <c r="F487" i="69"/>
  <c r="G487" i="69"/>
  <c r="D488" i="69"/>
  <c r="E488" i="69"/>
  <c r="F488" i="69"/>
  <c r="G488" i="69"/>
  <c r="D489" i="69"/>
  <c r="E489" i="69"/>
  <c r="F489" i="69"/>
  <c r="G489" i="69"/>
  <c r="D491" i="69"/>
  <c r="E491" i="69"/>
  <c r="F491" i="69"/>
  <c r="G491" i="69"/>
  <c r="E492" i="69"/>
  <c r="F492" i="69"/>
  <c r="G492" i="69"/>
  <c r="D493" i="69"/>
  <c r="E493" i="69"/>
  <c r="F493" i="69"/>
  <c r="G493" i="69"/>
  <c r="D494" i="69"/>
  <c r="E494" i="69"/>
  <c r="F494" i="69"/>
  <c r="G494" i="69"/>
  <c r="I494" i="69"/>
  <c r="J494" i="69"/>
  <c r="K494" i="69"/>
  <c r="D495" i="69"/>
  <c r="E495" i="69"/>
  <c r="F495" i="69"/>
  <c r="G495" i="69"/>
  <c r="D496" i="69"/>
  <c r="E496" i="69"/>
  <c r="F496" i="69"/>
  <c r="G496" i="69"/>
  <c r="E497" i="69"/>
  <c r="F497" i="69"/>
  <c r="G497" i="69"/>
  <c r="D503" i="69"/>
  <c r="E503" i="69"/>
  <c r="F503" i="69"/>
  <c r="G503" i="69"/>
  <c r="D504" i="69"/>
  <c r="E504" i="69"/>
  <c r="F504" i="69"/>
  <c r="G504" i="69"/>
  <c r="T509" i="69"/>
  <c r="U509" i="69"/>
  <c r="V509" i="69"/>
  <c r="W509" i="69"/>
  <c r="X509" i="69"/>
  <c r="M510" i="69"/>
  <c r="N510" i="69"/>
  <c r="O510" i="69"/>
  <c r="C511" i="69"/>
  <c r="D511" i="69"/>
  <c r="E511" i="69"/>
  <c r="F511" i="69"/>
  <c r="M511" i="69"/>
  <c r="N511" i="69"/>
  <c r="O511" i="69"/>
  <c r="D512" i="69"/>
  <c r="E512" i="69"/>
  <c r="F512" i="69"/>
  <c r="M512" i="69"/>
  <c r="N512" i="69"/>
  <c r="O512" i="69"/>
  <c r="D513" i="69"/>
  <c r="E513" i="69"/>
  <c r="F513" i="69"/>
  <c r="M513" i="69"/>
  <c r="N513" i="69"/>
  <c r="O513" i="69"/>
  <c r="D514" i="69"/>
  <c r="E514" i="69"/>
  <c r="F514" i="69"/>
  <c r="M514" i="69"/>
  <c r="N514" i="69"/>
  <c r="O514" i="69"/>
  <c r="M515" i="69"/>
  <c r="N515" i="69"/>
  <c r="O515" i="69"/>
  <c r="M518" i="69"/>
  <c r="N518" i="69"/>
  <c r="O518" i="69"/>
  <c r="M521" i="69"/>
  <c r="N521" i="69"/>
  <c r="O521" i="69"/>
  <c r="P521" i="69"/>
  <c r="M522" i="69"/>
  <c r="N522" i="69"/>
  <c r="O522" i="69"/>
  <c r="M523" i="69"/>
  <c r="N523" i="69"/>
  <c r="O523" i="69"/>
  <c r="P523" i="69"/>
  <c r="M524" i="69"/>
  <c r="N524" i="69"/>
  <c r="O524" i="69"/>
  <c r="M525" i="69"/>
  <c r="N525" i="69"/>
  <c r="O525" i="69"/>
  <c r="M526" i="69"/>
  <c r="N526" i="69"/>
  <c r="O526" i="69"/>
  <c r="M530" i="69"/>
  <c r="N530" i="69"/>
  <c r="O530" i="69"/>
  <c r="O532" i="69"/>
  <c r="G533" i="69"/>
  <c r="G534" i="69"/>
  <c r="G537" i="6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tc={BD602FE3-2D71-4C1C-AB18-B3146064A343}</author>
  </authors>
  <commentList>
    <comment ref="A3" authorId="0" shapeId="0" xr:uid="{BD602FE3-2D71-4C1C-AB18-B3146064A343}">
      <text>
        <t>[Threaded comment]
Your version of Excel allows you to read this threaded comment; however, any edits to it will get removed if the file is opened in a newer version of Excel. Learn more: https://go.microsoft.com/fwlink/?linkid=870924
Comment:
    Thường cái này chủ yếu bóc tách theo doanh thu vs lượng/SLCH sẽ hợp lý hơn do ít chạy còn giá mình có thể tính ngược</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tc={1FB41CBC-6245-4665-80A0-764CD753267C}</author>
    <author>tc={A769359D-33B6-409E-BE90-ECA47AFE7959}</author>
    <author>tc={4673C50F-DFD8-48FE-BD64-86ADDED3EE03}</author>
    <author>tc={4999349B-8B94-465E-B9C2-05CCA94FA4B6}</author>
    <author>tc={DD74042A-42CA-42D5-A0BC-55E023313523}</author>
    <author>Minh Châu</author>
    <author>tc={E597E7B1-382F-49B8-B624-E17950431687}</author>
    <author>tc={47094A1E-EEBB-437E-8035-7BEA465EB742}</author>
    <author>tc={71755767-E0CB-49D5-8159-5356C249B356}</author>
    <author>tc={9BCB3110-141A-4EC7-974E-E102D1D42450}</author>
  </authors>
  <commentList>
    <comment ref="BK12" authorId="0" shapeId="0" xr:uid="{1FB41CBC-6245-4665-80A0-764CD753267C}">
      <text>
        <t>[Threaded comment]
Your version of Excel allows you to read this threaded comment; however, any edits to it will get removed if the file is opened in a newer version of Excel. Learn more: https://go.microsoft.com/fwlink/?linkid=870924
Comment:
    Giảm mạnh hơn kì vọng -25%</t>
      </text>
    </comment>
    <comment ref="CD13" authorId="1" shapeId="0" xr:uid="{A769359D-33B6-409E-BE90-ECA47AFE7959}">
      <text>
        <t>[Threaded comment]
Your version of Excel allows you to read this threaded comment; however, any edits to it will get removed if the file is opened in a newer version of Excel. Learn more: https://go.microsoft.com/fwlink/?linkid=870924
Comment:
    Cắt sóng 3g toàn quốc</t>
      </text>
    </comment>
    <comment ref="BJ25" authorId="2" shapeId="0" xr:uid="{4673C50F-DFD8-48FE-BD64-86ADDED3EE03}">
      <text>
        <t>[Threaded comment]
Your version of Excel allows you to read this threaded comment; however, any edits to it will get removed if the file is opened in a newer version of Excel. Learn more: https://go.microsoft.com/fwlink/?linkid=870924
Comment:
    Kì vọng chỉ giảm 25%</t>
      </text>
    </comment>
    <comment ref="BS32" authorId="3" shapeId="0" xr:uid="{4999349B-8B94-465E-B9C2-05CCA94FA4B6}">
      <text>
        <t xml:space="preserve">[Threaded comment]
Your version of Excel allows you to read this threaded comment; however, any edits to it will get removed if the file is opened in a newer version of Excel. Learn more: https://go.microsoft.com/fwlink/?linkid=870924
Comment:
    Tính đến 15/11 đóng 83 ch TGDĐ+ĐMX- 3269ch
Reply:
    Iphne đóng góp 2k1bn
</t>
      </text>
    </comment>
    <comment ref="CJ42" authorId="4" shapeId="0" xr:uid="{DD74042A-42CA-42D5-A0BC-55E023313523}">
      <text>
        <t>[Threaded comment]
Your version of Excel allows you to read this threaded comment; however, any edits to it will get removed if the file is opened in a newer version of Excel. Learn more: https://go.microsoft.com/fwlink/?linkid=870924
Comment:
    50% Mở ở miền trung</t>
      </text>
    </comment>
    <comment ref="BJ43" authorId="5" shapeId="0" xr:uid="{F2337F0C-22B7-41C8-8089-EBDDF54E6647}">
      <text>
        <r>
          <rPr>
            <b/>
            <sz val="9"/>
            <color indexed="81"/>
            <rFont val="Tahoma"/>
            <family val="2"/>
          </rPr>
          <t>Minh Châu:</t>
        </r>
        <r>
          <rPr>
            <sz val="9"/>
            <color indexed="81"/>
            <rFont val="Tahoma"/>
            <family val="2"/>
          </rPr>
          <t xml:space="preserve">
DT/CH hoạt động 20 ngày 1.3 tỷ =&gt; 30 ngày là 1.6 tỷ</t>
        </r>
      </text>
    </comment>
    <comment ref="BW43" authorId="5" shapeId="0" xr:uid="{1814F84D-5AD1-4D31-B1E1-9E82AD53904C}">
      <text>
        <r>
          <rPr>
            <b/>
            <sz val="9"/>
            <color indexed="81"/>
            <rFont val="Tahoma"/>
            <family val="2"/>
          </rPr>
          <t>Minh Châu:</t>
        </r>
        <r>
          <rPr>
            <sz val="9"/>
            <color indexed="81"/>
            <rFont val="Tahoma"/>
            <family val="2"/>
          </rPr>
          <t xml:space="preserve">
hoạt động 21 ngày do tết từ 8/2-14/2/2023
</t>
        </r>
      </text>
    </comment>
    <comment ref="CR48" authorId="6" shapeId="0" xr:uid="{E597E7B1-382F-49B8-B624-E17950431687}">
      <text>
        <t>[Threaded comment]
Your version of Excel allows you to read this threaded comment; however, any edits to it will get removed if the file is opened in a newer version of Excel. Learn more: https://go.microsoft.com/fwlink/?linkid=870924
Comment:
    Bão ở miền trung</t>
      </text>
    </comment>
    <comment ref="A49" authorId="7" shapeId="0" xr:uid="{47094A1E-EEBB-437E-8035-7BEA465EB742}">
      <text>
        <t>[Threaded comment]
Your version of Excel allows you to read this threaded comment; however, any edits to it will get removed if the file is opened in a newer version of Excel. Learn more: https://go.microsoft.com/fwlink/?linkid=870924
Comment:
    Số lượng cửa hàng hoạt động&gt;=1y</t>
      </text>
    </comment>
    <comment ref="A52" authorId="8" shapeId="0" xr:uid="{71755767-E0CB-49D5-8159-5356C249B356}">
      <text>
        <t>[Threaded comment]
Your version of Excel allows you to read this threaded comment; however, any edits to it will get removed if the file is opened in a newer version of Excel. Learn more: https://go.microsoft.com/fwlink/?linkid=870924
Comment:
    SLCH mở mới dưới 1y
Gỉa định thời gian mở mới + DT sv CH cũ
1m -0.2 cũ
3m- 0.5 cũ
5m-0.7 cũ
2m-0.9 cũ</t>
      </text>
    </comment>
    <comment ref="BL62" authorId="9" shapeId="0" xr:uid="{9BCB3110-141A-4EC7-974E-E102D1D42450}">
      <text>
        <t>[Threaded comment]
Your version of Excel allows you to read this threaded comment; however, any edits to it will get removed if the file is opened in a newer version of Excel. Learn more: https://go.microsoft.com/fwlink/?linkid=870924
Comment:
    Đóng CH bluetronic</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tc={63EDF3C2-7539-4700-ABC6-0F3F7426E353}</author>
    <author>tc={7A7DBA75-A93B-4994-A8AE-B7EA846880FA}</author>
    <author>tc={416F886B-B601-4D18-BC03-9CF28BC02AFE}</author>
    <author>tc={FA41A0D3-DA37-48C0-A2E4-32BF6B1AA7C8}</author>
    <author>tc={6D9D5C87-7456-4C09-BAA2-9F63995A41EB}</author>
    <author>Minh Châu</author>
    <author>tc={88E59EC3-F4F6-459D-9B86-2330BCAB54A6}</author>
    <author>Pham Thi Minh Chau</author>
    <author>tc={8198913E-5BD8-47BD-BCF1-68F44E8109A1}</author>
    <author>tc={AC62143F-D441-4F62-B25E-90C9AF0B83FF}</author>
    <author>tc={1EC5DD97-32F3-49A2-A89C-1C0FA0F60E0E}</author>
    <author>tc={AEDABD09-DEE9-4567-A9B1-3114D78B3ABD}</author>
    <author>tc={4566E096-A884-4DDA-BE70-229498DEF1E8}</author>
    <author>tc={EAC35F36-2D5B-4087-BC12-63F895F2D65B}</author>
    <author>tc={9F314CD2-D25E-4EA8-AE00-88CA45C54493}</author>
    <author>tc={C1145D51-3BE7-405E-AAB2-A6BCCA8CF2C7}</author>
    <author>tc={078F84D4-4233-40AD-994A-0EFFF17DA2E5}</author>
    <author>tc={34575F52-887C-4739-BE97-1A2D0EE335DD}</author>
    <author>tc={1FB025D6-A49C-4E94-AC5F-3E7EBE9FE8CD}</author>
    <author>tc={2F0BBD5A-D7C0-4AE0-992E-D764FE1FDFAF}</author>
    <author>tc={9C0B2ADB-2C66-4A57-849F-9EC9272A337E}</author>
    <author>tc={B6A7A197-89DC-443C-9615-B8BB422B34EB}</author>
    <author>tc={F1509765-146D-4C1F-B297-EAB3221C800C}</author>
    <author>tc={F3623315-52C3-4955-A015-11FE31F64FC0}</author>
    <author>tc={3C44EB96-702F-4345-8B17-B601CFED54F8}</author>
    <author>tc={638DAB75-1466-4F4E-8159-2F0715734596}</author>
    <author>tc={96F04850-DAB1-477C-A3B8-97E40B9DC195}</author>
    <author>tc={674FBDE7-120E-4071-9DC4-A0D323A7EB3D}</author>
    <author>tc={DE7C5B37-6C65-451B-BE4D-B676554F4931}</author>
    <author>tc={ECBB7CAF-4DE5-481B-8F7D-B3FC41ECFC7B}</author>
    <author>tc={6ED3CEF6-4EDE-4CA3-83AA-912345A66B35}</author>
    <author>tc={DE6F0D7D-1C9B-4B67-8FCD-34433B597EDF}</author>
    <author>tc={846AB030-80B5-4345-8F5E-32AFA1EBEF9B}</author>
    <author>tc={FF62A417-9468-487A-8084-0C5A61674164}</author>
    <author>tc={28BDCB6F-97C2-4A95-A180-36F0DA0836BB}</author>
    <author>tc={7D14595E-DCFB-461B-A96F-04948502C7E4}</author>
    <author>tc={1723A079-8DAC-4EDF-B587-D28C32E24BD2}</author>
    <author>tc={23EC0213-AE88-46FA-9574-B20B32C3466C}</author>
    <author>tc={3C758C0B-BB8D-4A76-AF2F-70ED365A333F}</author>
    <author>tc={DDA3BFF2-60B6-4023-9903-4AB95484EF24}</author>
    <author>tc={ACF2AD11-D3C3-4E8C-A5C9-E41259B0E938}</author>
    <author>tc={D806DF8B-BB97-435D-AEAD-AD3919EC9488}</author>
    <author>tc={6322FCEA-315E-4190-A65E-8E036A6BFD57}</author>
    <author>tc={2F66EF77-ADC8-4CE0-9B8D-DC8247CBBE91}</author>
    <author>tc={9075E00A-8962-4CF5-B3ED-1C057D6B5CC5}</author>
    <author>tc={6176E669-401B-4F01-8D23-ED78D0A1E446}</author>
    <author>tc={95550258-6868-4443-ACD6-B3AD7CF7D704}</author>
    <author>tc={5D7EFEED-D538-4596-ABF7-134C410A1C01}</author>
  </authors>
  <commentList>
    <comment ref="I5" authorId="0" shapeId="0" xr:uid="{63EDF3C2-7539-4700-ABC6-0F3F7426E353}">
      <text>
        <t>[Threaded comment]
Your version of Excel allows you to read this threaded comment; however, any edits to it will get removed if the file is opened in a newer version of Excel. Learn more: https://go.microsoft.com/fwlink/?linkid=870924
Comment:
    Chiến lược xuyên suốt của MWG trong
năm 2022 là tối ưu năng lực mua hàng
và đầu tư cho các hoạt động thúc đẩy
bán hàng, chăm sóc khách hàng, nâng
cấp trải nghiệm mua sắm. Từ đó, công ty đạt tăng trưởng doanh thu và lợi nhuận thông qua việc mở rộng tập khách hàng, tăng lượt mua sắm và sản lượng tiêu thụ, không đặt mục tiêu tăng biên lợi nhuận gộp</t>
      </text>
    </comment>
    <comment ref="J8" authorId="1" shapeId="0" xr:uid="{7A7DBA75-A93B-4994-A8AE-B7EA846880FA}">
      <text>
        <t xml:space="preserve">[Threaded comment]
Your version of Excel allows you to read this threaded comment; however, any edits to it will get removed if the file is opened in a newer version of Excel. Learn more: https://go.microsoft.com/fwlink/?linkid=870924
Comment:
    Câu chuyện IP có thể nâng hạng thị trường VN (c3) khi các thị trường c1 truyền thống như TQ suy giảm </t>
      </text>
    </comment>
    <comment ref="AS8" authorId="2" shapeId="0" xr:uid="{416F886B-B601-4D18-BC03-9CF28BC02AFE}">
      <text>
        <t xml:space="preserve">[Threaded comment]
Your version of Excel allows you to read this threaded comment; however, any edits to it will get removed if the file is opened in a newer version of Excel. Learn more: https://go.microsoft.com/fwlink/?linkid=870924
Comment:
    1h/2023 xấu nhất rồi vừa bị giảm về sức mua + tài chính tiêu dùng _cạnh tranh về giá =&gt; 2h/2023 phục hồi so vs 1h.23 kt bớt xâu +kích thích tiêu dùng 
Reply:
    1h.2024: tăng trên nền thấp của 1h/2023 và 2H/2024 tài chính tiêu dùng hồi phục
</t>
      </text>
    </comment>
    <comment ref="I23" authorId="3" shapeId="0" xr:uid="{FA41A0D3-DA37-48C0-A2E4-32BF6B1AA7C8}">
      <text>
        <t>[Threaded comment]
Your version of Excel allows you to read this threaded comment; however, any edits to it will get removed if the file is opened in a newer version of Excel. Learn more: https://go.microsoft.com/fwlink/?linkid=870924
Comment:
    Quy mô thị trường thực phẩm và
FMCGs ở Việt Nam ước tính hơn 70
tỷ đô ( kênh GT 6,700 CH (1%SLCH))- Chiếm 12.4% thị phần (2021) từ 10% (2020)</t>
      </text>
    </comment>
    <comment ref="I30" authorId="4" shapeId="0" xr:uid="{6D9D5C87-7456-4C09-BAA2-9F63995A41EB}">
      <text>
        <t>[Threaded comment]
Your version of Excel allows you to read this threaded comment; however, any edits to it will get removed if the file is opened in a newer version of Excel. Learn more: https://go.microsoft.com/fwlink/?linkid=870924
Comment:
    Theo ước tính của BMI, thị
trường dược phẩm Việt Nam
năm 2021 tăng trưởng 10% so với
năm 2020 và đạt hơn 5 tỷ đô. 
Giá trị thị trường này dự kiến sẽ tiếp tục
duy trì đà tăng trưởng và đạt 7,8 tỷ
đô vào năm 2025 chủ yếu nhờ dân
số tăng và tốc độ đô thị hóa nhanh.</t>
      </text>
    </comment>
    <comment ref="I38" authorId="5" shapeId="0" xr:uid="{C48F6C3B-25EA-4338-8D5D-160A84055645}">
      <text>
        <r>
          <rPr>
            <b/>
            <sz val="9"/>
            <color indexed="81"/>
            <rFont val="Tahoma"/>
            <family val="2"/>
          </rPr>
          <t>Minh Châu:</t>
        </r>
        <r>
          <rPr>
            <sz val="9"/>
            <color indexed="81"/>
            <rFont val="Tahoma"/>
            <family val="2"/>
          </rPr>
          <t xml:space="preserve">
Long Châu GPM TỪ 20%-24%</t>
        </r>
      </text>
    </comment>
    <comment ref="I40" authorId="5" shapeId="0" xr:uid="{98581C83-DB63-4790-A2CC-62AFAE0B67D2}">
      <text>
        <r>
          <rPr>
            <b/>
            <sz val="9"/>
            <color indexed="81"/>
            <rFont val="Tahoma"/>
            <family val="2"/>
          </rPr>
          <t>Minh Châu:</t>
        </r>
        <r>
          <rPr>
            <sz val="9"/>
            <color indexed="81"/>
            <rFont val="Tahoma"/>
            <family val="2"/>
          </rPr>
          <t xml:space="preserve">
BẢN CHẤT ĐÂY KAF GÌ
lệch phương pháp hạch toán từ giảm trừ doanh thu xuống cp giá vốn</t>
        </r>
      </text>
    </comment>
    <comment ref="AO47" authorId="6" shapeId="0" xr:uid="{88E59EC3-F4F6-459D-9B86-2330BCAB54A6}">
      <text>
        <t xml:space="preserve">[Threaded comment]
Your version of Excel allows you to read this threaded comment; however, any edits to it will get removed if the file is opened in a newer version of Excel. Learn more: https://go.microsoft.com/fwlink/?linkid=870924
Comment:
    BHX- 353.7 +blutronic -89 (one off)-An Khang -74.28
</t>
      </text>
    </comment>
    <comment ref="AQ53" authorId="7" shapeId="0" xr:uid="{3010F0BB-659B-4174-BDE6-2016E60EFF52}">
      <text>
        <r>
          <rPr>
            <b/>
            <sz val="9"/>
            <color indexed="81"/>
            <rFont val="Tahoma"/>
            <family val="2"/>
          </rPr>
          <t>Pham Thi Minh Chau:</t>
        </r>
        <r>
          <rPr>
            <sz val="9"/>
            <color indexed="81"/>
            <rFont val="Tahoma"/>
            <family val="2"/>
          </rPr>
          <t xml:space="preserve">
cái này có 90 tỷ one-off bhx
</t>
        </r>
      </text>
    </comment>
    <comment ref="AR53" authorId="8" shapeId="0" xr:uid="{8198913E-5BD8-47BD-BCF1-68F44E8109A1}">
      <text>
        <t>[Threaded comment]
Your version of Excel allows you to read this threaded comment; however, any edits to it will get removed if the file is opened in a newer version of Excel. Learn more: https://go.microsoft.com/fwlink/?linkid=870924
Comment:
    Cái này đã được tính trong cp khác?</t>
      </text>
    </comment>
    <comment ref="AX53" authorId="9" shapeId="0" xr:uid="{AC62143F-D441-4F62-B25E-90C9AF0B83FF}">
      <text>
        <t xml:space="preserve">[Threaded comment]
Your version of Excel allows you to read this threaded comment; however, any edits to it will get removed if the file is opened in a newer version of Excel. Learn more: https://go.microsoft.com/fwlink/?linkid=870924
Comment:
    Cái này cũng có thể truy vết từ tgdđ+đmx
</t>
      </text>
    </comment>
    <comment ref="AN59" authorId="5" shapeId="0" xr:uid="{EF55A54E-EBE5-43F8-A835-F0DA9BAD218E}">
      <text>
        <r>
          <rPr>
            <b/>
            <sz val="9"/>
            <color indexed="81"/>
            <rFont val="Tahoma"/>
            <family val="2"/>
          </rPr>
          <t>Minh Châu:</t>
        </r>
        <r>
          <rPr>
            <sz val="9"/>
            <color indexed="81"/>
            <rFont val="Tahoma"/>
            <family val="2"/>
          </rPr>
          <t xml:space="preserve">
ĐIỀU CHỈNH DT NHƯ ANH KIÊN SHARE</t>
        </r>
      </text>
    </comment>
    <comment ref="A71" authorId="10" shapeId="0" xr:uid="{1EC5DD97-32F3-49A2-A89C-1C0FA0F60E0E}">
      <text>
        <t>[Threaded comment]
Your version of Excel allows you to read this threaded comment; however, any edits to it will get removed if the file is opened in a newer version of Excel. Learn more: https://go.microsoft.com/fwlink/?linkid=870924
Comment:
    DMX mini 300-400m2
Reply:
    DMS 120M2-150M2</t>
      </text>
    </comment>
    <comment ref="AR82" authorId="5" shapeId="0" xr:uid="{BA43C043-1343-44F9-B6B4-86F4E56C0DB9}">
      <text>
        <r>
          <rPr>
            <b/>
            <sz val="9"/>
            <color indexed="81"/>
            <rFont val="Tahoma"/>
            <family val="2"/>
          </rPr>
          <t>Minh Châu:</t>
        </r>
        <r>
          <rPr>
            <sz val="9"/>
            <color indexed="81"/>
            <rFont val="Tahoma"/>
            <family val="2"/>
          </rPr>
          <t xml:space="preserve">
kịch bản là 1H/2022 vẫ giảm =&gt; q4 hồi về sức mua
1H.2022 vẫn giảm nhiều hơn do mảng điện thoại BLNG thấp =&gt; giảm nhiều hơn 
đoạn 1h/2022: </t>
        </r>
      </text>
    </comment>
    <comment ref="AP86" authorId="11" shapeId="0" xr:uid="{AEDABD09-DEE9-4567-A9B1-3114D78B3ABD}">
      <text>
        <t>[Threaded comment]
Your version of Excel allows you to read this threaded comment; however, any edits to it will get removed if the file is opened in a newer version of Excel. Learn more: https://go.microsoft.com/fwlink/?linkid=870924
Comment:
    Mùa nóng- mùa cao điêm của máy lạnh</t>
      </text>
    </comment>
    <comment ref="AQ86" authorId="7" shapeId="0" xr:uid="{1578DB71-CEA7-4977-8772-11FDE19C6994}">
      <text>
        <r>
          <rPr>
            <b/>
            <sz val="9"/>
            <color indexed="81"/>
            <rFont val="Tahoma"/>
            <family val="2"/>
          </rPr>
          <t>Pham Thi Minh Chau:</t>
        </r>
        <r>
          <rPr>
            <sz val="9"/>
            <color indexed="81"/>
            <rFont val="Tahoma"/>
            <family val="2"/>
          </rPr>
          <t xml:space="preserve">
</t>
        </r>
      </text>
    </comment>
    <comment ref="AR86" authorId="12" shapeId="0" xr:uid="{4566E096-A884-4DDA-BE70-229498DEF1E8}">
      <text>
        <t>[Threaded comment]
Your version of Excel allows you to read this threaded comment; however, any edits to it will get removed if the file is opened in a newer version of Excel. Learn more: https://go.microsoft.com/fwlink/?linkid=870924
Comment:
    Dự kiến book thêm khoản rebate để cover cho đóng chuỗi</t>
      </text>
    </comment>
    <comment ref="AS87" authorId="13" shapeId="0" xr:uid="{EAC35F36-2D5B-4087-BC12-63F895F2D65B}">
      <text>
        <t>[Threaded comment]
Your version of Excel allows you to read this threaded comment; however, any edits to it will get removed if the file is opened in a newer version of Excel. Learn more: https://go.microsoft.com/fwlink/?linkid=870924
Comment:
    Cái này có rebate của apple nữa nhé</t>
      </text>
    </comment>
    <comment ref="K88" authorId="14" shapeId="0" xr:uid="{9F314CD2-D25E-4EA8-AE00-88CA45C54493}">
      <text>
        <t>[Threaded comment]
Your version of Excel allows you to read this threaded comment; however, any edits to it will get removed if the file is opened in a newer version of Excel. Learn more: https://go.microsoft.com/fwlink/?linkid=870924
Comment:
    Giảm nhờ 
(1) đóng CH kém hiệu quả 
(2) không phát sinh one off 
(3) hết khấu hao 227 tỏi
Reply:
    Tái cấu trúc cơ chế lương theo hướng hiệu quả và bỏ vị trí AM</t>
      </text>
    </comment>
    <comment ref="AR88" authorId="15" shapeId="0" xr:uid="{C1145D51-3BE7-405E-AAB2-A6BCCA8CF2C7}">
      <text>
        <t xml:space="preserve">[Threaded comment]
Your version of Excel allows you to read this threaded comment; however, any edits to it will get removed if the file is opened in a newer version of Excel. Learn more: https://go.microsoft.com/fwlink/?linkid=870924
Comment:
    Đóng thêm 200 CH x 1.5bln/ch =300bn
Reply:
    15/11/2023 đóng 83 CH còn 3269
</t>
      </text>
    </comment>
    <comment ref="AV88" authorId="16" shapeId="0" xr:uid="{078F84D4-4233-40AD-994A-0EFFF17DA2E5}">
      <text>
        <t>[Threaded comment]
Your version of Excel allows you to read this threaded comment; however, any edits to it will get removed if the file is opened in a newer version of Excel. Learn more: https://go.microsoft.com/fwlink/?linkid=870924
Comment:
    Chi phí chăm sóc KH</t>
      </text>
    </comment>
    <comment ref="L89" authorId="17" shapeId="0" xr:uid="{34575F52-887C-4739-BE97-1A2D0EE335DD}">
      <text>
        <t>[Threaded comment]
Your version of Excel allows you to read this threaded comment; however, any edits to it will get removed if the file is opened in a newer version of Excel. Learn more: https://go.microsoft.com/fwlink/?linkid=870924
Comment:
    +197 tỷ Khấu hao giảm và thanh lý tài sản 2023-2024</t>
      </text>
    </comment>
    <comment ref="M89" authorId="18" shapeId="0" xr:uid="{1FB025D6-A49C-4E94-AC5F-3E7EBE9FE8CD}">
      <text>
        <t>[Threaded comment]
Your version of Excel allows you to read this threaded comment; however, any edits to it will get removed if the file is opened in a newer version of Excel. Learn more: https://go.microsoft.com/fwlink/?linkid=870924
Comment:
    Hết khấu hao CH năm 2020-2021</t>
      </text>
    </comment>
    <comment ref="AT95" authorId="19" shapeId="0" xr:uid="{2F0BBD5A-D7C0-4AE0-992E-D764FE1FDFAF}">
      <text>
        <t>[Threaded comment]
Your version of Excel allows you to read this threaded comment; however, any edits to it will get removed if the file is opened in a newer version of Excel. Learn more: https://go.microsoft.com/fwlink/?linkid=870924
Comment:
    Cái này đang tính core - không tính tới phát sinh one -off 182 ch</t>
      </text>
    </comment>
    <comment ref="I97" authorId="5" shapeId="0" xr:uid="{F4928085-48C9-4F0C-86B1-ACF2FE7078F4}">
      <text>
        <r>
          <rPr>
            <b/>
            <sz val="9"/>
            <color indexed="81"/>
            <rFont val="Tahoma"/>
            <family val="2"/>
          </rPr>
          <t>Minh Châu:</t>
        </r>
        <r>
          <rPr>
            <sz val="9"/>
            <color indexed="81"/>
            <rFont val="Tahoma"/>
            <family val="2"/>
          </rPr>
          <t xml:space="preserve">
TGDĐ được ưu đãi thuếhttps://mwg.vn/uploads/2023/2/20230130---mwg---bao-cao-tai-chinh--hop-nhat-quy-4-nam-2022-1.pdf
</t>
        </r>
      </text>
    </comment>
    <comment ref="H102" authorId="20" shapeId="0" xr:uid="{9C0B2ADB-2C66-4A57-849F-9EC9272A337E}">
      <text>
        <t>[Threaded comment]
Your version of Excel allows you to read this threaded comment; however, any edits to it will get removed if the file is opened in a newer version of Excel. Learn more: https://go.microsoft.com/fwlink/?linkid=870924
Comment:
    Hàng tươi sống 45%
Thực phẩm 38%
Hóa Mỹ phẩm 17%</t>
      </text>
    </comment>
    <comment ref="I104" authorId="21" shapeId="0" xr:uid="{B6A7A197-89DC-443C-9615-B8BB422B34EB}">
      <text>
        <t>[Threaded comment]
Your version of Excel allows you to read this threaded comment; however, any edits to it will get removed if the file is opened in a newer version of Excel. Learn more: https://go.microsoft.com/fwlink/?linkid=870924
Comment:
    năm nay sales/store giảm nhưng bù lại là đóng mấy trăm store ko hiệu quả về chi phí (logistic, rent)</t>
      </text>
    </comment>
    <comment ref="L105" authorId="22" shapeId="0" xr:uid="{F1509765-146D-4C1F-B297-EAB3221C800C}">
      <text>
        <t>[Threaded comment]
Your version of Excel allows you to read this threaded comment; however, any edits to it will get removed if the file is opened in a newer version of Excel. Learn more: https://go.microsoft.com/fwlink/?linkid=870924
Comment:
    Room cái này còn nhiều nhờ ticket size tăng =&gt; mở chắc ăn</t>
      </text>
    </comment>
    <comment ref="AN106" authorId="23" shapeId="0" xr:uid="{F3623315-52C3-4955-A015-11FE31F64FC0}">
      <text>
        <t>[Threaded comment]
Your version of Excel allows you to read this threaded comment; however, any edits to it will get removed if the file is opened in a newer version of Excel. Learn more: https://go.microsoft.com/fwlink/?linkid=870924
Comment:
    Tháng 10 là 1.37 đạt điểm hòa vốn ebitda</t>
      </text>
    </comment>
    <comment ref="A110" authorId="5" shapeId="0" xr:uid="{7479399F-7EFC-4ABD-B41E-06F3C2201486}">
      <text>
        <r>
          <rPr>
            <b/>
            <sz val="9"/>
            <color indexed="81"/>
            <rFont val="Tahoma"/>
            <family val="2"/>
          </rPr>
          <t>Minh Châu:</t>
        </r>
        <r>
          <rPr>
            <sz val="9"/>
            <color indexed="81"/>
            <rFont val="Tahoma"/>
            <family val="2"/>
          </rPr>
          <t xml:space="preserve">
shrinkage cost/ total saels này tầm 3% - fresh 40-45%. 
Wcm tầm 2%</t>
        </r>
      </text>
    </comment>
    <comment ref="J110" authorId="5" shapeId="0" xr:uid="{90610F11-95E1-4B6A-AC28-2D16B9B7F144}">
      <text>
        <r>
          <rPr>
            <b/>
            <sz val="9"/>
            <color indexed="81"/>
            <rFont val="Tahoma"/>
            <family val="2"/>
          </rPr>
          <t>Minh Châu:</t>
        </r>
        <r>
          <rPr>
            <sz val="9"/>
            <color indexed="81"/>
            <rFont val="Tahoma"/>
            <family val="2"/>
          </rPr>
          <t xml:space="preserve">
- tiết kiệm shrikage cost 0.3%
- đàm phán biên vs ncc
</t>
        </r>
      </text>
    </comment>
    <comment ref="K110" authorId="24" shapeId="0" xr:uid="{3C44EB96-702F-4345-8B17-B601CFED54F8}">
      <text>
        <t>[Threaded comment]
Your version of Excel allows you to read this threaded comment; however, any edits to it will get removed if the file is opened in a newer version of Excel. Learn more: https://go.microsoft.com/fwlink/?linkid=870924
Comment:
    Dự địa tăng BLNG từ (1) giảm promotion + (2) spoilage rate  4-5% total sales (fresh 40-45% tổng dthu thì spoilage hơn 8%)</t>
      </text>
    </comment>
    <comment ref="AQ110" authorId="25" shapeId="0" xr:uid="{638DAB75-1466-4F4E-8159-2F0715734596}">
      <text>
        <t>[Threaded comment]
Your version of Excel allows you to read this threaded comment; however, any edits to it will get removed if the file is opened in a newer version of Excel. Learn more: https://go.microsoft.com/fwlink/?linkid=870924
Comment:
    ngành hàng tươi sống +30%q2, +70% sv đầu năm
Mùa vụ: tăng tỷ lệ hủy</t>
      </text>
    </comment>
    <comment ref="AI111" authorId="5" shapeId="0" xr:uid="{13BB0826-A718-49F9-84A2-120D768865EE}">
      <text>
        <r>
          <rPr>
            <b/>
            <sz val="9"/>
            <color indexed="81"/>
            <rFont val="Tahoma"/>
            <family val="2"/>
          </rPr>
          <t>Minh Châu:</t>
        </r>
        <r>
          <rPr>
            <sz val="9"/>
            <color indexed="81"/>
            <rFont val="Tahoma"/>
            <family val="2"/>
          </rPr>
          <t xml:space="preserve">
wcm tăng từ 18.9% lên 21.1%</t>
        </r>
      </text>
    </comment>
    <comment ref="AS111" authorId="26" shapeId="0" xr:uid="{96F04850-DAB1-477C-A3B8-97E40B9DC195}">
      <text>
        <t>[Threaded comment]
Your version of Excel allows you to read this threaded comment; however, any edits to it will get removed if the file is opened in a newer version of Excel. Learn more: https://go.microsoft.com/fwlink/?linkid=870924
Comment:
    Tăng traffic = fresh và FMCGs là make profit</t>
      </text>
    </comment>
    <comment ref="N114" authorId="27" shapeId="0" xr:uid="{674FBDE7-120E-4071-9DC4-A0D323A7EB3D}">
      <text>
        <t>[Threaded comment]
Your version of Excel allows you to read this threaded comment; however, any edits to it will get removed if the file is opened in a newer version of Excel. Learn more: https://go.microsoft.com/fwlink/?linkid=870924
Comment:
    40% SLCH mở ngoài sài gòn</t>
      </text>
    </comment>
    <comment ref="AY114" authorId="28" shapeId="0" xr:uid="{DE7C5B37-6C65-451B-BE4D-B676554F4931}">
      <text>
        <t>[Threaded comment]
Your version of Excel allows you to read this threaded comment; however, any edits to it will get removed if the file is opened in a newer version of Excel. Learn more: https://go.microsoft.com/fwlink/?linkid=870924
Comment:
    Giảm do họ phải tự thu xếp</t>
      </text>
    </comment>
    <comment ref="A115" authorId="29" shapeId="0" xr:uid="{ECBB7CAF-4DE5-481B-8F7D-B3FC41ECFC7B}">
      <text>
        <t>[Threaded comment]
Your version of Excel allows you to read this threaded comment; however, any edits to it will get removed if the file is opened in a newer version of Excel. Learn more: https://go.microsoft.com/fwlink/?linkid=870924
Comment:
    9ng (2 ca)*8.5tr*12 tháng</t>
      </text>
    </comment>
    <comment ref="I115" authorId="30" shapeId="0" xr:uid="{6ED3CEF6-4EDE-4CA3-83AA-912345A66B35}">
      <text>
        <t xml:space="preserve">[Threaded comment]
Your version of Excel allows you to read this threaded comment; however, any edits to it will get removed if the file is opened in a newer version of Excel. Learn more: https://go.microsoft.com/fwlink/?linkid=870924
Comment:
    https://vieclam.thegioididong.com/tuyen-dung/nhan-vien-thu-ngan-bach-hoa-xanh-34
Reply:
    7-10tr/tháng
Reply:
    https://vieclam.thegioididong.com/tuyen-dung/bao-ve-bach-hoa-xanh-33
Reply:
    Bảo vệ lương 5-7 tr
</t>
      </text>
    </comment>
    <comment ref="I117" authorId="7" shapeId="0" xr:uid="{64820E4F-6184-414A-98BF-C832AF838135}">
      <text>
        <r>
          <rPr>
            <b/>
            <sz val="9"/>
            <color indexed="81"/>
            <rFont val="Tahoma"/>
            <family val="2"/>
          </rPr>
          <t>Pham Thi Minh Chau:</t>
        </r>
        <r>
          <rPr>
            <sz val="9"/>
            <color indexed="81"/>
            <rFont val="Tahoma"/>
            <family val="2"/>
          </rPr>
          <t xml:space="preserve">
-nghiệp vụ thanh lý cửa hàng =&gt; ghi nhận vào chi phí khác/dt khác
- nghiệp vụ revamp =&gt; ghi nhận vào TSCĐ =&gt; phân bổ vào khấu hao</t>
        </r>
      </text>
    </comment>
    <comment ref="AQ117" authorId="31" shapeId="0" xr:uid="{DE6F0D7D-1C9B-4B67-8FCD-34433B597EDF}">
      <text>
        <t xml:space="preserve">[Threaded comment]
Your version of Excel allows you to read this threaded comment; however, any edits to it will get removed if the file is opened in a newer version of Excel. Learn more: https://go.microsoft.com/fwlink/?linkid=870924
Comment:
    Khấu hao 4-5%/dt
</t>
      </text>
    </comment>
    <comment ref="AT117" authorId="32" shapeId="0" xr:uid="{846AB030-80B5-4345-8F5E-32AFA1EBEF9B}">
      <text>
        <t xml:space="preserve">[Threaded comment]
Your version of Excel allows you to read this threaded comment; however, any edits to it will get removed if the file is opened in a newer version of Excel. Learn more: https://go.microsoft.com/fwlink/?linkid=870924
Comment:
    80% công thức thành công – mặt bằng, phát triển nhân lực, chuỗi cung ứng lành mạnh
Chi phí DC- đạt mục tiêu, vận hành tại shop 60-70%
</t>
      </text>
    </comment>
    <comment ref="A119" authorId="33" shapeId="0" xr:uid="{FF62A417-9468-487A-8084-0C5A61674164}">
      <text>
        <t xml:space="preserve">[Threaded comment]
Your version of Excel allows you to read this threaded comment; however, any edits to it will get removed if the file is opened in a newer version of Excel. Learn more: https://go.microsoft.com/fwlink/?linkid=870924
Comment:
    5-6%
</t>
      </text>
    </comment>
    <comment ref="H119" authorId="34" shapeId="0" xr:uid="{28BDCB6F-97C2-4A95-A180-36F0DA0836BB}">
      <text>
        <t>[Threaded comment]
Your version of Excel allows you to read this threaded comment; however, any edits to it will get removed if the file is opened in a newer version of Excel. Learn more: https://go.microsoft.com/fwlink/?linkid=870924
Comment:
    5.5% rev</t>
      </text>
    </comment>
    <comment ref="I119" authorId="35" shapeId="0" xr:uid="{7D14595E-DCFB-461B-A96F-04948502C7E4}">
      <text>
        <t>[Threaded comment]
Your version of Excel allows you to read this threaded comment; however, any edits to it will get removed if the file is opened in a newer version of Excel. Learn more: https://go.microsoft.com/fwlink/?linkid=870924
Comment:
    5% rev</t>
      </text>
    </comment>
    <comment ref="J119" authorId="36" shapeId="0" xr:uid="{1723A079-8DAC-4EDF-B587-D28C32E24BD2}">
      <text>
        <t>[Threaded comment]
Your version of Excel allows you to read this threaded comment; however, any edits to it will get removed if the file is opened in a newer version of Excel. Learn more: https://go.microsoft.com/fwlink/?linkid=870924
Comment:
    Kì vọng giảm được 10%YoY</t>
      </text>
    </comment>
    <comment ref="K120" authorId="37" shapeId="0" xr:uid="{23EC0213-AE88-46FA-9574-B20B32C3466C}">
      <text>
        <t>[Threaded comment]
Your version of Excel allows you to read this threaded comment; however, any edits to it will get removed if the file is opened in a newer version of Excel. Learn more: https://go.microsoft.com/fwlink/?linkid=870924
Comment:
    Trong cái này có cái legacy 100-110 tỷ=&gt; 400-440 tỷ/năm</t>
      </text>
    </comment>
    <comment ref="L120" authorId="38" shapeId="0" xr:uid="{3C758C0B-BB8D-4A76-AF2F-70ED365A333F}">
      <text>
        <t>[Threaded comment]
Your version of Excel allows you to read this threaded comment; however, any edits to it will get removed if the file is opened in a newer version of Excel. Learn more: https://go.microsoft.com/fwlink/?linkid=870924
Comment:
    Xây mới tăng thêm chi phí logistic hub</t>
      </text>
    </comment>
    <comment ref="AQ120" authorId="39" shapeId="0" xr:uid="{DDA3BFF2-60B6-4023-9903-4AB95484EF24}">
      <text>
        <t>[Threaded comment]
Your version of Excel allows you to read this threaded comment; however, any edits to it will get removed if the file is opened in a newer version of Excel. Learn more: https://go.microsoft.com/fwlink/?linkid=870924
Comment:
    Phát sinh chi phí khấu hao 367.525 (9t/2023) - 170 q3.23</t>
      </text>
    </comment>
    <comment ref="AR120" authorId="7" shapeId="0" xr:uid="{6CDC9CF6-4D22-47C0-BEC5-F0AFEA376A07}">
      <text>
        <r>
          <rPr>
            <b/>
            <sz val="9"/>
            <color indexed="81"/>
            <rFont val="Tahoma"/>
            <family val="2"/>
          </rPr>
          <t>Pham Thi Minh Chau:</t>
        </r>
        <r>
          <rPr>
            <sz val="9"/>
            <color indexed="81"/>
            <rFont val="Tahoma"/>
            <family val="2"/>
          </rPr>
          <t xml:space="preserve">
200 tỷ one-off</t>
        </r>
      </text>
    </comment>
    <comment ref="AQ122" authorId="40" shapeId="0" xr:uid="{ACF2AD11-D3C3-4E8C-A5C9-E41259B0E938}">
      <text>
        <t xml:space="preserve">[Threaded comment]
Your version of Excel allows you to read this threaded comment; however, any edits to it will get removed if the file is opened in a newer version of Excel. Learn more: https://go.microsoft.com/fwlink/?linkid=870924
Comment:
    Đang hiểu là book chi phí tài sản bị khấu trừ =&gt; giảm </t>
      </text>
    </comment>
    <comment ref="A124" authorId="41" shapeId="0" xr:uid="{D806DF8B-BB97-435D-AEAD-AD3919EC9488}">
      <text>
        <t>[Threaded comment]
Your version of Excel allows you to read this threaded comment; however, any edits to it will get removed if the file is opened in a newer version of Excel. Learn more: https://go.microsoft.com/fwlink/?linkid=870924
Comment:
    Đánh giá có 2 cách giúp tăng GPM:
1. Giảm Shringage cost =&gt; tăng GPM
2. Tăng sales =&gt; Bargaining power =&gt; GPM và Optimize logistic cost</t>
      </text>
    </comment>
    <comment ref="AX124" authorId="42" shapeId="0" xr:uid="{6322FCEA-315E-4190-A65E-8E036A6BFD57}">
      <text>
        <t>[Threaded comment]
Your version of Excel allows you to read this threaded comment; however, any edits to it will get removed if the file is opened in a newer version of Excel. Learn more: https://go.microsoft.com/fwlink/?linkid=870924
Comment:
    =-39.623/0.2+5.016/0.2</t>
      </text>
    </comment>
    <comment ref="AL141" authorId="43" shapeId="0" xr:uid="{2F66EF77-ADC8-4CE0-9B8D-DC8247CBBE91}">
      <text>
        <t>[Threaded comment]
Your version of Excel allows you to read this threaded comment; however, any edits to it will get removed if the file is opened in a newer version of Excel. Learn more: https://go.microsoft.com/fwlink/?linkid=870924
Comment:
    Chỉ gồm chi phí thanh lý</t>
      </text>
    </comment>
    <comment ref="AL142" authorId="7" shapeId="0" xr:uid="{68456801-EBD7-4F12-97B2-3B154409DB57}">
      <text>
        <r>
          <rPr>
            <b/>
            <sz val="9"/>
            <color indexed="81"/>
            <rFont val="Tahoma"/>
            <family val="2"/>
          </rPr>
          <t>Pham Thi Minh Chau:</t>
        </r>
        <r>
          <rPr>
            <sz val="9"/>
            <color indexed="81"/>
            <rFont val="Tahoma"/>
            <family val="2"/>
          </rPr>
          <t xml:space="preserve">
ĐIỀU CHỈNH PREMIUM BỊ LAG QUA CÁC THÁNG SAU</t>
        </r>
      </text>
    </comment>
    <comment ref="H167" authorId="7" shapeId="0" xr:uid="{662AA674-51A9-41C9-AF9C-EE03F03024F9}">
      <text>
        <r>
          <rPr>
            <b/>
            <sz val="9"/>
            <color indexed="81"/>
            <rFont val="Tahoma"/>
            <family val="2"/>
          </rPr>
          <t>Pham Thi Minh Chau:</t>
        </r>
        <r>
          <rPr>
            <sz val="9"/>
            <color indexed="81"/>
            <rFont val="Tahoma"/>
            <family val="2"/>
          </rPr>
          <t xml:space="preserve">
tăng tỷ lệ sở hữu vào cuối Q4/2021</t>
        </r>
      </text>
    </comment>
    <comment ref="I172" authorId="5" shapeId="0" xr:uid="{BCCCFF3F-E734-4FF8-950F-FC93E9A73465}">
      <text>
        <r>
          <rPr>
            <b/>
            <sz val="9"/>
            <color indexed="81"/>
            <rFont val="Tahoma"/>
            <family val="2"/>
          </rPr>
          <t>Minh Châu:</t>
        </r>
        <r>
          <rPr>
            <sz val="9"/>
            <color indexed="81"/>
            <rFont val="Tahoma"/>
            <family val="2"/>
          </rPr>
          <t xml:space="preserve">
Long Châu-20%-24%</t>
        </r>
      </text>
    </comment>
    <comment ref="I174" authorId="5" shapeId="0" xr:uid="{7F08D65E-35E1-4C33-A502-90F3D5B115B0}">
      <text>
        <r>
          <rPr>
            <b/>
            <sz val="9"/>
            <color indexed="81"/>
            <rFont val="Tahoma"/>
            <family val="2"/>
          </rPr>
          <t>Minh Châu:</t>
        </r>
        <r>
          <rPr>
            <sz val="9"/>
            <color indexed="81"/>
            <rFont val="Tahoma"/>
            <family val="2"/>
          </rPr>
          <t xml:space="preserve">
SG&amp;A/REV 19%</t>
        </r>
      </text>
    </comment>
    <comment ref="A181" authorId="7" shapeId="0" xr:uid="{60C7B49E-9EFA-4F11-AAFF-BF32875D1D7D}">
      <text>
        <r>
          <rPr>
            <b/>
            <sz val="9"/>
            <color indexed="81"/>
            <rFont val="Tahoma"/>
            <family val="2"/>
          </rPr>
          <t>Pham Thi Minh Chau:Erablue là CTLDLK</t>
        </r>
      </text>
    </comment>
    <comment ref="J183" authorId="5" shapeId="0" xr:uid="{CFCD2F3E-C05E-4D93-99F1-9FDF8DB45A8E}">
      <text>
        <r>
          <rPr>
            <b/>
            <sz val="9"/>
            <color indexed="81"/>
            <rFont val="Tahoma"/>
            <family val="2"/>
          </rPr>
          <t>Minh Châu:</t>
        </r>
        <r>
          <rPr>
            <sz val="9"/>
            <color indexed="81"/>
            <rFont val="Tahoma"/>
            <family val="2"/>
          </rPr>
          <t xml:space="preserve">
đóng 2 CH bluetronic+13 avasport
mở 10 erablue</t>
        </r>
      </text>
    </comment>
    <comment ref="J189" authorId="44" shapeId="0" xr:uid="{9075E00A-8962-4CF5-B3ED-1C057D6B5CC5}">
      <text>
        <t>[Threaded comment]
Your version of Excel allows you to read this threaded comment; however, any edits to it will get removed if the file is opened in a newer version of Excel. Learn more: https://go.microsoft.com/fwlink/?linkid=870924
Comment:
    Bluetronics lỗ 89</t>
      </text>
    </comment>
    <comment ref="L193" authorId="5" shapeId="0" xr:uid="{B17BD3FA-800C-41E7-B068-35167FDA082D}">
      <text>
        <r>
          <rPr>
            <b/>
            <sz val="9"/>
            <color indexed="81"/>
            <rFont val="Tahoma"/>
            <family val="2"/>
          </rPr>
          <t>Minh Châu:</t>
        </r>
        <r>
          <rPr>
            <sz val="9"/>
            <color indexed="81"/>
            <rFont val="Tahoma"/>
            <family val="2"/>
          </rPr>
          <t xml:space="preserve">
chưa chịu thuế do lỗ luỹ kế -7748.68 q1/23
</t>
        </r>
      </text>
    </comment>
    <comment ref="AO219" authorId="45" shapeId="0" xr:uid="{6176E669-401B-4F01-8D23-ED78D0A1E446}">
      <text>
        <t>[Threaded comment]
Your version of Excel allows you to read this threaded comment; however, any edits to it will get removed if the file is opened in a newer version of Excel. Learn more: https://go.microsoft.com/fwlink/?linkid=870924
Comment:
    Thu hút traffic</t>
      </text>
    </comment>
    <comment ref="AO220" authorId="46" shapeId="0" xr:uid="{95550258-6868-4443-ACD6-B3AD7CF7D704}">
      <text>
        <t>[Threaded comment]
Your version of Excel allows you to read this threaded comment; however, any edits to it will get removed if the file is opened in a newer version of Excel. Learn more: https://go.microsoft.com/fwlink/?linkid=870924
Comment:
    Tạo ra lợi nhuận</t>
      </text>
    </comment>
    <comment ref="K262" authorId="47" shapeId="0" xr:uid="{5D7EFEED-D538-4596-ABF7-134C410A1C01}">
      <text>
        <t xml:space="preserve">[Threaded comment]
Your version of Excel allows you to read this threaded comment; however, any edits to it will get removed if the file is opened in a newer version of Excel. Learn more: https://go.microsoft.com/fwlink/?linkid=870924
Comment:
    0.054 -1h/2024
</t>
      </text>
    </comment>
    <comment ref="BH314" authorId="7" shapeId="0" xr:uid="{F8458123-6AF5-4574-ACF0-C7C97886E3CB}">
      <text>
        <r>
          <rPr>
            <b/>
            <sz val="9"/>
            <color indexed="81"/>
            <rFont val="Tahoma"/>
            <family val="2"/>
          </rPr>
          <t>Pham Thi Minh Chau:</t>
        </r>
        <r>
          <rPr>
            <sz val="9"/>
            <color indexed="81"/>
            <rFont val="Tahoma"/>
            <family val="2"/>
          </rPr>
          <t xml:space="preserve">
target 500 =&gt; 1 tỷ usd
kỳ vọng ipo</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Ma Tuan Minh Hien</author>
    <author>Minh Châu</author>
    <author>Pham Thi Minh Chau</author>
    <author>tc={9F72D6EB-0A07-490F-90A6-C82703192B77}</author>
  </authors>
  <commentList>
    <comment ref="K10" authorId="0" shapeId="0" xr:uid="{00000000-0006-0000-0B00-000001000000}">
      <text>
        <r>
          <rPr>
            <b/>
            <sz val="9"/>
            <color indexed="81"/>
            <rFont val="Tahoma"/>
            <family val="2"/>
          </rPr>
          <t>Ma Tuan Minh Hien:</t>
        </r>
        <r>
          <rPr>
            <sz val="9"/>
            <color indexed="81"/>
            <rFont val="Tahoma"/>
            <family val="2"/>
          </rPr>
          <t xml:space="preserve">
hàng tồn kho sẽ giảm lại trong năm 2020 do năm 2019 mua tích trữ hàng trước </t>
        </r>
      </text>
    </comment>
    <comment ref="K29" authorId="0" shapeId="0" xr:uid="{00000000-0006-0000-0B00-000002000000}">
      <text>
        <r>
          <rPr>
            <b/>
            <sz val="9"/>
            <color indexed="81"/>
            <rFont val="Tahoma"/>
            <family val="2"/>
          </rPr>
          <t>Ma Tuan Minh Hien:</t>
        </r>
        <r>
          <rPr>
            <sz val="9"/>
            <color indexed="81"/>
            <rFont val="Tahoma"/>
            <family val="2"/>
          </rPr>
          <t xml:space="preserve">
dòng tiền sẽ được ổn định lại do bán hàng tốt trong Q1 từ đó trả nợ vay ngắn hạn</t>
        </r>
      </text>
    </comment>
    <comment ref="M29" authorId="1" shapeId="0" xr:uid="{00000000-0006-0000-0B00-000003000000}">
      <text>
        <r>
          <rPr>
            <b/>
            <sz val="9"/>
            <color indexed="81"/>
            <rFont val="Tahoma"/>
            <family val="2"/>
          </rPr>
          <t>Minh Châu:</t>
        </r>
        <r>
          <rPr>
            <sz val="9"/>
            <color indexed="81"/>
            <rFont val="Tahoma"/>
            <family val="2"/>
          </rPr>
          <t xml:space="preserve">
phát hành trả bớt nợ
</t>
        </r>
      </text>
    </comment>
    <comment ref="P36" authorId="2" shapeId="0" xr:uid="{4039E6BC-5D21-4442-97FF-799F799BD63C}">
      <text>
        <r>
          <rPr>
            <b/>
            <sz val="9"/>
            <color indexed="81"/>
            <rFont val="Tahoma"/>
            <family val="2"/>
          </rPr>
          <t>Pham Thi Minh Chau:</t>
        </r>
        <r>
          <rPr>
            <sz val="9"/>
            <color indexed="81"/>
            <rFont val="Tahoma"/>
            <family val="2"/>
          </rPr>
          <t xml:space="preserve">
khoản này đáo hạn vào tháng 7/2025:https://mwg.vn/uploads/2023/3/20230316---mwg---bao-cao-tai-chinh-hop-nhat-soat-xet-nam-2022-1.pdf
đáo hạn 16/9/2025</t>
        </r>
      </text>
    </comment>
    <comment ref="L67" authorId="1" shapeId="0" xr:uid="{00000000-0006-0000-0B00-000004000000}">
      <text>
        <r>
          <rPr>
            <b/>
            <sz val="9"/>
            <color indexed="81"/>
            <rFont val="Tahoma"/>
            <family val="2"/>
          </rPr>
          <t>Minh Châu:</t>
        </r>
        <r>
          <rPr>
            <sz val="9"/>
            <color indexed="81"/>
            <rFont val="Tahoma"/>
            <family val="2"/>
          </rPr>
          <t xml:space="preserve">
21,000</t>
        </r>
      </text>
    </comment>
    <comment ref="M72" authorId="1" shapeId="0" xr:uid="{00000000-0006-0000-0B00-000005000000}">
      <text>
        <r>
          <rPr>
            <b/>
            <sz val="9"/>
            <color indexed="81"/>
            <rFont val="Tahoma"/>
            <family val="2"/>
          </rPr>
          <t>Minh Châu:</t>
        </r>
        <r>
          <rPr>
            <sz val="9"/>
            <color indexed="81"/>
            <rFont val="Tahoma"/>
            <family val="2"/>
          </rPr>
          <t xml:space="preserve">
- blng tăng nhẹ do tiêu dùng trả thù và hiệu quả của chính sách marketing
- Weight vàng cuối năm có thể không cao như Q1/2022 do giá vàng ở mức cao và nhu cầu đầu tư giảm do tăng suất</t>
        </r>
      </text>
    </comment>
    <comment ref="M73" authorId="1" shapeId="0" xr:uid="{00000000-0006-0000-0B00-000006000000}">
      <text>
        <r>
          <rPr>
            <b/>
            <sz val="9"/>
            <color indexed="81"/>
            <rFont val="Tahoma"/>
            <family val="2"/>
          </rPr>
          <t>Minh Châu:</t>
        </r>
        <r>
          <rPr>
            <sz val="9"/>
            <color indexed="81"/>
            <rFont val="Tahoma"/>
            <family val="2"/>
          </rPr>
          <t xml:space="preserve">
</t>
        </r>
      </text>
    </comment>
    <comment ref="M76" authorId="1" shapeId="0" xr:uid="{00000000-0006-0000-0B00-000007000000}">
      <text>
        <r>
          <rPr>
            <b/>
            <sz val="9"/>
            <color indexed="81"/>
            <rFont val="Tahoma"/>
            <family val="2"/>
          </rPr>
          <t>Minh Châu:</t>
        </r>
        <r>
          <rPr>
            <sz val="9"/>
            <color indexed="81"/>
            <rFont val="Tahoma"/>
            <family val="2"/>
          </rPr>
          <t xml:space="preserve">
chi phí bán hàng tăng nhưng nhở ERP nên giữ ở mức ổn định</t>
        </r>
      </text>
    </comment>
    <comment ref="M86" authorId="1" shapeId="0" xr:uid="{00000000-0006-0000-0B00-000008000000}">
      <text>
        <r>
          <rPr>
            <b/>
            <sz val="9"/>
            <color indexed="81"/>
            <rFont val="Tahoma"/>
            <family val="2"/>
          </rPr>
          <t>Minh Châu:</t>
        </r>
        <r>
          <rPr>
            <sz val="9"/>
            <color indexed="81"/>
            <rFont val="Tahoma"/>
            <family val="2"/>
          </rPr>
          <t xml:space="preserve">
- Quản lý hiệu quả hàng tồn kho và huy động vốn giảm đòn bẩy tài chính</t>
        </r>
      </text>
    </comment>
    <comment ref="L101" authorId="1" shapeId="0" xr:uid="{00000000-0006-0000-0B00-000009000000}">
      <text>
        <r>
          <rPr>
            <b/>
            <sz val="9"/>
            <color indexed="81"/>
            <rFont val="Tahoma"/>
            <family val="2"/>
          </rPr>
          <t>Minh Châu:</t>
        </r>
        <r>
          <rPr>
            <sz val="9"/>
            <color indexed="81"/>
            <rFont val="Tahoma"/>
            <family val="2"/>
          </rPr>
          <t xml:space="preserve">
1,229</t>
        </r>
      </text>
    </comment>
    <comment ref="M111" authorId="2" shapeId="0" xr:uid="{00000000-0006-0000-0B00-00000A000000}">
      <text>
        <r>
          <rPr>
            <b/>
            <sz val="9"/>
            <color indexed="81"/>
            <rFont val="Tahoma"/>
            <family val="2"/>
          </rPr>
          <t>Pham Thi Minh Chau:</t>
        </r>
        <r>
          <rPr>
            <sz val="9"/>
            <color indexed="81"/>
            <rFont val="Tahoma"/>
            <family val="2"/>
          </rPr>
          <t xml:space="preserve">
thù lao BOM và BOD vượt kh
</t>
        </r>
      </text>
    </comment>
    <comment ref="M269" authorId="3" shapeId="0" xr:uid="{9F72D6EB-0A07-490F-90A6-C82703192B77}">
      <text>
        <t>[Threaded comment]
Your version of Excel allows you to read this threaded comment; however, any edits to it will get removed if the file is opened in a newer version of Excel. Learn more: https://go.microsoft.com/fwlink/?linkid=870924
Comment:
    Trả 5% cổ tức 2021</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tc={5C9762E8-E702-4AB7-899E-31B8B18055E0}</author>
    <author>tc={9802BA3E-98B3-43FC-ABA7-AF6FB20A1A0C}</author>
    <author>tc={2BEC2A9D-919B-49EC-A88C-69E515484698}</author>
    <author>tc={B8730D3E-0371-4147-A055-CA51BEE85A3A}</author>
  </authors>
  <commentList>
    <comment ref="H259" authorId="0" shapeId="0" xr:uid="{5C9762E8-E702-4AB7-899E-31B8B18055E0}">
      <text>
        <t>[Threaded comment]
Your version of Excel allows you to read this threaded comment; however, any edits to it will get removed if the file is opened in a newer version of Excel. Learn more: https://go.microsoft.com/fwlink/?linkid=870924
Comment:
    Số 2023</t>
      </text>
    </comment>
    <comment ref="H265" authorId="1" shapeId="0" xr:uid="{9802BA3E-98B3-43FC-ABA7-AF6FB20A1A0C}">
      <text>
        <t>[Threaded comment]
Your version of Excel allows you to read this threaded comment; however, any edits to it will get removed if the file is opened in a newer version of Excel. Learn more: https://go.microsoft.com/fwlink/?linkid=870924
Comment:
    Trong số này có tăng CP revamp (800)+hưởng lợi từ giảm KH do hưởng full thanh lí năm 2022 (705)</t>
      </text>
    </comment>
    <comment ref="I276" authorId="2" shapeId="0" xr:uid="{2BEC2A9D-919B-49EC-A88C-69E515484698}">
      <text>
        <t xml:space="preserve">[Threaded comment]
Your version of Excel allows you to read this threaded comment; however, any edits to it will get removed if the file is opened in a newer version of Excel. Learn more: https://go.microsoft.com/fwlink/?linkid=870924
Comment:
    Đóng 200ch 2023+ đóng CH 2024 (chi phí này từ nửa năm 2024 bị nhiễu với an khang (527-326)*1.2 tỷ) </t>
      </text>
    </comment>
    <comment ref="L513" authorId="3" shapeId="0" xr:uid="{B8730D3E-0371-4147-A055-CA51BEE85A3A}">
      <text>
        <t>[Threaded comment]
Your version of Excel allows you to read this threaded comment; however, any edits to it will get removed if the file is opened in a newer version of Excel. Learn more: https://go.microsoft.com/fwlink/?linkid=870924
Comment:
    Trung bình giai đoạn tăng trưởng</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tc={3D66B863-A640-47D8-9451-07F0C33FB143}</author>
    <author>tc={F2F50C10-E78A-4F7C-AD45-586CCD768676}</author>
    <author>tc={5C93735F-14B3-44EA-BCCA-5B3656C5A613}</author>
    <author>Minh Châu</author>
    <author>Ma Tuan Minh Hien</author>
    <author>tc={E81F9B5D-85C8-4B04-BEA4-1BCF6504F18E}</author>
  </authors>
  <commentList>
    <comment ref="AM6" authorId="0" shapeId="0" xr:uid="{3D66B863-A640-47D8-9451-07F0C33FB143}">
      <text>
        <t>[Threaded comment]
Your version of Excel allows you to read this threaded comment; however, any edits to it will get removed if the file is opened in a newer version of Excel. Learn more: https://go.microsoft.com/fwlink/?linkid=870924
Comment:
    AVERAGE PEER 0.6</t>
      </text>
    </comment>
    <comment ref="AM10" authorId="1" shapeId="0" xr:uid="{F2F50C10-E78A-4F7C-AD45-586CCD768676}">
      <text>
        <t>[Threaded comment]
Your version of Excel allows you to read this threaded comment; however, any edits to it will get removed if the file is opened in a newer version of Excel. Learn more: https://go.microsoft.com/fwlink/?linkid=870924
Comment:
    AVERAGE PEER 0.42</t>
      </text>
    </comment>
    <comment ref="M31" authorId="2" shapeId="0" xr:uid="{5C93735F-14B3-44EA-BCCA-5B3656C5A613}">
      <text>
        <t>[Threaded comment]
Your version of Excel allows you to read this threaded comment; however, any edits to it will get removed if the file is opened in a newer version of Excel. Learn more: https://go.microsoft.com/fwlink/?linkid=870924
Comment:
    Lnst&gt;=10% %Tăng LNSTx0.1 &lt;2.5% tổng số CPLH</t>
      </text>
    </comment>
    <comment ref="AT35" authorId="3" shapeId="0" xr:uid="{00000000-0006-0000-0E00-000001000000}">
      <text>
        <r>
          <rPr>
            <b/>
            <sz val="9"/>
            <color indexed="81"/>
            <rFont val="Tahoma"/>
            <family val="2"/>
          </rPr>
          <t>Minh Châu:</t>
        </r>
        <r>
          <rPr>
            <sz val="9"/>
            <color indexed="81"/>
            <rFont val="Tahoma"/>
            <family val="2"/>
          </rPr>
          <t xml:space="preserve">
giá báo cáo cũ được điều chỉnh</t>
        </r>
      </text>
    </comment>
    <comment ref="B39" authorId="4" shapeId="0" xr:uid="{00000000-0006-0000-0E00-000002000000}">
      <text>
        <r>
          <rPr>
            <b/>
            <sz val="9"/>
            <color indexed="81"/>
            <rFont val="Tahoma"/>
            <family val="2"/>
          </rPr>
          <t>Ma Tuan Minh Hien:
exclude B&amp;F</t>
        </r>
      </text>
    </comment>
    <comment ref="AH79" authorId="5" shapeId="0" xr:uid="{E81F9B5D-85C8-4B04-BEA4-1BCF6504F18E}">
      <text>
        <t>[Threaded comment]
Your version of Excel allows you to read this threaded comment; however, any edits to it will get removed if the file is opened in a newer version of Excel. Learn more: https://go.microsoft.com/fwlink/?linkid=870924
Comment:
    Bao gồm khoản phải thu từ cho vay ngắn hạn (BS) 2K+ TM số 9 khoản phải thu lãi tiền gửi và cho vay</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tc={1EED7347-66FD-4A38-9DC6-F15983677CA8}</author>
    <author>Minh Châu</author>
    <author>tc={3818844A-D305-4F18-91A4-BE032EDCFCB5}</author>
    <author>Pham Thi Minh Chau</author>
    <author>tc={B55222BC-07E9-474B-BC50-79FE62D95516}</author>
    <author>tc={BB1956CD-D2E5-4211-B4B7-E72D44C70B0C}</author>
  </authors>
  <commentList>
    <comment ref="F12" authorId="0" shapeId="0" xr:uid="{1EED7347-66FD-4A38-9DC6-F15983677CA8}">
      <text>
        <t xml:space="preserve">[Threaded comment]
Your version of Excel allows you to read this threaded comment; however, any edits to it will get removed if the file is opened in a newer version of Excel. Learn more: https://go.microsoft.com/fwlink/?linkid=870924
Comment:
    Bhx 200 tỷ +tgdđ+đmx
</t>
      </text>
    </comment>
    <comment ref="E18" authorId="1" shapeId="0" xr:uid="{39B23EE8-93F3-4382-BA21-C4390BAAD6CB}">
      <text>
        <r>
          <rPr>
            <b/>
            <sz val="9"/>
            <color indexed="81"/>
            <rFont val="Tahoma"/>
            <family val="2"/>
          </rPr>
          <t>Minh Châu:</t>
        </r>
        <r>
          <rPr>
            <sz val="9"/>
            <color indexed="81"/>
            <rFont val="Tahoma"/>
            <family val="2"/>
          </rPr>
          <t xml:space="preserve">
Thanh lý đóng CH BHX + an khang</t>
        </r>
      </text>
    </comment>
    <comment ref="H42" authorId="2" shapeId="0" xr:uid="{3818844A-D305-4F18-91A4-BE032EDCFCB5}">
      <text>
        <t>[Threaded comment]
Your version of Excel allows you to read this threaded comment; however, any edits to it will get removed if the file is opened in a newer version of Excel. Learn more: https://go.microsoft.com/fwlink/?linkid=870924
Comment:
    Đóng mở thay thế, naangg cấp ch</t>
      </text>
    </comment>
    <comment ref="H44" authorId="3" shapeId="0" xr:uid="{D833E72E-A45F-435C-8B4D-9B2FFA864862}">
      <text>
        <r>
          <rPr>
            <b/>
            <sz val="9"/>
            <color indexed="81"/>
            <rFont val="Tahoma"/>
            <family val="2"/>
          </rPr>
          <t>Pham Thi Minh Chau:</t>
        </r>
        <r>
          <rPr>
            <sz val="9"/>
            <color indexed="81"/>
            <rFont val="Tahoma"/>
            <family val="2"/>
          </rPr>
          <t xml:space="preserve">
500
</t>
        </r>
      </text>
    </comment>
    <comment ref="AK44" authorId="4" shapeId="0" xr:uid="{B55222BC-07E9-474B-BC50-79FE62D95516}">
      <text>
        <t>[Threaded comment]
Your version of Excel allows you to read this threaded comment; however, any edits to it will get removed if the file is opened in a newer version of Excel. Learn more: https://go.microsoft.com/fwlink/?linkid=870924
Comment:
    Chi phí nâng cấp/CH</t>
      </text>
    </comment>
    <comment ref="G46" authorId="5" shapeId="0" xr:uid="{BB1956CD-D2E5-4211-B4B7-E72D44C70B0C}">
      <text>
        <t>[Threaded comment]
Your version of Excel allows you to read this threaded comment; however, any edits to it will get removed if the file is opened in a newer version of Excel. Learn more: https://go.microsoft.com/fwlink/?linkid=870924
Comment:
    Capex dưới 500 tỷ, và capex cho 1 ch bhx là 1.2-2 tỷ
Reply:
    Cái này là mở mới BHX và revamp an khang</t>
      </text>
    </comment>
    <comment ref="E76" authorId="1" shapeId="0" xr:uid="{8C75E82C-BDED-4F54-A0C3-9661A833C5EF}">
      <text>
        <r>
          <rPr>
            <b/>
            <sz val="9"/>
            <color indexed="81"/>
            <rFont val="Tahoma"/>
            <family val="2"/>
          </rPr>
          <t>Minh Châu:</t>
        </r>
        <r>
          <rPr>
            <sz val="9"/>
            <color indexed="81"/>
            <rFont val="Tahoma"/>
            <family val="2"/>
          </rPr>
          <t xml:space="preserve">
Q3: Lãi trái phiếu 1 tỷ</t>
        </r>
      </text>
    </comment>
    <comment ref="A89" authorId="1" shapeId="0" xr:uid="{F5A5D22F-70B0-4BBC-B723-466DD2D1A29A}">
      <text>
        <r>
          <rPr>
            <b/>
            <sz val="9"/>
            <color indexed="81"/>
            <rFont val="Tahoma"/>
            <family val="2"/>
          </rPr>
          <t>Minh Châu:</t>
        </r>
        <r>
          <rPr>
            <sz val="9"/>
            <color indexed="81"/>
            <rFont val="Tahoma"/>
            <family val="2"/>
          </rPr>
          <t xml:space="preserve">
MWG USD  250,000,000  Unsecused  13/9/2025 13/9/2022 AfrAsia Bank Ltd, Australia &amp; New Zealand Banking Group, Bank of Panhsin, Bank of Taiwan/Vietnam, Banque Internationale de Commerce-Bred/S, CTBC Bank Co Ltd/Vietnam, Cathay United Bank Co Ltd/Vietnam, Chang Hwa Commercial Bank/Vietnam, First Commercial Bank, Hua Nan Commercial Bank Ltd/Vietnam, Kasikornbank PCL, Land Bank of Taiwan, Mizuho Bank Ltd/Vietnam, Oversea-Chinese Banking Corp, Shanghai Commercial &amp; Savings Bank Ltd, Sumitomo Mitsui Banking Corp/Ho Chi Minh, Taichung Commercial Bank Co Ltd/Vietnam, Union Bank Of Taiwan/Vietnam, Woori Bank/VietnamMWG syndicated loans nhận USD ngày 13/9</t>
        </r>
      </text>
    </comment>
    <comment ref="A92" authorId="1" shapeId="0" xr:uid="{C0AD570A-083B-4DEA-B957-B1F7CE060B1B}">
      <text>
        <r>
          <rPr>
            <b/>
            <sz val="9"/>
            <color indexed="81"/>
            <rFont val="Tahoma"/>
            <family val="2"/>
          </rPr>
          <t>Minh Châu:</t>
        </r>
        <r>
          <rPr>
            <sz val="9"/>
            <color indexed="81"/>
            <rFont val="Tahoma"/>
            <family val="2"/>
          </rPr>
          <t xml:space="preserve">
Financial income
• Per management, MWG invests in bonds with 3-6 month maturity, which were issued by large banks and 
backed by collaterals. Bonds with a value of VND 1.135 tn (out of the total of VND 1.611 tn) matured recently, 
and the company has collected the payments in full. 
• Regarding the foreign currency debt, as of 3Q22, MWG had foreign currency debt of USD 370 mn (USD 250 
mn and USD 120 mn) USD has appreciated by 8.7% YTD, hence dampening 4Q22 financial income notably. 
In late November, the company repaid USD 120 mn of loans, hence lessening the pressure from FX losses
in 2023. Interest rate hikes and debt restructuring to extend maturity will also hurt financial income. We 
estimate 2022 net financial costs at VND 227 bn while that of 2023 to decline to VND 95 bn thanks to the 
softer appreciation of USD and lower foreign currency debt balance.</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tc={E81F7AD9-7002-45A3-AE5B-7AF0BA697021}</author>
  </authors>
  <commentList>
    <comment ref="C98" authorId="0" shapeId="0" xr:uid="{E81F7AD9-7002-45A3-AE5B-7AF0BA697021}">
      <text>
        <t>[Threaded comment]
Your version of Excel allows you to read this threaded comment; however, any edits to it will get removed if the file is opened in a newer version of Excel. Learn more: https://go.microsoft.com/fwlink/?linkid=870924
Comment:
    Đmx mini</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tc={BDBDED0A-7836-4AA7-AB48-038658D2D661}</author>
    <author>tc={0C73B9C1-60AB-4F86-9FCE-0775CBF82A20}</author>
    <author>tc={FC30B159-5CFA-4AAD-B549-17971449A5E0}</author>
    <author>tc={E0BEED40-F195-4488-9001-A39E8239A157}</author>
    <author>tc={CBD0B91E-07DC-41F2-BC06-45A69FDD2D15}</author>
    <author>tc={175F9BF4-903E-49F4-95F7-9EB27D24B41D}</author>
  </authors>
  <commentList>
    <comment ref="D10" authorId="0" shapeId="0" xr:uid="{BDBDED0A-7836-4AA7-AB48-038658D2D661}">
      <text>
        <t>[Threaded comment]
Your version of Excel allows you to read this threaded comment; however, any edits to it will get removed if the file is opened in a newer version of Excel. Learn more: https://go.microsoft.com/fwlink/?linkid=870924
Comment:
    THÁNG 12/2018 đạt điểm hòa vốn EBITDA tại cửa hàng</t>
      </text>
    </comment>
    <comment ref="E10" authorId="1" shapeId="0" xr:uid="{0C73B9C1-60AB-4F86-9FCE-0775CBF82A20}">
      <text>
        <t>[Threaded comment]
Your version of Excel allows you to read this threaded comment; however, any edits to it will get removed if the file is opened in a newer version of Excel. Learn more: https://go.microsoft.com/fwlink/?linkid=870924
Comment:
    Kết hợp bá nđồ gia dụng
Reply:
    Lãi EBITDA cửa hàng</t>
      </text>
    </comment>
    <comment ref="F10" authorId="2" shapeId="0" xr:uid="{FC30B159-5CFA-4AAD-B549-17971449A5E0}">
      <text>
        <t>[Threaded comment]
Your version of Excel allows you to read this threaded comment; however, any edits to it will get removed if the file is opened in a newer version of Excel. Learn more: https://go.microsoft.com/fwlink/?linkid=870924
Comment:
    Lãi ebita sau DC</t>
      </text>
    </comment>
    <comment ref="G10" authorId="3" shapeId="0" xr:uid="{E0BEED40-F195-4488-9001-A39E8239A157}">
      <text>
        <t xml:space="preserve">[Threaded comment]
Your version of Excel allows you to read this threaded comment; however, any edits to it will get removed if the file is opened in a newer version of Excel. Learn more: https://go.microsoft.com/fwlink/?linkid=870924
Comment:
    Lãi ebitda toàn công ty
</t>
      </text>
    </comment>
    <comment ref="A44" authorId="4" shapeId="0" xr:uid="{CBD0B91E-07DC-41F2-BC06-45A69FDD2D15}">
      <text>
        <t>[Threaded comment]
Your version of Excel allows you to read this threaded comment; however, any edits to it will get removed if the file is opened in a newer version of Excel. Learn more: https://go.microsoft.com/fwlink/?linkid=870924
Comment:
    The Company started its commercial operations focusing in trading of cigarette
products in 1989. Starting 2002, the Company started its retail distribution of consumer
products by operating mini-market networks
and franchise services, under the name
“Alfamart” which are located at several areas
in Jakarta, Cileungsi, Tangerang, Cikarang,
Bandung, Sidoarjo, Cirebon, Cilacap,
Semarang, Lampung, Malang, Bali, Klaten,
Makassar, Balaraja, Palembang, Bogor,
Medan, Banjarmasin, Jambi, Pekanbaru,
Pontianak, Manado, Lombok, Rembang,
Karawang, Batam, Plumbon, Serang, Cianjur,
Bekasi, Cikokol, Jember and Kota Bumi.</t>
      </text>
    </comment>
    <comment ref="B44" authorId="5" shapeId="0" xr:uid="{175F9BF4-903E-49F4-95F7-9EB27D24B41D}">
      <text>
        <t>[Threaded comment]
Your version of Excel allows you to read this threaded comment; however, any edits to it will get removed if the file is opened in a newer version of Excel. Learn more: https://go.microsoft.com/fwlink/?linkid=870924
Comment:
    As of Sep 2022, we managed 44 warehouses, 10 Depos, 12 Store Hubs.
scattered throughout Indonesia</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Ma Tuan Minh Hien</author>
  </authors>
  <commentList>
    <comment ref="D31" authorId="0" shapeId="0" xr:uid="{00000000-0006-0000-1200-000001000000}">
      <text>
        <r>
          <rPr>
            <b/>
            <sz val="9"/>
            <color indexed="81"/>
            <rFont val="Tahoma"/>
            <family val="2"/>
          </rPr>
          <t>Ma Tuan Minh Hien:</t>
        </r>
        <r>
          <rPr>
            <sz val="9"/>
            <color indexed="81"/>
            <rFont val="Tahoma"/>
            <family val="2"/>
          </rPr>
          <t xml:space="preserve">
Adjusted Beta PNJ BBG
</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Query - rev ce (3)" description="Connection to the 'rev ce (3)' query in the workbook." type="5" refreshedVersion="8" background="1" saveData="1">
    <dbPr connection="Provider=Microsoft.Mashup.OleDb.1;Data Source=$Workbook$;Location=&quot;rev ce (3)&quot;;Extended Properties=&quot;&quot;" command="SELECT * FROM [rev ce (3)]"/>
  </connection>
  <connection id="2" xr16:uid="{00000000-0015-0000-FFFF-FFFF01000000}" keepAlive="1" name="Query - tinh_mwg (2)" description="Connection to the 'tinh_mwg (2)' query in the workbook." type="5" refreshedVersion="7" background="1" saveData="1">
    <dbPr connection="Provider=Microsoft.Mashup.OleDb.1;Data Source=$Workbook$;Location=&quot;tinh_mwg (2)&quot;;Extended Properties=&quot;&quot;" command="SELECT * FROM [tinh_mwg (2)]"/>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RICHVALUE"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futureMetadata name="XLRICHVALUE" count="8">
    <bk>
      <extLst>
        <ext uri="{3e2802c4-a4d2-4d8b-9148-e3be6c30e623}">
          <xlrd:rvb i="1"/>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futureMetadata>
  <futureMetadata name="XLDAPR" count="1">
    <bk>
      <extLst>
        <ext uri="{bdbb8cdc-fa1e-496e-a857-3c3f30c029c3}">
          <xda:dynamicArrayProperties fDynamic="1" fCollapsed="0"/>
        </ext>
      </extLst>
    </bk>
  </futureMetadata>
  <cellMetadata count="1">
    <bk>
      <rc t="2" v="0"/>
    </bk>
  </cellMetadata>
  <valueMetadata count="8">
    <bk>
      <rc t="1" v="0"/>
    </bk>
    <bk>
      <rc t="1" v="1"/>
    </bk>
    <bk>
      <rc t="1" v="2"/>
    </bk>
    <bk>
      <rc t="1" v="3"/>
    </bk>
    <bk>
      <rc t="1" v="4"/>
    </bk>
    <bk>
      <rc t="1" v="5"/>
    </bk>
    <bk>
      <rc t="1" v="6"/>
    </bk>
    <bk>
      <rc t="1" v="7"/>
    </bk>
  </valueMetadata>
</metadata>
</file>

<file path=xl/sharedStrings.xml><?xml version="1.0" encoding="utf-8"?>
<sst xmlns="http://schemas.openxmlformats.org/spreadsheetml/2006/main" count="5676" uniqueCount="2913">
  <si>
    <t>Quan điểm BSC</t>
  </si>
  <si>
    <t>2025e</t>
  </si>
  <si>
    <t>2026F</t>
  </si>
  <si>
    <t>DMX</t>
  </si>
  <si>
    <t>SLCH</t>
  </si>
  <si>
    <t>DT/CH/Tháng</t>
  </si>
  <si>
    <t>DT/CH</t>
  </si>
  <si>
    <t>BHX</t>
  </si>
  <si>
    <t>LNTT</t>
  </si>
  <si>
    <t>LNST</t>
  </si>
  <si>
    <t>12018</t>
  </si>
  <si>
    <t>22018</t>
  </si>
  <si>
    <t>32018</t>
  </si>
  <si>
    <t>42018</t>
  </si>
  <si>
    <t>12019</t>
  </si>
  <si>
    <t>22019</t>
  </si>
  <si>
    <t>32019</t>
  </si>
  <si>
    <t>42019</t>
  </si>
  <si>
    <t>12020</t>
  </si>
  <si>
    <t>22020</t>
  </si>
  <si>
    <t>32020</t>
  </si>
  <si>
    <t>42020</t>
  </si>
  <si>
    <t>12021</t>
  </si>
  <si>
    <t>22021</t>
  </si>
  <si>
    <t>32021</t>
  </si>
  <si>
    <t>42021</t>
  </si>
  <si>
    <t>22024</t>
  </si>
  <si>
    <t>BREAKDOWN REV BY MONTH</t>
  </si>
  <si>
    <t>Jan-2022 &amp; Feb-2022</t>
  </si>
  <si>
    <t>May&amp;Jun-22</t>
  </si>
  <si>
    <t>DTT</t>
  </si>
  <si>
    <t>%YoY</t>
  </si>
  <si>
    <t>Weight</t>
  </si>
  <si>
    <t>Number of store</t>
  </si>
  <si>
    <t>(+/-)</t>
  </si>
  <si>
    <t>Average REV per store (bnVND/Store)</t>
  </si>
  <si>
    <t>Topzone</t>
  </si>
  <si>
    <t>CE (ĐMX)</t>
  </si>
  <si>
    <t>DMS</t>
  </si>
  <si>
    <t>Mobil+CE</t>
  </si>
  <si>
    <t>Grocery (BHX)</t>
  </si>
  <si>
    <t>REV LFL</t>
  </si>
  <si>
    <t>LFL</t>
  </si>
  <si>
    <t>(%)</t>
  </si>
  <si>
    <t>No of LFL</t>
  </si>
  <si>
    <t>REV new store</t>
  </si>
  <si>
    <t>No of New store (+)</t>
  </si>
  <si>
    <t>Rev _new store</t>
  </si>
  <si>
    <t>An Khang</t>
  </si>
  <si>
    <t>Khác</t>
  </si>
  <si>
    <t>NPAT</t>
  </si>
  <si>
    <t>NPAT Margin (%)</t>
  </si>
  <si>
    <t>2023</t>
  </si>
  <si>
    <t>2024</t>
  </si>
  <si>
    <t>2025</t>
  </si>
  <si>
    <t>Năm 1</t>
  </si>
  <si>
    <t>Thời gian</t>
  </si>
  <si>
    <t>năm 2</t>
  </si>
  <si>
    <t>năm 3</t>
  </si>
  <si>
    <t>mới  mở</t>
  </si>
  <si>
    <t>Mới mở</t>
  </si>
  <si>
    <t>Lỗ BHX+Khác</t>
  </si>
  <si>
    <t>tăng DT</t>
  </si>
  <si>
    <t>hòa vốn ebida</t>
  </si>
  <si>
    <t xml:space="preserve">hòa vốn ebida </t>
  </si>
  <si>
    <t>hòa vốn hđ</t>
  </si>
  <si>
    <t>Mở mới CH</t>
  </si>
  <si>
    <t>có lãi</t>
  </si>
  <si>
    <t>SLCH_TGDĐ</t>
  </si>
  <si>
    <t>ADJUTED</t>
  </si>
  <si>
    <t>Biên LN &lt;MAX&gt;</t>
  </si>
  <si>
    <t>Biên LN &lt;MIN&gt;</t>
  </si>
  <si>
    <t>Breakdown Revenue</t>
  </si>
  <si>
    <t>Core business</t>
  </si>
  <si>
    <t>Kế hoạch kinh doanh 2023</t>
  </si>
  <si>
    <t>Q1/2018</t>
  </si>
  <si>
    <t>Q2/2018</t>
  </si>
  <si>
    <t>Q3/2018</t>
  </si>
  <si>
    <t>Q4/2018</t>
  </si>
  <si>
    <t>Q1/2019</t>
  </si>
  <si>
    <t>Q2/2019</t>
  </si>
  <si>
    <t>Q3/2019</t>
  </si>
  <si>
    <t>Q4/2019</t>
  </si>
  <si>
    <t>Q1/2020</t>
  </si>
  <si>
    <t>Q2/2020</t>
  </si>
  <si>
    <t>Q3/2020</t>
  </si>
  <si>
    <t>Q4/2020</t>
  </si>
  <si>
    <t>Q1/2021</t>
  </si>
  <si>
    <t>Q2/2021</t>
  </si>
  <si>
    <t>Q3/2021</t>
  </si>
  <si>
    <t>Q4/2021</t>
  </si>
  <si>
    <t>Q1/2022</t>
  </si>
  <si>
    <t>Q2/2022</t>
  </si>
  <si>
    <t>Q3/2022</t>
  </si>
  <si>
    <t>Q4/2022</t>
  </si>
  <si>
    <t>Q1/2023</t>
  </si>
  <si>
    <t>Q2/2023</t>
  </si>
  <si>
    <t>Q3/2023</t>
  </si>
  <si>
    <t>Q4/2023</t>
  </si>
  <si>
    <t>Q1/2024</t>
  </si>
  <si>
    <t>Q2/2024</t>
  </si>
  <si>
    <t>Q3/2024</t>
  </si>
  <si>
    <t>Q4/2024</t>
  </si>
  <si>
    <t>Q1/2025</t>
  </si>
  <si>
    <t>Q2/2025</t>
  </si>
  <si>
    <t>Q3/2025</t>
  </si>
  <si>
    <t>Q4/2025</t>
  </si>
  <si>
    <t>Q1/2026</t>
  </si>
  <si>
    <t>Q2/2026</t>
  </si>
  <si>
    <t>Q3/2026</t>
  </si>
  <si>
    <t>Q4/2026</t>
  </si>
  <si>
    <t>Q1/2027</t>
  </si>
  <si>
    <t>Q2/2027</t>
  </si>
  <si>
    <t>Q3/2027</t>
  </si>
  <si>
    <t>Q4/2027</t>
  </si>
  <si>
    <t>Q1/2028</t>
  </si>
  <si>
    <t>Q2/2028</t>
  </si>
  <si>
    <t>Q3/2028</t>
  </si>
  <si>
    <t>Q4/2028</t>
  </si>
  <si>
    <t>Q1/2029</t>
  </si>
  <si>
    <t>Q2/2029</t>
  </si>
  <si>
    <t>Q3/2029</t>
  </si>
  <si>
    <t>Q4/2029</t>
  </si>
  <si>
    <t>Q1/2030</t>
  </si>
  <si>
    <t>Q2/2030</t>
  </si>
  <si>
    <t>Q3/2030</t>
  </si>
  <si>
    <t>Q4/2030</t>
  </si>
  <si>
    <t>Q1/2031</t>
  </si>
  <si>
    <t>Q2/2031</t>
  </si>
  <si>
    <t>Q3/2031</t>
  </si>
  <si>
    <t>Q4/2031</t>
  </si>
  <si>
    <t>Q1/2032</t>
  </si>
  <si>
    <t>Q2/2032</t>
  </si>
  <si>
    <t>Q3/2032</t>
  </si>
  <si>
    <t>Q4/2032</t>
  </si>
  <si>
    <t>Q1/2033</t>
  </si>
  <si>
    <t>Q2/2033</t>
  </si>
  <si>
    <t>Q3/2033</t>
  </si>
  <si>
    <t>Q4/2033</t>
  </si>
  <si>
    <t>Q1/2034</t>
  </si>
  <si>
    <t>Q2/2034</t>
  </si>
  <si>
    <t>Q3/2034</t>
  </si>
  <si>
    <t>Q4/2034</t>
  </si>
  <si>
    <t>Q1/2035</t>
  </si>
  <si>
    <t>Q2/2035</t>
  </si>
  <si>
    <t>Q3/2035</t>
  </si>
  <si>
    <t>Q4/2035</t>
  </si>
  <si>
    <t>Q1/2036</t>
  </si>
  <si>
    <t>Q2/2036</t>
  </si>
  <si>
    <t>Q3/2036</t>
  </si>
  <si>
    <t>Q4/2036</t>
  </si>
  <si>
    <t>Q1/2037</t>
  </si>
  <si>
    <t>Q2/2037</t>
  </si>
  <si>
    <t>Q3/2037</t>
  </si>
  <si>
    <t>Q4/2037</t>
  </si>
  <si>
    <t>Net revenue</t>
  </si>
  <si>
    <t>Mobile (TGDĐ)</t>
  </si>
  <si>
    <t>DT online</t>
  </si>
  <si>
    <t>Gross profit</t>
  </si>
  <si>
    <t>GPM (%)</t>
  </si>
  <si>
    <t>khác biệt do hạch toán</t>
  </si>
  <si>
    <t xml:space="preserve">Selling cost </t>
  </si>
  <si>
    <t>G&amp;A cost</t>
  </si>
  <si>
    <t>SG&amp;A cost</t>
  </si>
  <si>
    <t>SG&amp;A/REV (%)</t>
  </si>
  <si>
    <t>Lỗ công ty con</t>
  </si>
  <si>
    <t>Bluetronic / Erablue</t>
  </si>
  <si>
    <t>An khang</t>
  </si>
  <si>
    <t>AVA + tận tâm + Logistic Toàn Tín + oneofff</t>
  </si>
  <si>
    <t>DTTC</t>
  </si>
  <si>
    <t>CPTC</t>
  </si>
  <si>
    <t>Thu nhập khác</t>
  </si>
  <si>
    <t>Lãi của TGDĐ+DMX</t>
  </si>
  <si>
    <t>DT/CH (Tỷ đồng)</t>
  </si>
  <si>
    <t>SSSG (%)</t>
  </si>
  <si>
    <t>DT/CH/tháng</t>
  </si>
  <si>
    <t>Số lượng CH</t>
  </si>
  <si>
    <t>Mở mới/đóng CH</t>
  </si>
  <si>
    <t>Đóng cửa</t>
  </si>
  <si>
    <t>Biên lợi nhuận gộp</t>
  </si>
  <si>
    <t>GPM(%)</t>
  </si>
  <si>
    <t>Mobil &amp;CE</t>
  </si>
  <si>
    <t>SG&amp;A</t>
  </si>
  <si>
    <t>Labor cost</t>
  </si>
  <si>
    <t>DEP</t>
  </si>
  <si>
    <t>Others</t>
  </si>
  <si>
    <t>Operating profit</t>
  </si>
  <si>
    <t>Interest in the period</t>
  </si>
  <si>
    <t>EBT</t>
  </si>
  <si>
    <t>Tax</t>
  </si>
  <si>
    <t>Tax rate(%)</t>
  </si>
  <si>
    <t>Biên LNHĐ</t>
  </si>
  <si>
    <t>Mở/đóng CH</t>
  </si>
  <si>
    <t>GP - Shrinkage cots (Exclude)</t>
  </si>
  <si>
    <t>Thuê mặt bằng</t>
  </si>
  <si>
    <t xml:space="preserve">Nhân viên (9-10 người) </t>
  </si>
  <si>
    <t>Điện nước+ nhiên liệu</t>
  </si>
  <si>
    <t>tiền điện/CH/năm</t>
  </si>
  <si>
    <t>Khấu hao</t>
  </si>
  <si>
    <t>(-) CP đóng CH</t>
  </si>
  <si>
    <t>Logistic cost</t>
  </si>
  <si>
    <t>EBIT</t>
  </si>
  <si>
    <t>Interest</t>
  </si>
  <si>
    <t>Margin</t>
  </si>
  <si>
    <t>Lỗ  lũy kế =&gt; giảm thuế</t>
  </si>
  <si>
    <t>EBITDA</t>
  </si>
  <si>
    <t>BEP per store/ months</t>
  </si>
  <si>
    <t>DT/CH_ hòa vốn EBITDA</t>
  </si>
  <si>
    <t>EBITDA CH</t>
  </si>
  <si>
    <t>DT/CH_Hòa vốn NPAT</t>
  </si>
  <si>
    <t>EBIT CH</t>
  </si>
  <si>
    <t>Cơ cấu ngành hàng</t>
  </si>
  <si>
    <t>Traffic per store( '000/month)</t>
  </si>
  <si>
    <t>Hàng tươi sống</t>
  </si>
  <si>
    <t>FMCG</t>
  </si>
  <si>
    <t>Cửa hàng</t>
  </si>
  <si>
    <t>&gt;500M2</t>
  </si>
  <si>
    <t>&lt;500M2</t>
  </si>
  <si>
    <t>Điện nước</t>
  </si>
  <si>
    <t>CAPEX/CH</t>
  </si>
  <si>
    <t>CP đóng CH</t>
  </si>
  <si>
    <t xml:space="preserve"> Debt</t>
  </si>
  <si>
    <t>CP/CH (Tỷ)</t>
  </si>
  <si>
    <t>%weight of inventory</t>
  </si>
  <si>
    <t>Interest rate(%)</t>
  </si>
  <si>
    <t>Total Market</t>
  </si>
  <si>
    <t>2022E</t>
  </si>
  <si>
    <t>Total Market (trillion)</t>
  </si>
  <si>
    <t>% yoy</t>
  </si>
  <si>
    <t>Mobile Sales</t>
  </si>
  <si>
    <t>Marketshare (%)</t>
  </si>
  <si>
    <t>CE Sales</t>
  </si>
  <si>
    <t>FMCG  Sales</t>
  </si>
  <si>
    <t>Pharmacy Sales</t>
  </si>
  <si>
    <t>Iphone</t>
  </si>
  <si>
    <t>Pharmacity (An Khang)</t>
  </si>
  <si>
    <t>%SG&amp;A/REV</t>
  </si>
  <si>
    <t>EBT_MWG</t>
  </si>
  <si>
    <t>Khác (ava +tận tâm+logistic)</t>
  </si>
  <si>
    <t>REV</t>
  </si>
  <si>
    <t>No of stores</t>
  </si>
  <si>
    <t>rev per store</t>
  </si>
  <si>
    <t>GP</t>
  </si>
  <si>
    <t>GPM</t>
  </si>
  <si>
    <t>SG&amp;A/REV</t>
  </si>
  <si>
    <t>TAX</t>
  </si>
  <si>
    <t>Lãi TGDĐ+DMX</t>
  </si>
  <si>
    <t>Lỗ BHX+công ty con</t>
  </si>
  <si>
    <t>Chênh lệch thuế</t>
  </si>
  <si>
    <t>Lãi lỗ tài chính</t>
  </si>
  <si>
    <t>Breakdown DT theo ngành hàng</t>
  </si>
  <si>
    <t>Mobil+ accessory</t>
  </si>
  <si>
    <t>CE</t>
  </si>
  <si>
    <t>FMCGs</t>
  </si>
  <si>
    <t>Hàng tồn kho</t>
  </si>
  <si>
    <t>Thiết bị điện tử</t>
  </si>
  <si>
    <t>Điện thoại di động</t>
  </si>
  <si>
    <t>Thiết bị gia dụng</t>
  </si>
  <si>
    <t>Máy tính xách tay</t>
  </si>
  <si>
    <t>Phụ kiện</t>
  </si>
  <si>
    <t>Đồng hồ , mắt kính</t>
  </si>
  <si>
    <t>Vật tư , lắp đặt</t>
  </si>
  <si>
    <t>Xe điện</t>
  </si>
  <si>
    <t>Máy tính bảng</t>
  </si>
  <si>
    <t>Số ngày tồn kho (Mobil+CE)</t>
  </si>
  <si>
    <t>Thực phẩm khô , thực phẩm tươi sống ,</t>
  </si>
  <si>
    <t>Hóa mỹ phẩm</t>
  </si>
  <si>
    <t>Số ngày tồn kho FMCGs</t>
  </si>
  <si>
    <t>Thời trang</t>
  </si>
  <si>
    <t>Thẻ cào</t>
  </si>
  <si>
    <t>Hàng đang chuyển</t>
  </si>
  <si>
    <t>Hàng hóa khác</t>
  </si>
  <si>
    <t>Depreciation cost</t>
  </si>
  <si>
    <t>Nhà cửa/kiến trúc</t>
  </si>
  <si>
    <t>Thiết bị văn phòng</t>
  </si>
  <si>
    <t>Depreciation cost per store</t>
  </si>
  <si>
    <t>Total Store</t>
  </si>
  <si>
    <t>Mobil</t>
  </si>
  <si>
    <t>Grocery</t>
  </si>
  <si>
    <t>Pharma</t>
  </si>
  <si>
    <t xml:space="preserve">Depreciation cost cho BHX </t>
  </si>
  <si>
    <t>Tỷ lệ depreciation cost BHX/Rev</t>
  </si>
  <si>
    <t xml:space="preserve">SG&amp;A </t>
  </si>
  <si>
    <t>SG&amp;A/Rev</t>
  </si>
  <si>
    <t>Lỗ ròng</t>
  </si>
  <si>
    <t xml:space="preserve">CAPEX </t>
  </si>
  <si>
    <t>Nhân viên</t>
  </si>
  <si>
    <t>CTCP TGDĐ</t>
  </si>
  <si>
    <t>CTCP TM BHX</t>
  </si>
  <si>
    <t>CTTNHH MTV CNTT TGDĐ</t>
  </si>
  <si>
    <t>CTCP DV TẬN TÂM</t>
  </si>
  <si>
    <t>CTCP BL AN KHANG</t>
  </si>
  <si>
    <t>CTCP4K FARM</t>
  </si>
  <si>
    <t>Tổng số nhân viên</t>
  </si>
  <si>
    <t>ICT+CE</t>
  </si>
  <si>
    <t>lương tb người/ tháng</t>
  </si>
  <si>
    <t>Số lượng người/ch ICT+CE</t>
  </si>
  <si>
    <t>Số lượng người/ch Grocery</t>
  </si>
  <si>
    <t>Số lượng người/ch An khang</t>
  </si>
  <si>
    <t>Chi phí đi thuê CH/ tháng</t>
  </si>
  <si>
    <t>Đến 1 năm</t>
  </si>
  <si>
    <t>từ 1-5 năm</t>
  </si>
  <si>
    <t>Chi phí điện nước</t>
  </si>
  <si>
    <t>trên 5 năm</t>
  </si>
  <si>
    <t>SLCH mới</t>
  </si>
  <si>
    <t>CP mở 1 CH</t>
  </si>
  <si>
    <t>capex</t>
  </si>
  <si>
    <t>PT Era Blu Elektronik</t>
  </si>
  <si>
    <t>Doanh thu IDR</t>
  </si>
  <si>
    <t>Lãi/lỗ</t>
  </si>
  <si>
    <t>Tỷ giá</t>
  </si>
  <si>
    <t>Doanh thu</t>
  </si>
  <si>
    <t>LNG</t>
  </si>
  <si>
    <t>Biên LNG</t>
  </si>
  <si>
    <t>SGnA</t>
  </si>
  <si>
    <t>LNHĐ</t>
  </si>
  <si>
    <t>Mở mới</t>
  </si>
  <si>
    <t>LN mang về MWG</t>
  </si>
  <si>
    <t>Định giá</t>
  </si>
  <si>
    <t>Discounted</t>
  </si>
  <si>
    <t>Date</t>
  </si>
  <si>
    <t>PNJ</t>
  </si>
  <si>
    <t>BSC Dự báo</t>
  </si>
  <si>
    <t>KQKD (Tỷ đồng)</t>
  </si>
  <si>
    <t>LCTT (Tỷ đồng)</t>
  </si>
  <si>
    <t xml:space="preserve">Doanh thu thuần </t>
  </si>
  <si>
    <t>LNTT (lãi/lỗ)</t>
  </si>
  <si>
    <t xml:space="preserve">Giá vốn hàng bán </t>
  </si>
  <si>
    <t xml:space="preserve">Khấu hao và phân bổ </t>
  </si>
  <si>
    <t>Lợi nhuận gộp</t>
  </si>
  <si>
    <t>Thay đổi vốn lưu động</t>
  </si>
  <si>
    <t>Chi phí bán hàng</t>
  </si>
  <si>
    <t>Điều chỉnh khác</t>
  </si>
  <si>
    <t>Chi phí QLDN</t>
  </si>
  <si>
    <t>LCTT từ HĐ KD</t>
  </si>
  <si>
    <t>Lãi/lỗ HĐKD</t>
  </si>
  <si>
    <t xml:space="preserve">Doanh thu tài chính </t>
  </si>
  <si>
    <t>Tiền chi mua TSCĐ</t>
  </si>
  <si>
    <t>Chi phí tài chính</t>
  </si>
  <si>
    <t>Đầu tư khác</t>
  </si>
  <si>
    <t>Chi phí lãi vay</t>
  </si>
  <si>
    <t>LCTT từ HĐ Đầu tư</t>
  </si>
  <si>
    <t>Lợi nhuận từ CTLD/LK</t>
  </si>
  <si>
    <t xml:space="preserve">- </t>
  </si>
  <si>
    <t>Lãi/lỗ khác</t>
  </si>
  <si>
    <t>Tiền chi trả cổ tức</t>
  </si>
  <si>
    <t>Lợi nhuận trước thuế</t>
  </si>
  <si>
    <t>Tiền từ vay ròng</t>
  </si>
  <si>
    <t>Thuế thu nhập DN</t>
  </si>
  <si>
    <t>Tiền thu khác</t>
  </si>
  <si>
    <t>LN sau thuế</t>
  </si>
  <si>
    <t>LCTT từ HĐ Tài chính</t>
  </si>
  <si>
    <t>CĐTS</t>
  </si>
  <si>
    <t>LNST - CĐTS</t>
  </si>
  <si>
    <t xml:space="preserve">Dòng tiền đầu kỳ </t>
  </si>
  <si>
    <t>Tiền trong kì</t>
  </si>
  <si>
    <t>EPS</t>
  </si>
  <si>
    <t>Dòng tiền cuối kỳ</t>
  </si>
  <si>
    <t>CĐKT (Tỷ đồng)</t>
  </si>
  <si>
    <t>Chỉ số (%)</t>
  </si>
  <si>
    <t>Tiền và tương đương tiền</t>
  </si>
  <si>
    <t>Khả năng thanh toán</t>
  </si>
  <si>
    <t xml:space="preserve">Đầu tư ngắn hạn </t>
  </si>
  <si>
    <t>Hsố TT ngắn hạn</t>
  </si>
  <si>
    <t>P/E (x)</t>
  </si>
  <si>
    <t xml:space="preserve">Phải thu ngắn hạn </t>
  </si>
  <si>
    <t>Hsố TT nhanh</t>
  </si>
  <si>
    <t>P/B (x)</t>
  </si>
  <si>
    <t>Tồn kho</t>
  </si>
  <si>
    <t>ROA (%)</t>
  </si>
  <si>
    <t>TS ngắn hạn khác</t>
  </si>
  <si>
    <t>Cơ cấu vốn</t>
  </si>
  <si>
    <t>ROE (%)</t>
  </si>
  <si>
    <t>TS ngắn hạn</t>
  </si>
  <si>
    <t>Hsố Nợ/TTS</t>
  </si>
  <si>
    <t>Tăng trưởng EPS</t>
  </si>
  <si>
    <t>TS hữu hình, ròng</t>
  </si>
  <si>
    <t>Hsố Nợ/VCSH</t>
  </si>
  <si>
    <t>Nợ ròng/ VCSH</t>
  </si>
  <si>
    <t>Khấu hao lũy kế</t>
  </si>
  <si>
    <t xml:space="preserve">ĐT dài hạn </t>
  </si>
  <si>
    <t>Số ngày HTK</t>
  </si>
  <si>
    <t>TS dài hạn khác</t>
  </si>
  <si>
    <t>Số ngày phải thu</t>
  </si>
  <si>
    <t>TS dài hạn</t>
  </si>
  <si>
    <t>Số ngày phải trả</t>
  </si>
  <si>
    <t>Tổng TS</t>
  </si>
  <si>
    <t>CCC</t>
  </si>
  <si>
    <t>Nợ phải trả</t>
  </si>
  <si>
    <t>Vay ngắn hạn</t>
  </si>
  <si>
    <t xml:space="preserve">Lợi nhuận gộp </t>
  </si>
  <si>
    <t>2025E</t>
  </si>
  <si>
    <t>Nợ ngắn hạn khác</t>
  </si>
  <si>
    <t>Lợi nhuận LNST</t>
  </si>
  <si>
    <t>Doanh thu thuần</t>
  </si>
  <si>
    <t>Net Revenue</t>
  </si>
  <si>
    <t>Doanh thu thuần </t>
  </si>
  <si>
    <t xml:space="preserve">Tổng Nợ ngắn hạn </t>
  </si>
  <si>
    <t>ROE</t>
  </si>
  <si>
    <t>Vay dài hạn</t>
  </si>
  <si>
    <t>ROA</t>
  </si>
  <si>
    <t>P/S (X)</t>
  </si>
  <si>
    <t>NPATMI</t>
  </si>
  <si>
    <t>NPAT-MI</t>
  </si>
  <si>
    <t>LNST-CĐTS</t>
  </si>
  <si>
    <t>Tổng Nợ dài hạn</t>
  </si>
  <si>
    <t xml:space="preserve">Tổng Nợ </t>
  </si>
  <si>
    <t>Định Giá</t>
  </si>
  <si>
    <t>Vốn góp</t>
  </si>
  <si>
    <t>PE</t>
  </si>
  <si>
    <t>EPS's growth</t>
  </si>
  <si>
    <t xml:space="preserve">Thặng dư vốn cổ phần </t>
  </si>
  <si>
    <t>PB</t>
  </si>
  <si>
    <t>EQY_FUND_CRNCY</t>
  </si>
  <si>
    <t>REL_INDEX</t>
  </si>
  <si>
    <t>FA_ADJUSTED</t>
  </si>
  <si>
    <t>LN chưa phân phối</t>
  </si>
  <si>
    <t>VND</t>
  </si>
  <si>
    <t>ADJUSTED</t>
  </si>
  <si>
    <t>Cổ đông thiểu số</t>
  </si>
  <si>
    <t>Tăng trưởng DTT</t>
  </si>
  <si>
    <t>Ticker</t>
  </si>
  <si>
    <t>Name</t>
  </si>
  <si>
    <t>Curr Adj Mkt Cap</t>
  </si>
  <si>
    <t>P/E</t>
  </si>
  <si>
    <t>P/B</t>
  </si>
  <si>
    <t>P/S</t>
  </si>
  <si>
    <t>ROE LF</t>
  </si>
  <si>
    <t>ROA LF</t>
  </si>
  <si>
    <t>EV/EBITDA T12M</t>
  </si>
  <si>
    <t>Overridable Adjusted Beta</t>
  </si>
  <si>
    <t>Tổng Vốn chủ sở hữu</t>
  </si>
  <si>
    <t>Tăng trưởng EBIT</t>
  </si>
  <si>
    <t>Median</t>
  </si>
  <si>
    <t>Tổng nguồn vốn</t>
  </si>
  <si>
    <t>Tăng trưởng LNTT</t>
  </si>
  <si>
    <t>JBH AU Equity</t>
  </si>
  <si>
    <t>JB HI-FI LTD</t>
  </si>
  <si>
    <t>Số lượng cổ phiếu lưu hành</t>
  </si>
  <si>
    <t>9831 JP Equity</t>
  </si>
  <si>
    <t>YAMADA HOLDINGS CO LTD</t>
  </si>
  <si>
    <t>Nguồn: BSC Research</t>
  </si>
  <si>
    <t>8282 JP Equity</t>
  </si>
  <si>
    <t>K'S HOLDINGS CORP</t>
  </si>
  <si>
    <t>3048 JP Equity</t>
  </si>
  <si>
    <t>BIC CAMERA INC</t>
  </si>
  <si>
    <t>2730 JP Equity</t>
  </si>
  <si>
    <t>EDION CORP</t>
  </si>
  <si>
    <t>7419 JP Equity</t>
  </si>
  <si>
    <t>NOJIMA CORP</t>
  </si>
  <si>
    <t>Nguồn: BSC Research.</t>
  </si>
  <si>
    <t>3738 JP Equity</t>
  </si>
  <si>
    <t>T-GAIA CORP</t>
  </si>
  <si>
    <t>8173 JP Equity</t>
  </si>
  <si>
    <t>JOSHIN DENKI CO LTD</t>
  </si>
  <si>
    <t>7513 JP Equity</t>
  </si>
  <si>
    <t>KOJIMA CO LTD</t>
  </si>
  <si>
    <t>9441 JP Equity</t>
  </si>
  <si>
    <t>BELL-PARK CO LTD</t>
  </si>
  <si>
    <t>8202 JP Equity</t>
  </si>
  <si>
    <t>LAOX HOLDINGS CO LTD</t>
  </si>
  <si>
    <t>#N/A N/A</t>
  </si>
  <si>
    <t>CHLG SP Equity</t>
  </si>
  <si>
    <t>CHALLENGER TECHNOLOGIES LTD</t>
  </si>
  <si>
    <t>2674 JP Equity</t>
  </si>
  <si>
    <t>HARD OFF CORPORATION CO LTD</t>
  </si>
  <si>
    <t>6033 HK Equity</t>
  </si>
  <si>
    <t>TELECOM DIGITAL HOLDINGS LTD</t>
  </si>
  <si>
    <t>7618 JP Equity</t>
  </si>
  <si>
    <t>PC DEPOT CORP</t>
  </si>
  <si>
    <t>Total Assets</t>
  </si>
  <si>
    <t>Excess Cash</t>
  </si>
  <si>
    <t>Other Current Assets</t>
  </si>
  <si>
    <t>Construction In Progress</t>
  </si>
  <si>
    <t xml:space="preserve">TS dở dang dài hạn </t>
  </si>
  <si>
    <t>Total Liabilities &amp; Shareholders' Equity</t>
  </si>
  <si>
    <t>Total Liabilities</t>
  </si>
  <si>
    <t>Current Liabilities</t>
  </si>
  <si>
    <t>Revolver</t>
  </si>
  <si>
    <t>Accounts Payable</t>
  </si>
  <si>
    <t>Short-Term Borrowings</t>
  </si>
  <si>
    <t xml:space="preserve">        by VND</t>
  </si>
  <si>
    <t xml:space="preserve">        by USD</t>
  </si>
  <si>
    <t>Bonus And Welfare Funds</t>
  </si>
  <si>
    <t>Other Current Liabilities</t>
  </si>
  <si>
    <t>Non-Current Liabilities</t>
  </si>
  <si>
    <t>Long-Term Borrowings</t>
  </si>
  <si>
    <t>Provision for long-term borrowings</t>
  </si>
  <si>
    <t>Mảng kinh doanh</t>
  </si>
  <si>
    <t>Trước Đ/C</t>
  </si>
  <si>
    <t>Cập nhật dự phóng</t>
  </si>
  <si>
    <t>% Điều chỉnh so với báo cáo gần nhất</t>
  </si>
  <si>
    <t>Quan điểm: 
Tiếp cận kịch bản thận trọng hơn về biên lợi nhuận</t>
  </si>
  <si>
    <t>Nợ dài hạn khác</t>
  </si>
  <si>
    <t>Other Long-term liabilities</t>
  </si>
  <si>
    <t>2025F</t>
  </si>
  <si>
    <t>D/E</t>
  </si>
  <si>
    <t>TGDĐ+ĐMX</t>
  </si>
  <si>
    <t>- DT/CH kỳ vọng tiếp tục tăng trưởng nhờ hiệu quả của  các chương trình bán hàng linh hoạt và nâng cao dịch vụ giá trị gia tăng cho khách hàng.
- Biên LNHĐ điều chỉnh giảm nhẹ do tiếp tục tiến hành tái cấu trúc các CH kém hiệu quả và  chi phí liên quan đến các hoạt động chăm sóc khác hàng;</t>
  </si>
  <si>
    <t>Total Shareholders' Equity</t>
  </si>
  <si>
    <t>Share Premium</t>
  </si>
  <si>
    <t>Biên LNHĐ (%)</t>
  </si>
  <si>
    <t>Owner'S Other Capital</t>
  </si>
  <si>
    <t xml:space="preserve">- DT/CH còn dư địa tăng trưởng khi giá trị đơn hàng phục hồi.
- Tiến độ cửa hàng mở mới năm 2024-2025 được chậm hơn so với kì vọng của BSC do bắt đầu mở thăm dò tại các tính mới ở khu vực miền trung.
- Biên LNHĐ điều chỉnh giảm nhẹ phản ánh kì vọng mở rộng độ phủ cửa hàng.
</t>
  </si>
  <si>
    <t>Conversion Options On Convertible Bonds</t>
  </si>
  <si>
    <t>Treasury Shares</t>
  </si>
  <si>
    <t>Thay đổi (+/-)</t>
  </si>
  <si>
    <t>Vốn chủ khác</t>
  </si>
  <si>
    <t>Other Funds</t>
  </si>
  <si>
    <t>Financial Researve Funds</t>
  </si>
  <si>
    <t>FX Revaluation</t>
  </si>
  <si>
    <t>Budget Sources And Other Funds</t>
  </si>
  <si>
    <t>Minority Interest</t>
  </si>
  <si>
    <t>TGDĐ</t>
  </si>
  <si>
    <t>BALANCE CHECK</t>
  </si>
  <si>
    <t>2023F</t>
  </si>
  <si>
    <t>2024F</t>
  </si>
  <si>
    <t>Asset without excess cash</t>
  </si>
  <si>
    <t>Liabilities &amp; Equity without revolver</t>
  </si>
  <si>
    <t>2022A</t>
  </si>
  <si>
    <t>% Đ/c 2025F</t>
  </si>
  <si>
    <t>Quan điểm</t>
  </si>
  <si>
    <t>Excess cash/(Revolver)</t>
  </si>
  <si>
    <t>TGDĐ + ĐMX</t>
  </si>
  <si>
    <t xml:space="preserve">DTT và LNST lần lượt đạt +9% YoY và 34% YoY – tương ứng 98%KHDT và 104% KHLN. Trong đó:
- DTT tiếp tục được dẫn dắt bởi tăng trưởng BHX trong giai đoạn nhân rộng mô hình hiệu quả. 
- LNST tăng trưởng nhờ đóng góp từ 
(1) Đóng góp của các mảng kinh doanh cốt lõi là TGDĐ+ĐMX và BHX; trong khi An Khang giảm lỗ hoạt động hậu tái cấu trúc. 
(2) các cửa hàng đã mới vào giai đoạn 2018-2019 hết khấu hao 
(3) thu nhập tài chính cải thiện nhờ triển khai hợp tác với đối tác tài chính.
(4) giảm chi phí thanh lý so với cùng kì.
 </t>
  </si>
  <si>
    <t>Total Revenue</t>
  </si>
  <si>
    <t>%yoy</t>
  </si>
  <si>
    <t>Revenue deduction</t>
  </si>
  <si>
    <t>Cost of Goods Sold</t>
  </si>
  <si>
    <t>Lãi gộp</t>
  </si>
  <si>
    <t>Gross profits</t>
  </si>
  <si>
    <t>GM</t>
  </si>
  <si>
    <t>Sales &amp; Marketing</t>
  </si>
  <si>
    <t>General &amp; Administrative</t>
  </si>
  <si>
    <t>Total Operating Expenses:</t>
  </si>
  <si>
    <t>Biên EBIT</t>
  </si>
  <si>
    <t>SGA/REV</t>
  </si>
  <si>
    <t>Thu nhập tài chính</t>
  </si>
  <si>
    <t>SGA/GP</t>
  </si>
  <si>
    <t>CTLDLK</t>
  </si>
  <si>
    <t>Operating Income:</t>
  </si>
  <si>
    <t>Thu nhập khác, ròng</t>
  </si>
  <si>
    <t>Financial Income</t>
  </si>
  <si>
    <t>LNST-LICĐTS</t>
  </si>
  <si>
    <t>Interest Income</t>
  </si>
  <si>
    <t>FX gain</t>
  </si>
  <si>
    <t>FX Revaluation gain</t>
  </si>
  <si>
    <t>FI Others</t>
  </si>
  <si>
    <t>Biên LNST</t>
  </si>
  <si>
    <t>Financial Expenses</t>
  </si>
  <si>
    <t>Interest Expenses</t>
  </si>
  <si>
    <t>EPS Pha loãng</t>
  </si>
  <si>
    <t>FE FX loss</t>
  </si>
  <si>
    <t>FE FX Revaluation loss</t>
  </si>
  <si>
    <t>FE Others</t>
  </si>
  <si>
    <t>Net Other Income</t>
  </si>
  <si>
    <t>Other Incomes</t>
  </si>
  <si>
    <t>Other expenses</t>
  </si>
  <si>
    <t>Income Tax Provision</t>
  </si>
  <si>
    <t>Corporate Income Tax - Current</t>
  </si>
  <si>
    <t>Corporate Income Tax - Deferred</t>
  </si>
  <si>
    <t>Minority Interest Earnings</t>
  </si>
  <si>
    <t>Net margin</t>
  </si>
  <si>
    <t>P/E FW</t>
  </si>
  <si>
    <t>Investment and Development Fund</t>
  </si>
  <si>
    <t>Bonus and Welfare fund</t>
  </si>
  <si>
    <t>Net Income for Common Share:</t>
  </si>
  <si>
    <t>ESOP</t>
  </si>
  <si>
    <t>Depreciation</t>
  </si>
  <si>
    <t>Doanh thu tài chính</t>
  </si>
  <si>
    <t>Amortization</t>
  </si>
  <si>
    <t>Effective Income Tax Rate:</t>
  </si>
  <si>
    <t>Cash Flow from Operations:</t>
  </si>
  <si>
    <t>Adjustment:</t>
  </si>
  <si>
    <t>Provisions</t>
  </si>
  <si>
    <t>Gain/Loss from Revaluation Change in Foreign Exchange</t>
  </si>
  <si>
    <t>Gains from Sale of Investments &amp; Assets</t>
  </si>
  <si>
    <t>Interest Expense</t>
  </si>
  <si>
    <t>Other Non-Operating Income</t>
  </si>
  <si>
    <t>Operation Income before changing Working Capital</t>
  </si>
  <si>
    <t>Changes in Operating Assets/Liabilities</t>
  </si>
  <si>
    <t>Interest Paid</t>
  </si>
  <si>
    <t>Tax Paid</t>
  </si>
  <si>
    <t>Deferred Income Taxes</t>
  </si>
  <si>
    <t>Dividends Received:</t>
  </si>
  <si>
    <t>Other Operating income</t>
  </si>
  <si>
    <t>Other Operating expense</t>
  </si>
  <si>
    <t>Total other adjustments</t>
  </si>
  <si>
    <t>Net Cash Provided by Operating Activities</t>
  </si>
  <si>
    <t>Cash Flow from Investing</t>
  </si>
  <si>
    <t>Net Cash Used in Investing Activities</t>
  </si>
  <si>
    <t>Cash Flow from Financing</t>
  </si>
  <si>
    <t>Net Borrowing</t>
  </si>
  <si>
    <t>Net Cash Used in Financing Activities</t>
  </si>
  <si>
    <t>Total Cash Flow Before Adjust</t>
  </si>
  <si>
    <t>Effect of Exchange Rate Changes on Cash</t>
  </si>
  <si>
    <t>Beginning Cash Balance:</t>
  </si>
  <si>
    <t>Ending Cash Balance</t>
  </si>
  <si>
    <t>Working Capital</t>
  </si>
  <si>
    <t>Day Sale Outstanding</t>
  </si>
  <si>
    <t>Inventory Days</t>
  </si>
  <si>
    <t>Days Payable Outstanding</t>
  </si>
  <si>
    <t>PP&amp;E Schedule</t>
  </si>
  <si>
    <t>Year</t>
  </si>
  <si>
    <t>Buildings:</t>
  </si>
  <si>
    <t>Equipments:</t>
  </si>
  <si>
    <t>Truck:</t>
  </si>
  <si>
    <t>Office Equipments:</t>
  </si>
  <si>
    <t>Castle:</t>
  </si>
  <si>
    <t>Total CapEx % Revenue:</t>
  </si>
  <si>
    <t xml:space="preserve">CapEx </t>
  </si>
  <si>
    <t>Total CapEx:</t>
  </si>
  <si>
    <t>Net PP&amp;E:</t>
  </si>
  <si>
    <t>Nhà cửa vật kiến trúc</t>
  </si>
  <si>
    <t>PT vận tại</t>
  </si>
  <si>
    <t>TB văn phòng</t>
  </si>
  <si>
    <t>Quyền SD đất</t>
  </si>
  <si>
    <t>Phần mềm máy tính</t>
  </si>
  <si>
    <t>Thương hiệu</t>
  </si>
  <si>
    <t>Depreciation Waterfall Schedule:</t>
  </si>
  <si>
    <t>Original Balance:</t>
  </si>
  <si>
    <t>Mid year Adj.</t>
  </si>
  <si>
    <t>Year 1 Additions:</t>
  </si>
  <si>
    <t>Year 2 Additions:</t>
  </si>
  <si>
    <t>Year 3 Additions:</t>
  </si>
  <si>
    <t>Year 4 Additions:</t>
  </si>
  <si>
    <t>Total Depreciation:</t>
  </si>
  <si>
    <t>Construction in Progress</t>
  </si>
  <si>
    <t>Construction in Progress needs analysis:</t>
  </si>
  <si>
    <t>Transfer to Building:</t>
  </si>
  <si>
    <t>Transfer to Equipments:</t>
  </si>
  <si>
    <t>Transfer to Truck</t>
  </si>
  <si>
    <t>Transfer to Office Equipments</t>
  </si>
  <si>
    <t>Beginning of Period:</t>
  </si>
  <si>
    <t>Increases/(Decreases):</t>
  </si>
  <si>
    <t xml:space="preserve">Transfer to PPE:
</t>
  </si>
  <si>
    <t xml:space="preserve">Transfer to investment properties
</t>
  </si>
  <si>
    <t xml:space="preserve">Transfer to inventories
</t>
  </si>
  <si>
    <t>Sold in Year:</t>
  </si>
  <si>
    <t>Other Change:</t>
  </si>
  <si>
    <t>End of Period:</t>
  </si>
  <si>
    <t>Retained Earning Schedule</t>
  </si>
  <si>
    <t>Retained Earning:</t>
  </si>
  <si>
    <t>Net Income:</t>
  </si>
  <si>
    <t>Common Dividend:</t>
  </si>
  <si>
    <t>Part of Treasury Stock Retired above Common Stock and APIC:</t>
  </si>
  <si>
    <t>Change in Bonus and Welfare fund</t>
  </si>
  <si>
    <t>Change in Science and Technology development fund</t>
  </si>
  <si>
    <t>Change in Investment and Development Fund</t>
  </si>
  <si>
    <t>Change in Financial Reserve Fund</t>
  </si>
  <si>
    <t>Dividend Payout Ratio:</t>
  </si>
  <si>
    <t>Cash Dividend per Share</t>
  </si>
  <si>
    <t>LT debts/total debts</t>
  </si>
  <si>
    <t>USD debts/total Debts</t>
  </si>
  <si>
    <t>Average rate on interest earning assets</t>
  </si>
  <si>
    <t>Average rate on interest bearing assets</t>
  </si>
  <si>
    <t>FX exchange rate</t>
  </si>
  <si>
    <t>Growth</t>
  </si>
  <si>
    <t>Short-Term Debt Schedule</t>
  </si>
  <si>
    <t>Short-Term Debt needs analysis:</t>
  </si>
  <si>
    <t>Cash at Beginning of Period:</t>
  </si>
  <si>
    <t>Cash Desired/Payment per NWC:</t>
  </si>
  <si>
    <t>Minimum Cash Desired Base on Net Working Capital:</t>
  </si>
  <si>
    <t>Excess cash at beginning of period:</t>
  </si>
  <si>
    <t>Free cash flows generated during period:</t>
  </si>
  <si>
    <t>Cash available to paydown (needed to draw from) Short-Term Debt:</t>
  </si>
  <si>
    <t>Revenue</t>
  </si>
  <si>
    <t>Net Working Cap</t>
  </si>
  <si>
    <t>Short-term Debt:</t>
  </si>
  <si>
    <t>Tỉ suất lợi nhuận</t>
  </si>
  <si>
    <t>Tăng trưởng</t>
  </si>
  <si>
    <t xml:space="preserve">Năng lực hoạt động </t>
  </si>
  <si>
    <t>BVPS</t>
  </si>
  <si>
    <t>CÔNG TY CỔ PHẦN ĐẦU TƯ THẾ GIỚI DI ĐỘNG</t>
  </si>
  <si>
    <t>Định giá nhanh TGDĐ+DMX: Erablue và con báo An Khang</t>
  </si>
  <si>
    <t>│</t>
  </si>
  <si>
    <t>Cơ bản</t>
  </si>
  <si>
    <t>Thận trọng</t>
  </si>
  <si>
    <t>Lạc quan</t>
  </si>
  <si>
    <t>NPAT 2026E</t>
  </si>
  <si>
    <t>├── CÔNG TY CỔ PHẦN CÔNG NGHỆ VÀ ĐẦU TƯ BÁCH HÓA XANH</t>
  </si>
  <si>
    <t>Phân tích kịch bản bối cảnh nhu cầu chưa phục hồi</t>
  </si>
  <si>
    <t>2024-2026</t>
  </si>
  <si>
    <t>│   │   └── Tỷ lệ sở hữu: 94,99%</t>
  </si>
  <si>
    <t>Biên LNHĐ TGDĐ+ĐMX (%)</t>
  </si>
  <si>
    <t xml:space="preserve">CARG </t>
  </si>
  <si>
    <t>│   │</t>
  </si>
  <si>
    <t>Biên LNST BHX (%)</t>
  </si>
  <si>
    <t>PEG</t>
  </si>
  <si>
    <t>│   └── CÔNG TY CỔ PHẦN THƯƠNG MẠI BÁCH HÓA XANH</t>
  </si>
  <si>
    <t>Lợi nhuận các mảng kinh doanh</t>
  </si>
  <si>
    <t>Valuation</t>
  </si>
  <si>
    <t>│       └── Tỷ lệ sở hữu: 99,95%</t>
  </si>
  <si>
    <t>SLCP</t>
  </si>
  <si>
    <t>MW 'S Price/share</t>
  </si>
  <si>
    <t>├── CÔNG TY CỔ PHẦN 4KFARM</t>
  </si>
  <si>
    <t>│   └── Tỷ lệ sở hữu: 99,99%</t>
  </si>
  <si>
    <t>Khác*</t>
  </si>
  <si>
    <t>Định giá các mảng</t>
  </si>
  <si>
    <t>MW</t>
  </si>
  <si>
    <t>├── CÔNG TY CỔ PHẦN DỊCH VỤ LẮP ĐẶT - SỬA CHỮA - BẢO HÀNH TẬN TÂM</t>
  </si>
  <si>
    <t xml:space="preserve">BHX </t>
  </si>
  <si>
    <t>Định giá PE</t>
  </si>
  <si>
    <t xml:space="preserve">Khác: tiền ròng </t>
  </si>
  <si>
    <t>EV (Tỷ VND)</t>
  </si>
  <si>
    <t>├── CÔNG TY CỔ PHẦN THẾ GIỚI DI ĐỘNG</t>
  </si>
  <si>
    <t>│   │   └── Tỷ lệ sở hữu: 99,95%</t>
  </si>
  <si>
    <t>Khác: tiền ròng và An khang</t>
  </si>
  <si>
    <t>Gía mục tiêu MWG (VND/CP)</t>
  </si>
  <si>
    <t xml:space="preserve">Erablue </t>
  </si>
  <si>
    <t>│   ├── MWG (CAMBODIA) CO., LTD</t>
  </si>
  <si>
    <t>Gía mục tiêu (VND/CP)</t>
  </si>
  <si>
    <t>│   ├── CÔNG TY CỔ PHẦN DƯỢC PHẨM AN KHANG PHARMA</t>
  </si>
  <si>
    <t>Upside (%)</t>
  </si>
  <si>
    <t>│   │   └── Tỷ lệ sở hữu: 99,99%</t>
  </si>
  <si>
    <t>Khuyến nghị</t>
  </si>
  <si>
    <t>MUA MẠNH</t>
  </si>
  <si>
    <t>Gía hiện tại (VND/CP)</t>
  </si>
  <si>
    <t>│   └── PT ERA BLU ELEKTRONIK (Công ty liên doanh)</t>
  </si>
  <si>
    <t>│       └── Tỷ lệ sở hữu: 45%</t>
  </si>
  <si>
    <t>└── CÔNG TY TNHH MTV CÔNG NGHỆ THÔNG TIN THẾ GIỚI DI ĐỘNG</t>
  </si>
  <si>
    <t xml:space="preserve">    └── Tỷ lệ sở hữu: 100%</t>
  </si>
  <si>
    <t>Income Statement</t>
  </si>
  <si>
    <t>2005</t>
  </si>
  <si>
    <t>2006</t>
  </si>
  <si>
    <t>2007</t>
  </si>
  <si>
    <t>2008</t>
  </si>
  <si>
    <t>2009</t>
  </si>
  <si>
    <t>2010</t>
  </si>
  <si>
    <t>2011</t>
  </si>
  <si>
    <t>2012</t>
  </si>
  <si>
    <t>2013</t>
  </si>
  <si>
    <t>2014</t>
  </si>
  <si>
    <t>2015</t>
  </si>
  <si>
    <t>2016</t>
  </si>
  <si>
    <t>2017</t>
  </si>
  <si>
    <t>2018</t>
  </si>
  <si>
    <t>Doanh số</t>
  </si>
  <si>
    <t>Revenue Deductions</t>
  </si>
  <si>
    <t>Các khoản giảm trừ</t>
  </si>
  <si>
    <t>Doanh số thuần</t>
  </si>
  <si>
    <t>Cost Of Good Sales</t>
  </si>
  <si>
    <t>Giá vốn hàng bán</t>
  </si>
  <si>
    <t>Gross Profit</t>
  </si>
  <si>
    <t>Of Which: Interest Expenses</t>
  </si>
  <si>
    <t xml:space="preserve">     Trong đó: Chi phí lãi vay</t>
  </si>
  <si>
    <t>Gain/(Loss) From Joint Ventures (From 2015)</t>
  </si>
  <si>
    <t>Lãi/(lỗ) từ công ty liên doanh (từ năm 2015)</t>
  </si>
  <si>
    <t>Selling Expenses</t>
  </si>
  <si>
    <t>General And Admin Expenses</t>
  </si>
  <si>
    <t>Chi phí quản lý doanh  nghiệp</t>
  </si>
  <si>
    <t>Operating Profit/(Loss)</t>
  </si>
  <si>
    <t>Lãi/(lỗ) từ hoạt động kinh doanh</t>
  </si>
  <si>
    <t xml:space="preserve">     Thu nhập khác</t>
  </si>
  <si>
    <t>Other Expenses</t>
  </si>
  <si>
    <t xml:space="preserve">     Chi phí khác</t>
  </si>
  <si>
    <t>Net Other Income/(Expenses)</t>
  </si>
  <si>
    <t>Income From Investments In Other Entities</t>
  </si>
  <si>
    <t>Lãi/(lỗ) từ công ty liên doanh</t>
  </si>
  <si>
    <t>Net Accounting Profit/(Loss) Before Tax</t>
  </si>
  <si>
    <t>Lãi/(lỗ) ròng trước thuế</t>
  </si>
  <si>
    <t xml:space="preserve">     Thuế thu nhập doanh nghiệp – hiện thời</t>
  </si>
  <si>
    <t xml:space="preserve">     Thuế thu nhập doanh nghiệp – hoãn lại</t>
  </si>
  <si>
    <t>Corporate Income Tax Expenses</t>
  </si>
  <si>
    <t>Chi phí thuế thu nhập doanh nghiệp</t>
  </si>
  <si>
    <t>Net Profit After Tax</t>
  </si>
  <si>
    <t>Lãi/(lỗ) thuần sau thuế</t>
  </si>
  <si>
    <t>Dividend to minority interest</t>
  </si>
  <si>
    <t>Lợi ích của cổ đông thiểu số</t>
  </si>
  <si>
    <t>Earning to Shareholder</t>
  </si>
  <si>
    <t>Lợi nhuận của Cổ đông của Công ty mẹ</t>
  </si>
  <si>
    <t>Eps_Basis</t>
  </si>
  <si>
    <t>Lãi cơ bản trên cổ phiếu (VND)</t>
  </si>
  <si>
    <t>Eps_Diluted</t>
  </si>
  <si>
    <t>Lãi trên cổ phiếu pha loãng (VND)</t>
  </si>
  <si>
    <t>Effective Tax</t>
  </si>
  <si>
    <t>Balance Sheet</t>
  </si>
  <si>
    <t>Current Assets</t>
  </si>
  <si>
    <t>TÀI SẢN NGẮN HẠN</t>
  </si>
  <si>
    <t>Cash And Cash Equivalents</t>
  </si>
  <si>
    <t>Cash</t>
  </si>
  <si>
    <t xml:space="preserve">     Tiền</t>
  </si>
  <si>
    <t>Cash Equivalents</t>
  </si>
  <si>
    <t xml:space="preserve">     Các khoản tương đương tiền</t>
  </si>
  <si>
    <t>Short-Term Investments</t>
  </si>
  <si>
    <t>Giá trị thuần đầu tư ngắn hạn</t>
  </si>
  <si>
    <t xml:space="preserve">     Đầu tư ngắn hạn</t>
  </si>
  <si>
    <t>Provision For Diminution</t>
  </si>
  <si>
    <t xml:space="preserve">     Dự phòng đầu tư ngắn hạn</t>
  </si>
  <si>
    <t>Held-To-Maturity Investment</t>
  </si>
  <si>
    <t xml:space="preserve">     Đầu tư nắm giữ đến ngày đáo hạn</t>
  </si>
  <si>
    <t>Accounts Receivable</t>
  </si>
  <si>
    <t>Các khoản phải thu</t>
  </si>
  <si>
    <t>Trade Accounts Receivable</t>
  </si>
  <si>
    <t xml:space="preserve">     Phải thu khách hàng</t>
  </si>
  <si>
    <t>Prepayments To Suppliers</t>
  </si>
  <si>
    <t xml:space="preserve">     Trả trước người bán</t>
  </si>
  <si>
    <t>Intercompany Receivables</t>
  </si>
  <si>
    <t xml:space="preserve">     Phải thu nội bộ</t>
  </si>
  <si>
    <t>Construction Contract In Progress Receivables</t>
  </si>
  <si>
    <t xml:space="preserve">     Phải thu về XDCB</t>
  </si>
  <si>
    <t>Short-Term Loans Receivables</t>
  </si>
  <si>
    <t xml:space="preserve">     Phải thu về cho vay ngắn hạn</t>
  </si>
  <si>
    <t>Other Receivables</t>
  </si>
  <si>
    <t xml:space="preserve">     Phải thu khác</t>
  </si>
  <si>
    <t>Provision For Doubtful Debts</t>
  </si>
  <si>
    <t xml:space="preserve">     Dự phòng nợ khó đòi</t>
  </si>
  <si>
    <t>Shortage Of Current Assets Waiting For Solution</t>
  </si>
  <si>
    <t xml:space="preserve">     Tài sản thiếu chờ xử lý</t>
  </si>
  <si>
    <t>Inventories</t>
  </si>
  <si>
    <t>Hàng tồn kho, ròng</t>
  </si>
  <si>
    <t xml:space="preserve">     Hàng tồn kho</t>
  </si>
  <si>
    <t>Provision For Decline In Inventories</t>
  </si>
  <si>
    <t xml:space="preserve">     Dự phòng giảm giá HTK</t>
  </si>
  <si>
    <t>Tài sản lưu động khác</t>
  </si>
  <si>
    <t>Prepaid Expenses</t>
  </si>
  <si>
    <t xml:space="preserve">     Trả trước ngắn hạn</t>
  </si>
  <si>
    <t>Vat To Be Claimed</t>
  </si>
  <si>
    <t xml:space="preserve">     Thuế VAT phải thu</t>
  </si>
  <si>
    <t>Other Taxes Receivable</t>
  </si>
  <si>
    <t xml:space="preserve">     Phải thu thuế khác</t>
  </si>
  <si>
    <t>Government Bonds Purchased For Resale</t>
  </si>
  <si>
    <t xml:space="preserve">     Giao dịch mua bán lại trái phiếu chính phủ</t>
  </si>
  <si>
    <t xml:space="preserve">     Tài sản lưu động khác</t>
  </si>
  <si>
    <t>Long-Term Assets</t>
  </si>
  <si>
    <t>TÀI SẢN DÀI HẠN</t>
  </si>
  <si>
    <t>Long-Term Trade Receivables</t>
  </si>
  <si>
    <t>Phải thu dài hạn</t>
  </si>
  <si>
    <t>Long-Term Trade Receivables From Customers</t>
  </si>
  <si>
    <t xml:space="preserve">     Phải thu khách hàng dài hạn</t>
  </si>
  <si>
    <t>Long-Term Prepayments To Suppliers</t>
  </si>
  <si>
    <t xml:space="preserve">     Trả trước người bán dài hạn</t>
  </si>
  <si>
    <t>Paid-In Capital In Wholly-Owned Subsidiaries</t>
  </si>
  <si>
    <t xml:space="preserve">     Vốn kinh doanh ở các đơn vị trực thuộc</t>
  </si>
  <si>
    <t>Long-Term Intercompany Receivables</t>
  </si>
  <si>
    <t xml:space="preserve">     Phải thu nội bộ dài hạn</t>
  </si>
  <si>
    <t>Long-Term Loans Receivables</t>
  </si>
  <si>
    <t xml:space="preserve">     Phải thu về cho vay dài hạn</t>
  </si>
  <si>
    <t>Other Long-Term Receivables</t>
  </si>
  <si>
    <t xml:space="preserve">     Phải thu dài hạn khác</t>
  </si>
  <si>
    <t>Provision For Doubtful Lt Receivable</t>
  </si>
  <si>
    <t xml:space="preserve">     Dự phòng phải thu dài hạn</t>
  </si>
  <si>
    <t>Net PPE</t>
  </si>
  <si>
    <t>Tài sản cố định</t>
  </si>
  <si>
    <t>Tangible Fixed Assets</t>
  </si>
  <si>
    <t xml:space="preserve">     GTCL TSCĐ hữu hình</t>
  </si>
  <si>
    <t>Cost</t>
  </si>
  <si>
    <t xml:space="preserve">          Nguyên giá TSCĐ hữu hình</t>
  </si>
  <si>
    <t>Depreciation.</t>
  </si>
  <si>
    <t xml:space="preserve">          Khấu hao lũy kế TSCĐ hữu hình</t>
  </si>
  <si>
    <t>Finance Lease Assets</t>
  </si>
  <si>
    <t xml:space="preserve">     GTCL Tài sản thuê tài chính</t>
  </si>
  <si>
    <t xml:space="preserve">          Nguyên giá tài sản thuê tài chính</t>
  </si>
  <si>
    <t>Accumulated Depreciation</t>
  </si>
  <si>
    <t xml:space="preserve">          Khấu hao lũy kế tài sản thuê tài chính</t>
  </si>
  <si>
    <t>Intangible Fixed Assets</t>
  </si>
  <si>
    <t xml:space="preserve">     GTCL tài sản cố định vô hình</t>
  </si>
  <si>
    <t xml:space="preserve">          Nguyên giá TSCĐ vô hình</t>
  </si>
  <si>
    <t xml:space="preserve">          Khấu khao lũy kế TSCĐ vô hình</t>
  </si>
  <si>
    <t>Construction In Progress (Before 2015)</t>
  </si>
  <si>
    <t xml:space="preserve">     Xây dựng cơ bản dở dang (trước 2015)</t>
  </si>
  <si>
    <t>Investment Properties</t>
  </si>
  <si>
    <t>Giá trị ròng tài sản đầu tư</t>
  </si>
  <si>
    <t xml:space="preserve">     Nguyên giá tài sản đầu tư</t>
  </si>
  <si>
    <t xml:space="preserve">     Khấu hao lũy kế tài sản đầu tư</t>
  </si>
  <si>
    <t>Long-Term Incomplete Assets</t>
  </si>
  <si>
    <t>Tài sản dở dang dài hạn</t>
  </si>
  <si>
    <t>Long-Term Cost Of Work In Progress</t>
  </si>
  <si>
    <t xml:space="preserve">     Chi phí sản xuất, kinh doanh dở dang dài hạn</t>
  </si>
  <si>
    <t xml:space="preserve">     Xây dựng cơ bản dở dang</t>
  </si>
  <si>
    <t>Long-Term Investments</t>
  </si>
  <si>
    <t>Đầu tư dài hạn</t>
  </si>
  <si>
    <t>Investments In Subsidiaries</t>
  </si>
  <si>
    <t xml:space="preserve">     Đầu tư vào các công ty con</t>
  </si>
  <si>
    <t>Investments In Associates</t>
  </si>
  <si>
    <t xml:space="preserve">     Đầu tư vào các công ty liên kết</t>
  </si>
  <si>
    <t>Other Long-Term Investments</t>
  </si>
  <si>
    <t xml:space="preserve">     Đầu tư dài hạn khác</t>
  </si>
  <si>
    <t>Provision For Long-Term Investments</t>
  </si>
  <si>
    <t xml:space="preserve">     Dự phòng giảm giá đầu tư dài hạn</t>
  </si>
  <si>
    <t>Good Will (Before 2015)</t>
  </si>
  <si>
    <t>Lợi thế thương mại (trước 2015)</t>
  </si>
  <si>
    <t>Other Long-Term Assets</t>
  </si>
  <si>
    <t>Tài sản dài hạn khác</t>
  </si>
  <si>
    <t>Long-Term Prepayments</t>
  </si>
  <si>
    <t xml:space="preserve">     Trả trước dài hạn</t>
  </si>
  <si>
    <t>Deferred Income Tax Assets</t>
  </si>
  <si>
    <t xml:space="preserve">     Thuế thu nhập hoãn lại phải thu</t>
  </si>
  <si>
    <t>Long-Term Equipment, Material And Spare Parts</t>
  </si>
  <si>
    <t xml:space="preserve">     Thiết bị, vật tư, phụ tùng thay thế dài hạn</t>
  </si>
  <si>
    <t xml:space="preserve">     Các tài sản dài hạn khác</t>
  </si>
  <si>
    <t>Good Will</t>
  </si>
  <si>
    <t xml:space="preserve">     Lợi thế thương mại</t>
  </si>
  <si>
    <t>TỔNG CỘNG TÀI SẢN</t>
  </si>
  <si>
    <t>Liabilities</t>
  </si>
  <si>
    <t>NỢ PHẢI TRẢ</t>
  </si>
  <si>
    <t>Nợ ngắn hạn</t>
  </si>
  <si>
    <t xml:space="preserve">     Phải trả người bán</t>
  </si>
  <si>
    <t>Advances From Customers</t>
  </si>
  <si>
    <t xml:space="preserve">     Người mua trả tiền trước</t>
  </si>
  <si>
    <t>Taxes And Other Payable To State Budget</t>
  </si>
  <si>
    <t xml:space="preserve">     Thuế và các khoản phải trả Nhà nước</t>
  </si>
  <si>
    <t>Payable To Employees</t>
  </si>
  <si>
    <t xml:space="preserve">     Phải trả người lao động</t>
  </si>
  <si>
    <t>Accrued Expenses</t>
  </si>
  <si>
    <t xml:space="preserve">     Chi phí phải trả</t>
  </si>
  <si>
    <t>Intercompany Payables</t>
  </si>
  <si>
    <t xml:space="preserve">     Phải trả nội bộ</t>
  </si>
  <si>
    <t>Construction Contract In Progress Payables</t>
  </si>
  <si>
    <t xml:space="preserve">     Phải trả về xây dựng cơ bản</t>
  </si>
  <si>
    <t>Short-Term Unrealized Revenue</t>
  </si>
  <si>
    <t xml:space="preserve">     Doanh thu chưa thực hiện ngắn hạn</t>
  </si>
  <si>
    <t>Other Payables</t>
  </si>
  <si>
    <t xml:space="preserve">     Phải trả khác</t>
  </si>
  <si>
    <t xml:space="preserve">     Vay ngắn hạn</t>
  </si>
  <si>
    <t>Provision For St Liabilities</t>
  </si>
  <si>
    <t xml:space="preserve">     Dự phòng các khoản phải trả ngắn hạn</t>
  </si>
  <si>
    <t xml:space="preserve">     Quỹ khen thưởng, phúc lợi</t>
  </si>
  <si>
    <t>Price Stabilization Fund</t>
  </si>
  <si>
    <t xml:space="preserve">     Quỹ bình ổn giá</t>
  </si>
  <si>
    <t>Long Term Liabilities</t>
  </si>
  <si>
    <t>Nợ dài hạn</t>
  </si>
  <si>
    <t>Long-Term Trade Payables</t>
  </si>
  <si>
    <t xml:space="preserve">     Phải trả nhà cung cấp dài hạn</t>
  </si>
  <si>
    <t>Long-Term Advances From Customers</t>
  </si>
  <si>
    <t xml:space="preserve">     Người mua trả tiền trước dài hạn</t>
  </si>
  <si>
    <t>Long-Term Accrued Expenses</t>
  </si>
  <si>
    <t xml:space="preserve">     Chi phí phải trả dài hạn</t>
  </si>
  <si>
    <t>Intra-Company Payables For Operating Capital Received</t>
  </si>
  <si>
    <t xml:space="preserve">     Phải trả nội bộ về vốn kinh doanh</t>
  </si>
  <si>
    <t>Long-Term Intercompany Payables</t>
  </si>
  <si>
    <t xml:space="preserve">     Phải trả nội bộ dài hạn</t>
  </si>
  <si>
    <t>Unrealized Revenue</t>
  </si>
  <si>
    <t xml:space="preserve">     Doanh thu chưa thực hiên</t>
  </si>
  <si>
    <t>Other Long-Term Payables</t>
  </si>
  <si>
    <t xml:space="preserve">     Phải trả dài hạn khác</t>
  </si>
  <si>
    <t xml:space="preserve">     Vay dài hạn</t>
  </si>
  <si>
    <t>Convertible Bonds</t>
  </si>
  <si>
    <t xml:space="preserve">     Trái phiếu chuyển đổi</t>
  </si>
  <si>
    <t>Preferred Shares</t>
  </si>
  <si>
    <t xml:space="preserve">     Cổ phiếu ưu đãi</t>
  </si>
  <si>
    <t>Deferred Income Tax Liabilities</t>
  </si>
  <si>
    <t xml:space="preserve">     Thuế thu nhập hoãn lại phải trả</t>
  </si>
  <si>
    <t>Provision For Severance Allowances</t>
  </si>
  <si>
    <t xml:space="preserve">     Dự phòng trợ cấp thôi việc</t>
  </si>
  <si>
    <t>Provision For Long-Term Liabilities</t>
  </si>
  <si>
    <t xml:space="preserve">     Dự phòng các khoản công nợ dài hạn</t>
  </si>
  <si>
    <t>Technology-Science Development Fund</t>
  </si>
  <si>
    <t xml:space="preserve">     Quỹ phát triển khoa học công nghệ</t>
  </si>
  <si>
    <t>EQUITY</t>
  </si>
  <si>
    <t>VỐN CHỦ SỞ HỮU</t>
  </si>
  <si>
    <t>Capital And Reserves</t>
  </si>
  <si>
    <t>Vốn và các quỹ</t>
  </si>
  <si>
    <t>Paid-In Capital</t>
  </si>
  <si>
    <t xml:space="preserve">     Vốn góp</t>
  </si>
  <si>
    <t>Common Stock</t>
  </si>
  <si>
    <t xml:space="preserve">          Cổ phiếu phổ thông</t>
  </si>
  <si>
    <t xml:space="preserve">          Cổ phiếu ưu đãi</t>
  </si>
  <si>
    <t xml:space="preserve">     Thặng dư vốn cổ phần</t>
  </si>
  <si>
    <t xml:space="preserve">     Quyền chọn chuyển đổi trái phiếu</t>
  </si>
  <si>
    <t xml:space="preserve">     Vốn khác</t>
  </si>
  <si>
    <t xml:space="preserve">     Cổ phiếu quỹ</t>
  </si>
  <si>
    <t>Asset Revaluation</t>
  </si>
  <si>
    <t xml:space="preserve">     Chênh lệch đánh giá lại tài sản</t>
  </si>
  <si>
    <t xml:space="preserve">     Chênh lệch tỷ giá</t>
  </si>
  <si>
    <t>Investment And Development Funds</t>
  </si>
  <si>
    <t xml:space="preserve">     Quỹ đầu tư và phát triển</t>
  </si>
  <si>
    <t>Enterprise Arrangement Fund</t>
  </si>
  <si>
    <t xml:space="preserve">     Quỹ hỗ trợ sắp xếp doanh nghiệp</t>
  </si>
  <si>
    <t xml:space="preserve">     Quỹ dự phòng tài chính</t>
  </si>
  <si>
    <t xml:space="preserve">     Quỹ khác</t>
  </si>
  <si>
    <t>Retained Earnings</t>
  </si>
  <si>
    <t xml:space="preserve">     Lãi chưa phân phối</t>
  </si>
  <si>
    <t>Beginning Retained Earnings</t>
  </si>
  <si>
    <t xml:space="preserve">          LNST chưa phân phối lũy kế đến cuối kỳ trước</t>
  </si>
  <si>
    <t>Current Retained Earnings</t>
  </si>
  <si>
    <t xml:space="preserve">          LNST chưa phân phối kỳ này</t>
  </si>
  <si>
    <t>Minority Interests</t>
  </si>
  <si>
    <t xml:space="preserve">     Lợi ích cổ đông không kiểm soát</t>
  </si>
  <si>
    <t>Vốn Ngân sách nhà nước và quỹ khác</t>
  </si>
  <si>
    <t>Bonus And Welfare Funds (Before 2010)</t>
  </si>
  <si>
    <t xml:space="preserve">     Quỹ khen thưởng, phúc lợi (trước 2010)</t>
  </si>
  <si>
    <t xml:space="preserve">     Vốn ngân sách nhà nước</t>
  </si>
  <si>
    <t>Funds Used For Fixed Asset Acquisitions</t>
  </si>
  <si>
    <t xml:space="preserve">     Nguồn kinh phí đã hình thành TSCĐ</t>
  </si>
  <si>
    <t>Minority Interests (before 2015)</t>
  </si>
  <si>
    <t>LỢI ÍCH CỦA CỔ ĐÔNG THIỂU SỐ</t>
  </si>
  <si>
    <t>Total Resources</t>
  </si>
  <si>
    <t>TỔNG CỘNG NGUỒN VỐN</t>
  </si>
  <si>
    <t>Cash flow statement</t>
  </si>
  <si>
    <t xml:space="preserve">Gián tiếp </t>
  </si>
  <si>
    <t>Net Profit/(Loss) Before Tax</t>
  </si>
  <si>
    <t xml:space="preserve">     Lãi trước thuế</t>
  </si>
  <si>
    <t>Depreciation And Amortisation</t>
  </si>
  <si>
    <t xml:space="preserve">     Khấu hao TSCĐ</t>
  </si>
  <si>
    <t>Amortisation Of Goodwill</t>
  </si>
  <si>
    <t xml:space="preserve">     Phân bổ lợi thế thương mại</t>
  </si>
  <si>
    <t xml:space="preserve">     Chi phí dự phòng</t>
  </si>
  <si>
    <t>Unrealised Foreign Exchange Gain/Loss</t>
  </si>
  <si>
    <t xml:space="preserve">     Lãi/(lỗ) chênh lệch tỷ giá chưa thực hiện</t>
  </si>
  <si>
    <t>Profit/Loss From Liquidating Fixed Assets</t>
  </si>
  <si>
    <t xml:space="preserve">     Lãi/(lỗ) từ thanh lý tài sản cố định</t>
  </si>
  <si>
    <t>Profit/Loss From Investing Activities</t>
  </si>
  <si>
    <t xml:space="preserve">     Lãi/(lỗ) từ hoạt động đầu tư</t>
  </si>
  <si>
    <t xml:space="preserve">     Chi phí lãi vay</t>
  </si>
  <si>
    <t>Interest Income And Dividend</t>
  </si>
  <si>
    <t xml:space="preserve">     Thu lãi và cổ tức</t>
  </si>
  <si>
    <t>Other Adjustments</t>
  </si>
  <si>
    <t xml:space="preserve">     Các khoản điều chỉnh khác</t>
  </si>
  <si>
    <t>Operating Profit/(Loss) Before Changes In Working Capital</t>
  </si>
  <si>
    <t>Lãi/(lỗ) trước những thay đổi vốn lưu động</t>
  </si>
  <si>
    <t>Change in Accounts Receivable</t>
  </si>
  <si>
    <t xml:space="preserve">     (Tăng)/giảm các khoản phải thu</t>
  </si>
  <si>
    <t>Change in Inventories</t>
  </si>
  <si>
    <t xml:space="preserve">     (Tăng)/giảm hàng tồn kho</t>
  </si>
  <si>
    <t>Change in Account Payables</t>
  </si>
  <si>
    <t xml:space="preserve">     Tăng/(giảm) các khoản phải trả</t>
  </si>
  <si>
    <t>Change in Prepaid Expenses</t>
  </si>
  <si>
    <t xml:space="preserve">     (Tăng)/giảm chi phí trả trước</t>
  </si>
  <si>
    <t>(Increase)/Decrease In Trading Securities</t>
  </si>
  <si>
    <t xml:space="preserve">     (Tăng)/giảm chứng khoán kinh doanh</t>
  </si>
  <si>
    <t xml:space="preserve">     Chi phí lãi vay đã trả</t>
  </si>
  <si>
    <t>Corporate Income Tax Paid</t>
  </si>
  <si>
    <t xml:space="preserve">     Thuế thu nhập doanh nghiệp đã trả</t>
  </si>
  <si>
    <t>Other Operating Income</t>
  </si>
  <si>
    <t xml:space="preserve">     Tiền thu khác từ các hoạt động kinh doanh</t>
  </si>
  <si>
    <t>Other Operating Expense</t>
  </si>
  <si>
    <t xml:space="preserve">     Tiền chi khác từ các hoạt động kinh doanh</t>
  </si>
  <si>
    <t>Net Cash Inflows/(Outflows) From Operating Activities</t>
  </si>
  <si>
    <t>Lưu chuyển tiền tệ ròng từ các hoạt động sản xuất kinh doanh</t>
  </si>
  <si>
    <t>Purchases Of Fixed Assets And Other Long Term Assets</t>
  </si>
  <si>
    <t xml:space="preserve">     Tiền mua tài sản cố định và các tài sản dài hạn khác</t>
  </si>
  <si>
    <t>Proceeds from Sale of Fixed-Assets:</t>
  </si>
  <si>
    <t xml:space="preserve">     Tiền thu được từ thanh lý tài sản cố định</t>
  </si>
  <si>
    <t>Loans Granted, Purchases Of Debt Instruments</t>
  </si>
  <si>
    <t xml:space="preserve">     Tiền cho vay hoặc mua công cụ nợ</t>
  </si>
  <si>
    <t>Collection Of Loans, Proceeds From Sales Of Debts Instruments</t>
  </si>
  <si>
    <t xml:space="preserve">     Tiền thu từ cho vay hoặc thu từ phát hành công cụ nợ</t>
  </si>
  <si>
    <t>Investments In Other Entities</t>
  </si>
  <si>
    <t xml:space="preserve">     Đầu tư vào các doanh nghiệp khác</t>
  </si>
  <si>
    <t>Proceeds From Divestment In Other Entities</t>
  </si>
  <si>
    <t xml:space="preserve">     Tiền thu từ việc bán các khoản đầu tư vào các doanh nghiệp khác</t>
  </si>
  <si>
    <t>Dividends And Interest Received</t>
  </si>
  <si>
    <t xml:space="preserve">     Cổ tức và tiền lãi nhận được</t>
  </si>
  <si>
    <t>Net Cash Inflows/(Outflows) From Investing Activities</t>
  </si>
  <si>
    <t>Lưu chuyển tiền tệ ròng từ hoạt động đầu tư</t>
  </si>
  <si>
    <t>Proceeds from Issuance of Common Stock</t>
  </si>
  <si>
    <t xml:space="preserve">     Tiền thu từ phát hành cổ phiếu và vốn góp</t>
  </si>
  <si>
    <t>Repurchases of Common Stock</t>
  </si>
  <si>
    <t xml:space="preserve">     Chi trả cho việc mua lại, trả lại cổ phiếu</t>
  </si>
  <si>
    <t>Proceeds From Borrowings</t>
  </si>
  <si>
    <t xml:space="preserve">     Tiền thu được các khoản đi vay</t>
  </si>
  <si>
    <t>Repayment Of Borrowings</t>
  </si>
  <si>
    <t xml:space="preserve">     Tiển trả các khoản đi vay</t>
  </si>
  <si>
    <t>Finance Lease Principal Payments</t>
  </si>
  <si>
    <t xml:space="preserve">     Tiền thanh toán vốn gốc đi thuê tài chính</t>
  </si>
  <si>
    <t>Dividends Paid</t>
  </si>
  <si>
    <t xml:space="preserve">     Cổ tức đã trả</t>
  </si>
  <si>
    <t>Interests, Dividends, Profits Received</t>
  </si>
  <si>
    <t xml:space="preserve">     Tiền lãi đã nhận</t>
  </si>
  <si>
    <t>Net Cash Inflows/(Outflows) From Financing Activities</t>
  </si>
  <si>
    <t>Lưu chuyển tiền tệ từ hoạt động tài chính</t>
  </si>
  <si>
    <t>Net Increase In Cash And Cash Equivalents</t>
  </si>
  <si>
    <t>Lưu chuyển tiền thuần trong kỳ</t>
  </si>
  <si>
    <t>Cash And Cash Equivalents At The Beginning O Period</t>
  </si>
  <si>
    <t>Tiền và tương đương tiền đầu kỳ</t>
  </si>
  <si>
    <t>Effect Of Foreign Exchange Differences</t>
  </si>
  <si>
    <t>Ảnh hưởng của chênh lệch tỷ giá</t>
  </si>
  <si>
    <t>Cash And Cash Equivalents At The End Of Period</t>
  </si>
  <si>
    <t>Tiền và tương đương tiền cuối kỳ</t>
  </si>
  <si>
    <t>Footnotes</t>
  </si>
  <si>
    <t>Tiền</t>
  </si>
  <si>
    <t xml:space="preserve">     Tiền mặt</t>
  </si>
  <si>
    <t xml:space="preserve">     Tiền gửi Ngân hàng</t>
  </si>
  <si>
    <t xml:space="preserve">     Tiền đang chuyển</t>
  </si>
  <si>
    <t xml:space="preserve">     Tiền và tương đương tiền</t>
  </si>
  <si>
    <t>Đầu tư tài chính NH</t>
  </si>
  <si>
    <t xml:space="preserve">     Chứng khoán đầu tư ngắn hạn</t>
  </si>
  <si>
    <t xml:space="preserve">          Ngắn hạn</t>
  </si>
  <si>
    <t xml:space="preserve">          Dài hạn</t>
  </si>
  <si>
    <t xml:space="preserve">     Đầu tư NH khác</t>
  </si>
  <si>
    <t xml:space="preserve">     Dự phòng giảm giá ĐTNH</t>
  </si>
  <si>
    <t>Phải thu ngắn hạn khác</t>
  </si>
  <si>
    <t xml:space="preserve">     Phải thu về cổ phần hóa</t>
  </si>
  <si>
    <t xml:space="preserve">     Phải thu về cổ tức và lợi nhuận được chia</t>
  </si>
  <si>
    <t xml:space="preserve">     Phải thu người lao động</t>
  </si>
  <si>
    <t xml:space="preserve">     Hàng mua đang đi đường</t>
  </si>
  <si>
    <t xml:space="preserve">     Nguyên liệu, vật liệu</t>
  </si>
  <si>
    <t xml:space="preserve">     Công cụ, dụng cụ</t>
  </si>
  <si>
    <t xml:space="preserve">     Chi phí SX, KD dở dang</t>
  </si>
  <si>
    <t xml:space="preserve">     Thành phẩm</t>
  </si>
  <si>
    <t xml:space="preserve">     Hàng hóa</t>
  </si>
  <si>
    <t xml:space="preserve">     Hàng gửi đi bán</t>
  </si>
  <si>
    <t xml:space="preserve">     Hàng hoá kho bảo thuế</t>
  </si>
  <si>
    <t xml:space="preserve">     Hàng hoá bất động sản</t>
  </si>
  <si>
    <t>Tài sản ngắn hạn khác</t>
  </si>
  <si>
    <t xml:space="preserve">     Tạm ứng</t>
  </si>
  <si>
    <t xml:space="preserve">     Cầm cố, ký quỹ, ký cược NH</t>
  </si>
  <si>
    <t xml:space="preserve">     Khác</t>
  </si>
  <si>
    <t>Phải thu dài hạn khác</t>
  </si>
  <si>
    <t xml:space="preserve">     Ký quỹ, ký cược dài hạn</t>
  </si>
  <si>
    <t xml:space="preserve">     Các khoản tiền nhận ủy thác</t>
  </si>
  <si>
    <t xml:space="preserve">     Cho vay không có lãi</t>
  </si>
  <si>
    <t>Nguyên giá TSCĐHH</t>
  </si>
  <si>
    <t xml:space="preserve">     Nguyên giá đầu kỳ</t>
  </si>
  <si>
    <t xml:space="preserve">     Tăng trong kỳ</t>
  </si>
  <si>
    <t xml:space="preserve">     Giảm trong kỳ</t>
  </si>
  <si>
    <t>Hao mòn TSCĐHH</t>
  </si>
  <si>
    <t xml:space="preserve">     Đầu kỳ</t>
  </si>
  <si>
    <t>Nguyên giá TSCĐ TTC</t>
  </si>
  <si>
    <t>Hao mòn TSCĐ TTC</t>
  </si>
  <si>
    <t>Nguyên giá TSCĐVH</t>
  </si>
  <si>
    <t>Hao mòn TSCĐVH</t>
  </si>
  <si>
    <t>Đầu tư dài hạn khác</t>
  </si>
  <si>
    <t xml:space="preserve">     Đầu tư cổ phiếu</t>
  </si>
  <si>
    <t xml:space="preserve">     Đầu tư trái phiếu</t>
  </si>
  <si>
    <t xml:space="preserve">     Đầu tư tín phiếu, kỳ phiếu</t>
  </si>
  <si>
    <t xml:space="preserve">     Cho vay dài hạn</t>
  </si>
  <si>
    <t>Vay và nợ ngắn hạn</t>
  </si>
  <si>
    <t xml:space="preserve">     Vay dài hạn đến hạn trả</t>
  </si>
  <si>
    <t>Giá gốc Lợi thế thương mại</t>
  </si>
  <si>
    <t xml:space="preserve">     Số dư đầu kỳ</t>
  </si>
  <si>
    <t>Phân bổ Lũy kế</t>
  </si>
  <si>
    <t xml:space="preserve">     Số dư dầu kỳ</t>
  </si>
  <si>
    <t>Các khoản phải trả về Thuế</t>
  </si>
  <si>
    <t xml:space="preserve">     Thuế GTGT</t>
  </si>
  <si>
    <t xml:space="preserve">     Thuế TTĐB</t>
  </si>
  <si>
    <t xml:space="preserve">     Thuế XNK</t>
  </si>
  <si>
    <t xml:space="preserve">     Thuế TNDN</t>
  </si>
  <si>
    <t xml:space="preserve">     Thuế TNCN</t>
  </si>
  <si>
    <t xml:space="preserve">     Thuế Tài nguyên</t>
  </si>
  <si>
    <t xml:space="preserve">     Thuế nhà đất và tiền thuê đất</t>
  </si>
  <si>
    <t xml:space="preserve">     Các loại thuế khác</t>
  </si>
  <si>
    <t xml:space="preserve">     Các khoản phí, lệ phí khác</t>
  </si>
  <si>
    <t>Chi phí phải trả</t>
  </si>
  <si>
    <t xml:space="preserve">     Trích trước CF lương nghỉ phép</t>
  </si>
  <si>
    <t xml:space="preserve">     Chi phí SCL TSCĐ</t>
  </si>
  <si>
    <t xml:space="preserve">     Chi phí trongthời gian ngừng KD</t>
  </si>
  <si>
    <t>Phải trả phải nộp khác</t>
  </si>
  <si>
    <t xml:space="preserve">     Tài sản thừa chờ XL</t>
  </si>
  <si>
    <t xml:space="preserve">     Kinh phí công đoàn</t>
  </si>
  <si>
    <t xml:space="preserve">     BH XH</t>
  </si>
  <si>
    <t xml:space="preserve">     BHYT</t>
  </si>
  <si>
    <t xml:space="preserve">     Bảo hiểm thất nghiệp</t>
  </si>
  <si>
    <t xml:space="preserve">     Phải trả về CPH</t>
  </si>
  <si>
    <t xml:space="preserve">     Nhận ký quỹ, ký cược NH</t>
  </si>
  <si>
    <t xml:space="preserve">     Doanh thu chưa thực hiện</t>
  </si>
  <si>
    <t>Vay Dài hạn</t>
  </si>
  <si>
    <t xml:space="preserve">     Vay ngân hàng</t>
  </si>
  <si>
    <t xml:space="preserve">     Vay đối tượng khác</t>
  </si>
  <si>
    <t xml:space="preserve">     Trái phiếu phát hành</t>
  </si>
  <si>
    <t xml:space="preserve">     Thuê tài chính</t>
  </si>
  <si>
    <t xml:space="preserve">     Nợ dài hạn khác</t>
  </si>
  <si>
    <t>Vốn chủ sở hữu</t>
  </si>
  <si>
    <t xml:space="preserve">     Vốn góp của nhà nước</t>
  </si>
  <si>
    <t xml:space="preserve">     Vốn đầu tư của đối tượng khác</t>
  </si>
  <si>
    <t xml:space="preserve">     Doanh thu bán hàng</t>
  </si>
  <si>
    <t xml:space="preserve">     Doanh thu cung cấp dịch vụ</t>
  </si>
  <si>
    <t xml:space="preserve">     Doanh thu hợp đồng xây dựng</t>
  </si>
  <si>
    <t>Giảm trừ doanh thu</t>
  </si>
  <si>
    <t xml:space="preserve">     Chiết khấu thương mại</t>
  </si>
  <si>
    <t xml:space="preserve">     Giảm giá hàng bán</t>
  </si>
  <si>
    <t xml:space="preserve">     Hàng bán bị trả lại</t>
  </si>
  <si>
    <t xml:space="preserve">     Thuế GTGT phải nộp</t>
  </si>
  <si>
    <t xml:space="preserve">     Thuế tiêu thụ đặc biệt</t>
  </si>
  <si>
    <t xml:space="preserve">     Thuế xuất khẩu</t>
  </si>
  <si>
    <t>Giá vốn</t>
  </si>
  <si>
    <t xml:space="preserve">     Giá vốn hàng hóa đã bán</t>
  </si>
  <si>
    <t xml:space="preserve">     Giá vốn thành phẩm đã bán</t>
  </si>
  <si>
    <t xml:space="preserve">     Giá vốn của dịch vụ cung cấp</t>
  </si>
  <si>
    <t xml:space="preserve">     Giá trị còn lại, chi phí nhượng bán, Thanh lý BĐS đầu tư đã bán</t>
  </si>
  <si>
    <t xml:space="preserve">     Chi phí kinh doanh BĐS đầu tư</t>
  </si>
  <si>
    <t xml:space="preserve">     Hao hụt, mất mát hàng tồn kho</t>
  </si>
  <si>
    <t xml:space="preserve">     Các khoản chi phí vượt mức bình thường</t>
  </si>
  <si>
    <t xml:space="preserve">     Dự phòng</t>
  </si>
  <si>
    <t xml:space="preserve">     Lãi tiền gửi, tiền cho vay</t>
  </si>
  <si>
    <t xml:space="preserve">     Lãi đầu tư trái phiếu, kỳ phiếu, tín phiếu</t>
  </si>
  <si>
    <t xml:space="preserve">     Cổ tức, lợi nhuận được chia</t>
  </si>
  <si>
    <t xml:space="preserve">     Lãi từ bán, thanh lý các khoản đầu tư</t>
  </si>
  <si>
    <t xml:space="preserve">     Lãi bán ngoại tệ</t>
  </si>
  <si>
    <t xml:space="preserve">     Lãi chênh lệch tỷ giá đã thực hiện</t>
  </si>
  <si>
    <t xml:space="preserve">     Lãi chênh lệch tỷ giá chưa thực hiện</t>
  </si>
  <si>
    <t xml:space="preserve">     Lãi bán hàng trả chậm</t>
  </si>
  <si>
    <t xml:space="preserve">     Doanh thu hoạt động tài chính khác</t>
  </si>
  <si>
    <t xml:space="preserve">     Lãi tiền vay</t>
  </si>
  <si>
    <t xml:space="preserve">     Chiết khấu thanh toán, lãi bán hàng trả chậm</t>
  </si>
  <si>
    <t xml:space="preserve">     Lỗ do thanh lý các khoản đầu tư ngắn hạn, dài hạn</t>
  </si>
  <si>
    <t xml:space="preserve">     Lỗ bán ngoại tệ</t>
  </si>
  <si>
    <t xml:space="preserve">     Lỗ chênh lệch tỷ giá đã thực hiện</t>
  </si>
  <si>
    <t xml:space="preserve">     Lỗ chênh lệch tỷ giá chưa thực hiện</t>
  </si>
  <si>
    <t xml:space="preserve">     Dự phòng giảm giá các khoản đầu tư ngắn hạn, dài hạn</t>
  </si>
  <si>
    <t xml:space="preserve">     Chi phí tài chính khác</t>
  </si>
  <si>
    <t>Chi phí sản xuất theo yếu tố</t>
  </si>
  <si>
    <t xml:space="preserve">     Chi phí nguyên liệu, vật liệu</t>
  </si>
  <si>
    <t xml:space="preserve">     Chi phí nhân công</t>
  </si>
  <si>
    <t xml:space="preserve">     Chi phí khấu hao tài sản cố định</t>
  </si>
  <si>
    <t xml:space="preserve">     Chi phí dịch vụ mua ngoài</t>
  </si>
  <si>
    <t xml:space="preserve">     Chi phí khác bằng tiền</t>
  </si>
  <si>
    <t>Q3/2008</t>
  </si>
  <si>
    <t>Q4/2008</t>
  </si>
  <si>
    <t>Q1/2009</t>
  </si>
  <si>
    <t>Q2/2009</t>
  </si>
  <si>
    <t>Q3/2009</t>
  </si>
  <si>
    <t>Q4/2009</t>
  </si>
  <si>
    <t>Q1/2010</t>
  </si>
  <si>
    <t>Q2/2010</t>
  </si>
  <si>
    <t>Q3/2010</t>
  </si>
  <si>
    <t>Q4/2010</t>
  </si>
  <si>
    <t>Q1/2011</t>
  </si>
  <si>
    <t>Q2/2011</t>
  </si>
  <si>
    <t>Q3/2011</t>
  </si>
  <si>
    <t>Q4/2011</t>
  </si>
  <si>
    <t>Q1/2012</t>
  </si>
  <si>
    <t>Q2/2012</t>
  </si>
  <si>
    <t>Q3/2012</t>
  </si>
  <si>
    <t>Q4/2012</t>
  </si>
  <si>
    <t>Q1/2013</t>
  </si>
  <si>
    <t>Q2/2013</t>
  </si>
  <si>
    <t>Q3/2013</t>
  </si>
  <si>
    <t>Q4/2013</t>
  </si>
  <si>
    <t>Q1/2014</t>
  </si>
  <si>
    <t>Q2/2014</t>
  </si>
  <si>
    <t>Q3/2014</t>
  </si>
  <si>
    <t>Q4/2014</t>
  </si>
  <si>
    <t>Q1/2015</t>
  </si>
  <si>
    <t>Q2/2015</t>
  </si>
  <si>
    <t>Q3/2015</t>
  </si>
  <si>
    <t>Q4/2015</t>
  </si>
  <si>
    <t>Q1/2016</t>
  </si>
  <si>
    <t>Q2/2016</t>
  </si>
  <si>
    <t>Q3/2016</t>
  </si>
  <si>
    <t>Q4/2016</t>
  </si>
  <si>
    <t>Q1/2017</t>
  </si>
  <si>
    <t>Q2/2017</t>
  </si>
  <si>
    <t>Q3/2017</t>
  </si>
  <si>
    <t>Q4/2017</t>
  </si>
  <si>
    <t xml:space="preserve">    Trong đó: Chi phí lãi vay</t>
  </si>
  <si>
    <t>Lãi/lỗ từ hoạt động kinh doanh</t>
  </si>
  <si>
    <t>Chi phí khác</t>
  </si>
  <si>
    <t>Lãi/lỗ từ công ty liên doanh</t>
  </si>
  <si>
    <t>Thuế thu nhập doanh nghiệp – hiện thời</t>
  </si>
  <si>
    <t>Thuế thu nhập doanh nghiệp – hoãn lại</t>
  </si>
  <si>
    <t>Lãi cơ bản trên cổ phiếu</t>
  </si>
  <si>
    <t>Lãi trên cổ phiếu pha loãng</t>
  </si>
  <si>
    <t>SGA</t>
  </si>
  <si>
    <t>% Y/Y</t>
  </si>
  <si>
    <t>SE/REV</t>
  </si>
  <si>
    <t>AM/REV</t>
  </si>
  <si>
    <t>Ir Debt</t>
  </si>
  <si>
    <t>(</t>
  </si>
  <si>
    <t>Cơ cấu doanh thu</t>
  </si>
  <si>
    <t>1. DTT &amp; LNST quý</t>
  </si>
  <si>
    <t>%Tỷ trọng</t>
  </si>
  <si>
    <t xml:space="preserve"> và </t>
  </si>
  <si>
    <t>ĐMX</t>
  </si>
  <si>
    <t>2. DTT &amp; LNST luỹ kế</t>
  </si>
  <si>
    <t>1H/2025</t>
  </si>
  <si>
    <t>1H/2024</t>
  </si>
  <si>
    <t>9T/2025</t>
  </si>
  <si>
    <t>9T/2024</t>
  </si>
  <si>
    <t>q</t>
  </si>
  <si>
    <t>3. BLNG quý</t>
  </si>
  <si>
    <t>Lợi nhuận HĐKD</t>
  </si>
  <si>
    <t>4. BLNG luỹ kế</t>
  </si>
  <si>
    <t>5. DT tài chính</t>
  </si>
  <si>
    <t>6. CP lãi vay</t>
  </si>
  <si>
    <t>Chỉ số</t>
  </si>
  <si>
    <t>7. CP bán hàng</t>
  </si>
  <si>
    <t>Biên LN HĐKD</t>
  </si>
  <si>
    <t>8. CP QLDN</t>
  </si>
  <si>
    <t>Bán sỉ vàng</t>
  </si>
  <si>
    <t>Chi phí lương, trích theo lương</t>
  </si>
  <si>
    <t>Chi phí vật liệu, bao bì</t>
  </si>
  <si>
    <t>Lãi luỹ kế</t>
  </si>
  <si>
    <t>Chi phí công cụ, dụng cu</t>
  </si>
  <si>
    <t>Chi phí khấu hao tài sản cố định</t>
  </si>
  <si>
    <t>Chi phí dịch vụ mua ngoài</t>
  </si>
  <si>
    <t>Chi phí bằng tiền khác</t>
  </si>
  <si>
    <t>DTT Q4/2022</t>
  </si>
  <si>
    <t>NPATMI Q4/2022</t>
  </si>
  <si>
    <t>Financial expense Q4.22</t>
  </si>
  <si>
    <t>Traffic BHX online (ngàn lượt truy cập)_LHS</t>
  </si>
  <si>
    <t>Traffic BHX online (ngàn lượt truy cập)_RHS</t>
  </si>
  <si>
    <t>Traffic Winmart online (Lượt truy cập)_RHS</t>
  </si>
  <si>
    <t>DT BHX online_LHS</t>
  </si>
  <si>
    <t>Tần suất quay trở lại của khách hàng (%)</t>
  </si>
  <si>
    <t>DT/CH BHX</t>
  </si>
  <si>
    <t>DT theo tháng BHX</t>
  </si>
  <si>
    <t>DT BHX online</t>
  </si>
  <si>
    <t>MWG</t>
  </si>
  <si>
    <t>2/2019</t>
  </si>
  <si>
    <t>FRT</t>
  </si>
  <si>
    <t>3/2019</t>
  </si>
  <si>
    <t>PET</t>
  </si>
  <si>
    <t>4/2019</t>
  </si>
  <si>
    <t>DGW</t>
  </si>
  <si>
    <t>5/2019</t>
  </si>
  <si>
    <t>MSN</t>
  </si>
  <si>
    <t>6/2019</t>
  </si>
  <si>
    <t>MCH</t>
  </si>
  <si>
    <t>8/2019</t>
  </si>
  <si>
    <t>MML</t>
  </si>
  <si>
    <t>9/2019</t>
  </si>
  <si>
    <t>MSR</t>
  </si>
  <si>
    <t>12/2019</t>
  </si>
  <si>
    <t>Số ngày tồn kho trung bình (hàng hoá)</t>
  </si>
  <si>
    <t>EBITDA/ nợ NH + lãi vay</t>
  </si>
  <si>
    <t>1/2020</t>
  </si>
  <si>
    <t>2/2020</t>
  </si>
  <si>
    <t>MWG (ICT+CE)</t>
  </si>
  <si>
    <t>3/2020</t>
  </si>
  <si>
    <t>4/2020</t>
  </si>
  <si>
    <t>5/2020</t>
  </si>
  <si>
    <t>6/2020</t>
  </si>
  <si>
    <t>MWG (BHX)</t>
  </si>
  <si>
    <t>7/2020</t>
  </si>
  <si>
    <t>MSN WCM</t>
  </si>
  <si>
    <t>8/2020</t>
  </si>
  <si>
    <t xml:space="preserve">Trung bình </t>
  </si>
  <si>
    <t>9/2020</t>
  </si>
  <si>
    <t>10/2020</t>
  </si>
  <si>
    <t>11/2020</t>
  </si>
  <si>
    <t>12/2020</t>
  </si>
  <si>
    <t>1/2021</t>
  </si>
  <si>
    <t>2/2021</t>
  </si>
  <si>
    <t>3/2021</t>
  </si>
  <si>
    <t>TGDĐ +DMX</t>
  </si>
  <si>
    <t>4/2021</t>
  </si>
  <si>
    <t>5/2021</t>
  </si>
  <si>
    <t>6/2021</t>
  </si>
  <si>
    <t>Biên gộp (%)</t>
  </si>
  <si>
    <t>7/2021</t>
  </si>
  <si>
    <t>Biên hoạt đông (%)</t>
  </si>
  <si>
    <t>8/2021</t>
  </si>
  <si>
    <t>Biên ròng (%)</t>
  </si>
  <si>
    <t>9/2021</t>
  </si>
  <si>
    <t>10/2021</t>
  </si>
  <si>
    <t>11/2021</t>
  </si>
  <si>
    <t>Trung bình DT/CH - Tỷ đồng/tháng</t>
  </si>
  <si>
    <t>12/2021</t>
  </si>
  <si>
    <t>EBITDA (%)</t>
  </si>
  <si>
    <t>1/2022</t>
  </si>
  <si>
    <t>SSSG(%)</t>
  </si>
  <si>
    <t>2/2022</t>
  </si>
  <si>
    <t>WCM</t>
  </si>
  <si>
    <t>3/2022</t>
  </si>
  <si>
    <t>4/2022</t>
  </si>
  <si>
    <t>5/2022</t>
  </si>
  <si>
    <t>Traffic của BHX (,000 bils/month)</t>
  </si>
  <si>
    <t>6/2022</t>
  </si>
  <si>
    <t>7/2022</t>
  </si>
  <si>
    <t>8/2022</t>
  </si>
  <si>
    <t>9/2022</t>
  </si>
  <si>
    <t>10/2022</t>
  </si>
  <si>
    <t>DT/CH TGDĐ +DMX (tỷ VND/tháng)</t>
  </si>
  <si>
    <t>11/2022</t>
  </si>
  <si>
    <t xml:space="preserve">%YoY </t>
  </si>
  <si>
    <t>12/2022</t>
  </si>
  <si>
    <t>Số ngày tồn kho</t>
  </si>
  <si>
    <t>1/2023</t>
  </si>
  <si>
    <t>2/2023</t>
  </si>
  <si>
    <t>3/2023</t>
  </si>
  <si>
    <t>SG&amp;A/Rev (%)</t>
  </si>
  <si>
    <t>4/2023</t>
  </si>
  <si>
    <t>Số lượng CH DMS/DMX</t>
  </si>
  <si>
    <t>5/2023</t>
  </si>
  <si>
    <t>DT/CH TB tháng FPT Shop (tỷ VND)</t>
  </si>
  <si>
    <t>SSSG (TGDD+DMX)</t>
  </si>
  <si>
    <t>SSSG (BHX)</t>
  </si>
  <si>
    <t>DT Q4/2022</t>
  </si>
  <si>
    <t>DT 2022</t>
  </si>
  <si>
    <t>DTT Q4.22</t>
  </si>
  <si>
    <t>%Tăng/ giảm BLNHĐ_Q4.22</t>
  </si>
  <si>
    <t>DTT 2022</t>
  </si>
  <si>
    <t>%Tăng/ giảm BLNHĐ _Năm 2022</t>
  </si>
  <si>
    <t>%Tăng/giảm BLNG_TGDĐ và ĐMX</t>
  </si>
  <si>
    <t>%Tăng/giảm BLNG_BHX</t>
  </si>
  <si>
    <t>Traffic</t>
  </si>
  <si>
    <t>Winmart</t>
  </si>
  <si>
    <t>Grab</t>
  </si>
  <si>
    <t>Shopee Food</t>
  </si>
  <si>
    <t>TP.HCM</t>
  </si>
  <si>
    <t>Miền Đông</t>
  </si>
  <si>
    <t>Miền Tây</t>
  </si>
  <si>
    <t>Miền Trung và Tây Nguyên</t>
  </si>
  <si>
    <t>An Khang+Chuỗi AVA</t>
  </si>
  <si>
    <t>dt/ch</t>
  </si>
  <si>
    <t>số lượng đơn</t>
  </si>
  <si>
    <t>sản phẩm trên đơn</t>
  </si>
  <si>
    <t>giá trị</t>
  </si>
  <si>
    <t>An Khang và khác</t>
  </si>
  <si>
    <t>NPAT_MWG</t>
  </si>
  <si>
    <t>2023F-2022E</t>
  </si>
  <si>
    <t>DT(tỷ VND)_LHS</t>
  </si>
  <si>
    <t>%DT_MoM_RHS</t>
  </si>
  <si>
    <t>SLCH_LHS</t>
  </si>
  <si>
    <t>Thg1&amp;2-22</t>
  </si>
  <si>
    <t>Thg1&amp;2-23</t>
  </si>
  <si>
    <r>
      <t>202</t>
    </r>
    <r>
      <rPr>
        <i/>
        <sz val="10"/>
        <color theme="1"/>
        <rFont val="Nunito"/>
      </rPr>
      <t>3e</t>
    </r>
  </si>
  <si>
    <t>2024f</t>
  </si>
  <si>
    <t>DT/CH (tỷ VND/tháng)_LHS</t>
  </si>
  <si>
    <t>%MoM</t>
  </si>
  <si>
    <t>SLCH_RHS</t>
  </si>
  <si>
    <t>Biên LNHĐ kì vọng (%)</t>
  </si>
  <si>
    <t>2018E</t>
  </si>
  <si>
    <t>2019E</t>
  </si>
  <si>
    <t>2020E</t>
  </si>
  <si>
    <t>TGDĐ+DMX</t>
  </si>
  <si>
    <t>Biên LNHĐ_BHX(%)</t>
  </si>
  <si>
    <t>BHX (Tỷ VND)_LHS</t>
  </si>
  <si>
    <t xml:space="preserve">BLNHĐ (%)_RHS </t>
  </si>
  <si>
    <t>Q1/22</t>
  </si>
  <si>
    <t>Q1/23</t>
  </si>
  <si>
    <t>PSD</t>
  </si>
  <si>
    <t>Q3/23</t>
  </si>
  <si>
    <t>Senario Q3/2023</t>
  </si>
  <si>
    <t>BHX + CT con</t>
  </si>
  <si>
    <t>TNTC</t>
  </si>
  <si>
    <t>lỗ cty con</t>
  </si>
  <si>
    <t>Gỉa định</t>
  </si>
  <si>
    <t>Worst case</t>
  </si>
  <si>
    <t>Senario 1</t>
  </si>
  <si>
    <t>Best case</t>
  </si>
  <si>
    <t>Senario 2</t>
  </si>
  <si>
    <t>Gía vốn hàng bán</t>
  </si>
  <si>
    <t>FPT Shop</t>
  </si>
  <si>
    <t>DTT (%YoY)</t>
  </si>
  <si>
    <t>BLNHĐ (%)</t>
  </si>
  <si>
    <t>DT/CH/tháng (tỷ VND)</t>
  </si>
  <si>
    <t>Biên EBITDA cốt lõi (%)*</t>
  </si>
  <si>
    <t>Biên EBITDA thực tế (%)</t>
  </si>
  <si>
    <t>SLCH WCM</t>
  </si>
  <si>
    <t>CP KH</t>
  </si>
  <si>
    <t>SLCH MỞ MỚI</t>
  </si>
  <si>
    <t>SLCH mở mới</t>
  </si>
  <si>
    <t>Kịch bản/ giả định</t>
  </si>
  <si>
    <t>Tiêu cực</t>
  </si>
  <si>
    <t>Tích cực</t>
  </si>
  <si>
    <t>Kịch bản</t>
  </si>
  <si>
    <t>DTT (%YoY)_không đổi</t>
  </si>
  <si>
    <t>DTT TGDD+DMX</t>
  </si>
  <si>
    <t>DTT BHX</t>
  </si>
  <si>
    <t>Gỉa định 2024: BLNHĐ (%)</t>
  </si>
  <si>
    <t>-          TGDĐ+ĐMX:</t>
  </si>
  <si>
    <t>-          BHX:</t>
  </si>
  <si>
    <t>-          BHX: chiết khấu lợi nhuận từ 2026</t>
  </si>
  <si>
    <t>EV</t>
  </si>
  <si>
    <t>TP</t>
  </si>
  <si>
    <t>Upside</t>
  </si>
  <si>
    <t>PE Mục tiêu</t>
  </si>
  <si>
    <t xml:space="preserve">Tiêu cực </t>
  </si>
  <si>
    <t>cơ bản</t>
  </si>
  <si>
    <t>CP SD VỐN</t>
  </si>
  <si>
    <t>2026*</t>
  </si>
  <si>
    <t>biên LNHĐ (%)</t>
  </si>
  <si>
    <t>Phương pháp</t>
  </si>
  <si>
    <t>P/S-P/E mục tiêu</t>
  </si>
  <si>
    <t>EV (Discounted) _VND</t>
  </si>
  <si>
    <t>EV _USD</t>
  </si>
  <si>
    <t>Kịch bản cơ bản trước điều chỉnh</t>
  </si>
  <si>
    <t>Kịch bản cơ bản sau điều chỉnh</t>
  </si>
  <si>
    <t>P/E mục tiêu</t>
  </si>
  <si>
    <t>DT_ cũ</t>
  </si>
  <si>
    <t>slch_ cũ</t>
  </si>
  <si>
    <t>DT mới</t>
  </si>
  <si>
    <t xml:space="preserve">Gỉa định </t>
  </si>
  <si>
    <t>Không phát sinh chi phí 1 lần như năm 2023</t>
  </si>
  <si>
    <t>BHX ghi kỳ vọng giảm khấu hao ~1.3% DTT</t>
  </si>
  <si>
    <t xml:space="preserve">- Các mảng KD không ghi nhận xu hướng phục hồi lợi nhuận cốt lõi
</t>
  </si>
  <si>
    <t>- Biên LN phục hồi +1.2ppt nhờ cải thiện hiệu quả hoạt động</t>
  </si>
  <si>
    <t>- Biên LN phục hồi +1.4ppt tương đương GĐ 2016-2017</t>
  </si>
  <si>
    <t xml:space="preserve">- Biên LN cốt lõi phục hồi nhờ tối ưu hóa chi phí vận hành 2024
</t>
  </si>
  <si>
    <t>KH mở mới CH</t>
  </si>
  <si>
    <t>- Không tiến hành mở mới CH 2025-2026</t>
  </si>
  <si>
    <t>- Bắt đầu triển khai mở rộng chuỗi cửa hàng cân đối hiệu quả 2025-2026: +2.3%/+7% SLCH mới</t>
  </si>
  <si>
    <t>- Bắt đầu triển khai mở rộng chuỗi cửa hàng cân đối hiệu quả 2025-2026: +8.8%/+14.4% SLCH mới</t>
  </si>
  <si>
    <t>(1)  LNHĐ TGDĐ+ĐMX</t>
  </si>
  <si>
    <t>(2) LNHĐ BHX</t>
  </si>
  <si>
    <t>LNTT-(1)-(2)</t>
  </si>
  <si>
    <t>https://vi.weatherspark.com/countries/VN#Figures-Humidity</t>
  </si>
  <si>
    <t>Các ngày oi bức</t>
  </si>
  <si>
    <t>Thg 1</t>
  </si>
  <si>
    <t>Thg 2</t>
  </si>
  <si>
    <t>Thg 3</t>
  </si>
  <si>
    <t>Thg 4</t>
  </si>
  <si>
    <t>Thg 5</t>
  </si>
  <si>
    <t>Thg 6</t>
  </si>
  <si>
    <t>Thg 7</t>
  </si>
  <si>
    <t>Thg 8</t>
  </si>
  <si>
    <t>Thg 9</t>
  </si>
  <si>
    <t>Thg 10</t>
  </si>
  <si>
    <t>Thg 11</t>
  </si>
  <si>
    <t>Thg 12</t>
  </si>
  <si>
    <t>Hà Nội</t>
  </si>
  <si>
    <t>4,9 ngày</t>
  </si>
  <si>
    <t>8,1 ngày</t>
  </si>
  <si>
    <t>16,4 ngày</t>
  </si>
  <si>
    <t>24,4 ngày</t>
  </si>
  <si>
    <t>29,7 ngày</t>
  </si>
  <si>
    <t>29,8 ngày</t>
  </si>
  <si>
    <t>31,0 ngày</t>
  </si>
  <si>
    <t>28,8 ngày</t>
  </si>
  <si>
    <t>24,3 ngày</t>
  </si>
  <si>
    <t>13,9 ngày</t>
  </si>
  <si>
    <t>6,3 ngày</t>
  </si>
  <si>
    <t>Thành phố Hồ Chí Minh</t>
  </si>
  <si>
    <t>25,1 ngày</t>
  </si>
  <si>
    <t>29,3 ngày</t>
  </si>
  <si>
    <t>30,0 ngày</t>
  </si>
  <si>
    <t>30,9 ngày</t>
  </si>
  <si>
    <t>29,0 ngày</t>
  </si>
  <si>
    <t>27,3 ngày</t>
  </si>
  <si>
    <t>Đà Nẵng</t>
  </si>
  <si>
    <t>17,1 ngày</t>
  </si>
  <si>
    <t>19,5 ngày</t>
  </si>
  <si>
    <t>26,8 ngày</t>
  </si>
  <si>
    <t>29,2 ngày</t>
  </si>
  <si>
    <t>30,8 ngày</t>
  </si>
  <si>
    <t>29,9 ngày</t>
  </si>
  <si>
    <t>30,2 ngày</t>
  </si>
  <si>
    <t>26,7 ngày</t>
  </si>
  <si>
    <t>20,9 ngày</t>
  </si>
  <si>
    <t>Gỉa định xuyên suốt</t>
  </si>
  <si>
    <t>appendix</t>
  </si>
  <si>
    <t>Tăng trưởng doanh thu (%)</t>
  </si>
  <si>
    <t>Biên lợi nhuận hoạt động (%)</t>
  </si>
  <si>
    <t>Thận trọng 2</t>
  </si>
  <si>
    <t>Thận trọng 1</t>
  </si>
  <si>
    <t>KB 1</t>
  </si>
  <si>
    <t>Cơ sở</t>
  </si>
  <si>
    <t>KB 2</t>
  </si>
  <si>
    <t>Độ nhạy về biên lợi nhuận TGDĐ+ĐMX</t>
  </si>
  <si>
    <t>Lợi nhuận khác, Ròng</t>
  </si>
  <si>
    <t>PE FW</t>
  </si>
  <si>
    <t>Lạc quan 1</t>
  </si>
  <si>
    <t>Lạc quan 2</t>
  </si>
  <si>
    <t>Đóng góp khác</t>
  </si>
  <si>
    <t>cơ sở</t>
  </si>
  <si>
    <t>lạc quan</t>
  </si>
  <si>
    <t>Phân tích độ nhạy KQKD của BHX tác động đến lợi nhuận và định giá doanh nghiệp MWG</t>
  </si>
  <si>
    <t>Biên LNST (%)</t>
  </si>
  <si>
    <t>BHX (94.99%)</t>
  </si>
  <si>
    <t>2026</t>
  </si>
  <si>
    <t>Thận trọng*</t>
  </si>
  <si>
    <t>ebit BHX</t>
  </si>
  <si>
    <t>Định giá P/E với (1) P/E MW 2026F =15.5 lần, (2) P/E BHX 2028F = 21.5 lần &amp; suất chiết khấu= 8.5%</t>
  </si>
  <si>
    <t>BC 10/2025</t>
  </si>
  <si>
    <t>Lỗ lũy kế tính đến cuối năm 2027</t>
  </si>
  <si>
    <t>Hết lỗ lũy kế</t>
  </si>
  <si>
    <t>Mục tiêu BHX Hết lỗ lũy kế</t>
  </si>
  <si>
    <t>*Lưu ý tại kịch bản thận trọng PE đưa về mức trung vị ngành (Link)</t>
  </si>
  <si>
    <t>LNST 2025E (Tỷ VND)</t>
  </si>
  <si>
    <t>PE 
mục tiêu
(Lần)</t>
  </si>
  <si>
    <t>*Lưu ý:</t>
  </si>
  <si>
    <t>Ô màu xám thể hiện LNST năm 2025 đủ ĐK thực hiện ESOP</t>
  </si>
  <si>
    <t>Phân tích kịch bản độ nhạy của thuế quan lên mảng kinh doanh ICT và CE và giả định có độ trễ trong 2H/2025</t>
  </si>
  <si>
    <t>Kịch Bản</t>
  </si>
  <si>
    <t>Khả quan</t>
  </si>
  <si>
    <t>Note</t>
  </si>
  <si>
    <t>(1) Nhu cầu tiêu dùng tác động lên KQKD năm 2025 và định giá MWG</t>
  </si>
  <si>
    <t>Sở hữu 50-60% thị phần của mảng ICT và CE khiến MWG có thể đối mặt với rủi ro cạnh tranh khi nhu cầu suy giảm</t>
  </si>
  <si>
    <t>Gía mục tiêu</t>
  </si>
  <si>
    <t>% Tăng trưởng DTT</t>
  </si>
  <si>
    <t>%Upside</t>
  </si>
  <si>
    <t>(2) Tác động thuế quan lên định giá PE của MWG và KB lợi nhuận</t>
  </si>
  <si>
    <t>%Biên LNST</t>
  </si>
  <si>
    <t>Gía mục tiêu/ PE (16-13 lần)</t>
  </si>
  <si>
    <t>44,000-63,500</t>
  </si>
  <si>
    <t>56,500 -81,600</t>
  </si>
  <si>
    <t>60,600-87,400</t>
  </si>
  <si>
    <t>LNST của MWG*</t>
  </si>
  <si>
    <t xml:space="preserve">Định giá </t>
  </si>
  <si>
    <t>P/E chiết khấu từ 2027</t>
  </si>
  <si>
    <t>Duy trì kỳ vọng định giá nhờ hiệu quả hoạt động trong trung hạn</t>
  </si>
  <si>
    <t>Tối ưu hóa hiệu quả dòng tiền HĐKD</t>
  </si>
  <si>
    <t>Tổng giá trị DN</t>
  </si>
  <si>
    <t>MUA</t>
  </si>
  <si>
    <t xml:space="preserve">*Với kịch bản cơ sở và khả quan MWG đủ điều kiện thực hiện ESOP năm 2025 (LNST thực tế&gt;4,850 tỷ VND)
</t>
  </si>
  <si>
    <t>Phân tích kịch bản độ nhạy của thuế quan tác động đến định giá của MWG theo các kịch bản lợi nhuận</t>
  </si>
  <si>
    <t>LNST của MWG/ PE mục tiêu</t>
  </si>
  <si>
    <t>Lưu ý:Ô màu xám thể hiện LNST năm 2025 đủ ĐK thực hiện ESOP</t>
  </si>
  <si>
    <t>Quy mô lợi nhuận của MWG sẽ như nào trong 2027</t>
  </si>
  <si>
    <t>Worst</t>
  </si>
  <si>
    <t>Base</t>
  </si>
  <si>
    <t>Best</t>
  </si>
  <si>
    <t>ĐTTC và khác</t>
  </si>
  <si>
    <t>Erablue</t>
  </si>
  <si>
    <t>%SH</t>
  </si>
  <si>
    <t>sum</t>
  </si>
  <si>
    <t>weight</t>
  </si>
  <si>
    <t>STD</t>
  </si>
  <si>
    <t>Discount</t>
  </si>
  <si>
    <t>PE mục tiêu</t>
  </si>
  <si>
    <t>Tên công ty</t>
  </si>
  <si>
    <t>Mã CP</t>
  </si>
  <si>
    <t>Vốn hóa</t>
  </si>
  <si>
    <t>BF P/E</t>
  </si>
  <si>
    <t>BF EV/EBITDA</t>
  </si>
  <si>
    <t>BF EV/EBIT</t>
  </si>
  <si>
    <t>LF P/BV</t>
  </si>
  <si>
    <t>Trung vị</t>
  </si>
  <si>
    <t>PE/LNST</t>
  </si>
  <si>
    <t>Harvey Norman Holdings Ltd</t>
  </si>
  <si>
    <t>HVN AU</t>
  </si>
  <si>
    <t>LNST (Tỷ VND)</t>
  </si>
  <si>
    <t>Erajaya Swasembada Tbk PT</t>
  </si>
  <si>
    <t>ERAA IJ</t>
  </si>
  <si>
    <t>PE FW  (Lần)</t>
  </si>
  <si>
    <t>Jaymart Group Holdings PCL</t>
  </si>
  <si>
    <t>JMART TB</t>
  </si>
  <si>
    <t>Com7 PCL</t>
  </si>
  <si>
    <t>COM7 TB</t>
  </si>
  <si>
    <t>Suning.com Co Ltd</t>
  </si>
  <si>
    <t>002024 CH</t>
  </si>
  <si>
    <t>Bic Camera Inc</t>
  </si>
  <si>
    <t>3048 JP</t>
  </si>
  <si>
    <t>Suất chiết khẩu =</t>
  </si>
  <si>
    <t>Yamada Holdings Co Ltd</t>
  </si>
  <si>
    <t>9831 JP</t>
  </si>
  <si>
    <t>Nojima Corp</t>
  </si>
  <si>
    <t>7419 JP</t>
  </si>
  <si>
    <t xml:space="preserve"> -- </t>
  </si>
  <si>
    <t>PE/LNST chiết khấu</t>
  </si>
  <si>
    <t>CP ALL PCL</t>
  </si>
  <si>
    <t>CPALL TB</t>
  </si>
  <si>
    <t>President Chain Store Corp</t>
  </si>
  <si>
    <t>2912 TT</t>
  </si>
  <si>
    <t>Yonghui Superstores Co Ltd</t>
  </si>
  <si>
    <t>601933 CH</t>
  </si>
  <si>
    <t>Sumber Alfaria Trijaya Tbk PT</t>
  </si>
  <si>
    <t>AMRT IJ</t>
  </si>
  <si>
    <t>Better Life Commercial Chain S</t>
  </si>
  <si>
    <t>002251 CH</t>
  </si>
  <si>
    <t>Taiwan FamilyMart Co Ltd/Taiwa</t>
  </si>
  <si>
    <t>5903 TT</t>
  </si>
  <si>
    <t>Định giá P/E với (1) P/E MW 2026F =16 lần, (2) P/E BHX 2028F = 21.5 lần &amp; suất chiết khấu= 8.5%</t>
  </si>
  <si>
    <t>Jiajiayue Group Co Ltd</t>
  </si>
  <si>
    <t>603708 CH</t>
  </si>
  <si>
    <t>Midi Utama Indonesia Tbk PT</t>
  </si>
  <si>
    <t>MIDI IJ</t>
  </si>
  <si>
    <t>DFI Retail Nusantara Tbk PT</t>
  </si>
  <si>
    <t>HERO IJ</t>
  </si>
  <si>
    <t>Supra Boga Lestari Tbk PT</t>
  </si>
  <si>
    <t>RANC IJ</t>
  </si>
  <si>
    <t>Matahari Putra Prima Tbk PT</t>
  </si>
  <si>
    <t>MPPA IJ</t>
  </si>
  <si>
    <t>Electronic City Indonesia Tbk</t>
  </si>
  <si>
    <t>ECII IJ</t>
  </si>
  <si>
    <t>SOTP</t>
  </si>
  <si>
    <t>Price Earnings Ratio (P/E)</t>
  </si>
  <si>
    <t>https://www.wallstreetprep.com/knowledge/football-field-valuation-real-example-excel-template/</t>
  </si>
  <si>
    <t>Use Multiples Method?</t>
  </si>
  <si>
    <t>P/E target</t>
  </si>
  <si>
    <t>Revenue:</t>
  </si>
  <si>
    <t>Discount Rate:</t>
  </si>
  <si>
    <t>EBITDA:</t>
  </si>
  <si>
    <t>Terminal EBITDA Multiple:</t>
  </si>
  <si>
    <t>P/S target</t>
  </si>
  <si>
    <t>Terminal Growth Rate:</t>
  </si>
  <si>
    <t>EV_BHX (tỷ USD)</t>
  </si>
  <si>
    <t>Plus: I(1-t)</t>
  </si>
  <si>
    <t>Terminal Value:</t>
  </si>
  <si>
    <t>Plus: Depreciation</t>
  </si>
  <si>
    <t>Plus: Amortization</t>
  </si>
  <si>
    <t>PV of Terminal Value:</t>
  </si>
  <si>
    <t>TP_MWG</t>
  </si>
  <si>
    <t>Sum of PV of Cash Flows:</t>
  </si>
  <si>
    <t>Less: Changes in Working Capital:</t>
  </si>
  <si>
    <t>Enterprise Value:</t>
  </si>
  <si>
    <t>Less: Capital Expenditures</t>
  </si>
  <si>
    <t>Terminal Value % EV:</t>
  </si>
  <si>
    <t>Balance Sheet Adjustment:</t>
  </si>
  <si>
    <t>Unlevered Free Cash Flow</t>
  </si>
  <si>
    <t>Equity Interests:</t>
  </si>
  <si>
    <t>Present Value of Free Cash Flow</t>
  </si>
  <si>
    <t>Market Cap (bn VND)</t>
  </si>
  <si>
    <t>Revenue 2021F</t>
  </si>
  <si>
    <t>NPAT 2021F</t>
  </si>
  <si>
    <t>% YoY</t>
  </si>
  <si>
    <t>EPS 2021F</t>
  </si>
  <si>
    <t>NPAT 2022F</t>
  </si>
  <si>
    <t>P/E fw 2022</t>
  </si>
  <si>
    <t>P/B fw</t>
  </si>
  <si>
    <t>ROA 2022F</t>
  </si>
  <si>
    <t>ROE 2022F</t>
  </si>
  <si>
    <t>Closing price 23/06/2021</t>
  </si>
  <si>
    <t>Target price</t>
  </si>
  <si>
    <t>PV FCFF</t>
  </si>
  <si>
    <t>Implied Equity Value:</t>
  </si>
  <si>
    <t>Discount Factor</t>
  </si>
  <si>
    <t>Mã CK</t>
  </si>
  <si>
    <t>DTT 2022 (tỷ đ)</t>
  </si>
  <si>
    <t>LNST 2022</t>
  </si>
  <si>
    <t>EPS 2022 (đ/cp)</t>
  </si>
  <si>
    <t>P/E fw</t>
  </si>
  <si>
    <t>ROA 2022</t>
  </si>
  <si>
    <t>ROE 2022</t>
  </si>
  <si>
    <t>Giá ngày 23/04/</t>
  </si>
  <si>
    <t>Giá mục tiêu</t>
  </si>
  <si>
    <t>Midperiod adjustment factor</t>
  </si>
  <si>
    <t>Diluted Shares Outstanding:</t>
  </si>
  <si>
    <t>(tỷ đ)</t>
  </si>
  <si>
    <t>Implied Share Price:</t>
  </si>
  <si>
    <t>Free Cash Flow Growth Rate:</t>
  </si>
  <si>
    <t>Market Premium/(Discount) to FV</t>
  </si>
  <si>
    <t>VALUATION</t>
  </si>
  <si>
    <t>No of shares at end of year</t>
  </si>
  <si>
    <t>Phương pháp DCF</t>
  </si>
  <si>
    <t>Weighted Avg. Diluted Shares Outstanding:</t>
  </si>
  <si>
    <t>Dòng tiền tự do công ty (FCFF)</t>
  </si>
  <si>
    <t>Adjusted no of shares at the end of year</t>
  </si>
  <si>
    <t>Tổng giá trị chiết khẩu dòng tiền tự do 5 năm</t>
  </si>
  <si>
    <t xml:space="preserve">Adjusted weighted average no of shares </t>
  </si>
  <si>
    <t>Gía trị cuối cùng</t>
  </si>
  <si>
    <t>Chiết khấu giá trị cuối cùng</t>
  </si>
  <si>
    <t>Total Adjusted Factor</t>
  </si>
  <si>
    <t>Tổng giá trị chiết khấu</t>
  </si>
  <si>
    <t>Share dividend in 2015</t>
  </si>
  <si>
    <t>(-)  Nợ</t>
  </si>
  <si>
    <t>Share dividend in 2016</t>
  </si>
  <si>
    <t>(+) Tiền mặt</t>
  </si>
  <si>
    <t>Share dividend in 2017</t>
  </si>
  <si>
    <t>Tổng giá trị công ty</t>
  </si>
  <si>
    <t>Cash dividend in 2018</t>
  </si>
  <si>
    <t>SLCP Lưu hành (triệu)</t>
  </si>
  <si>
    <t>Gía trị hợp lý</t>
  </si>
  <si>
    <t>Basic EPS Shares Adj. NPAT-Post MI</t>
  </si>
  <si>
    <t>Phương pháp P/E</t>
  </si>
  <si>
    <t>Basic EPS Shares Adj. Exclude Non Recurring and B&amp;F</t>
  </si>
  <si>
    <t>Gía hợp lý</t>
  </si>
  <si>
    <t>Market Cap (Bil. VND)</t>
  </si>
  <si>
    <t>Giá</t>
  </si>
  <si>
    <t>Tỷ trọng</t>
  </si>
  <si>
    <t>Gía bình quân</t>
  </si>
  <si>
    <t>Chi phí sử dụng vốn</t>
  </si>
  <si>
    <t>PS</t>
  </si>
  <si>
    <t>DCF</t>
  </si>
  <si>
    <t>Rf</t>
  </si>
  <si>
    <t>Beta</t>
  </si>
  <si>
    <t>Ke</t>
  </si>
  <si>
    <t>P/E adjusted</t>
  </si>
  <si>
    <t>Gía Hiện tại</t>
  </si>
  <si>
    <t>Kd</t>
  </si>
  <si>
    <t>ROS</t>
  </si>
  <si>
    <t>E/A</t>
  </si>
  <si>
    <t>D/A</t>
  </si>
  <si>
    <t>Tỷ lệ cổ tức</t>
  </si>
  <si>
    <t>Thuế</t>
  </si>
  <si>
    <t xml:space="preserve"> </t>
  </si>
  <si>
    <t>P/E 5 năm</t>
  </si>
  <si>
    <t>WACC</t>
  </si>
  <si>
    <t>ROE (PAT for common share)</t>
  </si>
  <si>
    <t>P/E TB ngành (Trailing)</t>
  </si>
  <si>
    <t>g</t>
  </si>
  <si>
    <t>Normalize ROE</t>
  </si>
  <si>
    <t>Normalize EPS</t>
  </si>
  <si>
    <t>Price</t>
  </si>
  <si>
    <t>Marketcap</t>
  </si>
  <si>
    <t xml:space="preserve">PE FW </t>
  </si>
  <si>
    <t>Outstanding share</t>
  </si>
  <si>
    <t>Historical Price (Ave. year)</t>
  </si>
  <si>
    <t>NPAT 2023/ Sales</t>
  </si>
  <si>
    <t>PE Target/PS Target</t>
  </si>
  <si>
    <t>TGDĐ+DMX _PE Target</t>
  </si>
  <si>
    <t>P/E (Historical Price/EPS Adj. Shares)</t>
  </si>
  <si>
    <t>BHX _PS Target</t>
  </si>
  <si>
    <t>An Khang _PS Target</t>
  </si>
  <si>
    <t>Average Historical P/E</t>
  </si>
  <si>
    <t>P/E Forward Post MI and B&amp;F</t>
  </si>
  <si>
    <t>Upside so với Marketcap</t>
  </si>
  <si>
    <t>P/B (Current Price/BVPS)</t>
  </si>
  <si>
    <t>Average Historical P/B</t>
  </si>
  <si>
    <t>P/B Forward</t>
  </si>
  <si>
    <t>Enterprise Value</t>
  </si>
  <si>
    <t>Equity Value</t>
  </si>
  <si>
    <t>Peer Group EV/EBITDA (Emerging market - Asia Viet Nam)</t>
  </si>
  <si>
    <t>Peer Group EV/EBITDA (Emerging Market-damodaran)</t>
  </si>
  <si>
    <t>Phương pháp SOTP</t>
  </si>
  <si>
    <t>Gía trị hợp lý (Tỷ VND)</t>
  </si>
  <si>
    <t>Điều chỉnh so với báo cáo trước</t>
  </si>
  <si>
    <t>(lần)</t>
  </si>
  <si>
    <t>Target Price</t>
  </si>
  <si>
    <t>Weight %</t>
  </si>
  <si>
    <t>P/S mục tiêu</t>
  </si>
  <si>
    <t>P/E multiple</t>
  </si>
  <si>
    <t>P/B multiple</t>
  </si>
  <si>
    <t>Nợ ròng (-/+)</t>
  </si>
  <si>
    <t>EV/EBITDA Multiple</t>
  </si>
  <si>
    <t>PE Implied</t>
  </si>
  <si>
    <t>Đánh giá giá trị tài sản theo phương pháp "Bác nông dân"</t>
  </si>
  <si>
    <t>REV 2023</t>
  </si>
  <si>
    <t>%</t>
  </si>
  <si>
    <t>NPAT 2023</t>
  </si>
  <si>
    <t>TTS</t>
  </si>
  <si>
    <t>Nợ</t>
  </si>
  <si>
    <t>Phương pháp định giá</t>
  </si>
  <si>
    <t>Terminal Value (tỷ)</t>
  </si>
  <si>
    <t>Vốn hoá/SLCH</t>
  </si>
  <si>
    <t>PV(Terminal Value)</t>
  </si>
  <si>
    <t>PV(FCFF) 2021-2025</t>
  </si>
  <si>
    <t>NA</t>
  </si>
  <si>
    <t>Tổng dòng tiền (tỷ)</t>
  </si>
  <si>
    <t>(Điều chỉnh)</t>
  </si>
  <si>
    <t>EPS FW 2021:</t>
  </si>
  <si>
    <t>Giá trị VCSH (tỷ)</t>
  </si>
  <si>
    <t>P/E mục tiêu:</t>
  </si>
  <si>
    <t>Số lượng CP (triệu)</t>
  </si>
  <si>
    <t>% Thay đổi/trung vị</t>
  </si>
  <si>
    <t>Giá mục tiêu:</t>
  </si>
  <si>
    <t>Gía hiện tại</t>
  </si>
  <si>
    <t>Biểu đồ mô hình tăng hiệu quả kinh doanh</t>
  </si>
  <si>
    <t>MWG VN Equity  (L)</t>
  </si>
  <si>
    <t>VNINDEX Index  (R)</t>
  </si>
  <si>
    <t>Tỉnh</t>
  </si>
  <si>
    <t>SLCH Q1/2025</t>
  </si>
  <si>
    <t xml:space="preserve">SLCH mở mới tại các tỉnh </t>
  </si>
  <si>
    <t>SLCH Q3/2024</t>
  </si>
  <si>
    <t>kho</t>
  </si>
  <si>
    <t>SLCH Q4/2024</t>
  </si>
  <si>
    <t>TP. Hồ Chí Minh</t>
  </si>
  <si>
    <t>- DT/CH (%YoY)</t>
  </si>
  <si>
    <t>An Giang</t>
  </si>
  <si>
    <t>- Biên LNHĐ</t>
  </si>
  <si>
    <t>Bạc Liêu</t>
  </si>
  <si>
    <t>Bà Rịa - Vũng Tàu</t>
  </si>
  <si>
    <t>Bến Tre</t>
  </si>
  <si>
    <t>Bình Dương</t>
  </si>
  <si>
    <t>Bình Phước</t>
  </si>
  <si>
    <t>Bình Định</t>
  </si>
  <si>
    <t>Bình Thuận</t>
  </si>
  <si>
    <t>Cà Mau</t>
  </si>
  <si>
    <t>Cần Thơ</t>
  </si>
  <si>
    <t>Tăng trưởng doanh thu tạo ra/ nhân viên (%)</t>
  </si>
  <si>
    <t>Đắk Lắk</t>
  </si>
  <si>
    <t>Đắk Nông</t>
  </si>
  <si>
    <t>Đồng Nai</t>
  </si>
  <si>
    <t xml:space="preserve">số lượng nhân viên </t>
  </si>
  <si>
    <t>Đồng Tháp</t>
  </si>
  <si>
    <t>Doanh thu tạo ra của TB 1 nhân viên</t>
  </si>
  <si>
    <t>Hậu Giang</t>
  </si>
  <si>
    <t>Kiên Giang</t>
  </si>
  <si>
    <t>Lâm Đồng</t>
  </si>
  <si>
    <t>Long An</t>
  </si>
  <si>
    <t>Gia Lai</t>
  </si>
  <si>
    <t>Tăng trưởng hiệu suất tạo doanh thu/ nhân viên (%)</t>
  </si>
  <si>
    <t>Khánh Hòa</t>
  </si>
  <si>
    <t>Tăng trưởng thu nhập của nhân viên (%)</t>
  </si>
  <si>
    <t>Ninh Thuận</t>
  </si>
  <si>
    <t>CP lương/ doanh thu (%)</t>
  </si>
  <si>
    <t>Sóc Trăng</t>
  </si>
  <si>
    <t>Tây Ninh</t>
  </si>
  <si>
    <t>Tiền Giang</t>
  </si>
  <si>
    <t>Trà Vinh</t>
  </si>
  <si>
    <t>Vĩnh Long</t>
  </si>
  <si>
    <t>Phú Yên</t>
  </si>
  <si>
    <t>Quảng Nam</t>
  </si>
  <si>
    <t>Quảng Ngãi</t>
  </si>
  <si>
    <t>Đà nẵng</t>
  </si>
  <si>
    <t xml:space="preserve">Thu nhập tài chính </t>
  </si>
  <si>
    <t>Thừa Thiên Huế</t>
  </si>
  <si>
    <t>khác</t>
  </si>
  <si>
    <t>Quảng Trị</t>
  </si>
  <si>
    <t>Nghệ An</t>
  </si>
  <si>
    <t>Thanh Hóa</t>
  </si>
  <si>
    <t xml:space="preserve">Quảng Bình </t>
  </si>
  <si>
    <t>Hà Tĩnh</t>
  </si>
  <si>
    <t>Trường Sa</t>
  </si>
  <si>
    <t>Hoàng Sa</t>
  </si>
  <si>
    <t>Số lượt đơn hàng trung bình/ tháng</t>
  </si>
  <si>
    <t>Gía trị đơn hàng trung bình (ngàn VND)</t>
  </si>
  <si>
    <t>Số lượng hóa đơn (triệu HĐ/tháng)</t>
  </si>
  <si>
    <t>No of bills (m bills/month)</t>
  </si>
  <si>
    <t>Gía trị đơn hàng (ngàn VND/ hóa đơn)</t>
  </si>
  <si>
    <t>Average value per bill ( '000/bill)</t>
  </si>
  <si>
    <t>Gía trị đơn hàng trung bình 2022-2023</t>
  </si>
  <si>
    <t>Năm</t>
  </si>
  <si>
    <t>9M</t>
  </si>
  <si>
    <t>9M2023</t>
  </si>
  <si>
    <t>9M2024</t>
  </si>
  <si>
    <t>Trung tâm thương mại</t>
  </si>
  <si>
    <t>Cửa hàng mặt tiền đường</t>
  </si>
  <si>
    <t>Market change</t>
  </si>
  <si>
    <t>Việt Nam</t>
  </si>
  <si>
    <t>TQ</t>
  </si>
  <si>
    <t>HQ</t>
  </si>
  <si>
    <t>Indo</t>
  </si>
  <si>
    <t>Malay</t>
  </si>
  <si>
    <t>Thailand</t>
  </si>
  <si>
    <t>Philpipines</t>
  </si>
  <si>
    <t>Thành thị</t>
  </si>
  <si>
    <t>Siêu thị và đại siêu thị</t>
  </si>
  <si>
    <t>CVS</t>
  </si>
  <si>
    <t>online</t>
  </si>
  <si>
    <t xml:space="preserve">Mô hình truyền thống </t>
  </si>
  <si>
    <t>Nông thôn</t>
  </si>
  <si>
    <t>MT</t>
  </si>
  <si>
    <t>GT</t>
  </si>
  <si>
    <t>Thu nhập lãi thuần FE credit</t>
  </si>
  <si>
    <t>Khác (An Khang, Avakids)</t>
  </si>
  <si>
    <t>LNST 2023</t>
  </si>
  <si>
    <t>TGDĐ 
&amp; ĐMX</t>
  </si>
  <si>
    <t>An Khang
&amp; Avakids</t>
  </si>
  <si>
    <t>Lãi HĐTC</t>
  </si>
  <si>
    <t>LNST 2024</t>
  </si>
  <si>
    <t>LNST 2025</t>
  </si>
  <si>
    <t>GT Khấu hao TSCĐHH</t>
  </si>
  <si>
    <t>GT TSCĐHH còn lại</t>
  </si>
  <si>
    <t>% TSCĐHH hết KH/ nguyên giá</t>
  </si>
  <si>
    <t>%LNHĐ/ GT TSCĐHH còn lại (ROFA)</t>
  </si>
  <si>
    <t>Nguyên giá TSCĐ cần KH</t>
  </si>
  <si>
    <t>TS hết khấu hao</t>
  </si>
  <si>
    <t>CAPEX</t>
  </si>
  <si>
    <t>Tăng TSCĐHH</t>
  </si>
  <si>
    <t>SLCH thời điểm cuối quý</t>
  </si>
  <si>
    <t xml:space="preserve"> Cửa hàng mở mới</t>
  </si>
  <si>
    <t xml:space="preserve">Số liệu CH mở mới trong năm 2017 lấy trực tiếp từ BC hoạt động </t>
  </si>
  <si>
    <t>Trong 1Q24 C.Đ 4 CH TGDĐ thành ĐMX</t>
  </si>
  <si>
    <t>06/2018 C.Đ 3 CH TGDĐ thành ĐMX</t>
  </si>
  <si>
    <t>C.Đ 1 số CH (không có số liệu cụ thể)</t>
  </si>
  <si>
    <t>Trong năm có 39 CH TGDĐ C.Đ thành ĐMX</t>
  </si>
  <si>
    <t>C.Đ 4 CH TGDĐ thành ĐMX; Mở mới 4 CH ĐMX; mở mới 46 BHX</t>
  </si>
  <si>
    <t xml:space="preserve">tăng 114 YoY CH ĐMX (47 CH TGDĐ C.Đ thành ĐMX)
</t>
  </si>
  <si>
    <t xml:space="preserve">tăng 179 YoY CH ĐMX 
</t>
  </si>
  <si>
    <t xml:space="preserve">Trong năm, hơn 30 CH TGDĐ C.Đ thành ĐMX
</t>
  </si>
  <si>
    <t xml:space="preserve">03/2020 BHX mở thêm 90 CH
</t>
  </si>
  <si>
    <t xml:space="preserve">T6/2020 mở thêm 121 CH BHX
</t>
  </si>
  <si>
    <t xml:space="preserve">09/2020: 33 CH BHX mở mới
</t>
  </si>
  <si>
    <t xml:space="preserve">Trong 2 tháng cuối năm: mở mới 200 CH BHX
</t>
  </si>
  <si>
    <t xml:space="preserve">03/2021: mở mới 22 CH ĐMX; 11 CH BHX
</t>
  </si>
  <si>
    <t xml:space="preserve">06/2021: 29 CH ĐMX mở mới
</t>
  </si>
  <si>
    <t xml:space="preserve">07/2021: 23 CH ĐMX mở mới
</t>
  </si>
  <si>
    <t xml:space="preserve">Mở mới 25 CH thuộc 5 chuỗi mới AVA...)
</t>
  </si>
  <si>
    <t xml:space="preserve">7 tháng đầu năm, công ty đã đóng cửa 400 CH BHX
</t>
  </si>
  <si>
    <t xml:space="preserve">Tạm ngừng mở CH ở tất cả các chuỗi
</t>
  </si>
  <si>
    <t xml:space="preserve">Kế hoạch đóng cửa 200 CH
</t>
  </si>
  <si>
    <t xml:space="preserve">11/2023: đóng cửa 58 CH TGDĐ, 61 CH ĐMX
</t>
  </si>
  <si>
    <t>TGDĐ đóng cửa 25 CH, và đóng cửa 91 CH ĐMX trong Q2</t>
  </si>
  <si>
    <t xml:space="preserve">Dừng mở mới 5/6 chuỗi 
</t>
  </si>
  <si>
    <t>C.Đ: chuyển đổi</t>
  </si>
  <si>
    <t>Từ 4Q2021, trong BC hoạt động của công ty không có số liệu về CH mở mới, tất cả số liệu từ 4Q2021 đều từ các trang báo</t>
  </si>
  <si>
    <t>CH: cửa hàng</t>
  </si>
  <si>
    <t>Đã khấu hao hết</t>
  </si>
  <si>
    <t>Thanh lý</t>
  </si>
  <si>
    <t>Đã hết khấu hao</t>
  </si>
  <si>
    <t>Giảm KH do thanh lý</t>
  </si>
  <si>
    <t>TSCĐHH Còn lại</t>
  </si>
  <si>
    <t>giảm khấu hao</t>
  </si>
  <si>
    <t>Tài sản tăng thêm YoY</t>
  </si>
  <si>
    <t>Khấu hao theo quý</t>
  </si>
  <si>
    <t>Khấu hao theo năm</t>
  </si>
  <si>
    <t>12022</t>
  </si>
  <si>
    <t>22022</t>
  </si>
  <si>
    <t>32022</t>
  </si>
  <si>
    <t>42022</t>
  </si>
  <si>
    <t>Fixed asset</t>
  </si>
  <si>
    <t xml:space="preserve">Net Fixed asset </t>
  </si>
  <si>
    <t>Tangible fixed asset</t>
  </si>
  <si>
    <t>Buldings and structures</t>
  </si>
  <si>
    <t>Means of transportation</t>
  </si>
  <si>
    <t>OE</t>
  </si>
  <si>
    <t>LUR</t>
  </si>
  <si>
    <t>Sorfware</t>
  </si>
  <si>
    <t>Brandname</t>
  </si>
  <si>
    <t xml:space="preserve">Beginning </t>
  </si>
  <si>
    <t>Ending</t>
  </si>
  <si>
    <t>Purchase</t>
  </si>
  <si>
    <t>Dep for the year</t>
  </si>
  <si>
    <t>Added from construction in progress</t>
  </si>
  <si>
    <t>Remaining years</t>
  </si>
  <si>
    <t>Increase due to Aquistion of a subsidiary</t>
  </si>
  <si>
    <t>New items</t>
  </si>
  <si>
    <t>Disposal</t>
  </si>
  <si>
    <t>%Weight</t>
  </si>
  <si>
    <t>Accumulated depreciation</t>
  </si>
  <si>
    <t>Giảm KH đóng CH</t>
  </si>
  <si>
    <t>DEP for year</t>
  </si>
  <si>
    <t>1H/2022</t>
  </si>
  <si>
    <t>(+) Aquistion of subsidiary</t>
  </si>
  <si>
    <t>Net carrying amount</t>
  </si>
  <si>
    <t>Beginning balance</t>
  </si>
  <si>
    <t>Ending balance</t>
  </si>
  <si>
    <t>Intangible assets</t>
  </si>
  <si>
    <t>Construction in progress</t>
  </si>
  <si>
    <t>New store</t>
  </si>
  <si>
    <t>CAPEX/Store</t>
  </si>
  <si>
    <t>Revamp</t>
  </si>
  <si>
    <t>The number of store</t>
  </si>
  <si>
    <t>Year 5 Additions:</t>
  </si>
  <si>
    <t>Hết khấu hao</t>
  </si>
  <si>
    <t>New</t>
  </si>
  <si>
    <t>Dep for year</t>
  </si>
  <si>
    <t>Beginning</t>
  </si>
  <si>
    <t>Gross check</t>
  </si>
  <si>
    <t>Payment discount</t>
  </si>
  <si>
    <t>Source</t>
  </si>
  <si>
    <t>Interest rate (%)</t>
  </si>
  <si>
    <t>Lãi suất quý</t>
  </si>
  <si>
    <t>Break down debt by USD</t>
  </si>
  <si>
    <t>Short-term debt (Mln USD)</t>
  </si>
  <si>
    <t>Longterm debt</t>
  </si>
  <si>
    <t>FX (USD/VND)</t>
  </si>
  <si>
    <t>%Weight of Debt</t>
  </si>
  <si>
    <t>Nguyên giá</t>
  </si>
  <si>
    <t>Net Nguyên giá</t>
  </si>
  <si>
    <t>Hết KH</t>
  </si>
  <si>
    <t>GT còn lại</t>
  </si>
  <si>
    <t>TG KH</t>
  </si>
  <si>
    <t>KH trong năm</t>
  </si>
  <si>
    <t>Đóng 206 CH</t>
  </si>
  <si>
    <t>Đóng 221 CH</t>
  </si>
  <si>
    <t>Khấu hao (-)</t>
  </si>
  <si>
    <t>Nâng cấp (-)</t>
  </si>
  <si>
    <t>Thanh lý(+)</t>
  </si>
  <si>
    <t>Tổng</t>
  </si>
  <si>
    <t>Tái cấu trúc từ Q2/2024 (nâng cấp+thanh lý CH cũ)</t>
  </si>
  <si>
    <t>Thanh lý 200 tỷ TSCĐ</t>
  </si>
  <si>
    <t>Nâng cấp/Mở mới (-)</t>
  </si>
  <si>
    <t>STT</t>
  </si>
  <si>
    <t>Ngày</t>
  </si>
  <si>
    <t>Giá đóng cửa (D)
Đơn vị: VND</t>
  </si>
  <si>
    <t>Giá trị NĐTNN mua (D)
Đơn vị: VND</t>
  </si>
  <si>
    <t>Giá trị NĐTNN bán (D)
Đơn vị: VND</t>
  </si>
  <si>
    <t>Giá trị doanh nghiệp (EV)
Đơn vị: Tỷ VND</t>
  </si>
  <si>
    <t>Vốn hóa thị trường
Đơn vị: VND</t>
  </si>
  <si>
    <t>EPS pha loãng
Đơn vị: VND</t>
  </si>
  <si>
    <t>P/E pha loãng
Đơn vị: Lần</t>
  </si>
  <si>
    <t>Vốn hóa thị trường (tỷ VND)</t>
  </si>
  <si>
    <t>BSC định giá EV MWG (Tỷ VND)</t>
  </si>
  <si>
    <t>Lợi nhuận sau thuế trượt (Tỷ VND)</t>
  </si>
  <si>
    <t>Giá đóng cửa (VND)</t>
  </si>
  <si>
    <t>Tỷ lệ sở hữu NĐT nước ngoài (%)</t>
  </si>
  <si>
    <t>GT giao dịch ròng NĐTNN (Tỷ VND)</t>
  </si>
  <si>
    <t xml:space="preserve">EPS pha loãng
</t>
  </si>
  <si>
    <t>LNST Trượt (tỷ VND)</t>
  </si>
  <si>
    <t>P/E trượt (Lần)</t>
  </si>
  <si>
    <t>NPAT FC</t>
  </si>
  <si>
    <t>PE fw 2024</t>
  </si>
  <si>
    <t>NPAT Trượt (Tỷ VND)</t>
  </si>
  <si>
    <t>31/06/2026</t>
  </si>
  <si>
    <t>1H/2021</t>
  </si>
  <si>
    <t>1H/2020</t>
  </si>
  <si>
    <t>9T/2021</t>
  </si>
  <si>
    <t>9T/2020</t>
  </si>
  <si>
    <t xml:space="preserve">Lẻ </t>
  </si>
  <si>
    <t>% DT</t>
  </si>
  <si>
    <t>sỉ</t>
  </si>
  <si>
    <t>Vàng miếng</t>
  </si>
  <si>
    <t>Bán lẻ vàng</t>
  </si>
  <si>
    <t>Column1</t>
  </si>
  <si>
    <t>Column22</t>
  </si>
  <si>
    <t>Column23</t>
  </si>
  <si>
    <t>Column3</t>
  </si>
  <si>
    <t>Column4</t>
  </si>
  <si>
    <t>Số lượng cửa hàng TGDĐ+ĐMX</t>
  </si>
  <si>
    <t>Mật độ dân số/CH (ngàn người)</t>
  </si>
  <si>
    <t>Bắc Trung Bộ</t>
  </si>
  <si>
    <t>Duyên hải Nam Trung Bộ</t>
  </si>
  <si>
    <t>Quảng Bình</t>
  </si>
  <si>
    <t>Đông Bắc Bộ</t>
  </si>
  <si>
    <t>Đồng bằng sông Cửu Long</t>
  </si>
  <si>
    <t>Đồng bằng sông Hồng</t>
  </si>
  <si>
    <t>Đông Nam Bộ</t>
  </si>
  <si>
    <t>Tây Bắc Bộ</t>
  </si>
  <si>
    <t>Tây Nguyên</t>
  </si>
  <si>
    <t>2022e</t>
  </si>
  <si>
    <t>Bắc Giang</t>
  </si>
  <si>
    <t>Bắc Kạn</t>
  </si>
  <si>
    <t>Cao Bằng</t>
  </si>
  <si>
    <t>Hà Giang</t>
  </si>
  <si>
    <t>Lạng Sơn</t>
  </si>
  <si>
    <t>Phú Thọ</t>
  </si>
  <si>
    <t>Quảng Ninh</t>
  </si>
  <si>
    <t>Tuyên Quang</t>
  </si>
  <si>
    <t>Thái Nguyên</t>
  </si>
  <si>
    <t>Bắc Ninh</t>
  </si>
  <si>
    <t>Hà Nam</t>
  </si>
  <si>
    <t>Hải Dương</t>
  </si>
  <si>
    <t>Hải Phòng</t>
  </si>
  <si>
    <t>Hưng Yên</t>
  </si>
  <si>
    <t>Nam Định</t>
  </si>
  <si>
    <t>Ninh Bình</t>
  </si>
  <si>
    <t>Thái Bình</t>
  </si>
  <si>
    <t>Vĩnh Phúc</t>
  </si>
  <si>
    <t>Bà Rịa – Vũng Tàu</t>
  </si>
  <si>
    <t>Điện Biên</t>
  </si>
  <si>
    <t>Hòa Bình</t>
  </si>
  <si>
    <t>Lai Châu</t>
  </si>
  <si>
    <t>Lào Cai</t>
  </si>
  <si>
    <t>Sơn La</t>
  </si>
  <si>
    <t>Yên Bái</t>
  </si>
  <si>
    <t>Kon Tum</t>
  </si>
  <si>
    <t>Tính năng</t>
  </si>
  <si>
    <t>Lãi suất thống kê của NHNN - 20235</t>
  </si>
  <si>
    <t>Ngày trích xuất</t>
  </si>
  <si>
    <t>Lãi suất thống kê của NHNN (Đơn vị: %)</t>
  </si>
  <si>
    <t>5/2008</t>
  </si>
  <si>
    <t>6/2008</t>
  </si>
  <si>
    <t>7/2008</t>
  </si>
  <si>
    <t>8/2008</t>
  </si>
  <si>
    <t>9/2008</t>
  </si>
  <si>
    <t>10/2008</t>
  </si>
  <si>
    <t>11/2008</t>
  </si>
  <si>
    <t>12/2008</t>
  </si>
  <si>
    <t>1/2009</t>
  </si>
  <si>
    <t>2/2009</t>
  </si>
  <si>
    <t>3/2009</t>
  </si>
  <si>
    <t>4/2009</t>
  </si>
  <si>
    <t>5/2009</t>
  </si>
  <si>
    <t>6/2009</t>
  </si>
  <si>
    <t>7/2009</t>
  </si>
  <si>
    <t>8/2009</t>
  </si>
  <si>
    <t>9/2009</t>
  </si>
  <si>
    <t>10/2009</t>
  </si>
  <si>
    <t>11/2009</t>
  </si>
  <si>
    <t>12/2009</t>
  </si>
  <si>
    <t>1/2010</t>
  </si>
  <si>
    <t>2/2010</t>
  </si>
  <si>
    <t>3/2010</t>
  </si>
  <si>
    <t>4/2010</t>
  </si>
  <si>
    <t>5/2010</t>
  </si>
  <si>
    <t>6/2010</t>
  </si>
  <si>
    <t>7/2010</t>
  </si>
  <si>
    <t>8/2010</t>
  </si>
  <si>
    <t>9/2010</t>
  </si>
  <si>
    <t>10/2010</t>
  </si>
  <si>
    <t>11/2010</t>
  </si>
  <si>
    <t>12/2010</t>
  </si>
  <si>
    <t>1/2011</t>
  </si>
  <si>
    <t>2/2011</t>
  </si>
  <si>
    <t>3/2011</t>
  </si>
  <si>
    <t>4/2011</t>
  </si>
  <si>
    <t>5/2011</t>
  </si>
  <si>
    <t>6/2011</t>
  </si>
  <si>
    <t>7/2011</t>
  </si>
  <si>
    <t>8/2011</t>
  </si>
  <si>
    <t>9/2011</t>
  </si>
  <si>
    <t>10/2011</t>
  </si>
  <si>
    <t>11/2011</t>
  </si>
  <si>
    <t>12/2011</t>
  </si>
  <si>
    <t>1/2012</t>
  </si>
  <si>
    <t>2/2012</t>
  </si>
  <si>
    <t>3/2012</t>
  </si>
  <si>
    <t>4/2012</t>
  </si>
  <si>
    <t>5/2012</t>
  </si>
  <si>
    <t>6/2012</t>
  </si>
  <si>
    <t>7/2012</t>
  </si>
  <si>
    <t>8/2012</t>
  </si>
  <si>
    <t>9/2012</t>
  </si>
  <si>
    <t>10/2012</t>
  </si>
  <si>
    <t>11/2012</t>
  </si>
  <si>
    <t>12/2012</t>
  </si>
  <si>
    <t>1/2013</t>
  </si>
  <si>
    <t>2/2013</t>
  </si>
  <si>
    <t>3/2013</t>
  </si>
  <si>
    <t>4/2013</t>
  </si>
  <si>
    <t>5/2013</t>
  </si>
  <si>
    <t>6/2013</t>
  </si>
  <si>
    <t>7/2013</t>
  </si>
  <si>
    <t>8/2013</t>
  </si>
  <si>
    <t>9/2013</t>
  </si>
  <si>
    <t>10/2013</t>
  </si>
  <si>
    <t>11/2013</t>
  </si>
  <si>
    <t>12/2013</t>
  </si>
  <si>
    <t>1/2014</t>
  </si>
  <si>
    <t>2/2014</t>
  </si>
  <si>
    <t>3/2014</t>
  </si>
  <si>
    <t>4/2014</t>
  </si>
  <si>
    <t>5/2014</t>
  </si>
  <si>
    <t>6/2014</t>
  </si>
  <si>
    <t>7/2014</t>
  </si>
  <si>
    <t>8/2014</t>
  </si>
  <si>
    <t>9/2014</t>
  </si>
  <si>
    <t>10/2014</t>
  </si>
  <si>
    <t>11/2014</t>
  </si>
  <si>
    <t>12/2014</t>
  </si>
  <si>
    <t>1/2015</t>
  </si>
  <si>
    <t>3/2015</t>
  </si>
  <si>
    <t>4/2015</t>
  </si>
  <si>
    <t>5/2015</t>
  </si>
  <si>
    <t>6/2015</t>
  </si>
  <si>
    <t>7/2015</t>
  </si>
  <si>
    <t>8/2015</t>
  </si>
  <si>
    <t>9/2015</t>
  </si>
  <si>
    <t>10/2015</t>
  </si>
  <si>
    <t>11/2015</t>
  </si>
  <si>
    <t>12/2015</t>
  </si>
  <si>
    <t>1/2016</t>
  </si>
  <si>
    <t>3/2016</t>
  </si>
  <si>
    <t>4/2016</t>
  </si>
  <si>
    <t>5/2016</t>
  </si>
  <si>
    <t>6/2016</t>
  </si>
  <si>
    <t>7/2016</t>
  </si>
  <si>
    <t>9/2016</t>
  </si>
  <si>
    <t>10/2016</t>
  </si>
  <si>
    <t>11/2016</t>
  </si>
  <si>
    <t>12/2016</t>
  </si>
  <si>
    <t>4/2017</t>
  </si>
  <si>
    <t>6/2017</t>
  </si>
  <si>
    <t>7/2017</t>
  </si>
  <si>
    <t>8/2017</t>
  </si>
  <si>
    <t>10/2017</t>
  </si>
  <si>
    <t>11/2017</t>
  </si>
  <si>
    <t>12/2017</t>
  </si>
  <si>
    <t>1/2018</t>
  </si>
  <si>
    <t>2/2018</t>
  </si>
  <si>
    <t>3/2018</t>
  </si>
  <si>
    <t>4/2018</t>
  </si>
  <si>
    <t>5/2018</t>
  </si>
  <si>
    <t>6/2018</t>
  </si>
  <si>
    <t>7/2018</t>
  </si>
  <si>
    <t>8/2018</t>
  </si>
  <si>
    <t>9/2018</t>
  </si>
  <si>
    <t>10/2018</t>
  </si>
  <si>
    <t>11/2018</t>
  </si>
  <si>
    <t>12/2018</t>
  </si>
  <si>
    <t>1/2019</t>
  </si>
  <si>
    <t>7/2019</t>
  </si>
  <si>
    <t>10/2019</t>
  </si>
  <si>
    <t>11/2019</t>
  </si>
  <si>
    <t>6/2023</t>
  </si>
  <si>
    <t>7/2023</t>
  </si>
  <si>
    <t>8/2023</t>
  </si>
  <si>
    <t>9/2023</t>
  </si>
  <si>
    <t>10/2023</t>
  </si>
  <si>
    <t>11/2023</t>
  </si>
  <si>
    <t>12/2023</t>
  </si>
  <si>
    <t>1/2024</t>
  </si>
  <si>
    <t>2/2024</t>
  </si>
  <si>
    <t>3/2024</t>
  </si>
  <si>
    <t>4/2024</t>
  </si>
  <si>
    <t>5/2024</t>
  </si>
  <si>
    <t>6/2024</t>
  </si>
  <si>
    <t>7/2024</t>
  </si>
  <si>
    <t>8/2024</t>
  </si>
  <si>
    <t>9/2024</t>
  </si>
  <si>
    <t>10/2024</t>
  </si>
  <si>
    <t>11/2024</t>
  </si>
  <si>
    <t>12/2024</t>
  </si>
  <si>
    <t>1/2025</t>
  </si>
  <si>
    <t>2/2025</t>
  </si>
  <si>
    <t>3/2025</t>
  </si>
  <si>
    <t>4/2025</t>
  </si>
  <si>
    <t>5/2025</t>
  </si>
  <si>
    <t>6/2025</t>
  </si>
  <si>
    <t>7/2025</t>
  </si>
  <si>
    <t>8/2025</t>
  </si>
  <si>
    <t>9/2025</t>
  </si>
  <si>
    <t>10/2025</t>
  </si>
  <si>
    <t>11/2025</t>
  </si>
  <si>
    <t>12/2025</t>
  </si>
  <si>
    <t>Lãi suất điều hành (%)</t>
  </si>
  <si>
    <t>Lãi suất huy động bình quân 12T (%)</t>
  </si>
  <si>
    <t xml:space="preserve">   Lãi suất huy động bình quân trên 12 tháng (thấp nhất)</t>
  </si>
  <si>
    <t xml:space="preserve">   Lãi suất huy động bình quân trên 12 tháng (cao nhất)</t>
  </si>
  <si>
    <t>Lãi suất cho vay ngắn hạn bình quân (%)</t>
  </si>
  <si>
    <t>Lãi suất cho vay trung vài dài hạn bình quân (%)</t>
  </si>
  <si>
    <t xml:space="preserve">   Cho vay VND ngắn hạn (thấp nhất)</t>
  </si>
  <si>
    <t xml:space="preserve">   Cho vay VND ngắn hạn (cao nhất)</t>
  </si>
  <si>
    <t xml:space="preserve">   Cho vay VND trung và dài hạn (thấp nhất)</t>
  </si>
  <si>
    <t xml:space="preserve">   Cho vay VND trung và dài hạn (cao nhất)</t>
  </si>
  <si>
    <t xml:space="preserve">   Cho vay USD ngắn hạn (thấp nhất)</t>
  </si>
  <si>
    <t xml:space="preserve">   Cho vay USD ngắn hạn (cao nhất)</t>
  </si>
  <si>
    <t xml:space="preserve">   Cho vay USD trung và dài hạn (thấp nhất)</t>
  </si>
  <si>
    <t xml:space="preserve">   Cho vay USD trung và dài hạn (cao nhất)</t>
  </si>
  <si>
    <t>Contact</t>
  </si>
  <si>
    <t>CÔNG TY CỔ PHẦN FIINGROUP VIỆT NAM</t>
  </si>
  <si>
    <t>Trụ sở: Tầng 10, Tòa nhà PeakView, 36 Hoàng Cầu, Đống Đa, Hà Nội, Việt Nam</t>
  </si>
  <si>
    <t>Chi nhánh: Tầng 16, Tòa nhà Bitexco Financial Tower, số 2 Hải Triều , Phường Bến Nghé, Quận 1, TP. Hồ Chí Minh, Việt Nam</t>
  </si>
  <si>
    <t>Website: https://fiingroup.vn</t>
  </si>
  <si>
    <t>TRUNG TÂM CHĂM SÓC KHÁCH HÀNG</t>
  </si>
  <si>
    <t>T: (84-24) - 3562 6962 - Ext: 103</t>
  </si>
  <si>
    <t>Email: fiinpro.support@fiingroup.vn</t>
  </si>
  <si>
    <t>MWG VN Equity  (L1)</t>
  </si>
  <si>
    <t>Avg: MWG, WMT, TGT, BJ, COST, AMRT, CPALL, DOL, FIVE, DLTR, DG  (R1)</t>
  </si>
  <si>
    <t xml:space="preserve"> CPALL TB Equity  (R1) </t>
  </si>
  <si>
    <t xml:space="preserve"> LPPF IJ Equity  (R2) </t>
  </si>
  <si>
    <t xml:space="preserve"> WMT US Equity  (R1) </t>
  </si>
  <si>
    <t xml:space="preserve"> AMRT IJ Equity  (L1) </t>
  </si>
  <si>
    <t xml:space="preserve"> BJ US Equity  (R1) </t>
  </si>
  <si>
    <t xml:space="preserve"> TGT US Equity  (R1) </t>
  </si>
  <si>
    <t xml:space="preserve"> COST US Equity  (R1) </t>
  </si>
  <si>
    <t>Trung bình</t>
  </si>
  <si>
    <t xml:space="preserve"> 8267 JP Equity  (R2) </t>
  </si>
  <si>
    <t>PE Trung bình 5 năm</t>
  </si>
  <si>
    <t>Trung bình ngành</t>
  </si>
  <si>
    <t>9T/2023</t>
  </si>
  <si>
    <t>9T/2022</t>
  </si>
  <si>
    <t>Track biên</t>
  </si>
  <si>
    <t>Column3.2.1.1</t>
  </si>
  <si>
    <t>Máy tính</t>
  </si>
  <si>
    <t>Drone</t>
  </si>
  <si>
    <t>Máy chơi Game</t>
  </si>
  <si>
    <t>Điện thoại</t>
  </si>
  <si>
    <t>TV</t>
  </si>
  <si>
    <t>TB ngoại vi</t>
  </si>
  <si>
    <t>data</t>
  </si>
  <si>
    <t>name</t>
  </si>
  <si>
    <t>x</t>
  </si>
  <si>
    <t>y</t>
  </si>
  <si>
    <t>2019</t>
  </si>
  <si>
    <t>2020</t>
  </si>
  <si>
    <t>2021</t>
  </si>
  <si>
    <t>2018A</t>
  </si>
  <si>
    <t>2019A</t>
  </si>
  <si>
    <t>2020A</t>
  </si>
  <si>
    <t>2021A</t>
  </si>
  <si>
    <t>2027F</t>
  </si>
  <si>
    <t>2028F</t>
  </si>
  <si>
    <t>2022</t>
  </si>
  <si>
    <t>%Tăng trưởng ngành</t>
  </si>
  <si>
    <t>TGDĐ+ DMX</t>
  </si>
  <si>
    <t>2027</t>
  </si>
  <si>
    <t>2028</t>
  </si>
  <si>
    <t>Thị phần MWG (%)</t>
  </si>
  <si>
    <t>Total</t>
  </si>
  <si>
    <t>Bắc</t>
  </si>
  <si>
    <t>Ngành (điều chỉnh)</t>
  </si>
  <si>
    <t>stack</t>
  </si>
  <si>
    <t>TOTAL</t>
  </si>
  <si>
    <t>visible</t>
  </si>
  <si>
    <t>Computing</t>
  </si>
  <si>
    <t>Drones</t>
  </si>
  <si>
    <t>Gaming Equipment</t>
  </si>
  <si>
    <t>Telephony</t>
  </si>
  <si>
    <t>TV Peripheral Devices</t>
  </si>
  <si>
    <t>title</t>
  </si>
  <si>
    <t>text</t>
  </si>
  <si>
    <t>null</t>
  </si>
  <si>
    <t>tooltip</t>
  </si>
  <si>
    <t>backgroundColor</t>
  </si>
  <si>
    <t>black</t>
  </si>
  <si>
    <t>borderRadius</t>
  </si>
  <si>
    <t>footerFormat</t>
  </si>
  <si>
    <t/>
  </si>
  <si>
    <t>headerFormat</t>
  </si>
  <si>
    <t>pointFormat</t>
  </si>
  <si>
    <t>shadow</t>
  </si>
  <si>
    <t>shared</t>
  </si>
  <si>
    <t>useHTML</t>
  </si>
  <si>
    <t>valueDecimals</t>
  </si>
  <si>
    <t>valuePrefix</t>
  </si>
  <si>
    <t>US$</t>
  </si>
  <si>
    <t>valueSuffix</t>
  </si>
  <si>
    <t>m</t>
  </si>
  <si>
    <t>yAxis</t>
  </si>
  <si>
    <t>labels</t>
  </si>
  <si>
    <t>legend</t>
  </si>
  <si>
    <t>valueSymbol</t>
  </si>
  <si>
    <t>xxx</t>
  </si>
  <si>
    <t>Báo Cáo tài chính cho năm kết thúc ngày 31/12/2015</t>
  </si>
  <si>
    <t>Note 34</t>
  </si>
  <si>
    <t>Company Name:</t>
  </si>
  <si>
    <t>Phu Nhuan Jewelry</t>
  </si>
  <si>
    <t>CIT</t>
  </si>
  <si>
    <t>Ticker:</t>
  </si>
  <si>
    <t>Last Historical Year:</t>
  </si>
  <si>
    <t>Blue indicates hard-coded numbers.</t>
  </si>
  <si>
    <t>Valuation Date:</t>
  </si>
  <si>
    <t>Black indicates formulas.</t>
  </si>
  <si>
    <t>Green indicates links from other worksheets.</t>
  </si>
  <si>
    <t>Operating Case:</t>
  </si>
  <si>
    <t>Conservative</t>
  </si>
  <si>
    <t>CAPEX Adj</t>
  </si>
  <si>
    <t>Management</t>
  </si>
  <si>
    <t>Revenue Adj</t>
  </si>
  <si>
    <t>Days in Year:</t>
  </si>
  <si>
    <t>Share price</t>
  </si>
  <si>
    <t>Raw Data Requirement</t>
  </si>
  <si>
    <t>FS Year</t>
  </si>
  <si>
    <t>FS Quarter</t>
  </si>
  <si>
    <t>Stock Price - Vnindex</t>
  </si>
  <si>
    <t>Peer Group</t>
  </si>
  <si>
    <t>Data Title</t>
  </si>
  <si>
    <t>fiinpro_du-lieu-doanh-nghiep</t>
  </si>
  <si>
    <t>Date Of Extract</t>
  </si>
  <si>
    <t>02/19/2023</t>
  </si>
  <si>
    <t>Tên</t>
  </si>
  <si>
    <t>Sàn</t>
  </si>
  <si>
    <t>3. Doanh thu thuần Hợp nhất Năm: 2020 Quý: 4 Đơn vị: VND</t>
  </si>
  <si>
    <t>3. Doanh thu thuần Hợp nhất Năm: 2021 Quý: 4 Đơn vị: VND</t>
  </si>
  <si>
    <t>3. Doanh thu thuần Hợp nhất Năm: 2022 Quý: 4 Đơn vị: VND</t>
  </si>
  <si>
    <t>5. Lợi nhuận gộp về bán hàng và cung cấp dịch vụ Hợp nhất Năm: 2020 Quý: 4 Đơn vị: VND</t>
  </si>
  <si>
    <t>5. Lợi nhuận gộp về bán hàng và cung cấp dịch vụ Hợp nhất Năm: 2021 Quý: 4 Đơn vị: VND</t>
  </si>
  <si>
    <t>5. Lợi nhuận gộp về bán hàng và cung cấp dịch vụ Hợp nhất Năm: 2022 Quý: 4 Đơn vị: VND</t>
  </si>
  <si>
    <t>9. Chi phí bán hàng Hợp nhất Năm: 2020 Quý: 4 Đơn vị: VND</t>
  </si>
  <si>
    <t>9. Chi phí bán hàng Hợp nhất Năm: 2021 Quý: 4 Đơn vị: VND</t>
  </si>
  <si>
    <t>9. Chi phí bán hàng Hợp nhất Năm: 2022 Quý: 4 Đơn vị: VND</t>
  </si>
  <si>
    <t>10. Chi phí quản lý doanh  nghiệp Hợp nhất Năm: 2020 Quý: 4 Đơn vị: VND</t>
  </si>
  <si>
    <t>10. Chi phí quản lý doanh  nghiệp Hợp nhất Năm: 2021 Quý: 4 Đơn vị: VND</t>
  </si>
  <si>
    <t>10. Chi phí quản lý doanh  nghiệp Hợp nhất Năm: 2022 Quý: 4 Đơn vị: VND</t>
  </si>
  <si>
    <t>3. Doanh thu thuần Hợp nhất Năm: 2020 Quý: Hàng năm Đơn vị: VND</t>
  </si>
  <si>
    <t>3. Doanh thu thuần Hợp nhất Năm: 2021 Quý: Hàng năm Đơn vị: VND</t>
  </si>
  <si>
    <t>3. Doanh thu thuần Hợp nhất Năm: 2022 Quý: Hàng năm Đơn vị: VND</t>
  </si>
  <si>
    <t>5. Lợi nhuận gộp về bán hàng và cung cấp dịch vụ Hợp nhất Năm: 2020 Quý: Hàng năm Đơn vị: VND</t>
  </si>
  <si>
    <t>5. Lợi nhuận gộp về bán hàng và cung cấp dịch vụ Hợp nhất Năm: 2021 Quý: Hàng năm Đơn vị: VND</t>
  </si>
  <si>
    <t>5. Lợi nhuận gộp về bán hàng và cung cấp dịch vụ Hợp nhất Năm: 2022 Quý: Hàng năm Đơn vị: VND</t>
  </si>
  <si>
    <t>9. Chi phí bán hàng Hợp nhất Năm: 2020 Quý: Hàng năm Đơn vị: VND</t>
  </si>
  <si>
    <t>9. Chi phí bán hàng Hợp nhất Năm: 2021 Quý: Hàng năm Đơn vị: VND</t>
  </si>
  <si>
    <t>9. Chi phí bán hàng Hợp nhất Năm: 2022 Quý: Hàng năm Đơn vị: VND</t>
  </si>
  <si>
    <t>10. Chi phí quản lý doanh  nghiệp Hợp nhất Năm: 2020 Quý: Hàng năm Đơn vị: VND</t>
  </si>
  <si>
    <t>10. Chi phí quản lý doanh  nghiệp Hợp nhất Năm: 2021 Quý: Hàng năm Đơn vị: VND</t>
  </si>
  <si>
    <t>10. Chi phí quản lý doanh  nghiệp Hợp nhất Năm: 2022 Quý: Hàng năm Đơn vị: VND</t>
  </si>
  <si>
    <t>18. Lợi nhuận sau thuế thu nhập doanh nghiệp Hợp nhất Năm: 2020 Quý: Hàng năm Đơn vị: VND</t>
  </si>
  <si>
    <t>18. Lợi nhuận sau thuế thu nhập doanh nghiệp Hợp nhất Năm: 2021 Quý: Hàng năm Đơn vị: VND</t>
  </si>
  <si>
    <t>18. Lợi nhuận sau thuế thu nhập doanh nghiệp Hợp nhất Năm: 2022 Quý: Hàng năm Đơn vị: VND</t>
  </si>
  <si>
    <t>OrganShortName</t>
  </si>
  <si>
    <t>ComGroupCode</t>
  </si>
  <si>
    <t>DDE1</t>
  </si>
  <si>
    <t>DDE2</t>
  </si>
  <si>
    <t>DDE3</t>
  </si>
  <si>
    <t>DDE4</t>
  </si>
  <si>
    <t>DDE5</t>
  </si>
  <si>
    <t>DDE6</t>
  </si>
  <si>
    <t>DDE7</t>
  </si>
  <si>
    <t>DDE8</t>
  </si>
  <si>
    <t>DDE9</t>
  </si>
  <si>
    <t>DDE10</t>
  </si>
  <si>
    <t>DDE11</t>
  </si>
  <si>
    <t>DDE12</t>
  </si>
  <si>
    <t>DDE13</t>
  </si>
  <si>
    <t>DDE14</t>
  </si>
  <si>
    <t>DDE15</t>
  </si>
  <si>
    <t>DDE16</t>
  </si>
  <si>
    <t>DDE17</t>
  </si>
  <si>
    <t>DDE18</t>
  </si>
  <si>
    <t>DDE19</t>
  </si>
  <si>
    <t>DDE20</t>
  </si>
  <si>
    <t>DDE21</t>
  </si>
  <si>
    <t>DDE22</t>
  </si>
  <si>
    <t>DDE23</t>
  </si>
  <si>
    <t>DDE24</t>
  </si>
  <si>
    <t>DDE25</t>
  </si>
  <si>
    <t>DDE26</t>
  </si>
  <si>
    <t>DDE27</t>
  </si>
  <si>
    <t>Thế giới di động</t>
  </si>
  <si>
    <t>HOSE</t>
  </si>
  <si>
    <t>Bán lẻ FPT</t>
  </si>
  <si>
    <t>PETROSETCO</t>
  </si>
  <si>
    <t>Thế Giới Số</t>
  </si>
  <si>
    <t>Tập đoàn Masan</t>
  </si>
  <si>
    <t>Vàng Phú Nhuận</t>
  </si>
  <si>
    <t>SAB</t>
  </si>
  <si>
    <t>SABECO</t>
  </si>
  <si>
    <t>CÔNG TY CỔ PHẦN FIINGROUP</t>
  </si>
  <si>
    <t>Trụ sở: Tầng 10, Tòa nhà Peakview Tower, 36 Hoàng Cầu, Đống Đa, Hà Nội</t>
  </si>
  <si>
    <t>Chi nhánh TP HCM: Tầng 3, tòa nhà Profomilk Plaza - 51-53 Võ Văn Tần, Phường 6, Quận 3, TP.HCM</t>
  </si>
  <si>
    <t>Email: info@fiingroup.vn</t>
  </si>
  <si>
    <t>Tại Hà Nội</t>
  </si>
  <si>
    <t>T: (844) - 3562 6962 - Ext: 103</t>
  </si>
  <si>
    <t>Email: fiinpro@fiingroup.vn</t>
  </si>
  <si>
    <t>Tại HCM</t>
  </si>
  <si>
    <t>T: (848)- 3933 3586 - ext: 201</t>
  </si>
  <si>
    <t>02/13/2023</t>
  </si>
  <si>
    <t>3. Các khoản phải thu ngắn hạn Hợp nhất Năm: 2017 Quý: Hàng năm Đơn vị: VND</t>
  </si>
  <si>
    <t>3. Các khoản phải thu ngắn hạn Hợp nhất Năm: 2018 Quý: Hàng năm Đơn vị: VND</t>
  </si>
  <si>
    <t>3. Các khoản phải thu ngắn hạn Hợp nhất Năm: 2019 Quý: Hàng năm Đơn vị: VND</t>
  </si>
  <si>
    <t>3. Các khoản phải thu ngắn hạn Hợp nhất Năm: 2020 Quý: Hàng năm Đơn vị: VND</t>
  </si>
  <si>
    <t>3. Các khoản phải thu ngắn hạn Hợp nhất Năm: 2021 Quý: Hàng năm Đơn vị: VND</t>
  </si>
  <si>
    <t>3. Các khoản phải thu ngắn hạn Hợp nhất Năm: 2022 Quý: Hàng năm Đơn vị: VND</t>
  </si>
  <si>
    <t>3.1. Phải thu ngắn hạn của khách hàng Hợp nhất Năm: 2017 Quý: Hàng năm Đơn vị: VND</t>
  </si>
  <si>
    <t>3.1. Phải thu ngắn hạn của khách hàng Hợp nhất Năm: 2018 Quý: Hàng năm Đơn vị: VND</t>
  </si>
  <si>
    <t>3.1. Phải thu ngắn hạn của khách hàng Hợp nhất Năm: 2019 Quý: Hàng năm Đơn vị: VND</t>
  </si>
  <si>
    <t>3.1. Phải thu ngắn hạn của khách hàng Hợp nhất Năm: 2020 Quý: Hàng năm Đơn vị: VND</t>
  </si>
  <si>
    <t>3.1. Phải thu ngắn hạn của khách hàng Hợp nhất Năm: 2021 Quý: Hàng năm Đơn vị: VND</t>
  </si>
  <si>
    <t>3.1. Phải thu ngắn hạn của khách hàng Hợp nhất Năm: 2022 Quý: Hàng năm Đơn vị: VND</t>
  </si>
  <si>
    <t>3. Doanh thu thuần Hợp nhất Năm: 2017 Quý: Hàng năm Đơn vị: VND</t>
  </si>
  <si>
    <t>3. Doanh thu thuần Hợp nhất Năm: 2018 Quý: Hàng năm Đơn vị: VND</t>
  </si>
  <si>
    <t>3. Doanh thu thuần Hợp nhất Năm: 2019 Quý: Hàng năm Đơn vị: VND</t>
  </si>
  <si>
    <t>4. Hàng tồn kho, ròng Hợp nhất Năm: 2017 Quý: Hàng năm Đơn vị: VND</t>
  </si>
  <si>
    <t>4. Hàng tồn kho, ròng Hợp nhất Năm: 2018 Quý: Hàng năm Đơn vị: VND</t>
  </si>
  <si>
    <t>4. Hàng tồn kho, ròng Hợp nhất Năm: 2019 Quý: Hàng năm Đơn vị: VND</t>
  </si>
  <si>
    <t>4. Hàng tồn kho, ròng Hợp nhất Năm: 2020 Quý: Hàng năm Đơn vị: VND</t>
  </si>
  <si>
    <t>4. Hàng tồn kho, ròng Hợp nhất Năm: 2021 Quý: Hàng năm Đơn vị: VND</t>
  </si>
  <si>
    <t>4. Hàng tồn kho, ròng Hợp nhất Năm: 2022 Quý: Hàng năm Đơn vị: VND</t>
  </si>
  <si>
    <t>4.1. Hàng mua đang đi đường Hợp nhất Năm: 2017 Quý: Hàng năm Đơn vị: VND</t>
  </si>
  <si>
    <t>4.1. Hàng mua đang đi đường Hợp nhất Năm: 2018 Quý: Hàng năm Đơn vị: VND</t>
  </si>
  <si>
    <t>4.1. Hàng mua đang đi đường Hợp nhất Năm: 2019 Quý: Hàng năm Đơn vị: VND</t>
  </si>
  <si>
    <t>4.1. Hàng mua đang đi đường Hợp nhất Năm: 2020 Quý: Hàng năm Đơn vị: VND</t>
  </si>
  <si>
    <t>4.1. Hàng mua đang đi đường Hợp nhất Năm: 2021 Quý: Hàng năm Đơn vị: VND</t>
  </si>
  <si>
    <t>4.1. Hàng mua đang đi đường Hợp nhất Năm: 2022 Quý: Hàng năm Đơn vị: VND</t>
  </si>
  <si>
    <t>4.2. Nguyên liệu, vật liệu  Hợp nhất Năm: 2017 Quý: Hàng năm Đơn vị: VND</t>
  </si>
  <si>
    <t>4.2. Nguyên liệu, vật liệu  Hợp nhất Năm: 2018 Quý: Hàng năm Đơn vị: VND</t>
  </si>
  <si>
    <t>4.2. Nguyên liệu, vật liệu  Hợp nhất Năm: 2019 Quý: Hàng năm Đơn vị: VND</t>
  </si>
  <si>
    <t>4.2. Nguyên liệu, vật liệu  Hợp nhất Năm: 2020 Quý: Hàng năm Đơn vị: VND</t>
  </si>
  <si>
    <t>4.2. Nguyên liệu, vật liệu  Hợp nhất Năm: 2021 Quý: Hàng năm Đơn vị: VND</t>
  </si>
  <si>
    <t>4.2. Nguyên liệu, vật liệu  Hợp nhất Năm: 2022 Quý: Hàng năm Đơn vị: VND</t>
  </si>
  <si>
    <t>4.3. Công cụ, dụng cụ  Hợp nhất Năm: 2017 Quý: Hàng năm Đơn vị: VND</t>
  </si>
  <si>
    <t>4.3. Công cụ, dụng cụ  Hợp nhất Năm: 2018 Quý: Hàng năm Đơn vị: VND</t>
  </si>
  <si>
    <t>4.3. Công cụ, dụng cụ  Hợp nhất Năm: 2019 Quý: Hàng năm Đơn vị: VND</t>
  </si>
  <si>
    <t>4.3. Công cụ, dụng cụ  Hợp nhất Năm: 2020 Quý: Hàng năm Đơn vị: VND</t>
  </si>
  <si>
    <t>4.3. Công cụ, dụng cụ  Hợp nhất Năm: 2021 Quý: Hàng năm Đơn vị: VND</t>
  </si>
  <si>
    <t>4.3. Công cụ, dụng cụ  Hợp nhất Năm: 2022 Quý: Hàng năm Đơn vị: VND</t>
  </si>
  <si>
    <t>4.5. Thành phẩm  Hợp nhất Năm: 2017 Quý: Hàng năm Đơn vị: VND</t>
  </si>
  <si>
    <t>4.5. Thành phẩm  Hợp nhất Năm: 2018 Quý: Hàng năm Đơn vị: VND</t>
  </si>
  <si>
    <t>4.5. Thành phẩm  Hợp nhất Năm: 2019 Quý: Hàng năm Đơn vị: VND</t>
  </si>
  <si>
    <t>4.5. Thành phẩm  Hợp nhất Năm: 2020 Quý: Hàng năm Đơn vị: VND</t>
  </si>
  <si>
    <t>4.5. Thành phẩm  Hợp nhất Năm: 2021 Quý: Hàng năm Đơn vị: VND</t>
  </si>
  <si>
    <t>4.5. Thành phẩm  Hợp nhất Năm: 2022 Quý: Hàng năm Đơn vị: VND</t>
  </si>
  <si>
    <t>4.6. Hàng hóa  Hợp nhất Năm: 2017 Quý: Hàng năm Đơn vị: VND</t>
  </si>
  <si>
    <t>4.6. Hàng hóa  Hợp nhất Năm: 2018 Quý: Hàng năm Đơn vị: VND</t>
  </si>
  <si>
    <t>4.6. Hàng hóa  Hợp nhất Năm: 2019 Quý: Hàng năm Đơn vị: VND</t>
  </si>
  <si>
    <t>4.6. Hàng hóa  Hợp nhất Năm: 2020 Quý: Hàng năm Đơn vị: VND</t>
  </si>
  <si>
    <t>4.6. Hàng hóa  Hợp nhất Năm: 2021 Quý: Hàng năm Đơn vị: VND</t>
  </si>
  <si>
    <t>4.6. Hàng hóa  Hợp nhất Năm: 2022 Quý: Hàng năm Đơn vị: VND</t>
  </si>
  <si>
    <t>4.7. Hàng gửi đi bán Hợp nhất Năm: 2017 Quý: Hàng năm Đơn vị: VND</t>
  </si>
  <si>
    <t>4.7. Hàng gửi đi bán Hợp nhất Năm: 2018 Quý: Hàng năm Đơn vị: VND</t>
  </si>
  <si>
    <t>4.7. Hàng gửi đi bán Hợp nhất Năm: 2019 Quý: Hàng năm Đơn vị: VND</t>
  </si>
  <si>
    <t>4.7. Hàng gửi đi bán Hợp nhất Năm: 2020 Quý: Hàng năm Đơn vị: VND</t>
  </si>
  <si>
    <t>4.7. Hàng gửi đi bán Hợp nhất Năm: 2021 Quý: Hàng năm Đơn vị: VND</t>
  </si>
  <si>
    <t>4.7. Hàng gửi đi bán Hợp nhất Năm: 2022 Quý: Hàng năm Đơn vị: VND</t>
  </si>
  <si>
    <t>4. Giá vốn hàng bán Hợp nhất Năm: 2017 Quý: Hàng năm Đơn vị: VND</t>
  </si>
  <si>
    <t>4. Giá vốn hàng bán Hợp nhất Năm: 2018 Quý: Hàng năm Đơn vị: VND</t>
  </si>
  <si>
    <t>4. Giá vốn hàng bán Hợp nhất Năm: 2019 Quý: Hàng năm Đơn vị: VND</t>
  </si>
  <si>
    <t>4. Giá vốn hàng bán Hợp nhất Năm: 2020 Quý: Hàng năm Đơn vị: VND</t>
  </si>
  <si>
    <t>4. Giá vốn hàng bán Hợp nhất Năm: 2021 Quý: Hàng năm Đơn vị: VND</t>
  </si>
  <si>
    <t>4. Giá vốn hàng bán Hợp nhất Năm: 2022 Quý: Hàng năm Đơn vị: VND</t>
  </si>
  <si>
    <t>7.1. Trong đó: Chi phí lãi vay Hợp nhất Năm: 2017 Quý: Hàng năm Đơn vị: VND</t>
  </si>
  <si>
    <t>7.1. Trong đó: Chi phí lãi vay Hợp nhất Năm: 2018 Quý: Hàng năm Đơn vị: VND</t>
  </si>
  <si>
    <t>7.1. Trong đó: Chi phí lãi vay Hợp nhất Năm: 2019 Quý: Hàng năm Đơn vị: VND</t>
  </si>
  <si>
    <t>7.1. Trong đó: Chi phí lãi vay Hợp nhất Năm: 2020 Quý: Hàng năm Đơn vị: VND</t>
  </si>
  <si>
    <t>7.1. Trong đó: Chi phí lãi vay Hợp nhất Năm: 2021 Quý: Hàng năm Đơn vị: VND</t>
  </si>
  <si>
    <t>7.1. Trong đó: Chi phí lãi vay Hợp nhất Năm: 2022 Quý: Hàng năm Đơn vị: VND</t>
  </si>
  <si>
    <t>1.10. Vay và nợ thuê tài chính ngắn hạn Hợp nhất Năm: 2017 Quý: Hàng năm Đơn vị: VND</t>
  </si>
  <si>
    <t>1.10. Vay và nợ thuê tài chính ngắn hạn Hợp nhất Năm: 2018 Quý: Hàng năm Đơn vị: VND</t>
  </si>
  <si>
    <t>1.10. Vay và nợ thuê tài chính ngắn hạn Hợp nhất Năm: 2019 Quý: Hàng năm Đơn vị: VND</t>
  </si>
  <si>
    <t>1.10. Vay và nợ thuê tài chính ngắn hạn Hợp nhất Năm: 2020 Quý: Hàng năm Đơn vị: VND</t>
  </si>
  <si>
    <t>1.10. Vay và nợ thuê tài chính ngắn hạn Hợp nhất Năm: 2021 Quý: Hàng năm Đơn vị: VND</t>
  </si>
  <si>
    <t>1.10. Vay và nợ thuê tài chính ngắn hạn Hợp nhất Năm: 2022 Quý: Hàng năm Đơn vị: VND</t>
  </si>
  <si>
    <t>2.8. Vay và nợ thuê tài chính dài hạn Hợp nhất Năm: 2017 Quý: Hàng năm Đơn vị: VND</t>
  </si>
  <si>
    <t>2.8. Vay và nợ thuê tài chính dài hạn Hợp nhất Năm: 2018 Quý: Hàng năm Đơn vị: VND</t>
  </si>
  <si>
    <t>2.8. Vay và nợ thuê tài chính dài hạn Hợp nhất Năm: 2019 Quý: Hàng năm Đơn vị: VND</t>
  </si>
  <si>
    <t>2.8. Vay và nợ thuê tài chính dài hạn Hợp nhất Năm: 2020 Quý: Hàng năm Đơn vị: VND</t>
  </si>
  <si>
    <t>2.8. Vay và nợ thuê tài chính dài hạn Hợp nhất Năm: 2021 Quý: Hàng năm Đơn vị: VND</t>
  </si>
  <si>
    <t>2.8. Vay và nợ thuê tài chính dài hạn Hợp nhất Năm: 2022 Quý: Hàng năm Đơn vị: VND</t>
  </si>
  <si>
    <t>EBITDA Chỉ số hàng năm Năm: 2017 Đơn vị: Tỷ VND</t>
  </si>
  <si>
    <t>EBITDA Chỉ số hàng năm Năm: 2018 Đơn vị: Tỷ VND</t>
  </si>
  <si>
    <t>EBITDA Chỉ số hàng năm Năm: 2019 Đơn vị: Tỷ VND</t>
  </si>
  <si>
    <t>EBITDA Chỉ số hàng năm Năm: 2020 Đơn vị: Tỷ VND</t>
  </si>
  <si>
    <t>EBITDA Chỉ số hàng năm Năm: 2021 Đơn vị: Tỷ VND</t>
  </si>
  <si>
    <t>EBITDA Chỉ số hàng năm Năm: 2022 Đơn vị: Tỷ VND</t>
  </si>
  <si>
    <t>A. TỔNG CỘNG TÀI SẢN Hợp nhất Năm: 2017 Quý: Hàng năm Đơn vị: VND</t>
  </si>
  <si>
    <t>A. TỔNG CỘNG TÀI SẢN Hợp nhất Năm: 2018 Quý: Hàng năm Đơn vị: VND</t>
  </si>
  <si>
    <t>A. TỔNG CỘNG TÀI SẢN Hợp nhất Năm: 2019 Quý: Hàng năm Đơn vị: VND</t>
  </si>
  <si>
    <t>A. TỔNG CỘNG TÀI SẢN Hợp nhất Năm: 2020 Quý: Hàng năm Đơn vị: VND</t>
  </si>
  <si>
    <t>A. TỔNG CỘNG TÀI SẢN Hợp nhất Năm: 2021 Quý: Hàng năm Đơn vị: VND</t>
  </si>
  <si>
    <t>A. TỔNG CỘNG TÀI SẢN Hợp nhất Năm: 2022 Quý: Hàng năm Đơn vị: VND</t>
  </si>
  <si>
    <t>DDE28</t>
  </si>
  <si>
    <t>DDE29</t>
  </si>
  <si>
    <t>DDE30</t>
  </si>
  <si>
    <t>DDE31</t>
  </si>
  <si>
    <t>DDE32</t>
  </si>
  <si>
    <t>DDE33</t>
  </si>
  <si>
    <t>DDE34</t>
  </si>
  <si>
    <t>DDE35</t>
  </si>
  <si>
    <t>DDE36</t>
  </si>
  <si>
    <t>DDE37</t>
  </si>
  <si>
    <t>DDE38</t>
  </si>
  <si>
    <t>DDE39</t>
  </si>
  <si>
    <t>DDE40</t>
  </si>
  <si>
    <t>DDE41</t>
  </si>
  <si>
    <t>DDE42</t>
  </si>
  <si>
    <t>DDE43</t>
  </si>
  <si>
    <t>DDE44</t>
  </si>
  <si>
    <t>DDE45</t>
  </si>
  <si>
    <t>DDE46</t>
  </si>
  <si>
    <t>DDE47</t>
  </si>
  <si>
    <t>DDE48</t>
  </si>
  <si>
    <t>DDE49</t>
  </si>
  <si>
    <t>DDE50</t>
  </si>
  <si>
    <t>DDE51</t>
  </si>
  <si>
    <t>DDE52</t>
  </si>
  <si>
    <t>DDE53</t>
  </si>
  <si>
    <t>DDE54</t>
  </si>
  <si>
    <t>DDE55</t>
  </si>
  <si>
    <t>DDE56</t>
  </si>
  <si>
    <t>DDE57</t>
  </si>
  <si>
    <t>DDE58</t>
  </si>
  <si>
    <t>DDE59</t>
  </si>
  <si>
    <t>DDE60</t>
  </si>
  <si>
    <t>DDE61</t>
  </si>
  <si>
    <t>DDE62</t>
  </si>
  <si>
    <t>DDE63</t>
  </si>
  <si>
    <t>DDE64</t>
  </si>
  <si>
    <t>DDE65</t>
  </si>
  <si>
    <t>DDE66</t>
  </si>
  <si>
    <t>DDE67</t>
  </si>
  <si>
    <t>DDE68</t>
  </si>
  <si>
    <t>DDE69</t>
  </si>
  <si>
    <t>DDE70</t>
  </si>
  <si>
    <t>DDE71</t>
  </si>
  <si>
    <t>DDE72</t>
  </si>
  <si>
    <t>DDE73</t>
  </si>
  <si>
    <t>DDE74</t>
  </si>
  <si>
    <t>DDE75</t>
  </si>
  <si>
    <t>DDE76</t>
  </si>
  <si>
    <t>DDE77</t>
  </si>
  <si>
    <t>DDE78</t>
  </si>
  <si>
    <t>DDE79</t>
  </si>
  <si>
    <t>DDE80</t>
  </si>
  <si>
    <t>DDE81</t>
  </si>
  <si>
    <t>DDE82</t>
  </si>
  <si>
    <t>DDE83</t>
  </si>
  <si>
    <t>DDE84</t>
  </si>
  <si>
    <t>DDE85</t>
  </si>
  <si>
    <t>DDE86</t>
  </si>
  <si>
    <t>DDE87</t>
  </si>
  <si>
    <t>DDE88</t>
  </si>
  <si>
    <t>DDE89</t>
  </si>
  <si>
    <t>DDE90</t>
  </si>
  <si>
    <t>DDE91</t>
  </si>
  <si>
    <t>DDE92</t>
  </si>
  <si>
    <t>DDE93</t>
  </si>
  <si>
    <t>DDE94</t>
  </si>
  <si>
    <t>DDE95</t>
  </si>
  <si>
    <t>DDE96</t>
  </si>
  <si>
    <t>Hàng Tiêu Dùng MaSan</t>
  </si>
  <si>
    <t>UPCOM</t>
  </si>
  <si>
    <t>Masan MEATLife</t>
  </si>
  <si>
    <t>Masan High-Tech Materials</t>
  </si>
  <si>
    <t>WCM (MSN)</t>
  </si>
  <si>
    <t>Phụ lục</t>
  </si>
  <si>
    <t>Link</t>
  </si>
  <si>
    <t>Detail</t>
  </si>
  <si>
    <t xml:space="preserve">1. Doanh thu ICT+CE </t>
  </si>
  <si>
    <t xml:space="preserve">Tháng </t>
  </si>
  <si>
    <t>REV BY MONTH'!A31</t>
  </si>
  <si>
    <t>Năm+ Qúy</t>
  </si>
  <si>
    <t>REV BY YEAR'!A1</t>
  </si>
  <si>
    <t>-Sức mua suy giảm =&gt; giảm biên
- doanh thu Apple chiếm 12%DT (+30%YoY) bù đắp 1 phần mức giảm chung của ngành do mức nền thấp</t>
  </si>
  <si>
    <t>2. Doanh thu BHX</t>
  </si>
  <si>
    <t>REV BY MONTH'!A34</t>
  </si>
  <si>
    <t>REV BY YEAR'!A81</t>
  </si>
  <si>
    <t>- Giảm chi phí 1 lần ~1.5k tỷ
-Kì vọng tăng trưởng thay đổi định vị thương hiệu (1) tăng DT/CH +Traffic (2) biên giữ ổn định quanh 25% (netoff CP promotion và tiết giảm spoilage rate) và tối ưu hóa SG&amp;A/REV</t>
  </si>
  <si>
    <t>3. Valuation</t>
  </si>
  <si>
    <t>Valuation!T26</t>
  </si>
  <si>
    <t>Valuation!AA26</t>
  </si>
  <si>
    <t>4. Độ nhạy</t>
  </si>
  <si>
    <t>Sensitivity_Analysis!A1</t>
  </si>
  <si>
    <t>Indicator</t>
  </si>
  <si>
    <t>2022f</t>
  </si>
  <si>
    <t>2023f</t>
  </si>
  <si>
    <t>2025f</t>
  </si>
  <si>
    <t>2026f</t>
  </si>
  <si>
    <t>Consumer electronics devices, USDmn</t>
  </si>
  <si>
    <t>DT</t>
  </si>
  <si>
    <t>Computer hardware, USDmn</t>
  </si>
  <si>
    <t>Handsets, USDmn</t>
  </si>
  <si>
    <t>Audio visual, USDmn</t>
  </si>
  <si>
    <t xml:space="preserve">Tồn kho </t>
  </si>
  <si>
    <t>MWG_LHS</t>
  </si>
  <si>
    <t>FRT_LHS</t>
  </si>
  <si>
    <t>PSD_LHS</t>
  </si>
  <si>
    <t>DGW_LHS</t>
  </si>
  <si>
    <t>% Tổng DT các DN (YoY)_RHS</t>
  </si>
  <si>
    <t>WCP</t>
  </si>
  <si>
    <t>DT/CH/Tháng (tỷ VND)_LHS</t>
  </si>
  <si>
    <t>DT/CH/ tháng (tỷ VND)_RHS</t>
  </si>
  <si>
    <t>Số lượng cửa hàng_RHS</t>
  </si>
  <si>
    <t xml:space="preserve">SSSG (%) </t>
  </si>
  <si>
    <t>Biên EBITDA (%)</t>
  </si>
  <si>
    <t>Biên lợi nhuận gộp (%)</t>
  </si>
  <si>
    <t>%Số lượng hoá đơn tb/ ngày</t>
  </si>
  <si>
    <t>Tỷ trọng doanh thu online (%)</t>
  </si>
  <si>
    <t>% Gía trị hoá đơn/ ngày</t>
  </si>
  <si>
    <t>Số lượng hoá đơn (ngàn lượt)</t>
  </si>
  <si>
    <t>(%) SSSG</t>
  </si>
  <si>
    <t>(%)Tỷ trọng hàng fresh/DT</t>
  </si>
  <si>
    <t>(%) Tăng trưởng DT online</t>
  </si>
  <si>
    <t>DT/CH =</t>
  </si>
  <si>
    <t>Số lượng hoá đơn x</t>
  </si>
  <si>
    <t>Số lượng sản phẩm/hoá đơn x</t>
  </si>
  <si>
    <t>Gía sản phẩm</t>
  </si>
  <si>
    <t>Chuẩn hoá layout và đóng CH chưa hiệu quả</t>
  </si>
  <si>
    <t>Q4/2022-2023</t>
  </si>
  <si>
    <t>Tăng số lượt mua KH cũ</t>
  </si>
  <si>
    <t>Đưa ra đề xuất sản phẩm từng khách hàng</t>
  </si>
  <si>
    <t>Mở CH chiếm thị phần</t>
  </si>
  <si>
    <t>Q1/22-Q3/2022</t>
  </si>
  <si>
    <t>Tăng KH mới</t>
  </si>
  <si>
    <t>TPHCM</t>
  </si>
  <si>
    <t>2018-Q1/2022</t>
  </si>
  <si>
    <t>kênh online</t>
  </si>
  <si>
    <t>Miền Trung và cao nguyên</t>
  </si>
  <si>
    <t>Gi</t>
  </si>
  <si>
    <t>Điện gia dụng</t>
  </si>
  <si>
    <t>Phần cứng máy tính</t>
  </si>
  <si>
    <t>Thiết bị cầm tay</t>
  </si>
  <si>
    <t>Thiết bị âm thanh</t>
  </si>
  <si>
    <t>Điện tử - điện gia dụng</t>
  </si>
  <si>
    <t>Thị phần</t>
  </si>
  <si>
    <t>Máy chơi game</t>
  </si>
  <si>
    <t>DĐiện thoại</t>
  </si>
  <si>
    <t>TV, radio và phương tiện truyền thông</t>
  </si>
  <si>
    <t>https://www.dienmayxanh.com/kinh-nghiem-hay/ky-niem-dien-may-xanhchang-duong-10-nam-voi-1000-s-1226980</t>
  </si>
  <si>
    <t>Số lượng cửa hàng</t>
  </si>
  <si>
    <t>Gía trị thị trường</t>
  </si>
  <si>
    <t>TGDĐ + ĐMX ( ngàn tỷ VND)</t>
  </si>
  <si>
    <t>Khác (ngàn tỷ VND)</t>
  </si>
  <si>
    <t>Thị phần TGDĐ VÀ ĐMX (%)</t>
  </si>
  <si>
    <t>TGDĐ +ĐMX</t>
  </si>
  <si>
    <t>Lỗ (1 lần)</t>
  </si>
  <si>
    <t>Lãi/ lỗ khác</t>
  </si>
  <si>
    <t>LNTT Q1/23</t>
  </si>
  <si>
    <t>Biên LNHĐ(%)</t>
  </si>
  <si>
    <t>FPT shop</t>
  </si>
  <si>
    <t>Biên EBITDA(%)</t>
  </si>
  <si>
    <t>(%) TT DT online</t>
  </si>
  <si>
    <t>%SL hoá đơn tb/ ngày</t>
  </si>
  <si>
    <t>% Gía trị HD/ ngày</t>
  </si>
  <si>
    <t>DT/CH/THÁNG</t>
  </si>
  <si>
    <t>2023E</t>
  </si>
  <si>
    <t>Doanh thu/CH (tỷ VND)</t>
  </si>
  <si>
    <t>Doanh thu online</t>
  </si>
  <si>
    <t>Sở hữu tập khách hàng lớn (triệu KH</t>
  </si>
  <si>
    <t xml:space="preserve">Điện máy xanh </t>
  </si>
  <si>
    <t>Bách hoá xanh</t>
  </si>
  <si>
    <t xml:space="preserve"> Month </t>
  </si>
  <si>
    <t xml:space="preserve"> VinMart visits </t>
  </si>
  <si>
    <t xml:space="preserve"> Bach hoa xanh visits </t>
  </si>
  <si>
    <t xml:space="preserve"> VinMart page views </t>
  </si>
  <si>
    <t xml:space="preserve"> Bach hoa xanh page views </t>
  </si>
  <si>
    <t xml:space="preserve"> Jan 2022 </t>
  </si>
  <si>
    <t xml:space="preserve"> 1.3 million </t>
  </si>
  <si>
    <t xml:space="preserve"> 1.9 million </t>
  </si>
  <si>
    <t xml:space="preserve"> 5.2 million </t>
  </si>
  <si>
    <t xml:space="preserve"> 8.1 million </t>
  </si>
  <si>
    <t xml:space="preserve"> Feb 2022 </t>
  </si>
  <si>
    <t xml:space="preserve"> 1.4 million </t>
  </si>
  <si>
    <t xml:space="preserve"> 2.0 million </t>
  </si>
  <si>
    <t xml:space="preserve"> 5.6 million </t>
  </si>
  <si>
    <t xml:space="preserve"> 8.5 million </t>
  </si>
  <si>
    <t xml:space="preserve"> Mar 2022 </t>
  </si>
  <si>
    <t xml:space="preserve"> 1.5 million </t>
  </si>
  <si>
    <t xml:space="preserve"> 2.2 million </t>
  </si>
  <si>
    <t xml:space="preserve"> 6.0 million </t>
  </si>
  <si>
    <t xml:space="preserve"> 9.4 million </t>
  </si>
  <si>
    <t xml:space="preserve"> Apr 2022 </t>
  </si>
  <si>
    <t xml:space="preserve"> 2.1 million </t>
  </si>
  <si>
    <t xml:space="preserve"> 8.9 million </t>
  </si>
  <si>
    <t xml:space="preserve"> Website </t>
  </si>
  <si>
    <t xml:space="preserve"> Total visits (April 2023) </t>
  </si>
  <si>
    <t xml:space="preserve"> Total visits (April 2022) </t>
  </si>
  <si>
    <t xml:space="preserve"> Total visits (April 2021) </t>
  </si>
  <si>
    <t xml:space="preserve"> Total visits (April 2020) </t>
  </si>
  <si>
    <t xml:space="preserve"> Bounce rate (April 2023) </t>
  </si>
  <si>
    <t xml:space="preserve"> Pages per visit (April 2023) </t>
  </si>
  <si>
    <t xml:space="preserve"> Avg. visit duration (April 2023) </t>
  </si>
  <si>
    <t xml:space="preserve">thegioididong.com </t>
  </si>
  <si>
    <t xml:space="preserve"> 00:03:45 </t>
  </si>
  <si>
    <t xml:space="preserve"> dienmayxanh.com </t>
  </si>
  <si>
    <t xml:space="preserve"> 00:03:51 </t>
  </si>
  <si>
    <t>Tiềm năng tăng giá BHX</t>
  </si>
  <si>
    <t>2024F- 2028F</t>
  </si>
  <si>
    <t>2022-2023E</t>
  </si>
  <si>
    <t>2016-2021</t>
  </si>
  <si>
    <t>DT/CH/ tháng (tỷ/VND)</t>
  </si>
  <si>
    <t>Biến động
từ 0.5 đến 1.5</t>
  </si>
  <si>
    <t>Xu hướng tăng
từ 1 đến 1.8 tỷ</t>
  </si>
  <si>
    <t>Xu hướng tăng
từ 1.8 đến 2</t>
  </si>
  <si>
    <t>SKUs</t>
  </si>
  <si>
    <t>5,000+</t>
  </si>
  <si>
    <t>2,000-3,000</t>
  </si>
  <si>
    <t>Biên LNG (%)</t>
  </si>
  <si>
    <t>14%-26%</t>
  </si>
  <si>
    <t>từ 25% đến 26%</t>
  </si>
  <si>
    <t>Biên HĐ (%)</t>
  </si>
  <si>
    <t>Vốn hoá (tỷ VND)</t>
  </si>
  <si>
    <t>9627 JP Equity</t>
  </si>
  <si>
    <t>2664 JP Equity</t>
  </si>
  <si>
    <t>FRAGUAB MM Equity</t>
  </si>
  <si>
    <t>3148 JP Equity</t>
  </si>
  <si>
    <t>DCP SJ Equity</t>
  </si>
  <si>
    <t>DOCM SW Equity</t>
  </si>
  <si>
    <t>9267 JP Equity</t>
  </si>
  <si>
    <t>6469 TT Equity</t>
  </si>
  <si>
    <t>KAEF IJ Equity</t>
  </si>
  <si>
    <t>603883 CH Equity</t>
  </si>
  <si>
    <t>600713 CH Equity</t>
  </si>
  <si>
    <t>3341 JP Equity</t>
  </si>
  <si>
    <t>APTK RM Equity</t>
  </si>
  <si>
    <t>3034 JP Equity</t>
  </si>
  <si>
    <t>RAD US Equity</t>
  </si>
  <si>
    <t>600833 CH Equity</t>
  </si>
  <si>
    <t>SAE GR Equity</t>
  </si>
  <si>
    <t>0002727D US Equity</t>
  </si>
  <si>
    <t>7679 JP Equity</t>
  </si>
  <si>
    <t>AMRT IJ Equity</t>
  </si>
  <si>
    <t>002697 CH Equity</t>
  </si>
  <si>
    <t>601116 CH Equity</t>
  </si>
  <si>
    <t>RRHI PM Equity</t>
  </si>
  <si>
    <t>000501 CH Equity</t>
  </si>
  <si>
    <t>BJC TB Equity</t>
  </si>
  <si>
    <t>600785 CH Equity</t>
  </si>
  <si>
    <t>002336 CH Equity</t>
  </si>
  <si>
    <t>002264 CH Equity</t>
  </si>
  <si>
    <t>SEVN PM Equity</t>
  </si>
  <si>
    <t>MIDI IJ Equity</t>
  </si>
  <si>
    <t>Bách hóa xanh đã thay đổi như nào</t>
  </si>
  <si>
    <t>Theo chiều dọc</t>
  </si>
  <si>
    <t>Số lượng cửa hàng TGDĐ và ĐMX</t>
  </si>
  <si>
    <t>ĐMS</t>
  </si>
  <si>
    <t>DT/CH/ Tháng</t>
  </si>
  <si>
    <t>Biên EBITDA</t>
  </si>
  <si>
    <t xml:space="preserve">EBIT </t>
  </si>
  <si>
    <t>CH ở TPHCM</t>
  </si>
  <si>
    <t>&lt;41%</t>
  </si>
  <si>
    <t>- Bán hàng tươi sống 40%</t>
  </si>
  <si>
    <t xml:space="preserve"> - Bán hàng tươi sống 50%
- Thử nghiệm mô hình bán đồ gia dụng</t>
  </si>
  <si>
    <t>- Bán hàng tươi sống 50%
- mở rộng cửa hàng tại khu vực Nam bộ và Nam Trung Bộ, đẩy  nhanh việc chuyển đổi và mở CH sz lớn
- Đàm phán biên với nhà cung cấp FMCGs và cải thiện chi phí của khâu phân phối</t>
  </si>
  <si>
    <t>- Bán hàng tươi sống 50%
- Sức mua tăng đột biến tác động tích cực lên DT/CH
- Đàm phán biên với nhà cung cấp FMCGs và cải thiện chi phí của khâu phân phối</t>
  </si>
  <si>
    <t>- Bán hàng tươi sống 50%
- Thử nghiệm mô hình bán đồ gia dụng</t>
  </si>
  <si>
    <t>'-Cạnh tranh với chợ</t>
  </si>
  <si>
    <t>DA</t>
  </si>
  <si>
    <t>Những thay đổi trước và sau khi tái cấu trúc</t>
  </si>
  <si>
    <t>DH TB/CH (tỷ đồng)</t>
  </si>
  <si>
    <t>Số lượng giao dịch/ CH (ngàn hóa đơn/tháng)</t>
  </si>
  <si>
    <t>Tỷ lệ doanh thu online</t>
  </si>
  <si>
    <t>Tỷ lệ hàng tươi sống</t>
  </si>
  <si>
    <t>Số lượng cửa hàng  diện tích &gt;500m2</t>
  </si>
  <si>
    <t>Bối cảnh thị trường</t>
  </si>
  <si>
    <t>- Nhu cầu tiêu dùng tăng cao do nhu cầu tích trữ</t>
  </si>
  <si>
    <t>Sau giai đoạn nhu cầu cao, NTD cẩn thận trọng trong chi tiêu hơn</t>
  </si>
  <si>
    <t>Trung bình DT/CH (BHX)</t>
  </si>
  <si>
    <t>Trung bình doanh thu tháng WCM (tỷ)</t>
  </si>
  <si>
    <t>No store</t>
  </si>
  <si>
    <t>Marketshare of GT</t>
  </si>
  <si>
    <t>ch/kho</t>
  </si>
  <si>
    <t>Alfamart</t>
  </si>
  <si>
    <t>https://alfamart.co.id/storage/corporate-presentation/July2020/0dWGJD3LKdGW5K33J9HJ.pdf</t>
  </si>
  <si>
    <t>Cirle K</t>
  </si>
  <si>
    <t>Family mart</t>
  </si>
  <si>
    <t>Satra food</t>
  </si>
  <si>
    <t xml:space="preserve">So sánh </t>
  </si>
  <si>
    <t>TGDĐ và ĐMX 2023 =&gt; Thay đổi về tăng trưởng DT &amp; Biên ròng =&gt; NPAT + ĐỊNH GIÁ</t>
  </si>
  <si>
    <t>BHX lãi lỗ =&gt; THAY ĐỔI BIÊN GỘP VÀ DT/CH đến định giá</t>
  </si>
  <si>
    <t>Rev (TGDĐ+DMX)</t>
  </si>
  <si>
    <t>Adjusted TGDĐ+DMX</t>
  </si>
  <si>
    <t>%DT/%BLNHĐ</t>
  </si>
  <si>
    <t>Tác động đến EBITDA</t>
  </si>
  <si>
    <t>GPM =2022</t>
  </si>
  <si>
    <t>GPM =2023F</t>
  </si>
  <si>
    <t>NPAT_Adjusted TGDĐ+DMX</t>
  </si>
  <si>
    <t>Tác động đến Lợi nhuận sau thuế 2023 của MWG (Tỷ VND)</t>
  </si>
  <si>
    <t>DT/CH/Tháng (tỷ VND)</t>
  </si>
  <si>
    <t>Tác động đến EBIT</t>
  </si>
  <si>
    <t>% Thay đổi NPAT so với dự phóng</t>
  </si>
  <si>
    <t>DT/CH/THÁNG TB ( tỷ vnd/tháng)</t>
  </si>
  <si>
    <t>EPS_MWG</t>
  </si>
  <si>
    <t>TP+MWG</t>
  </si>
  <si>
    <t>Thay đổi PS ĐẾN ĐỊNH GIÁ</t>
  </si>
  <si>
    <t>Gía trị_ICT+CE/CP</t>
  </si>
  <si>
    <t>Thay đổi PE ảnh hưởng đến định giá CE+ICT</t>
  </si>
  <si>
    <t xml:space="preserve">EV_BHX/Shares </t>
  </si>
  <si>
    <t>Calculating ERP for Viet Nam, using Damodaran's data &amp; approach:</t>
  </si>
  <si>
    <t>Multiplier</t>
  </si>
  <si>
    <r>
      <t>Equity Risk Premium (R</t>
    </r>
    <r>
      <rPr>
        <vertAlign val="subscript"/>
        <sz val="10"/>
        <rFont val="Arial"/>
        <family val="2"/>
      </rPr>
      <t>M</t>
    </r>
    <r>
      <rPr>
        <sz val="10"/>
        <rFont val="Arial"/>
        <family val="2"/>
      </rPr>
      <t>-R</t>
    </r>
    <r>
      <rPr>
        <vertAlign val="subscript"/>
        <sz val="10"/>
        <rFont val="Arial"/>
        <family val="2"/>
      </rPr>
      <t>f</t>
    </r>
    <r>
      <rPr>
        <sz val="10"/>
        <rFont val="Arial"/>
        <family val="2"/>
      </rPr>
      <t>) of US</t>
    </r>
  </si>
  <si>
    <t>Method 1</t>
  </si>
  <si>
    <t>Method 2</t>
  </si>
  <si>
    <t>Sovereign spread</t>
  </si>
  <si>
    <t>CRP (Equity Country Risk Premium)</t>
  </si>
  <si>
    <t>ERP (Equity risk premium) for Vietnam</t>
  </si>
  <si>
    <t>Choose Method</t>
  </si>
  <si>
    <t>Discount Rate Calculation - Assumptions</t>
  </si>
  <si>
    <t>Risk-Free Rate:</t>
  </si>
  <si>
    <t>Equity Risk Premium:</t>
  </si>
  <si>
    <t>Interest Rate on Debt:</t>
  </si>
  <si>
    <t>Choose i/r</t>
  </si>
  <si>
    <t>Peer Group (Emerging Market)</t>
  </si>
  <si>
    <t>Comparable Companies - Unlevered Beta Calculation</t>
  </si>
  <si>
    <t>Company Name</t>
  </si>
  <si>
    <t>D/(D+E)</t>
  </si>
  <si>
    <t>E/(D+E)</t>
  </si>
  <si>
    <t>Mean (Peer Group VietNam)</t>
  </si>
  <si>
    <t>Index Calculation</t>
  </si>
  <si>
    <t>Choose Capital Structure to Calculate WACC</t>
  </si>
  <si>
    <t>Cost of Equity</t>
  </si>
  <si>
    <t>WACC = Cost of Equity * % Equity + Cost of Debt * % Debt * (1 - Tax Rate) + Cost of Preferred Stock * % Preferred Stock</t>
  </si>
  <si>
    <t>Thu nhập TC, ròng</t>
  </si>
  <si>
    <t>Nhóm chỉ số</t>
  </si>
  <si>
    <t>Mảng kinh doanh chính</t>
  </si>
  <si>
    <t>Tình hình kinh doanh</t>
  </si>
  <si>
    <t>Biên LNTT</t>
  </si>
  <si>
    <t>province_new</t>
  </si>
  <si>
    <t>province_old</t>
  </si>
  <si>
    <t>31/12/2024</t>
  </si>
  <si>
    <t>27/11/2025</t>
  </si>
  <si>
    <t>29/12/2025</t>
  </si>
  <si>
    <t>new_dec</t>
  </si>
  <si>
    <t>new_mom</t>
  </si>
  <si>
    <t>YTD_dec</t>
  </si>
  <si>
    <t>MOM_dec</t>
  </si>
  <si>
    <t>yoy</t>
  </si>
  <si>
    <t>mom</t>
  </si>
  <si>
    <t>An Giang, Kiên Giang</t>
  </si>
  <si>
    <t>Bạc Liêu, Cà Mau</t>
  </si>
  <si>
    <t>Bình Định, Gia Lai</t>
  </si>
  <si>
    <t>Khánh Hòa, Ninh Thuận</t>
  </si>
  <si>
    <t>Bình Thuận, Đắk Nông, Lâm Đồng</t>
  </si>
  <si>
    <t>Kon Tum, Quảng Ngãi</t>
  </si>
  <si>
    <t>Quảng Bình, Quảng Trị</t>
  </si>
  <si>
    <t>TP. Cần Thơ</t>
  </si>
  <si>
    <t>Cần Thơ, Hậu Giang, Sóc Trăng</t>
  </si>
  <si>
    <t>TP. Huế</t>
  </si>
  <si>
    <t>Thành phố Huế</t>
  </si>
  <si>
    <t>TP. Hồ Chí Minh, Bà Rịa - Vũng Tàu, Bình Dương</t>
  </si>
  <si>
    <t>TP. Đà Nẵng</t>
  </si>
  <si>
    <t>Đà Nẵng, Quảng Nam</t>
  </si>
  <si>
    <t>Long An, Tây Ninh</t>
  </si>
  <si>
    <t>Bến Tre, Trà Vinh, Vĩnh Long</t>
  </si>
  <si>
    <t>Đắk Lắk, Phú Yên</t>
  </si>
  <si>
    <t>Bình Phước, Đồng Nai</t>
  </si>
  <si>
    <t>Đồng Tháp, Tiền Giang</t>
  </si>
  <si>
    <t>All Provinces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</si>
</sst>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2">
    <numFmt numFmtId="41" formatCode="_(* #,##0_);_(* \(#,##0\);_(* &quot;-&quot;_);_(@_)"/>
    <numFmt numFmtId="43" formatCode="_(* #,##0.00_);_(* \(#,##0.00\);_(* &quot;-&quot;??_);_(@_)"/>
    <numFmt numFmtId="164" formatCode="&quot;$&quot;#,##0_);\(&quot;$&quot;#,##0\)"/>
    <numFmt numFmtId="165" formatCode="_(&quot;$&quot;* #,##0_);_(&quot;$&quot;* \(#,##0\);_(&quot;$&quot;* &quot;-&quot;_);_(@_)"/>
    <numFmt numFmtId="166" formatCode="_-* #,##0_-;\-* #,##0_-;_-* &quot;-&quot;_-;_-@_-"/>
    <numFmt numFmtId="167" formatCode="_-* #,##0.00_-;\-* #,##0.00_-;_-* &quot;-&quot;??_-;_-@_-"/>
    <numFmt numFmtId="168" formatCode="&quot;$&quot;#,##0.00"/>
    <numFmt numFmtId="169" formatCode="_(* #,##0_);_(* \(#,##0\);_(* &quot;-&quot;??_);_(@_)"/>
    <numFmt numFmtId="170" formatCode="[$VND]\ #,##0"/>
    <numFmt numFmtId="171" formatCode="0.0%"/>
    <numFmt numFmtId="172" formatCode="[$VND]\ #,##0_);\([$VND]\ #,##0\)"/>
    <numFmt numFmtId="173" formatCode="&quot;VND &quot;#,##0_);\(&quot;VND &quot;#,##0\);&quot;OK!&quot;;&quot;ERROR&quot;"/>
    <numFmt numFmtId="174" formatCode="#,##0_ ;[Red]\-#,##0\ "/>
    <numFmt numFmtId="175" formatCode="&quot;FY &quot;####"/>
    <numFmt numFmtId="176" formatCode="&quot;FY &quot;\ ####&quot;E&quot;"/>
    <numFmt numFmtId="177" formatCode="0.00\ &quot;days&quot;"/>
    <numFmt numFmtId="178" formatCode="0.0\ &quot;days&quot;"/>
    <numFmt numFmtId="179" formatCode="0\ &quot;years&quot;"/>
    <numFmt numFmtId="180" formatCode="[$VND]\ #,##0.00_);\([$VND]\ #,##0.00\)"/>
    <numFmt numFmtId="181" formatCode="_(* #,##0.0000000_);_(* \(#,##0.0000000\);_(* &quot;-&quot;??_);_(@_)"/>
    <numFmt numFmtId="182" formatCode="#,##0.00000000000_);\(#,##0.00000000000\)"/>
    <numFmt numFmtId="183" formatCode="0.00_);\(0.00\)"/>
    <numFmt numFmtId="184" formatCode="0.00%;\(0.00%\)"/>
    <numFmt numFmtId="185" formatCode="&quot;FY&quot;\ yyyy&quot;E&quot;"/>
    <numFmt numFmtId="186" formatCode="&quot;Yes&quot;;&quot;Yes&quot;;&quot;No&quot;"/>
    <numFmt numFmtId="187" formatCode="0.0\ \x"/>
    <numFmt numFmtId="188" formatCode="0.0"/>
    <numFmt numFmtId="189" formatCode="0.0%;\(0.0%\)"/>
    <numFmt numFmtId="190" formatCode="0.0%;[Red]\-0.0%"/>
    <numFmt numFmtId="191" formatCode="&quot;FY&quot;\ ####"/>
    <numFmt numFmtId="192" formatCode="0.0\ \x;[Red]\ \-0.0\ \x"/>
    <numFmt numFmtId="193" formatCode="_(* #,##0.0_);_(* \(#,##0.0\);_(* &quot;-&quot;??_);_(@_)"/>
    <numFmt numFmtId="194" formatCode="0.000%"/>
    <numFmt numFmtId="195" formatCode="&quot;VND &quot;#,##0.000_);\(&quot;VND &quot;#,##0.000\);&quot;OK!&quot;;&quot;ERROR&quot;"/>
    <numFmt numFmtId="196" formatCode="&quot;FY&quot;\ yyyy&quot;&quot;"/>
    <numFmt numFmtId="197" formatCode="#,##0.000000"/>
    <numFmt numFmtId="198" formatCode="_(* #,##0.000_);_(* \(#,##0.000\);_(* &quot;-&quot;??_);_(@_)"/>
    <numFmt numFmtId="199" formatCode="0.000"/>
    <numFmt numFmtId="200" formatCode="_-* #,##0.00\ _₫_-;\-* #,##0.00\ _₫_-;_-* &quot;-&quot;??\ _₫_-;_-@_-"/>
    <numFmt numFmtId="201" formatCode="_-* #,##0.0000\ _₫_-;\-* #,##0.0000\ _₫_-;_-* &quot;-&quot;??\ _₫_-;_-@_-"/>
    <numFmt numFmtId="202" formatCode="_-* #,##0.000\ _₫_-;\-* #,##0.000\ _₫_-;_-* &quot;-&quot;??\ _₫_-;_-@_-"/>
    <numFmt numFmtId="203" formatCode="_-* #,##0.00000\ _₫_-;\-* #,##0.00000\ _₫_-;_-* &quot;-&quot;??\ _₫_-;_-@_-"/>
    <numFmt numFmtId="204" formatCode="_(* #,##0.0000_);_(* \(#,##0.0000\);_(* &quot;-&quot;??_);_(@_)"/>
    <numFmt numFmtId="205" formatCode="_(* #,##0_);_(* \(#,##0\);_(* &quot;-&quot;?_);_(@_)"/>
    <numFmt numFmtId="206" formatCode="#,##0.0"/>
    <numFmt numFmtId="207" formatCode="_(* #,##0.00000_);_(* \(#,##0.00000\);_(* &quot;-&quot;??_);_(@_)"/>
    <numFmt numFmtId="208" formatCode="_(* #,##0.0_);_(* \(#,##0.0\);_(* &quot;-&quot;?_);_(@_)"/>
    <numFmt numFmtId="209" formatCode="0.0000%"/>
    <numFmt numFmtId="210" formatCode="mm/dd/yyyy"/>
    <numFmt numFmtId="211" formatCode="#,###"/>
    <numFmt numFmtId="212" formatCode="_-* #,##0.0\ _₫_-;\-* #,##0.0\ _₫_-;_-* &quot;-&quot;??\ _₫_-;_-@_-"/>
    <numFmt numFmtId="213" formatCode="0.0000"/>
    <numFmt numFmtId="214" formatCode="#,##0_);\ \(#,##0\);\ \-\-_)"/>
    <numFmt numFmtId="215" formatCode="0.0%_);\ \(0.0%\)"/>
    <numFmt numFmtId="216" formatCode="_-* #,##0\ [$₫-42A]_-;\-* #,##0\ [$₫-42A]_-;_-* &quot;-&quot;\ [$₫-42A]_-;_-@_-"/>
    <numFmt numFmtId="217" formatCode="_-* #,##0_-;\-* #,##0_-;_-* &quot;-&quot;??_-;_-@_-"/>
    <numFmt numFmtId="218" formatCode="_-* #,##0\ [$₫-42A]_-;\-* #,##0\ [$₫-42A]_-;_-* &quot;-&quot;??\ [$₫-42A]_-;_-@_-"/>
    <numFmt numFmtId="219" formatCode="_-* #,##0.00\ [$₫-42A]_-;\-* #,##0.00\ [$₫-42A]_-;_-* &quot;-&quot;??\ [$₫-42A]_-;_-@_-"/>
    <numFmt numFmtId="220" formatCode="0.0\ &quot;đpt&quot;"/>
    <numFmt numFmtId="221" formatCode="_-* #,##0\ _₫_-;\-* #,##0\ _₫_-;_-* &quot;-&quot;??\ _₫_-;_-@_-"/>
    <numFmt numFmtId="222" formatCode="&quot;+&quot;0%"/>
    <numFmt numFmtId="223" formatCode="_-* #,##0.0_-;\-* #,##0.0_-;_-* &quot;-&quot;_-;_-@_-"/>
  </numFmts>
  <fonts count="240">
    <font>
      <sz val="11"/>
      <color theme="1"/>
      <name val="Calibri"/>
      <family val="2"/>
      <scheme val="minor"/>
    </font>
    <font>
      <sz val="10"/>
      <color theme="1"/>
      <name val="Arial"/>
      <family val="2"/>
      <charset val="163"/>
    </font>
    <font>
      <sz val="12"/>
      <color theme="1"/>
      <name val="Gill Sans MT"/>
      <family val="2"/>
    </font>
    <font>
      <sz val="11"/>
      <color theme="1"/>
      <name val="Calibri"/>
      <family val="2"/>
      <scheme val="minor"/>
    </font>
    <font>
      <b/>
      <sz val="11"/>
      <color theme="1"/>
      <name val="Calibri"/>
      <family val="2"/>
      <scheme val="minor"/>
    </font>
    <font>
      <b/>
      <sz val="10"/>
      <color indexed="9"/>
      <name val="Arial"/>
      <family val="2"/>
    </font>
    <font>
      <b/>
      <u/>
      <sz val="10"/>
      <color indexed="9"/>
      <name val="Arial"/>
      <family val="2"/>
    </font>
    <font>
      <u/>
      <sz val="10"/>
      <color indexed="9"/>
      <name val="Arial"/>
      <family val="2"/>
    </font>
    <font>
      <sz val="11"/>
      <name val="Calibri"/>
      <family val="2"/>
      <scheme val="minor"/>
    </font>
    <font>
      <sz val="11"/>
      <color rgb="FF0070C0"/>
      <name val="Calibri"/>
      <family val="2"/>
      <scheme val="minor"/>
    </font>
    <font>
      <b/>
      <sz val="11"/>
      <color rgb="FF0070C0"/>
      <name val="Calibri"/>
      <family val="2"/>
      <scheme val="minor"/>
    </font>
    <font>
      <b/>
      <sz val="11"/>
      <color rgb="FF00B050"/>
      <name val="Calibri"/>
      <family val="2"/>
      <scheme val="minor"/>
    </font>
    <font>
      <i/>
      <sz val="11"/>
      <color theme="1"/>
      <name val="Calibri"/>
      <family val="2"/>
      <scheme val="minor"/>
    </font>
    <font>
      <sz val="10"/>
      <name val="Arial"/>
      <family val="2"/>
    </font>
    <font>
      <sz val="11"/>
      <color rgb="FF00B050"/>
      <name val="Calibri"/>
      <family val="2"/>
      <scheme val="minor"/>
    </font>
    <font>
      <sz val="11"/>
      <color theme="4" tint="-0.249977111117893"/>
      <name val="Calibri"/>
      <family val="2"/>
      <scheme val="minor"/>
    </font>
    <font>
      <b/>
      <i/>
      <sz val="11"/>
      <color theme="1"/>
      <name val="Calibri"/>
      <family val="2"/>
      <scheme val="minor"/>
    </font>
    <font>
      <b/>
      <sz val="11"/>
      <color theme="0"/>
      <name val="Calibri"/>
      <family val="2"/>
      <scheme val="minor"/>
    </font>
    <font>
      <b/>
      <sz val="10"/>
      <color theme="0"/>
      <name val="Arial"/>
      <family val="2"/>
    </font>
    <font>
      <sz val="11"/>
      <color rgb="FFFF0000"/>
      <name val="Calibri"/>
      <family val="2"/>
      <scheme val="minor"/>
    </font>
    <font>
      <b/>
      <sz val="11"/>
      <color rgb="FFFF0000"/>
      <name val="Calibri"/>
      <family val="2"/>
      <scheme val="minor"/>
    </font>
    <font>
      <b/>
      <sz val="10"/>
      <name val="Arial"/>
      <family val="2"/>
    </font>
    <font>
      <sz val="10"/>
      <color indexed="12"/>
      <name val="Arial"/>
      <family val="2"/>
    </font>
    <font>
      <vertAlign val="subscript"/>
      <sz val="10"/>
      <name val="Arial"/>
      <family val="2"/>
    </font>
    <font>
      <b/>
      <sz val="10"/>
      <color rgb="FF00B050"/>
      <name val="Arial"/>
      <family val="2"/>
    </font>
    <font>
      <sz val="10"/>
      <color rgb="FF00B050"/>
      <name val="Arial"/>
      <family val="2"/>
    </font>
    <font>
      <sz val="9"/>
      <name val="Arial"/>
      <family val="2"/>
    </font>
    <font>
      <sz val="11"/>
      <color theme="0"/>
      <name val="Calibri"/>
      <family val="2"/>
      <scheme val="minor"/>
    </font>
    <font>
      <u/>
      <sz val="11"/>
      <color rgb="FF0000FF"/>
      <name val="Calibri"/>
      <family val="2"/>
    </font>
    <font>
      <sz val="12"/>
      <color theme="0"/>
      <name val="Gill Sans MT"/>
      <family val="2"/>
    </font>
    <font>
      <sz val="12"/>
      <color rgb="FF9C6500"/>
      <name val="Gill Sans MT"/>
      <family val="2"/>
    </font>
    <font>
      <sz val="10"/>
      <color rgb="FF0070C0"/>
      <name val="Arial"/>
      <family val="2"/>
    </font>
    <font>
      <b/>
      <sz val="11"/>
      <color theme="1"/>
      <name val="Calibri"/>
      <family val="2"/>
      <charset val="163"/>
      <scheme val="minor"/>
    </font>
    <font>
      <u/>
      <sz val="10"/>
      <color rgb="FF002060"/>
      <name val="Arial"/>
      <family val="2"/>
    </font>
    <font>
      <b/>
      <sz val="11"/>
      <color rgb="FFFFFFFF"/>
      <name val="Calibri"/>
      <family val="2"/>
    </font>
    <font>
      <sz val="8"/>
      <color theme="1"/>
      <name val="Trebuchet MS"/>
      <family val="2"/>
    </font>
    <font>
      <b/>
      <sz val="8"/>
      <color theme="1"/>
      <name val="Trebuchet MS"/>
      <family val="2"/>
    </font>
    <font>
      <b/>
      <sz val="11"/>
      <color theme="0"/>
      <name val="Calibri"/>
      <family val="2"/>
    </font>
    <font>
      <sz val="9"/>
      <color indexed="81"/>
      <name val="Tahoma"/>
      <family val="2"/>
    </font>
    <font>
      <b/>
      <sz val="9"/>
      <color indexed="81"/>
      <name val="Tahoma"/>
      <family val="2"/>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i/>
      <sz val="11"/>
      <color rgb="FF7F7F7F"/>
      <name val="Calibri"/>
      <family val="2"/>
      <scheme val="minor"/>
    </font>
    <font>
      <sz val="10"/>
      <name val="Arial"/>
      <family val="2"/>
    </font>
    <font>
      <b/>
      <sz val="12"/>
      <color theme="1"/>
      <name val="Trebuchet MS"/>
      <family val="2"/>
    </font>
    <font>
      <sz val="12"/>
      <color theme="1"/>
      <name val="Trebuchet MS"/>
      <family val="2"/>
    </font>
    <font>
      <b/>
      <sz val="10"/>
      <color rgb="FFFFFFFF"/>
      <name val="Calibri"/>
      <family val="2"/>
    </font>
    <font>
      <b/>
      <sz val="10"/>
      <color theme="1"/>
      <name val="Trebuchet MS"/>
      <family val="2"/>
    </font>
    <font>
      <sz val="10"/>
      <color theme="1"/>
      <name val="Trebuchet MS"/>
      <family val="2"/>
    </font>
    <font>
      <sz val="11"/>
      <color theme="1"/>
      <name val="Calibri Light"/>
      <family val="2"/>
      <scheme val="major"/>
    </font>
    <font>
      <b/>
      <sz val="11"/>
      <color theme="1"/>
      <name val="Calibri Light"/>
      <family val="2"/>
      <scheme val="major"/>
    </font>
    <font>
      <b/>
      <sz val="14"/>
      <color theme="1"/>
      <name val="Calibri Light"/>
      <family val="2"/>
      <scheme val="major"/>
    </font>
    <font>
      <b/>
      <sz val="11"/>
      <color theme="1"/>
      <name val="Trebuchet MS"/>
      <family val="2"/>
    </font>
    <font>
      <sz val="11"/>
      <color theme="1"/>
      <name val="Trebuchet MS"/>
      <family val="2"/>
    </font>
    <font>
      <b/>
      <sz val="10"/>
      <color theme="1"/>
      <name val="Arial"/>
      <family val="2"/>
    </font>
    <font>
      <sz val="8"/>
      <name val="Calibri"/>
      <family val="2"/>
      <scheme val="minor"/>
    </font>
    <font>
      <b/>
      <sz val="15"/>
      <color theme="1"/>
      <name val="Calibri"/>
      <family val="2"/>
      <scheme val="minor"/>
    </font>
    <font>
      <b/>
      <sz val="10"/>
      <color theme="1"/>
      <name val="Calibri"/>
      <family val="2"/>
      <scheme val="minor"/>
    </font>
    <font>
      <sz val="11"/>
      <name val="Calibri Light"/>
      <family val="2"/>
      <scheme val="major"/>
    </font>
    <font>
      <b/>
      <sz val="15"/>
      <color theme="0"/>
      <name val="Calibri"/>
      <family val="2"/>
      <scheme val="minor"/>
    </font>
    <font>
      <sz val="15"/>
      <color theme="1"/>
      <name val="Calibri"/>
      <family val="2"/>
      <scheme val="minor"/>
    </font>
    <font>
      <i/>
      <sz val="11"/>
      <color rgb="FF9516A2"/>
      <name val="Calibri"/>
      <family val="2"/>
      <scheme val="minor"/>
    </font>
    <font>
      <sz val="11"/>
      <color rgb="FF9516A2"/>
      <name val="Calibri"/>
      <family val="2"/>
      <scheme val="minor"/>
    </font>
    <font>
      <b/>
      <sz val="15"/>
      <color theme="0" tint="-0.34998626667073579"/>
      <name val="Calibri"/>
      <family val="2"/>
      <scheme val="minor"/>
    </font>
    <font>
      <b/>
      <sz val="11"/>
      <color theme="0" tint="-0.34998626667073579"/>
      <name val="Calibri"/>
      <family val="2"/>
      <scheme val="minor"/>
    </font>
    <font>
      <sz val="11"/>
      <color theme="0" tint="-0.34998626667073579"/>
      <name val="Calibri"/>
      <family val="2"/>
      <scheme val="minor"/>
    </font>
    <font>
      <b/>
      <sz val="11"/>
      <color theme="1"/>
      <name val="Calibri Light"/>
      <family val="2"/>
      <charset val="163"/>
      <scheme val="major"/>
    </font>
    <font>
      <b/>
      <sz val="10"/>
      <color theme="1"/>
      <name val="Trebuchet MS"/>
      <family val="2"/>
      <charset val="163"/>
    </font>
    <font>
      <b/>
      <sz val="8"/>
      <color theme="1"/>
      <name val="Trebuchet MS"/>
      <family val="2"/>
      <charset val="163"/>
    </font>
    <font>
      <sz val="7"/>
      <color theme="1"/>
      <name val="Arial"/>
      <family val="2"/>
    </font>
    <font>
      <b/>
      <sz val="7"/>
      <color theme="1"/>
      <name val="Arial"/>
      <family val="2"/>
    </font>
    <font>
      <sz val="7"/>
      <name val="Arial"/>
      <family val="2"/>
    </font>
    <font>
      <sz val="8"/>
      <color theme="0" tint="-0.499984740745262"/>
      <name val="Trebuchet MS"/>
      <family val="2"/>
    </font>
    <font>
      <b/>
      <sz val="12"/>
      <color rgb="FF1F497D"/>
      <name val="Times New Roman"/>
      <family val="1"/>
    </font>
    <font>
      <sz val="12"/>
      <color rgb="FF1F497D"/>
      <name val="Times New Roman"/>
      <family val="1"/>
    </font>
    <font>
      <b/>
      <sz val="11"/>
      <color theme="1"/>
      <name val="Trebuchet MS"/>
      <family val="2"/>
      <charset val="163"/>
    </font>
    <font>
      <b/>
      <sz val="12"/>
      <color theme="1"/>
      <name val="Trebuchet MS"/>
      <family val="2"/>
      <charset val="163"/>
    </font>
    <font>
      <sz val="11"/>
      <color theme="1"/>
      <name val="Calibri"/>
      <family val="2"/>
    </font>
    <font>
      <b/>
      <sz val="11"/>
      <color theme="1"/>
      <name val="Calibri"/>
      <family val="2"/>
    </font>
    <font>
      <sz val="10"/>
      <color theme="1"/>
      <name val="Calibri"/>
      <family val="2"/>
    </font>
    <font>
      <b/>
      <sz val="10"/>
      <color theme="0"/>
      <name val="Calibri"/>
      <family val="2"/>
    </font>
    <font>
      <sz val="10"/>
      <color rgb="FF0070C0"/>
      <name val="Calibri"/>
      <family val="2"/>
    </font>
    <font>
      <i/>
      <sz val="10"/>
      <color theme="1"/>
      <name val="Calibri"/>
      <family val="2"/>
    </font>
    <font>
      <sz val="10"/>
      <color rgb="FF000000"/>
      <name val="Calibri"/>
      <family val="2"/>
    </font>
    <font>
      <sz val="10"/>
      <color rgb="FFFF0000"/>
      <name val="Calibri"/>
      <family val="2"/>
    </font>
    <font>
      <sz val="11"/>
      <color theme="0"/>
      <name val="Calibri"/>
      <family val="2"/>
    </font>
    <font>
      <sz val="10"/>
      <color theme="0"/>
      <name val="Calibri"/>
      <family val="2"/>
    </font>
    <font>
      <b/>
      <sz val="11"/>
      <color theme="0" tint="-4.9989318521683403E-2"/>
      <name val="Calibri"/>
      <family val="2"/>
    </font>
    <font>
      <b/>
      <sz val="10"/>
      <color theme="0" tint="-4.9989318521683403E-2"/>
      <name val="Calibri"/>
      <family val="2"/>
    </font>
    <font>
      <b/>
      <sz val="10"/>
      <color theme="1"/>
      <name val="Calibri"/>
      <family val="2"/>
    </font>
    <font>
      <b/>
      <sz val="10"/>
      <color rgb="FFFF0000"/>
      <name val="Calibri"/>
      <family val="2"/>
    </font>
    <font>
      <b/>
      <i/>
      <sz val="10"/>
      <color rgb="FFFF0000"/>
      <name val="Calibri"/>
      <family val="2"/>
    </font>
    <font>
      <b/>
      <sz val="10"/>
      <name val="Calibri"/>
      <family val="2"/>
    </font>
    <font>
      <sz val="10"/>
      <name val="Calibri"/>
      <family val="2"/>
    </font>
    <font>
      <b/>
      <sz val="10"/>
      <color indexed="9"/>
      <name val="Calibri"/>
      <family val="2"/>
    </font>
    <font>
      <b/>
      <sz val="10"/>
      <color rgb="FF00B050"/>
      <name val="Calibri"/>
      <family val="2"/>
    </font>
    <font>
      <sz val="10"/>
      <color indexed="17"/>
      <name val="Calibri"/>
      <family val="2"/>
    </font>
    <font>
      <sz val="10"/>
      <color theme="4" tint="-0.249977111117893"/>
      <name val="Calibri"/>
      <family val="2"/>
    </font>
    <font>
      <sz val="10"/>
      <color indexed="12"/>
      <name val="Calibri"/>
      <family val="2"/>
    </font>
    <font>
      <i/>
      <sz val="10"/>
      <name val="Calibri"/>
      <family val="2"/>
    </font>
    <font>
      <i/>
      <sz val="10"/>
      <color rgb="FFFF0000"/>
      <name val="Calibri"/>
      <family val="2"/>
    </font>
    <font>
      <b/>
      <sz val="11"/>
      <name val="Calibri"/>
      <family val="2"/>
    </font>
    <font>
      <b/>
      <sz val="11"/>
      <color indexed="12"/>
      <name val="Calibri"/>
      <family val="2"/>
    </font>
    <font>
      <b/>
      <sz val="11"/>
      <color rgb="FF0070C0"/>
      <name val="Calibri"/>
      <family val="2"/>
    </font>
    <font>
      <sz val="11"/>
      <name val="Calibri"/>
      <family val="2"/>
    </font>
    <font>
      <b/>
      <i/>
      <sz val="11"/>
      <color theme="1"/>
      <name val="Calibri"/>
      <family val="2"/>
    </font>
    <font>
      <b/>
      <i/>
      <sz val="11"/>
      <name val="Calibri"/>
      <family val="2"/>
    </font>
    <font>
      <b/>
      <i/>
      <sz val="11"/>
      <color rgb="FF0070C0"/>
      <name val="Calibri"/>
      <family val="2"/>
    </font>
    <font>
      <sz val="11"/>
      <color theme="4" tint="-0.249977111117893"/>
      <name val="Calibri"/>
      <family val="2"/>
    </font>
    <font>
      <sz val="11"/>
      <color indexed="12"/>
      <name val="Calibri"/>
      <family val="2"/>
    </font>
    <font>
      <sz val="11"/>
      <color rgb="FF0070C0"/>
      <name val="Calibri"/>
      <family val="2"/>
    </font>
    <font>
      <sz val="11"/>
      <color rgb="FFFF0000"/>
      <name val="Calibri"/>
      <family val="2"/>
    </font>
    <font>
      <i/>
      <sz val="11"/>
      <name val="Calibri"/>
      <family val="2"/>
    </font>
    <font>
      <b/>
      <u/>
      <sz val="10"/>
      <name val="Calibri"/>
      <family val="2"/>
    </font>
    <font>
      <sz val="10"/>
      <color rgb="FF00B050"/>
      <name val="Calibri"/>
      <family val="2"/>
    </font>
    <font>
      <sz val="10"/>
      <color theme="8"/>
      <name val="Calibri"/>
      <family val="2"/>
    </font>
    <font>
      <b/>
      <sz val="10"/>
      <color rgb="FF15C132"/>
      <name val="Calibri"/>
      <family val="2"/>
    </font>
    <font>
      <b/>
      <sz val="10"/>
      <color rgb="FF002060"/>
      <name val="Calibri"/>
      <family val="2"/>
    </font>
    <font>
      <b/>
      <sz val="11"/>
      <color rgb="FFFFFFFF"/>
      <name val="Calibri"/>
      <family val="2"/>
      <scheme val="minor"/>
    </font>
    <font>
      <b/>
      <sz val="12"/>
      <color rgb="FF1F497D"/>
      <name val="Calibri"/>
      <family val="2"/>
      <scheme val="minor"/>
    </font>
    <font>
      <sz val="12"/>
      <color theme="1"/>
      <name val="Calibri"/>
      <family val="2"/>
      <scheme val="minor"/>
    </font>
    <font>
      <sz val="12"/>
      <color rgb="FF1F497D"/>
      <name val="Calibri"/>
      <family val="2"/>
      <scheme val="minor"/>
    </font>
    <font>
      <u/>
      <sz val="11"/>
      <color theme="10"/>
      <name val="Calibri"/>
      <family val="2"/>
      <scheme val="minor"/>
    </font>
    <font>
      <u/>
      <sz val="12"/>
      <color rgb="FF0000FF"/>
      <name val="Calibri"/>
      <family val="2"/>
      <scheme val="minor"/>
    </font>
    <font>
      <b/>
      <sz val="10"/>
      <color rgb="FF0070C0"/>
      <name val="Calibri"/>
      <family val="2"/>
    </font>
    <font>
      <b/>
      <i/>
      <sz val="10"/>
      <name val="Calibri"/>
      <family val="2"/>
    </font>
    <font>
      <sz val="10"/>
      <color theme="1"/>
      <name val="Calibri"/>
      <family val="2"/>
      <scheme val="minor"/>
    </font>
    <font>
      <sz val="10"/>
      <color rgb="FF0070C0"/>
      <name val="Calibri"/>
      <family val="2"/>
      <scheme val="minor"/>
    </font>
    <font>
      <i/>
      <sz val="10"/>
      <color theme="1"/>
      <name val="Calibri"/>
      <family val="2"/>
      <scheme val="minor"/>
    </font>
    <font>
      <sz val="10"/>
      <color rgb="FFFF0000"/>
      <name val="Calibri"/>
      <family val="2"/>
      <scheme val="minor"/>
    </font>
    <font>
      <sz val="10"/>
      <color rgb="FFC00000"/>
      <name val="Calibri"/>
      <family val="2"/>
      <scheme val="minor"/>
    </font>
    <font>
      <b/>
      <sz val="10"/>
      <name val="Calibri"/>
      <family val="2"/>
      <scheme val="minor"/>
    </font>
    <font>
      <b/>
      <sz val="10"/>
      <color theme="0"/>
      <name val="Calibri"/>
      <family val="2"/>
      <scheme val="minor"/>
    </font>
    <font>
      <b/>
      <sz val="10"/>
      <color rgb="FFFF0000"/>
      <name val="Calibri"/>
      <family val="2"/>
      <scheme val="minor"/>
    </font>
    <font>
      <sz val="10"/>
      <name val="Calibri"/>
      <family val="2"/>
      <scheme val="minor"/>
    </font>
    <font>
      <sz val="10"/>
      <color rgb="FF00B0F0"/>
      <name val="Calibri"/>
      <family val="2"/>
      <scheme val="minor"/>
    </font>
    <font>
      <b/>
      <u val="singleAccounting"/>
      <sz val="10"/>
      <name val="Calibri"/>
      <family val="2"/>
      <scheme val="minor"/>
    </font>
    <font>
      <sz val="10"/>
      <color rgb="FF00B050"/>
      <name val="Calibri"/>
      <family val="2"/>
      <scheme val="minor"/>
    </font>
    <font>
      <b/>
      <u/>
      <sz val="10"/>
      <name val="Calibri"/>
      <family val="2"/>
      <scheme val="minor"/>
    </font>
    <font>
      <b/>
      <u val="singleAccounting"/>
      <sz val="10"/>
      <color theme="1"/>
      <name val="Calibri"/>
      <family val="2"/>
      <scheme val="minor"/>
    </font>
    <font>
      <u/>
      <sz val="10"/>
      <color theme="1"/>
      <name val="Calibri"/>
      <family val="2"/>
      <scheme val="minor"/>
    </font>
    <font>
      <b/>
      <u/>
      <sz val="10"/>
      <color rgb="FF00B050"/>
      <name val="Calibri"/>
      <family val="2"/>
      <scheme val="minor"/>
    </font>
    <font>
      <b/>
      <sz val="10"/>
      <color rgb="FFFA7D00"/>
      <name val="Calibri"/>
      <family val="2"/>
      <scheme val="minor"/>
    </font>
    <font>
      <i/>
      <sz val="10"/>
      <color rgb="FF00B050"/>
      <name val="Calibri"/>
      <family val="2"/>
      <scheme val="minor"/>
    </font>
    <font>
      <i/>
      <sz val="10"/>
      <name val="Calibri"/>
      <family val="2"/>
      <scheme val="minor"/>
    </font>
    <font>
      <b/>
      <i/>
      <sz val="10"/>
      <name val="Calibri"/>
      <family val="2"/>
      <scheme val="minor"/>
    </font>
    <font>
      <b/>
      <sz val="10"/>
      <color rgb="FF00B050"/>
      <name val="Calibri"/>
      <family val="2"/>
      <scheme val="minor"/>
    </font>
    <font>
      <sz val="10"/>
      <color theme="0" tint="-0.499984740745262"/>
      <name val="Calibri"/>
      <family val="2"/>
      <scheme val="minor"/>
    </font>
    <font>
      <sz val="10"/>
      <color theme="1"/>
      <name val="Calibri"/>
      <family val="2"/>
      <charset val="163"/>
    </font>
    <font>
      <sz val="10"/>
      <color theme="1"/>
      <name val="Nunito"/>
    </font>
    <font>
      <b/>
      <sz val="10"/>
      <color theme="1"/>
      <name val="Nunito"/>
    </font>
    <font>
      <b/>
      <sz val="10"/>
      <color theme="0"/>
      <name val="Nunito"/>
    </font>
    <font>
      <sz val="10"/>
      <color rgb="FF000000"/>
      <name val="Nunito"/>
    </font>
    <font>
      <sz val="10"/>
      <color theme="0"/>
      <name val="Nunito"/>
    </font>
    <font>
      <b/>
      <sz val="10"/>
      <color rgb="FFFFFFFF"/>
      <name val="Nunito"/>
    </font>
    <font>
      <b/>
      <sz val="10"/>
      <color rgb="FF000000"/>
      <name val="Nunito"/>
    </font>
    <font>
      <b/>
      <sz val="10"/>
      <color rgb="FF080808"/>
      <name val="Nunito"/>
    </font>
    <font>
      <sz val="10"/>
      <color rgb="FF080808"/>
      <name val="Nunito"/>
    </font>
    <font>
      <i/>
      <sz val="10"/>
      <color theme="1"/>
      <name val="Nunito"/>
    </font>
    <font>
      <b/>
      <sz val="10"/>
      <color rgb="FF333333"/>
      <name val="Nunito"/>
    </font>
    <font>
      <sz val="10"/>
      <color rgb="FFC00000"/>
      <name val="Nunito"/>
    </font>
    <font>
      <sz val="10"/>
      <color rgb="FFFF0000"/>
      <name val="Nunito"/>
    </font>
    <font>
      <b/>
      <sz val="10"/>
      <color rgb="FFC00000"/>
      <name val="Nunito"/>
    </font>
    <font>
      <sz val="10"/>
      <color rgb="FF0070C0"/>
      <name val="Nunito"/>
    </font>
    <font>
      <b/>
      <sz val="10"/>
      <color rgb="FF0070C0"/>
      <name val="Nunito"/>
    </font>
    <font>
      <b/>
      <sz val="10"/>
      <color rgb="FF00B050"/>
      <name val="Nunito"/>
    </font>
    <font>
      <sz val="10"/>
      <color rgb="FF00B050"/>
      <name val="Nunito"/>
    </font>
    <font>
      <sz val="10"/>
      <name val="Nunito"/>
    </font>
    <font>
      <b/>
      <sz val="10"/>
      <name val="Nunito"/>
    </font>
    <font>
      <b/>
      <sz val="10"/>
      <color theme="0" tint="-0.249977111117893"/>
      <name val="Nunito"/>
    </font>
    <font>
      <b/>
      <sz val="10"/>
      <color theme="0" tint="-0.499984740745262"/>
      <name val="Nunito"/>
    </font>
    <font>
      <sz val="10"/>
      <color theme="0" tint="-0.499984740745262"/>
      <name val="Nunito"/>
    </font>
    <font>
      <sz val="10"/>
      <color rgb="FF00B0F0"/>
      <name val="Nunito"/>
    </font>
    <font>
      <b/>
      <i/>
      <sz val="10"/>
      <color rgb="FFFF0000"/>
      <name val="Nunito"/>
    </font>
    <font>
      <b/>
      <u val="singleAccounting"/>
      <sz val="10"/>
      <name val="Nunito"/>
    </font>
    <font>
      <b/>
      <u val="singleAccounting"/>
      <sz val="10"/>
      <color theme="0" tint="-0.499984740745262"/>
      <name val="Nunito"/>
    </font>
    <font>
      <b/>
      <u/>
      <sz val="10"/>
      <name val="Nunito"/>
    </font>
    <font>
      <b/>
      <u/>
      <sz val="10"/>
      <color theme="0" tint="-0.499984740745262"/>
      <name val="Nunito"/>
    </font>
    <font>
      <u/>
      <sz val="11"/>
      <color rgb="FF0000FF"/>
      <name val="Nunito"/>
    </font>
    <font>
      <i/>
      <sz val="10"/>
      <name val="Nunito"/>
    </font>
    <font>
      <i/>
      <sz val="10"/>
      <color theme="0" tint="-0.499984740745262"/>
      <name val="Nunito"/>
    </font>
    <font>
      <b/>
      <u val="singleAccounting"/>
      <sz val="10"/>
      <color theme="1"/>
      <name val="Nunito"/>
    </font>
    <font>
      <b/>
      <u/>
      <sz val="10"/>
      <color theme="1"/>
      <name val="Nunito"/>
    </font>
    <font>
      <u/>
      <sz val="10"/>
      <color theme="0" tint="-0.499984740745262"/>
      <name val="Nunito"/>
    </font>
    <font>
      <u/>
      <sz val="10"/>
      <color theme="1"/>
      <name val="Nunito"/>
    </font>
    <font>
      <i/>
      <sz val="10"/>
      <color rgb="FF15C132"/>
      <name val="Nunito"/>
    </font>
    <font>
      <b/>
      <u/>
      <sz val="10"/>
      <color rgb="FF00B050"/>
      <name val="Nunito"/>
    </font>
    <font>
      <sz val="10"/>
      <color rgb="FF15C132"/>
      <name val="Nunito"/>
    </font>
    <font>
      <u/>
      <sz val="10"/>
      <color rgb="FF0000FF"/>
      <name val="Nunito"/>
    </font>
    <font>
      <b/>
      <sz val="10"/>
      <color rgb="FFFA7D00"/>
      <name val="Nunito"/>
    </font>
    <font>
      <i/>
      <sz val="10"/>
      <color rgb="FF00B050"/>
      <name val="Nunito"/>
    </font>
    <font>
      <b/>
      <i/>
      <sz val="10"/>
      <name val="Nunito"/>
    </font>
    <font>
      <b/>
      <i/>
      <sz val="10"/>
      <color theme="0" tint="-0.499984740745262"/>
      <name val="Nunito"/>
    </font>
    <font>
      <b/>
      <i/>
      <sz val="10"/>
      <color rgb="FFC00000"/>
      <name val="Nunito"/>
    </font>
    <font>
      <b/>
      <sz val="10"/>
      <color rgb="FFFF0000"/>
      <name val="Nunito"/>
    </font>
    <font>
      <b/>
      <sz val="10"/>
      <color rgb="FF002060"/>
      <name val="Nunito"/>
    </font>
    <font>
      <sz val="10"/>
      <color theme="8" tint="-0.249977111117893"/>
      <name val="Nunito"/>
    </font>
    <font>
      <b/>
      <sz val="10"/>
      <color rgb="FF7030A0"/>
      <name val="Nunito"/>
    </font>
    <font>
      <i/>
      <sz val="10"/>
      <color rgb="FF000000"/>
      <name val="Nunito"/>
    </font>
    <font>
      <b/>
      <sz val="10"/>
      <color indexed="9"/>
      <name val="Nunito"/>
    </font>
    <font>
      <u/>
      <sz val="10"/>
      <color indexed="9"/>
      <name val="Nunito"/>
    </font>
    <font>
      <u/>
      <sz val="10"/>
      <color rgb="FF002060"/>
      <name val="Nunito"/>
    </font>
    <font>
      <sz val="11"/>
      <color theme="0" tint="-0.499984740745262"/>
      <name val="Calibri"/>
      <family val="2"/>
      <scheme val="minor"/>
    </font>
    <font>
      <b/>
      <sz val="10"/>
      <color theme="8" tint="-0.249977111117893"/>
      <name val="Nunito"/>
    </font>
    <font>
      <sz val="10"/>
      <color theme="9" tint="-0.499984740745262"/>
      <name val="Nunito"/>
    </font>
    <font>
      <b/>
      <sz val="10"/>
      <color theme="0" tint="-0.14999847407452621"/>
      <name val="Nunito"/>
    </font>
    <font>
      <b/>
      <i/>
      <sz val="10"/>
      <color theme="1"/>
      <name val="Nunito"/>
    </font>
    <font>
      <i/>
      <sz val="10"/>
      <color rgb="FF0070C0"/>
      <name val="Nunito"/>
    </font>
    <font>
      <sz val="10"/>
      <color theme="4" tint="-0.249977111117893"/>
      <name val="Nunito"/>
    </font>
    <font>
      <sz val="10"/>
      <color indexed="12"/>
      <name val="Nunito"/>
    </font>
    <font>
      <b/>
      <sz val="10"/>
      <color theme="4" tint="-0.249977111117893"/>
      <name val="Nunito"/>
    </font>
    <font>
      <b/>
      <sz val="11"/>
      <name val="Calibri"/>
      <family val="2"/>
      <scheme val="minor"/>
    </font>
    <font>
      <b/>
      <sz val="8"/>
      <color theme="0"/>
      <name val="Nunito"/>
    </font>
    <font>
      <sz val="8"/>
      <color rgb="FF000000"/>
      <name val="Nunito"/>
    </font>
    <font>
      <sz val="8"/>
      <color theme="0"/>
      <name val="Nunito"/>
    </font>
    <font>
      <b/>
      <sz val="8"/>
      <color theme="1"/>
      <name val="Nunito"/>
    </font>
    <font>
      <sz val="8"/>
      <color theme="1"/>
      <name val="Nunito"/>
    </font>
    <font>
      <b/>
      <sz val="8"/>
      <color rgb="FF000000"/>
      <name val="Nunito"/>
    </font>
    <font>
      <i/>
      <sz val="8"/>
      <color theme="1"/>
      <name val="Nunito"/>
    </font>
    <font>
      <sz val="11"/>
      <color rgb="FF575B5F"/>
      <name val="Google Sans Text"/>
      <family val="2"/>
    </font>
    <font>
      <sz val="9"/>
      <color theme="1" tint="0.14999847407452621"/>
      <name val="Nunito"/>
    </font>
    <font>
      <b/>
      <sz val="9"/>
      <color theme="5" tint="-9.9978637043366805E-2"/>
      <name val="Nunito"/>
    </font>
    <font>
      <b/>
      <sz val="9"/>
      <color theme="1" tint="0.14999847407452621"/>
      <name val="Nunito"/>
    </font>
    <font>
      <sz val="9"/>
      <name val="Nunito"/>
    </font>
    <font>
      <b/>
      <sz val="9"/>
      <name val="Nunito"/>
    </font>
    <font>
      <b/>
      <sz val="9"/>
      <color theme="0"/>
      <name val="Nunito"/>
    </font>
    <font>
      <sz val="9"/>
      <color theme="1"/>
      <name val="Nunito"/>
    </font>
    <font>
      <b/>
      <sz val="9"/>
      <color theme="1"/>
      <name val="Nunito"/>
    </font>
    <font>
      <sz val="9"/>
      <color rgb="FF00B050"/>
      <name val="Nunito"/>
    </font>
    <font>
      <sz val="8"/>
      <name val="Nunito"/>
    </font>
    <font>
      <b/>
      <sz val="8"/>
      <name val="Nunito"/>
    </font>
  </fonts>
  <fills count="67">
    <fill>
      <patternFill patternType="none"/>
    </fill>
    <fill>
      <patternFill patternType="gray125"/>
    </fill>
    <fill>
      <patternFill patternType="solid">
        <fgColor rgb="FFFFF75B"/>
        <bgColor indexed="64"/>
      </patternFill>
    </fill>
    <fill>
      <patternFill patternType="solid">
        <fgColor theme="8" tint="-0.249977111117893"/>
        <bgColor indexed="64"/>
      </patternFill>
    </fill>
    <fill>
      <patternFill patternType="solid">
        <fgColor theme="0" tint="-0.14999847407452621"/>
        <bgColor indexed="64"/>
      </patternFill>
    </fill>
    <fill>
      <patternFill patternType="solid">
        <fgColor rgb="FF92D050"/>
        <bgColor indexed="64"/>
      </patternFill>
    </fill>
    <fill>
      <patternFill patternType="solid">
        <fgColor rgb="FFFFFF00"/>
        <bgColor indexed="64"/>
      </patternFill>
    </fill>
    <fill>
      <patternFill patternType="solid">
        <fgColor theme="3" tint="0.59996337778862885"/>
        <bgColor indexed="64"/>
      </patternFill>
    </fill>
    <fill>
      <patternFill patternType="solid">
        <fgColor rgb="FFFFEB9C"/>
      </patternFill>
    </fill>
    <fill>
      <patternFill patternType="solid">
        <fgColor theme="4"/>
      </patternFill>
    </fill>
    <fill>
      <patternFill patternType="solid">
        <fgColor theme="0"/>
        <bgColor indexed="64"/>
      </patternFill>
    </fill>
    <fill>
      <patternFill patternType="solid">
        <fgColor rgb="FF0070C0"/>
        <bgColor rgb="FF0070C0"/>
      </patternFill>
    </fill>
    <fill>
      <patternFill patternType="solid">
        <fgColor theme="8" tint="-0.249977111117893"/>
        <bgColor rgb="FF0070C0"/>
      </patternFill>
    </fill>
    <fill>
      <patternFill patternType="solid">
        <fgColor theme="4" tint="0.79998168889431442"/>
        <bgColor indexed="64"/>
      </patternFill>
    </fill>
    <fill>
      <patternFill patternType="solid">
        <fgColor rgb="FFC6EFCE"/>
      </patternFill>
    </fill>
    <fill>
      <patternFill patternType="solid">
        <fgColor rgb="FFFFC7CE"/>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2060"/>
        <bgColor indexed="64"/>
      </patternFill>
    </fill>
    <fill>
      <patternFill patternType="solid">
        <fgColor theme="4" tint="0.59999389629810485"/>
        <bgColor indexed="64"/>
      </patternFill>
    </fill>
    <fill>
      <patternFill patternType="solid">
        <fgColor rgb="FF00235A"/>
        <bgColor indexed="64"/>
      </patternFill>
    </fill>
    <fill>
      <patternFill patternType="solid">
        <fgColor rgb="FF00B050"/>
        <bgColor indexed="64"/>
      </patternFill>
    </fill>
    <fill>
      <patternFill patternType="solid">
        <fgColor rgb="FFFFC000"/>
        <bgColor indexed="64"/>
      </patternFill>
    </fill>
    <fill>
      <patternFill patternType="solid">
        <fgColor rgb="FFFFFFFF"/>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0" tint="-0.499984740745262"/>
        <bgColor indexed="64"/>
      </patternFill>
    </fill>
    <fill>
      <patternFill patternType="solid">
        <fgColor theme="9"/>
        <bgColor indexed="64"/>
      </patternFill>
    </fill>
    <fill>
      <patternFill patternType="solid">
        <fgColor rgb="FF1E447E"/>
        <bgColor indexed="64"/>
      </patternFill>
    </fill>
    <fill>
      <patternFill patternType="solid">
        <fgColor theme="9" tint="0.79998168889431442"/>
        <bgColor theme="9" tint="0.79998168889431442"/>
      </patternFill>
    </fill>
    <fill>
      <patternFill patternType="solid">
        <fgColor rgb="FF0070C0"/>
      </patternFill>
    </fill>
    <fill>
      <patternFill patternType="solid">
        <fgColor rgb="FFB7E0FF"/>
        <bgColor indexed="64"/>
      </patternFill>
    </fill>
    <fill>
      <patternFill patternType="solid">
        <fgColor theme="1"/>
        <bgColor indexed="64"/>
      </patternFill>
    </fill>
    <fill>
      <patternFill patternType="solid">
        <fgColor theme="4"/>
        <bgColor indexed="64"/>
      </patternFill>
    </fill>
    <fill>
      <patternFill patternType="solid">
        <fgColor theme="0" tint="-0.249977111117893"/>
        <bgColor indexed="64"/>
      </patternFill>
    </fill>
    <fill>
      <patternFill patternType="solid">
        <fgColor rgb="FFD9D9D9"/>
        <bgColor indexed="64"/>
      </patternFill>
    </fill>
    <fill>
      <patternFill patternType="solid">
        <fgColor theme="3" tint="0.79998168889431442"/>
        <bgColor indexed="64"/>
      </patternFill>
    </fill>
    <fill>
      <patternFill patternType="solid">
        <fgColor theme="8" tint="0.79998168889431442"/>
        <bgColor indexed="64"/>
      </patternFill>
    </fill>
    <fill>
      <patternFill patternType="solid">
        <fgColor theme="0" tint="-4.9989318521683403E-2"/>
        <bgColor indexed="64"/>
      </patternFill>
    </fill>
    <fill>
      <patternFill patternType="solid">
        <fgColor rgb="FF0A5DAF"/>
        <bgColor indexed="64"/>
      </patternFill>
    </fill>
    <fill>
      <patternFill patternType="solid">
        <fgColor theme="8"/>
        <bgColor indexed="64"/>
      </patternFill>
    </fill>
    <fill>
      <patternFill patternType="solid">
        <fgColor theme="9" tint="0.79998168889431442"/>
        <bgColor indexed="64"/>
      </patternFill>
    </fill>
  </fills>
  <borders count="61">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bottom style="thin">
        <color auto="1"/>
      </bottom>
      <diagonal/>
    </border>
    <border>
      <left style="thin">
        <color auto="1"/>
      </left>
      <right/>
      <top style="thin">
        <color auto="1"/>
      </top>
      <bottom style="thin">
        <color auto="1"/>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top/>
      <bottom style="double">
        <color indexed="64"/>
      </bottom>
      <diagonal/>
    </border>
    <border>
      <left/>
      <right style="thin">
        <color auto="1"/>
      </right>
      <top/>
      <bottom style="double">
        <color indexed="64"/>
      </bottom>
      <diagonal/>
    </border>
    <border>
      <left/>
      <right/>
      <top/>
      <bottom style="double">
        <color indexed="64"/>
      </bottom>
      <diagonal/>
    </border>
    <border>
      <left/>
      <right/>
      <top/>
      <bottom style="medium">
        <color indexed="64"/>
      </bottom>
      <diagonal/>
    </border>
    <border>
      <left style="medium">
        <color rgb="FFFFFFFF"/>
      </left>
      <right style="medium">
        <color rgb="FFFFFFFF"/>
      </right>
      <top style="medium">
        <color rgb="FFFFFFFF"/>
      </top>
      <bottom style="medium">
        <color rgb="FFFFFFFF"/>
      </bottom>
      <diagonal/>
    </border>
    <border>
      <left/>
      <right style="medium">
        <color rgb="FFFFFFFF"/>
      </right>
      <top style="medium">
        <color rgb="FFFFFFFF"/>
      </top>
      <bottom style="medium">
        <color rgb="FFFFFFFF"/>
      </bottom>
      <diagonal/>
    </border>
    <border>
      <left/>
      <right/>
      <top style="medium">
        <color rgb="FF080808"/>
      </top>
      <bottom style="medium">
        <color rgb="FF080808"/>
      </bottom>
      <diagonal/>
    </border>
    <border>
      <left/>
      <right/>
      <top style="medium">
        <color rgb="FF080808"/>
      </top>
      <bottom/>
      <diagonal/>
    </border>
    <border>
      <left/>
      <right/>
      <top style="hair">
        <color indexed="64"/>
      </top>
      <bottom/>
      <diagonal/>
    </border>
    <border>
      <left/>
      <right/>
      <top/>
      <bottom style="hair">
        <color indexed="64"/>
      </bottom>
      <diagonal/>
    </border>
    <border>
      <left/>
      <right/>
      <top style="medium">
        <color indexed="64"/>
      </top>
      <bottom style="dotted">
        <color indexed="64"/>
      </bottom>
      <diagonal/>
    </border>
    <border>
      <left/>
      <right/>
      <top style="medium">
        <color indexed="64"/>
      </top>
      <bottom/>
      <diagonal/>
    </border>
    <border>
      <left style="thin">
        <color theme="9" tint="0.39997558519241921"/>
      </left>
      <right style="thin">
        <color theme="9" tint="0.39997558519241921"/>
      </right>
      <top style="thin">
        <color theme="9" tint="0.39997558519241921"/>
      </top>
      <bottom style="thin">
        <color theme="9" tint="0.39997558519241921"/>
      </bottom>
      <diagonal/>
    </border>
    <border>
      <left/>
      <right/>
      <top style="hair">
        <color indexed="64"/>
      </top>
      <bottom style="hair">
        <color indexed="64"/>
      </bottom>
      <diagonal/>
    </border>
    <border>
      <left/>
      <right/>
      <top style="hair">
        <color indexed="64"/>
      </top>
      <bottom style="thin">
        <color auto="1"/>
      </bottom>
      <diagonal/>
    </border>
    <border>
      <left/>
      <right/>
      <top style="medium">
        <color rgb="FF080808"/>
      </top>
      <bottom style="thin">
        <color indexed="64"/>
      </bottom>
      <diagonal/>
    </border>
    <border>
      <left/>
      <right/>
      <top style="thin">
        <color theme="7"/>
      </top>
      <bottom style="thin">
        <color theme="7"/>
      </bottom>
      <diagonal/>
    </border>
    <border>
      <left style="thick">
        <color theme="5" tint="-9.9948118533890809E-2"/>
      </left>
      <right/>
      <top style="thin">
        <color theme="7"/>
      </top>
      <bottom style="thin">
        <color theme="7"/>
      </bottom>
      <diagonal/>
    </border>
    <border>
      <left style="thick">
        <color theme="5" tint="-9.9948118533890809E-2"/>
      </left>
      <right/>
      <top/>
      <bottom/>
      <diagonal/>
    </border>
    <border>
      <left/>
      <right/>
      <top/>
      <bottom style="dotted">
        <color theme="0" tint="-0.14996795556505021"/>
      </bottom>
      <diagonal/>
    </border>
    <border>
      <left/>
      <right/>
      <top style="dotted">
        <color theme="0" tint="-0.14996795556505021"/>
      </top>
      <bottom style="dotted">
        <color theme="0" tint="-0.14996795556505021"/>
      </bottom>
      <diagonal/>
    </border>
    <border>
      <left/>
      <right/>
      <top/>
      <bottom style="thin">
        <color theme="6"/>
      </bottom>
      <diagonal/>
    </border>
    <border>
      <left/>
      <right/>
      <top style="thin">
        <color theme="6"/>
      </top>
      <bottom/>
      <diagonal/>
    </border>
    <border>
      <left style="thick">
        <color theme="5" tint="-9.9948118533890809E-2"/>
      </left>
      <right/>
      <top style="thin">
        <color theme="4"/>
      </top>
      <bottom/>
      <diagonal/>
    </border>
    <border>
      <left/>
      <right/>
      <top style="thin">
        <color theme="4"/>
      </top>
      <bottom/>
      <diagonal/>
    </border>
    <border>
      <left/>
      <right/>
      <top style="thin">
        <color theme="4"/>
      </top>
      <bottom style="thin">
        <color theme="4"/>
      </bottom>
      <diagonal/>
    </border>
    <border>
      <left style="thin">
        <color theme="4"/>
      </left>
      <right/>
      <top/>
      <bottom/>
      <diagonal/>
    </border>
    <border>
      <left style="thin">
        <color theme="4"/>
      </left>
      <right/>
      <top/>
      <bottom style="thin">
        <color theme="4"/>
      </bottom>
      <diagonal/>
    </border>
    <border>
      <left style="thin">
        <color theme="4"/>
      </left>
      <right/>
      <top style="thin">
        <color theme="4"/>
      </top>
      <bottom/>
      <diagonal/>
    </border>
    <border>
      <left/>
      <right style="thin">
        <color theme="4"/>
      </right>
      <top/>
      <bottom/>
      <diagonal/>
    </border>
    <border>
      <left/>
      <right/>
      <top/>
      <bottom style="thin">
        <color theme="4"/>
      </bottom>
      <diagonal/>
    </border>
    <border>
      <left/>
      <right style="thin">
        <color theme="4"/>
      </right>
      <top/>
      <bottom style="thin">
        <color theme="4"/>
      </bottom>
      <diagonal/>
    </border>
    <border>
      <left/>
      <right/>
      <top style="thin">
        <color theme="6"/>
      </top>
      <bottom style="thin">
        <color theme="4"/>
      </bottom>
      <diagonal/>
    </border>
    <border>
      <left style="thin">
        <color indexed="64"/>
      </left>
      <right/>
      <top/>
      <bottom style="thin">
        <color theme="4"/>
      </bottom>
      <diagonal/>
    </border>
    <border>
      <left style="thin">
        <color theme="4"/>
      </left>
      <right/>
      <top style="thin">
        <color auto="1"/>
      </top>
      <bottom/>
      <diagonal/>
    </border>
    <border>
      <left style="thin">
        <color theme="4"/>
      </left>
      <right/>
      <top style="thin">
        <color theme="4"/>
      </top>
      <bottom style="thin">
        <color theme="4"/>
      </bottom>
      <diagonal/>
    </border>
    <border>
      <left/>
      <right style="thin">
        <color theme="4"/>
      </right>
      <top style="thin">
        <color theme="4"/>
      </top>
      <bottom style="thin">
        <color theme="4"/>
      </bottom>
      <diagonal/>
    </border>
  </borders>
  <cellStyleXfs count="75">
    <xf numFmtId="0" fontId="0" fillId="0" borderId="0"/>
    <xf numFmtId="43" fontId="3" fillId="0" borderId="0" applyFont="0" applyFill="0" applyBorder="0" applyAlignment="0" applyProtection="0"/>
    <xf numFmtId="9" fontId="3" fillId="0" borderId="0" applyFont="0" applyFill="0" applyBorder="0" applyAlignment="0" applyProtection="0"/>
    <xf numFmtId="0" fontId="13" fillId="0" borderId="0"/>
    <xf numFmtId="0" fontId="28" fillId="0" borderId="0" applyNumberFormat="0" applyFill="0" applyBorder="0" applyAlignment="0" applyProtection="0"/>
    <xf numFmtId="0" fontId="2" fillId="0" borderId="0"/>
    <xf numFmtId="0" fontId="30" fillId="8" borderId="0" applyNumberFormat="0" applyBorder="0" applyAlignment="0" applyProtection="0"/>
    <xf numFmtId="0" fontId="29" fillId="9" borderId="0" applyNumberFormat="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40" fillId="0" borderId="0" applyNumberFormat="0" applyFill="0" applyBorder="0" applyAlignment="0" applyProtection="0"/>
    <xf numFmtId="0" fontId="41" fillId="0" borderId="15" applyNumberFormat="0" applyFill="0" applyAlignment="0" applyProtection="0"/>
    <xf numFmtId="0" fontId="42" fillId="0" borderId="16" applyNumberFormat="0" applyFill="0" applyAlignment="0" applyProtection="0"/>
    <xf numFmtId="0" fontId="43" fillId="0" borderId="17" applyNumberFormat="0" applyFill="0" applyAlignment="0" applyProtection="0"/>
    <xf numFmtId="0" fontId="43" fillId="0" borderId="0" applyNumberFormat="0" applyFill="0" applyBorder="0" applyAlignment="0" applyProtection="0"/>
    <xf numFmtId="0" fontId="44" fillId="14" borderId="0" applyNumberFormat="0" applyBorder="0" applyAlignment="0" applyProtection="0"/>
    <xf numFmtId="0" fontId="45" fillId="15" borderId="0" applyNumberFormat="0" applyBorder="0" applyAlignment="0" applyProtection="0"/>
    <xf numFmtId="0" fontId="46" fillId="8" borderId="0" applyNumberFormat="0" applyBorder="0" applyAlignment="0" applyProtection="0"/>
    <xf numFmtId="0" fontId="47" fillId="16" borderId="18" applyNumberFormat="0" applyAlignment="0" applyProtection="0"/>
    <xf numFmtId="0" fontId="48" fillId="17" borderId="19" applyNumberFormat="0" applyAlignment="0" applyProtection="0"/>
    <xf numFmtId="0" fontId="49" fillId="17" borderId="18" applyNumberFormat="0" applyAlignment="0" applyProtection="0"/>
    <xf numFmtId="0" fontId="50" fillId="0" borderId="20" applyNumberFormat="0" applyFill="0" applyAlignment="0" applyProtection="0"/>
    <xf numFmtId="0" fontId="17" fillId="18" borderId="21" applyNumberFormat="0" applyAlignment="0" applyProtection="0"/>
    <xf numFmtId="0" fontId="19" fillId="0" borderId="0" applyNumberFormat="0" applyFill="0" applyBorder="0" applyAlignment="0" applyProtection="0"/>
    <xf numFmtId="0" fontId="3" fillId="19" borderId="22" applyNumberFormat="0" applyFont="0" applyAlignment="0" applyProtection="0"/>
    <xf numFmtId="0" fontId="51" fillId="0" borderId="0" applyNumberFormat="0" applyFill="0" applyBorder="0" applyAlignment="0" applyProtection="0"/>
    <xf numFmtId="0" fontId="4" fillId="0" borderId="23" applyNumberFormat="0" applyFill="0" applyAlignment="0" applyProtection="0"/>
    <xf numFmtId="0" fontId="27" fillId="9"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27" fillId="22" borderId="0" applyNumberFormat="0" applyBorder="0" applyAlignment="0" applyProtection="0"/>
    <xf numFmtId="0" fontId="27" fillId="23"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27" fillId="26" borderId="0" applyNumberFormat="0" applyBorder="0" applyAlignment="0" applyProtection="0"/>
    <xf numFmtId="0" fontId="27" fillId="27"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27" fillId="30" borderId="0" applyNumberFormat="0" applyBorder="0" applyAlignment="0" applyProtection="0"/>
    <xf numFmtId="0" fontId="27" fillId="31"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3" fillId="36" borderId="0" applyNumberFormat="0" applyBorder="0" applyAlignment="0" applyProtection="0"/>
    <xf numFmtId="0" fontId="3" fillId="37"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3" fillId="40" borderId="0" applyNumberFormat="0" applyBorder="0" applyAlignment="0" applyProtection="0"/>
    <xf numFmtId="0" fontId="3" fillId="41" borderId="0" applyNumberFormat="0" applyBorder="0" applyAlignment="0" applyProtection="0"/>
    <xf numFmtId="0" fontId="27" fillId="42" borderId="0" applyNumberFormat="0" applyBorder="0" applyAlignment="0" applyProtection="0"/>
    <xf numFmtId="0" fontId="52" fillId="0" borderId="0"/>
    <xf numFmtId="0" fontId="3" fillId="0" borderId="0" applyNumberFormat="0" applyFill="0" applyAlignment="0" applyProtection="0"/>
    <xf numFmtId="43" fontId="3" fillId="0" borderId="0" applyNumberFormat="0" applyFill="0" applyAlignment="0" applyProtection="0"/>
    <xf numFmtId="43" fontId="35" fillId="0" borderId="0" applyFont="0" applyFill="0" applyBorder="0" applyAlignment="0" applyProtection="0"/>
    <xf numFmtId="43" fontId="13" fillId="0" borderId="0" applyFont="0" applyFill="0" applyBorder="0" applyAlignment="0" applyProtection="0"/>
    <xf numFmtId="22" fontId="13" fillId="0" borderId="0"/>
    <xf numFmtId="0" fontId="3" fillId="0" borderId="0"/>
    <xf numFmtId="0" fontId="13" fillId="0" borderId="0"/>
    <xf numFmtId="0" fontId="3" fillId="0" borderId="0" applyNumberFormat="0" applyFill="0" applyAlignment="0" applyProtection="0"/>
    <xf numFmtId="43" fontId="3" fillId="0" borderId="0" applyNumberFormat="0" applyFill="0" applyAlignment="0" applyProtection="0"/>
    <xf numFmtId="214" fontId="86" fillId="0" borderId="0" applyFill="0" applyBorder="0" applyAlignment="0" applyProtection="0"/>
    <xf numFmtId="215" fontId="86" fillId="0" borderId="0" applyFill="0" applyBorder="0" applyAlignment="0" applyProtection="0"/>
    <xf numFmtId="9" fontId="86" fillId="0" borderId="0" applyFont="0" applyFill="0" applyBorder="0" applyAlignment="0" applyProtection="0"/>
    <xf numFmtId="43" fontId="86" fillId="0" borderId="0" applyFont="0" applyFill="0" applyBorder="0" applyAlignment="0" applyProtection="0"/>
    <xf numFmtId="0" fontId="1" fillId="0" borderId="0"/>
    <xf numFmtId="167" fontId="1" fillId="0" borderId="0" applyFont="0" applyFill="0" applyBorder="0" applyAlignment="0" applyProtection="0"/>
    <xf numFmtId="43" fontId="3" fillId="0" borderId="0"/>
    <xf numFmtId="0" fontId="131" fillId="0" borderId="0"/>
    <xf numFmtId="0" fontId="157" fillId="0" borderId="0"/>
    <xf numFmtId="167" fontId="157" fillId="0" borderId="0" applyFont="0" applyFill="0" applyBorder="0" applyAlignment="0" applyProtection="0"/>
    <xf numFmtId="9" fontId="157" fillId="0" borderId="0" applyFont="0" applyFill="0" applyBorder="0" applyAlignment="0" applyProtection="0"/>
    <xf numFmtId="167" fontId="3" fillId="0" borderId="0" applyFont="0" applyFill="0" applyBorder="0" applyAlignment="0" applyProtection="0"/>
    <xf numFmtId="166" fontId="3" fillId="0" borderId="0" applyFont="0" applyFill="0" applyBorder="0" applyAlignment="0" applyProtection="0"/>
    <xf numFmtId="0" fontId="13" fillId="0" borderId="0"/>
  </cellStyleXfs>
  <cellXfs count="3466">
    <xf numFmtId="0" fontId="0" fillId="0" borderId="0" xfId="0"/>
    <xf numFmtId="0" fontId="0" fillId="0" borderId="4" xfId="0" applyBorder="1"/>
    <xf numFmtId="0" fontId="0" fillId="0" borderId="5" xfId="0" applyBorder="1"/>
    <xf numFmtId="0" fontId="4" fillId="0" borderId="4" xfId="0" applyFont="1" applyBorder="1"/>
    <xf numFmtId="0" fontId="8" fillId="0" borderId="0" xfId="0" applyFont="1"/>
    <xf numFmtId="0" fontId="4" fillId="0" borderId="0" xfId="0" applyFont="1"/>
    <xf numFmtId="9" fontId="9" fillId="0" borderId="0" xfId="0" applyNumberFormat="1" applyFont="1"/>
    <xf numFmtId="168" fontId="9" fillId="0" borderId="5" xfId="0" applyNumberFormat="1" applyFont="1" applyBorder="1"/>
    <xf numFmtId="14" fontId="8" fillId="0" borderId="0" xfId="0" applyNumberFormat="1" applyFont="1"/>
    <xf numFmtId="0" fontId="10" fillId="0" borderId="0" xfId="0" applyFont="1"/>
    <xf numFmtId="0" fontId="11" fillId="0" borderId="0" xfId="0" applyFont="1" applyAlignment="1">
      <alignment horizontal="left"/>
    </xf>
    <xf numFmtId="0" fontId="10" fillId="0" borderId="6" xfId="0" applyFont="1" applyBorder="1"/>
    <xf numFmtId="0" fontId="4" fillId="0" borderId="7" xfId="0" applyFont="1" applyBorder="1"/>
    <xf numFmtId="0" fontId="0" fillId="0" borderId="8" xfId="0" applyBorder="1"/>
    <xf numFmtId="0" fontId="9" fillId="0" borderId="9" xfId="0" applyFont="1" applyBorder="1"/>
    <xf numFmtId="0" fontId="9" fillId="0" borderId="10" xfId="0" applyFont="1" applyBorder="1"/>
    <xf numFmtId="0" fontId="8" fillId="0" borderId="11" xfId="0" applyFont="1" applyBorder="1"/>
    <xf numFmtId="0" fontId="0" fillId="0" borderId="12" xfId="0" applyBorder="1"/>
    <xf numFmtId="0" fontId="9" fillId="0" borderId="0" xfId="0" applyFont="1"/>
    <xf numFmtId="169" fontId="9" fillId="0" borderId="0" xfId="1" applyNumberFormat="1" applyFont="1" applyFill="1" applyBorder="1"/>
    <xf numFmtId="0" fontId="0" fillId="0" borderId="2" xfId="0" applyBorder="1"/>
    <xf numFmtId="37" fontId="0" fillId="0" borderId="0" xfId="0" applyNumberFormat="1"/>
    <xf numFmtId="43" fontId="4" fillId="0" borderId="0" xfId="0" applyNumberFormat="1" applyFont="1"/>
    <xf numFmtId="0" fontId="12" fillId="0" borderId="0" xfId="0" applyFont="1"/>
    <xf numFmtId="0" fontId="4" fillId="0" borderId="13" xfId="0" applyFont="1" applyBorder="1"/>
    <xf numFmtId="37" fontId="15" fillId="0" borderId="12" xfId="0" applyNumberFormat="1" applyFont="1" applyBorder="1"/>
    <xf numFmtId="0" fontId="5" fillId="3" borderId="1" xfId="0" applyFont="1" applyFill="1" applyBorder="1" applyAlignment="1">
      <alignment horizontal="left"/>
    </xf>
    <xf numFmtId="0" fontId="6" fillId="3" borderId="2" xfId="0" applyFont="1" applyFill="1" applyBorder="1" applyAlignment="1">
      <alignment horizontal="left"/>
    </xf>
    <xf numFmtId="0" fontId="7" fillId="3" borderId="2" xfId="0" applyFont="1" applyFill="1" applyBorder="1" applyAlignment="1">
      <alignment horizontal="left"/>
    </xf>
    <xf numFmtId="0" fontId="5" fillId="3" borderId="3" xfId="0" applyFont="1" applyFill="1" applyBorder="1" applyAlignment="1">
      <alignment horizontal="left"/>
    </xf>
    <xf numFmtId="0" fontId="5" fillId="3" borderId="2" xfId="0" applyFont="1" applyFill="1" applyBorder="1" applyAlignment="1">
      <alignment horizontal="left"/>
    </xf>
    <xf numFmtId="0" fontId="4" fillId="0" borderId="11" xfId="0" applyFont="1" applyBorder="1"/>
    <xf numFmtId="3" fontId="0" fillId="0" borderId="0" xfId="0" applyNumberFormat="1"/>
    <xf numFmtId="0" fontId="0" fillId="0" borderId="3" xfId="0" applyBorder="1"/>
    <xf numFmtId="0" fontId="0" fillId="0" borderId="0" xfId="0" applyAlignment="1">
      <alignment horizontal="center"/>
    </xf>
    <xf numFmtId="0" fontId="0" fillId="0" borderId="1" xfId="0" applyBorder="1"/>
    <xf numFmtId="37" fontId="4" fillId="0" borderId="0" xfId="0" applyNumberFormat="1" applyFont="1"/>
    <xf numFmtId="43" fontId="4" fillId="0" borderId="0" xfId="1" applyFont="1" applyBorder="1"/>
    <xf numFmtId="9" fontId="0" fillId="0" borderId="0" xfId="2" applyFont="1"/>
    <xf numFmtId="14" fontId="0" fillId="0" borderId="0" xfId="0" applyNumberFormat="1"/>
    <xf numFmtId="169" fontId="4" fillId="0" borderId="0" xfId="1" applyNumberFormat="1" applyFont="1" applyBorder="1"/>
    <xf numFmtId="169" fontId="0" fillId="0" borderId="0" xfId="1" applyNumberFormat="1" applyFont="1" applyBorder="1"/>
    <xf numFmtId="0" fontId="13" fillId="0" borderId="0" xfId="3"/>
    <xf numFmtId="0" fontId="13" fillId="0" borderId="4" xfId="3" applyBorder="1"/>
    <xf numFmtId="0" fontId="13" fillId="0" borderId="13" xfId="3" applyBorder="1"/>
    <xf numFmtId="183" fontId="22" fillId="0" borderId="5" xfId="3" applyNumberFormat="1" applyFont="1" applyBorder="1"/>
    <xf numFmtId="0" fontId="13" fillId="0" borderId="4" xfId="3" applyBorder="1" applyAlignment="1">
      <alignment horizontal="left"/>
    </xf>
    <xf numFmtId="10" fontId="22" fillId="0" borderId="5" xfId="2" applyNumberFormat="1" applyFont="1" applyBorder="1"/>
    <xf numFmtId="0" fontId="21" fillId="0" borderId="11" xfId="3" applyFont="1" applyBorder="1"/>
    <xf numFmtId="184" fontId="21" fillId="0" borderId="12" xfId="3" applyNumberFormat="1" applyFont="1" applyBorder="1"/>
    <xf numFmtId="10" fontId="22" fillId="0" borderId="0" xfId="2" applyNumberFormat="1" applyFont="1" applyBorder="1"/>
    <xf numFmtId="10" fontId="13" fillId="0" borderId="0" xfId="2" applyNumberFormat="1" applyFont="1" applyBorder="1"/>
    <xf numFmtId="10" fontId="13" fillId="0" borderId="5" xfId="2" applyNumberFormat="1" applyFont="1" applyBorder="1"/>
    <xf numFmtId="0" fontId="13" fillId="0" borderId="13" xfId="3" applyBorder="1" applyAlignment="1">
      <alignment horizontal="left"/>
    </xf>
    <xf numFmtId="0" fontId="13" fillId="0" borderId="11" xfId="3" applyBorder="1"/>
    <xf numFmtId="10" fontId="21" fillId="0" borderId="11" xfId="2" applyNumberFormat="1" applyFont="1" applyBorder="1"/>
    <xf numFmtId="10" fontId="21" fillId="0" borderId="12" xfId="2" applyNumberFormat="1" applyFont="1" applyBorder="1"/>
    <xf numFmtId="0" fontId="21" fillId="0" borderId="14" xfId="3" applyFont="1" applyBorder="1" applyAlignment="1">
      <alignment horizontal="left"/>
    </xf>
    <xf numFmtId="0" fontId="13" fillId="0" borderId="7" xfId="3" applyBorder="1"/>
    <xf numFmtId="10" fontId="21" fillId="0" borderId="7" xfId="2" applyNumberFormat="1" applyFont="1" applyBorder="1"/>
    <xf numFmtId="0" fontId="24" fillId="2" borderId="8" xfId="2" applyNumberFormat="1" applyFont="1" applyFill="1" applyBorder="1" applyAlignment="1">
      <alignment horizontal="center"/>
    </xf>
    <xf numFmtId="184" fontId="22" fillId="0" borderId="5" xfId="3" applyNumberFormat="1" applyFont="1" applyBorder="1"/>
    <xf numFmtId="184" fontId="13" fillId="0" borderId="5" xfId="3" applyNumberFormat="1" applyBorder="1"/>
    <xf numFmtId="0" fontId="24" fillId="2" borderId="0" xfId="3" applyFont="1" applyFill="1" applyAlignment="1">
      <alignment horizontal="center"/>
    </xf>
    <xf numFmtId="184" fontId="22" fillId="0" borderId="12" xfId="3" applyNumberFormat="1" applyFont="1" applyBorder="1"/>
    <xf numFmtId="171" fontId="13" fillId="0" borderId="0" xfId="2" applyNumberFormat="1" applyFont="1"/>
    <xf numFmtId="0" fontId="13" fillId="0" borderId="5" xfId="3" applyBorder="1"/>
    <xf numFmtId="0" fontId="21" fillId="7" borderId="1" xfId="3" applyFont="1" applyFill="1" applyBorder="1" applyAlignment="1">
      <alignment horizontal="left"/>
    </xf>
    <xf numFmtId="0" fontId="21" fillId="7" borderId="2" xfId="3" applyFont="1" applyFill="1" applyBorder="1"/>
    <xf numFmtId="0" fontId="21" fillId="7" borderId="4" xfId="3" applyFont="1" applyFill="1" applyBorder="1" applyAlignment="1">
      <alignment horizontal="left"/>
    </xf>
    <xf numFmtId="0" fontId="21" fillId="7" borderId="0" xfId="3" applyFont="1" applyFill="1"/>
    <xf numFmtId="0" fontId="21" fillId="7" borderId="13" xfId="3" applyFont="1" applyFill="1" applyBorder="1" applyAlignment="1">
      <alignment horizontal="left"/>
    </xf>
    <xf numFmtId="0" fontId="21" fillId="7" borderId="11" xfId="3" applyFont="1" applyFill="1" applyBorder="1"/>
    <xf numFmtId="0" fontId="21" fillId="0" borderId="13" xfId="3" applyFont="1" applyBorder="1"/>
    <xf numFmtId="43" fontId="21" fillId="0" borderId="11" xfId="3" applyNumberFormat="1" applyFont="1" applyBorder="1"/>
    <xf numFmtId="165" fontId="21" fillId="0" borderId="11" xfId="3" applyNumberFormat="1" applyFont="1" applyBorder="1"/>
    <xf numFmtId="0" fontId="24" fillId="2" borderId="12" xfId="1" applyNumberFormat="1" applyFont="1" applyFill="1" applyBorder="1" applyAlignment="1">
      <alignment horizontal="center"/>
    </xf>
    <xf numFmtId="0" fontId="21" fillId="0" borderId="0" xfId="3" applyFont="1"/>
    <xf numFmtId="0" fontId="21" fillId="0" borderId="5" xfId="3" applyFont="1" applyBorder="1"/>
    <xf numFmtId="0" fontId="26" fillId="0" borderId="4" xfId="3" applyFont="1" applyBorder="1"/>
    <xf numFmtId="171" fontId="13" fillId="0" borderId="0" xfId="3" applyNumberFormat="1"/>
    <xf numFmtId="0" fontId="5" fillId="3" borderId="1" xfId="3" applyFont="1" applyFill="1" applyBorder="1"/>
    <xf numFmtId="0" fontId="5" fillId="3" borderId="2" xfId="3" applyFont="1" applyFill="1" applyBorder="1"/>
    <xf numFmtId="0" fontId="5" fillId="3" borderId="3" xfId="3" applyFont="1" applyFill="1" applyBorder="1"/>
    <xf numFmtId="43" fontId="0" fillId="0" borderId="0" xfId="1" applyFont="1"/>
    <xf numFmtId="0" fontId="0" fillId="0" borderId="14" xfId="0" applyBorder="1"/>
    <xf numFmtId="4" fontId="25" fillId="0" borderId="6" xfId="3" applyNumberFormat="1" applyFont="1" applyBorder="1"/>
    <xf numFmtId="2" fontId="21" fillId="7" borderId="11" xfId="3" applyNumberFormat="1" applyFont="1" applyFill="1" applyBorder="1"/>
    <xf numFmtId="2" fontId="21" fillId="7" borderId="3" xfId="3" applyNumberFormat="1" applyFont="1" applyFill="1" applyBorder="1"/>
    <xf numFmtId="2" fontId="21" fillId="7" borderId="5" xfId="3" applyNumberFormat="1" applyFont="1" applyFill="1" applyBorder="1"/>
    <xf numFmtId="2" fontId="21" fillId="7" borderId="12" xfId="3" applyNumberFormat="1" applyFont="1" applyFill="1" applyBorder="1"/>
    <xf numFmtId="0" fontId="21" fillId="0" borderId="14" xfId="3" applyFont="1" applyBorder="1"/>
    <xf numFmtId="0" fontId="21" fillId="0" borderId="7" xfId="3" applyFont="1" applyBorder="1"/>
    <xf numFmtId="43" fontId="21" fillId="0" borderId="7" xfId="3" applyNumberFormat="1" applyFont="1" applyBorder="1"/>
    <xf numFmtId="165" fontId="21" fillId="0" borderId="7" xfId="3" applyNumberFormat="1" applyFont="1" applyBorder="1"/>
    <xf numFmtId="0" fontId="24" fillId="2" borderId="8" xfId="1" applyNumberFormat="1" applyFont="1" applyFill="1" applyBorder="1" applyAlignment="1">
      <alignment horizontal="center"/>
    </xf>
    <xf numFmtId="0" fontId="31" fillId="0" borderId="0" xfId="3" applyFont="1"/>
    <xf numFmtId="0" fontId="20" fillId="6" borderId="0" xfId="0" applyFont="1" applyFill="1"/>
    <xf numFmtId="0" fontId="33" fillId="3" borderId="3" xfId="0" applyFont="1" applyFill="1" applyBorder="1" applyAlignment="1">
      <alignment horizontal="left"/>
    </xf>
    <xf numFmtId="0" fontId="5" fillId="3" borderId="4" xfId="3" applyFont="1" applyFill="1" applyBorder="1"/>
    <xf numFmtId="0" fontId="5" fillId="3" borderId="0" xfId="3" applyFont="1" applyFill="1"/>
    <xf numFmtId="0" fontId="5" fillId="3" borderId="0" xfId="3" applyFont="1" applyFill="1" applyAlignment="1">
      <alignment horizontal="center"/>
    </xf>
    <xf numFmtId="0" fontId="5" fillId="3" borderId="5" xfId="3" applyFont="1" applyFill="1" applyBorder="1" applyAlignment="1">
      <alignment horizontal="center"/>
    </xf>
    <xf numFmtId="0" fontId="5" fillId="3" borderId="6" xfId="3" applyFont="1" applyFill="1" applyBorder="1"/>
    <xf numFmtId="0" fontId="5" fillId="3" borderId="6" xfId="3" applyFont="1" applyFill="1" applyBorder="1" applyAlignment="1">
      <alignment horizontal="center"/>
    </xf>
    <xf numFmtId="0" fontId="18" fillId="3" borderId="14" xfId="3" applyFont="1" applyFill="1" applyBorder="1"/>
    <xf numFmtId="0" fontId="18" fillId="3" borderId="7" xfId="3" applyFont="1" applyFill="1" applyBorder="1"/>
    <xf numFmtId="171" fontId="18" fillId="3" borderId="8" xfId="3" applyNumberFormat="1" applyFont="1" applyFill="1" applyBorder="1"/>
    <xf numFmtId="184" fontId="18" fillId="3" borderId="8" xfId="3" applyNumberFormat="1" applyFont="1" applyFill="1" applyBorder="1"/>
    <xf numFmtId="49" fontId="0" fillId="0" borderId="0" xfId="0" applyNumberFormat="1"/>
    <xf numFmtId="4" fontId="0" fillId="0" borderId="0" xfId="0" applyNumberFormat="1"/>
    <xf numFmtId="4" fontId="4" fillId="0" borderId="0" xfId="0" applyNumberFormat="1" applyFont="1"/>
    <xf numFmtId="0" fontId="0" fillId="10" borderId="0" xfId="0" applyFill="1"/>
    <xf numFmtId="9" fontId="13" fillId="0" borderId="0" xfId="3" applyNumberFormat="1"/>
    <xf numFmtId="0" fontId="13" fillId="0" borderId="6" xfId="3" applyBorder="1"/>
    <xf numFmtId="9" fontId="21" fillId="7" borderId="3" xfId="2" applyFont="1" applyFill="1" applyBorder="1"/>
    <xf numFmtId="9" fontId="21" fillId="7" borderId="5" xfId="2" applyFont="1" applyFill="1" applyBorder="1"/>
    <xf numFmtId="9" fontId="21" fillId="7" borderId="12" xfId="2" applyFont="1" applyFill="1" applyBorder="1"/>
    <xf numFmtId="9" fontId="25" fillId="0" borderId="6" xfId="2" applyFont="1" applyFill="1" applyBorder="1" applyAlignment="1"/>
    <xf numFmtId="9" fontId="21" fillId="7" borderId="1" xfId="2" applyFont="1" applyFill="1" applyBorder="1"/>
    <xf numFmtId="9" fontId="21" fillId="7" borderId="4" xfId="2" applyFont="1" applyFill="1" applyBorder="1"/>
    <xf numFmtId="9" fontId="21" fillId="7" borderId="13" xfId="2" applyFont="1" applyFill="1" applyBorder="1"/>
    <xf numFmtId="171" fontId="4" fillId="0" borderId="0" xfId="2" applyNumberFormat="1" applyFont="1" applyBorder="1"/>
    <xf numFmtId="169" fontId="0" fillId="0" borderId="0" xfId="0" applyNumberFormat="1"/>
    <xf numFmtId="171" fontId="0" fillId="0" borderId="0" xfId="2" applyNumberFormat="1" applyFont="1"/>
    <xf numFmtId="0" fontId="28" fillId="0" borderId="0" xfId="4"/>
    <xf numFmtId="9" fontId="13" fillId="0" borderId="0" xfId="2" applyFont="1"/>
    <xf numFmtId="49" fontId="3" fillId="0" borderId="0" xfId="52" applyNumberFormat="1"/>
    <xf numFmtId="4" fontId="3" fillId="0" borderId="0" xfId="52" applyNumberFormat="1"/>
    <xf numFmtId="0" fontId="3" fillId="0" borderId="0" xfId="52"/>
    <xf numFmtId="0" fontId="17" fillId="3" borderId="0" xfId="51" applyFont="1" applyFill="1"/>
    <xf numFmtId="0" fontId="37" fillId="12" borderId="0" xfId="52" applyFont="1" applyFill="1" applyAlignment="1">
      <alignment horizontal="center" vertical="center" wrapText="1"/>
    </xf>
    <xf numFmtId="0" fontId="37" fillId="12" borderId="0" xfId="52" applyFont="1" applyFill="1" applyAlignment="1">
      <alignment vertical="center" wrapText="1"/>
    </xf>
    <xf numFmtId="0" fontId="35" fillId="0" borderId="0" xfId="52" applyFont="1"/>
    <xf numFmtId="49" fontId="4" fillId="0" borderId="0" xfId="52" applyNumberFormat="1" applyFont="1"/>
    <xf numFmtId="4" fontId="4" fillId="0" borderId="0" xfId="52" applyNumberFormat="1" applyFont="1"/>
    <xf numFmtId="0" fontId="4" fillId="0" borderId="0" xfId="52" applyFont="1"/>
    <xf numFmtId="9" fontId="36" fillId="0" borderId="0" xfId="2" applyFont="1" applyBorder="1"/>
    <xf numFmtId="171" fontId="53" fillId="0" borderId="0" xfId="52" applyNumberFormat="1" applyFont="1"/>
    <xf numFmtId="171" fontId="53" fillId="0" borderId="0" xfId="2" applyNumberFormat="1" applyFont="1" applyBorder="1"/>
    <xf numFmtId="0" fontId="58" fillId="0" borderId="0" xfId="0" applyFont="1"/>
    <xf numFmtId="171" fontId="54" fillId="0" borderId="0" xfId="52" applyNumberFormat="1" applyFont="1"/>
    <xf numFmtId="171" fontId="54" fillId="0" borderId="0" xfId="2" applyNumberFormat="1" applyFont="1" applyBorder="1"/>
    <xf numFmtId="10" fontId="3" fillId="0" borderId="0" xfId="52" applyNumberFormat="1"/>
    <xf numFmtId="10" fontId="4" fillId="0" borderId="0" xfId="52" applyNumberFormat="1" applyFont="1"/>
    <xf numFmtId="9" fontId="56" fillId="0" borderId="0" xfId="2" applyFont="1" applyBorder="1"/>
    <xf numFmtId="0" fontId="36" fillId="0" borderId="0" xfId="52" applyFont="1"/>
    <xf numFmtId="9" fontId="57" fillId="0" borderId="0" xfId="2" applyFont="1" applyBorder="1"/>
    <xf numFmtId="0" fontId="52" fillId="0" borderId="0" xfId="51"/>
    <xf numFmtId="0" fontId="34" fillId="12" borderId="0" xfId="52" applyFont="1" applyFill="1" applyAlignment="1">
      <alignment vertical="center" wrapText="1"/>
    </xf>
    <xf numFmtId="0" fontId="34" fillId="12" borderId="0" xfId="52" applyFont="1" applyFill="1" applyAlignment="1">
      <alignment horizontal="center" vertical="center" wrapText="1"/>
    </xf>
    <xf numFmtId="0" fontId="55" fillId="12" borderId="0" xfId="52" applyFont="1" applyFill="1" applyAlignment="1">
      <alignment vertical="center" wrapText="1"/>
    </xf>
    <xf numFmtId="193" fontId="0" fillId="0" borderId="0" xfId="1" applyNumberFormat="1" applyFont="1"/>
    <xf numFmtId="0" fontId="58" fillId="0" borderId="0" xfId="0" applyFont="1" applyAlignment="1">
      <alignment horizontal="left" indent="1"/>
    </xf>
    <xf numFmtId="0" fontId="59" fillId="0" borderId="0" xfId="0" applyFont="1"/>
    <xf numFmtId="169" fontId="4" fillId="0" borderId="0" xfId="1" applyNumberFormat="1" applyFont="1"/>
    <xf numFmtId="169" fontId="4" fillId="0" borderId="0" xfId="0" applyNumberFormat="1" applyFont="1"/>
    <xf numFmtId="171" fontId="3" fillId="0" borderId="0" xfId="2" applyNumberFormat="1" applyBorder="1"/>
    <xf numFmtId="169" fontId="0" fillId="0" borderId="0" xfId="1" applyNumberFormat="1" applyFont="1"/>
    <xf numFmtId="10" fontId="0" fillId="0" borderId="0" xfId="0" applyNumberFormat="1"/>
    <xf numFmtId="0" fontId="34" fillId="12" borderId="0" xfId="52" applyFont="1" applyFill="1" applyAlignment="1">
      <alignment vertical="center"/>
    </xf>
    <xf numFmtId="10" fontId="4" fillId="0" borderId="0" xfId="2" applyNumberFormat="1" applyFont="1" applyBorder="1"/>
    <xf numFmtId="9" fontId="61" fillId="0" borderId="0" xfId="2" applyFont="1" applyBorder="1"/>
    <xf numFmtId="9" fontId="62" fillId="0" borderId="0" xfId="2" applyFont="1" applyBorder="1"/>
    <xf numFmtId="10" fontId="61" fillId="0" borderId="0" xfId="2" applyNumberFormat="1" applyFont="1" applyBorder="1"/>
    <xf numFmtId="10" fontId="53" fillId="0" borderId="0" xfId="52" applyNumberFormat="1" applyFont="1"/>
    <xf numFmtId="9" fontId="0" fillId="0" borderId="0" xfId="0" applyNumberFormat="1"/>
    <xf numFmtId="169" fontId="3" fillId="0" borderId="0" xfId="1" applyNumberFormat="1" applyBorder="1"/>
    <xf numFmtId="4" fontId="8" fillId="0" borderId="0" xfId="52" applyNumberFormat="1" applyFont="1"/>
    <xf numFmtId="0" fontId="17" fillId="3" borderId="0" xfId="52" applyFont="1" applyFill="1"/>
    <xf numFmtId="3" fontId="4" fillId="0" borderId="0" xfId="52" applyNumberFormat="1" applyFont="1"/>
    <xf numFmtId="9" fontId="53" fillId="0" borderId="0" xfId="2" applyFont="1" applyBorder="1"/>
    <xf numFmtId="171" fontId="36" fillId="0" borderId="0" xfId="52" applyNumberFormat="1" applyFont="1"/>
    <xf numFmtId="3" fontId="3" fillId="0" borderId="0" xfId="52" applyNumberFormat="1"/>
    <xf numFmtId="9" fontId="54" fillId="0" borderId="0" xfId="2" applyFont="1" applyBorder="1"/>
    <xf numFmtId="171" fontId="35" fillId="0" borderId="0" xfId="52" applyNumberFormat="1" applyFont="1"/>
    <xf numFmtId="49" fontId="0" fillId="0" borderId="0" xfId="52" applyNumberFormat="1" applyFont="1"/>
    <xf numFmtId="0" fontId="60" fillId="0" borderId="0" xfId="0" applyFont="1"/>
    <xf numFmtId="0" fontId="3" fillId="3" borderId="0" xfId="52" applyFill="1"/>
    <xf numFmtId="197" fontId="3" fillId="0" borderId="0" xfId="52" applyNumberFormat="1"/>
    <xf numFmtId="10" fontId="13" fillId="0" borderId="0" xfId="3" applyNumberFormat="1"/>
    <xf numFmtId="43" fontId="0" fillId="0" borderId="0" xfId="0" applyNumberFormat="1"/>
    <xf numFmtId="198" fontId="0" fillId="0" borderId="0" xfId="0" applyNumberFormat="1"/>
    <xf numFmtId="9" fontId="19" fillId="0" borderId="0" xfId="2" applyFont="1"/>
    <xf numFmtId="0" fontId="20" fillId="0" borderId="0" xfId="0" applyFont="1"/>
    <xf numFmtId="0" fontId="59" fillId="5" borderId="0" xfId="0" applyFont="1" applyFill="1"/>
    <xf numFmtId="0" fontId="37" fillId="12" borderId="0" xfId="52" applyFont="1" applyFill="1" applyAlignment="1">
      <alignment horizontal="right" vertical="center"/>
    </xf>
    <xf numFmtId="0" fontId="0" fillId="6" borderId="0" xfId="0" applyFill="1"/>
    <xf numFmtId="169" fontId="4" fillId="6" borderId="0" xfId="1" applyNumberFormat="1" applyFont="1" applyFill="1"/>
    <xf numFmtId="169" fontId="4" fillId="6" borderId="0" xfId="1" applyNumberFormat="1" applyFont="1" applyFill="1" applyBorder="1"/>
    <xf numFmtId="169" fontId="0" fillId="0" borderId="11" xfId="1" applyNumberFormat="1" applyFont="1" applyBorder="1"/>
    <xf numFmtId="49" fontId="21" fillId="10" borderId="0" xfId="0" applyNumberFormat="1" applyFont="1" applyFill="1" applyAlignment="1">
      <alignment horizontal="left" vertical="center"/>
    </xf>
    <xf numFmtId="49" fontId="13" fillId="10" borderId="0" xfId="0" applyNumberFormat="1" applyFont="1" applyFill="1" applyAlignment="1">
      <alignment horizontal="left" vertical="center"/>
    </xf>
    <xf numFmtId="49" fontId="13" fillId="10" borderId="11" xfId="0" applyNumberFormat="1" applyFont="1" applyFill="1" applyBorder="1" applyAlignment="1">
      <alignment horizontal="left" vertical="center"/>
    </xf>
    <xf numFmtId="49" fontId="0" fillId="10" borderId="0" xfId="0" applyNumberFormat="1" applyFill="1"/>
    <xf numFmtId="193" fontId="0" fillId="10" borderId="0" xfId="1" applyNumberFormat="1" applyFont="1" applyFill="1"/>
    <xf numFmtId="9" fontId="0" fillId="10" borderId="0" xfId="2" applyFont="1" applyFill="1"/>
    <xf numFmtId="169" fontId="0" fillId="10" borderId="0" xfId="0" applyNumberFormat="1" applyFill="1"/>
    <xf numFmtId="169" fontId="0" fillId="10" borderId="0" xfId="1" applyNumberFormat="1" applyFont="1" applyFill="1"/>
    <xf numFmtId="9" fontId="31" fillId="10" borderId="0" xfId="2" applyFont="1" applyFill="1" applyBorder="1" applyAlignment="1">
      <alignment horizontal="left" vertical="center"/>
    </xf>
    <xf numFmtId="9" fontId="9" fillId="10" borderId="0" xfId="2" applyFont="1" applyFill="1"/>
    <xf numFmtId="171" fontId="9" fillId="10" borderId="0" xfId="2" applyNumberFormat="1" applyFont="1" applyFill="1"/>
    <xf numFmtId="171" fontId="0" fillId="10" borderId="0" xfId="2" applyNumberFormat="1" applyFont="1" applyFill="1"/>
    <xf numFmtId="43" fontId="0" fillId="10" borderId="0" xfId="1" applyFont="1" applyFill="1"/>
    <xf numFmtId="193" fontId="0" fillId="10" borderId="0" xfId="0" applyNumberFormat="1" applyFill="1"/>
    <xf numFmtId="10" fontId="0" fillId="10" borderId="0" xfId="2" applyNumberFormat="1" applyFont="1" applyFill="1"/>
    <xf numFmtId="0" fontId="13" fillId="0" borderId="33" xfId="3" applyBorder="1"/>
    <xf numFmtId="184" fontId="13" fillId="0" borderId="0" xfId="3" applyNumberFormat="1"/>
    <xf numFmtId="2" fontId="13" fillId="0" borderId="0" xfId="3" applyNumberFormat="1"/>
    <xf numFmtId="169" fontId="4" fillId="10" borderId="0" xfId="0" applyNumberFormat="1" applyFont="1" applyFill="1"/>
    <xf numFmtId="9" fontId="4" fillId="10" borderId="0" xfId="2" applyFont="1" applyFill="1"/>
    <xf numFmtId="0" fontId="4" fillId="10" borderId="0" xfId="0" applyFont="1" applyFill="1"/>
    <xf numFmtId="49" fontId="4" fillId="10" borderId="0" xfId="0" applyNumberFormat="1" applyFont="1" applyFill="1"/>
    <xf numFmtId="193" fontId="4" fillId="10" borderId="0" xfId="1" applyNumberFormat="1" applyFont="1" applyFill="1"/>
    <xf numFmtId="200" fontId="0" fillId="10" borderId="0" xfId="0" applyNumberFormat="1" applyFill="1"/>
    <xf numFmtId="171" fontId="9" fillId="6" borderId="0" xfId="2" applyNumberFormat="1" applyFont="1" applyFill="1"/>
    <xf numFmtId="0" fontId="0" fillId="44" borderId="0" xfId="0" applyFill="1"/>
    <xf numFmtId="9" fontId="9" fillId="6" borderId="0" xfId="2" applyFont="1" applyFill="1"/>
    <xf numFmtId="171" fontId="10" fillId="6" borderId="0" xfId="2" applyNumberFormat="1" applyFont="1" applyFill="1"/>
    <xf numFmtId="171" fontId="10" fillId="10" borderId="0" xfId="2" applyNumberFormat="1" applyFont="1" applyFill="1"/>
    <xf numFmtId="9" fontId="10" fillId="10" borderId="0" xfId="2" applyFont="1" applyFill="1"/>
    <xf numFmtId="43" fontId="9" fillId="10" borderId="0" xfId="1" applyFont="1" applyFill="1"/>
    <xf numFmtId="43" fontId="10" fillId="10" borderId="0" xfId="1" applyFont="1" applyFill="1"/>
    <xf numFmtId="10" fontId="9" fillId="10" borderId="0" xfId="2" applyNumberFormat="1" applyFont="1" applyFill="1"/>
    <xf numFmtId="194" fontId="9" fillId="10" borderId="0" xfId="2" applyNumberFormat="1" applyFont="1" applyFill="1"/>
    <xf numFmtId="43" fontId="10" fillId="6" borderId="0" xfId="1" applyFont="1" applyFill="1"/>
    <xf numFmtId="198" fontId="9" fillId="10" borderId="0" xfId="1" applyNumberFormat="1" applyFont="1" applyFill="1"/>
    <xf numFmtId="0" fontId="59" fillId="49" borderId="0" xfId="0" applyFont="1" applyFill="1"/>
    <xf numFmtId="10" fontId="4" fillId="49" borderId="0" xfId="52" applyNumberFormat="1" applyFont="1" applyFill="1"/>
    <xf numFmtId="4" fontId="4" fillId="49" borderId="0" xfId="52" applyNumberFormat="1" applyFont="1" applyFill="1"/>
    <xf numFmtId="3" fontId="4" fillId="49" borderId="0" xfId="52" applyNumberFormat="1" applyFont="1" applyFill="1"/>
    <xf numFmtId="169" fontId="4" fillId="49" borderId="0" xfId="1" applyNumberFormat="1" applyFont="1" applyFill="1" applyBorder="1"/>
    <xf numFmtId="169" fontId="0" fillId="49" borderId="0" xfId="1" applyNumberFormat="1" applyFont="1" applyFill="1" applyBorder="1"/>
    <xf numFmtId="9" fontId="53" fillId="49" borderId="0" xfId="2" applyFont="1" applyFill="1" applyBorder="1"/>
    <xf numFmtId="171" fontId="53" fillId="49" borderId="0" xfId="2" applyNumberFormat="1" applyFont="1" applyFill="1" applyBorder="1"/>
    <xf numFmtId="171" fontId="36" fillId="49" borderId="0" xfId="52" applyNumberFormat="1" applyFont="1" applyFill="1"/>
    <xf numFmtId="0" fontId="3" fillId="49" borderId="0" xfId="52" applyFill="1"/>
    <xf numFmtId="169" fontId="10" fillId="49" borderId="0" xfId="1" applyNumberFormat="1" applyFont="1" applyFill="1" applyBorder="1"/>
    <xf numFmtId="0" fontId="9" fillId="10" borderId="0" xfId="0" applyFont="1" applyFill="1"/>
    <xf numFmtId="169" fontId="9" fillId="10" borderId="0" xfId="0" applyNumberFormat="1" applyFont="1" applyFill="1"/>
    <xf numFmtId="171" fontId="19" fillId="10" borderId="0" xfId="2" applyNumberFormat="1" applyFont="1" applyFill="1"/>
    <xf numFmtId="0" fontId="17" fillId="43" borderId="0" xfId="0" applyFont="1" applyFill="1"/>
    <xf numFmtId="169" fontId="17" fillId="43" borderId="0" xfId="0" applyNumberFormat="1" applyFont="1" applyFill="1"/>
    <xf numFmtId="9" fontId="17" fillId="43" borderId="0" xfId="2" applyFont="1" applyFill="1"/>
    <xf numFmtId="171" fontId="17" fillId="43" borderId="0" xfId="2" applyNumberFormat="1" applyFont="1" applyFill="1"/>
    <xf numFmtId="43" fontId="17" fillId="43" borderId="0" xfId="1" applyFont="1" applyFill="1"/>
    <xf numFmtId="49" fontId="17" fillId="43" borderId="0" xfId="0" applyNumberFormat="1" applyFont="1" applyFill="1"/>
    <xf numFmtId="193" fontId="17" fillId="43" borderId="0" xfId="1" applyNumberFormat="1" applyFont="1" applyFill="1"/>
    <xf numFmtId="10" fontId="9" fillId="6" borderId="0" xfId="2" applyNumberFormat="1" applyFont="1" applyFill="1"/>
    <xf numFmtId="171" fontId="31" fillId="10" borderId="0" xfId="2" applyNumberFormat="1" applyFont="1" applyFill="1" applyBorder="1" applyAlignment="1">
      <alignment horizontal="left" vertical="center"/>
    </xf>
    <xf numFmtId="171" fontId="9" fillId="10" borderId="0" xfId="1" applyNumberFormat="1" applyFont="1" applyFill="1"/>
    <xf numFmtId="49" fontId="24" fillId="6" borderId="0" xfId="0" applyNumberFormat="1" applyFont="1" applyFill="1" applyAlignment="1">
      <alignment horizontal="left" vertical="center"/>
    </xf>
    <xf numFmtId="10" fontId="14" fillId="6" borderId="0" xfId="2" applyNumberFormat="1" applyFont="1" applyFill="1"/>
    <xf numFmtId="9" fontId="11" fillId="6" borderId="0" xfId="2" applyFont="1" applyFill="1"/>
    <xf numFmtId="169" fontId="11" fillId="6" borderId="0" xfId="0" applyNumberFormat="1" applyFont="1" applyFill="1"/>
    <xf numFmtId="169" fontId="14" fillId="6" borderId="0" xfId="1" applyNumberFormat="1" applyFont="1" applyFill="1"/>
    <xf numFmtId="169" fontId="14" fillId="6" borderId="0" xfId="0" applyNumberFormat="1" applyFont="1" applyFill="1"/>
    <xf numFmtId="171" fontId="11" fillId="6" borderId="0" xfId="2" applyNumberFormat="1" applyFont="1" applyFill="1"/>
    <xf numFmtId="43" fontId="11" fillId="6" borderId="0" xfId="1" applyFont="1" applyFill="1"/>
    <xf numFmtId="171" fontId="14" fillId="6" borderId="0" xfId="2" applyNumberFormat="1" applyFont="1" applyFill="1"/>
    <xf numFmtId="49" fontId="14" fillId="6" borderId="0" xfId="0" applyNumberFormat="1" applyFont="1" applyFill="1"/>
    <xf numFmtId="193" fontId="14" fillId="6" borderId="0" xfId="1" applyNumberFormat="1" applyFont="1" applyFill="1"/>
    <xf numFmtId="0" fontId="14" fillId="6" borderId="0" xfId="0" applyFont="1" applyFill="1"/>
    <xf numFmtId="169" fontId="9" fillId="10" borderId="0" xfId="1" applyNumberFormat="1" applyFont="1" applyFill="1"/>
    <xf numFmtId="169" fontId="9" fillId="10" borderId="0" xfId="2" applyNumberFormat="1" applyFont="1" applyFill="1"/>
    <xf numFmtId="171" fontId="4" fillId="10" borderId="0" xfId="2" applyNumberFormat="1" applyFont="1" applyFill="1"/>
    <xf numFmtId="10" fontId="0" fillId="10" borderId="0" xfId="0" applyNumberFormat="1" applyFill="1"/>
    <xf numFmtId="171" fontId="0" fillId="10" borderId="0" xfId="0" applyNumberFormat="1" applyFill="1"/>
    <xf numFmtId="3" fontId="0" fillId="10" borderId="0" xfId="0" applyNumberFormat="1" applyFill="1"/>
    <xf numFmtId="169" fontId="4" fillId="10" borderId="0" xfId="1" applyNumberFormat="1" applyFont="1" applyFill="1"/>
    <xf numFmtId="169" fontId="20" fillId="10" borderId="0" xfId="1" applyNumberFormat="1" applyFont="1" applyFill="1"/>
    <xf numFmtId="0" fontId="19" fillId="10" borderId="0" xfId="0" applyFont="1" applyFill="1"/>
    <xf numFmtId="171" fontId="9" fillId="10" borderId="0" xfId="0" applyNumberFormat="1" applyFont="1" applyFill="1"/>
    <xf numFmtId="9" fontId="0" fillId="10" borderId="0" xfId="0" applyNumberFormat="1" applyFill="1"/>
    <xf numFmtId="9" fontId="9" fillId="10" borderId="0" xfId="0" applyNumberFormat="1" applyFont="1" applyFill="1"/>
    <xf numFmtId="9" fontId="20" fillId="0" borderId="0" xfId="2" applyFont="1"/>
    <xf numFmtId="0" fontId="65" fillId="10" borderId="0" xfId="0" applyFont="1" applyFill="1"/>
    <xf numFmtId="9" fontId="19" fillId="10" borderId="0" xfId="2" applyFont="1" applyFill="1"/>
    <xf numFmtId="0" fontId="4" fillId="50" borderId="0" xfId="0" applyFont="1" applyFill="1"/>
    <xf numFmtId="169" fontId="4" fillId="50" borderId="0" xfId="1" applyNumberFormat="1" applyFont="1" applyFill="1"/>
    <xf numFmtId="169" fontId="4" fillId="49" borderId="0" xfId="1" applyNumberFormat="1" applyFont="1" applyFill="1"/>
    <xf numFmtId="0" fontId="4" fillId="49" borderId="0" xfId="0" applyFont="1" applyFill="1"/>
    <xf numFmtId="169" fontId="19" fillId="10" borderId="0" xfId="1" applyNumberFormat="1" applyFont="1" applyFill="1"/>
    <xf numFmtId="0" fontId="66" fillId="10" borderId="0" xfId="0" applyFont="1" applyFill="1"/>
    <xf numFmtId="169" fontId="0" fillId="49" borderId="0" xfId="1" applyNumberFormat="1" applyFont="1" applyFill="1"/>
    <xf numFmtId="0" fontId="17" fillId="51" borderId="0" xfId="0" applyFont="1" applyFill="1"/>
    <xf numFmtId="169" fontId="9" fillId="10" borderId="0" xfId="1" applyNumberFormat="1" applyFont="1" applyFill="1" applyAlignment="1">
      <alignment horizontal="left" indent="2"/>
    </xf>
    <xf numFmtId="169" fontId="53" fillId="0" borderId="0" xfId="1" applyNumberFormat="1" applyFont="1" applyBorder="1"/>
    <xf numFmtId="169" fontId="3" fillId="0" borderId="0" xfId="1" applyNumberFormat="1"/>
    <xf numFmtId="169" fontId="54" fillId="0" borderId="0" xfId="1" applyNumberFormat="1" applyFont="1" applyBorder="1"/>
    <xf numFmtId="169" fontId="53" fillId="49" borderId="0" xfId="1" applyNumberFormat="1" applyFont="1" applyFill="1" applyBorder="1"/>
    <xf numFmtId="169" fontId="34" fillId="12" borderId="0" xfId="1" applyNumberFormat="1" applyFont="1" applyFill="1" applyAlignment="1">
      <alignment vertical="center" wrapText="1"/>
    </xf>
    <xf numFmtId="0" fontId="67" fillId="6" borderId="0" xfId="0" applyFont="1" applyFill="1"/>
    <xf numFmtId="49" fontId="8" fillId="6" borderId="0" xfId="52" applyNumberFormat="1" applyFont="1" applyFill="1"/>
    <xf numFmtId="4" fontId="8" fillId="6" borderId="0" xfId="52" applyNumberFormat="1" applyFont="1" applyFill="1"/>
    <xf numFmtId="169" fontId="8" fillId="6" borderId="0" xfId="1" applyNumberFormat="1" applyFont="1" applyFill="1"/>
    <xf numFmtId="0" fontId="8" fillId="6" borderId="0" xfId="52" applyFont="1" applyFill="1"/>
    <xf numFmtId="0" fontId="58" fillId="6" borderId="0" xfId="0" applyFont="1" applyFill="1"/>
    <xf numFmtId="49" fontId="3" fillId="6" borderId="0" xfId="52" applyNumberFormat="1" applyFill="1"/>
    <xf numFmtId="4" fontId="3" fillId="6" borderId="0" xfId="52" applyNumberFormat="1" applyFill="1"/>
    <xf numFmtId="169" fontId="3" fillId="6" borderId="0" xfId="1" applyNumberFormat="1" applyFill="1"/>
    <xf numFmtId="169" fontId="0" fillId="6" borderId="0" xfId="1" applyNumberFormat="1" applyFont="1" applyFill="1"/>
    <xf numFmtId="0" fontId="3" fillId="6" borderId="0" xfId="52" applyFill="1"/>
    <xf numFmtId="169" fontId="19" fillId="10" borderId="0" xfId="0" applyNumberFormat="1" applyFont="1" applyFill="1"/>
    <xf numFmtId="4" fontId="13" fillId="0" borderId="0" xfId="3" applyNumberFormat="1"/>
    <xf numFmtId="169" fontId="0" fillId="10" borderId="0" xfId="1" applyNumberFormat="1" applyFont="1" applyFill="1" applyAlignment="1">
      <alignment horizontal="left" indent="2"/>
    </xf>
    <xf numFmtId="0" fontId="68" fillId="43" borderId="0" xfId="0" applyFont="1" applyFill="1"/>
    <xf numFmtId="169" fontId="20" fillId="10" borderId="0" xfId="1" applyNumberFormat="1" applyFont="1" applyFill="1" applyAlignment="1">
      <alignment horizontal="left" indent="2"/>
    </xf>
    <xf numFmtId="0" fontId="65" fillId="49" borderId="0" xfId="0" applyFont="1" applyFill="1"/>
    <xf numFmtId="169" fontId="4" fillId="49" borderId="0" xfId="0" applyNumberFormat="1" applyFont="1" applyFill="1"/>
    <xf numFmtId="169" fontId="3" fillId="10" borderId="0" xfId="1" applyNumberFormat="1" applyFont="1" applyFill="1" applyAlignment="1">
      <alignment horizontal="left" indent="2"/>
    </xf>
    <xf numFmtId="0" fontId="69" fillId="10" borderId="0" xfId="0" applyFont="1" applyFill="1"/>
    <xf numFmtId="193" fontId="9" fillId="10" borderId="0" xfId="1" applyNumberFormat="1" applyFont="1" applyFill="1"/>
    <xf numFmtId="0" fontId="12" fillId="10" borderId="4" xfId="0" applyFont="1" applyFill="1" applyBorder="1" applyAlignment="1">
      <alignment horizontal="left" indent="2"/>
    </xf>
    <xf numFmtId="4" fontId="0" fillId="10" borderId="0" xfId="0" applyNumberFormat="1" applyFill="1"/>
    <xf numFmtId="0" fontId="70" fillId="10" borderId="4" xfId="0" applyFont="1" applyFill="1" applyBorder="1" applyAlignment="1">
      <alignment horizontal="left" indent="2"/>
    </xf>
    <xf numFmtId="0" fontId="71" fillId="10" borderId="0" xfId="0" applyFont="1" applyFill="1"/>
    <xf numFmtId="10" fontId="71" fillId="10" borderId="0" xfId="0" applyNumberFormat="1" applyFont="1" applyFill="1"/>
    <xf numFmtId="0" fontId="16" fillId="10" borderId="4" xfId="0" applyFont="1" applyFill="1" applyBorder="1" applyAlignment="1">
      <alignment horizontal="left" indent="2"/>
    </xf>
    <xf numFmtId="17" fontId="0" fillId="10" borderId="0" xfId="0" applyNumberFormat="1" applyFill="1"/>
    <xf numFmtId="169" fontId="16" fillId="10" borderId="4" xfId="1" applyNumberFormat="1" applyFont="1" applyFill="1" applyBorder="1" applyAlignment="1">
      <alignment horizontal="left" indent="2"/>
    </xf>
    <xf numFmtId="0" fontId="72" fillId="43" borderId="0" xfId="0" applyFont="1" applyFill="1"/>
    <xf numFmtId="0" fontId="73" fillId="10" borderId="0" xfId="0" applyFont="1" applyFill="1"/>
    <xf numFmtId="169" fontId="73" fillId="49" borderId="0" xfId="0" applyNumberFormat="1" applyFont="1" applyFill="1"/>
    <xf numFmtId="169" fontId="74" fillId="10" borderId="0" xfId="0" applyNumberFormat="1" applyFont="1" applyFill="1"/>
    <xf numFmtId="0" fontId="73" fillId="49" borderId="0" xfId="0" applyFont="1" applyFill="1"/>
    <xf numFmtId="169" fontId="74" fillId="10" borderId="0" xfId="1" applyNumberFormat="1" applyFont="1" applyFill="1"/>
    <xf numFmtId="169" fontId="73" fillId="10" borderId="0" xfId="1" applyNumberFormat="1" applyFont="1" applyFill="1"/>
    <xf numFmtId="169" fontId="73" fillId="49" borderId="0" xfId="1" applyNumberFormat="1" applyFont="1" applyFill="1"/>
    <xf numFmtId="0" fontId="74" fillId="10" borderId="0" xfId="0" applyFont="1" applyFill="1"/>
    <xf numFmtId="3" fontId="73" fillId="49" borderId="0" xfId="0" applyNumberFormat="1" applyFont="1" applyFill="1"/>
    <xf numFmtId="206" fontId="74" fillId="10" borderId="0" xfId="0" applyNumberFormat="1" applyFont="1" applyFill="1"/>
    <xf numFmtId="43" fontId="74" fillId="10" borderId="0" xfId="1" applyFont="1" applyFill="1"/>
    <xf numFmtId="4" fontId="74" fillId="10" borderId="0" xfId="0" applyNumberFormat="1" applyFont="1" applyFill="1"/>
    <xf numFmtId="171" fontId="74" fillId="10" borderId="0" xfId="2" applyNumberFormat="1" applyFont="1" applyFill="1"/>
    <xf numFmtId="43" fontId="74" fillId="10" borderId="0" xfId="0" applyNumberFormat="1" applyFont="1" applyFill="1"/>
    <xf numFmtId="0" fontId="4" fillId="50" borderId="4" xfId="0" applyFont="1" applyFill="1" applyBorder="1" applyAlignment="1">
      <alignment horizontal="left" indent="1"/>
    </xf>
    <xf numFmtId="4" fontId="73" fillId="50" borderId="0" xfId="0" applyNumberFormat="1" applyFont="1" applyFill="1"/>
    <xf numFmtId="4" fontId="4" fillId="50" borderId="0" xfId="0" applyNumberFormat="1" applyFont="1" applyFill="1"/>
    <xf numFmtId="0" fontId="0" fillId="10" borderId="4" xfId="0" applyFill="1" applyBorder="1"/>
    <xf numFmtId="43" fontId="0" fillId="47" borderId="0" xfId="1" applyFont="1" applyFill="1"/>
    <xf numFmtId="193" fontId="74" fillId="10" borderId="0" xfId="1" applyNumberFormat="1" applyFont="1" applyFill="1"/>
    <xf numFmtId="169" fontId="0" fillId="6" borderId="0" xfId="1" applyNumberFormat="1" applyFont="1" applyFill="1" applyBorder="1"/>
    <xf numFmtId="193" fontId="0" fillId="50" borderId="0" xfId="1" applyNumberFormat="1" applyFont="1" applyFill="1"/>
    <xf numFmtId="0" fontId="74" fillId="6" borderId="0" xfId="0" applyFont="1" applyFill="1"/>
    <xf numFmtId="169" fontId="74" fillId="6" borderId="0" xfId="1" applyNumberFormat="1" applyFont="1" applyFill="1"/>
    <xf numFmtId="169" fontId="9" fillId="6" borderId="0" xfId="1" applyNumberFormat="1" applyFont="1" applyFill="1"/>
    <xf numFmtId="169" fontId="17" fillId="43" borderId="0" xfId="1" applyNumberFormat="1" applyFont="1" applyFill="1"/>
    <xf numFmtId="0" fontId="0" fillId="0" borderId="0" xfId="0" applyAlignment="1">
      <alignment horizontal="left" vertical="top" wrapText="1"/>
    </xf>
    <xf numFmtId="0" fontId="0" fillId="0" borderId="0" xfId="0" quotePrefix="1" applyAlignment="1">
      <alignment horizontal="left" vertical="top" wrapText="1"/>
    </xf>
    <xf numFmtId="0" fontId="0" fillId="10" borderId="0" xfId="0" applyFill="1" applyAlignment="1">
      <alignment wrapText="1"/>
    </xf>
    <xf numFmtId="208" fontId="0" fillId="0" borderId="0" xfId="0" applyNumberFormat="1"/>
    <xf numFmtId="3" fontId="74" fillId="10" borderId="0" xfId="0" applyNumberFormat="1" applyFont="1" applyFill="1"/>
    <xf numFmtId="9" fontId="74" fillId="10" borderId="0" xfId="2" applyFont="1" applyFill="1"/>
    <xf numFmtId="9" fontId="74" fillId="10" borderId="0" xfId="0" applyNumberFormat="1" applyFont="1" applyFill="1"/>
    <xf numFmtId="169" fontId="20" fillId="0" borderId="0" xfId="1" applyNumberFormat="1" applyFont="1"/>
    <xf numFmtId="9" fontId="28" fillId="0" borderId="0" xfId="4" applyNumberFormat="1"/>
    <xf numFmtId="0" fontId="0" fillId="10" borderId="0" xfId="0" applyFill="1" applyAlignment="1">
      <alignment vertical="top"/>
    </xf>
    <xf numFmtId="0" fontId="28" fillId="10" borderId="0" xfId="4" quotePrefix="1" applyFill="1" applyAlignment="1">
      <alignment vertical="top"/>
    </xf>
    <xf numFmtId="0" fontId="0" fillId="10" borderId="0" xfId="0" quotePrefix="1" applyFill="1" applyAlignment="1">
      <alignment vertical="top" wrapText="1"/>
    </xf>
    <xf numFmtId="0" fontId="17" fillId="43" borderId="0" xfId="0" applyFont="1" applyFill="1" applyAlignment="1">
      <alignment vertical="top"/>
    </xf>
    <xf numFmtId="0" fontId="28" fillId="10" borderId="0" xfId="4" applyFill="1" applyAlignment="1">
      <alignment vertical="top"/>
    </xf>
    <xf numFmtId="0" fontId="28" fillId="0" borderId="0" xfId="4" quotePrefix="1" applyFill="1"/>
    <xf numFmtId="0" fontId="75" fillId="0" borderId="0" xfId="0" applyFont="1"/>
    <xf numFmtId="49" fontId="32" fillId="0" borderId="0" xfId="52" applyNumberFormat="1" applyFont="1"/>
    <xf numFmtId="4" fontId="32" fillId="0" borderId="0" xfId="52" applyNumberFormat="1" applyFont="1"/>
    <xf numFmtId="4" fontId="32" fillId="0" borderId="0" xfId="0" applyNumberFormat="1" applyFont="1"/>
    <xf numFmtId="0" fontId="32" fillId="0" borderId="0" xfId="52" applyFont="1"/>
    <xf numFmtId="9" fontId="76" fillId="0" borderId="0" xfId="2" applyFont="1" applyBorder="1"/>
    <xf numFmtId="0" fontId="77" fillId="0" borderId="0" xfId="52" applyFont="1"/>
    <xf numFmtId="43" fontId="19" fillId="10" borderId="0" xfId="1" applyFont="1" applyFill="1"/>
    <xf numFmtId="0" fontId="78" fillId="10" borderId="0" xfId="0" applyFont="1" applyFill="1"/>
    <xf numFmtId="0" fontId="79" fillId="10" borderId="0" xfId="0" applyFont="1" applyFill="1"/>
    <xf numFmtId="49" fontId="78" fillId="10" borderId="0" xfId="0" applyNumberFormat="1" applyFont="1" applyFill="1"/>
    <xf numFmtId="0" fontId="78" fillId="10" borderId="0" xfId="0" applyFont="1" applyFill="1" applyAlignment="1">
      <alignment horizontal="left" vertical="top"/>
    </xf>
    <xf numFmtId="0" fontId="80" fillId="10" borderId="0" xfId="0" applyFont="1" applyFill="1" applyAlignment="1">
      <alignment horizontal="left" vertical="top"/>
    </xf>
    <xf numFmtId="171" fontId="9" fillId="10" borderId="0" xfId="2" applyNumberFormat="1" applyFont="1" applyFill="1" applyBorder="1"/>
    <xf numFmtId="0" fontId="73" fillId="50" borderId="0" xfId="0" applyFont="1" applyFill="1"/>
    <xf numFmtId="169" fontId="73" fillId="50" borderId="0" xfId="1" applyNumberFormat="1" applyFont="1" applyFill="1"/>
    <xf numFmtId="0" fontId="52" fillId="6" borderId="0" xfId="51" applyFill="1"/>
    <xf numFmtId="4" fontId="0" fillId="6" borderId="0" xfId="0" applyNumberFormat="1" applyFill="1"/>
    <xf numFmtId="0" fontId="34" fillId="11" borderId="6" xfId="59" applyFont="1" applyFill="1" applyBorder="1" applyAlignment="1">
      <alignment vertical="center" wrapText="1"/>
    </xf>
    <xf numFmtId="49" fontId="3" fillId="0" borderId="6" xfId="59" applyNumberFormat="1" applyBorder="1"/>
    <xf numFmtId="0" fontId="81" fillId="0" borderId="0" xfId="59" applyFont="1" applyFill="1" applyAlignment="1">
      <alignment horizontal="left"/>
    </xf>
    <xf numFmtId="0" fontId="35" fillId="0" borderId="0" xfId="59" applyFont="1" applyFill="1"/>
    <xf numFmtId="210" fontId="3" fillId="0" borderId="6" xfId="59" applyNumberFormat="1" applyBorder="1" applyAlignment="1">
      <alignment horizontal="right"/>
    </xf>
    <xf numFmtId="0" fontId="35" fillId="0" borderId="0" xfId="59" applyFont="1" applyFill="1" applyAlignment="1"/>
    <xf numFmtId="14" fontId="35" fillId="0" borderId="0" xfId="60" applyNumberFormat="1" applyFont="1" applyFill="1"/>
    <xf numFmtId="0" fontId="3" fillId="0" borderId="0" xfId="59"/>
    <xf numFmtId="211" fontId="3" fillId="0" borderId="6" xfId="59" applyNumberFormat="1" applyBorder="1"/>
    <xf numFmtId="4" fontId="3" fillId="0" borderId="6" xfId="59" applyNumberFormat="1" applyBorder="1"/>
    <xf numFmtId="211" fontId="3" fillId="6" borderId="6" xfId="59" applyNumberFormat="1" applyFill="1" applyBorder="1"/>
    <xf numFmtId="49" fontId="3" fillId="6" borderId="6" xfId="59" applyNumberFormat="1" applyFill="1" applyBorder="1"/>
    <xf numFmtId="4" fontId="3" fillId="6" borderId="6" xfId="59" applyNumberFormat="1" applyFill="1" applyBorder="1"/>
    <xf numFmtId="0" fontId="35" fillId="6" borderId="0" xfId="59" applyFont="1" applyFill="1"/>
    <xf numFmtId="211" fontId="35" fillId="0" borderId="0" xfId="59" applyNumberFormat="1" applyFont="1" applyFill="1"/>
    <xf numFmtId="0" fontId="82" fillId="0" borderId="0" xfId="59" applyFont="1"/>
    <xf numFmtId="49" fontId="35" fillId="0" borderId="0" xfId="59" applyNumberFormat="1" applyFont="1" applyFill="1"/>
    <xf numFmtId="0" fontId="83" fillId="0" borderId="0" xfId="59" applyFont="1"/>
    <xf numFmtId="0" fontId="28" fillId="0" borderId="0" xfId="59" applyFont="1"/>
    <xf numFmtId="211" fontId="0" fillId="0" borderId="6" xfId="0" applyNumberFormat="1" applyBorder="1"/>
    <xf numFmtId="212" fontId="0" fillId="0" borderId="0" xfId="0" applyNumberFormat="1"/>
    <xf numFmtId="171" fontId="3" fillId="0" borderId="0" xfId="2" applyNumberFormat="1"/>
    <xf numFmtId="200" fontId="74" fillId="10" borderId="0" xfId="0" applyNumberFormat="1" applyFont="1" applyFill="1"/>
    <xf numFmtId="0" fontId="4" fillId="5" borderId="0" xfId="52" applyFont="1" applyFill="1"/>
    <xf numFmtId="10" fontId="4" fillId="5" borderId="0" xfId="52" applyNumberFormat="1" applyFont="1" applyFill="1"/>
    <xf numFmtId="4" fontId="4" fillId="5" borderId="0" xfId="52" applyNumberFormat="1" applyFont="1" applyFill="1"/>
    <xf numFmtId="4" fontId="4" fillId="5" borderId="0" xfId="0" applyNumberFormat="1" applyFont="1" applyFill="1"/>
    <xf numFmtId="9" fontId="36" fillId="5" borderId="0" xfId="2" applyFont="1" applyFill="1" applyBorder="1"/>
    <xf numFmtId="10" fontId="61" fillId="5" borderId="0" xfId="2" applyNumberFormat="1" applyFont="1" applyFill="1" applyBorder="1"/>
    <xf numFmtId="171" fontId="53" fillId="5" borderId="0" xfId="52" applyNumberFormat="1" applyFont="1" applyFill="1"/>
    <xf numFmtId="171" fontId="53" fillId="5" borderId="0" xfId="2" applyNumberFormat="1" applyFont="1" applyFill="1" applyBorder="1"/>
    <xf numFmtId="0" fontId="75" fillId="0" borderId="0" xfId="0" applyFont="1" applyAlignment="1">
      <alignment horizontal="left" indent="1"/>
    </xf>
    <xf numFmtId="9" fontId="77" fillId="0" borderId="0" xfId="2" applyFont="1" applyBorder="1"/>
    <xf numFmtId="10" fontId="84" fillId="0" borderId="0" xfId="2" applyNumberFormat="1" applyFont="1" applyBorder="1"/>
    <xf numFmtId="10" fontId="85" fillId="0" borderId="0" xfId="52" applyNumberFormat="1" applyFont="1"/>
    <xf numFmtId="171" fontId="85" fillId="0" borderId="0" xfId="2" applyNumberFormat="1" applyFont="1" applyBorder="1"/>
    <xf numFmtId="0" fontId="4" fillId="6" borderId="0" xfId="52" applyFont="1" applyFill="1"/>
    <xf numFmtId="0" fontId="59" fillId="6" borderId="0" xfId="0" applyFont="1" applyFill="1"/>
    <xf numFmtId="49" fontId="4" fillId="6" borderId="0" xfId="52" applyNumberFormat="1" applyFont="1" applyFill="1"/>
    <xf numFmtId="4" fontId="4" fillId="6" borderId="0" xfId="52" applyNumberFormat="1" applyFont="1" applyFill="1"/>
    <xf numFmtId="3" fontId="4" fillId="6" borderId="0" xfId="52" applyNumberFormat="1" applyFont="1" applyFill="1"/>
    <xf numFmtId="169" fontId="53" fillId="6" borderId="0" xfId="1" applyNumberFormat="1" applyFont="1" applyFill="1" applyBorder="1"/>
    <xf numFmtId="9" fontId="53" fillId="6" borderId="0" xfId="2" applyFont="1" applyFill="1" applyBorder="1"/>
    <xf numFmtId="171" fontId="53" fillId="6" borderId="0" xfId="2" applyNumberFormat="1" applyFont="1" applyFill="1" applyBorder="1"/>
    <xf numFmtId="171" fontId="36" fillId="6" borderId="0" xfId="52" applyNumberFormat="1" applyFont="1" applyFill="1"/>
    <xf numFmtId="193" fontId="35" fillId="0" borderId="0" xfId="1" applyNumberFormat="1" applyFont="1" applyFill="1"/>
    <xf numFmtId="10" fontId="53" fillId="6" borderId="0" xfId="2" applyNumberFormat="1" applyFont="1" applyFill="1" applyBorder="1"/>
    <xf numFmtId="169" fontId="0" fillId="54" borderId="36" xfId="1" applyNumberFormat="1" applyFont="1" applyFill="1" applyBorder="1"/>
    <xf numFmtId="169" fontId="0" fillId="0" borderId="36" xfId="1" applyNumberFormat="1" applyFont="1" applyBorder="1"/>
    <xf numFmtId="0" fontId="1" fillId="0" borderId="0" xfId="65"/>
    <xf numFmtId="217" fontId="0" fillId="0" borderId="0" xfId="66" applyNumberFormat="1" applyFont="1"/>
    <xf numFmtId="200" fontId="1" fillId="0" borderId="0" xfId="65" applyNumberFormat="1"/>
    <xf numFmtId="171" fontId="86" fillId="0" borderId="0" xfId="2" applyNumberFormat="1" applyFont="1"/>
    <xf numFmtId="0" fontId="63" fillId="0" borderId="0" xfId="65" applyFont="1"/>
    <xf numFmtId="200" fontId="63" fillId="0" borderId="0" xfId="65" applyNumberFormat="1" applyFont="1"/>
    <xf numFmtId="217" fontId="4" fillId="0" borderId="0" xfId="66" applyNumberFormat="1" applyFont="1"/>
    <xf numFmtId="0" fontId="86" fillId="0" borderId="0" xfId="0" applyFont="1"/>
    <xf numFmtId="169" fontId="86" fillId="0" borderId="0" xfId="1" applyNumberFormat="1" applyFont="1"/>
    <xf numFmtId="0" fontId="86" fillId="10" borderId="0" xfId="0" applyFont="1" applyFill="1"/>
    <xf numFmtId="0" fontId="88" fillId="53" borderId="0" xfId="0" applyFont="1" applyFill="1"/>
    <xf numFmtId="0" fontId="89" fillId="53" borderId="0" xfId="0" applyFont="1" applyFill="1"/>
    <xf numFmtId="0" fontId="88" fillId="0" borderId="0" xfId="0" applyFont="1"/>
    <xf numFmtId="169" fontId="88" fillId="0" borderId="0" xfId="1" applyNumberFormat="1" applyFont="1"/>
    <xf numFmtId="169" fontId="91" fillId="0" borderId="0" xfId="1" applyNumberFormat="1" applyFont="1"/>
    <xf numFmtId="0" fontId="88" fillId="10" borderId="0" xfId="0" applyFont="1" applyFill="1"/>
    <xf numFmtId="169" fontId="88" fillId="10" borderId="0" xfId="1" applyNumberFormat="1" applyFont="1" applyFill="1"/>
    <xf numFmtId="0" fontId="88" fillId="6" borderId="0" xfId="0" applyFont="1" applyFill="1"/>
    <xf numFmtId="169" fontId="86" fillId="0" borderId="0" xfId="0" applyNumberFormat="1" applyFont="1"/>
    <xf numFmtId="9" fontId="89" fillId="53" borderId="0" xfId="0" applyNumberFormat="1" applyFont="1" applyFill="1"/>
    <xf numFmtId="9" fontId="89" fillId="53" borderId="0" xfId="2" applyFont="1" applyFill="1"/>
    <xf numFmtId="171" fontId="95" fillId="53" borderId="0" xfId="2" applyNumberFormat="1" applyFont="1" applyFill="1"/>
    <xf numFmtId="9" fontId="95" fillId="53" borderId="0" xfId="2" applyFont="1" applyFill="1"/>
    <xf numFmtId="169" fontId="88" fillId="0" borderId="0" xfId="0" applyNumberFormat="1" applyFont="1"/>
    <xf numFmtId="9" fontId="88" fillId="0" borderId="0" xfId="2" applyFont="1"/>
    <xf numFmtId="0" fontId="96" fillId="46" borderId="0" xfId="0" applyFont="1" applyFill="1"/>
    <xf numFmtId="169" fontId="94" fillId="43" borderId="0" xfId="1" applyNumberFormat="1" applyFont="1" applyFill="1"/>
    <xf numFmtId="171" fontId="37" fillId="43" borderId="0" xfId="0" applyNumberFormat="1" applyFont="1" applyFill="1"/>
    <xf numFmtId="169" fontId="87" fillId="0" borderId="0" xfId="0" applyNumberFormat="1" applyFont="1"/>
    <xf numFmtId="0" fontId="97" fillId="46" borderId="0" xfId="0" applyFont="1" applyFill="1"/>
    <xf numFmtId="0" fontId="97" fillId="10" borderId="0" xfId="0" applyFont="1" applyFill="1"/>
    <xf numFmtId="0" fontId="98" fillId="10" borderId="0" xfId="0" applyFont="1" applyFill="1"/>
    <xf numFmtId="43" fontId="88" fillId="10" borderId="0" xfId="0" applyNumberFormat="1" applyFont="1" applyFill="1"/>
    <xf numFmtId="9" fontId="88" fillId="10" borderId="0" xfId="2" applyFont="1" applyFill="1"/>
    <xf numFmtId="43" fontId="88" fillId="0" borderId="0" xfId="1" applyFont="1"/>
    <xf numFmtId="0" fontId="88" fillId="10" borderId="0" xfId="0" applyFont="1" applyFill="1" applyAlignment="1">
      <alignment wrapText="1"/>
    </xf>
    <xf numFmtId="0" fontId="89" fillId="46" borderId="0" xfId="0" applyFont="1" applyFill="1"/>
    <xf numFmtId="2" fontId="89" fillId="46" borderId="0" xfId="0" applyNumberFormat="1" applyFont="1" applyFill="1"/>
    <xf numFmtId="2" fontId="99" fillId="46" borderId="0" xfId="0" applyNumberFormat="1" applyFont="1" applyFill="1"/>
    <xf numFmtId="171" fontId="89" fillId="46" borderId="0" xfId="2" applyNumberFormat="1" applyFont="1" applyFill="1"/>
    <xf numFmtId="171" fontId="99" fillId="46" borderId="0" xfId="2" applyNumberFormat="1" applyFont="1" applyFill="1"/>
    <xf numFmtId="169" fontId="100" fillId="0" borderId="0" xfId="1" applyNumberFormat="1" applyFont="1"/>
    <xf numFmtId="0" fontId="88" fillId="6" borderId="0" xfId="0" applyFont="1" applyFill="1" applyAlignment="1">
      <alignment horizontal="left" vertical="top" wrapText="1"/>
    </xf>
    <xf numFmtId="171" fontId="89" fillId="46" borderId="0" xfId="0" applyNumberFormat="1" applyFont="1" applyFill="1"/>
    <xf numFmtId="171" fontId="99" fillId="46" borderId="0" xfId="0" applyNumberFormat="1" applyFont="1" applyFill="1"/>
    <xf numFmtId="169" fontId="101" fillId="0" borderId="0" xfId="1" applyNumberFormat="1" applyFont="1"/>
    <xf numFmtId="9" fontId="97" fillId="43" borderId="0" xfId="2" applyFont="1" applyFill="1"/>
    <xf numFmtId="171" fontId="97" fillId="43" borderId="0" xfId="2" applyNumberFormat="1" applyFont="1" applyFill="1"/>
    <xf numFmtId="200" fontId="89" fillId="43" borderId="0" xfId="0" applyNumberFormat="1" applyFont="1" applyFill="1"/>
    <xf numFmtId="0" fontId="95" fillId="46" borderId="0" xfId="0" applyFont="1" applyFill="1"/>
    <xf numFmtId="169" fontId="95" fillId="43" borderId="0" xfId="0" applyNumberFormat="1" applyFont="1" applyFill="1"/>
    <xf numFmtId="169" fontId="95" fillId="43" borderId="0" xfId="1" applyNumberFormat="1" applyFont="1" applyFill="1"/>
    <xf numFmtId="171" fontId="88" fillId="0" borderId="0" xfId="0" applyNumberFormat="1" applyFont="1"/>
    <xf numFmtId="200" fontId="89" fillId="10" borderId="0" xfId="0" applyNumberFormat="1" applyFont="1" applyFill="1"/>
    <xf numFmtId="169" fontId="88" fillId="6" borderId="0" xfId="1" applyNumberFormat="1" applyFont="1" applyFill="1"/>
    <xf numFmtId="2" fontId="89" fillId="53" borderId="0" xfId="0" applyNumberFormat="1" applyFont="1" applyFill="1"/>
    <xf numFmtId="171" fontId="89" fillId="53" borderId="0" xfId="0" applyNumberFormat="1" applyFont="1" applyFill="1"/>
    <xf numFmtId="193" fontId="88" fillId="10" borderId="0" xfId="1" applyNumberFormat="1" applyFont="1" applyFill="1"/>
    <xf numFmtId="169" fontId="89" fillId="53" borderId="0" xfId="1" applyNumberFormat="1" applyFont="1" applyFill="1"/>
    <xf numFmtId="193" fontId="89" fillId="53" borderId="0" xfId="1" applyNumberFormat="1" applyFont="1" applyFill="1"/>
    <xf numFmtId="9" fontId="91" fillId="0" borderId="0" xfId="2" applyFont="1"/>
    <xf numFmtId="9" fontId="101" fillId="0" borderId="0" xfId="2" applyFont="1"/>
    <xf numFmtId="3" fontId="3" fillId="6" borderId="0" xfId="52" applyNumberFormat="1" applyFill="1"/>
    <xf numFmtId="169" fontId="54" fillId="6" borderId="0" xfId="1" applyNumberFormat="1" applyFont="1" applyFill="1" applyBorder="1"/>
    <xf numFmtId="171" fontId="54" fillId="6" borderId="0" xfId="2" applyNumberFormat="1" applyFont="1" applyFill="1" applyBorder="1"/>
    <xf numFmtId="0" fontId="35" fillId="6" borderId="0" xfId="52" applyFont="1" applyFill="1"/>
    <xf numFmtId="9" fontId="54" fillId="6" borderId="0" xfId="2" applyFont="1" applyFill="1" applyBorder="1"/>
    <xf numFmtId="0" fontId="36" fillId="6" borderId="0" xfId="52" applyFont="1" applyFill="1"/>
    <xf numFmtId="169" fontId="0" fillId="0" borderId="0" xfId="2" applyNumberFormat="1" applyFont="1"/>
    <xf numFmtId="0" fontId="102" fillId="0" borderId="0" xfId="3" applyFont="1"/>
    <xf numFmtId="43" fontId="102" fillId="0" borderId="0" xfId="3" applyNumberFormat="1" applyFont="1"/>
    <xf numFmtId="0" fontId="37" fillId="46" borderId="0" xfId="0" applyFont="1" applyFill="1"/>
    <xf numFmtId="0" fontId="103" fillId="3" borderId="1" xfId="3" applyFont="1" applyFill="1" applyBorder="1"/>
    <xf numFmtId="0" fontId="103" fillId="3" borderId="2" xfId="3" applyFont="1" applyFill="1" applyBorder="1"/>
    <xf numFmtId="0" fontId="103" fillId="3" borderId="0" xfId="3" applyFont="1" applyFill="1"/>
    <xf numFmtId="0" fontId="103" fillId="3" borderId="5" xfId="3" applyFont="1" applyFill="1" applyBorder="1"/>
    <xf numFmtId="0" fontId="103" fillId="3" borderId="3" xfId="3" applyFont="1" applyFill="1" applyBorder="1"/>
    <xf numFmtId="0" fontId="103" fillId="0" borderId="0" xfId="3" applyFont="1"/>
    <xf numFmtId="9" fontId="102" fillId="0" borderId="0" xfId="2" applyFont="1"/>
    <xf numFmtId="0" fontId="89" fillId="53" borderId="0" xfId="3" applyFont="1" applyFill="1"/>
    <xf numFmtId="169" fontId="89" fillId="53" borderId="0" xfId="3" applyNumberFormat="1" applyFont="1" applyFill="1"/>
    <xf numFmtId="14" fontId="102" fillId="0" borderId="0" xfId="3" applyNumberFormat="1" applyFont="1"/>
    <xf numFmtId="0" fontId="103" fillId="3" borderId="13" xfId="3" applyFont="1" applyFill="1" applyBorder="1"/>
    <xf numFmtId="0" fontId="103" fillId="3" borderId="11" xfId="3" applyFont="1" applyFill="1" applyBorder="1"/>
    <xf numFmtId="196" fontId="103" fillId="3" borderId="11" xfId="3" applyNumberFormat="1" applyFont="1" applyFill="1" applyBorder="1" applyAlignment="1">
      <alignment horizontal="center"/>
    </xf>
    <xf numFmtId="185" fontId="103" fillId="3" borderId="11" xfId="3" applyNumberFormat="1" applyFont="1" applyFill="1" applyBorder="1" applyAlignment="1">
      <alignment horizontal="center"/>
    </xf>
    <xf numFmtId="185" fontId="103" fillId="3" borderId="0" xfId="3" applyNumberFormat="1" applyFont="1" applyFill="1" applyAlignment="1">
      <alignment horizontal="center"/>
    </xf>
    <xf numFmtId="185" fontId="103" fillId="3" borderId="5" xfId="3" applyNumberFormat="1" applyFont="1" applyFill="1" applyBorder="1" applyAlignment="1">
      <alignment horizontal="center"/>
    </xf>
    <xf numFmtId="186" fontId="104" fillId="2" borderId="3" xfId="3" applyNumberFormat="1" applyFont="1" applyFill="1" applyBorder="1" applyAlignment="1">
      <alignment horizontal="center"/>
    </xf>
    <xf numFmtId="186" fontId="104" fillId="0" borderId="0" xfId="3" applyNumberFormat="1" applyFont="1" applyAlignment="1">
      <alignment horizontal="center"/>
    </xf>
    <xf numFmtId="43" fontId="86" fillId="0" borderId="0" xfId="0" applyNumberFormat="1" applyFont="1"/>
    <xf numFmtId="0" fontId="102" fillId="0" borderId="4" xfId="3" applyFont="1" applyBorder="1"/>
    <xf numFmtId="169" fontId="102" fillId="0" borderId="0" xfId="1" applyNumberFormat="1" applyFont="1" applyBorder="1"/>
    <xf numFmtId="169" fontId="101" fillId="0" borderId="0" xfId="1" applyNumberFormat="1" applyFont="1" applyBorder="1"/>
    <xf numFmtId="169" fontId="101" fillId="0" borderId="5" xfId="1" applyNumberFormat="1" applyFont="1" applyBorder="1"/>
    <xf numFmtId="0" fontId="102" fillId="0" borderId="5" xfId="3" applyFont="1" applyBorder="1"/>
    <xf numFmtId="0" fontId="101" fillId="0" borderId="4" xfId="3" applyFont="1" applyBorder="1"/>
    <xf numFmtId="0" fontId="101" fillId="0" borderId="0" xfId="3" applyFont="1"/>
    <xf numFmtId="169" fontId="102" fillId="0" borderId="5" xfId="1" applyNumberFormat="1" applyFont="1" applyBorder="1"/>
    <xf numFmtId="171" fontId="105" fillId="0" borderId="5" xfId="3" applyNumberFormat="1" applyFont="1" applyBorder="1"/>
    <xf numFmtId="171" fontId="105" fillId="0" borderId="0" xfId="3" applyNumberFormat="1" applyFont="1"/>
    <xf numFmtId="43" fontId="89" fillId="53" borderId="0" xfId="1" applyFont="1" applyFill="1" applyBorder="1" applyAlignment="1">
      <alignment horizontal="left" vertical="center"/>
    </xf>
    <xf numFmtId="169" fontId="37" fillId="53" borderId="0" xfId="1" applyNumberFormat="1" applyFont="1" applyFill="1"/>
    <xf numFmtId="187" fontId="106" fillId="0" borderId="5" xfId="3" applyNumberFormat="1" applyFont="1" applyBorder="1"/>
    <xf numFmtId="187" fontId="106" fillId="0" borderId="0" xfId="3" applyNumberFormat="1" applyFont="1"/>
    <xf numFmtId="200" fontId="102" fillId="0" borderId="0" xfId="3" applyNumberFormat="1" applyFont="1"/>
    <xf numFmtId="171" fontId="106" fillId="0" borderId="5" xfId="3" applyNumberFormat="1" applyFont="1" applyBorder="1"/>
    <xf numFmtId="171" fontId="106" fillId="0" borderId="0" xfId="3" applyNumberFormat="1" applyFont="1"/>
    <xf numFmtId="37" fontId="102" fillId="0" borderId="5" xfId="3" applyNumberFormat="1" applyFont="1" applyBorder="1"/>
    <xf numFmtId="37" fontId="102" fillId="0" borderId="0" xfId="3" applyNumberFormat="1" applyFont="1"/>
    <xf numFmtId="187" fontId="102" fillId="0" borderId="5" xfId="3" applyNumberFormat="1" applyFont="1" applyBorder="1" applyAlignment="1">
      <alignment horizontal="right"/>
    </xf>
    <xf numFmtId="187" fontId="102" fillId="0" borderId="0" xfId="3" applyNumberFormat="1" applyFont="1" applyAlignment="1">
      <alignment horizontal="right"/>
    </xf>
    <xf numFmtId="169" fontId="102" fillId="0" borderId="0" xfId="1" applyNumberFormat="1" applyFont="1"/>
    <xf numFmtId="41" fontId="102" fillId="0" borderId="5" xfId="3" applyNumberFormat="1" applyFont="1" applyBorder="1"/>
    <xf numFmtId="41" fontId="102" fillId="0" borderId="0" xfId="3" applyNumberFormat="1" applyFont="1"/>
    <xf numFmtId="169" fontId="102" fillId="0" borderId="0" xfId="3" applyNumberFormat="1" applyFont="1"/>
    <xf numFmtId="37" fontId="104" fillId="6" borderId="3" xfId="3" applyNumberFormat="1" applyFont="1" applyFill="1" applyBorder="1"/>
    <xf numFmtId="37" fontId="104" fillId="0" borderId="0" xfId="3" applyNumberFormat="1" applyFont="1"/>
    <xf numFmtId="171" fontId="102" fillId="0" borderId="5" xfId="3" applyNumberFormat="1" applyFont="1" applyBorder="1"/>
    <xf numFmtId="171" fontId="102" fillId="0" borderId="0" xfId="3" applyNumberFormat="1" applyFont="1"/>
    <xf numFmtId="10" fontId="93" fillId="0" borderId="0" xfId="2" applyNumberFormat="1" applyFont="1" applyBorder="1"/>
    <xf numFmtId="10" fontId="93" fillId="0" borderId="5" xfId="2" applyNumberFormat="1" applyFont="1" applyBorder="1"/>
    <xf numFmtId="0" fontId="89" fillId="3" borderId="1" xfId="3" applyFont="1" applyFill="1" applyBorder="1"/>
    <xf numFmtId="0" fontId="89" fillId="3" borderId="2" xfId="3" applyFont="1" applyFill="1" applyBorder="1"/>
    <xf numFmtId="172" fontId="89" fillId="3" borderId="2" xfId="3" applyNumberFormat="1" applyFont="1" applyFill="1" applyBorder="1"/>
    <xf numFmtId="37" fontId="89" fillId="3" borderId="2" xfId="3" applyNumberFormat="1" applyFont="1" applyFill="1" applyBorder="1"/>
    <xf numFmtId="37" fontId="89" fillId="3" borderId="0" xfId="3" applyNumberFormat="1" applyFont="1" applyFill="1"/>
    <xf numFmtId="37" fontId="89" fillId="3" borderId="5" xfId="3" applyNumberFormat="1" applyFont="1" applyFill="1" applyBorder="1"/>
    <xf numFmtId="41" fontId="107" fillId="0" borderId="5" xfId="3" applyNumberFormat="1" applyFont="1" applyBorder="1"/>
    <xf numFmtId="41" fontId="107" fillId="0" borderId="0" xfId="3" applyNumberFormat="1" applyFont="1"/>
    <xf numFmtId="0" fontId="89" fillId="3" borderId="13" xfId="3" applyFont="1" applyFill="1" applyBorder="1"/>
    <xf numFmtId="0" fontId="89" fillId="3" borderId="11" xfId="3" applyFont="1" applyFill="1" applyBorder="1"/>
    <xf numFmtId="172" fontId="89" fillId="3" borderId="11" xfId="3" applyNumberFormat="1" applyFont="1" applyFill="1" applyBorder="1"/>
    <xf numFmtId="37" fontId="89" fillId="3" borderId="11" xfId="3" applyNumberFormat="1" applyFont="1" applyFill="1" applyBorder="1"/>
    <xf numFmtId="169" fontId="93" fillId="0" borderId="0" xfId="3" applyNumberFormat="1" applyFont="1"/>
    <xf numFmtId="169" fontId="93" fillId="6" borderId="0" xfId="3" applyNumberFormat="1" applyFont="1" applyFill="1"/>
    <xf numFmtId="169" fontId="93" fillId="6" borderId="5" xfId="3" applyNumberFormat="1" applyFont="1" applyFill="1" applyBorder="1"/>
    <xf numFmtId="193" fontId="102" fillId="0" borderId="0" xfId="1" applyNumberFormat="1" applyFont="1"/>
    <xf numFmtId="0" fontId="108" fillId="0" borderId="4" xfId="3" applyFont="1" applyBorder="1" applyAlignment="1">
      <alignment horizontal="left" indent="1"/>
    </xf>
    <xf numFmtId="0" fontId="108" fillId="0" borderId="0" xfId="3" applyFont="1" applyAlignment="1">
      <alignment horizontal="left" indent="1"/>
    </xf>
    <xf numFmtId="188" fontId="108" fillId="0" borderId="0" xfId="3" applyNumberFormat="1" applyFont="1"/>
    <xf numFmtId="188" fontId="108" fillId="0" borderId="5" xfId="3" applyNumberFormat="1" applyFont="1" applyBorder="1"/>
    <xf numFmtId="0" fontId="93" fillId="0" borderId="0" xfId="3" applyFont="1"/>
    <xf numFmtId="9" fontId="93" fillId="0" borderId="0" xfId="2" applyFont="1"/>
    <xf numFmtId="40" fontId="102" fillId="0" borderId="5" xfId="3" applyNumberFormat="1" applyFont="1" applyBorder="1"/>
    <xf numFmtId="40" fontId="102" fillId="0" borderId="0" xfId="3" applyNumberFormat="1" applyFont="1"/>
    <xf numFmtId="4" fontId="93" fillId="0" borderId="0" xfId="3" applyNumberFormat="1" applyFont="1"/>
    <xf numFmtId="4" fontId="93" fillId="0" borderId="5" xfId="3" applyNumberFormat="1" applyFont="1" applyBorder="1"/>
    <xf numFmtId="172" fontId="104" fillId="6" borderId="3" xfId="3" applyNumberFormat="1" applyFont="1" applyFill="1" applyBorder="1"/>
    <xf numFmtId="0" fontId="108" fillId="0" borderId="13" xfId="3" applyFont="1" applyBorder="1"/>
    <xf numFmtId="0" fontId="108" fillId="0" borderId="11" xfId="3" applyFont="1" applyBorder="1"/>
    <xf numFmtId="0" fontId="102" fillId="0" borderId="11" xfId="3" applyFont="1" applyBorder="1"/>
    <xf numFmtId="189" fontId="109" fillId="0" borderId="11" xfId="3" applyNumberFormat="1" applyFont="1" applyBorder="1" applyAlignment="1">
      <alignment horizontal="right"/>
    </xf>
    <xf numFmtId="189" fontId="109" fillId="0" borderId="12" xfId="3" applyNumberFormat="1" applyFont="1" applyBorder="1" applyAlignment="1">
      <alignment horizontal="right"/>
    </xf>
    <xf numFmtId="0" fontId="102" fillId="0" borderId="13" xfId="3" applyFont="1" applyBorder="1"/>
    <xf numFmtId="190" fontId="102" fillId="0" borderId="12" xfId="2" applyNumberFormat="1" applyFont="1" applyBorder="1"/>
    <xf numFmtId="0" fontId="89" fillId="3" borderId="1" xfId="0" applyFont="1" applyFill="1" applyBorder="1" applyAlignment="1">
      <alignment horizontal="left"/>
    </xf>
    <xf numFmtId="0" fontId="95" fillId="3" borderId="2" xfId="3" applyFont="1" applyFill="1" applyBorder="1"/>
    <xf numFmtId="191" fontId="37" fillId="3" borderId="7" xfId="0" applyNumberFormat="1" applyFont="1" applyFill="1" applyBorder="1" applyAlignment="1">
      <alignment horizontal="right"/>
    </xf>
    <xf numFmtId="191" fontId="37" fillId="3" borderId="2" xfId="0" applyNumberFormat="1" applyFont="1" applyFill="1" applyBorder="1" applyAlignment="1">
      <alignment horizontal="right"/>
    </xf>
    <xf numFmtId="191" fontId="37" fillId="3" borderId="3" xfId="0" applyNumberFormat="1" applyFont="1" applyFill="1" applyBorder="1" applyAlignment="1">
      <alignment horizontal="right"/>
    </xf>
    <xf numFmtId="14" fontId="86" fillId="0" borderId="0" xfId="0" applyNumberFormat="1" applyFont="1"/>
    <xf numFmtId="0" fontId="110" fillId="0" borderId="4" xfId="0" applyFont="1" applyBorder="1" applyAlignment="1">
      <alignment horizontal="left"/>
    </xf>
    <xf numFmtId="39" fontId="87" fillId="0" borderId="0" xfId="0" applyNumberFormat="1" applyFont="1"/>
    <xf numFmtId="43" fontId="87" fillId="0" borderId="0" xfId="1" applyFont="1" applyFill="1" applyBorder="1"/>
    <xf numFmtId="43" fontId="87" fillId="0" borderId="5" xfId="1" applyFont="1" applyFill="1" applyBorder="1"/>
    <xf numFmtId="0" fontId="89" fillId="53" borderId="0" xfId="3" applyFont="1" applyFill="1" applyAlignment="1">
      <alignment horizontal="right" vertical="center"/>
    </xf>
    <xf numFmtId="2" fontId="111" fillId="0" borderId="0" xfId="0" applyNumberFormat="1" applyFont="1"/>
    <xf numFmtId="2" fontId="112" fillId="0" borderId="0" xfId="0" applyNumberFormat="1" applyFont="1"/>
    <xf numFmtId="0" fontId="102" fillId="0" borderId="0" xfId="3" applyFont="1" applyAlignment="1">
      <alignment horizontal="left" vertical="center"/>
    </xf>
    <xf numFmtId="37" fontId="102" fillId="0" borderId="0" xfId="3" applyNumberFormat="1" applyFont="1" applyAlignment="1">
      <alignment horizontal="right" vertical="center"/>
    </xf>
    <xf numFmtId="0" fontId="86" fillId="0" borderId="4" xfId="0" applyFont="1" applyBorder="1" applyAlignment="1">
      <alignment horizontal="left"/>
    </xf>
    <xf numFmtId="2" fontId="113" fillId="0" borderId="0" xfId="0" applyNumberFormat="1" applyFont="1"/>
    <xf numFmtId="43" fontId="113" fillId="0" borderId="0" xfId="1" applyFont="1" applyBorder="1"/>
    <xf numFmtId="43" fontId="113" fillId="0" borderId="5" xfId="1" applyFont="1" applyBorder="1"/>
    <xf numFmtId="169" fontId="102" fillId="0" borderId="0" xfId="1" applyNumberFormat="1" applyFont="1" applyAlignment="1">
      <alignment horizontal="right" vertical="center"/>
    </xf>
    <xf numFmtId="169" fontId="102" fillId="0" borderId="0" xfId="3" applyNumberFormat="1" applyFont="1" applyAlignment="1">
      <alignment horizontal="right" vertical="center"/>
    </xf>
    <xf numFmtId="0" fontId="102" fillId="0" borderId="0" xfId="3" applyFont="1" applyAlignment="1">
      <alignment horizontal="right" vertical="center"/>
    </xf>
    <xf numFmtId="43" fontId="113" fillId="0" borderId="0" xfId="1" applyFont="1" applyFill="1" applyBorder="1"/>
    <xf numFmtId="43" fontId="113" fillId="0" borderId="5" xfId="1" applyFont="1" applyFill="1" applyBorder="1"/>
    <xf numFmtId="0" fontId="87" fillId="0" borderId="0" xfId="0" applyFont="1"/>
    <xf numFmtId="0" fontId="114" fillId="0" borderId="4" xfId="0" applyFont="1" applyBorder="1" applyAlignment="1">
      <alignment horizontal="left"/>
    </xf>
    <xf numFmtId="2" fontId="115" fillId="0" borderId="0" xfId="0" applyNumberFormat="1" applyFont="1"/>
    <xf numFmtId="43" fontId="116" fillId="0" borderId="0" xfId="1" applyFont="1" applyFill="1" applyBorder="1"/>
    <xf numFmtId="43" fontId="116" fillId="0" borderId="5" xfId="1" applyFont="1" applyFill="1" applyBorder="1"/>
    <xf numFmtId="14" fontId="87" fillId="0" borderId="0" xfId="0" applyNumberFormat="1" applyFont="1"/>
    <xf numFmtId="9" fontId="102" fillId="0" borderId="0" xfId="3" applyNumberFormat="1" applyFont="1"/>
    <xf numFmtId="2" fontId="117" fillId="0" borderId="0" xfId="0" applyNumberFormat="1" applyFont="1"/>
    <xf numFmtId="2" fontId="118" fillId="0" borderId="0" xfId="0" applyNumberFormat="1" applyFont="1"/>
    <xf numFmtId="43" fontId="86" fillId="0" borderId="0" xfId="1" applyFont="1" applyFill="1" applyBorder="1"/>
    <xf numFmtId="43" fontId="86" fillId="0" borderId="5" xfId="1" applyFont="1" applyFill="1" applyBorder="1"/>
    <xf numFmtId="0" fontId="102" fillId="0" borderId="0" xfId="3" quotePrefix="1" applyFont="1" applyAlignment="1">
      <alignment horizontal="left" vertical="center"/>
    </xf>
    <xf numFmtId="2" fontId="119" fillId="0" borderId="0" xfId="0" applyNumberFormat="1" applyFont="1"/>
    <xf numFmtId="171" fontId="86" fillId="0" borderId="0" xfId="2" applyNumberFormat="1" applyFont="1" applyFill="1" applyBorder="1"/>
    <xf numFmtId="171" fontId="120" fillId="0" borderId="0" xfId="2" applyNumberFormat="1" applyFont="1" applyFill="1" applyBorder="1"/>
    <xf numFmtId="0" fontId="102" fillId="0" borderId="32" xfId="3" applyFont="1" applyBorder="1"/>
    <xf numFmtId="37" fontId="102" fillId="0" borderId="32" xfId="3" applyNumberFormat="1" applyFont="1" applyBorder="1"/>
    <xf numFmtId="0" fontId="102" fillId="0" borderId="32" xfId="3" applyFont="1" applyBorder="1" applyAlignment="1">
      <alignment horizontal="left" vertical="center"/>
    </xf>
    <xf numFmtId="37" fontId="102" fillId="0" borderId="32" xfId="3" applyNumberFormat="1" applyFont="1" applyBorder="1" applyAlignment="1">
      <alignment horizontal="right" vertical="center"/>
    </xf>
    <xf numFmtId="0" fontId="102" fillId="0" borderId="32" xfId="3" applyFont="1" applyBorder="1" applyAlignment="1">
      <alignment horizontal="right" vertical="center"/>
    </xf>
    <xf numFmtId="3" fontId="86" fillId="0" borderId="0" xfId="0" applyNumberFormat="1" applyFont="1"/>
    <xf numFmtId="0" fontId="102" fillId="0" borderId="33" xfId="3" applyFont="1" applyBorder="1"/>
    <xf numFmtId="169" fontId="102" fillId="0" borderId="33" xfId="1" applyNumberFormat="1" applyFont="1" applyBorder="1"/>
    <xf numFmtId="0" fontId="102" fillId="0" borderId="33" xfId="3" applyFont="1" applyBorder="1" applyAlignment="1">
      <alignment horizontal="left" vertical="center"/>
    </xf>
    <xf numFmtId="169" fontId="102" fillId="0" borderId="33" xfId="1" applyNumberFormat="1" applyFont="1" applyBorder="1" applyAlignment="1">
      <alignment horizontal="right" vertical="center"/>
    </xf>
    <xf numFmtId="0" fontId="102" fillId="0" borderId="33" xfId="3" applyFont="1" applyBorder="1" applyAlignment="1">
      <alignment horizontal="right" vertical="center"/>
    </xf>
    <xf numFmtId="200" fontId="86" fillId="0" borderId="0" xfId="0" applyNumberFormat="1" applyFont="1"/>
    <xf numFmtId="0" fontId="99" fillId="0" borderId="0" xfId="3" applyFont="1" applyAlignment="1">
      <alignment horizontal="left" vertical="center"/>
    </xf>
    <xf numFmtId="169" fontId="99" fillId="0" borderId="0" xfId="1" applyNumberFormat="1" applyFont="1" applyAlignment="1">
      <alignment horizontal="right" vertical="center"/>
    </xf>
    <xf numFmtId="171" fontId="102" fillId="0" borderId="0" xfId="2" applyNumberFormat="1" applyFont="1" applyAlignment="1">
      <alignment horizontal="right" vertical="center"/>
    </xf>
    <xf numFmtId="0" fontId="87" fillId="0" borderId="4" xfId="0" applyFont="1" applyBorder="1" applyAlignment="1">
      <alignment horizontal="left"/>
    </xf>
    <xf numFmtId="37" fontId="87" fillId="0" borderId="0" xfId="0" applyNumberFormat="1" applyFont="1"/>
    <xf numFmtId="37" fontId="87" fillId="0" borderId="5" xfId="0" applyNumberFormat="1" applyFont="1" applyBorder="1"/>
    <xf numFmtId="43" fontId="102" fillId="0" borderId="0" xfId="1" applyFont="1" applyAlignment="1">
      <alignment horizontal="right" vertical="center"/>
    </xf>
    <xf numFmtId="9" fontId="121" fillId="0" borderId="0" xfId="2" applyFont="1" applyFill="1" applyBorder="1"/>
    <xf numFmtId="9" fontId="121" fillId="0" borderId="5" xfId="2" applyFont="1" applyFill="1" applyBorder="1"/>
    <xf numFmtId="9" fontId="102" fillId="0" borderId="0" xfId="2" applyFont="1" applyAlignment="1">
      <alignment horizontal="right" vertical="center"/>
    </xf>
    <xf numFmtId="0" fontId="87" fillId="6" borderId="4" xfId="0" applyFont="1" applyFill="1" applyBorder="1" applyAlignment="1">
      <alignment horizontal="left"/>
    </xf>
    <xf numFmtId="0" fontId="102" fillId="6" borderId="0" xfId="3" applyFont="1" applyFill="1"/>
    <xf numFmtId="192" fontId="113" fillId="6" borderId="0" xfId="0" applyNumberFormat="1" applyFont="1" applyFill="1"/>
    <xf numFmtId="169" fontId="110" fillId="6" borderId="0" xfId="1" applyNumberFormat="1" applyFont="1" applyFill="1" applyBorder="1"/>
    <xf numFmtId="193" fontId="102" fillId="0" borderId="33" xfId="3" applyNumberFormat="1" applyFont="1" applyBorder="1"/>
    <xf numFmtId="0" fontId="89" fillId="53" borderId="0" xfId="3" applyFont="1" applyFill="1" applyAlignment="1">
      <alignment horizontal="left" vertical="center"/>
    </xf>
    <xf numFmtId="0" fontId="37" fillId="53" borderId="0" xfId="0" applyFont="1" applyFill="1" applyAlignment="1">
      <alignment horizontal="right" vertical="center"/>
    </xf>
    <xf numFmtId="0" fontId="86" fillId="0" borderId="0" xfId="0" applyFont="1" applyAlignment="1">
      <alignment horizontal="right" vertical="center"/>
    </xf>
    <xf numFmtId="9" fontId="102" fillId="0" borderId="33" xfId="2" applyFont="1" applyBorder="1" applyAlignment="1">
      <alignment horizontal="right" vertical="center"/>
    </xf>
    <xf numFmtId="192" fontId="113" fillId="0" borderId="0" xfId="0" applyNumberFormat="1" applyFont="1"/>
    <xf numFmtId="169" fontId="113" fillId="0" borderId="0" xfId="1" applyNumberFormat="1" applyFont="1" applyFill="1" applyBorder="1"/>
    <xf numFmtId="171" fontId="113" fillId="0" borderId="0" xfId="2" applyNumberFormat="1" applyFont="1" applyFill="1" applyBorder="1"/>
    <xf numFmtId="171" fontId="113" fillId="0" borderId="5" xfId="2" applyNumberFormat="1" applyFont="1" applyFill="1" applyBorder="1"/>
    <xf numFmtId="9" fontId="113" fillId="0" borderId="0" xfId="2" applyFont="1" applyFill="1" applyBorder="1"/>
    <xf numFmtId="169" fontId="101" fillId="0" borderId="0" xfId="3" applyNumberFormat="1" applyFont="1"/>
    <xf numFmtId="10" fontId="86" fillId="0" borderId="0" xfId="0" applyNumberFormat="1" applyFont="1" applyAlignment="1">
      <alignment horizontal="right" vertical="center"/>
    </xf>
    <xf numFmtId="169" fontId="113" fillId="0" borderId="5" xfId="1" applyNumberFormat="1" applyFont="1" applyFill="1" applyBorder="1"/>
    <xf numFmtId="193" fontId="113" fillId="0" borderId="0" xfId="1" applyNumberFormat="1" applyFont="1" applyFill="1" applyBorder="1"/>
    <xf numFmtId="0" fontId="102" fillId="0" borderId="11" xfId="3" applyFont="1" applyBorder="1" applyAlignment="1">
      <alignment horizontal="left" vertical="center"/>
    </xf>
    <xf numFmtId="43" fontId="86" fillId="0" borderId="11" xfId="1" applyFont="1" applyBorder="1" applyAlignment="1">
      <alignment horizontal="right" vertical="center"/>
    </xf>
    <xf numFmtId="0" fontId="86" fillId="0" borderId="11" xfId="0" applyFont="1" applyBorder="1" applyAlignment="1">
      <alignment horizontal="right" vertical="center"/>
    </xf>
    <xf numFmtId="0" fontId="102" fillId="0" borderId="11" xfId="3" applyFont="1" applyBorder="1" applyAlignment="1">
      <alignment horizontal="right" vertical="center"/>
    </xf>
    <xf numFmtId="9" fontId="102" fillId="0" borderId="11" xfId="2" applyFont="1" applyBorder="1" applyAlignment="1">
      <alignment horizontal="right" vertical="center"/>
    </xf>
    <xf numFmtId="169" fontId="102" fillId="0" borderId="33" xfId="3" applyNumberFormat="1" applyFont="1" applyBorder="1"/>
    <xf numFmtId="9" fontId="102" fillId="0" borderId="33" xfId="3" applyNumberFormat="1" applyFont="1" applyBorder="1"/>
    <xf numFmtId="43" fontId="102" fillId="0" borderId="0" xfId="1" applyFont="1"/>
    <xf numFmtId="0" fontId="99" fillId="0" borderId="0" xfId="3" applyFont="1"/>
    <xf numFmtId="169" fontId="99" fillId="10" borderId="0" xfId="3" applyNumberFormat="1" applyFont="1" applyFill="1"/>
    <xf numFmtId="43" fontId="86" fillId="0" borderId="0" xfId="1" applyFont="1"/>
    <xf numFmtId="171" fontId="110" fillId="0" borderId="0" xfId="2" applyNumberFormat="1" applyFont="1" applyFill="1" applyBorder="1"/>
    <xf numFmtId="171" fontId="110" fillId="0" borderId="5" xfId="2" applyNumberFormat="1" applyFont="1" applyFill="1" applyBorder="1"/>
    <xf numFmtId="171" fontId="101" fillId="0" borderId="0" xfId="3" applyNumberFormat="1" applyFont="1"/>
    <xf numFmtId="171" fontId="101" fillId="0" borderId="5" xfId="3" applyNumberFormat="1" applyFont="1" applyBorder="1"/>
    <xf numFmtId="0" fontId="89" fillId="53" borderId="0" xfId="3" applyFont="1" applyFill="1" applyAlignment="1">
      <alignment horizontal="center"/>
    </xf>
    <xf numFmtId="171" fontId="101" fillId="0" borderId="0" xfId="2" applyNumberFormat="1" applyFont="1" applyBorder="1"/>
    <xf numFmtId="171" fontId="101" fillId="0" borderId="5" xfId="2" applyNumberFormat="1" applyFont="1" applyBorder="1"/>
    <xf numFmtId="9" fontId="102" fillId="0" borderId="33" xfId="2" applyFont="1" applyBorder="1"/>
    <xf numFmtId="171" fontId="102" fillId="0" borderId="0" xfId="2" applyNumberFormat="1" applyFont="1" applyBorder="1"/>
    <xf numFmtId="171" fontId="102" fillId="0" borderId="5" xfId="2" applyNumberFormat="1" applyFont="1" applyBorder="1"/>
    <xf numFmtId="193" fontId="102" fillId="0" borderId="0" xfId="3" applyNumberFormat="1" applyFont="1"/>
    <xf numFmtId="171" fontId="102" fillId="0" borderId="0" xfId="2" applyNumberFormat="1" applyFont="1"/>
    <xf numFmtId="171" fontId="102" fillId="0" borderId="33" xfId="3" applyNumberFormat="1" applyFont="1" applyBorder="1"/>
    <xf numFmtId="43" fontId="102" fillId="6" borderId="0" xfId="1" applyFont="1" applyFill="1"/>
    <xf numFmtId="37" fontId="102" fillId="0" borderId="0" xfId="2" applyNumberFormat="1" applyFont="1" applyBorder="1"/>
    <xf numFmtId="37" fontId="106" fillId="0" borderId="11" xfId="3" applyNumberFormat="1" applyFont="1" applyBorder="1"/>
    <xf numFmtId="37" fontId="102" fillId="0" borderId="11" xfId="3" applyNumberFormat="1" applyFont="1" applyBorder="1"/>
    <xf numFmtId="169" fontId="102" fillId="0" borderId="11" xfId="1" applyNumberFormat="1" applyFont="1" applyBorder="1"/>
    <xf numFmtId="169" fontId="102" fillId="0" borderId="12" xfId="1" applyNumberFormat="1" applyFont="1" applyBorder="1"/>
    <xf numFmtId="216" fontId="95" fillId="53" borderId="0" xfId="3" applyNumberFormat="1" applyFont="1" applyFill="1"/>
    <xf numFmtId="4" fontId="95" fillId="53" borderId="0" xfId="3" applyNumberFormat="1" applyFont="1" applyFill="1"/>
    <xf numFmtId="198" fontId="102" fillId="0" borderId="0" xfId="1" applyNumberFormat="1" applyFont="1"/>
    <xf numFmtId="4" fontId="102" fillId="0" borderId="0" xfId="3" applyNumberFormat="1" applyFont="1"/>
    <xf numFmtId="0" fontId="122" fillId="0" borderId="0" xfId="3" applyFont="1"/>
    <xf numFmtId="43" fontId="122" fillId="10" borderId="0" xfId="1" applyFont="1" applyFill="1"/>
    <xf numFmtId="0" fontId="89" fillId="3" borderId="14" xfId="3" applyFont="1" applyFill="1" applyBorder="1"/>
    <xf numFmtId="0" fontId="95" fillId="3" borderId="7" xfId="3" applyFont="1" applyFill="1" applyBorder="1"/>
    <xf numFmtId="191" fontId="37" fillId="3" borderId="8" xfId="0" applyNumberFormat="1" applyFont="1" applyFill="1" applyBorder="1" applyAlignment="1">
      <alignment horizontal="right"/>
    </xf>
    <xf numFmtId="0" fontId="88" fillId="0" borderId="4" xfId="0" applyFont="1" applyBorder="1" applyAlignment="1">
      <alignment horizontal="left"/>
    </xf>
    <xf numFmtId="192" fontId="110" fillId="6" borderId="0" xfId="0" applyNumberFormat="1" applyFont="1" applyFill="1"/>
    <xf numFmtId="192" fontId="110" fillId="6" borderId="5" xfId="0" applyNumberFormat="1" applyFont="1" applyFill="1" applyBorder="1"/>
    <xf numFmtId="192" fontId="102" fillId="0" borderId="0" xfId="3" applyNumberFormat="1" applyFont="1"/>
    <xf numFmtId="192" fontId="102" fillId="0" borderId="5" xfId="3" applyNumberFormat="1" applyFont="1" applyBorder="1"/>
    <xf numFmtId="0" fontId="104" fillId="0" borderId="0" xfId="3" applyFont="1" applyAlignment="1">
      <alignment horizontal="center"/>
    </xf>
    <xf numFmtId="192" fontId="123" fillId="0" borderId="0" xfId="3" applyNumberFormat="1" applyFont="1"/>
    <xf numFmtId="192" fontId="104" fillId="0" borderId="0" xfId="3" applyNumberFormat="1" applyFont="1"/>
    <xf numFmtId="192" fontId="123" fillId="0" borderId="5" xfId="3" applyNumberFormat="1" applyFont="1" applyBorder="1"/>
    <xf numFmtId="192" fontId="124" fillId="0" borderId="11" xfId="3" applyNumberFormat="1" applyFont="1" applyBorder="1"/>
    <xf numFmtId="192" fontId="124" fillId="0" borderId="12" xfId="3" applyNumberFormat="1" applyFont="1" applyBorder="1"/>
    <xf numFmtId="0" fontId="86" fillId="0" borderId="1" xfId="0" applyFont="1" applyBorder="1" applyAlignment="1">
      <alignment horizontal="left"/>
    </xf>
    <xf numFmtId="0" fontId="102" fillId="0" borderId="2" xfId="3" applyFont="1" applyBorder="1"/>
    <xf numFmtId="192" fontId="113" fillId="0" borderId="2" xfId="0" applyNumberFormat="1" applyFont="1" applyBorder="1"/>
    <xf numFmtId="192" fontId="110" fillId="6" borderId="2" xfId="0" applyNumberFormat="1" applyFont="1" applyFill="1" applyBorder="1"/>
    <xf numFmtId="192" fontId="113" fillId="0" borderId="5" xfId="0" applyNumberFormat="1" applyFont="1" applyBorder="1"/>
    <xf numFmtId="192" fontId="106" fillId="0" borderId="11" xfId="3" applyNumberFormat="1" applyFont="1" applyBorder="1"/>
    <xf numFmtId="192" fontId="102" fillId="0" borderId="11" xfId="3" applyNumberFormat="1" applyFont="1" applyBorder="1"/>
    <xf numFmtId="192" fontId="102" fillId="0" borderId="12" xfId="3" applyNumberFormat="1" applyFont="1" applyBorder="1"/>
    <xf numFmtId="192" fontId="106" fillId="0" borderId="0" xfId="3" applyNumberFormat="1" applyFont="1"/>
    <xf numFmtId="37" fontId="102" fillId="0" borderId="0" xfId="3" applyNumberFormat="1" applyFont="1" applyAlignment="1">
      <alignment horizontal="left" vertical="center"/>
    </xf>
    <xf numFmtId="0" fontId="95" fillId="0" borderId="0" xfId="3" applyFont="1"/>
    <xf numFmtId="191" fontId="37" fillId="0" borderId="0" xfId="0" applyNumberFormat="1" applyFont="1" applyAlignment="1">
      <alignment horizontal="right"/>
    </xf>
    <xf numFmtId="37" fontId="113" fillId="0" borderId="0" xfId="0" applyNumberFormat="1" applyFont="1" applyAlignment="1">
      <alignment horizontal="right"/>
    </xf>
    <xf numFmtId="37" fontId="113" fillId="0" borderId="5" xfId="0" applyNumberFormat="1" applyFont="1" applyBorder="1" applyAlignment="1">
      <alignment horizontal="right"/>
    </xf>
    <xf numFmtId="193" fontId="102" fillId="0" borderId="0" xfId="1" applyNumberFormat="1" applyFont="1" applyAlignment="1">
      <alignment horizontal="right" vertical="center"/>
    </xf>
    <xf numFmtId="37" fontId="113" fillId="0" borderId="0" xfId="0" applyNumberFormat="1" applyFont="1"/>
    <xf numFmtId="37" fontId="113" fillId="0" borderId="5" xfId="0" applyNumberFormat="1" applyFont="1" applyBorder="1"/>
    <xf numFmtId="192" fontId="110" fillId="0" borderId="0" xfId="0" applyNumberFormat="1" applyFont="1"/>
    <xf numFmtId="0" fontId="104" fillId="6" borderId="0" xfId="3" applyFont="1" applyFill="1" applyAlignment="1">
      <alignment horizontal="center"/>
    </xf>
    <xf numFmtId="14" fontId="98" fillId="0" borderId="0" xfId="0" applyNumberFormat="1" applyFont="1" applyAlignment="1">
      <alignment vertical="center"/>
    </xf>
    <xf numFmtId="0" fontId="101" fillId="0" borderId="0" xfId="3" applyFont="1" applyAlignment="1">
      <alignment horizontal="left" vertical="center"/>
    </xf>
    <xf numFmtId="37" fontId="101" fillId="0" borderId="0" xfId="3" applyNumberFormat="1" applyFont="1" applyAlignment="1">
      <alignment horizontal="right" vertical="center"/>
    </xf>
    <xf numFmtId="192" fontId="90" fillId="0" borderId="11" xfId="3" applyNumberFormat="1" applyFont="1" applyBorder="1"/>
    <xf numFmtId="188" fontId="102" fillId="0" borderId="0" xfId="3" applyNumberFormat="1" applyFont="1" applyAlignment="1">
      <alignment horizontal="right" vertical="center"/>
    </xf>
    <xf numFmtId="0" fontId="102" fillId="0" borderId="1" xfId="3" applyFont="1" applyBorder="1"/>
    <xf numFmtId="9" fontId="106" fillId="0" borderId="2" xfId="2" applyFont="1" applyBorder="1"/>
    <xf numFmtId="37" fontId="102" fillId="0" borderId="2" xfId="3" applyNumberFormat="1" applyFont="1" applyBorder="1"/>
    <xf numFmtId="37" fontId="102" fillId="0" borderId="3" xfId="3" applyNumberFormat="1" applyFont="1" applyBorder="1"/>
    <xf numFmtId="169" fontId="102" fillId="0" borderId="33" xfId="1" applyNumberFormat="1" applyFont="1" applyBorder="1" applyAlignment="1">
      <alignment horizontal="left" vertical="center"/>
    </xf>
    <xf numFmtId="188" fontId="102" fillId="0" borderId="33" xfId="1" applyNumberFormat="1" applyFont="1" applyBorder="1" applyAlignment="1">
      <alignment horizontal="right" vertical="center"/>
    </xf>
    <xf numFmtId="9" fontId="106" fillId="0" borderId="0" xfId="2" applyFont="1" applyBorder="1"/>
    <xf numFmtId="10" fontId="102" fillId="0" borderId="0" xfId="3" applyNumberFormat="1" applyFont="1"/>
    <xf numFmtId="10" fontId="102" fillId="0" borderId="5" xfId="3" applyNumberFormat="1" applyFont="1" applyBorder="1"/>
    <xf numFmtId="9" fontId="102" fillId="0" borderId="0" xfId="3" applyNumberFormat="1" applyFont="1" applyAlignment="1">
      <alignment horizontal="right" vertical="center"/>
    </xf>
    <xf numFmtId="9" fontId="102" fillId="0" borderId="0" xfId="3" applyNumberFormat="1" applyFont="1" applyAlignment="1">
      <alignment horizontal="left" vertical="center"/>
    </xf>
    <xf numFmtId="43" fontId="102" fillId="0" borderId="11" xfId="3" applyNumberFormat="1" applyFont="1" applyBorder="1"/>
    <xf numFmtId="43" fontId="102" fillId="0" borderId="11" xfId="1" applyFont="1" applyBorder="1"/>
    <xf numFmtId="43" fontId="102" fillId="0" borderId="12" xfId="1" applyFont="1" applyBorder="1"/>
    <xf numFmtId="9" fontId="102" fillId="0" borderId="33" xfId="2" applyFont="1" applyBorder="1" applyAlignment="1">
      <alignment horizontal="left" vertical="center"/>
    </xf>
    <xf numFmtId="0" fontId="125" fillId="0" borderId="0" xfId="3" applyFont="1" applyAlignment="1">
      <alignment horizontal="left" vertical="center"/>
    </xf>
    <xf numFmtId="169" fontId="125" fillId="0" borderId="0" xfId="1" applyNumberFormat="1" applyFont="1" applyBorder="1" applyAlignment="1">
      <alignment horizontal="right" vertical="center"/>
    </xf>
    <xf numFmtId="169" fontId="125" fillId="0" borderId="0" xfId="1" applyNumberFormat="1" applyFont="1" applyBorder="1" applyAlignment="1">
      <alignment horizontal="left" vertical="center"/>
    </xf>
    <xf numFmtId="0" fontId="89" fillId="0" borderId="0" xfId="3" applyFont="1" applyAlignment="1">
      <alignment horizontal="center" vertical="center"/>
    </xf>
    <xf numFmtId="14" fontId="101" fillId="6" borderId="0" xfId="3" applyNumberFormat="1" applyFont="1" applyFill="1"/>
    <xf numFmtId="37" fontId="102" fillId="0" borderId="0" xfId="3" applyNumberFormat="1" applyFont="1" applyAlignment="1">
      <alignment horizontal="center" vertical="center"/>
    </xf>
    <xf numFmtId="9" fontId="102" fillId="0" borderId="0" xfId="3" applyNumberFormat="1" applyFont="1" applyAlignment="1">
      <alignment horizontal="center" vertical="center"/>
    </xf>
    <xf numFmtId="0" fontId="95" fillId="53" borderId="0" xfId="3" applyFont="1" applyFill="1" applyAlignment="1">
      <alignment horizontal="left" vertical="center"/>
    </xf>
    <xf numFmtId="169" fontId="102" fillId="0" borderId="0" xfId="1" applyNumberFormat="1" applyFont="1" applyFill="1" applyBorder="1" applyAlignment="1">
      <alignment horizontal="center" vertical="center"/>
    </xf>
    <xf numFmtId="202" fontId="102" fillId="0" borderId="0" xfId="3" applyNumberFormat="1" applyFont="1"/>
    <xf numFmtId="170" fontId="101" fillId="0" borderId="0" xfId="1" applyNumberFormat="1" applyFont="1" applyFill="1" applyBorder="1" applyAlignment="1">
      <alignment horizontal="center" vertical="center"/>
    </xf>
    <xf numFmtId="171" fontId="102" fillId="0" borderId="0" xfId="2" applyNumberFormat="1" applyFont="1" applyFill="1" applyBorder="1"/>
    <xf numFmtId="14" fontId="89" fillId="53" borderId="0" xfId="3" applyNumberFormat="1" applyFont="1" applyFill="1" applyAlignment="1">
      <alignment horizontal="left"/>
    </xf>
    <xf numFmtId="169" fontId="101" fillId="0" borderId="0" xfId="1" applyNumberFormat="1" applyFont="1" applyFill="1" applyBorder="1"/>
    <xf numFmtId="37" fontId="101" fillId="0" borderId="0" xfId="3" applyNumberFormat="1" applyFont="1"/>
    <xf numFmtId="9" fontId="101" fillId="0" borderId="0" xfId="2" applyFont="1" applyFill="1" applyBorder="1"/>
    <xf numFmtId="0" fontId="102" fillId="47" borderId="0" xfId="3" applyFont="1" applyFill="1"/>
    <xf numFmtId="0" fontId="89" fillId="53" borderId="0" xfId="3" applyFont="1" applyFill="1" applyAlignment="1">
      <alignment horizontal="right"/>
    </xf>
    <xf numFmtId="193" fontId="102" fillId="0" borderId="0" xfId="1" applyNumberFormat="1" applyFont="1" applyAlignment="1">
      <alignment horizontal="right"/>
    </xf>
    <xf numFmtId="193" fontId="101" fillId="0" borderId="7" xfId="1" applyNumberFormat="1" applyFont="1" applyBorder="1" applyAlignment="1">
      <alignment horizontal="right"/>
    </xf>
    <xf numFmtId="9" fontId="102" fillId="0" borderId="5" xfId="2" applyFont="1" applyBorder="1"/>
    <xf numFmtId="37" fontId="102" fillId="0" borderId="12" xfId="3" applyNumberFormat="1" applyFont="1" applyBorder="1"/>
    <xf numFmtId="169" fontId="101" fillId="0" borderId="5" xfId="3" applyNumberFormat="1" applyFont="1" applyBorder="1"/>
    <xf numFmtId="169" fontId="102" fillId="0" borderId="5" xfId="3" applyNumberFormat="1" applyFont="1" applyBorder="1"/>
    <xf numFmtId="0" fontId="101" fillId="0" borderId="0" xfId="3" applyFont="1" applyAlignment="1">
      <alignment horizontal="right"/>
    </xf>
    <xf numFmtId="0" fontId="102" fillId="0" borderId="24" xfId="3" applyFont="1" applyBorder="1"/>
    <xf numFmtId="192" fontId="102" fillId="0" borderId="25" xfId="3" applyNumberFormat="1" applyFont="1" applyBorder="1"/>
    <xf numFmtId="0" fontId="102" fillId="0" borderId="26" xfId="3" applyFont="1" applyBorder="1"/>
    <xf numFmtId="40" fontId="102" fillId="0" borderId="25" xfId="3" applyNumberFormat="1" applyFont="1" applyBorder="1"/>
    <xf numFmtId="0" fontId="101" fillId="0" borderId="1" xfId="3" applyFont="1" applyBorder="1"/>
    <xf numFmtId="169" fontId="101" fillId="6" borderId="2" xfId="1" applyNumberFormat="1" applyFont="1" applyFill="1" applyBorder="1"/>
    <xf numFmtId="14" fontId="108" fillId="0" borderId="3" xfId="3" applyNumberFormat="1" applyFont="1" applyBorder="1"/>
    <xf numFmtId="0" fontId="101" fillId="0" borderId="13" xfId="3" applyFont="1" applyBorder="1"/>
    <xf numFmtId="9" fontId="101" fillId="0" borderId="11" xfId="2" applyFont="1" applyBorder="1"/>
    <xf numFmtId="0" fontId="102" fillId="0" borderId="12" xfId="3" applyFont="1" applyBorder="1"/>
    <xf numFmtId="0" fontId="102" fillId="0" borderId="0" xfId="3" applyFont="1" applyAlignment="1">
      <alignment horizontal="left"/>
    </xf>
    <xf numFmtId="169" fontId="102" fillId="0" borderId="0" xfId="1" applyNumberFormat="1" applyFont="1" applyAlignment="1">
      <alignment horizontal="left"/>
    </xf>
    <xf numFmtId="0" fontId="89" fillId="53" borderId="0" xfId="3" applyFont="1" applyFill="1" applyAlignment="1">
      <alignment horizontal="left"/>
    </xf>
    <xf numFmtId="0" fontId="102" fillId="0" borderId="0" xfId="3" quotePrefix="1" applyFont="1" applyAlignment="1">
      <alignment horizontal="left"/>
    </xf>
    <xf numFmtId="0" fontId="102" fillId="0" borderId="32" xfId="3" applyFont="1" applyBorder="1" applyAlignment="1">
      <alignment horizontal="left"/>
    </xf>
    <xf numFmtId="0" fontId="102" fillId="0" borderId="33" xfId="3" applyFont="1" applyBorder="1" applyAlignment="1">
      <alignment horizontal="left"/>
    </xf>
    <xf numFmtId="0" fontId="101" fillId="0" borderId="0" xfId="3" applyFont="1" applyAlignment="1">
      <alignment horizontal="left"/>
    </xf>
    <xf numFmtId="0" fontId="89" fillId="53" borderId="34" xfId="0" applyFont="1" applyFill="1" applyBorder="1" applyAlignment="1">
      <alignment horizontal="left" vertical="center"/>
    </xf>
    <xf numFmtId="0" fontId="92" fillId="48" borderId="0" xfId="0" applyFont="1" applyFill="1" applyAlignment="1">
      <alignment horizontal="left" vertical="center"/>
    </xf>
    <xf numFmtId="0" fontId="92" fillId="48" borderId="33" xfId="0" applyFont="1" applyFill="1" applyBorder="1" applyAlignment="1">
      <alignment horizontal="left" vertical="center"/>
    </xf>
    <xf numFmtId="0" fontId="99" fillId="48" borderId="0" xfId="0" applyFont="1" applyFill="1" applyAlignment="1">
      <alignment horizontal="left" vertical="center"/>
    </xf>
    <xf numFmtId="0" fontId="89" fillId="53" borderId="11" xfId="3" applyFont="1" applyFill="1" applyBorder="1" applyAlignment="1">
      <alignment horizontal="left"/>
    </xf>
    <xf numFmtId="0" fontId="89" fillId="53" borderId="7" xfId="3" applyFont="1" applyFill="1" applyBorder="1" applyAlignment="1">
      <alignment horizontal="left"/>
    </xf>
    <xf numFmtId="14" fontId="102" fillId="0" borderId="0" xfId="3" applyNumberFormat="1" applyFont="1" applyAlignment="1">
      <alignment horizontal="left"/>
    </xf>
    <xf numFmtId="0" fontId="89" fillId="53" borderId="0" xfId="0" applyFont="1" applyFill="1" applyAlignment="1">
      <alignment horizontal="center" vertical="top" wrapText="1"/>
    </xf>
    <xf numFmtId="0" fontId="88" fillId="53" borderId="0" xfId="0" applyFont="1" applyFill="1" applyAlignment="1">
      <alignment wrapText="1"/>
    </xf>
    <xf numFmtId="0" fontId="127" fillId="11" borderId="6" xfId="0" applyFont="1" applyFill="1" applyBorder="1" applyAlignment="1">
      <alignment vertical="center"/>
    </xf>
    <xf numFmtId="49" fontId="0" fillId="0" borderId="6" xfId="0" applyNumberFormat="1" applyBorder="1" applyAlignment="1">
      <alignment vertical="center"/>
    </xf>
    <xf numFmtId="49" fontId="0" fillId="0" borderId="0" xfId="0" applyNumberFormat="1" applyAlignment="1">
      <alignment vertical="center"/>
    </xf>
    <xf numFmtId="14" fontId="0" fillId="0" borderId="6" xfId="0" applyNumberFormat="1" applyBorder="1" applyAlignment="1">
      <alignment vertical="center"/>
    </xf>
    <xf numFmtId="14" fontId="0" fillId="0" borderId="0" xfId="0" applyNumberFormat="1" applyAlignment="1">
      <alignment vertical="center"/>
    </xf>
    <xf numFmtId="14" fontId="0" fillId="0" borderId="0" xfId="67" applyNumberFormat="1" applyFont="1"/>
    <xf numFmtId="0" fontId="127" fillId="55" borderId="6" xfId="0" applyFont="1" applyFill="1" applyBorder="1" applyAlignment="1">
      <alignment vertical="center" wrapText="1"/>
    </xf>
    <xf numFmtId="0" fontId="4" fillId="0" borderId="6" xfId="0" applyFont="1" applyBorder="1"/>
    <xf numFmtId="0" fontId="0" fillId="0" borderId="6" xfId="0" applyBorder="1"/>
    <xf numFmtId="10" fontId="0" fillId="0" borderId="6" xfId="0" applyNumberFormat="1" applyBorder="1"/>
    <xf numFmtId="171" fontId="0" fillId="0" borderId="6" xfId="2" applyNumberFormat="1" applyFont="1" applyBorder="1"/>
    <xf numFmtId="0" fontId="128" fillId="0" borderId="0" xfId="0" applyFont="1"/>
    <xf numFmtId="0" fontId="129" fillId="0" borderId="0" xfId="0" applyFont="1"/>
    <xf numFmtId="0" fontId="130" fillId="0" borderId="0" xfId="0" applyFont="1"/>
    <xf numFmtId="0" fontId="131" fillId="0" borderId="0" xfId="68"/>
    <xf numFmtId="0" fontId="132" fillId="0" borderId="0" xfId="0" applyFont="1"/>
    <xf numFmtId="0" fontId="127" fillId="55" borderId="0" xfId="0" applyFont="1" applyFill="1" applyAlignment="1">
      <alignment vertical="center" wrapText="1"/>
    </xf>
    <xf numFmtId="200" fontId="102" fillId="0" borderId="0" xfId="3" applyNumberFormat="1" applyFont="1" applyAlignment="1">
      <alignment horizontal="right" vertical="center"/>
    </xf>
    <xf numFmtId="169" fontId="104" fillId="0" borderId="0" xfId="1" applyNumberFormat="1" applyFont="1" applyAlignment="1">
      <alignment horizontal="right" vertical="center"/>
    </xf>
    <xf numFmtId="49" fontId="104" fillId="6" borderId="0" xfId="0" applyNumberFormat="1" applyFont="1" applyFill="1" applyAlignment="1">
      <alignment horizontal="left" vertical="center"/>
    </xf>
    <xf numFmtId="49" fontId="102" fillId="10" borderId="11" xfId="0" applyNumberFormat="1" applyFont="1" applyFill="1" applyBorder="1" applyAlignment="1">
      <alignment horizontal="left" vertical="center"/>
    </xf>
    <xf numFmtId="169" fontId="93" fillId="10" borderId="0" xfId="1" applyNumberFormat="1" applyFont="1" applyFill="1"/>
    <xf numFmtId="0" fontId="93" fillId="10" borderId="0" xfId="0" applyFont="1" applyFill="1"/>
    <xf numFmtId="169" fontId="93" fillId="10" borderId="0" xfId="0" applyNumberFormat="1" applyFont="1" applyFill="1"/>
    <xf numFmtId="9" fontId="93" fillId="10" borderId="0" xfId="2" applyFont="1" applyFill="1"/>
    <xf numFmtId="171" fontId="93" fillId="10" borderId="0" xfId="2" applyNumberFormat="1" applyFont="1" applyFill="1"/>
    <xf numFmtId="43" fontId="93" fillId="10" borderId="0" xfId="1" applyFont="1" applyFill="1"/>
    <xf numFmtId="169" fontId="89" fillId="53" borderId="0" xfId="0" applyNumberFormat="1" applyFont="1" applyFill="1"/>
    <xf numFmtId="43" fontId="89" fillId="53" borderId="0" xfId="1" applyFont="1" applyFill="1"/>
    <xf numFmtId="171" fontId="89" fillId="53" borderId="0" xfId="2" applyNumberFormat="1" applyFont="1" applyFill="1"/>
    <xf numFmtId="49" fontId="89" fillId="53" borderId="0" xfId="0" applyNumberFormat="1" applyFont="1" applyFill="1"/>
    <xf numFmtId="169" fontId="88" fillId="10" borderId="0" xfId="0" applyNumberFormat="1" applyFont="1" applyFill="1"/>
    <xf numFmtId="9" fontId="90" fillId="10" borderId="0" xfId="2" applyFont="1" applyFill="1"/>
    <xf numFmtId="171" fontId="90" fillId="10" borderId="0" xfId="2" applyNumberFormat="1" applyFont="1" applyFill="1"/>
    <xf numFmtId="43" fontId="90" fillId="10" borderId="0" xfId="1" applyFont="1" applyFill="1"/>
    <xf numFmtId="169" fontId="90" fillId="10" borderId="0" xfId="1" applyNumberFormat="1" applyFont="1" applyFill="1"/>
    <xf numFmtId="9" fontId="90" fillId="10" borderId="0" xfId="0" applyNumberFormat="1" applyFont="1" applyFill="1"/>
    <xf numFmtId="0" fontId="98" fillId="53" borderId="0" xfId="0" applyFont="1" applyFill="1"/>
    <xf numFmtId="49" fontId="101" fillId="10" borderId="0" xfId="0" applyNumberFormat="1" applyFont="1" applyFill="1" applyAlignment="1">
      <alignment horizontal="left" vertical="center"/>
    </xf>
    <xf numFmtId="49" fontId="88" fillId="10" borderId="0" xfId="0" applyNumberFormat="1" applyFont="1" applyFill="1"/>
    <xf numFmtId="49" fontId="102" fillId="10" borderId="0" xfId="0" applyNumberFormat="1" applyFont="1" applyFill="1" applyAlignment="1">
      <alignment horizontal="left" vertical="center"/>
    </xf>
    <xf numFmtId="43" fontId="88" fillId="10" borderId="0" xfId="1" applyFont="1" applyFill="1"/>
    <xf numFmtId="9" fontId="90" fillId="10" borderId="0" xfId="2" applyFont="1" applyFill="1" applyBorder="1" applyAlignment="1">
      <alignment horizontal="left" vertical="center"/>
    </xf>
    <xf numFmtId="10" fontId="90" fillId="10" borderId="0" xfId="2" applyNumberFormat="1" applyFont="1" applyFill="1"/>
    <xf numFmtId="10" fontId="88" fillId="10" borderId="0" xfId="2" applyNumberFormat="1" applyFont="1" applyFill="1"/>
    <xf numFmtId="169" fontId="90" fillId="6" borderId="0" xfId="1" applyNumberFormat="1" applyFont="1" applyFill="1"/>
    <xf numFmtId="193" fontId="88" fillId="10" borderId="0" xfId="0" applyNumberFormat="1" applyFont="1" applyFill="1"/>
    <xf numFmtId="171" fontId="133" fillId="10" borderId="0" xfId="2" applyNumberFormat="1" applyFont="1" applyFill="1"/>
    <xf numFmtId="43" fontId="133" fillId="10" borderId="0" xfId="1" applyFont="1" applyFill="1"/>
    <xf numFmtId="171" fontId="133" fillId="6" borderId="0" xfId="2" applyNumberFormat="1" applyFont="1" applyFill="1"/>
    <xf numFmtId="169" fontId="98" fillId="10" borderId="0" xfId="1" applyNumberFormat="1" applyFont="1" applyFill="1"/>
    <xf numFmtId="169" fontId="98" fillId="10" borderId="0" xfId="0" applyNumberFormat="1" applyFont="1" applyFill="1"/>
    <xf numFmtId="171" fontId="98" fillId="10" borderId="0" xfId="2" applyNumberFormat="1" applyFont="1" applyFill="1"/>
    <xf numFmtId="9" fontId="98" fillId="10" borderId="0" xfId="2" applyFont="1" applyFill="1"/>
    <xf numFmtId="9" fontId="133" fillId="10" borderId="0" xfId="2" applyFont="1" applyFill="1"/>
    <xf numFmtId="49" fontId="98" fillId="10" borderId="0" xfId="0" applyNumberFormat="1" applyFont="1" applyFill="1"/>
    <xf numFmtId="193" fontId="98" fillId="10" borderId="0" xfId="1" applyNumberFormat="1" applyFont="1" applyFill="1"/>
    <xf numFmtId="169" fontId="123" fillId="6" borderId="0" xfId="1" applyNumberFormat="1" applyFont="1" applyFill="1"/>
    <xf numFmtId="10" fontId="123" fillId="6" borderId="0" xfId="2" applyNumberFormat="1" applyFont="1" applyFill="1"/>
    <xf numFmtId="9" fontId="104" fillId="6" borderId="0" xfId="2" applyFont="1" applyFill="1"/>
    <xf numFmtId="169" fontId="104" fillId="6" borderId="0" xfId="0" applyNumberFormat="1" applyFont="1" applyFill="1"/>
    <xf numFmtId="169" fontId="123" fillId="6" borderId="0" xfId="0" applyNumberFormat="1" applyFont="1" applyFill="1"/>
    <xf numFmtId="171" fontId="104" fillId="6" borderId="0" xfId="2" applyNumberFormat="1" applyFont="1" applyFill="1"/>
    <xf numFmtId="43" fontId="104" fillId="6" borderId="0" xfId="1" applyFont="1" applyFill="1"/>
    <xf numFmtId="171" fontId="123" fillId="6" borderId="0" xfId="2" applyNumberFormat="1" applyFont="1" applyFill="1"/>
    <xf numFmtId="49" fontId="123" fillId="6" borderId="0" xfId="0" applyNumberFormat="1" applyFont="1" applyFill="1"/>
    <xf numFmtId="193" fontId="123" fillId="6" borderId="0" xfId="1" applyNumberFormat="1" applyFont="1" applyFill="1"/>
    <xf numFmtId="0" fontId="123" fillId="6" borderId="0" xfId="0" applyFont="1" applyFill="1"/>
    <xf numFmtId="200" fontId="88" fillId="10" borderId="0" xfId="0" applyNumberFormat="1" applyFont="1" applyFill="1"/>
    <xf numFmtId="171" fontId="88" fillId="10" borderId="0" xfId="2" applyNumberFormat="1" applyFont="1" applyFill="1"/>
    <xf numFmtId="0" fontId="88" fillId="10" borderId="0" xfId="0" applyFont="1" applyFill="1" applyAlignment="1">
      <alignment horizontal="left" vertical="top"/>
    </xf>
    <xf numFmtId="0" fontId="102" fillId="10" borderId="0" xfId="0" applyFont="1" applyFill="1" applyAlignment="1">
      <alignment horizontal="left" vertical="top"/>
    </xf>
    <xf numFmtId="10" fontId="90" fillId="6" borderId="0" xfId="2" applyNumberFormat="1" applyFont="1" applyFill="1"/>
    <xf numFmtId="171" fontId="90" fillId="10" borderId="0" xfId="2" applyNumberFormat="1" applyFont="1" applyFill="1" applyBorder="1"/>
    <xf numFmtId="3" fontId="88" fillId="10" borderId="0" xfId="0" applyNumberFormat="1" applyFont="1" applyFill="1"/>
    <xf numFmtId="218" fontId="102" fillId="0" borderId="0" xfId="3" applyNumberFormat="1" applyFont="1" applyAlignment="1">
      <alignment horizontal="left" vertical="center"/>
    </xf>
    <xf numFmtId="218" fontId="102" fillId="0" borderId="0" xfId="3" applyNumberFormat="1" applyFont="1"/>
    <xf numFmtId="0" fontId="102" fillId="47" borderId="0" xfId="3" applyFont="1" applyFill="1" applyAlignment="1">
      <alignment horizontal="left"/>
    </xf>
    <xf numFmtId="9" fontId="102" fillId="47" borderId="0" xfId="2" applyFont="1" applyFill="1"/>
    <xf numFmtId="1" fontId="102" fillId="0" borderId="0" xfId="3" applyNumberFormat="1" applyFont="1" applyAlignment="1">
      <alignment horizontal="right" vertical="center"/>
    </xf>
    <xf numFmtId="169" fontId="102" fillId="0" borderId="0" xfId="1" applyNumberFormat="1" applyFont="1" applyAlignment="1">
      <alignment horizontal="left" vertical="center"/>
    </xf>
    <xf numFmtId="43" fontId="86" fillId="6" borderId="0" xfId="1" applyFont="1" applyFill="1" applyBorder="1"/>
    <xf numFmtId="43" fontId="86" fillId="6" borderId="5" xfId="1" applyFont="1" applyFill="1" applyBorder="1"/>
    <xf numFmtId="219" fontId="102" fillId="0" borderId="0" xfId="3" applyNumberFormat="1" applyFont="1"/>
    <xf numFmtId="0" fontId="0" fillId="0" borderId="0" xfId="0" applyAlignment="1">
      <alignment wrapText="1"/>
    </xf>
    <xf numFmtId="0" fontId="0" fillId="0" borderId="0" xfId="0" applyAlignment="1">
      <alignment vertical="top"/>
    </xf>
    <xf numFmtId="0" fontId="0" fillId="0" borderId="1" xfId="0" applyBorder="1" applyAlignment="1">
      <alignment vertical="top"/>
    </xf>
    <xf numFmtId="218" fontId="95" fillId="0" borderId="0" xfId="3" applyNumberFormat="1" applyFont="1" applyAlignment="1">
      <alignment horizontal="left" vertical="center"/>
    </xf>
    <xf numFmtId="37" fontId="89" fillId="53" borderId="0" xfId="3" applyNumberFormat="1" applyFont="1" applyFill="1" applyAlignment="1">
      <alignment vertical="center"/>
    </xf>
    <xf numFmtId="9" fontId="102" fillId="0" borderId="0" xfId="2" applyFont="1" applyBorder="1" applyAlignment="1">
      <alignment horizontal="right" vertical="center"/>
    </xf>
    <xf numFmtId="0" fontId="34" fillId="11" borderId="6" xfId="0" applyFont="1" applyFill="1" applyBorder="1" applyAlignment="1">
      <alignment vertical="center" wrapText="1"/>
    </xf>
    <xf numFmtId="9" fontId="100" fillId="57" borderId="0" xfId="2" applyFont="1" applyFill="1"/>
    <xf numFmtId="169" fontId="108" fillId="0" borderId="0" xfId="1" applyNumberFormat="1" applyFont="1"/>
    <xf numFmtId="169" fontId="134" fillId="0" borderId="0" xfId="1" applyNumberFormat="1" applyFont="1"/>
    <xf numFmtId="37" fontId="102" fillId="0" borderId="11" xfId="3" applyNumberFormat="1" applyFont="1" applyBorder="1" applyAlignment="1">
      <alignment horizontal="left" vertical="center"/>
    </xf>
    <xf numFmtId="1" fontId="102" fillId="0" borderId="33" xfId="1" applyNumberFormat="1" applyFont="1" applyBorder="1" applyAlignment="1">
      <alignment horizontal="right" vertical="center"/>
    </xf>
    <xf numFmtId="169" fontId="102" fillId="0" borderId="0" xfId="3" applyNumberFormat="1" applyFont="1" applyAlignment="1">
      <alignment horizontal="left"/>
    </xf>
    <xf numFmtId="169" fontId="4" fillId="50" borderId="0" xfId="0" applyNumberFormat="1" applyFont="1" applyFill="1"/>
    <xf numFmtId="43" fontId="102" fillId="0" borderId="0" xfId="3" applyNumberFormat="1" applyFont="1" applyAlignment="1">
      <alignment horizontal="right" vertical="center"/>
    </xf>
    <xf numFmtId="169" fontId="90" fillId="4" borderId="0" xfId="1" applyNumberFormat="1" applyFont="1" applyFill="1"/>
    <xf numFmtId="9" fontId="90" fillId="4" borderId="0" xfId="2" applyFont="1" applyFill="1" applyBorder="1" applyAlignment="1">
      <alignment horizontal="left" vertical="center"/>
    </xf>
    <xf numFmtId="171" fontId="90" fillId="4" borderId="0" xfId="2" applyNumberFormat="1" applyFont="1" applyFill="1"/>
    <xf numFmtId="9" fontId="90" fillId="4" borderId="0" xfId="2" applyFont="1" applyFill="1"/>
    <xf numFmtId="10" fontId="90" fillId="4" borderId="0" xfId="2" applyNumberFormat="1" applyFont="1" applyFill="1"/>
    <xf numFmtId="0" fontId="98" fillId="4" borderId="0" xfId="0" applyFont="1" applyFill="1"/>
    <xf numFmtId="169" fontId="88" fillId="4" borderId="0" xfId="1" applyNumberFormat="1" applyFont="1" applyFill="1"/>
    <xf numFmtId="193" fontId="88" fillId="4" borderId="0" xfId="1" applyNumberFormat="1" applyFont="1" applyFill="1"/>
    <xf numFmtId="193" fontId="90" fillId="4" borderId="0" xfId="1" applyNumberFormat="1" applyFont="1" applyFill="1"/>
    <xf numFmtId="169" fontId="88" fillId="10" borderId="11" xfId="1" applyNumberFormat="1" applyFont="1" applyFill="1" applyBorder="1"/>
    <xf numFmtId="171" fontId="90" fillId="10" borderId="11" xfId="2" applyNumberFormat="1" applyFont="1" applyFill="1" applyBorder="1" applyAlignment="1">
      <alignment horizontal="left" vertical="center"/>
    </xf>
    <xf numFmtId="10" fontId="90" fillId="10" borderId="11" xfId="2" applyNumberFormat="1" applyFont="1" applyFill="1" applyBorder="1"/>
    <xf numFmtId="171" fontId="90" fillId="10" borderId="11" xfId="2" applyNumberFormat="1" applyFont="1" applyFill="1" applyBorder="1"/>
    <xf numFmtId="9" fontId="90" fillId="10" borderId="11" xfId="2" applyFont="1" applyFill="1" applyBorder="1"/>
    <xf numFmtId="171" fontId="90" fillId="10" borderId="11" xfId="1" applyNumberFormat="1" applyFont="1" applyFill="1" applyBorder="1"/>
    <xf numFmtId="171" fontId="133" fillId="10" borderId="11" xfId="2" applyNumberFormat="1" applyFont="1" applyFill="1" applyBorder="1"/>
    <xf numFmtId="0" fontId="88" fillId="10" borderId="11" xfId="0" applyFont="1" applyFill="1" applyBorder="1"/>
    <xf numFmtId="49" fontId="88" fillId="10" borderId="11" xfId="0" applyNumberFormat="1" applyFont="1" applyFill="1" applyBorder="1"/>
    <xf numFmtId="193" fontId="88" fillId="10" borderId="11" xfId="1" applyNumberFormat="1" applyFont="1" applyFill="1" applyBorder="1"/>
    <xf numFmtId="0" fontId="89" fillId="53" borderId="0" xfId="3" applyFont="1" applyFill="1" applyAlignment="1">
      <alignment horizontal="center" vertical="center"/>
    </xf>
    <xf numFmtId="0" fontId="102" fillId="0" borderId="0" xfId="3" applyFont="1" applyAlignment="1">
      <alignment horizontal="center" vertical="center"/>
    </xf>
    <xf numFmtId="169" fontId="102" fillId="0" borderId="33" xfId="1" applyNumberFormat="1" applyFont="1" applyBorder="1" applyAlignment="1">
      <alignment horizontal="center" vertical="center"/>
    </xf>
    <xf numFmtId="0" fontId="89" fillId="53" borderId="0" xfId="3" applyFont="1" applyFill="1" applyAlignment="1">
      <alignment horizontal="left" vertical="center" wrapText="1" indent="1"/>
    </xf>
    <xf numFmtId="0" fontId="93" fillId="10" borderId="0" xfId="0" applyFont="1" applyFill="1" applyAlignment="1">
      <alignment horizontal="right"/>
    </xf>
    <xf numFmtId="9" fontId="93" fillId="10" borderId="0" xfId="2" applyFont="1" applyFill="1" applyAlignment="1">
      <alignment horizontal="right"/>
    </xf>
    <xf numFmtId="171" fontId="93" fillId="10" borderId="0" xfId="2" applyNumberFormat="1" applyFont="1" applyFill="1" applyAlignment="1">
      <alignment horizontal="right"/>
    </xf>
    <xf numFmtId="0" fontId="89" fillId="53" borderId="0" xfId="0" applyFont="1" applyFill="1" applyAlignment="1">
      <alignment horizontal="right"/>
    </xf>
    <xf numFmtId="169" fontId="88" fillId="10" borderId="0" xfId="1" applyNumberFormat="1" applyFont="1" applyFill="1" applyAlignment="1">
      <alignment horizontal="right"/>
    </xf>
    <xf numFmtId="9" fontId="90" fillId="10" borderId="0" xfId="2" applyFont="1" applyFill="1" applyAlignment="1">
      <alignment horizontal="right"/>
    </xf>
    <xf numFmtId="171" fontId="90" fillId="10" borderId="0" xfId="2" applyNumberFormat="1" applyFont="1" applyFill="1" applyAlignment="1">
      <alignment horizontal="right"/>
    </xf>
    <xf numFmtId="9" fontId="89" fillId="53" borderId="0" xfId="2" applyFont="1" applyFill="1" applyAlignment="1">
      <alignment horizontal="right"/>
    </xf>
    <xf numFmtId="171" fontId="89" fillId="53" borderId="0" xfId="2" applyNumberFormat="1" applyFont="1" applyFill="1" applyAlignment="1">
      <alignment horizontal="right"/>
    </xf>
    <xf numFmtId="169" fontId="88" fillId="10" borderId="0" xfId="0" applyNumberFormat="1" applyFont="1" applyFill="1" applyAlignment="1">
      <alignment horizontal="right"/>
    </xf>
    <xf numFmtId="171" fontId="90" fillId="4" borderId="0" xfId="2" applyNumberFormat="1" applyFont="1" applyFill="1" applyAlignment="1">
      <alignment horizontal="right"/>
    </xf>
    <xf numFmtId="9" fontId="90" fillId="4" borderId="0" xfId="2" applyFont="1" applyFill="1" applyAlignment="1">
      <alignment horizontal="right"/>
    </xf>
    <xf numFmtId="10" fontId="90" fillId="4" borderId="0" xfId="2" applyNumberFormat="1" applyFont="1" applyFill="1" applyAlignment="1">
      <alignment horizontal="right"/>
    </xf>
    <xf numFmtId="171" fontId="90" fillId="10" borderId="11" xfId="2" applyNumberFormat="1" applyFont="1" applyFill="1" applyBorder="1" applyAlignment="1">
      <alignment horizontal="right"/>
    </xf>
    <xf numFmtId="171" fontId="133" fillId="10" borderId="11" xfId="2" applyNumberFormat="1" applyFont="1" applyFill="1" applyBorder="1" applyAlignment="1">
      <alignment horizontal="right"/>
    </xf>
    <xf numFmtId="169" fontId="123" fillId="6" borderId="0" xfId="1" applyNumberFormat="1" applyFont="1" applyFill="1" applyAlignment="1">
      <alignment horizontal="right"/>
    </xf>
    <xf numFmtId="9" fontId="104" fillId="6" borderId="0" xfId="2" applyFont="1" applyFill="1" applyAlignment="1">
      <alignment horizontal="right"/>
    </xf>
    <xf numFmtId="169" fontId="123" fillId="6" borderId="0" xfId="0" applyNumberFormat="1" applyFont="1" applyFill="1" applyAlignment="1">
      <alignment horizontal="right"/>
    </xf>
    <xf numFmtId="171" fontId="104" fillId="6" borderId="0" xfId="2" applyNumberFormat="1" applyFont="1" applyFill="1" applyAlignment="1">
      <alignment horizontal="right"/>
    </xf>
    <xf numFmtId="0" fontId="88" fillId="10" borderId="0" xfId="0" applyFont="1" applyFill="1" applyAlignment="1">
      <alignment horizontal="right"/>
    </xf>
    <xf numFmtId="193" fontId="88" fillId="10" borderId="0" xfId="0" applyNumberFormat="1" applyFont="1" applyFill="1" applyAlignment="1">
      <alignment horizontal="right"/>
    </xf>
    <xf numFmtId="171" fontId="88" fillId="10" borderId="0" xfId="0" applyNumberFormat="1" applyFont="1" applyFill="1" applyAlignment="1">
      <alignment horizontal="right"/>
    </xf>
    <xf numFmtId="171" fontId="88" fillId="10" borderId="0" xfId="2" applyNumberFormat="1" applyFont="1" applyFill="1" applyAlignment="1">
      <alignment horizontal="right"/>
    </xf>
    <xf numFmtId="200" fontId="88" fillId="10" borderId="0" xfId="0" applyNumberFormat="1" applyFont="1" applyFill="1" applyAlignment="1">
      <alignment horizontal="right"/>
    </xf>
    <xf numFmtId="10" fontId="88" fillId="10" borderId="0" xfId="2" applyNumberFormat="1" applyFont="1" applyFill="1" applyAlignment="1">
      <alignment horizontal="right"/>
    </xf>
    <xf numFmtId="9" fontId="102" fillId="0" borderId="0" xfId="2" applyFont="1" applyAlignment="1">
      <alignment horizontal="right"/>
    </xf>
    <xf numFmtId="200" fontId="0" fillId="0" borderId="0" xfId="0" applyNumberFormat="1"/>
    <xf numFmtId="0" fontId="75" fillId="6" borderId="0" xfId="0" applyFont="1" applyFill="1"/>
    <xf numFmtId="49" fontId="32" fillId="6" borderId="0" xfId="52" applyNumberFormat="1" applyFont="1" applyFill="1"/>
    <xf numFmtId="4" fontId="32" fillId="6" borderId="0" xfId="52" applyNumberFormat="1" applyFont="1" applyFill="1"/>
    <xf numFmtId="3" fontId="32" fillId="6" borderId="0" xfId="52" applyNumberFormat="1" applyFont="1" applyFill="1"/>
    <xf numFmtId="169" fontId="32" fillId="6" borderId="0" xfId="1" applyNumberFormat="1" applyFont="1" applyFill="1"/>
    <xf numFmtId="169" fontId="32" fillId="6" borderId="0" xfId="1" applyNumberFormat="1" applyFont="1" applyFill="1" applyBorder="1"/>
    <xf numFmtId="169" fontId="85" fillId="6" borderId="0" xfId="1" applyNumberFormat="1" applyFont="1" applyFill="1" applyBorder="1"/>
    <xf numFmtId="171" fontId="85" fillId="6" borderId="0" xfId="2" applyNumberFormat="1" applyFont="1" applyFill="1" applyBorder="1"/>
    <xf numFmtId="0" fontId="77" fillId="6" borderId="0" xfId="52" applyFont="1" applyFill="1"/>
    <xf numFmtId="9" fontId="85" fillId="6" borderId="0" xfId="2" applyFont="1" applyFill="1" applyBorder="1"/>
    <xf numFmtId="0" fontId="32" fillId="6" borderId="0" xfId="52" applyFont="1" applyFill="1"/>
    <xf numFmtId="171" fontId="0" fillId="0" borderId="0" xfId="0" applyNumberFormat="1"/>
    <xf numFmtId="0" fontId="157" fillId="0" borderId="0" xfId="69"/>
    <xf numFmtId="14" fontId="157" fillId="0" borderId="0" xfId="69" applyNumberFormat="1"/>
    <xf numFmtId="206" fontId="157" fillId="0" borderId="0" xfId="69" applyNumberFormat="1"/>
    <xf numFmtId="217" fontId="0" fillId="0" borderId="0" xfId="70" applyNumberFormat="1" applyFont="1"/>
    <xf numFmtId="0" fontId="157" fillId="0" borderId="0" xfId="69" applyAlignment="1">
      <alignment wrapText="1"/>
    </xf>
    <xf numFmtId="9" fontId="0" fillId="0" borderId="0" xfId="71" applyFont="1"/>
    <xf numFmtId="4" fontId="157" fillId="0" borderId="0" xfId="69" applyNumberFormat="1"/>
    <xf numFmtId="43" fontId="157" fillId="0" borderId="0" xfId="1" applyFont="1"/>
    <xf numFmtId="169" fontId="157" fillId="0" borderId="0" xfId="1" applyNumberFormat="1" applyFont="1"/>
    <xf numFmtId="9" fontId="0" fillId="6" borderId="0" xfId="71" applyFont="1" applyFill="1"/>
    <xf numFmtId="9" fontId="157" fillId="0" borderId="0" xfId="2" applyFont="1"/>
    <xf numFmtId="9" fontId="0" fillId="6" borderId="0" xfId="2" applyFont="1" applyFill="1"/>
    <xf numFmtId="43" fontId="157" fillId="0" borderId="0" xfId="1" applyFont="1" applyAlignment="1">
      <alignment wrapText="1"/>
    </xf>
    <xf numFmtId="217" fontId="0" fillId="0" borderId="0" xfId="1" applyNumberFormat="1" applyFont="1"/>
    <xf numFmtId="0" fontId="13" fillId="6" borderId="0" xfId="51" applyFont="1" applyFill="1"/>
    <xf numFmtId="169" fontId="3" fillId="6" borderId="0" xfId="1" applyNumberFormat="1" applyFont="1" applyFill="1"/>
    <xf numFmtId="217" fontId="4" fillId="0" borderId="0" xfId="70" applyNumberFormat="1" applyFont="1"/>
    <xf numFmtId="43" fontId="0" fillId="10" borderId="0" xfId="0" applyNumberFormat="1" applyFill="1"/>
    <xf numFmtId="169" fontId="20" fillId="50" borderId="0" xfId="1" applyNumberFormat="1" applyFont="1" applyFill="1"/>
    <xf numFmtId="169" fontId="98" fillId="0" borderId="0" xfId="1" applyNumberFormat="1" applyFont="1"/>
    <xf numFmtId="0" fontId="0" fillId="0" borderId="0" xfId="0" quotePrefix="1"/>
    <xf numFmtId="217" fontId="0" fillId="0" borderId="0" xfId="0" applyNumberFormat="1"/>
    <xf numFmtId="0" fontId="0" fillId="0" borderId="0" xfId="0" applyAlignment="1">
      <alignment horizontal="right"/>
    </xf>
    <xf numFmtId="0" fontId="13" fillId="0" borderId="0" xfId="0" applyFont="1"/>
    <xf numFmtId="14" fontId="88" fillId="0" borderId="0" xfId="69" applyNumberFormat="1" applyFont="1" applyAlignment="1">
      <alignment horizontal="right"/>
    </xf>
    <xf numFmtId="14" fontId="98" fillId="0" borderId="0" xfId="69" applyNumberFormat="1" applyFont="1" applyAlignment="1">
      <alignment horizontal="right"/>
    </xf>
    <xf numFmtId="14" fontId="88" fillId="0" borderId="0" xfId="69" applyNumberFormat="1" applyFont="1"/>
    <xf numFmtId="43" fontId="157" fillId="0" borderId="0" xfId="69" applyNumberFormat="1"/>
    <xf numFmtId="0" fontId="0" fillId="0" borderId="0" xfId="0" applyAlignment="1">
      <alignment vertical="center"/>
    </xf>
    <xf numFmtId="169" fontId="37" fillId="12" borderId="0" xfId="1" applyNumberFormat="1" applyFont="1" applyFill="1" applyAlignment="1">
      <alignment vertical="center" wrapText="1"/>
    </xf>
    <xf numFmtId="169" fontId="4" fillId="5" borderId="0" xfId="1" applyNumberFormat="1" applyFont="1" applyFill="1"/>
    <xf numFmtId="169" fontId="32" fillId="0" borderId="0" xfId="1" applyNumberFormat="1" applyFont="1"/>
    <xf numFmtId="0" fontId="158" fillId="0" borderId="0" xfId="0" applyFont="1" applyAlignment="1">
      <alignment vertical="top"/>
    </xf>
    <xf numFmtId="0" fontId="158" fillId="0" borderId="0" xfId="0" applyFont="1"/>
    <xf numFmtId="0" fontId="159" fillId="0" borderId="0" xfId="0" applyFont="1"/>
    <xf numFmtId="49" fontId="161" fillId="0" borderId="0" xfId="0" applyNumberFormat="1" applyFont="1" applyAlignment="1">
      <alignment vertical="top"/>
    </xf>
    <xf numFmtId="0" fontId="163" fillId="43" borderId="0" xfId="0" applyFont="1" applyFill="1" applyAlignment="1">
      <alignment horizontal="right" vertical="center"/>
    </xf>
    <xf numFmtId="14" fontId="158" fillId="0" borderId="0" xfId="0" applyNumberFormat="1" applyFont="1"/>
    <xf numFmtId="3" fontId="164" fillId="0" borderId="0" xfId="0" applyNumberFormat="1" applyFont="1" applyAlignment="1">
      <alignment horizontal="right" vertical="center"/>
    </xf>
    <xf numFmtId="9" fontId="158" fillId="0" borderId="0" xfId="2" applyFont="1" applyFill="1"/>
    <xf numFmtId="3" fontId="161" fillId="0" borderId="0" xfId="0" applyNumberFormat="1" applyFont="1" applyAlignment="1">
      <alignment vertical="center"/>
    </xf>
    <xf numFmtId="3" fontId="161" fillId="0" borderId="0" xfId="0" applyNumberFormat="1" applyFont="1" applyAlignment="1">
      <alignment horizontal="right" vertical="center"/>
    </xf>
    <xf numFmtId="0" fontId="161" fillId="0" borderId="0" xfId="0" applyFont="1" applyAlignment="1">
      <alignment horizontal="right" vertical="center"/>
    </xf>
    <xf numFmtId="3" fontId="164" fillId="0" borderId="27" xfId="0" applyNumberFormat="1" applyFont="1" applyBorder="1" applyAlignment="1">
      <alignment horizontal="right" vertical="center"/>
    </xf>
    <xf numFmtId="0" fontId="159" fillId="43" borderId="28" xfId="0" applyFont="1" applyFill="1" applyBorder="1" applyAlignment="1">
      <alignment horizontal="center" vertical="center" wrapText="1"/>
    </xf>
    <xf numFmtId="1" fontId="160" fillId="43" borderId="29" xfId="0" applyNumberFormat="1" applyFont="1" applyFill="1" applyBorder="1" applyAlignment="1">
      <alignment horizontal="center" vertical="center" wrapText="1"/>
    </xf>
    <xf numFmtId="0" fontId="160" fillId="45" borderId="29" xfId="0" applyFont="1" applyFill="1" applyBorder="1" applyAlignment="1">
      <alignment horizontal="center" vertical="center" wrapText="1"/>
    </xf>
    <xf numFmtId="1" fontId="160" fillId="45" borderId="29" xfId="0" applyNumberFormat="1" applyFont="1" applyFill="1" applyBorder="1" applyAlignment="1">
      <alignment horizontal="center" vertical="center" wrapText="1"/>
    </xf>
    <xf numFmtId="0" fontId="161" fillId="0" borderId="0" xfId="0" applyFont="1" applyAlignment="1">
      <alignment vertical="center" wrapText="1"/>
    </xf>
    <xf numFmtId="43" fontId="161" fillId="0" borderId="0" xfId="0" applyNumberFormat="1" applyFont="1" applyAlignment="1">
      <alignment horizontal="right" vertical="center" wrapText="1"/>
    </xf>
    <xf numFmtId="0" fontId="158" fillId="0" borderId="0" xfId="0" applyFont="1" applyAlignment="1">
      <alignment vertical="center" wrapText="1"/>
    </xf>
    <xf numFmtId="3" fontId="161" fillId="0" borderId="0" xfId="0" applyNumberFormat="1" applyFont="1" applyAlignment="1">
      <alignment vertical="center" wrapText="1"/>
    </xf>
    <xf numFmtId="171" fontId="161" fillId="0" borderId="0" xfId="0" applyNumberFormat="1" applyFont="1" applyAlignment="1">
      <alignment horizontal="right" vertical="center" wrapText="1"/>
    </xf>
    <xf numFmtId="49" fontId="164" fillId="0" borderId="0" xfId="0" applyNumberFormat="1" applyFont="1" applyAlignment="1">
      <alignment vertical="top"/>
    </xf>
    <xf numFmtId="0" fontId="158" fillId="0" borderId="0" xfId="0" applyFont="1" applyAlignment="1">
      <alignment horizontal="center" vertical="center" wrapText="1"/>
    </xf>
    <xf numFmtId="9" fontId="161" fillId="0" borderId="0" xfId="2" applyFont="1" applyAlignment="1">
      <alignment vertical="center" wrapText="1"/>
    </xf>
    <xf numFmtId="0" fontId="165" fillId="0" borderId="30" xfId="0" applyFont="1" applyBorder="1" applyAlignment="1">
      <alignment horizontal="right" vertical="center" wrapText="1" readingOrder="1"/>
    </xf>
    <xf numFmtId="0" fontId="165" fillId="0" borderId="31" xfId="0" applyFont="1" applyBorder="1" applyAlignment="1">
      <alignment horizontal="left" vertical="center" wrapText="1" readingOrder="1"/>
    </xf>
    <xf numFmtId="169" fontId="166" fillId="0" borderId="31" xfId="1" applyNumberFormat="1" applyFont="1" applyBorder="1" applyAlignment="1">
      <alignment horizontal="left" vertical="center" wrapText="1" readingOrder="1"/>
    </xf>
    <xf numFmtId="0" fontId="164" fillId="0" borderId="0" xfId="0" applyFont="1" applyAlignment="1">
      <alignment horizontal="left" vertical="center" wrapText="1" readingOrder="1"/>
    </xf>
    <xf numFmtId="169" fontId="161" fillId="0" borderId="0" xfId="1" applyNumberFormat="1" applyFont="1" applyBorder="1" applyAlignment="1">
      <alignment horizontal="right" vertical="center" wrapText="1" readingOrder="1"/>
    </xf>
    <xf numFmtId="0" fontId="165" fillId="0" borderId="0" xfId="0" applyFont="1" applyAlignment="1">
      <alignment horizontal="left" vertical="center" wrapText="1" readingOrder="1"/>
    </xf>
    <xf numFmtId="193" fontId="166" fillId="0" borderId="0" xfId="1" applyNumberFormat="1" applyFont="1" applyBorder="1" applyAlignment="1">
      <alignment horizontal="left" vertical="center" wrapText="1" readingOrder="1"/>
    </xf>
    <xf numFmtId="9" fontId="166" fillId="0" borderId="0" xfId="2" applyFont="1" applyBorder="1" applyAlignment="1">
      <alignment horizontal="right" vertical="center" wrapText="1" readingOrder="1"/>
    </xf>
    <xf numFmtId="169" fontId="165" fillId="0" borderId="0" xfId="1" applyNumberFormat="1" applyFont="1" applyBorder="1" applyAlignment="1">
      <alignment horizontal="left" vertical="center" wrapText="1" readingOrder="1"/>
    </xf>
    <xf numFmtId="169" fontId="166" fillId="0" borderId="0" xfId="1" applyNumberFormat="1" applyFont="1" applyBorder="1" applyAlignment="1">
      <alignment horizontal="right" vertical="center" wrapText="1" readingOrder="1"/>
    </xf>
    <xf numFmtId="169" fontId="165" fillId="0" borderId="11" xfId="1" applyNumberFormat="1" applyFont="1" applyBorder="1" applyAlignment="1">
      <alignment horizontal="left" vertical="center" wrapText="1" readingOrder="1"/>
    </xf>
    <xf numFmtId="0" fontId="165" fillId="0" borderId="11" xfId="0" applyFont="1" applyBorder="1" applyAlignment="1">
      <alignment horizontal="left" vertical="center" wrapText="1" readingOrder="1"/>
    </xf>
    <xf numFmtId="9" fontId="166" fillId="0" borderId="11" xfId="2" applyFont="1" applyBorder="1" applyAlignment="1">
      <alignment horizontal="right" vertical="center" wrapText="1" readingOrder="1"/>
    </xf>
    <xf numFmtId="0" fontId="164" fillId="0" borderId="11" xfId="0" applyFont="1" applyBorder="1" applyAlignment="1">
      <alignment horizontal="left" vertical="center" wrapText="1" readingOrder="1"/>
    </xf>
    <xf numFmtId="9" fontId="161" fillId="0" borderId="11" xfId="2" applyFont="1" applyBorder="1" applyAlignment="1">
      <alignment horizontal="right" vertical="center" wrapText="1" readingOrder="1"/>
    </xf>
    <xf numFmtId="0" fontId="160" fillId="43" borderId="0" xfId="0" applyFont="1" applyFill="1" applyAlignment="1">
      <alignment vertical="top"/>
    </xf>
    <xf numFmtId="171" fontId="158" fillId="0" borderId="0" xfId="2" applyNumberFormat="1" applyFont="1" applyAlignment="1">
      <alignment vertical="top"/>
    </xf>
    <xf numFmtId="169" fontId="158" fillId="0" borderId="0" xfId="1" applyNumberFormat="1" applyFont="1" applyAlignment="1">
      <alignment vertical="top"/>
    </xf>
    <xf numFmtId="43" fontId="158" fillId="0" borderId="0" xfId="1" applyFont="1" applyAlignment="1">
      <alignment vertical="top"/>
    </xf>
    <xf numFmtId="193" fontId="158" fillId="0" borderId="0" xfId="1" applyNumberFormat="1" applyFont="1" applyAlignment="1">
      <alignment vertical="top"/>
    </xf>
    <xf numFmtId="169" fontId="158" fillId="0" borderId="0" xfId="1" applyNumberFormat="1" applyFont="1" applyFill="1" applyAlignment="1">
      <alignment vertical="top"/>
    </xf>
    <xf numFmtId="3" fontId="168" fillId="0" borderId="0" xfId="0" applyNumberFormat="1" applyFont="1"/>
    <xf numFmtId="0" fontId="160" fillId="43" borderId="0" xfId="0" applyFont="1" applyFill="1"/>
    <xf numFmtId="169" fontId="169" fillId="10" borderId="0" xfId="1" applyNumberFormat="1" applyFont="1" applyFill="1"/>
    <xf numFmtId="0" fontId="170" fillId="10" borderId="0" xfId="0" applyFont="1" applyFill="1"/>
    <xf numFmtId="0" fontId="158" fillId="10" borderId="0" xfId="0" applyFont="1" applyFill="1"/>
    <xf numFmtId="171" fontId="170" fillId="10" borderId="0" xfId="2" applyNumberFormat="1" applyFont="1" applyFill="1"/>
    <xf numFmtId="169" fontId="170" fillId="10" borderId="0" xfId="1" applyNumberFormat="1" applyFont="1" applyFill="1"/>
    <xf numFmtId="169" fontId="171" fillId="53" borderId="0" xfId="1" applyNumberFormat="1" applyFont="1" applyFill="1"/>
    <xf numFmtId="0" fontId="158" fillId="53" borderId="0" xfId="0" applyFont="1" applyFill="1"/>
    <xf numFmtId="0" fontId="160" fillId="53" borderId="0" xfId="0" applyFont="1" applyFill="1"/>
    <xf numFmtId="171" fontId="160" fillId="53" borderId="0" xfId="2" applyNumberFormat="1" applyFont="1" applyFill="1"/>
    <xf numFmtId="49" fontId="160" fillId="53" borderId="0" xfId="0" applyNumberFormat="1" applyFont="1" applyFill="1"/>
    <xf numFmtId="193" fontId="160" fillId="53" borderId="0" xfId="1" applyNumberFormat="1" applyFont="1" applyFill="1"/>
    <xf numFmtId="169" fontId="160" fillId="53" borderId="0" xfId="1" applyNumberFormat="1" applyFont="1" applyFill="1"/>
    <xf numFmtId="171" fontId="172" fillId="10" borderId="0" xfId="2" applyNumberFormat="1" applyFont="1" applyFill="1"/>
    <xf numFmtId="169" fontId="158" fillId="10" borderId="0" xfId="1" applyNumberFormat="1" applyFont="1" applyFill="1"/>
    <xf numFmtId="9" fontId="172" fillId="10" borderId="0" xfId="2" applyFont="1" applyFill="1"/>
    <xf numFmtId="169" fontId="172" fillId="10" borderId="0" xfId="1" applyNumberFormat="1" applyFont="1" applyFill="1"/>
    <xf numFmtId="0" fontId="159" fillId="10" borderId="0" xfId="0" applyFont="1" applyFill="1"/>
    <xf numFmtId="169" fontId="171" fillId="53" borderId="0" xfId="1" applyNumberFormat="1" applyFont="1" applyFill="1" applyAlignment="1">
      <alignment vertical="center"/>
    </xf>
    <xf numFmtId="43" fontId="160" fillId="53" borderId="0" xfId="1" applyFont="1" applyFill="1" applyAlignment="1">
      <alignment vertical="center"/>
    </xf>
    <xf numFmtId="0" fontId="160" fillId="53" borderId="0" xfId="0" applyFont="1" applyFill="1" applyAlignment="1">
      <alignment horizontal="right" vertical="center"/>
    </xf>
    <xf numFmtId="0" fontId="159" fillId="53" borderId="0" xfId="0" applyFont="1" applyFill="1" applyAlignment="1">
      <alignment vertical="center"/>
    </xf>
    <xf numFmtId="171" fontId="160" fillId="53" borderId="0" xfId="2" applyNumberFormat="1" applyFont="1" applyFill="1" applyAlignment="1">
      <alignment vertical="center"/>
    </xf>
    <xf numFmtId="49" fontId="160" fillId="53" borderId="0" xfId="0" applyNumberFormat="1" applyFont="1" applyFill="1" applyAlignment="1">
      <alignment vertical="center"/>
    </xf>
    <xf numFmtId="193" fontId="160" fillId="53" borderId="0" xfId="1" applyNumberFormat="1" applyFont="1" applyFill="1" applyAlignment="1">
      <alignment vertical="center"/>
    </xf>
    <xf numFmtId="0" fontId="160" fillId="53" borderId="0" xfId="0" applyFont="1" applyFill="1" applyAlignment="1">
      <alignment vertical="center"/>
    </xf>
    <xf numFmtId="169" fontId="169" fillId="10" borderId="0" xfId="1" applyNumberFormat="1" applyFont="1" applyFill="1" applyAlignment="1">
      <alignment vertical="center"/>
    </xf>
    <xf numFmtId="0" fontId="158" fillId="10" borderId="0" xfId="0" applyFont="1" applyFill="1" applyAlignment="1">
      <alignment vertical="center"/>
    </xf>
    <xf numFmtId="171" fontId="172" fillId="10" borderId="0" xfId="2" applyNumberFormat="1" applyFont="1" applyFill="1" applyAlignment="1">
      <alignment vertical="center"/>
    </xf>
    <xf numFmtId="49" fontId="158" fillId="10" borderId="0" xfId="0" applyNumberFormat="1" applyFont="1" applyFill="1" applyAlignment="1">
      <alignment vertical="center"/>
    </xf>
    <xf numFmtId="193" fontId="158" fillId="10" borderId="0" xfId="1" applyNumberFormat="1" applyFont="1" applyFill="1" applyAlignment="1">
      <alignment vertical="center"/>
    </xf>
    <xf numFmtId="169" fontId="158" fillId="10" borderId="0" xfId="1" applyNumberFormat="1" applyFont="1" applyFill="1" applyAlignment="1">
      <alignment vertical="center"/>
    </xf>
    <xf numFmtId="43" fontId="172" fillId="10" borderId="0" xfId="1" applyFont="1" applyFill="1" applyAlignment="1">
      <alignment vertical="center"/>
    </xf>
    <xf numFmtId="169" fontId="158" fillId="10" borderId="0" xfId="1" applyNumberFormat="1" applyFont="1" applyFill="1" applyAlignment="1">
      <alignment horizontal="right" vertical="center"/>
    </xf>
    <xf numFmtId="9" fontId="172" fillId="10" borderId="0" xfId="2" applyFont="1" applyFill="1" applyAlignment="1">
      <alignment horizontal="right" vertical="center"/>
    </xf>
    <xf numFmtId="169" fontId="158" fillId="10" borderId="0" xfId="0" applyNumberFormat="1" applyFont="1" applyFill="1" applyAlignment="1">
      <alignment horizontal="right" vertical="center"/>
    </xf>
    <xf numFmtId="171" fontId="172" fillId="10" borderId="0" xfId="2" applyNumberFormat="1" applyFont="1" applyFill="1" applyAlignment="1">
      <alignment horizontal="right" vertical="center"/>
    </xf>
    <xf numFmtId="169" fontId="169" fillId="4" borderId="0" xfId="1" applyNumberFormat="1" applyFont="1" applyFill="1" applyAlignment="1">
      <alignment vertical="center"/>
    </xf>
    <xf numFmtId="0" fontId="159" fillId="4" borderId="0" xfId="0" applyFont="1" applyFill="1" applyAlignment="1">
      <alignment vertical="center"/>
    </xf>
    <xf numFmtId="171" fontId="172" fillId="4" borderId="0" xfId="2" applyNumberFormat="1" applyFont="1" applyFill="1" applyAlignment="1">
      <alignment vertical="center"/>
    </xf>
    <xf numFmtId="9" fontId="172" fillId="4" borderId="0" xfId="2" applyFont="1" applyFill="1" applyAlignment="1">
      <alignment vertical="center"/>
    </xf>
    <xf numFmtId="193" fontId="158" fillId="4" borderId="0" xfId="1" applyNumberFormat="1" applyFont="1" applyFill="1" applyAlignment="1">
      <alignment vertical="center"/>
    </xf>
    <xf numFmtId="169" fontId="172" fillId="4" borderId="0" xfId="1" applyNumberFormat="1" applyFont="1" applyFill="1" applyAlignment="1">
      <alignment vertical="center"/>
    </xf>
    <xf numFmtId="169" fontId="158" fillId="4" borderId="0" xfId="1" applyNumberFormat="1" applyFont="1" applyFill="1" applyAlignment="1">
      <alignment vertical="center"/>
    </xf>
    <xf numFmtId="9" fontId="172" fillId="10" borderId="0" xfId="2" applyFont="1" applyFill="1" applyAlignment="1">
      <alignment vertical="center"/>
    </xf>
    <xf numFmtId="169" fontId="172" fillId="10" borderId="0" xfId="1" applyNumberFormat="1" applyFont="1" applyFill="1" applyAlignment="1">
      <alignment vertical="center"/>
    </xf>
    <xf numFmtId="169" fontId="172" fillId="6" borderId="0" xfId="1" applyNumberFormat="1" applyFont="1" applyFill="1" applyAlignment="1">
      <alignment vertical="center"/>
    </xf>
    <xf numFmtId="0" fontId="159" fillId="10" borderId="0" xfId="0" applyFont="1" applyFill="1" applyAlignment="1">
      <alignment vertical="center"/>
    </xf>
    <xf numFmtId="171" fontId="173" fillId="6" borderId="0" xfId="2" applyNumberFormat="1" applyFont="1" applyFill="1" applyAlignment="1">
      <alignment vertical="center"/>
    </xf>
    <xf numFmtId="169" fontId="171" fillId="10" borderId="0" xfId="1" applyNumberFormat="1" applyFont="1" applyFill="1" applyAlignment="1">
      <alignment vertical="center"/>
    </xf>
    <xf numFmtId="171" fontId="173" fillId="10" borderId="0" xfId="2" applyNumberFormat="1" applyFont="1" applyFill="1" applyAlignment="1">
      <alignment vertical="center"/>
    </xf>
    <xf numFmtId="49" fontId="159" fillId="10" borderId="0" xfId="0" applyNumberFormat="1" applyFont="1" applyFill="1" applyAlignment="1">
      <alignment vertical="center"/>
    </xf>
    <xf numFmtId="193" fontId="159" fillId="10" borderId="0" xfId="1" applyNumberFormat="1" applyFont="1" applyFill="1" applyAlignment="1">
      <alignment vertical="center"/>
    </xf>
    <xf numFmtId="169" fontId="159" fillId="10" borderId="0" xfId="1" applyNumberFormat="1" applyFont="1" applyFill="1" applyAlignment="1">
      <alignment vertical="center"/>
    </xf>
    <xf numFmtId="169" fontId="169" fillId="10" borderId="11" xfId="1" applyNumberFormat="1" applyFont="1" applyFill="1" applyBorder="1" applyAlignment="1">
      <alignment vertical="center"/>
    </xf>
    <xf numFmtId="0" fontId="158" fillId="10" borderId="11" xfId="0" applyFont="1" applyFill="1" applyBorder="1" applyAlignment="1">
      <alignment vertical="center"/>
    </xf>
    <xf numFmtId="171" fontId="173" fillId="10" borderId="11" xfId="2" applyNumberFormat="1" applyFont="1" applyFill="1" applyBorder="1" applyAlignment="1">
      <alignment vertical="center"/>
    </xf>
    <xf numFmtId="171" fontId="172" fillId="10" borderId="11" xfId="2" applyNumberFormat="1" applyFont="1" applyFill="1" applyBorder="1" applyAlignment="1">
      <alignment vertical="center"/>
    </xf>
    <xf numFmtId="49" fontId="158" fillId="10" borderId="11" xfId="0" applyNumberFormat="1" applyFont="1" applyFill="1" applyBorder="1" applyAlignment="1">
      <alignment vertical="center"/>
    </xf>
    <xf numFmtId="193" fontId="158" fillId="10" borderId="11" xfId="1" applyNumberFormat="1" applyFont="1" applyFill="1" applyBorder="1" applyAlignment="1">
      <alignment vertical="center"/>
    </xf>
    <xf numFmtId="169" fontId="158" fillId="10" borderId="11" xfId="1" applyNumberFormat="1" applyFont="1" applyFill="1" applyBorder="1" applyAlignment="1">
      <alignment vertical="center"/>
    </xf>
    <xf numFmtId="49" fontId="158" fillId="10" borderId="0" xfId="0" applyNumberFormat="1" applyFont="1" applyFill="1"/>
    <xf numFmtId="193" fontId="158" fillId="10" borderId="0" xfId="1" applyNumberFormat="1" applyFont="1" applyFill="1"/>
    <xf numFmtId="169" fontId="158" fillId="10" borderId="0" xfId="0" applyNumberFormat="1" applyFont="1" applyFill="1"/>
    <xf numFmtId="0" fontId="158" fillId="10" borderId="0" xfId="0" applyFont="1" applyFill="1" applyAlignment="1">
      <alignment horizontal="left" vertical="top"/>
    </xf>
    <xf numFmtId="200" fontId="158" fillId="10" borderId="0" xfId="0" applyNumberFormat="1" applyFont="1" applyFill="1"/>
    <xf numFmtId="49" fontId="159" fillId="10" borderId="0" xfId="0" applyNumberFormat="1" applyFont="1" applyFill="1"/>
    <xf numFmtId="169" fontId="158" fillId="6" borderId="0" xfId="1" applyNumberFormat="1" applyFont="1" applyFill="1"/>
    <xf numFmtId="43" fontId="158" fillId="10" borderId="0" xfId="0" applyNumberFormat="1" applyFont="1" applyFill="1"/>
    <xf numFmtId="0" fontId="176" fillId="10" borderId="0" xfId="0" applyFont="1" applyFill="1" applyAlignment="1">
      <alignment horizontal="left" vertical="top"/>
    </xf>
    <xf numFmtId="10" fontId="158" fillId="10" borderId="0" xfId="2" applyNumberFormat="1" applyFont="1" applyFill="1"/>
    <xf numFmtId="171" fontId="172" fillId="10" borderId="0" xfId="2" applyNumberFormat="1" applyFont="1" applyFill="1" applyBorder="1"/>
    <xf numFmtId="0" fontId="160" fillId="53" borderId="0" xfId="0" applyFont="1" applyFill="1" applyAlignment="1">
      <alignment horizontal="left" vertical="center"/>
    </xf>
    <xf numFmtId="169" fontId="160" fillId="53" borderId="0" xfId="0" applyNumberFormat="1" applyFont="1" applyFill="1" applyAlignment="1">
      <alignment horizontal="right" vertical="center"/>
    </xf>
    <xf numFmtId="0" fontId="158" fillId="10" borderId="0" xfId="0" applyFont="1" applyFill="1" applyAlignment="1">
      <alignment horizontal="left" vertical="center"/>
    </xf>
    <xf numFmtId="9" fontId="158" fillId="10" borderId="0" xfId="2" applyFont="1" applyFill="1" applyAlignment="1">
      <alignment horizontal="right" vertical="center"/>
    </xf>
    <xf numFmtId="9" fontId="172" fillId="10" borderId="0" xfId="2" applyFont="1" applyFill="1" applyAlignment="1">
      <alignment horizontal="left" vertical="center"/>
    </xf>
    <xf numFmtId="9" fontId="172" fillId="10" borderId="0" xfId="0" applyNumberFormat="1" applyFont="1" applyFill="1" applyAlignment="1">
      <alignment horizontal="left" vertical="center"/>
    </xf>
    <xf numFmtId="9" fontId="160" fillId="53" borderId="0" xfId="2" applyFont="1" applyFill="1" applyAlignment="1">
      <alignment vertical="center"/>
    </xf>
    <xf numFmtId="9" fontId="158" fillId="10" borderId="0" xfId="2" applyFont="1" applyFill="1" applyAlignment="1">
      <alignment vertical="center"/>
    </xf>
    <xf numFmtId="169" fontId="158" fillId="10" borderId="0" xfId="0" applyNumberFormat="1" applyFont="1" applyFill="1" applyAlignment="1">
      <alignment vertical="center"/>
    </xf>
    <xf numFmtId="169" fontId="177" fillId="10" borderId="0" xfId="0" applyNumberFormat="1" applyFont="1" applyFill="1" applyAlignment="1">
      <alignment horizontal="right" vertical="center"/>
    </xf>
    <xf numFmtId="9" fontId="177" fillId="10" borderId="0" xfId="2" applyFont="1" applyFill="1" applyAlignment="1">
      <alignment horizontal="right" vertical="center"/>
    </xf>
    <xf numFmtId="169" fontId="177" fillId="10" borderId="0" xfId="1" applyNumberFormat="1" applyFont="1" applyFill="1" applyAlignment="1">
      <alignment vertical="center"/>
    </xf>
    <xf numFmtId="9" fontId="177" fillId="10" borderId="0" xfId="2" applyFont="1" applyFill="1" applyAlignment="1">
      <alignment vertical="center"/>
    </xf>
    <xf numFmtId="169" fontId="177" fillId="10" borderId="0" xfId="0" applyNumberFormat="1" applyFont="1" applyFill="1" applyAlignment="1">
      <alignment vertical="center"/>
    </xf>
    <xf numFmtId="43" fontId="177" fillId="10" borderId="0" xfId="1" applyFont="1" applyFill="1" applyAlignment="1">
      <alignment vertical="center"/>
    </xf>
    <xf numFmtId="169" fontId="177" fillId="10" borderId="0" xfId="1" applyNumberFormat="1" applyFont="1" applyFill="1" applyAlignment="1">
      <alignment horizontal="right" vertical="center"/>
    </xf>
    <xf numFmtId="169" fontId="176" fillId="10" borderId="0" xfId="0" applyNumberFormat="1" applyFont="1" applyFill="1" applyAlignment="1">
      <alignment horizontal="right" vertical="center"/>
    </xf>
    <xf numFmtId="9" fontId="176" fillId="10" borderId="0" xfId="2" applyFont="1" applyFill="1" applyAlignment="1">
      <alignment horizontal="right" vertical="center"/>
    </xf>
    <xf numFmtId="43" fontId="176" fillId="10" borderId="0" xfId="1" applyFont="1" applyFill="1" applyAlignment="1">
      <alignment vertical="center"/>
    </xf>
    <xf numFmtId="9" fontId="176" fillId="10" borderId="0" xfId="2" applyFont="1" applyFill="1" applyAlignment="1">
      <alignment vertical="center"/>
    </xf>
    <xf numFmtId="169" fontId="176" fillId="10" borderId="0" xfId="1" applyNumberFormat="1" applyFont="1" applyFill="1" applyAlignment="1">
      <alignment vertical="center"/>
    </xf>
    <xf numFmtId="169" fontId="176" fillId="10" borderId="0" xfId="0" applyNumberFormat="1" applyFont="1" applyFill="1" applyAlignment="1">
      <alignment vertical="center"/>
    </xf>
    <xf numFmtId="169" fontId="176" fillId="10" borderId="0" xfId="1" applyNumberFormat="1" applyFont="1" applyFill="1" applyAlignment="1">
      <alignment horizontal="right" vertical="center"/>
    </xf>
    <xf numFmtId="171" fontId="176" fillId="10" borderId="0" xfId="2" applyNumberFormat="1" applyFont="1" applyFill="1" applyAlignment="1">
      <alignment horizontal="right" vertical="center"/>
    </xf>
    <xf numFmtId="10" fontId="176" fillId="10" borderId="0" xfId="2" applyNumberFormat="1" applyFont="1" applyFill="1" applyAlignment="1">
      <alignment vertical="center"/>
    </xf>
    <xf numFmtId="0" fontId="176" fillId="10" borderId="0" xfId="0" applyFont="1" applyFill="1" applyAlignment="1">
      <alignment vertical="center"/>
    </xf>
    <xf numFmtId="9" fontId="176" fillId="10" borderId="0" xfId="2" applyFont="1" applyFill="1" applyBorder="1" applyAlignment="1">
      <alignment horizontal="left" vertical="center"/>
    </xf>
    <xf numFmtId="10" fontId="176" fillId="10" borderId="0" xfId="2" applyNumberFormat="1" applyFont="1" applyFill="1" applyAlignment="1">
      <alignment horizontal="right" vertical="center"/>
    </xf>
    <xf numFmtId="171" fontId="176" fillId="10" borderId="0" xfId="2" applyNumberFormat="1" applyFont="1" applyFill="1" applyAlignment="1">
      <alignment vertical="center"/>
    </xf>
    <xf numFmtId="171" fontId="176" fillId="10" borderId="11" xfId="2" applyNumberFormat="1" applyFont="1" applyFill="1" applyBorder="1" applyAlignment="1">
      <alignment horizontal="left" vertical="center"/>
    </xf>
    <xf numFmtId="10" fontId="176" fillId="10" borderId="11" xfId="2" applyNumberFormat="1" applyFont="1" applyFill="1" applyBorder="1" applyAlignment="1">
      <alignment horizontal="right" vertical="center"/>
    </xf>
    <xf numFmtId="171" fontId="176" fillId="10" borderId="11" xfId="2" applyNumberFormat="1" applyFont="1" applyFill="1" applyBorder="1" applyAlignment="1">
      <alignment horizontal="right" vertical="center"/>
    </xf>
    <xf numFmtId="171" fontId="176" fillId="10" borderId="11" xfId="2" applyNumberFormat="1" applyFont="1" applyFill="1" applyBorder="1" applyAlignment="1">
      <alignment vertical="center"/>
    </xf>
    <xf numFmtId="171" fontId="176" fillId="10" borderId="11" xfId="1" applyNumberFormat="1" applyFont="1" applyFill="1" applyBorder="1" applyAlignment="1">
      <alignment vertical="center"/>
    </xf>
    <xf numFmtId="0" fontId="177" fillId="63" borderId="0" xfId="0" applyFont="1" applyFill="1" applyAlignment="1">
      <alignment vertical="center"/>
    </xf>
    <xf numFmtId="169" fontId="169" fillId="6" borderId="0" xfId="1" applyNumberFormat="1" applyFont="1" applyFill="1" applyAlignment="1">
      <alignment vertical="center"/>
    </xf>
    <xf numFmtId="171" fontId="174" fillId="6" borderId="0" xfId="2" applyNumberFormat="1" applyFont="1" applyFill="1" applyAlignment="1">
      <alignment vertical="center"/>
    </xf>
    <xf numFmtId="171" fontId="175" fillId="6" borderId="0" xfId="2" applyNumberFormat="1" applyFont="1" applyFill="1" applyAlignment="1">
      <alignment vertical="center"/>
    </xf>
    <xf numFmtId="49" fontId="175" fillId="6" borderId="0" xfId="0" applyNumberFormat="1" applyFont="1" applyFill="1" applyAlignment="1">
      <alignment vertical="center"/>
    </xf>
    <xf numFmtId="193" fontId="175" fillId="6" borderId="0" xfId="1" applyNumberFormat="1" applyFont="1" applyFill="1" applyAlignment="1">
      <alignment vertical="center"/>
    </xf>
    <xf numFmtId="169" fontId="175" fillId="6" borderId="0" xfId="1" applyNumberFormat="1" applyFont="1" applyFill="1" applyAlignment="1">
      <alignment vertical="center"/>
    </xf>
    <xf numFmtId="0" fontId="175" fillId="6" borderId="0" xfId="0" applyFont="1" applyFill="1" applyAlignment="1">
      <alignment vertical="center"/>
    </xf>
    <xf numFmtId="220" fontId="176" fillId="10" borderId="0" xfId="1" applyNumberFormat="1" applyFont="1" applyFill="1" applyAlignment="1">
      <alignment horizontal="right" vertical="center"/>
    </xf>
    <xf numFmtId="220" fontId="176" fillId="10" borderId="11" xfId="1" applyNumberFormat="1" applyFont="1" applyFill="1" applyBorder="1" applyAlignment="1">
      <alignment horizontal="right" vertical="center"/>
    </xf>
    <xf numFmtId="0" fontId="170" fillId="10" borderId="0" xfId="0" applyFont="1" applyFill="1" applyAlignment="1">
      <alignment vertical="center"/>
    </xf>
    <xf numFmtId="169" fontId="170" fillId="10" borderId="0" xfId="0" applyNumberFormat="1" applyFont="1" applyFill="1" applyAlignment="1">
      <alignment horizontal="right" vertical="center"/>
    </xf>
    <xf numFmtId="169" fontId="170" fillId="10" borderId="0" xfId="0" applyNumberFormat="1" applyFont="1" applyFill="1" applyAlignment="1">
      <alignment vertical="center"/>
    </xf>
    <xf numFmtId="9" fontId="170" fillId="10" borderId="0" xfId="2" applyFont="1" applyFill="1" applyAlignment="1">
      <alignment vertical="center"/>
    </xf>
    <xf numFmtId="43" fontId="170" fillId="10" borderId="0" xfId="1" applyFont="1" applyFill="1" applyAlignment="1">
      <alignment vertical="center"/>
    </xf>
    <xf numFmtId="0" fontId="170" fillId="10" borderId="0" xfId="0" applyFont="1" applyFill="1" applyAlignment="1">
      <alignment horizontal="right" vertical="center"/>
    </xf>
    <xf numFmtId="9" fontId="170" fillId="10" borderId="0" xfId="2" applyFont="1" applyFill="1" applyAlignment="1">
      <alignment horizontal="right" vertical="center"/>
    </xf>
    <xf numFmtId="171" fontId="170" fillId="10" borderId="0" xfId="2" applyNumberFormat="1" applyFont="1" applyFill="1" applyAlignment="1">
      <alignment horizontal="right" vertical="center"/>
    </xf>
    <xf numFmtId="169" fontId="160" fillId="53" borderId="0" xfId="0" applyNumberFormat="1" applyFont="1" applyFill="1" applyAlignment="1">
      <alignment vertical="center"/>
    </xf>
    <xf numFmtId="0" fontId="176" fillId="10" borderId="0" xfId="0" applyFont="1" applyFill="1" applyAlignment="1">
      <alignment horizontal="right" vertical="center"/>
    </xf>
    <xf numFmtId="0" fontId="158" fillId="10" borderId="0" xfId="0" applyFont="1" applyFill="1" applyAlignment="1">
      <alignment horizontal="right" vertical="center"/>
    </xf>
    <xf numFmtId="171" fontId="158" fillId="10" borderId="0" xfId="2" applyNumberFormat="1" applyFont="1" applyFill="1" applyAlignment="1">
      <alignment horizontal="right" vertical="center"/>
    </xf>
    <xf numFmtId="169" fontId="172" fillId="10" borderId="0" xfId="2" applyNumberFormat="1" applyFont="1" applyFill="1" applyAlignment="1">
      <alignment vertical="center"/>
    </xf>
    <xf numFmtId="171" fontId="158" fillId="10" borderId="0" xfId="2" applyNumberFormat="1" applyFont="1" applyFill="1" applyAlignment="1">
      <alignment vertical="center"/>
    </xf>
    <xf numFmtId="171" fontId="158" fillId="10" borderId="0" xfId="0" applyNumberFormat="1" applyFont="1" applyFill="1" applyAlignment="1">
      <alignment horizontal="right" vertical="center"/>
    </xf>
    <xf numFmtId="43" fontId="158" fillId="10" borderId="0" xfId="0" applyNumberFormat="1" applyFont="1" applyFill="1" applyAlignment="1">
      <alignment vertical="center"/>
    </xf>
    <xf numFmtId="200" fontId="158" fillId="10" borderId="0" xfId="0" applyNumberFormat="1" applyFont="1" applyFill="1" applyAlignment="1">
      <alignment vertical="center"/>
    </xf>
    <xf numFmtId="10" fontId="172" fillId="6" borderId="0" xfId="2" applyNumberFormat="1" applyFont="1" applyFill="1" applyAlignment="1">
      <alignment vertical="center"/>
    </xf>
    <xf numFmtId="200" fontId="158" fillId="10" borderId="0" xfId="0" applyNumberFormat="1" applyFont="1" applyFill="1" applyAlignment="1">
      <alignment horizontal="right" vertical="center"/>
    </xf>
    <xf numFmtId="10" fontId="158" fillId="10" borderId="0" xfId="2" applyNumberFormat="1" applyFont="1" applyFill="1" applyAlignment="1">
      <alignment horizontal="right" vertical="center"/>
    </xf>
    <xf numFmtId="3" fontId="158" fillId="10" borderId="0" xfId="0" applyNumberFormat="1" applyFont="1" applyFill="1" applyAlignment="1">
      <alignment vertical="center"/>
    </xf>
    <xf numFmtId="0" fontId="160" fillId="64" borderId="0" xfId="0" applyFont="1" applyFill="1" applyAlignment="1">
      <alignment horizontal="right" vertical="center"/>
    </xf>
    <xf numFmtId="0" fontId="160" fillId="64" borderId="0" xfId="0" applyFont="1" applyFill="1" applyAlignment="1">
      <alignment vertical="center"/>
    </xf>
    <xf numFmtId="9" fontId="160" fillId="64" borderId="0" xfId="2" applyFont="1" applyFill="1" applyAlignment="1">
      <alignment vertical="center"/>
    </xf>
    <xf numFmtId="43" fontId="160" fillId="64" borderId="0" xfId="1" applyFont="1" applyFill="1" applyAlignment="1">
      <alignment vertical="center"/>
    </xf>
    <xf numFmtId="9" fontId="160" fillId="64" borderId="0" xfId="2" applyFont="1" applyFill="1" applyAlignment="1">
      <alignment horizontal="right" vertical="center"/>
    </xf>
    <xf numFmtId="171" fontId="160" fillId="64" borderId="0" xfId="2" applyNumberFormat="1" applyFont="1" applyFill="1" applyAlignment="1">
      <alignment horizontal="right" vertical="center"/>
    </xf>
    <xf numFmtId="169" fontId="158" fillId="10" borderId="0" xfId="1" applyNumberFormat="1" applyFont="1" applyFill="1" applyBorder="1" applyAlignment="1">
      <alignment horizontal="right"/>
    </xf>
    <xf numFmtId="9" fontId="176" fillId="10" borderId="0" xfId="2" applyFont="1" applyFill="1" applyBorder="1" applyAlignment="1">
      <alignment horizontal="right"/>
    </xf>
    <xf numFmtId="0" fontId="158" fillId="0" borderId="0" xfId="0" applyFont="1" applyAlignment="1">
      <alignment horizontal="right"/>
    </xf>
    <xf numFmtId="169" fontId="158" fillId="10" borderId="0" xfId="1" applyNumberFormat="1" applyFont="1" applyFill="1" applyBorder="1"/>
    <xf numFmtId="169" fontId="158" fillId="0" borderId="0" xfId="1" applyNumberFormat="1" applyFont="1" applyFill="1" applyAlignment="1">
      <alignment horizontal="right"/>
    </xf>
    <xf numFmtId="0" fontId="180" fillId="0" borderId="0" xfId="0" applyFont="1"/>
    <xf numFmtId="9" fontId="158" fillId="0" borderId="0" xfId="2" applyFont="1" applyFill="1" applyAlignment="1">
      <alignment horizontal="right"/>
    </xf>
    <xf numFmtId="169" fontId="158" fillId="0" borderId="0" xfId="0" applyNumberFormat="1" applyFont="1" applyAlignment="1">
      <alignment horizontal="right"/>
    </xf>
    <xf numFmtId="0" fontId="167" fillId="0" borderId="0" xfId="0" applyFont="1"/>
    <xf numFmtId="0" fontId="189" fillId="0" borderId="0" xfId="0" applyFont="1"/>
    <xf numFmtId="9" fontId="167" fillId="0" borderId="0" xfId="2" applyFont="1" applyFill="1"/>
    <xf numFmtId="0" fontId="176" fillId="0" borderId="0" xfId="0" applyFont="1"/>
    <xf numFmtId="9" fontId="176" fillId="4" borderId="0" xfId="2" applyFont="1" applyFill="1" applyBorder="1" applyAlignment="1">
      <alignment horizontal="right"/>
    </xf>
    <xf numFmtId="9" fontId="180" fillId="0" borderId="0" xfId="2" applyFont="1" applyFill="1" applyBorder="1"/>
    <xf numFmtId="9" fontId="158" fillId="0" borderId="0" xfId="0" applyNumberFormat="1" applyFont="1"/>
    <xf numFmtId="169" fontId="158" fillId="0" borderId="0" xfId="1" applyNumberFormat="1" applyFont="1" applyFill="1"/>
    <xf numFmtId="9" fontId="158" fillId="0" borderId="0" xfId="0" applyNumberFormat="1" applyFont="1" applyAlignment="1">
      <alignment horizontal="right"/>
    </xf>
    <xf numFmtId="0" fontId="179" fillId="0" borderId="0" xfId="0" applyFont="1"/>
    <xf numFmtId="9" fontId="158" fillId="10" borderId="0" xfId="2" applyFont="1" applyFill="1" applyBorder="1" applyAlignment="1">
      <alignment horizontal="right"/>
    </xf>
    <xf numFmtId="0" fontId="159" fillId="0" borderId="0" xfId="0" applyFont="1" applyAlignment="1">
      <alignment horizontal="right"/>
    </xf>
    <xf numFmtId="169" fontId="159" fillId="0" borderId="0" xfId="1" applyNumberFormat="1" applyFont="1" applyFill="1" applyBorder="1"/>
    <xf numFmtId="9" fontId="158" fillId="0" borderId="0" xfId="2" applyFont="1" applyFill="1" applyBorder="1"/>
    <xf numFmtId="169" fontId="176" fillId="0" borderId="0" xfId="1" applyNumberFormat="1" applyFont="1" applyFill="1" applyBorder="1"/>
    <xf numFmtId="169" fontId="180" fillId="0" borderId="0" xfId="0" applyNumberFormat="1" applyFont="1"/>
    <xf numFmtId="9" fontId="180" fillId="0" borderId="0" xfId="0" applyNumberFormat="1" applyFont="1"/>
    <xf numFmtId="169" fontId="158" fillId="0" borderId="0" xfId="1" applyNumberFormat="1" applyFont="1" applyFill="1" applyBorder="1"/>
    <xf numFmtId="43" fontId="158" fillId="0" borderId="0" xfId="0" applyNumberFormat="1" applyFont="1"/>
    <xf numFmtId="169" fontId="158" fillId="0" borderId="0" xfId="0" applyNumberFormat="1" applyFont="1"/>
    <xf numFmtId="9" fontId="176" fillId="0" borderId="0" xfId="2" applyFont="1" applyFill="1" applyBorder="1"/>
    <xf numFmtId="43" fontId="176" fillId="0" borderId="0" xfId="0" applyNumberFormat="1" applyFont="1"/>
    <xf numFmtId="169" fontId="176" fillId="0" borderId="0" xfId="0" applyNumberFormat="1" applyFont="1"/>
    <xf numFmtId="169" fontId="177" fillId="0" borderId="0" xfId="1" applyNumberFormat="1" applyFont="1" applyFill="1" applyBorder="1"/>
    <xf numFmtId="9" fontId="158" fillId="10" borderId="0" xfId="2" applyFont="1" applyFill="1" applyBorder="1"/>
    <xf numFmtId="43" fontId="158" fillId="10" borderId="0" xfId="1" applyFont="1" applyFill="1" applyBorder="1"/>
    <xf numFmtId="0" fontId="172" fillId="0" borderId="0" xfId="0" applyFont="1"/>
    <xf numFmtId="0" fontId="160" fillId="3" borderId="0" xfId="0" applyFont="1" applyFill="1" applyAlignment="1">
      <alignment horizontal="left"/>
    </xf>
    <xf numFmtId="0" fontId="208" fillId="3" borderId="0" xfId="0" applyFont="1" applyFill="1" applyAlignment="1">
      <alignment horizontal="left"/>
    </xf>
    <xf numFmtId="0" fontId="208" fillId="0" borderId="0" xfId="0" applyFont="1" applyAlignment="1">
      <alignment horizontal="left"/>
    </xf>
    <xf numFmtId="0" fontId="209" fillId="0" borderId="0" xfId="0" applyFont="1" applyAlignment="1">
      <alignment horizontal="left"/>
    </xf>
    <xf numFmtId="0" fontId="210" fillId="3" borderId="0" xfId="0" applyFont="1" applyFill="1" applyAlignment="1">
      <alignment horizontal="left"/>
    </xf>
    <xf numFmtId="0" fontId="209" fillId="3" borderId="0" xfId="0" applyFont="1" applyFill="1" applyAlignment="1">
      <alignment horizontal="left"/>
    </xf>
    <xf numFmtId="175" fontId="208" fillId="3" borderId="0" xfId="0" applyNumberFormat="1" applyFont="1" applyFill="1" applyAlignment="1">
      <alignment horizontal="center"/>
    </xf>
    <xf numFmtId="175" fontId="160" fillId="3" borderId="0" xfId="0" applyNumberFormat="1" applyFont="1" applyFill="1" applyAlignment="1">
      <alignment horizontal="left"/>
    </xf>
    <xf numFmtId="0" fontId="176" fillId="65" borderId="0" xfId="0" applyFont="1" applyFill="1"/>
    <xf numFmtId="0" fontId="0" fillId="65" borderId="0" xfId="0" applyFill="1"/>
    <xf numFmtId="0" fontId="179" fillId="3" borderId="0" xfId="0" applyFont="1" applyFill="1" applyAlignment="1">
      <alignment horizontal="left"/>
    </xf>
    <xf numFmtId="0" fontId="186" fillId="3" borderId="0" xfId="0" applyFont="1" applyFill="1" applyAlignment="1">
      <alignment horizontal="left"/>
    </xf>
    <xf numFmtId="0" fontId="179" fillId="0" borderId="0" xfId="0" applyFont="1" applyAlignment="1">
      <alignment horizontal="left"/>
    </xf>
    <xf numFmtId="0" fontId="186" fillId="0" borderId="0" xfId="0" applyFont="1" applyAlignment="1">
      <alignment horizontal="left"/>
    </xf>
    <xf numFmtId="0" fontId="192" fillId="0" borderId="0" xfId="0" applyFont="1" applyAlignment="1">
      <alignment horizontal="left"/>
    </xf>
    <xf numFmtId="0" fontId="192" fillId="3" borderId="0" xfId="0" applyFont="1" applyFill="1" applyAlignment="1">
      <alignment horizontal="left"/>
    </xf>
    <xf numFmtId="175" fontId="179" fillId="3" borderId="0" xfId="0" applyNumberFormat="1" applyFont="1" applyFill="1" applyAlignment="1">
      <alignment horizontal="center"/>
    </xf>
    <xf numFmtId="175" fontId="179" fillId="3" borderId="0" xfId="0" applyNumberFormat="1" applyFont="1" applyFill="1" applyAlignment="1">
      <alignment horizontal="left"/>
    </xf>
    <xf numFmtId="0" fontId="211" fillId="0" borderId="0" xfId="0" applyFont="1"/>
    <xf numFmtId="0" fontId="188" fillId="0" borderId="0" xfId="0" applyFont="1"/>
    <xf numFmtId="0" fontId="158" fillId="0" borderId="0" xfId="57" applyFont="1"/>
    <xf numFmtId="171" fontId="176" fillId="0" borderId="0" xfId="0" applyNumberFormat="1" applyFont="1"/>
    <xf numFmtId="10" fontId="12" fillId="0" borderId="0" xfId="0" applyNumberFormat="1" applyFont="1"/>
    <xf numFmtId="49" fontId="207" fillId="0" borderId="0" xfId="0" applyNumberFormat="1" applyFont="1" applyAlignment="1">
      <alignment vertical="top"/>
    </xf>
    <xf numFmtId="49" fontId="164" fillId="66" borderId="0" xfId="0" applyNumberFormat="1" applyFont="1" applyFill="1" applyAlignment="1">
      <alignment vertical="top"/>
    </xf>
    <xf numFmtId="0" fontId="4" fillId="66" borderId="0" xfId="0" applyFont="1" applyFill="1"/>
    <xf numFmtId="49" fontId="170" fillId="66" borderId="0" xfId="0" applyNumberFormat="1" applyFont="1" applyFill="1" applyAlignment="1">
      <alignment vertical="top"/>
    </xf>
    <xf numFmtId="0" fontId="19" fillId="66" borderId="0" xfId="0" applyFont="1" applyFill="1"/>
    <xf numFmtId="49" fontId="161" fillId="61" borderId="0" xfId="0" applyNumberFormat="1" applyFont="1" applyFill="1" applyAlignment="1">
      <alignment vertical="top"/>
    </xf>
    <xf numFmtId="0" fontId="0" fillId="61" borderId="0" xfId="0" applyFill="1"/>
    <xf numFmtId="0" fontId="176" fillId="61" borderId="0" xfId="0" applyFont="1" applyFill="1"/>
    <xf numFmtId="0" fontId="158" fillId="0" borderId="0" xfId="52" applyNumberFormat="1" applyFont="1"/>
    <xf numFmtId="0" fontId="158" fillId="0" borderId="0" xfId="52" applyFont="1"/>
    <xf numFmtId="0" fontId="158" fillId="0" borderId="0" xfId="52" applyFont="1" applyAlignment="1">
      <alignment horizontal="right"/>
    </xf>
    <xf numFmtId="169" fontId="158" fillId="0" borderId="0" xfId="1" applyNumberFormat="1" applyFont="1"/>
    <xf numFmtId="193" fontId="158" fillId="0" borderId="0" xfId="1" applyNumberFormat="1" applyFont="1"/>
    <xf numFmtId="1" fontId="158" fillId="0" borderId="0" xfId="53" applyNumberFormat="1" applyFont="1"/>
    <xf numFmtId="9" fontId="158" fillId="0" borderId="0" xfId="2" applyFont="1" applyAlignment="1">
      <alignment horizontal="right"/>
    </xf>
    <xf numFmtId="1" fontId="158" fillId="0" borderId="0" xfId="53" applyNumberFormat="1" applyFont="1" applyAlignment="1">
      <alignment horizontal="right"/>
    </xf>
    <xf numFmtId="9" fontId="158" fillId="0" borderId="0" xfId="2" applyFont="1" applyBorder="1" applyAlignment="1">
      <alignment horizontal="right"/>
    </xf>
    <xf numFmtId="9" fontId="158" fillId="0" borderId="0" xfId="2" applyFont="1"/>
    <xf numFmtId="0" fontId="159" fillId="0" borderId="0" xfId="52" applyFont="1"/>
    <xf numFmtId="0" fontId="159" fillId="0" borderId="0" xfId="52" applyFont="1" applyAlignment="1">
      <alignment horizontal="right"/>
    </xf>
    <xf numFmtId="0" fontId="158" fillId="0" borderId="2" xfId="52" applyNumberFormat="1" applyFont="1" applyBorder="1" applyAlignment="1">
      <alignment horizontal="left"/>
    </xf>
    <xf numFmtId="49" fontId="158" fillId="0" borderId="0" xfId="52" applyNumberFormat="1" applyFont="1"/>
    <xf numFmtId="9" fontId="158" fillId="0" borderId="0" xfId="2" applyFont="1" applyBorder="1"/>
    <xf numFmtId="171" fontId="158" fillId="0" borderId="0" xfId="2" applyNumberFormat="1" applyFont="1"/>
    <xf numFmtId="0" fontId="158" fillId="0" borderId="11" xfId="52" applyNumberFormat="1" applyFont="1" applyBorder="1"/>
    <xf numFmtId="0" fontId="158" fillId="0" borderId="0" xfId="52" applyNumberFormat="1" applyFont="1" applyAlignment="1">
      <alignment horizontal="left"/>
    </xf>
    <xf numFmtId="2" fontId="158" fillId="0" borderId="0" xfId="52" applyNumberFormat="1" applyFont="1"/>
    <xf numFmtId="2" fontId="158" fillId="0" borderId="0" xfId="52" applyNumberFormat="1" applyFont="1" applyAlignment="1">
      <alignment horizontal="right"/>
    </xf>
    <xf numFmtId="49" fontId="158" fillId="0" borderId="0" xfId="52" applyNumberFormat="1" applyFont="1" applyAlignment="1">
      <alignment horizontal="right"/>
    </xf>
    <xf numFmtId="169" fontId="158" fillId="0" borderId="0" xfId="1" applyNumberFormat="1" applyFont="1" applyAlignment="1">
      <alignment horizontal="right"/>
    </xf>
    <xf numFmtId="169" fontId="158" fillId="0" borderId="0" xfId="52" applyNumberFormat="1" applyFont="1"/>
    <xf numFmtId="169" fontId="158" fillId="0" borderId="0" xfId="52" applyNumberFormat="1" applyFont="1" applyAlignment="1">
      <alignment horizontal="right"/>
    </xf>
    <xf numFmtId="171" fontId="158" fillId="0" borderId="0" xfId="2" applyNumberFormat="1" applyFont="1" applyAlignment="1">
      <alignment horizontal="right"/>
    </xf>
    <xf numFmtId="193" fontId="158" fillId="0" borderId="0" xfId="1" applyNumberFormat="1" applyFont="1" applyAlignment="1">
      <alignment horizontal="right"/>
    </xf>
    <xf numFmtId="171" fontId="158" fillId="0" borderId="0" xfId="52" applyNumberFormat="1" applyFont="1" applyAlignment="1">
      <alignment horizontal="right"/>
    </xf>
    <xf numFmtId="171" fontId="158" fillId="0" borderId="0" xfId="52" applyNumberFormat="1" applyFont="1"/>
    <xf numFmtId="0" fontId="158" fillId="6" borderId="0" xfId="52" applyFont="1" applyFill="1" applyAlignment="1">
      <alignment horizontal="right"/>
    </xf>
    <xf numFmtId="9" fontId="158" fillId="0" borderId="0" xfId="52" applyNumberFormat="1" applyFont="1"/>
    <xf numFmtId="200" fontId="158" fillId="0" borderId="0" xfId="52" applyNumberFormat="1" applyFont="1"/>
    <xf numFmtId="200" fontId="158" fillId="0" borderId="0" xfId="52" applyNumberFormat="1" applyFont="1" applyAlignment="1">
      <alignment horizontal="right"/>
    </xf>
    <xf numFmtId="9" fontId="158" fillId="6" borderId="0" xfId="2" applyFont="1" applyFill="1"/>
    <xf numFmtId="9" fontId="158" fillId="6" borderId="0" xfId="2" applyFont="1" applyFill="1" applyAlignment="1">
      <alignment horizontal="right"/>
    </xf>
    <xf numFmtId="9" fontId="158" fillId="0" borderId="0" xfId="52" applyNumberFormat="1" applyFont="1" applyAlignment="1">
      <alignment horizontal="right"/>
    </xf>
    <xf numFmtId="188" fontId="158" fillId="0" borderId="0" xfId="52" applyNumberFormat="1" applyFont="1"/>
    <xf numFmtId="193" fontId="158" fillId="0" borderId="0" xfId="52" applyNumberFormat="1" applyFont="1" applyAlignment="1">
      <alignment horizontal="right"/>
    </xf>
    <xf numFmtId="0" fontId="158" fillId="0" borderId="0" xfId="2" applyNumberFormat="1" applyFont="1"/>
    <xf numFmtId="0" fontId="158" fillId="0" borderId="0" xfId="2" applyNumberFormat="1" applyFont="1" applyAlignment="1">
      <alignment horizontal="right"/>
    </xf>
    <xf numFmtId="17" fontId="158" fillId="0" borderId="0" xfId="52" applyNumberFormat="1" applyFont="1" applyAlignment="1">
      <alignment horizontal="right"/>
    </xf>
    <xf numFmtId="17" fontId="158" fillId="0" borderId="0" xfId="52" applyNumberFormat="1" applyFont="1"/>
    <xf numFmtId="43" fontId="158" fillId="0" borderId="0" xfId="52" applyNumberFormat="1" applyFont="1"/>
    <xf numFmtId="43" fontId="158" fillId="0" borderId="0" xfId="52" applyNumberFormat="1" applyFont="1" applyAlignment="1">
      <alignment horizontal="right"/>
    </xf>
    <xf numFmtId="0" fontId="160" fillId="53" borderId="0" xfId="52" applyNumberFormat="1" applyFont="1" applyFill="1"/>
    <xf numFmtId="0" fontId="160" fillId="53" borderId="0" xfId="52" applyFont="1" applyFill="1" applyAlignment="1">
      <alignment horizontal="right"/>
    </xf>
    <xf numFmtId="0" fontId="160" fillId="53" borderId="0" xfId="52" applyFont="1" applyFill="1"/>
    <xf numFmtId="0" fontId="158" fillId="10" borderId="0" xfId="52" applyNumberFormat="1" applyFont="1" applyFill="1"/>
    <xf numFmtId="43" fontId="158" fillId="10" borderId="0" xfId="1" applyFont="1" applyFill="1" applyBorder="1" applyAlignment="1">
      <alignment horizontal="right"/>
    </xf>
    <xf numFmtId="0" fontId="158" fillId="10" borderId="11" xfId="52" applyNumberFormat="1" applyFont="1" applyFill="1" applyBorder="1"/>
    <xf numFmtId="171" fontId="158" fillId="10" borderId="11" xfId="2" applyNumberFormat="1" applyFont="1" applyFill="1" applyBorder="1"/>
    <xf numFmtId="171" fontId="158" fillId="10" borderId="11" xfId="2" applyNumberFormat="1" applyFont="1" applyFill="1" applyBorder="1" applyAlignment="1">
      <alignment horizontal="right"/>
    </xf>
    <xf numFmtId="9" fontId="158" fillId="10" borderId="11" xfId="2" applyFont="1" applyFill="1" applyBorder="1" applyAlignment="1">
      <alignment horizontal="right"/>
    </xf>
    <xf numFmtId="9" fontId="158" fillId="10" borderId="11" xfId="2" applyFont="1" applyFill="1" applyBorder="1"/>
    <xf numFmtId="0" fontId="158" fillId="10" borderId="0" xfId="52" applyFont="1" applyFill="1"/>
    <xf numFmtId="0" fontId="158" fillId="10" borderId="0" xfId="52" applyFont="1" applyFill="1" applyAlignment="1">
      <alignment horizontal="right"/>
    </xf>
    <xf numFmtId="43" fontId="158" fillId="0" borderId="0" xfId="1" applyFont="1" applyAlignment="1">
      <alignment horizontal="right"/>
    </xf>
    <xf numFmtId="3" fontId="158" fillId="0" borderId="0" xfId="52" applyNumberFormat="1" applyFont="1"/>
    <xf numFmtId="10" fontId="158" fillId="0" borderId="0" xfId="52" applyNumberFormat="1" applyFont="1"/>
    <xf numFmtId="10" fontId="158" fillId="0" borderId="0" xfId="52" applyNumberFormat="1" applyFont="1" applyAlignment="1">
      <alignment horizontal="right"/>
    </xf>
    <xf numFmtId="0" fontId="176" fillId="0" borderId="0" xfId="52" applyFont="1"/>
    <xf numFmtId="43" fontId="158" fillId="0" borderId="0" xfId="1" applyFont="1"/>
    <xf numFmtId="0" fontId="162" fillId="58" borderId="0" xfId="52" applyNumberFormat="1" applyFont="1" applyFill="1"/>
    <xf numFmtId="49" fontId="162" fillId="58" borderId="0" xfId="52" applyNumberFormat="1" applyFont="1" applyFill="1"/>
    <xf numFmtId="49" fontId="162" fillId="58" borderId="0" xfId="52" applyNumberFormat="1" applyFont="1" applyFill="1" applyAlignment="1">
      <alignment horizontal="right"/>
    </xf>
    <xf numFmtId="0" fontId="162" fillId="58" borderId="0" xfId="52" applyFont="1" applyFill="1"/>
    <xf numFmtId="49" fontId="158" fillId="0" borderId="0" xfId="2" applyNumberFormat="1" applyFont="1" applyAlignment="1">
      <alignment horizontal="right"/>
    </xf>
    <xf numFmtId="49" fontId="158" fillId="0" borderId="0" xfId="2" applyNumberFormat="1" applyFont="1"/>
    <xf numFmtId="0" fontId="159" fillId="0" borderId="0" xfId="52" applyNumberFormat="1" applyFont="1"/>
    <xf numFmtId="9" fontId="159" fillId="0" borderId="0" xfId="2" applyFont="1" applyAlignment="1">
      <alignment horizontal="right"/>
    </xf>
    <xf numFmtId="169" fontId="159" fillId="0" borderId="0" xfId="52" applyNumberFormat="1" applyFont="1" applyAlignment="1">
      <alignment horizontal="right"/>
    </xf>
    <xf numFmtId="169" fontId="159" fillId="0" borderId="0" xfId="52" applyNumberFormat="1" applyFont="1"/>
    <xf numFmtId="169" fontId="159" fillId="0" borderId="0" xfId="1" applyNumberFormat="1" applyFont="1" applyAlignment="1">
      <alignment horizontal="right"/>
    </xf>
    <xf numFmtId="169" fontId="159" fillId="0" borderId="0" xfId="1" applyNumberFormat="1" applyFont="1"/>
    <xf numFmtId="3" fontId="158" fillId="0" borderId="0" xfId="52" applyNumberFormat="1" applyFont="1" applyAlignment="1">
      <alignment horizontal="right"/>
    </xf>
    <xf numFmtId="0" fontId="163" fillId="53" borderId="27" xfId="0" applyFont="1" applyFill="1" applyBorder="1" applyAlignment="1">
      <alignment horizontal="left" vertical="center" wrapText="1"/>
    </xf>
    <xf numFmtId="0" fontId="163" fillId="53" borderId="27" xfId="0" applyFont="1" applyFill="1" applyBorder="1" applyAlignment="1">
      <alignment horizontal="right" vertical="center" wrapText="1"/>
    </xf>
    <xf numFmtId="0" fontId="163" fillId="53" borderId="27" xfId="0" applyFont="1" applyFill="1" applyBorder="1" applyAlignment="1">
      <alignment horizontal="justify" vertical="center" wrapText="1"/>
    </xf>
    <xf numFmtId="0" fontId="177" fillId="0" borderId="0" xfId="52" applyFont="1" applyFill="1" applyAlignment="1">
      <alignment horizontal="left"/>
    </xf>
    <xf numFmtId="0" fontId="177" fillId="0" borderId="0" xfId="52" applyFont="1" applyFill="1" applyAlignment="1">
      <alignment horizontal="right"/>
    </xf>
    <xf numFmtId="171" fontId="176" fillId="0" borderId="0" xfId="2" applyNumberFormat="1" applyFont="1" applyFill="1" applyAlignment="1">
      <alignment horizontal="right"/>
    </xf>
    <xf numFmtId="171" fontId="177" fillId="0" borderId="0" xfId="2" applyNumberFormat="1" applyFont="1" applyAlignment="1">
      <alignment horizontal="right" vertical="center" wrapText="1"/>
    </xf>
    <xf numFmtId="169" fontId="177" fillId="0" borderId="0" xfId="1" applyNumberFormat="1" applyFont="1" applyAlignment="1">
      <alignment horizontal="justify" vertical="center" wrapText="1"/>
    </xf>
    <xf numFmtId="0" fontId="176" fillId="0" borderId="0" xfId="52" applyFont="1" applyFill="1"/>
    <xf numFmtId="0" fontId="177" fillId="0" borderId="0" xfId="0" applyFont="1" applyAlignment="1">
      <alignment horizontal="left" vertical="center" wrapText="1"/>
    </xf>
    <xf numFmtId="10" fontId="158" fillId="0" borderId="0" xfId="2" applyNumberFormat="1" applyFont="1"/>
    <xf numFmtId="0" fontId="158" fillId="0" borderId="0" xfId="0" applyFont="1" applyAlignment="1">
      <alignment horizontal="left" vertical="center" wrapText="1"/>
    </xf>
    <xf numFmtId="171" fontId="158" fillId="0" borderId="0" xfId="2" applyNumberFormat="1" applyFont="1" applyAlignment="1">
      <alignment horizontal="right" vertical="center" wrapText="1"/>
    </xf>
    <xf numFmtId="0" fontId="158" fillId="0" borderId="33" xfId="0" applyFont="1" applyBorder="1" applyAlignment="1">
      <alignment horizontal="left" vertical="center" wrapText="1"/>
    </xf>
    <xf numFmtId="171" fontId="158" fillId="0" borderId="33" xfId="2" applyNumberFormat="1" applyFont="1" applyBorder="1" applyAlignment="1">
      <alignment horizontal="right" vertical="center" wrapText="1"/>
    </xf>
    <xf numFmtId="0" fontId="158" fillId="0" borderId="37" xfId="0" applyFont="1" applyBorder="1" applyAlignment="1">
      <alignment horizontal="left" vertical="center" wrapText="1"/>
    </xf>
    <xf numFmtId="171" fontId="158" fillId="0" borderId="37" xfId="2" applyNumberFormat="1" applyFont="1" applyBorder="1" applyAlignment="1">
      <alignment horizontal="right" vertical="center" wrapText="1"/>
    </xf>
    <xf numFmtId="0" fontId="158" fillId="0" borderId="0" xfId="0" quotePrefix="1" applyFont="1" applyAlignment="1">
      <alignment horizontal="left" vertical="center" wrapText="1"/>
    </xf>
    <xf numFmtId="169" fontId="158" fillId="0" borderId="0" xfId="1" applyNumberFormat="1" applyFont="1" applyBorder="1" applyAlignment="1">
      <alignment horizontal="right"/>
    </xf>
    <xf numFmtId="169" fontId="158" fillId="0" borderId="33" xfId="1" applyNumberFormat="1" applyFont="1" applyBorder="1" applyAlignment="1">
      <alignment horizontal="left" vertical="center" wrapText="1"/>
    </xf>
    <xf numFmtId="169" fontId="158" fillId="0" borderId="33" xfId="1" applyNumberFormat="1" applyFont="1" applyBorder="1" applyAlignment="1">
      <alignment horizontal="right" vertical="center" wrapText="1"/>
    </xf>
    <xf numFmtId="0" fontId="159" fillId="0" borderId="0" xfId="52" applyNumberFormat="1" applyFont="1" applyAlignment="1">
      <alignment horizontal="left"/>
    </xf>
    <xf numFmtId="169" fontId="203" fillId="0" borderId="0" xfId="1" applyNumberFormat="1" applyFont="1" applyAlignment="1">
      <alignment horizontal="right"/>
    </xf>
    <xf numFmtId="169" fontId="174" fillId="0" borderId="0" xfId="1" applyNumberFormat="1" applyFont="1" applyAlignment="1">
      <alignment horizontal="right"/>
    </xf>
    <xf numFmtId="43" fontId="159" fillId="0" borderId="0" xfId="52" applyNumberFormat="1" applyFont="1" applyAlignment="1">
      <alignment horizontal="right"/>
    </xf>
    <xf numFmtId="0" fontId="158" fillId="0" borderId="11" xfId="52" applyNumberFormat="1" applyFont="1" applyBorder="1" applyAlignment="1">
      <alignment horizontal="left"/>
    </xf>
    <xf numFmtId="9" fontId="170" fillId="0" borderId="11" xfId="2" applyFont="1" applyBorder="1" applyAlignment="1">
      <alignment horizontal="right"/>
    </xf>
    <xf numFmtId="9" fontId="175" fillId="0" borderId="11" xfId="2" applyFont="1" applyBorder="1" applyAlignment="1">
      <alignment horizontal="right"/>
    </xf>
    <xf numFmtId="14" fontId="162" fillId="0" borderId="0" xfId="52" applyNumberFormat="1" applyFont="1" applyAlignment="1">
      <alignment horizontal="right"/>
    </xf>
    <xf numFmtId="0" fontId="162" fillId="0" borderId="0" xfId="52" applyFont="1" applyAlignment="1">
      <alignment horizontal="right"/>
    </xf>
    <xf numFmtId="14" fontId="162" fillId="0" borderId="0" xfId="52" applyNumberFormat="1" applyFont="1"/>
    <xf numFmtId="0" fontId="160" fillId="53" borderId="0" xfId="52" applyFont="1" applyFill="1" applyAlignment="1">
      <alignment vertical="center"/>
    </xf>
    <xf numFmtId="0" fontId="158" fillId="53" borderId="0" xfId="52" applyFont="1" applyFill="1" applyAlignment="1">
      <alignment vertical="center"/>
    </xf>
    <xf numFmtId="0" fontId="162" fillId="53" borderId="0" xfId="52" applyFont="1" applyFill="1" applyAlignment="1">
      <alignment vertical="center"/>
    </xf>
    <xf numFmtId="9" fontId="162" fillId="53" borderId="0" xfId="52" applyNumberFormat="1" applyFont="1" applyFill="1" applyAlignment="1">
      <alignment vertical="center"/>
    </xf>
    <xf numFmtId="0" fontId="160" fillId="53" borderId="0" xfId="52" applyFont="1" applyFill="1" applyAlignment="1">
      <alignment horizontal="right" vertical="center"/>
    </xf>
    <xf numFmtId="14" fontId="160" fillId="53" borderId="0" xfId="52" applyNumberFormat="1" applyFont="1" applyFill="1" applyAlignment="1">
      <alignment vertical="center"/>
    </xf>
    <xf numFmtId="0" fontId="176" fillId="10" borderId="0" xfId="52" applyFont="1" applyFill="1" applyAlignment="1">
      <alignment vertical="center"/>
    </xf>
    <xf numFmtId="169" fontId="176" fillId="10" borderId="0" xfId="52" applyNumberFormat="1" applyFont="1" applyFill="1" applyAlignment="1">
      <alignment horizontal="right" vertical="center"/>
    </xf>
    <xf numFmtId="169" fontId="176" fillId="10" borderId="0" xfId="1" applyNumberFormat="1" applyFont="1" applyFill="1" applyBorder="1" applyAlignment="1">
      <alignment horizontal="right" vertical="center"/>
    </xf>
    <xf numFmtId="0" fontId="158" fillId="0" borderId="0" xfId="52" applyFont="1" applyAlignment="1">
      <alignment horizontal="left" vertical="center"/>
    </xf>
    <xf numFmtId="9" fontId="176" fillId="0" borderId="0" xfId="2" applyFont="1" applyFill="1" applyBorder="1" applyAlignment="1">
      <alignment horizontal="right" vertical="center"/>
    </xf>
    <xf numFmtId="9" fontId="158" fillId="0" borderId="0" xfId="52" applyNumberFormat="1" applyFont="1" applyAlignment="1">
      <alignment horizontal="right" vertical="center"/>
    </xf>
    <xf numFmtId="9" fontId="158" fillId="0" borderId="0" xfId="2" applyFont="1" applyBorder="1" applyAlignment="1">
      <alignment horizontal="right" vertical="center"/>
    </xf>
    <xf numFmtId="0" fontId="158" fillId="0" borderId="0" xfId="52" applyFont="1" applyAlignment="1">
      <alignment vertical="center"/>
    </xf>
    <xf numFmtId="0" fontId="172" fillId="0" borderId="0" xfId="52" applyFont="1" applyAlignment="1">
      <alignment horizontal="left" vertical="center"/>
    </xf>
    <xf numFmtId="9" fontId="172" fillId="0" borderId="0" xfId="2" applyFont="1" applyFill="1" applyBorder="1" applyAlignment="1">
      <alignment horizontal="right" vertical="center"/>
    </xf>
    <xf numFmtId="171" fontId="172" fillId="0" borderId="0" xfId="2" applyNumberFormat="1" applyFont="1" applyBorder="1" applyAlignment="1">
      <alignment horizontal="right" vertical="center"/>
    </xf>
    <xf numFmtId="169" fontId="176" fillId="0" borderId="0" xfId="52" applyNumberFormat="1" applyFont="1" applyFill="1" applyAlignment="1">
      <alignment horizontal="right" vertical="center"/>
    </xf>
    <xf numFmtId="169" fontId="158" fillId="0" borderId="0" xfId="52" applyNumberFormat="1" applyFont="1" applyAlignment="1">
      <alignment horizontal="right" vertical="center"/>
    </xf>
    <xf numFmtId="169" fontId="158" fillId="0" borderId="0" xfId="1" applyNumberFormat="1" applyFont="1" applyBorder="1" applyAlignment="1">
      <alignment horizontal="right" vertical="center"/>
    </xf>
    <xf numFmtId="0" fontId="159" fillId="0" borderId="7" xfId="52" applyFont="1" applyBorder="1" applyAlignment="1">
      <alignment vertical="center"/>
    </xf>
    <xf numFmtId="0" fontId="158" fillId="0" borderId="7" xfId="52" applyFont="1" applyBorder="1" applyAlignment="1">
      <alignment vertical="center"/>
    </xf>
    <xf numFmtId="193" fontId="158" fillId="0" borderId="0" xfId="52" applyNumberFormat="1" applyFont="1" applyAlignment="1">
      <alignment horizontal="right" vertical="center"/>
    </xf>
    <xf numFmtId="0" fontId="158" fillId="0" borderId="0" xfId="52" applyFont="1" applyAlignment="1">
      <alignment horizontal="right" vertical="center"/>
    </xf>
    <xf numFmtId="169" fontId="160" fillId="53" borderId="0" xfId="1" applyNumberFormat="1" applyFont="1" applyFill="1" applyBorder="1" applyAlignment="1">
      <alignment horizontal="right" vertical="center"/>
    </xf>
    <xf numFmtId="0" fontId="158" fillId="0" borderId="11" xfId="52" applyFont="1" applyBorder="1" applyAlignment="1">
      <alignment vertical="center"/>
    </xf>
    <xf numFmtId="0" fontId="158" fillId="0" borderId="11" xfId="52" applyFont="1" applyBorder="1" applyAlignment="1">
      <alignment horizontal="right" vertical="center"/>
    </xf>
    <xf numFmtId="43" fontId="158" fillId="0" borderId="11" xfId="52" applyNumberFormat="1" applyFont="1" applyBorder="1" applyAlignment="1">
      <alignment horizontal="right" vertical="center"/>
    </xf>
    <xf numFmtId="43" fontId="158" fillId="0" borderId="0" xfId="52" applyNumberFormat="1" applyFont="1" applyAlignment="1">
      <alignment horizontal="right" vertical="center"/>
    </xf>
    <xf numFmtId="9" fontId="158" fillId="0" borderId="0" xfId="2" applyFont="1" applyAlignment="1">
      <alignment horizontal="right" vertical="center"/>
    </xf>
    <xf numFmtId="193" fontId="158" fillId="0" borderId="0" xfId="52" applyNumberFormat="1" applyFont="1"/>
    <xf numFmtId="0" fontId="163" fillId="53" borderId="0" xfId="0" applyFont="1" applyFill="1" applyAlignment="1">
      <alignment horizontal="justify" vertical="center" wrapText="1"/>
    </xf>
    <xf numFmtId="0" fontId="163" fillId="53" borderId="0" xfId="0" applyFont="1" applyFill="1" applyAlignment="1">
      <alignment horizontal="right" vertical="center" wrapText="1"/>
    </xf>
    <xf numFmtId="171" fontId="177" fillId="0" borderId="32" xfId="2" applyNumberFormat="1" applyFont="1" applyBorder="1" applyAlignment="1">
      <alignment horizontal="left" vertical="top"/>
    </xf>
    <xf numFmtId="171" fontId="158" fillId="0" borderId="33" xfId="2" applyNumberFormat="1" applyFont="1" applyBorder="1" applyAlignment="1">
      <alignment horizontal="left" vertical="top"/>
    </xf>
    <xf numFmtId="171" fontId="158" fillId="0" borderId="37" xfId="2" applyNumberFormat="1" applyFont="1" applyBorder="1" applyAlignment="1">
      <alignment horizontal="left" vertical="top"/>
    </xf>
    <xf numFmtId="49" fontId="158" fillId="0" borderId="37" xfId="52" quotePrefix="1" applyNumberFormat="1" applyFont="1" applyBorder="1" applyAlignment="1">
      <alignment horizontal="right" vertical="top" wrapText="1"/>
    </xf>
    <xf numFmtId="0" fontId="158" fillId="0" borderId="33" xfId="52" applyFont="1" applyBorder="1" applyAlignment="1">
      <alignment horizontal="right"/>
    </xf>
    <xf numFmtId="0" fontId="158" fillId="0" borderId="33" xfId="52" applyFont="1" applyBorder="1"/>
    <xf numFmtId="0" fontId="158" fillId="0" borderId="33" xfId="52" applyNumberFormat="1" applyFont="1" applyBorder="1" applyAlignment="1">
      <alignment horizontal="left" vertical="top"/>
    </xf>
    <xf numFmtId="49" fontId="158" fillId="0" borderId="33" xfId="52" quotePrefix="1" applyNumberFormat="1" applyFont="1" applyBorder="1" applyAlignment="1">
      <alignment horizontal="right" vertical="top" wrapText="1"/>
    </xf>
    <xf numFmtId="0" fontId="158" fillId="0" borderId="11" xfId="52" applyFont="1" applyBorder="1" applyAlignment="1">
      <alignment horizontal="right"/>
    </xf>
    <xf numFmtId="0" fontId="158" fillId="0" borderId="11" xfId="52" applyFont="1" applyBorder="1"/>
    <xf numFmtId="0" fontId="158" fillId="0" borderId="38" xfId="52" applyNumberFormat="1" applyFont="1" applyBorder="1" applyAlignment="1">
      <alignment horizontal="left" vertical="top"/>
    </xf>
    <xf numFmtId="0" fontId="158" fillId="0" borderId="38" xfId="52" quotePrefix="1" applyFont="1" applyBorder="1" applyAlignment="1">
      <alignment horizontal="left" vertical="top" wrapText="1"/>
    </xf>
    <xf numFmtId="0" fontId="158" fillId="0" borderId="38" xfId="52" quotePrefix="1" applyFont="1" applyBorder="1" applyAlignment="1">
      <alignment horizontal="right" vertical="top" wrapText="1"/>
    </xf>
    <xf numFmtId="0" fontId="158" fillId="0" borderId="7" xfId="52" applyFont="1" applyBorder="1" applyAlignment="1">
      <alignment horizontal="right"/>
    </xf>
    <xf numFmtId="0" fontId="158" fillId="0" borderId="7" xfId="52" applyFont="1" applyBorder="1"/>
    <xf numFmtId="0" fontId="187" fillId="0" borderId="0" xfId="4" applyNumberFormat="1" applyFont="1"/>
    <xf numFmtId="0" fontId="159" fillId="0" borderId="7" xfId="52" applyNumberFormat="1" applyFont="1" applyBorder="1" applyAlignment="1">
      <alignment vertical="top"/>
    </xf>
    <xf numFmtId="0" fontId="159" fillId="0" borderId="7" xfId="52" applyFont="1" applyBorder="1" applyAlignment="1">
      <alignment vertical="top"/>
    </xf>
    <xf numFmtId="0" fontId="159" fillId="0" borderId="7" xfId="52" applyFont="1" applyBorder="1" applyAlignment="1">
      <alignment horizontal="right" vertical="top"/>
    </xf>
    <xf numFmtId="0" fontId="158" fillId="0" borderId="7" xfId="52" applyFont="1" applyBorder="1" applyAlignment="1">
      <alignment horizontal="right" vertical="top"/>
    </xf>
    <xf numFmtId="0" fontId="158" fillId="0" borderId="7" xfId="52" applyFont="1" applyBorder="1" applyAlignment="1">
      <alignment vertical="top"/>
    </xf>
    <xf numFmtId="0" fontId="159" fillId="0" borderId="0" xfId="52" applyNumberFormat="1" applyFont="1" applyAlignment="1">
      <alignment horizontal="left" vertical="top"/>
    </xf>
    <xf numFmtId="0" fontId="158" fillId="0" borderId="0" xfId="52" applyFont="1" applyAlignment="1">
      <alignment vertical="top"/>
    </xf>
    <xf numFmtId="49" fontId="158" fillId="0" borderId="0" xfId="52" quotePrefix="1" applyNumberFormat="1" applyFont="1" applyAlignment="1">
      <alignment horizontal="right" vertical="top" wrapText="1"/>
    </xf>
    <xf numFmtId="0" fontId="158" fillId="0" borderId="0" xfId="52" applyFont="1" applyAlignment="1">
      <alignment horizontal="right" vertical="top"/>
    </xf>
    <xf numFmtId="49" fontId="158" fillId="0" borderId="0" xfId="52" quotePrefix="1" applyNumberFormat="1" applyFont="1" applyAlignment="1">
      <alignment horizontal="right" vertical="top"/>
    </xf>
    <xf numFmtId="0" fontId="159" fillId="0" borderId="11" xfId="52" applyNumberFormat="1" applyFont="1" applyBorder="1" applyAlignment="1">
      <alignment horizontal="left" vertical="top"/>
    </xf>
    <xf numFmtId="0" fontId="158" fillId="0" borderId="11" xfId="52" applyFont="1" applyBorder="1" applyAlignment="1">
      <alignment vertical="top"/>
    </xf>
    <xf numFmtId="49" fontId="158" fillId="0" borderId="11" xfId="52" applyNumberFormat="1" applyFont="1" applyBorder="1" applyAlignment="1">
      <alignment horizontal="right" vertical="top"/>
    </xf>
    <xf numFmtId="0" fontId="158" fillId="0" borderId="11" xfId="52" applyFont="1" applyBorder="1" applyAlignment="1">
      <alignment horizontal="right" vertical="top"/>
    </xf>
    <xf numFmtId="0" fontId="160" fillId="53" borderId="0" xfId="52" applyNumberFormat="1" applyFont="1" applyFill="1" applyAlignment="1">
      <alignment vertical="center"/>
    </xf>
    <xf numFmtId="0" fontId="158" fillId="0" borderId="0" xfId="52" applyNumberFormat="1" applyFont="1" applyAlignment="1">
      <alignment vertical="center"/>
    </xf>
    <xf numFmtId="171" fontId="172" fillId="0" borderId="0" xfId="2" applyNumberFormat="1" applyFont="1"/>
    <xf numFmtId="0" fontId="172" fillId="0" borderId="0" xfId="52" applyNumberFormat="1" applyFont="1" applyAlignment="1">
      <alignment horizontal="left" vertical="center"/>
    </xf>
    <xf numFmtId="171" fontId="172" fillId="0" borderId="0" xfId="2" applyNumberFormat="1" applyFont="1" applyAlignment="1">
      <alignment vertical="center"/>
    </xf>
    <xf numFmtId="9" fontId="172" fillId="0" borderId="0" xfId="52" applyNumberFormat="1" applyFont="1" applyAlignment="1">
      <alignment vertical="center"/>
    </xf>
    <xf numFmtId="171" fontId="172" fillId="0" borderId="0" xfId="2" applyNumberFormat="1" applyFont="1" applyAlignment="1">
      <alignment horizontal="right" vertical="center"/>
    </xf>
    <xf numFmtId="43" fontId="172" fillId="0" borderId="0" xfId="1" applyFont="1"/>
    <xf numFmtId="0" fontId="158" fillId="0" borderId="0" xfId="52" applyNumberFormat="1" applyFont="1" applyAlignment="1">
      <alignment horizontal="left" vertical="center"/>
    </xf>
    <xf numFmtId="169" fontId="158" fillId="0" borderId="0" xfId="1" applyNumberFormat="1" applyFont="1" applyAlignment="1">
      <alignment horizontal="right" vertical="center"/>
    </xf>
    <xf numFmtId="169" fontId="158" fillId="0" borderId="0" xfId="1" applyNumberFormat="1" applyFont="1" applyAlignment="1">
      <alignment horizontal="left" vertical="center"/>
    </xf>
    <xf numFmtId="0" fontId="159" fillId="0" borderId="0" xfId="52" applyNumberFormat="1" applyFont="1" applyAlignment="1">
      <alignment vertical="center"/>
    </xf>
    <xf numFmtId="169" fontId="159" fillId="0" borderId="0" xfId="1" applyNumberFormat="1" applyFont="1" applyAlignment="1">
      <alignment horizontal="right" vertical="center"/>
    </xf>
    <xf numFmtId="9" fontId="172" fillId="0" borderId="0" xfId="2" applyFont="1" applyAlignment="1">
      <alignment vertical="center"/>
    </xf>
    <xf numFmtId="9" fontId="172" fillId="0" borderId="0" xfId="2" applyFont="1" applyAlignment="1">
      <alignment horizontal="right" vertical="center"/>
    </xf>
    <xf numFmtId="0" fontId="158" fillId="0" borderId="2" xfId="52" applyNumberFormat="1" applyFont="1" applyBorder="1" applyAlignment="1">
      <alignment vertical="center"/>
    </xf>
    <xf numFmtId="169" fontId="158" fillId="0" borderId="2" xfId="1" applyNumberFormat="1" applyFont="1" applyBorder="1" applyAlignment="1">
      <alignment horizontal="right" vertical="center"/>
    </xf>
    <xf numFmtId="169" fontId="159" fillId="0" borderId="0" xfId="52" applyNumberFormat="1" applyFont="1" applyAlignment="1">
      <alignment horizontal="right" vertical="center"/>
    </xf>
    <xf numFmtId="0" fontId="159" fillId="0" borderId="2" xfId="52" applyNumberFormat="1" applyFont="1" applyBorder="1" applyAlignment="1">
      <alignment vertical="center"/>
    </xf>
    <xf numFmtId="169" fontId="203" fillId="0" borderId="2" xfId="1" applyNumberFormat="1" applyFont="1" applyBorder="1" applyAlignment="1">
      <alignment horizontal="right" vertical="center"/>
    </xf>
    <xf numFmtId="169" fontId="212" fillId="0" borderId="2" xfId="1" applyNumberFormat="1" applyFont="1" applyBorder="1" applyAlignment="1">
      <alignment horizontal="right" vertical="center"/>
    </xf>
    <xf numFmtId="169" fontId="174" fillId="0" borderId="2" xfId="1" applyNumberFormat="1" applyFont="1" applyBorder="1" applyAlignment="1">
      <alignment horizontal="right" vertical="center"/>
    </xf>
    <xf numFmtId="43" fontId="159" fillId="0" borderId="0" xfId="52" applyNumberFormat="1" applyFont="1"/>
    <xf numFmtId="0" fontId="173" fillId="0" borderId="0" xfId="52" applyNumberFormat="1" applyFont="1" applyAlignment="1">
      <alignment vertical="center"/>
    </xf>
    <xf numFmtId="9" fontId="203" fillId="0" borderId="0" xfId="2" applyFont="1" applyBorder="1" applyAlignment="1">
      <alignment horizontal="right" vertical="center"/>
    </xf>
    <xf numFmtId="9" fontId="212" fillId="0" borderId="0" xfId="2" applyFont="1" applyBorder="1" applyAlignment="1">
      <alignment horizontal="right" vertical="center"/>
    </xf>
    <xf numFmtId="9" fontId="174" fillId="0" borderId="0" xfId="2" applyFont="1" applyBorder="1" applyAlignment="1">
      <alignment horizontal="right" vertical="center"/>
    </xf>
    <xf numFmtId="0" fontId="173" fillId="0" borderId="0" xfId="52" applyFont="1"/>
    <xf numFmtId="0" fontId="158" fillId="0" borderId="11" xfId="52" applyNumberFormat="1" applyFont="1" applyBorder="1" applyAlignment="1">
      <alignment vertical="center"/>
    </xf>
    <xf numFmtId="169" fontId="158" fillId="0" borderId="11" xfId="1" applyNumberFormat="1" applyFont="1" applyBorder="1" applyAlignment="1">
      <alignment horizontal="right" vertical="center"/>
    </xf>
    <xf numFmtId="169" fontId="158" fillId="0" borderId="11" xfId="52" applyNumberFormat="1" applyFont="1" applyBorder="1" applyAlignment="1">
      <alignment horizontal="right" vertical="center"/>
    </xf>
    <xf numFmtId="0" fontId="158" fillId="0" borderId="2" xfId="52" applyNumberFormat="1" applyFont="1" applyBorder="1"/>
    <xf numFmtId="0" fontId="160" fillId="53" borderId="2" xfId="52" applyFont="1" applyFill="1" applyBorder="1" applyAlignment="1">
      <alignment vertical="center"/>
    </xf>
    <xf numFmtId="0" fontId="160" fillId="53" borderId="2" xfId="52" applyFont="1" applyFill="1" applyBorder="1" applyAlignment="1">
      <alignment horizontal="right" vertical="center"/>
    </xf>
    <xf numFmtId="0" fontId="160" fillId="53" borderId="11" xfId="52" applyFont="1" applyFill="1" applyBorder="1" applyAlignment="1">
      <alignment vertical="center"/>
    </xf>
    <xf numFmtId="0" fontId="160" fillId="53" borderId="11" xfId="52" applyFont="1" applyFill="1" applyBorder="1" applyAlignment="1">
      <alignment horizontal="right" vertical="center"/>
    </xf>
    <xf numFmtId="0" fontId="161" fillId="48" borderId="2" xfId="0" applyFont="1" applyFill="1" applyBorder="1" applyAlignment="1">
      <alignment horizontal="left" vertical="center"/>
    </xf>
    <xf numFmtId="193" fontId="158" fillId="0" borderId="2" xfId="1" applyNumberFormat="1" applyFont="1" applyBorder="1" applyAlignment="1">
      <alignment horizontal="right" vertical="center"/>
    </xf>
    <xf numFmtId="0" fontId="164" fillId="48" borderId="0" xfId="0" applyFont="1" applyFill="1" applyAlignment="1">
      <alignment vertical="center"/>
    </xf>
    <xf numFmtId="9" fontId="169" fillId="48" borderId="0" xfId="2" applyFont="1" applyFill="1" applyBorder="1" applyAlignment="1">
      <alignment horizontal="left" vertical="center"/>
    </xf>
    <xf numFmtId="0" fontId="172" fillId="60" borderId="11" xfId="0" applyFont="1" applyFill="1" applyBorder="1" applyAlignment="1">
      <alignment horizontal="left" vertical="center"/>
    </xf>
    <xf numFmtId="171" fontId="158" fillId="0" borderId="11" xfId="2" applyNumberFormat="1" applyFont="1" applyBorder="1" applyAlignment="1">
      <alignment horizontal="right" vertical="center"/>
    </xf>
    <xf numFmtId="9" fontId="158" fillId="0" borderId="11" xfId="52" applyNumberFormat="1" applyFont="1" applyBorder="1" applyAlignment="1">
      <alignment horizontal="right" vertical="center"/>
    </xf>
    <xf numFmtId="9" fontId="158" fillId="0" borderId="11" xfId="2" applyFont="1" applyBorder="1" applyAlignment="1">
      <alignment horizontal="right" vertical="center"/>
    </xf>
    <xf numFmtId="0" fontId="177" fillId="61" borderId="2" xfId="0" applyFont="1" applyFill="1" applyBorder="1" applyAlignment="1">
      <alignment horizontal="left" vertical="center"/>
    </xf>
    <xf numFmtId="0" fontId="177" fillId="61" borderId="2" xfId="0" applyFont="1" applyFill="1" applyBorder="1" applyAlignment="1">
      <alignment horizontal="right" vertical="center"/>
    </xf>
    <xf numFmtId="0" fontId="161" fillId="48" borderId="0" xfId="0" applyFont="1" applyFill="1" applyAlignment="1">
      <alignment horizontal="left" vertical="center"/>
    </xf>
    <xf numFmtId="43" fontId="158" fillId="0" borderId="4" xfId="52" applyNumberFormat="1" applyFont="1" applyBorder="1" applyAlignment="1">
      <alignment horizontal="right" vertical="center"/>
    </xf>
    <xf numFmtId="0" fontId="169" fillId="48" borderId="0" xfId="0" applyFont="1" applyFill="1" applyAlignment="1">
      <alignment horizontal="left" vertical="center"/>
    </xf>
    <xf numFmtId="9" fontId="169" fillId="0" borderId="0" xfId="2" applyFont="1" applyAlignment="1">
      <alignment horizontal="right" vertical="center"/>
    </xf>
    <xf numFmtId="9" fontId="169" fillId="0" borderId="0" xfId="52" applyNumberFormat="1" applyFont="1" applyAlignment="1">
      <alignment horizontal="right" vertical="center"/>
    </xf>
    <xf numFmtId="9" fontId="169" fillId="0" borderId="4" xfId="52" applyNumberFormat="1" applyFont="1" applyBorder="1" applyAlignment="1">
      <alignment horizontal="right" vertical="center"/>
    </xf>
    <xf numFmtId="169" fontId="158" fillId="0" borderId="4" xfId="1" applyNumberFormat="1" applyFont="1" applyBorder="1" applyAlignment="1">
      <alignment horizontal="right" vertical="center"/>
    </xf>
    <xf numFmtId="0" fontId="169" fillId="0" borderId="0" xfId="52" applyFont="1" applyAlignment="1">
      <alignment horizontal="right" vertical="center"/>
    </xf>
    <xf numFmtId="169" fontId="169" fillId="0" borderId="0" xfId="52" applyNumberFormat="1" applyFont="1" applyAlignment="1">
      <alignment horizontal="right" vertical="center"/>
    </xf>
    <xf numFmtId="169" fontId="169" fillId="0" borderId="4" xfId="52" applyNumberFormat="1" applyFont="1" applyBorder="1" applyAlignment="1">
      <alignment horizontal="right" vertical="center"/>
    </xf>
    <xf numFmtId="0" fontId="172" fillId="61" borderId="0" xfId="0" applyFont="1" applyFill="1" applyAlignment="1">
      <alignment horizontal="left" vertical="center"/>
    </xf>
    <xf numFmtId="9" fontId="172" fillId="61" borderId="0" xfId="2" applyFont="1" applyFill="1" applyAlignment="1">
      <alignment horizontal="right" vertical="center"/>
    </xf>
    <xf numFmtId="9" fontId="172" fillId="61" borderId="0" xfId="52" applyNumberFormat="1" applyFont="1" applyFill="1" applyAlignment="1">
      <alignment horizontal="right" vertical="center"/>
    </xf>
    <xf numFmtId="171" fontId="172" fillId="61" borderId="0" xfId="2" applyNumberFormat="1" applyFont="1" applyFill="1" applyAlignment="1">
      <alignment horizontal="right" vertical="center"/>
    </xf>
    <xf numFmtId="10" fontId="172" fillId="61" borderId="0" xfId="52" applyNumberFormat="1" applyFont="1" applyFill="1" applyAlignment="1">
      <alignment horizontal="right" vertical="center"/>
    </xf>
    <xf numFmtId="171" fontId="172" fillId="61" borderId="4" xfId="52" applyNumberFormat="1" applyFont="1" applyFill="1" applyBorder="1" applyAlignment="1">
      <alignment horizontal="right" vertical="center"/>
    </xf>
    <xf numFmtId="0" fontId="159" fillId="10" borderId="0" xfId="52" applyNumberFormat="1" applyFont="1" applyFill="1"/>
    <xf numFmtId="169" fontId="160" fillId="53" borderId="0" xfId="1" applyNumberFormat="1" applyFont="1" applyFill="1" applyAlignment="1">
      <alignment horizontal="right" vertical="center"/>
    </xf>
    <xf numFmtId="169" fontId="160" fillId="53" borderId="0" xfId="1" applyNumberFormat="1" applyFont="1" applyFill="1" applyBorder="1" applyAlignment="1">
      <alignment vertical="center"/>
    </xf>
    <xf numFmtId="169" fontId="160" fillId="53" borderId="0" xfId="1" applyNumberFormat="1" applyFont="1" applyFill="1" applyAlignment="1">
      <alignment vertical="center"/>
    </xf>
    <xf numFmtId="193" fontId="159" fillId="0" borderId="0" xfId="1" applyNumberFormat="1" applyFont="1"/>
    <xf numFmtId="169" fontId="158" fillId="0" borderId="4" xfId="1" applyNumberFormat="1" applyFont="1" applyBorder="1" applyAlignment="1">
      <alignment vertical="center"/>
    </xf>
    <xf numFmtId="169" fontId="158" fillId="0" borderId="0" xfId="1" applyNumberFormat="1" applyFont="1" applyAlignment="1">
      <alignment vertical="center"/>
    </xf>
    <xf numFmtId="169" fontId="158" fillId="0" borderId="1" xfId="1" applyNumberFormat="1" applyFont="1" applyBorder="1" applyAlignment="1">
      <alignment vertical="center"/>
    </xf>
    <xf numFmtId="169" fontId="158" fillId="0" borderId="2" xfId="1" applyNumberFormat="1" applyFont="1" applyBorder="1" applyAlignment="1">
      <alignment vertical="center"/>
    </xf>
    <xf numFmtId="0" fontId="159" fillId="61" borderId="11" xfId="52" applyNumberFormat="1" applyFont="1" applyFill="1" applyBorder="1" applyAlignment="1">
      <alignment vertical="center"/>
    </xf>
    <xf numFmtId="169" fontId="159" fillId="61" borderId="11" xfId="1" applyNumberFormat="1" applyFont="1" applyFill="1" applyBorder="1" applyAlignment="1">
      <alignment horizontal="right" vertical="center"/>
    </xf>
    <xf numFmtId="169" fontId="159" fillId="61" borderId="13" xfId="1" applyNumberFormat="1" applyFont="1" applyFill="1" applyBorder="1" applyAlignment="1">
      <alignment vertical="center"/>
    </xf>
    <xf numFmtId="169" fontId="159" fillId="61" borderId="11" xfId="1" applyNumberFormat="1" applyFont="1" applyFill="1" applyBorder="1" applyAlignment="1">
      <alignment vertical="center"/>
    </xf>
    <xf numFmtId="0" fontId="162" fillId="53" borderId="0" xfId="52" applyNumberFormat="1" applyFont="1" applyFill="1" applyAlignment="1">
      <alignment vertical="center"/>
    </xf>
    <xf numFmtId="169" fontId="162" fillId="53" borderId="0" xfId="1" applyNumberFormat="1" applyFont="1" applyFill="1" applyAlignment="1">
      <alignment horizontal="right" vertical="center"/>
    </xf>
    <xf numFmtId="169" fontId="162" fillId="53" borderId="0" xfId="1" applyNumberFormat="1" applyFont="1" applyFill="1" applyBorder="1" applyAlignment="1">
      <alignment horizontal="right" vertical="center"/>
    </xf>
    <xf numFmtId="169" fontId="162" fillId="53" borderId="0" xfId="1" applyNumberFormat="1" applyFont="1" applyFill="1" applyBorder="1" applyAlignment="1">
      <alignment vertical="center"/>
    </xf>
    <xf numFmtId="169" fontId="162" fillId="53" borderId="0" xfId="1" applyNumberFormat="1" applyFont="1" applyFill="1" applyAlignment="1">
      <alignment vertical="center"/>
    </xf>
    <xf numFmtId="169" fontId="158" fillId="0" borderId="13" xfId="1" applyNumberFormat="1" applyFont="1" applyBorder="1" applyAlignment="1">
      <alignment vertical="center"/>
    </xf>
    <xf numFmtId="169" fontId="158" fillId="0" borderId="11" xfId="1" applyNumberFormat="1" applyFont="1" applyBorder="1" applyAlignment="1">
      <alignment vertical="center"/>
    </xf>
    <xf numFmtId="169" fontId="158" fillId="0" borderId="0" xfId="1" applyNumberFormat="1" applyFont="1" applyBorder="1" applyAlignment="1">
      <alignment vertical="center"/>
    </xf>
    <xf numFmtId="169" fontId="159" fillId="0" borderId="2" xfId="1" applyNumberFormat="1" applyFont="1" applyBorder="1" applyAlignment="1">
      <alignment horizontal="right" vertical="center"/>
    </xf>
    <xf numFmtId="169" fontId="159" fillId="0" borderId="4" xfId="1" applyNumberFormat="1" applyFont="1" applyBorder="1" applyAlignment="1">
      <alignment vertical="center"/>
    </xf>
    <xf numFmtId="169" fontId="159" fillId="0" borderId="0" xfId="1" applyNumberFormat="1" applyFont="1" applyBorder="1" applyAlignment="1">
      <alignment vertical="center"/>
    </xf>
    <xf numFmtId="169" fontId="159" fillId="0" borderId="2" xfId="1" applyNumberFormat="1" applyFont="1" applyBorder="1" applyAlignment="1">
      <alignment vertical="center"/>
    </xf>
    <xf numFmtId="0" fontId="159" fillId="61" borderId="0" xfId="52" applyNumberFormat="1" applyFont="1" applyFill="1" applyAlignment="1">
      <alignment vertical="center"/>
    </xf>
    <xf numFmtId="169" fontId="159" fillId="61" borderId="0" xfId="1" applyNumberFormat="1" applyFont="1" applyFill="1" applyAlignment="1">
      <alignment horizontal="right" vertical="center"/>
    </xf>
    <xf numFmtId="169" fontId="159" fillId="61" borderId="4" xfId="1" applyNumberFormat="1" applyFont="1" applyFill="1" applyBorder="1" applyAlignment="1">
      <alignment vertical="center"/>
    </xf>
    <xf numFmtId="169" fontId="159" fillId="61" borderId="0" xfId="1" applyNumberFormat="1" applyFont="1" applyFill="1" applyAlignment="1">
      <alignment vertical="center"/>
    </xf>
    <xf numFmtId="9" fontId="213" fillId="62" borderId="0" xfId="2" applyFont="1" applyFill="1" applyAlignment="1">
      <alignment horizontal="right" vertical="center"/>
    </xf>
    <xf numFmtId="9" fontId="213" fillId="62" borderId="4" xfId="2" applyFont="1" applyFill="1" applyBorder="1" applyAlignment="1">
      <alignment vertical="center"/>
    </xf>
    <xf numFmtId="9" fontId="158" fillId="0" borderId="0" xfId="2" applyFont="1" applyAlignment="1">
      <alignment vertical="center"/>
    </xf>
    <xf numFmtId="0" fontId="159" fillId="0" borderId="0" xfId="52" applyFont="1" applyAlignment="1">
      <alignment vertical="center"/>
    </xf>
    <xf numFmtId="0" fontId="159" fillId="0" borderId="0" xfId="52" applyFont="1" applyAlignment="1">
      <alignment horizontal="right" vertical="center"/>
    </xf>
    <xf numFmtId="0" fontId="159" fillId="61" borderId="0" xfId="52" applyFont="1" applyFill="1" applyAlignment="1">
      <alignment vertical="center"/>
    </xf>
    <xf numFmtId="0" fontId="159" fillId="61" borderId="0" xfId="52" applyFont="1" applyFill="1" applyAlignment="1">
      <alignment horizontal="right" vertical="center"/>
    </xf>
    <xf numFmtId="0" fontId="176" fillId="0" borderId="0" xfId="52" applyFont="1" applyFill="1" applyAlignment="1">
      <alignment vertical="center"/>
    </xf>
    <xf numFmtId="169" fontId="176" fillId="0" borderId="0" xfId="1" applyNumberFormat="1" applyFont="1" applyFill="1" applyAlignment="1">
      <alignment horizontal="right" vertical="center"/>
    </xf>
    <xf numFmtId="169" fontId="176" fillId="0" borderId="0" xfId="1" applyNumberFormat="1" applyFont="1" applyFill="1" applyBorder="1" applyAlignment="1">
      <alignment horizontal="right" vertical="center"/>
    </xf>
    <xf numFmtId="49" fontId="160" fillId="64" borderId="0" xfId="0" applyNumberFormat="1" applyFont="1" applyFill="1" applyAlignment="1">
      <alignment horizontal="right" vertical="center"/>
    </xf>
    <xf numFmtId="49" fontId="160" fillId="64" borderId="0" xfId="0" applyNumberFormat="1" applyFont="1" applyFill="1" applyAlignment="1">
      <alignment horizontal="left" vertical="center"/>
    </xf>
    <xf numFmtId="200" fontId="4" fillId="50" borderId="0" xfId="0" applyNumberFormat="1" applyFont="1" applyFill="1"/>
    <xf numFmtId="0" fontId="160" fillId="64" borderId="2" xfId="0" applyFont="1" applyFill="1" applyBorder="1" applyAlignment="1">
      <alignment vertical="center"/>
    </xf>
    <xf numFmtId="0" fontId="164" fillId="0" borderId="2" xfId="0" applyFont="1" applyBorder="1" applyAlignment="1">
      <alignment vertical="center"/>
    </xf>
    <xf numFmtId="0" fontId="176" fillId="0" borderId="2" xfId="0" applyFont="1" applyBorder="1" applyAlignment="1">
      <alignment horizontal="left" vertical="center" indent="1"/>
    </xf>
    <xf numFmtId="193" fontId="176" fillId="0" borderId="2" xfId="1" applyNumberFormat="1" applyFont="1" applyFill="1" applyBorder="1" applyAlignment="1">
      <alignment horizontal="right" vertical="center"/>
    </xf>
    <xf numFmtId="193" fontId="176" fillId="0" borderId="0" xfId="1" applyNumberFormat="1" applyFont="1" applyFill="1" applyBorder="1" applyAlignment="1">
      <alignment horizontal="right" vertical="top"/>
    </xf>
    <xf numFmtId="171" fontId="172" fillId="10" borderId="0" xfId="0" applyNumberFormat="1" applyFont="1" applyFill="1" applyAlignment="1">
      <alignment horizontal="right" vertical="center"/>
    </xf>
    <xf numFmtId="0" fontId="164" fillId="0" borderId="0" xfId="0" applyFont="1" applyAlignment="1">
      <alignment vertical="center"/>
    </xf>
    <xf numFmtId="0" fontId="176" fillId="4" borderId="0" xfId="0" applyFont="1" applyFill="1" applyAlignment="1">
      <alignment horizontal="left" vertical="center" indent="1"/>
    </xf>
    <xf numFmtId="9" fontId="176" fillId="4" borderId="0" xfId="2" applyFont="1" applyFill="1" applyBorder="1" applyAlignment="1">
      <alignment horizontal="right" vertical="center"/>
    </xf>
    <xf numFmtId="9" fontId="176" fillId="4" borderId="0" xfId="0" applyNumberFormat="1" applyFont="1" applyFill="1" applyAlignment="1">
      <alignment horizontal="right" vertical="center"/>
    </xf>
    <xf numFmtId="0" fontId="176" fillId="0" borderId="0" xfId="0" applyFont="1" applyAlignment="1">
      <alignment horizontal="left" indent="1"/>
    </xf>
    <xf numFmtId="3" fontId="176" fillId="0" borderId="0" xfId="0" applyNumberFormat="1" applyFont="1" applyAlignment="1">
      <alignment horizontal="right"/>
    </xf>
    <xf numFmtId="169" fontId="176" fillId="0" borderId="0" xfId="1" applyNumberFormat="1" applyFont="1" applyAlignment="1">
      <alignment horizontal="right"/>
    </xf>
    <xf numFmtId="9" fontId="176" fillId="0" borderId="0" xfId="2" applyFont="1"/>
    <xf numFmtId="9" fontId="176" fillId="0" borderId="0" xfId="2" applyFont="1" applyAlignment="1">
      <alignment horizontal="right"/>
    </xf>
    <xf numFmtId="0" fontId="164" fillId="10" borderId="11" xfId="0" applyFont="1" applyFill="1" applyBorder="1" applyAlignment="1">
      <alignment vertical="center"/>
    </xf>
    <xf numFmtId="0" fontId="176" fillId="4" borderId="11" xfId="0" applyFont="1" applyFill="1" applyBorder="1" applyAlignment="1">
      <alignment horizontal="left" vertical="center" indent="1"/>
    </xf>
    <xf numFmtId="9" fontId="176" fillId="4" borderId="11" xfId="2" applyFont="1" applyFill="1" applyBorder="1" applyAlignment="1">
      <alignment horizontal="right" vertical="center"/>
    </xf>
    <xf numFmtId="171" fontId="176" fillId="4" borderId="11" xfId="2" applyNumberFormat="1" applyFont="1" applyFill="1" applyBorder="1" applyAlignment="1">
      <alignment horizontal="right" vertical="center"/>
    </xf>
    <xf numFmtId="9" fontId="176" fillId="4" borderId="11" xfId="0" applyNumberFormat="1" applyFont="1" applyFill="1" applyBorder="1" applyAlignment="1">
      <alignment horizontal="right" vertical="center"/>
    </xf>
    <xf numFmtId="171" fontId="172" fillId="10" borderId="11" xfId="0" applyNumberFormat="1" applyFont="1" applyFill="1" applyBorder="1" applyAlignment="1">
      <alignment horizontal="right" vertical="center"/>
    </xf>
    <xf numFmtId="0" fontId="164" fillId="10" borderId="0" xfId="0" applyFont="1" applyFill="1" applyAlignment="1">
      <alignment horizontal="left" vertical="center"/>
    </xf>
    <xf numFmtId="0" fontId="176" fillId="10" borderId="0" xfId="0" applyFont="1" applyFill="1" applyAlignment="1">
      <alignment horizontal="left" vertical="center" indent="1"/>
    </xf>
    <xf numFmtId="43" fontId="176" fillId="10" borderId="0" xfId="1" applyFont="1" applyFill="1" applyBorder="1" applyAlignment="1">
      <alignment horizontal="right" vertical="center"/>
    </xf>
    <xf numFmtId="193" fontId="176" fillId="10" borderId="0" xfId="0" applyNumberFormat="1" applyFont="1" applyFill="1" applyAlignment="1">
      <alignment horizontal="right"/>
    </xf>
    <xf numFmtId="193" fontId="176" fillId="10" borderId="0" xfId="1" applyNumberFormat="1" applyFont="1" applyFill="1" applyBorder="1" applyAlignment="1">
      <alignment horizontal="right" vertical="center"/>
    </xf>
    <xf numFmtId="3" fontId="176" fillId="10" borderId="0" xfId="0" applyNumberFormat="1" applyFont="1" applyFill="1" applyAlignment="1">
      <alignment horizontal="right"/>
    </xf>
    <xf numFmtId="9" fontId="172" fillId="10" borderId="0" xfId="0" applyNumberFormat="1" applyFont="1" applyFill="1" applyAlignment="1">
      <alignment horizontal="right" vertical="center"/>
    </xf>
    <xf numFmtId="9" fontId="176" fillId="10" borderId="0" xfId="0" applyNumberFormat="1" applyFont="1" applyFill="1" applyAlignment="1">
      <alignment horizontal="right" vertical="center"/>
    </xf>
    <xf numFmtId="0" fontId="164" fillId="10" borderId="11" xfId="0" applyFont="1" applyFill="1" applyBorder="1" applyAlignment="1">
      <alignment horizontal="left" vertical="center"/>
    </xf>
    <xf numFmtId="10" fontId="176" fillId="4" borderId="11" xfId="0" applyNumberFormat="1" applyFont="1" applyFill="1" applyBorder="1" applyAlignment="1">
      <alignment horizontal="right" vertical="center"/>
    </xf>
    <xf numFmtId="171" fontId="176" fillId="4" borderId="11" xfId="0" applyNumberFormat="1" applyFont="1" applyFill="1" applyBorder="1" applyAlignment="1">
      <alignment horizontal="right" vertical="center"/>
    </xf>
    <xf numFmtId="43" fontId="161" fillId="48" borderId="0" xfId="1" applyFont="1" applyFill="1" applyBorder="1" applyAlignment="1">
      <alignment vertical="top" wrapText="1"/>
    </xf>
    <xf numFmtId="3" fontId="161" fillId="0" borderId="0" xfId="0" applyNumberFormat="1" applyFont="1" applyAlignment="1">
      <alignment horizontal="left" vertical="center"/>
    </xf>
    <xf numFmtId="10" fontId="172" fillId="0" borderId="0" xfId="0" applyNumberFormat="1" applyFont="1" applyAlignment="1">
      <alignment horizontal="left" vertical="center"/>
    </xf>
    <xf numFmtId="43" fontId="161" fillId="48" borderId="11" xfId="1" applyFont="1" applyFill="1" applyBorder="1" applyAlignment="1">
      <alignment vertical="top" wrapText="1"/>
    </xf>
    <xf numFmtId="9" fontId="172" fillId="0" borderId="0" xfId="0" applyNumberFormat="1" applyFont="1" applyAlignment="1">
      <alignment horizontal="left" vertical="center"/>
    </xf>
    <xf numFmtId="0" fontId="163" fillId="53" borderId="0" xfId="0" applyFont="1" applyFill="1" applyAlignment="1">
      <alignment horizontal="left" vertical="center"/>
    </xf>
    <xf numFmtId="3" fontId="161" fillId="56" borderId="0" xfId="0" applyNumberFormat="1" applyFont="1" applyFill="1" applyAlignment="1">
      <alignment horizontal="left" vertical="center"/>
    </xf>
    <xf numFmtId="0" fontId="160" fillId="64" borderId="11" xfId="14" applyFont="1" applyFill="1" applyBorder="1" applyAlignment="1">
      <alignment vertical="center"/>
    </xf>
    <xf numFmtId="0" fontId="160" fillId="64" borderId="11" xfId="14" applyFont="1" applyFill="1" applyBorder="1" applyAlignment="1">
      <alignment horizontal="right" vertical="center"/>
    </xf>
    <xf numFmtId="0" fontId="160" fillId="64" borderId="11" xfId="14" applyFont="1" applyFill="1" applyBorder="1" applyAlignment="1">
      <alignment horizontal="right" vertical="center" wrapText="1"/>
    </xf>
    <xf numFmtId="0" fontId="160" fillId="64" borderId="11" xfId="14" applyFont="1" applyFill="1" applyBorder="1" applyAlignment="1">
      <alignment horizontal="center"/>
    </xf>
    <xf numFmtId="10" fontId="172" fillId="56" borderId="0" xfId="0" applyNumberFormat="1" applyFont="1" applyFill="1" applyAlignment="1">
      <alignment horizontal="left" vertical="center"/>
    </xf>
    <xf numFmtId="171" fontId="172" fillId="10" borderId="0" xfId="2" applyNumberFormat="1" applyFont="1" applyFill="1" applyBorder="1" applyAlignment="1">
      <alignment horizontal="right" vertical="center"/>
    </xf>
    <xf numFmtId="9" fontId="172" fillId="56" borderId="0" xfId="0" applyNumberFormat="1" applyFont="1" applyFill="1" applyAlignment="1">
      <alignment horizontal="left" vertical="center"/>
    </xf>
    <xf numFmtId="3" fontId="207" fillId="0" borderId="0" xfId="0" applyNumberFormat="1" applyFont="1" applyAlignment="1">
      <alignment horizontal="left" vertical="center"/>
    </xf>
    <xf numFmtId="3" fontId="207" fillId="56" borderId="0" xfId="0" applyNumberFormat="1" applyFont="1" applyFill="1" applyAlignment="1">
      <alignment horizontal="left" vertical="center"/>
    </xf>
    <xf numFmtId="3" fontId="161" fillId="56" borderId="35" xfId="0" applyNumberFormat="1" applyFont="1" applyFill="1" applyBorder="1" applyAlignment="1">
      <alignment horizontal="left" vertical="center"/>
    </xf>
    <xf numFmtId="9" fontId="172" fillId="10" borderId="11" xfId="0" applyNumberFormat="1" applyFont="1" applyFill="1" applyBorder="1" applyAlignment="1">
      <alignment horizontal="right" vertical="center"/>
    </xf>
    <xf numFmtId="169" fontId="158" fillId="0" borderId="2" xfId="1" applyNumberFormat="1" applyFont="1" applyFill="1" applyBorder="1"/>
    <xf numFmtId="171" fontId="172" fillId="0" borderId="0" xfId="2" applyNumberFormat="1" applyFont="1" applyFill="1"/>
    <xf numFmtId="10" fontId="170" fillId="0" borderId="0" xfId="0" applyNumberFormat="1" applyFont="1" applyAlignment="1">
      <alignment horizontal="left" vertical="center"/>
    </xf>
    <xf numFmtId="171" fontId="170" fillId="0" borderId="0" xfId="2" applyNumberFormat="1" applyFont="1" applyFill="1"/>
    <xf numFmtId="169" fontId="207" fillId="0" borderId="0" xfId="0" applyNumberFormat="1" applyFont="1" applyAlignment="1">
      <alignment horizontal="left" vertical="center"/>
    </xf>
    <xf numFmtId="169" fontId="167" fillId="0" borderId="0" xfId="1" applyNumberFormat="1" applyFont="1" applyFill="1" applyBorder="1"/>
    <xf numFmtId="10" fontId="169" fillId="0" borderId="0" xfId="0" applyNumberFormat="1" applyFont="1" applyAlignment="1">
      <alignment horizontal="left" vertical="center"/>
    </xf>
    <xf numFmtId="9" fontId="172" fillId="0" borderId="0" xfId="2" applyFont="1" applyFill="1"/>
    <xf numFmtId="3" fontId="161" fillId="0" borderId="35" xfId="0" applyNumberFormat="1" applyFont="1" applyBorder="1" applyAlignment="1">
      <alignment horizontal="left" vertical="center"/>
    </xf>
    <xf numFmtId="0" fontId="158" fillId="0" borderId="0" xfId="0" applyFont="1" applyAlignment="1">
      <alignment horizontal="right" vertical="center"/>
    </xf>
    <xf numFmtId="0" fontId="161" fillId="0" borderId="27" xfId="0" applyFont="1" applyBorder="1" applyAlignment="1">
      <alignment horizontal="left" vertical="center"/>
    </xf>
    <xf numFmtId="171" fontId="169" fillId="0" borderId="0" xfId="2" applyNumberFormat="1" applyFont="1" applyFill="1"/>
    <xf numFmtId="169" fontId="172" fillId="0" borderId="0" xfId="1" applyNumberFormat="1" applyFont="1" applyFill="1" applyBorder="1" applyAlignment="1">
      <alignment horizontal="right" vertical="center"/>
    </xf>
    <xf numFmtId="0" fontId="172" fillId="0" borderId="0" xfId="0" applyFont="1" applyAlignment="1">
      <alignment horizontal="right" vertical="center"/>
    </xf>
    <xf numFmtId="193" fontId="158" fillId="0" borderId="11" xfId="1" applyNumberFormat="1" applyFont="1" applyFill="1" applyBorder="1" applyAlignment="1">
      <alignment horizontal="right" vertical="center"/>
    </xf>
    <xf numFmtId="193" fontId="172" fillId="0" borderId="11" xfId="1" applyNumberFormat="1" applyFont="1" applyFill="1" applyBorder="1" applyAlignment="1">
      <alignment horizontal="right" vertical="center"/>
    </xf>
    <xf numFmtId="193" fontId="158" fillId="0" borderId="11" xfId="1" applyNumberFormat="1" applyFont="1" applyFill="1" applyBorder="1"/>
    <xf numFmtId="0" fontId="159" fillId="66" borderId="0" xfId="0" applyFont="1" applyFill="1"/>
    <xf numFmtId="0" fontId="159" fillId="66" borderId="0" xfId="0" applyFont="1" applyFill="1" applyAlignment="1">
      <alignment horizontal="right"/>
    </xf>
    <xf numFmtId="0" fontId="161" fillId="0" borderId="35" xfId="0" applyFont="1" applyBorder="1" applyAlignment="1">
      <alignment vertical="center"/>
    </xf>
    <xf numFmtId="9" fontId="172" fillId="0" borderId="0" xfId="2" applyFont="1" applyFill="1" applyAlignment="1">
      <alignment horizontal="left" vertical="center" indent="2"/>
    </xf>
    <xf numFmtId="9" fontId="170" fillId="0" borderId="0" xfId="2" applyFont="1" applyFill="1" applyAlignment="1">
      <alignment horizontal="left" vertical="center" indent="2"/>
    </xf>
    <xf numFmtId="0" fontId="161" fillId="0" borderId="0" xfId="0" applyFont="1" applyAlignment="1">
      <alignment vertical="center"/>
    </xf>
    <xf numFmtId="0" fontId="207" fillId="0" borderId="0" xfId="0" applyFont="1" applyAlignment="1">
      <alignment vertical="center"/>
    </xf>
    <xf numFmtId="9" fontId="169" fillId="0" borderId="0" xfId="2" applyFont="1" applyAlignment="1">
      <alignment horizontal="left" vertical="center" indent="2"/>
    </xf>
    <xf numFmtId="9" fontId="172" fillId="0" borderId="27" xfId="2" applyFont="1" applyBorder="1" applyAlignment="1">
      <alignment horizontal="left" vertical="center" indent="2"/>
    </xf>
    <xf numFmtId="0" fontId="158" fillId="65" borderId="0" xfId="0" applyFont="1" applyFill="1"/>
    <xf numFmtId="175" fontId="179" fillId="65" borderId="0" xfId="0" applyNumberFormat="1" applyFont="1" applyFill="1" applyAlignment="1">
      <alignment horizontal="center"/>
    </xf>
    <xf numFmtId="175" fontId="159" fillId="65" borderId="0" xfId="0" applyNumberFormat="1" applyFont="1" applyFill="1" applyAlignment="1">
      <alignment horizontal="center"/>
    </xf>
    <xf numFmtId="0" fontId="158" fillId="65" borderId="0" xfId="0" applyFont="1" applyFill="1" applyAlignment="1">
      <alignment horizontal="right"/>
    </xf>
    <xf numFmtId="0" fontId="179" fillId="3" borderId="0" xfId="0" applyFont="1" applyFill="1" applyAlignment="1">
      <alignment horizontal="right"/>
    </xf>
    <xf numFmtId="0" fontId="214" fillId="0" borderId="0" xfId="0" applyFont="1"/>
    <xf numFmtId="37" fontId="179" fillId="0" borderId="0" xfId="0" applyNumberFormat="1" applyFont="1"/>
    <xf numFmtId="37" fontId="177" fillId="0" borderId="0" xfId="0" applyNumberFormat="1" applyFont="1"/>
    <xf numFmtId="37" fontId="180" fillId="0" borderId="0" xfId="0" applyNumberFormat="1" applyFont="1"/>
    <xf numFmtId="37" fontId="175" fillId="0" borderId="0" xfId="0" applyNumberFormat="1" applyFont="1"/>
    <xf numFmtId="0" fontId="159" fillId="0" borderId="0" xfId="0" applyFont="1" applyAlignment="1">
      <alignment horizontal="left" indent="2"/>
    </xf>
    <xf numFmtId="0" fontId="158" fillId="0" borderId="0" xfId="0" applyFont="1" applyAlignment="1">
      <alignment horizontal="left" indent="2"/>
    </xf>
    <xf numFmtId="169" fontId="158" fillId="0" borderId="0" xfId="1" applyNumberFormat="1" applyFont="1" applyBorder="1"/>
    <xf numFmtId="0" fontId="158" fillId="0" borderId="0" xfId="0" applyFont="1" applyAlignment="1">
      <alignment horizontal="left" indent="1"/>
    </xf>
    <xf numFmtId="37" fontId="180" fillId="0" borderId="0" xfId="1" applyNumberFormat="1" applyFont="1" applyFill="1" applyBorder="1"/>
    <xf numFmtId="37" fontId="180" fillId="0" borderId="0" xfId="1" applyNumberFormat="1" applyFont="1" applyBorder="1"/>
    <xf numFmtId="0" fontId="159" fillId="0" borderId="0" xfId="0" applyFont="1" applyAlignment="1">
      <alignment horizontal="left" indent="1"/>
    </xf>
    <xf numFmtId="37" fontId="179" fillId="0" borderId="0" xfId="1" applyNumberFormat="1" applyFont="1" applyFill="1" applyBorder="1"/>
    <xf numFmtId="37" fontId="177" fillId="0" borderId="0" xfId="1" applyNumberFormat="1" applyFont="1" applyFill="1" applyBorder="1"/>
    <xf numFmtId="0" fontId="158" fillId="0" borderId="0" xfId="0" applyFont="1" applyAlignment="1">
      <alignment horizontal="left"/>
    </xf>
    <xf numFmtId="0" fontId="159" fillId="0" borderId="0" xfId="0" applyFont="1" applyAlignment="1">
      <alignment horizontal="left"/>
    </xf>
    <xf numFmtId="172" fontId="179" fillId="0" borderId="0" xfId="1" applyNumberFormat="1" applyFont="1" applyFill="1" applyBorder="1"/>
    <xf numFmtId="169" fontId="179" fillId="0" borderId="0" xfId="1" applyNumberFormat="1" applyFont="1" applyFill="1" applyBorder="1"/>
    <xf numFmtId="37" fontId="159" fillId="0" borderId="0" xfId="0" applyNumberFormat="1" applyFont="1"/>
    <xf numFmtId="10" fontId="180" fillId="0" borderId="0" xfId="2" applyNumberFormat="1" applyFont="1" applyFill="1" applyBorder="1"/>
    <xf numFmtId="3" fontId="180" fillId="0" borderId="0" xfId="0" applyNumberFormat="1" applyFont="1"/>
    <xf numFmtId="169" fontId="180" fillId="0" borderId="0" xfId="1" applyNumberFormat="1" applyFont="1" applyFill="1" applyBorder="1"/>
    <xf numFmtId="0" fontId="167" fillId="0" borderId="0" xfId="0" applyFont="1" applyAlignment="1">
      <alignment horizontal="left" indent="1"/>
    </xf>
    <xf numFmtId="172" fontId="179" fillId="0" borderId="0" xfId="1" applyNumberFormat="1" applyFont="1" applyBorder="1"/>
    <xf numFmtId="169" fontId="179" fillId="0" borderId="0" xfId="1" applyNumberFormat="1" applyFont="1" applyBorder="1"/>
    <xf numFmtId="169" fontId="177" fillId="0" borderId="0" xfId="1" applyNumberFormat="1" applyFont="1" applyBorder="1"/>
    <xf numFmtId="43" fontId="180" fillId="0" borderId="0" xfId="1" applyFont="1" applyFill="1" applyBorder="1"/>
    <xf numFmtId="173" fontId="179" fillId="0" borderId="0" xfId="0" applyNumberFormat="1" applyFont="1"/>
    <xf numFmtId="37" fontId="158" fillId="0" borderId="0" xfId="0" applyNumberFormat="1" applyFont="1"/>
    <xf numFmtId="173" fontId="159" fillId="0" borderId="0" xfId="0" applyNumberFormat="1" applyFont="1"/>
    <xf numFmtId="49" fontId="159" fillId="0" borderId="0" xfId="0" applyNumberFormat="1" applyFont="1"/>
    <xf numFmtId="195" fontId="179" fillId="0" borderId="0" xfId="0" applyNumberFormat="1" applyFont="1"/>
    <xf numFmtId="169" fontId="159" fillId="0" borderId="0" xfId="1" applyNumberFormat="1" applyFont="1" applyBorder="1"/>
    <xf numFmtId="169" fontId="159" fillId="5" borderId="0" xfId="1" applyNumberFormat="1" applyFont="1" applyFill="1" applyBorder="1"/>
    <xf numFmtId="3" fontId="158" fillId="0" borderId="0" xfId="0" applyNumberFormat="1" applyFont="1"/>
    <xf numFmtId="171" fontId="179" fillId="0" borderId="0" xfId="2" applyNumberFormat="1" applyFont="1" applyBorder="1"/>
    <xf numFmtId="9" fontId="179" fillId="0" borderId="0" xfId="2" applyFont="1" applyBorder="1"/>
    <xf numFmtId="175" fontId="179" fillId="3" borderId="0" xfId="0" applyNumberFormat="1" applyFont="1" applyFill="1" applyAlignment="1">
      <alignment horizontal="right"/>
    </xf>
    <xf numFmtId="175" fontId="160" fillId="3" borderId="0" xfId="0" applyNumberFormat="1" applyFont="1" applyFill="1" applyAlignment="1">
      <alignment horizontal="right"/>
    </xf>
    <xf numFmtId="0" fontId="167" fillId="0" borderId="0" xfId="0" applyFont="1" applyAlignment="1">
      <alignment horizontal="left" indent="2"/>
    </xf>
    <xf numFmtId="10" fontId="189" fillId="0" borderId="0" xfId="2" applyNumberFormat="1" applyFont="1" applyBorder="1"/>
    <xf numFmtId="10" fontId="188" fillId="0" borderId="0" xfId="2" applyNumberFormat="1" applyFont="1" applyBorder="1"/>
    <xf numFmtId="169" fontId="159" fillId="0" borderId="0" xfId="0" applyNumberFormat="1" applyFont="1"/>
    <xf numFmtId="169" fontId="179" fillId="0" borderId="0" xfId="0" applyNumberFormat="1" applyFont="1"/>
    <xf numFmtId="169" fontId="177" fillId="0" borderId="0" xfId="0" applyNumberFormat="1" applyFont="1"/>
    <xf numFmtId="9" fontId="159" fillId="0" borderId="0" xfId="2" applyFont="1" applyFill="1"/>
    <xf numFmtId="171" fontId="180" fillId="0" borderId="0" xfId="2" applyNumberFormat="1" applyFont="1" applyFill="1" applyBorder="1"/>
    <xf numFmtId="171" fontId="176" fillId="0" borderId="0" xfId="2" applyNumberFormat="1" applyFont="1" applyFill="1" applyBorder="1"/>
    <xf numFmtId="172" fontId="179" fillId="0" borderId="0" xfId="0" applyNumberFormat="1" applyFont="1"/>
    <xf numFmtId="172" fontId="180" fillId="0" borderId="0" xfId="0" applyNumberFormat="1" applyFont="1"/>
    <xf numFmtId="171" fontId="215" fillId="0" borderId="0" xfId="0" applyNumberFormat="1" applyFont="1" applyAlignment="1">
      <alignment horizontal="left" indent="2"/>
    </xf>
    <xf numFmtId="10" fontId="175" fillId="0" borderId="0" xfId="2" applyNumberFormat="1" applyFont="1" applyFill="1" applyBorder="1"/>
    <xf numFmtId="171" fontId="189" fillId="0" borderId="0" xfId="2" applyNumberFormat="1" applyFont="1" applyFill="1" applyBorder="1"/>
    <xf numFmtId="10" fontId="188" fillId="0" borderId="0" xfId="2" applyNumberFormat="1" applyFont="1" applyFill="1" applyBorder="1"/>
    <xf numFmtId="43" fontId="167" fillId="0" borderId="0" xfId="0" applyNumberFormat="1" applyFont="1"/>
    <xf numFmtId="171" fontId="188" fillId="0" borderId="0" xfId="2" applyNumberFormat="1" applyFont="1" applyFill="1" applyBorder="1"/>
    <xf numFmtId="171" fontId="159" fillId="0" borderId="0" xfId="2" applyNumberFormat="1" applyFont="1" applyFill="1" applyBorder="1"/>
    <xf numFmtId="171" fontId="158" fillId="0" borderId="0" xfId="2" applyNumberFormat="1" applyFont="1" applyFill="1" applyBorder="1"/>
    <xf numFmtId="174" fontId="189" fillId="0" borderId="0" xfId="0" applyNumberFormat="1" applyFont="1"/>
    <xf numFmtId="174" fontId="180" fillId="0" borderId="0" xfId="0" applyNumberFormat="1" applyFont="1"/>
    <xf numFmtId="41" fontId="159" fillId="0" borderId="0" xfId="0" applyNumberFormat="1" applyFont="1"/>
    <xf numFmtId="219" fontId="158" fillId="0" borderId="0" xfId="0" applyNumberFormat="1" applyFont="1"/>
    <xf numFmtId="169" fontId="189" fillId="0" borderId="0" xfId="1" applyNumberFormat="1" applyFont="1" applyFill="1" applyBorder="1"/>
    <xf numFmtId="41" fontId="158" fillId="0" borderId="0" xfId="0" applyNumberFormat="1" applyFont="1"/>
    <xf numFmtId="41" fontId="180" fillId="0" borderId="0" xfId="0" applyNumberFormat="1" applyFont="1"/>
    <xf numFmtId="41" fontId="179" fillId="0" borderId="0" xfId="0" applyNumberFormat="1" applyFont="1"/>
    <xf numFmtId="41" fontId="177" fillId="0" borderId="0" xfId="0" applyNumberFormat="1" applyFont="1"/>
    <xf numFmtId="41" fontId="180" fillId="0" borderId="0" xfId="1" applyNumberFormat="1" applyFont="1" applyFill="1" applyBorder="1"/>
    <xf numFmtId="3" fontId="179" fillId="0" borderId="0" xfId="0" applyNumberFormat="1" applyFont="1"/>
    <xf numFmtId="9" fontId="189" fillId="0" borderId="0" xfId="2" applyFont="1" applyFill="1" applyBorder="1"/>
    <xf numFmtId="10" fontId="189" fillId="0" borderId="0" xfId="2" applyNumberFormat="1" applyFont="1" applyFill="1" applyBorder="1"/>
    <xf numFmtId="9" fontId="167" fillId="0" borderId="0" xfId="2" applyFont="1" applyFill="1" applyBorder="1"/>
    <xf numFmtId="0" fontId="172" fillId="0" borderId="0" xfId="0" applyFont="1" applyAlignment="1">
      <alignment horizontal="right"/>
    </xf>
    <xf numFmtId="0" fontId="159" fillId="66" borderId="0" xfId="0" applyFont="1" applyFill="1" applyAlignment="1">
      <alignment horizontal="left"/>
    </xf>
    <xf numFmtId="0" fontId="214" fillId="66" borderId="0" xfId="0" applyFont="1" applyFill="1"/>
    <xf numFmtId="3" fontId="179" fillId="66" borderId="0" xfId="0" applyNumberFormat="1" applyFont="1" applyFill="1"/>
    <xf numFmtId="37" fontId="179" fillId="66" borderId="0" xfId="0" applyNumberFormat="1" applyFont="1" applyFill="1"/>
    <xf numFmtId="37" fontId="159" fillId="66" borderId="0" xfId="0" applyNumberFormat="1" applyFont="1" applyFill="1"/>
    <xf numFmtId="43" fontId="159" fillId="66" borderId="0" xfId="0" applyNumberFormat="1" applyFont="1" applyFill="1"/>
    <xf numFmtId="0" fontId="173" fillId="66" borderId="0" xfId="0" applyFont="1" applyFill="1" applyAlignment="1">
      <alignment horizontal="right"/>
    </xf>
    <xf numFmtId="169" fontId="172" fillId="0" borderId="0" xfId="0" applyNumberFormat="1" applyFont="1" applyAlignment="1">
      <alignment horizontal="right"/>
    </xf>
    <xf numFmtId="202" fontId="158" fillId="0" borderId="0" xfId="0" applyNumberFormat="1" applyFont="1"/>
    <xf numFmtId="204" fontId="158" fillId="0" borderId="0" xfId="0" applyNumberFormat="1" applyFont="1"/>
    <xf numFmtId="0" fontId="170" fillId="66" borderId="0" xfId="0" applyFont="1" applyFill="1"/>
    <xf numFmtId="0" fontId="203" fillId="66" borderId="0" xfId="0" applyFont="1" applyFill="1" applyAlignment="1">
      <alignment horizontal="left"/>
    </xf>
    <xf numFmtId="169" fontId="179" fillId="66" borderId="0" xfId="1" applyNumberFormat="1" applyFont="1" applyFill="1" applyBorder="1"/>
    <xf numFmtId="169" fontId="203" fillId="66" borderId="0" xfId="1" applyNumberFormat="1" applyFont="1" applyFill="1" applyBorder="1"/>
    <xf numFmtId="43" fontId="170" fillId="66" borderId="0" xfId="0" applyNumberFormat="1" applyFont="1" applyFill="1"/>
    <xf numFmtId="0" fontId="170" fillId="66" borderId="0" xfId="0" applyFont="1" applyFill="1" applyAlignment="1">
      <alignment horizontal="right"/>
    </xf>
    <xf numFmtId="0" fontId="172" fillId="66" borderId="0" xfId="0" applyFont="1" applyFill="1" applyAlignment="1">
      <alignment horizontal="right"/>
    </xf>
    <xf numFmtId="171" fontId="170" fillId="66" borderId="0" xfId="2" applyNumberFormat="1" applyFont="1" applyFill="1"/>
    <xf numFmtId="10" fontId="167" fillId="0" borderId="0" xfId="0" applyNumberFormat="1" applyFont="1"/>
    <xf numFmtId="172" fontId="189" fillId="0" borderId="0" xfId="0" applyNumberFormat="1" applyFont="1"/>
    <xf numFmtId="10" fontId="167" fillId="0" borderId="0" xfId="2" applyNumberFormat="1" applyFont="1" applyFill="1" applyBorder="1"/>
    <xf numFmtId="0" fontId="167" fillId="0" borderId="0" xfId="0" applyFont="1" applyAlignment="1">
      <alignment horizontal="right"/>
    </xf>
    <xf numFmtId="0" fontId="216" fillId="0" borderId="0" xfId="0" applyFont="1" applyAlignment="1">
      <alignment horizontal="right"/>
    </xf>
    <xf numFmtId="10" fontId="167" fillId="0" borderId="0" xfId="0" applyNumberFormat="1" applyFont="1" applyAlignment="1">
      <alignment horizontal="left" indent="1"/>
    </xf>
    <xf numFmtId="10" fontId="167" fillId="0" borderId="0" xfId="0" applyNumberFormat="1" applyFont="1" applyAlignment="1">
      <alignment horizontal="right"/>
    </xf>
    <xf numFmtId="10" fontId="216" fillId="0" borderId="0" xfId="0" applyNumberFormat="1" applyFont="1" applyAlignment="1">
      <alignment horizontal="right"/>
    </xf>
    <xf numFmtId="0" fontId="215" fillId="0" borderId="0" xfId="0" applyFont="1"/>
    <xf numFmtId="0" fontId="215" fillId="0" borderId="0" xfId="0" applyFont="1" applyAlignment="1">
      <alignment horizontal="left" indent="1"/>
    </xf>
    <xf numFmtId="43" fontId="159" fillId="0" borderId="0" xfId="0" applyNumberFormat="1" applyFont="1"/>
    <xf numFmtId="9" fontId="179" fillId="0" borderId="0" xfId="2" applyFont="1" applyFill="1" applyBorder="1"/>
    <xf numFmtId="193" fontId="179" fillId="0" borderId="0" xfId="1" applyNumberFormat="1" applyFont="1" applyFill="1" applyBorder="1"/>
    <xf numFmtId="43" fontId="159" fillId="0" borderId="0" xfId="1" applyFont="1" applyFill="1" applyBorder="1"/>
    <xf numFmtId="203" fontId="180" fillId="0" borderId="0" xfId="0" applyNumberFormat="1" applyFont="1"/>
    <xf numFmtId="171" fontId="189" fillId="0" borderId="0" xfId="2" applyNumberFormat="1" applyFont="1" applyBorder="1"/>
    <xf numFmtId="171" fontId="199" fillId="0" borderId="0" xfId="2" applyNumberFormat="1" applyFont="1" applyBorder="1"/>
    <xf numFmtId="176" fontId="179" fillId="3" borderId="0" xfId="0" applyNumberFormat="1" applyFont="1" applyFill="1" applyAlignment="1">
      <alignment horizontal="right"/>
    </xf>
    <xf numFmtId="176" fontId="160" fillId="3" borderId="0" xfId="0" applyNumberFormat="1" applyFont="1" applyFill="1" applyAlignment="1">
      <alignment horizontal="right"/>
    </xf>
    <xf numFmtId="172" fontId="177" fillId="0" borderId="0" xfId="0" applyNumberFormat="1" applyFont="1"/>
    <xf numFmtId="0" fontId="180" fillId="0" borderId="0" xfId="0" applyFont="1" applyAlignment="1">
      <alignment horizontal="left" indent="1"/>
    </xf>
    <xf numFmtId="0" fontId="177" fillId="0" borderId="0" xfId="0" applyFont="1" applyAlignment="1">
      <alignment horizontal="left" indent="1"/>
    </xf>
    <xf numFmtId="37" fontId="173" fillId="0" borderId="0" xfId="0" applyNumberFormat="1" applyFont="1"/>
    <xf numFmtId="0" fontId="179" fillId="0" borderId="0" xfId="0" applyFont="1" applyAlignment="1">
      <alignment horizontal="left" indent="1"/>
    </xf>
    <xf numFmtId="0" fontId="176" fillId="0" borderId="0" xfId="0" applyFont="1" applyAlignment="1">
      <alignment horizontal="left" indent="2"/>
    </xf>
    <xf numFmtId="0" fontId="180" fillId="0" borderId="0" xfId="0" applyFont="1" applyAlignment="1">
      <alignment horizontal="left" indent="2"/>
    </xf>
    <xf numFmtId="41" fontId="176" fillId="0" borderId="0" xfId="0" applyNumberFormat="1" applyFont="1"/>
    <xf numFmtId="37" fontId="217" fillId="0" borderId="0" xfId="0" applyNumberFormat="1" applyFont="1"/>
    <xf numFmtId="172" fontId="159" fillId="0" borderId="0" xfId="1" applyNumberFormat="1" applyFont="1" applyFill="1" applyBorder="1"/>
    <xf numFmtId="41" fontId="217" fillId="0" borderId="0" xfId="0" applyNumberFormat="1" applyFont="1"/>
    <xf numFmtId="43" fontId="179" fillId="0" borderId="0" xfId="0" applyNumberFormat="1" applyFont="1"/>
    <xf numFmtId="181" fontId="179" fillId="0" borderId="0" xfId="0" applyNumberFormat="1" applyFont="1"/>
    <xf numFmtId="173" fontId="180" fillId="0" borderId="0" xfId="0" applyNumberFormat="1" applyFont="1"/>
    <xf numFmtId="173" fontId="158" fillId="0" borderId="0" xfId="0" applyNumberFormat="1" applyFont="1"/>
    <xf numFmtId="0" fontId="172" fillId="0" borderId="0" xfId="0" applyFont="1" applyAlignment="1">
      <alignment horizontal="left" indent="1"/>
    </xf>
    <xf numFmtId="0" fontId="179" fillId="0" borderId="0" xfId="0" applyFont="1" applyAlignment="1">
      <alignment horizontal="left" indent="2"/>
    </xf>
    <xf numFmtId="43" fontId="179" fillId="0" borderId="0" xfId="1" applyFont="1" applyFill="1" applyBorder="1"/>
    <xf numFmtId="37" fontId="176" fillId="0" borderId="0" xfId="0" applyNumberFormat="1" applyFont="1"/>
    <xf numFmtId="172" fontId="177" fillId="0" borderId="0" xfId="1" applyNumberFormat="1" applyFont="1" applyFill="1" applyBorder="1"/>
    <xf numFmtId="0" fontId="179" fillId="0" borderId="0" xfId="0" applyFont="1" applyAlignment="1">
      <alignment horizontal="center"/>
    </xf>
    <xf numFmtId="180" fontId="179" fillId="0" borderId="0" xfId="0" applyNumberFormat="1" applyFont="1" applyAlignment="1">
      <alignment horizontal="center"/>
    </xf>
    <xf numFmtId="180" fontId="177" fillId="0" borderId="0" xfId="0" applyNumberFormat="1" applyFont="1" applyAlignment="1">
      <alignment horizontal="center"/>
    </xf>
    <xf numFmtId="171" fontId="216" fillId="0" borderId="0" xfId="2" applyNumberFormat="1" applyFont="1" applyFill="1" applyBorder="1"/>
    <xf numFmtId="177" fontId="189" fillId="0" borderId="0" xfId="0" applyNumberFormat="1" applyFont="1"/>
    <xf numFmtId="178" fontId="216" fillId="0" borderId="0" xfId="0" applyNumberFormat="1" applyFont="1"/>
    <xf numFmtId="177" fontId="180" fillId="0" borderId="0" xfId="0" applyNumberFormat="1" applyFont="1"/>
    <xf numFmtId="0" fontId="180" fillId="2" borderId="0" xfId="0" applyFont="1" applyFill="1"/>
    <xf numFmtId="2" fontId="179" fillId="0" borderId="0" xfId="0" applyNumberFormat="1" applyFont="1" applyAlignment="1">
      <alignment horizontal="center"/>
    </xf>
    <xf numFmtId="2" fontId="173" fillId="0" borderId="0" xfId="0" applyNumberFormat="1" applyFont="1" applyAlignment="1">
      <alignment horizontal="center"/>
    </xf>
    <xf numFmtId="177" fontId="172" fillId="0" borderId="0" xfId="0" applyNumberFormat="1" applyFont="1"/>
    <xf numFmtId="10" fontId="180" fillId="0" borderId="0" xfId="2" applyNumberFormat="1" applyFont="1" applyBorder="1"/>
    <xf numFmtId="10" fontId="172" fillId="0" borderId="0" xfId="2" applyNumberFormat="1" applyFont="1" applyFill="1" applyBorder="1"/>
    <xf numFmtId="10" fontId="180" fillId="0" borderId="0" xfId="0" applyNumberFormat="1" applyFont="1"/>
    <xf numFmtId="9" fontId="172" fillId="0" borderId="0" xfId="0" applyNumberFormat="1" applyFont="1"/>
    <xf numFmtId="10" fontId="172" fillId="0" borderId="0" xfId="0" applyNumberFormat="1" applyFont="1"/>
    <xf numFmtId="10" fontId="158" fillId="0" borderId="0" xfId="2" applyNumberFormat="1" applyFont="1" applyBorder="1"/>
    <xf numFmtId="175" fontId="179" fillId="0" borderId="0" xfId="0" applyNumberFormat="1" applyFont="1" applyAlignment="1">
      <alignment horizontal="center"/>
    </xf>
    <xf numFmtId="175" fontId="177" fillId="0" borderId="0" xfId="0" applyNumberFormat="1" applyFont="1" applyAlignment="1">
      <alignment horizontal="center"/>
    </xf>
    <xf numFmtId="171" fontId="180" fillId="0" borderId="0" xfId="2" applyNumberFormat="1" applyFont="1" applyBorder="1"/>
    <xf numFmtId="194" fontId="180" fillId="0" borderId="0" xfId="2" applyNumberFormat="1" applyFont="1" applyFill="1" applyBorder="1"/>
    <xf numFmtId="194" fontId="217" fillId="0" borderId="0" xfId="2" applyNumberFormat="1" applyFont="1" applyFill="1" applyBorder="1"/>
    <xf numFmtId="10" fontId="217" fillId="0" borderId="0" xfId="2" applyNumberFormat="1" applyFont="1" applyFill="1" applyBorder="1"/>
    <xf numFmtId="10" fontId="179" fillId="4" borderId="0" xfId="2" applyNumberFormat="1" applyFont="1" applyFill="1" applyBorder="1"/>
    <xf numFmtId="10" fontId="177" fillId="4" borderId="0" xfId="2" applyNumberFormat="1" applyFont="1" applyFill="1" applyBorder="1"/>
    <xf numFmtId="10" fontId="179" fillId="0" borderId="0" xfId="2" applyNumberFormat="1" applyFont="1" applyFill="1" applyBorder="1"/>
    <xf numFmtId="10" fontId="177" fillId="0" borderId="0" xfId="2" applyNumberFormat="1" applyFont="1" applyFill="1" applyBorder="1"/>
    <xf numFmtId="175" fontId="179" fillId="0" borderId="0" xfId="0" applyNumberFormat="1" applyFont="1"/>
    <xf numFmtId="176" fontId="179" fillId="0" borderId="0" xfId="0" applyNumberFormat="1" applyFont="1" applyAlignment="1">
      <alignment horizontal="center"/>
    </xf>
    <xf numFmtId="176" fontId="177" fillId="0" borderId="0" xfId="0" applyNumberFormat="1" applyFont="1" applyAlignment="1">
      <alignment horizontal="center"/>
    </xf>
    <xf numFmtId="37" fontId="180" fillId="13" borderId="0" xfId="0" applyNumberFormat="1" applyFont="1" applyFill="1"/>
    <xf numFmtId="37" fontId="170" fillId="0" borderId="0" xfId="0" applyNumberFormat="1" applyFont="1"/>
    <xf numFmtId="172" fontId="159" fillId="0" borderId="0" xfId="0" applyNumberFormat="1" applyFont="1"/>
    <xf numFmtId="37" fontId="179" fillId="0" borderId="0" xfId="0" applyNumberFormat="1" applyFont="1" applyAlignment="1">
      <alignment horizontal="right"/>
    </xf>
    <xf numFmtId="182" fontId="179" fillId="0" borderId="0" xfId="0" applyNumberFormat="1" applyFont="1" applyAlignment="1">
      <alignment horizontal="center"/>
    </xf>
    <xf numFmtId="169" fontId="179" fillId="0" borderId="0" xfId="1" applyNumberFormat="1" applyFont="1" applyBorder="1" applyAlignment="1">
      <alignment horizontal="center"/>
    </xf>
    <xf numFmtId="0" fontId="174" fillId="0" borderId="0" xfId="0" applyFont="1" applyAlignment="1">
      <alignment horizontal="center"/>
    </xf>
    <xf numFmtId="0" fontId="177" fillId="0" borderId="0" xfId="0" applyFont="1" applyAlignment="1">
      <alignment horizontal="center"/>
    </xf>
    <xf numFmtId="43" fontId="179" fillId="0" borderId="0" xfId="0" applyNumberFormat="1" applyFont="1" applyAlignment="1">
      <alignment horizontal="center"/>
    </xf>
    <xf numFmtId="169" fontId="179" fillId="0" borderId="0" xfId="0" applyNumberFormat="1" applyFont="1" applyAlignment="1">
      <alignment horizontal="center"/>
    </xf>
    <xf numFmtId="169" fontId="174" fillId="0" borderId="0" xfId="0" applyNumberFormat="1" applyFont="1" applyAlignment="1">
      <alignment horizontal="center"/>
    </xf>
    <xf numFmtId="164" fontId="192" fillId="0" borderId="0" xfId="0" applyNumberFormat="1" applyFont="1" applyAlignment="1">
      <alignment horizontal="right"/>
    </xf>
    <xf numFmtId="43" fontId="180" fillId="2" borderId="0" xfId="1" applyFont="1" applyFill="1" applyBorder="1" applyAlignment="1">
      <alignment horizontal="right"/>
    </xf>
    <xf numFmtId="37" fontId="176" fillId="0" borderId="0" xfId="1" applyNumberFormat="1" applyFont="1" applyFill="1" applyBorder="1"/>
    <xf numFmtId="164" fontId="180" fillId="0" borderId="0" xfId="0" applyNumberFormat="1" applyFont="1" applyAlignment="1">
      <alignment horizontal="right"/>
    </xf>
    <xf numFmtId="164" fontId="179" fillId="0" borderId="0" xfId="0" applyNumberFormat="1" applyFont="1"/>
    <xf numFmtId="164" fontId="159" fillId="0" borderId="0" xfId="0" applyNumberFormat="1" applyFont="1"/>
    <xf numFmtId="179" fontId="180" fillId="0" borderId="0" xfId="0" applyNumberFormat="1" applyFont="1"/>
    <xf numFmtId="0" fontId="217" fillId="0" borderId="0" xfId="0" applyFont="1"/>
    <xf numFmtId="171" fontId="217" fillId="0" borderId="0" xfId="2" applyNumberFormat="1" applyFont="1" applyFill="1" applyBorder="1"/>
    <xf numFmtId="170" fontId="179" fillId="0" borderId="0" xfId="0" applyNumberFormat="1" applyFont="1"/>
    <xf numFmtId="170" fontId="159" fillId="0" borderId="0" xfId="0" applyNumberFormat="1" applyFont="1"/>
    <xf numFmtId="170" fontId="180" fillId="0" borderId="0" xfId="0" applyNumberFormat="1" applyFont="1"/>
    <xf numFmtId="170" fontId="158" fillId="0" borderId="0" xfId="0" applyNumberFormat="1" applyFont="1"/>
    <xf numFmtId="171" fontId="167" fillId="0" borderId="0" xfId="2" applyNumberFormat="1" applyFont="1" applyBorder="1"/>
    <xf numFmtId="9" fontId="180" fillId="0" borderId="0" xfId="2" applyFont="1" applyBorder="1"/>
    <xf numFmtId="10" fontId="218" fillId="0" borderId="0" xfId="2" applyNumberFormat="1" applyFont="1" applyFill="1" applyBorder="1"/>
    <xf numFmtId="171" fontId="176" fillId="0" borderId="0" xfId="2" applyNumberFormat="1" applyFont="1" applyBorder="1"/>
    <xf numFmtId="37" fontId="180" fillId="0" borderId="0" xfId="2" applyNumberFormat="1" applyFont="1" applyBorder="1"/>
    <xf numFmtId="37" fontId="180" fillId="0" borderId="0" xfId="2" applyNumberFormat="1" applyFont="1" applyFill="1" applyBorder="1"/>
    <xf numFmtId="37" fontId="217" fillId="0" borderId="0" xfId="2" applyNumberFormat="1" applyFont="1" applyFill="1" applyBorder="1"/>
    <xf numFmtId="0" fontId="189" fillId="0" borderId="0" xfId="0" applyFont="1" applyAlignment="1">
      <alignment horizontal="left" indent="1"/>
    </xf>
    <xf numFmtId="194" fontId="176" fillId="0" borderId="0" xfId="2" applyNumberFormat="1" applyFont="1" applyFill="1" applyBorder="1"/>
    <xf numFmtId="175" fontId="160" fillId="3" borderId="0" xfId="0" applyNumberFormat="1" applyFont="1" applyFill="1" applyAlignment="1">
      <alignment horizontal="center"/>
    </xf>
    <xf numFmtId="0" fontId="180" fillId="0" borderId="0" xfId="0" applyFont="1" applyAlignment="1">
      <alignment horizontal="center"/>
    </xf>
    <xf numFmtId="172" fontId="176" fillId="0" borderId="0" xfId="0" applyNumberFormat="1" applyFont="1"/>
    <xf numFmtId="171" fontId="219" fillId="0" borderId="0" xfId="0" applyNumberFormat="1" applyFont="1" applyAlignment="1">
      <alignment horizontal="right"/>
    </xf>
    <xf numFmtId="9" fontId="179" fillId="0" borderId="0" xfId="0" applyNumberFormat="1" applyFont="1"/>
    <xf numFmtId="169" fontId="180" fillId="0" borderId="0" xfId="1" applyNumberFormat="1" applyFont="1" applyBorder="1"/>
    <xf numFmtId="37" fontId="179" fillId="0" borderId="0" xfId="0" applyNumberFormat="1" applyFont="1" applyAlignment="1">
      <alignment horizontal="center"/>
    </xf>
    <xf numFmtId="172" fontId="179" fillId="0" borderId="0" xfId="0" applyNumberFormat="1" applyFont="1" applyAlignment="1">
      <alignment horizontal="center"/>
    </xf>
    <xf numFmtId="169" fontId="180" fillId="0" borderId="0" xfId="1" applyNumberFormat="1" applyFont="1" applyBorder="1" applyAlignment="1">
      <alignment horizontal="center"/>
    </xf>
    <xf numFmtId="169" fontId="180" fillId="0" borderId="0" xfId="1" applyNumberFormat="1" applyFont="1" applyFill="1" applyBorder="1" applyAlignment="1">
      <alignment horizontal="center"/>
    </xf>
    <xf numFmtId="169" fontId="177" fillId="0" borderId="0" xfId="1" applyNumberFormat="1" applyFont="1" applyFill="1" applyBorder="1" applyAlignment="1">
      <alignment horizontal="center"/>
    </xf>
    <xf numFmtId="172" fontId="177" fillId="0" borderId="0" xfId="0" applyNumberFormat="1" applyFont="1" applyAlignment="1">
      <alignment horizontal="center"/>
    </xf>
    <xf numFmtId="0" fontId="177" fillId="0" borderId="0" xfId="0" applyFont="1" applyAlignment="1">
      <alignment horizontal="left" vertical="center"/>
    </xf>
    <xf numFmtId="0" fontId="179" fillId="0" borderId="0" xfId="0" applyFont="1" applyAlignment="1">
      <alignment horizontal="right" vertical="center"/>
    </xf>
    <xf numFmtId="0" fontId="179" fillId="0" borderId="0" xfId="1" applyNumberFormat="1" applyFont="1" applyBorder="1" applyAlignment="1">
      <alignment horizontal="right" vertical="center"/>
    </xf>
    <xf numFmtId="0" fontId="179" fillId="0" borderId="0" xfId="1" applyNumberFormat="1" applyFont="1" applyFill="1" applyBorder="1" applyAlignment="1">
      <alignment horizontal="right" vertical="center"/>
    </xf>
    <xf numFmtId="0" fontId="177" fillId="0" borderId="0" xfId="1" applyNumberFormat="1" applyFont="1" applyFill="1" applyBorder="1" applyAlignment="1">
      <alignment horizontal="right" vertical="center"/>
    </xf>
    <xf numFmtId="0" fontId="176" fillId="0" borderId="0" xfId="0" applyFont="1" applyAlignment="1">
      <alignment horizontal="left" vertical="center" indent="1"/>
    </xf>
    <xf numFmtId="0" fontId="180" fillId="0" borderId="0" xfId="0" applyFont="1" applyAlignment="1">
      <alignment horizontal="right" vertical="center"/>
    </xf>
    <xf numFmtId="43" fontId="180" fillId="0" borderId="0" xfId="1" applyFont="1" applyFill="1" applyBorder="1" applyAlignment="1">
      <alignment horizontal="right" vertical="center"/>
    </xf>
    <xf numFmtId="43" fontId="176" fillId="0" borderId="0" xfId="1" applyFont="1" applyFill="1" applyBorder="1" applyAlignment="1">
      <alignment horizontal="right" vertical="center"/>
    </xf>
    <xf numFmtId="43" fontId="180" fillId="0" borderId="0" xfId="1" applyFont="1" applyBorder="1" applyAlignment="1">
      <alignment horizontal="right" vertical="center"/>
    </xf>
    <xf numFmtId="43" fontId="176" fillId="0" borderId="0" xfId="1" applyFont="1" applyBorder="1" applyAlignment="1">
      <alignment horizontal="right" vertical="center"/>
    </xf>
    <xf numFmtId="0" fontId="180" fillId="0" borderId="0" xfId="1" applyNumberFormat="1" applyFont="1" applyBorder="1" applyAlignment="1">
      <alignment horizontal="right" vertical="center"/>
    </xf>
    <xf numFmtId="0" fontId="176" fillId="0" borderId="0" xfId="1" applyNumberFormat="1" applyFont="1" applyBorder="1" applyAlignment="1">
      <alignment horizontal="right" vertical="center"/>
    </xf>
    <xf numFmtId="9" fontId="180" fillId="0" borderId="0" xfId="2" applyFont="1" applyBorder="1" applyAlignment="1">
      <alignment horizontal="right" vertical="center"/>
    </xf>
    <xf numFmtId="9" fontId="176" fillId="0" borderId="0" xfId="2" applyFont="1" applyBorder="1" applyAlignment="1">
      <alignment horizontal="right" vertical="center"/>
    </xf>
    <xf numFmtId="0" fontId="158" fillId="61" borderId="0" xfId="0" applyFont="1" applyFill="1"/>
    <xf numFmtId="0" fontId="176" fillId="61" borderId="0" xfId="0" applyFont="1" applyFill="1" applyAlignment="1">
      <alignment horizontal="left" vertical="center" indent="1"/>
    </xf>
    <xf numFmtId="0" fontId="214" fillId="61" borderId="0" xfId="0" applyFont="1" applyFill="1"/>
    <xf numFmtId="0" fontId="180" fillId="61" borderId="0" xfId="0" applyFont="1" applyFill="1" applyAlignment="1">
      <alignment horizontal="right" vertical="center"/>
    </xf>
    <xf numFmtId="9" fontId="180" fillId="61" borderId="0" xfId="2" applyFont="1" applyFill="1" applyBorder="1" applyAlignment="1">
      <alignment horizontal="right" vertical="center"/>
    </xf>
    <xf numFmtId="9" fontId="176" fillId="61" borderId="0" xfId="2" applyFont="1" applyFill="1" applyBorder="1" applyAlignment="1">
      <alignment horizontal="right" vertical="center"/>
    </xf>
    <xf numFmtId="0" fontId="158" fillId="61" borderId="0" xfId="0" applyFont="1" applyFill="1" applyAlignment="1">
      <alignment horizontal="right"/>
    </xf>
    <xf numFmtId="171" fontId="176" fillId="61" borderId="0" xfId="2" applyNumberFormat="1" applyFont="1" applyFill="1" applyBorder="1" applyAlignment="1">
      <alignment horizontal="right" vertical="center"/>
    </xf>
    <xf numFmtId="0" fontId="176" fillId="0" borderId="0" xfId="0" applyFont="1" applyAlignment="1">
      <alignment horizontal="left" vertical="center"/>
    </xf>
    <xf numFmtId="0" fontId="180" fillId="0" borderId="0" xfId="1" applyNumberFormat="1" applyFont="1" applyFill="1" applyBorder="1" applyAlignment="1">
      <alignment horizontal="right" vertical="center"/>
    </xf>
    <xf numFmtId="0" fontId="176" fillId="0" borderId="0" xfId="1" applyNumberFormat="1" applyFont="1" applyFill="1" applyBorder="1" applyAlignment="1">
      <alignment horizontal="right" vertical="center"/>
    </xf>
    <xf numFmtId="43" fontId="180" fillId="61" borderId="0" xfId="1" applyFont="1" applyFill="1" applyBorder="1" applyAlignment="1">
      <alignment horizontal="right" vertical="center"/>
    </xf>
    <xf numFmtId="43" fontId="176" fillId="61" borderId="0" xfId="1" applyFont="1" applyFill="1" applyBorder="1" applyAlignment="1">
      <alignment horizontal="right" vertical="center"/>
    </xf>
    <xf numFmtId="0" fontId="176" fillId="0" borderId="0" xfId="0" applyFont="1" applyAlignment="1">
      <alignment horizontal="left"/>
    </xf>
    <xf numFmtId="2" fontId="180" fillId="0" borderId="0" xfId="0" applyNumberFormat="1" applyFont="1"/>
    <xf numFmtId="2" fontId="176" fillId="0" borderId="0" xfId="0" applyNumberFormat="1" applyFont="1"/>
    <xf numFmtId="43" fontId="180" fillId="0" borderId="0" xfId="1" applyFont="1" applyBorder="1"/>
    <xf numFmtId="43" fontId="176" fillId="0" borderId="0" xfId="1" applyFont="1" applyBorder="1"/>
    <xf numFmtId="0" fontId="172" fillId="0" borderId="0" xfId="0" applyFont="1" applyAlignment="1">
      <alignment horizontal="left"/>
    </xf>
    <xf numFmtId="0" fontId="158" fillId="61" borderId="0" xfId="0" applyFont="1" applyFill="1" applyAlignment="1">
      <alignment horizontal="left"/>
    </xf>
    <xf numFmtId="0" fontId="180" fillId="61" borderId="0" xfId="0" applyFont="1" applyFill="1"/>
    <xf numFmtId="169" fontId="180" fillId="61" borderId="0" xfId="1" applyNumberFormat="1" applyFont="1" applyFill="1" applyBorder="1"/>
    <xf numFmtId="169" fontId="176" fillId="61" borderId="0" xfId="1" applyNumberFormat="1" applyFont="1" applyFill="1" applyBorder="1"/>
    <xf numFmtId="0" fontId="160" fillId="64" borderId="2" xfId="0" applyFont="1" applyFill="1" applyBorder="1" applyAlignment="1">
      <alignment horizontal="right" vertical="center"/>
    </xf>
    <xf numFmtId="0" fontId="160" fillId="64" borderId="7" xfId="0" applyFont="1" applyFill="1" applyBorder="1" applyAlignment="1">
      <alignment vertical="center"/>
    </xf>
    <xf numFmtId="0" fontId="160" fillId="64" borderId="11" xfId="0" applyFont="1" applyFill="1" applyBorder="1" applyAlignment="1">
      <alignment horizontal="right" vertical="center"/>
    </xf>
    <xf numFmtId="9" fontId="159" fillId="0" borderId="0" xfId="2" applyFont="1"/>
    <xf numFmtId="0" fontId="17" fillId="55" borderId="6" xfId="0" applyFont="1" applyFill="1" applyBorder="1" applyAlignment="1">
      <alignment vertical="center" wrapText="1"/>
    </xf>
    <xf numFmtId="0" fontId="17" fillId="0" borderId="0" xfId="0" applyFont="1"/>
    <xf numFmtId="4" fontId="8" fillId="6" borderId="6" xfId="0" applyNumberFormat="1" applyFont="1" applyFill="1" applyBorder="1"/>
    <xf numFmtId="0" fontId="8" fillId="6" borderId="0" xfId="0" applyFont="1" applyFill="1"/>
    <xf numFmtId="4" fontId="8" fillId="0" borderId="6" xfId="0" applyNumberFormat="1" applyFont="1" applyBorder="1"/>
    <xf numFmtId="0" fontId="220" fillId="0" borderId="0" xfId="0" applyFont="1" applyAlignment="1">
      <alignment horizontal="left" indent="1"/>
    </xf>
    <xf numFmtId="0" fontId="220" fillId="0" borderId="0" xfId="0" applyFont="1"/>
    <xf numFmtId="0" fontId="8" fillId="0" borderId="0" xfId="0" applyFont="1" applyAlignment="1">
      <alignment horizontal="left" indent="1"/>
    </xf>
    <xf numFmtId="0" fontId="8" fillId="0" borderId="0" xfId="68" applyFont="1" applyAlignment="1">
      <alignment horizontal="left" indent="1"/>
    </xf>
    <xf numFmtId="0" fontId="8" fillId="0" borderId="0" xfId="0" applyFont="1" applyAlignment="1">
      <alignment vertical="top" wrapText="1"/>
    </xf>
    <xf numFmtId="169" fontId="3" fillId="0" borderId="0" xfId="67" applyNumberFormat="1"/>
    <xf numFmtId="169" fontId="8" fillId="0" borderId="0" xfId="1" applyNumberFormat="1" applyFont="1"/>
    <xf numFmtId="169" fontId="220" fillId="0" borderId="0" xfId="1" applyNumberFormat="1" applyFont="1"/>
    <xf numFmtId="0" fontId="8" fillId="0" borderId="0" xfId="0" applyFont="1" applyAlignment="1">
      <alignment horizontal="left" indent="4"/>
    </xf>
    <xf numFmtId="0" fontId="220" fillId="4" borderId="0" xfId="0" applyFont="1" applyFill="1" applyAlignment="1">
      <alignment horizontal="left" indent="2"/>
    </xf>
    <xf numFmtId="0" fontId="220" fillId="4" borderId="0" xfId="0" applyFont="1" applyFill="1"/>
    <xf numFmtId="0" fontId="21" fillId="0" borderId="0" xfId="51" applyFont="1"/>
    <xf numFmtId="0" fontId="74" fillId="10" borderId="0" xfId="0" applyFont="1" applyFill="1" applyAlignment="1">
      <alignment wrapText="1"/>
    </xf>
    <xf numFmtId="0" fontId="176" fillId="0" borderId="0" xfId="0" applyFont="1" applyAlignment="1">
      <alignment vertical="center"/>
    </xf>
    <xf numFmtId="169" fontId="176" fillId="0" borderId="0" xfId="1" applyNumberFormat="1" applyFont="1" applyBorder="1" applyAlignment="1">
      <alignment vertical="center"/>
    </xf>
    <xf numFmtId="169" fontId="176" fillId="0" borderId="0" xfId="1" applyNumberFormat="1" applyFont="1" applyBorder="1" applyAlignment="1">
      <alignment horizontal="right" vertical="center"/>
    </xf>
    <xf numFmtId="171" fontId="176" fillId="0" borderId="0" xfId="2" applyNumberFormat="1" applyFont="1" applyBorder="1" applyAlignment="1">
      <alignment vertical="center"/>
    </xf>
    <xf numFmtId="171" fontId="176" fillId="0" borderId="0" xfId="2" applyNumberFormat="1" applyFont="1" applyBorder="1" applyAlignment="1">
      <alignment horizontal="right" vertical="center"/>
    </xf>
    <xf numFmtId="171" fontId="176" fillId="10" borderId="0" xfId="2" applyNumberFormat="1" applyFont="1" applyFill="1" applyBorder="1" applyAlignment="1">
      <alignment horizontal="right" vertical="center"/>
    </xf>
    <xf numFmtId="9" fontId="176" fillId="0" borderId="0" xfId="2" applyFont="1" applyBorder="1" applyAlignment="1">
      <alignment vertical="center"/>
    </xf>
    <xf numFmtId="9" fontId="176" fillId="10" borderId="0" xfId="2" applyFont="1" applyFill="1" applyBorder="1" applyAlignment="1">
      <alignment horizontal="right" vertical="center"/>
    </xf>
    <xf numFmtId="0" fontId="176" fillId="0" borderId="11" xfId="0" applyFont="1" applyBorder="1" applyAlignment="1">
      <alignment horizontal="left" vertical="center"/>
    </xf>
    <xf numFmtId="9" fontId="176" fillId="0" borderId="11" xfId="2" applyFont="1" applyFill="1" applyBorder="1" applyAlignment="1">
      <alignment vertical="center"/>
    </xf>
    <xf numFmtId="9" fontId="176" fillId="0" borderId="11" xfId="2" applyFont="1" applyFill="1" applyBorder="1" applyAlignment="1">
      <alignment horizontal="right" vertical="center"/>
    </xf>
    <xf numFmtId="169" fontId="176" fillId="0" borderId="0" xfId="1" applyNumberFormat="1" applyFont="1" applyFill="1" applyBorder="1" applyAlignment="1">
      <alignment vertical="center"/>
    </xf>
    <xf numFmtId="171" fontId="176" fillId="0" borderId="0" xfId="2" applyNumberFormat="1" applyFont="1" applyFill="1" applyBorder="1" applyAlignment="1">
      <alignment horizontal="left" vertical="center"/>
    </xf>
    <xf numFmtId="171" fontId="176" fillId="0" borderId="0" xfId="2" applyNumberFormat="1" applyFont="1" applyFill="1" applyBorder="1" applyAlignment="1">
      <alignment vertical="center"/>
    </xf>
    <xf numFmtId="171" fontId="176" fillId="0" borderId="0" xfId="2" applyNumberFormat="1" applyFont="1" applyFill="1" applyBorder="1" applyAlignment="1">
      <alignment horizontal="right" vertical="center"/>
    </xf>
    <xf numFmtId="9" fontId="176" fillId="0" borderId="0" xfId="2" applyFont="1" applyFill="1" applyBorder="1" applyAlignment="1">
      <alignment vertical="center"/>
    </xf>
    <xf numFmtId="0" fontId="176" fillId="0" borderId="0" xfId="0" applyFont="1" applyAlignment="1">
      <alignment horizontal="right" vertical="center"/>
    </xf>
    <xf numFmtId="0" fontId="176" fillId="0" borderId="11" xfId="0" applyFont="1" applyBorder="1" applyAlignment="1">
      <alignment vertical="center"/>
    </xf>
    <xf numFmtId="193" fontId="176" fillId="0" borderId="11" xfId="1" applyNumberFormat="1" applyFont="1" applyFill="1" applyBorder="1" applyAlignment="1">
      <alignment vertical="center"/>
    </xf>
    <xf numFmtId="193" fontId="176" fillId="0" borderId="11" xfId="1" applyNumberFormat="1" applyFont="1" applyFill="1" applyBorder="1" applyAlignment="1">
      <alignment horizontal="right" vertical="center"/>
    </xf>
    <xf numFmtId="204" fontId="158" fillId="0" borderId="0" xfId="1" applyNumberFormat="1" applyFont="1" applyAlignment="1">
      <alignment horizontal="right"/>
    </xf>
    <xf numFmtId="220" fontId="172" fillId="10" borderId="0" xfId="1" applyNumberFormat="1" applyFont="1" applyFill="1" applyAlignment="1">
      <alignment horizontal="right" vertical="center"/>
    </xf>
    <xf numFmtId="49" fontId="221" fillId="64" borderId="0" xfId="0" applyNumberFormat="1" applyFont="1" applyFill="1" applyAlignment="1">
      <alignment vertical="top"/>
    </xf>
    <xf numFmtId="1" fontId="221" fillId="64" borderId="0" xfId="0" applyNumberFormat="1" applyFont="1" applyFill="1" applyAlignment="1">
      <alignment horizontal="right" vertical="top"/>
    </xf>
    <xf numFmtId="49" fontId="222" fillId="0" borderId="0" xfId="0" applyNumberFormat="1" applyFont="1" applyAlignment="1">
      <alignment vertical="top"/>
    </xf>
    <xf numFmtId="49" fontId="223" fillId="64" borderId="0" xfId="0" applyNumberFormat="1" applyFont="1" applyFill="1" applyAlignment="1">
      <alignment vertical="top"/>
    </xf>
    <xf numFmtId="169" fontId="222" fillId="0" borderId="0" xfId="1" applyNumberFormat="1" applyFont="1" applyFill="1" applyAlignment="1">
      <alignment vertical="top"/>
    </xf>
    <xf numFmtId="3" fontId="222" fillId="0" borderId="0" xfId="0" applyNumberFormat="1" applyFont="1" applyAlignment="1">
      <alignment vertical="top"/>
    </xf>
    <xf numFmtId="1" fontId="222" fillId="0" borderId="0" xfId="0" applyNumberFormat="1" applyFont="1" applyAlignment="1">
      <alignment vertical="top"/>
    </xf>
    <xf numFmtId="0" fontId="224" fillId="0" borderId="0" xfId="57" applyFont="1"/>
    <xf numFmtId="0" fontId="225" fillId="0" borderId="0" xfId="0" applyFont="1" applyAlignment="1">
      <alignment vertical="top"/>
    </xf>
    <xf numFmtId="0" fontId="225" fillId="0" borderId="0" xfId="0" applyFont="1"/>
    <xf numFmtId="49" fontId="222" fillId="0" borderId="11" xfId="0" applyNumberFormat="1" applyFont="1" applyBorder="1" applyAlignment="1">
      <alignment vertical="top"/>
    </xf>
    <xf numFmtId="169" fontId="222" fillId="0" borderId="11" xfId="1" applyNumberFormat="1" applyFont="1" applyFill="1" applyBorder="1" applyAlignment="1">
      <alignment vertical="top"/>
    </xf>
    <xf numFmtId="9" fontId="222" fillId="0" borderId="0" xfId="0" applyNumberFormat="1" applyFont="1" applyAlignment="1">
      <alignment vertical="top"/>
    </xf>
    <xf numFmtId="43" fontId="222" fillId="0" borderId="0" xfId="1" applyFont="1" applyFill="1" applyBorder="1" applyAlignment="1">
      <alignment vertical="top"/>
    </xf>
    <xf numFmtId="49" fontId="226" fillId="0" borderId="0" xfId="0" applyNumberFormat="1" applyFont="1" applyAlignment="1">
      <alignment vertical="top"/>
    </xf>
    <xf numFmtId="169" fontId="226" fillId="0" borderId="0" xfId="1" applyNumberFormat="1" applyFont="1" applyFill="1" applyAlignment="1">
      <alignment vertical="top"/>
    </xf>
    <xf numFmtId="10" fontId="222" fillId="0" borderId="0" xfId="0" applyNumberFormat="1" applyFont="1" applyAlignment="1">
      <alignment vertical="top"/>
    </xf>
    <xf numFmtId="193" fontId="222" fillId="0" borderId="0" xfId="1" applyNumberFormat="1" applyFont="1" applyFill="1" applyBorder="1" applyAlignment="1">
      <alignment vertical="top"/>
    </xf>
    <xf numFmtId="171" fontId="222" fillId="0" borderId="0" xfId="2" applyNumberFormat="1" applyFont="1" applyFill="1" applyBorder="1" applyAlignment="1">
      <alignment vertical="top"/>
    </xf>
    <xf numFmtId="0" fontId="222" fillId="0" borderId="0" xfId="0" applyFont="1" applyAlignment="1">
      <alignment vertical="top"/>
    </xf>
    <xf numFmtId="0" fontId="222" fillId="0" borderId="11" xfId="0" applyFont="1" applyBorder="1" applyAlignment="1">
      <alignment vertical="top"/>
    </xf>
    <xf numFmtId="43" fontId="222" fillId="0" borderId="11" xfId="1" applyFont="1" applyFill="1" applyBorder="1" applyAlignment="1">
      <alignment vertical="top"/>
    </xf>
    <xf numFmtId="0" fontId="227" fillId="0" borderId="0" xfId="0" applyFont="1" applyAlignment="1">
      <alignment vertical="top"/>
    </xf>
    <xf numFmtId="0" fontId="165" fillId="0" borderId="39" xfId="0" applyFont="1" applyBorder="1" applyAlignment="1">
      <alignment horizontal="center" vertical="center" wrapText="1" readingOrder="1"/>
    </xf>
    <xf numFmtId="0" fontId="165" fillId="0" borderId="39" xfId="0" applyFont="1" applyBorder="1" applyAlignment="1">
      <alignment horizontal="right" vertical="center" wrapText="1" readingOrder="1"/>
    </xf>
    <xf numFmtId="166" fontId="8" fillId="0" borderId="0" xfId="73" applyFont="1"/>
    <xf numFmtId="166" fontId="8" fillId="0" borderId="0" xfId="0" applyNumberFormat="1" applyFont="1"/>
    <xf numFmtId="9" fontId="159" fillId="0" borderId="0" xfId="2" applyFont="1" applyFill="1" applyBorder="1"/>
    <xf numFmtId="166" fontId="158" fillId="0" borderId="0" xfId="73" applyFont="1"/>
    <xf numFmtId="0" fontId="159" fillId="0" borderId="7" xfId="52" applyFont="1" applyBorder="1"/>
    <xf numFmtId="0" fontId="159" fillId="0" borderId="7" xfId="52" applyFont="1" applyBorder="1" applyAlignment="1">
      <alignment horizontal="right"/>
    </xf>
    <xf numFmtId="0" fontId="158" fillId="0" borderId="0" xfId="52" applyFont="1" applyFill="1"/>
    <xf numFmtId="9" fontId="158" fillId="63" borderId="0" xfId="2" applyFont="1" applyFill="1" applyBorder="1" applyAlignment="1">
      <alignment horizontal="right" vertical="center"/>
    </xf>
    <xf numFmtId="166" fontId="158" fillId="63" borderId="0" xfId="73" applyFont="1" applyFill="1" applyBorder="1" applyAlignment="1">
      <alignment horizontal="right" vertical="center"/>
    </xf>
    <xf numFmtId="166" fontId="158" fillId="63" borderId="11" xfId="73" applyFont="1" applyFill="1" applyBorder="1" applyAlignment="1">
      <alignment horizontal="right" vertical="center"/>
    </xf>
    <xf numFmtId="0" fontId="158" fillId="0" borderId="0" xfId="52" applyFont="1" applyFill="1" applyAlignment="1">
      <alignment vertical="center"/>
    </xf>
    <xf numFmtId="9" fontId="158" fillId="0" borderId="0" xfId="2" applyFont="1" applyFill="1" applyBorder="1" applyAlignment="1">
      <alignment horizontal="right" vertical="center"/>
    </xf>
    <xf numFmtId="166" fontId="158" fillId="0" borderId="0" xfId="73" applyFont="1" applyFill="1" applyBorder="1" applyAlignment="1">
      <alignment horizontal="right" vertical="center"/>
    </xf>
    <xf numFmtId="166" fontId="158" fillId="0" borderId="11" xfId="73" applyFont="1" applyFill="1" applyBorder="1" applyAlignment="1">
      <alignment horizontal="right" vertical="center"/>
    </xf>
    <xf numFmtId="221" fontId="158" fillId="0" borderId="0" xfId="52" applyNumberFormat="1" applyFont="1"/>
    <xf numFmtId="166" fontId="158" fillId="0" borderId="0" xfId="73" applyFont="1" applyBorder="1" applyAlignment="1">
      <alignment horizontal="left" vertical="center"/>
    </xf>
    <xf numFmtId="166" fontId="158" fillId="0" borderId="11" xfId="52" applyNumberFormat="1" applyFont="1" applyBorder="1" applyAlignment="1">
      <alignment horizontal="left" vertical="center"/>
    </xf>
    <xf numFmtId="166" fontId="177" fillId="0" borderId="2" xfId="73" applyFont="1" applyFill="1" applyBorder="1" applyAlignment="1">
      <alignment horizontal="right" vertical="center"/>
    </xf>
    <xf numFmtId="166" fontId="177" fillId="63" borderId="2" xfId="73" applyFont="1" applyFill="1" applyBorder="1" applyAlignment="1">
      <alignment horizontal="right" vertical="center"/>
    </xf>
    <xf numFmtId="0" fontId="158" fillId="63" borderId="0" xfId="52" applyFont="1" applyFill="1" applyAlignment="1">
      <alignment vertical="center"/>
    </xf>
    <xf numFmtId="0" fontId="158" fillId="63" borderId="0" xfId="52" applyFont="1" applyFill="1" applyAlignment="1">
      <alignment horizontal="right" vertical="center"/>
    </xf>
    <xf numFmtId="0" fontId="158" fillId="63" borderId="0" xfId="52" applyFont="1" applyFill="1" applyAlignment="1">
      <alignment horizontal="right"/>
    </xf>
    <xf numFmtId="9" fontId="177" fillId="10" borderId="0" xfId="2" applyFont="1" applyFill="1" applyBorder="1" applyAlignment="1">
      <alignment horizontal="right" vertical="center"/>
    </xf>
    <xf numFmtId="171" fontId="177" fillId="10" borderId="0" xfId="2" applyNumberFormat="1" applyFont="1" applyFill="1" applyBorder="1" applyAlignment="1">
      <alignment horizontal="right" vertical="center"/>
    </xf>
    <xf numFmtId="220" fontId="176" fillId="10" borderId="0" xfId="73" applyNumberFormat="1" applyFont="1" applyFill="1" applyBorder="1" applyAlignment="1">
      <alignment horizontal="right" vertical="center"/>
    </xf>
    <xf numFmtId="10" fontId="176" fillId="10" borderId="0" xfId="2" applyNumberFormat="1" applyFont="1" applyFill="1" applyBorder="1" applyAlignment="1">
      <alignment horizontal="right" vertical="center"/>
    </xf>
    <xf numFmtId="220" fontId="176" fillId="10" borderId="11" xfId="73" applyNumberFormat="1" applyFont="1" applyFill="1" applyBorder="1" applyAlignment="1">
      <alignment horizontal="right" vertical="center"/>
    </xf>
    <xf numFmtId="0" fontId="158" fillId="0" borderId="0" xfId="52" applyFont="1" applyAlignment="1">
      <alignment horizontal="center" vertical="center"/>
    </xf>
    <xf numFmtId="0" fontId="158" fillId="0" borderId="11" xfId="52" applyFont="1" applyBorder="1" applyAlignment="1">
      <alignment horizontal="center" vertical="center"/>
    </xf>
    <xf numFmtId="0" fontId="158" fillId="0" borderId="0" xfId="52" applyFont="1" applyAlignment="1">
      <alignment horizontal="center"/>
    </xf>
    <xf numFmtId="0" fontId="160" fillId="53" borderId="0" xfId="52" applyFont="1" applyFill="1" applyAlignment="1">
      <alignment horizontal="center" vertical="center"/>
    </xf>
    <xf numFmtId="193" fontId="158" fillId="0" borderId="0" xfId="1" applyNumberFormat="1" applyFont="1" applyBorder="1" applyAlignment="1">
      <alignment horizontal="right" vertical="center"/>
    </xf>
    <xf numFmtId="166" fontId="158" fillId="0" borderId="0" xfId="52" applyNumberFormat="1" applyFont="1" applyAlignment="1">
      <alignment horizontal="left" vertical="center"/>
    </xf>
    <xf numFmtId="0" fontId="17" fillId="55" borderId="6" xfId="0" applyFont="1" applyFill="1" applyBorder="1" applyAlignment="1">
      <alignment horizontal="right" vertical="center" wrapText="1"/>
    </xf>
    <xf numFmtId="4" fontId="8" fillId="6" borderId="6" xfId="0" applyNumberFormat="1" applyFont="1" applyFill="1" applyBorder="1" applyAlignment="1">
      <alignment horizontal="right" vertical="center"/>
    </xf>
    <xf numFmtId="4" fontId="8" fillId="0" borderId="6" xfId="0" applyNumberFormat="1" applyFont="1" applyBorder="1" applyAlignment="1">
      <alignment horizontal="right" vertical="center"/>
    </xf>
    <xf numFmtId="0" fontId="220" fillId="6" borderId="0" xfId="0" applyFont="1" applyFill="1" applyAlignment="1">
      <alignment horizontal="right" vertical="center"/>
    </xf>
    <xf numFmtId="169" fontId="3" fillId="6" borderId="0" xfId="67" applyNumberFormat="1" applyFill="1" applyAlignment="1">
      <alignment horizontal="right" vertical="center"/>
    </xf>
    <xf numFmtId="0" fontId="220" fillId="0" borderId="0" xfId="0" applyFont="1" applyAlignment="1">
      <alignment horizontal="right" vertical="center"/>
    </xf>
    <xf numFmtId="1" fontId="8" fillId="6" borderId="0" xfId="0" applyNumberFormat="1" applyFont="1" applyFill="1" applyAlignment="1">
      <alignment horizontal="right" vertical="center"/>
    </xf>
    <xf numFmtId="0" fontId="19" fillId="0" borderId="0" xfId="0" applyFont="1" applyAlignment="1">
      <alignment horizontal="right" vertical="center"/>
    </xf>
    <xf numFmtId="0" fontId="8" fillId="0" borderId="0" xfId="0" applyFont="1" applyAlignment="1">
      <alignment horizontal="right" vertical="center" wrapText="1"/>
    </xf>
    <xf numFmtId="0" fontId="8" fillId="0" borderId="0" xfId="0" applyFont="1" applyAlignment="1">
      <alignment horizontal="right" vertical="center"/>
    </xf>
    <xf numFmtId="169" fontId="3" fillId="0" borderId="0" xfId="67" applyNumberFormat="1" applyAlignment="1">
      <alignment horizontal="right" vertical="center"/>
    </xf>
    <xf numFmtId="169" fontId="8" fillId="0" borderId="0" xfId="0" applyNumberFormat="1" applyFont="1" applyAlignment="1">
      <alignment horizontal="right" vertical="center"/>
    </xf>
    <xf numFmtId="166" fontId="8" fillId="0" borderId="0" xfId="0" applyNumberFormat="1" applyFont="1" applyAlignment="1">
      <alignment horizontal="right" vertical="center"/>
    </xf>
    <xf numFmtId="169" fontId="220" fillId="0" borderId="0" xfId="1" applyNumberFormat="1" applyFont="1" applyAlignment="1">
      <alignment horizontal="right" vertical="center"/>
    </xf>
    <xf numFmtId="169" fontId="8" fillId="0" borderId="0" xfId="1" applyNumberFormat="1" applyFont="1" applyAlignment="1">
      <alignment horizontal="right" vertical="center"/>
    </xf>
    <xf numFmtId="169" fontId="220" fillId="4" borderId="0" xfId="0" applyNumberFormat="1" applyFont="1" applyFill="1" applyAlignment="1">
      <alignment horizontal="right" vertical="center"/>
    </xf>
    <xf numFmtId="200" fontId="8" fillId="0" borderId="0" xfId="0" applyNumberFormat="1" applyFont="1" applyAlignment="1">
      <alignment horizontal="right" vertical="center"/>
    </xf>
    <xf numFmtId="169" fontId="159" fillId="0" borderId="7" xfId="52" applyNumberFormat="1" applyFont="1" applyBorder="1" applyAlignment="1">
      <alignment vertical="center"/>
    </xf>
    <xf numFmtId="169" fontId="159" fillId="0" borderId="7" xfId="1" applyNumberFormat="1" applyFont="1" applyBorder="1" applyAlignment="1">
      <alignment vertical="center"/>
    </xf>
    <xf numFmtId="43" fontId="158" fillId="0" borderId="0" xfId="52" applyNumberFormat="1" applyFont="1" applyAlignment="1">
      <alignment vertical="center"/>
    </xf>
    <xf numFmtId="169" fontId="159" fillId="0" borderId="0" xfId="1" applyNumberFormat="1" applyFont="1" applyBorder="1" applyAlignment="1">
      <alignment horizontal="right" vertical="center"/>
    </xf>
    <xf numFmtId="193" fontId="158" fillId="0" borderId="0" xfId="1" applyNumberFormat="1" applyFont="1" applyBorder="1" applyAlignment="1">
      <alignment vertical="center"/>
    </xf>
    <xf numFmtId="169" fontId="158" fillId="0" borderId="0" xfId="1" applyNumberFormat="1" applyFont="1" applyBorder="1" applyAlignment="1">
      <alignment horizontal="center" vertical="center"/>
    </xf>
    <xf numFmtId="9" fontId="159" fillId="0" borderId="7" xfId="2" applyFont="1" applyBorder="1" applyAlignment="1">
      <alignment vertical="center"/>
    </xf>
    <xf numFmtId="171" fontId="158" fillId="0" borderId="0" xfId="2" applyNumberFormat="1" applyFont="1" applyAlignment="1">
      <alignment vertical="center"/>
    </xf>
    <xf numFmtId="9" fontId="158" fillId="0" borderId="0" xfId="52" applyNumberFormat="1" applyFont="1" applyAlignment="1">
      <alignment vertical="center"/>
    </xf>
    <xf numFmtId="169" fontId="159" fillId="0" borderId="0" xfId="1" applyNumberFormat="1" applyFont="1" applyAlignment="1">
      <alignment vertical="center"/>
    </xf>
    <xf numFmtId="0" fontId="159" fillId="0" borderId="11" xfId="52" applyFont="1" applyBorder="1"/>
    <xf numFmtId="0" fontId="159" fillId="0" borderId="11" xfId="52" applyFont="1" applyBorder="1" applyAlignment="1">
      <alignment horizontal="right"/>
    </xf>
    <xf numFmtId="0" fontId="159" fillId="0" borderId="11" xfId="52" applyFont="1" applyBorder="1" applyAlignment="1">
      <alignment vertical="center"/>
    </xf>
    <xf numFmtId="169" fontId="159" fillId="0" borderId="11" xfId="1" applyNumberFormat="1" applyFont="1" applyBorder="1" applyAlignment="1">
      <alignment vertical="center"/>
    </xf>
    <xf numFmtId="0" fontId="159" fillId="0" borderId="2" xfId="52" applyFont="1" applyBorder="1"/>
    <xf numFmtId="0" fontId="159" fillId="0" borderId="2" xfId="52" applyFont="1" applyBorder="1" applyAlignment="1">
      <alignment horizontal="right"/>
    </xf>
    <xf numFmtId="0" fontId="159" fillId="0" borderId="2" xfId="52" applyFont="1" applyBorder="1" applyAlignment="1">
      <alignment vertical="center"/>
    </xf>
    <xf numFmtId="171" fontId="158" fillId="0" borderId="11" xfId="2" applyNumberFormat="1" applyFont="1" applyBorder="1" applyAlignment="1">
      <alignment vertical="center"/>
    </xf>
    <xf numFmtId="169" fontId="158" fillId="0" borderId="0" xfId="52" applyNumberFormat="1" applyFont="1" applyAlignment="1">
      <alignment vertical="center"/>
    </xf>
    <xf numFmtId="169" fontId="158" fillId="0" borderId="7" xfId="1" applyNumberFormat="1" applyFont="1" applyBorder="1" applyAlignment="1">
      <alignment horizontal="right"/>
    </xf>
    <xf numFmtId="169" fontId="158" fillId="0" borderId="7" xfId="1" applyNumberFormat="1" applyFont="1" applyBorder="1" applyAlignment="1">
      <alignment vertical="center"/>
    </xf>
    <xf numFmtId="0" fontId="158" fillId="0" borderId="0" xfId="52" applyFont="1" applyAlignment="1">
      <alignment horizontal="left" vertical="center" wrapText="1"/>
    </xf>
    <xf numFmtId="0" fontId="158" fillId="0" borderId="0" xfId="52" applyFont="1" applyAlignment="1">
      <alignment horizontal="left" wrapText="1"/>
    </xf>
    <xf numFmtId="0" fontId="158" fillId="0" borderId="0" xfId="52" applyFont="1" applyAlignment="1">
      <alignment wrapText="1"/>
    </xf>
    <xf numFmtId="0" fontId="158" fillId="0" borderId="2" xfId="52" applyFont="1" applyBorder="1" applyAlignment="1">
      <alignment horizontal="center" vertical="center"/>
    </xf>
    <xf numFmtId="0" fontId="158" fillId="0" borderId="11" xfId="52" applyFont="1" applyBorder="1" applyAlignment="1">
      <alignment wrapText="1"/>
    </xf>
    <xf numFmtId="169" fontId="158" fillId="0" borderId="11" xfId="1" applyNumberFormat="1" applyFont="1" applyBorder="1" applyAlignment="1">
      <alignment horizontal="center" vertical="center"/>
    </xf>
    <xf numFmtId="49" fontId="177" fillId="0" borderId="0" xfId="0" applyNumberFormat="1" applyFont="1" applyAlignment="1">
      <alignment horizontal="left" vertical="center"/>
    </xf>
    <xf numFmtId="49" fontId="177" fillId="0" borderId="7" xfId="0" applyNumberFormat="1" applyFont="1" applyBorder="1" applyAlignment="1">
      <alignment horizontal="left" vertical="center"/>
    </xf>
    <xf numFmtId="0" fontId="158" fillId="0" borderId="0" xfId="52" applyNumberFormat="1" applyFont="1" applyFill="1"/>
    <xf numFmtId="0" fontId="158" fillId="0" borderId="0" xfId="52" applyFont="1" applyFill="1" applyAlignment="1">
      <alignment horizontal="left" wrapText="1"/>
    </xf>
    <xf numFmtId="193" fontId="158" fillId="0" borderId="0" xfId="1" applyNumberFormat="1" applyFont="1" applyFill="1"/>
    <xf numFmtId="49" fontId="177" fillId="0" borderId="0" xfId="0" applyNumberFormat="1" applyFont="1" applyAlignment="1">
      <alignment horizontal="right" vertical="center"/>
    </xf>
    <xf numFmtId="169" fontId="177" fillId="0" borderId="0" xfId="0" applyNumberFormat="1" applyFont="1" applyAlignment="1">
      <alignment horizontal="right" vertical="center"/>
    </xf>
    <xf numFmtId="198" fontId="158" fillId="0" borderId="0" xfId="1" applyNumberFormat="1" applyFont="1"/>
    <xf numFmtId="222" fontId="175" fillId="0" borderId="0" xfId="52" applyNumberFormat="1" applyFont="1" applyAlignment="1">
      <alignment horizontal="right"/>
    </xf>
    <xf numFmtId="10" fontId="170" fillId="0" borderId="11" xfId="52" quotePrefix="1" applyNumberFormat="1" applyFont="1" applyBorder="1" applyAlignment="1">
      <alignment horizontal="right"/>
    </xf>
    <xf numFmtId="10" fontId="175" fillId="0" borderId="11" xfId="52" quotePrefix="1" applyNumberFormat="1" applyFont="1" applyBorder="1" applyAlignment="1">
      <alignment horizontal="right"/>
    </xf>
    <xf numFmtId="0" fontId="158" fillId="63" borderId="0" xfId="52" applyFont="1" applyFill="1"/>
    <xf numFmtId="49" fontId="177" fillId="0" borderId="11" xfId="0" applyNumberFormat="1" applyFont="1" applyBorder="1" applyAlignment="1">
      <alignment vertical="center" wrapText="1"/>
    </xf>
    <xf numFmtId="0" fontId="158" fillId="0" borderId="2" xfId="52" applyFont="1" applyBorder="1" applyAlignment="1">
      <alignment vertical="center" wrapText="1"/>
    </xf>
    <xf numFmtId="169" fontId="158" fillId="0" borderId="2" xfId="52" applyNumberFormat="1" applyFont="1" applyBorder="1" applyAlignment="1">
      <alignment horizontal="center" vertical="center"/>
    </xf>
    <xf numFmtId="0" fontId="158" fillId="0" borderId="2" xfId="52" applyFont="1" applyBorder="1" applyAlignment="1">
      <alignment horizontal="right" vertical="center"/>
    </xf>
    <xf numFmtId="169" fontId="158" fillId="0" borderId="2" xfId="1" applyNumberFormat="1" applyFont="1" applyBorder="1" applyAlignment="1">
      <alignment horizontal="center" vertical="center"/>
    </xf>
    <xf numFmtId="9" fontId="158" fillId="63" borderId="11" xfId="2" applyFont="1" applyFill="1" applyBorder="1" applyAlignment="1">
      <alignment horizontal="right" vertical="center"/>
    </xf>
    <xf numFmtId="0" fontId="158" fillId="0" borderId="2" xfId="52" applyFont="1" applyBorder="1" applyAlignment="1">
      <alignment horizontal="center" vertical="center" wrapText="1"/>
    </xf>
    <xf numFmtId="169" fontId="222" fillId="0" borderId="0" xfId="1" applyNumberFormat="1" applyFont="1" applyFill="1" applyBorder="1" applyAlignment="1">
      <alignment vertical="top"/>
    </xf>
    <xf numFmtId="0" fontId="158" fillId="0" borderId="11" xfId="0" applyFont="1" applyBorder="1" applyAlignment="1">
      <alignment vertical="top"/>
    </xf>
    <xf numFmtId="9" fontId="222" fillId="0" borderId="0" xfId="2" applyFont="1" applyFill="1" applyBorder="1" applyAlignment="1">
      <alignment vertical="top"/>
    </xf>
    <xf numFmtId="0" fontId="225" fillId="0" borderId="11" xfId="0" applyFont="1" applyBorder="1" applyAlignment="1">
      <alignment vertical="top"/>
    </xf>
    <xf numFmtId="171" fontId="222" fillId="0" borderId="11" xfId="2" applyNumberFormat="1" applyFont="1" applyFill="1" applyBorder="1" applyAlignment="1">
      <alignment vertical="top"/>
    </xf>
    <xf numFmtId="9" fontId="222" fillId="0" borderId="11" xfId="2" applyFont="1" applyFill="1" applyBorder="1" applyAlignment="1">
      <alignment vertical="top"/>
    </xf>
    <xf numFmtId="166" fontId="158" fillId="10" borderId="0" xfId="73" applyFont="1" applyFill="1" applyBorder="1" applyAlignment="1">
      <alignment horizontal="right" vertical="center"/>
    </xf>
    <xf numFmtId="166" fontId="158" fillId="10" borderId="11" xfId="73" applyFont="1" applyFill="1" applyBorder="1" applyAlignment="1">
      <alignment horizontal="right" vertical="center"/>
    </xf>
    <xf numFmtId="166" fontId="176" fillId="63" borderId="11" xfId="73" applyFont="1" applyFill="1" applyBorder="1" applyAlignment="1">
      <alignment horizontal="left" vertical="center"/>
    </xf>
    <xf numFmtId="166" fontId="176" fillId="63" borderId="11" xfId="73" applyFont="1" applyFill="1" applyBorder="1" applyAlignment="1">
      <alignment horizontal="right" vertical="center"/>
    </xf>
    <xf numFmtId="169" fontId="176" fillId="0" borderId="11" xfId="1" applyNumberFormat="1" applyFont="1" applyBorder="1" applyAlignment="1">
      <alignment horizontal="center" vertical="center"/>
    </xf>
    <xf numFmtId="0" fontId="176" fillId="0" borderId="11" xfId="52" applyFont="1" applyBorder="1" applyAlignment="1">
      <alignment horizontal="center"/>
    </xf>
    <xf numFmtId="0" fontId="176" fillId="0" borderId="11" xfId="52" applyFont="1" applyBorder="1" applyAlignment="1">
      <alignment wrapText="1"/>
    </xf>
    <xf numFmtId="1" fontId="160" fillId="45" borderId="0" xfId="0" applyNumberFormat="1" applyFont="1" applyFill="1" applyAlignment="1">
      <alignment horizontal="center" vertical="center" wrapText="1"/>
    </xf>
    <xf numFmtId="0" fontId="160" fillId="64" borderId="0" xfId="0" applyFont="1" applyFill="1" applyAlignment="1">
      <alignment horizontal="left" vertical="center"/>
    </xf>
    <xf numFmtId="169" fontId="160" fillId="64" borderId="0" xfId="0" applyNumberFormat="1" applyFont="1" applyFill="1" applyAlignment="1">
      <alignment horizontal="right" vertical="center"/>
    </xf>
    <xf numFmtId="49" fontId="177" fillId="10" borderId="0" xfId="0" applyNumberFormat="1" applyFont="1" applyFill="1" applyAlignment="1">
      <alignment horizontal="left" vertical="center"/>
    </xf>
    <xf numFmtId="49" fontId="176" fillId="10" borderId="0" xfId="0" applyNumberFormat="1" applyFont="1" applyFill="1" applyAlignment="1">
      <alignment horizontal="left" vertical="center"/>
    </xf>
    <xf numFmtId="193" fontId="176" fillId="10" borderId="0" xfId="0" applyNumberFormat="1" applyFont="1" applyFill="1" applyAlignment="1">
      <alignment horizontal="right" vertical="center"/>
    </xf>
    <xf numFmtId="0" fontId="177" fillId="63" borderId="0" xfId="0" applyFont="1" applyFill="1" applyAlignment="1">
      <alignment horizontal="right" vertical="center"/>
    </xf>
    <xf numFmtId="169" fontId="8" fillId="0" borderId="0" xfId="0" applyNumberFormat="1" applyFont="1"/>
    <xf numFmtId="43" fontId="8" fillId="0" borderId="0" xfId="0" applyNumberFormat="1" applyFont="1" applyAlignment="1">
      <alignment horizontal="right" vertical="center"/>
    </xf>
    <xf numFmtId="169" fontId="8" fillId="6" borderId="0" xfId="52" applyNumberFormat="1" applyFont="1" applyFill="1"/>
    <xf numFmtId="4" fontId="19" fillId="0" borderId="0" xfId="0" applyNumberFormat="1" applyFont="1"/>
    <xf numFmtId="0" fontId="228" fillId="0" borderId="0" xfId="0" applyFont="1" applyAlignment="1">
      <alignment vertical="center" readingOrder="1"/>
    </xf>
    <xf numFmtId="14" fontId="4" fillId="0" borderId="0" xfId="0" applyNumberFormat="1" applyFont="1"/>
    <xf numFmtId="43" fontId="0" fillId="0" borderId="11" xfId="1" applyFont="1" applyBorder="1"/>
    <xf numFmtId="169" fontId="0" fillId="0" borderId="2" xfId="1" applyNumberFormat="1" applyFont="1" applyBorder="1"/>
    <xf numFmtId="1" fontId="0" fillId="0" borderId="0" xfId="0" applyNumberFormat="1"/>
    <xf numFmtId="169" fontId="0" fillId="0" borderId="7" xfId="0" applyNumberFormat="1" applyBorder="1"/>
    <xf numFmtId="0" fontId="0" fillId="0" borderId="0" xfId="0" applyAlignment="1">
      <alignment horizontal="left" indent="1"/>
    </xf>
    <xf numFmtId="0" fontId="0" fillId="0" borderId="11" xfId="0" applyBorder="1" applyAlignment="1">
      <alignment horizontal="left" indent="1"/>
    </xf>
    <xf numFmtId="0" fontId="0" fillId="0" borderId="2" xfId="0" applyBorder="1" applyAlignment="1">
      <alignment horizontal="left" indent="1"/>
    </xf>
    <xf numFmtId="0" fontId="0" fillId="6" borderId="0" xfId="0" applyFill="1" applyAlignment="1">
      <alignment horizontal="left" indent="1"/>
    </xf>
    <xf numFmtId="0" fontId="0" fillId="0" borderId="7" xfId="0" applyBorder="1" applyAlignment="1">
      <alignment horizontal="left" indent="1"/>
    </xf>
    <xf numFmtId="171" fontId="158" fillId="10" borderId="0" xfId="0" applyNumberFormat="1" applyFont="1" applyFill="1" applyAlignment="1">
      <alignment vertical="center"/>
    </xf>
    <xf numFmtId="9" fontId="3" fillId="0" borderId="0" xfId="2"/>
    <xf numFmtId="43" fontId="3" fillId="0" borderId="0" xfId="1"/>
    <xf numFmtId="186" fontId="104" fillId="2" borderId="0" xfId="3" applyNumberFormat="1" applyFont="1" applyFill="1" applyAlignment="1">
      <alignment horizontal="center"/>
    </xf>
    <xf numFmtId="37" fontId="104" fillId="6" borderId="0" xfId="3" applyNumberFormat="1" applyFont="1" applyFill="1"/>
    <xf numFmtId="172" fontId="104" fillId="6" borderId="0" xfId="3" applyNumberFormat="1" applyFont="1" applyFill="1"/>
    <xf numFmtId="190" fontId="102" fillId="0" borderId="0" xfId="2" applyNumberFormat="1" applyFont="1" applyBorder="1"/>
    <xf numFmtId="191" fontId="37" fillId="3" borderId="0" xfId="0" applyNumberFormat="1" applyFont="1" applyFill="1" applyAlignment="1">
      <alignment horizontal="right"/>
    </xf>
    <xf numFmtId="192" fontId="124" fillId="0" borderId="0" xfId="3" applyNumberFormat="1" applyFont="1"/>
    <xf numFmtId="43" fontId="102" fillId="0" borderId="0" xfId="1" applyFont="1" applyBorder="1"/>
    <xf numFmtId="14" fontId="170" fillId="0" borderId="0" xfId="52" applyNumberFormat="1" applyFont="1"/>
    <xf numFmtId="9" fontId="170" fillId="0" borderId="0" xfId="52" applyNumberFormat="1" applyFont="1" applyAlignment="1">
      <alignment horizontal="right"/>
    </xf>
    <xf numFmtId="198" fontId="203" fillId="66" borderId="0" xfId="1" applyNumberFormat="1" applyFont="1" applyFill="1" applyBorder="1"/>
    <xf numFmtId="169" fontId="158" fillId="0" borderId="2" xfId="1" applyNumberFormat="1" applyFont="1" applyBorder="1"/>
    <xf numFmtId="171" fontId="170" fillId="0" borderId="0" xfId="2" applyNumberFormat="1" applyFont="1"/>
    <xf numFmtId="169" fontId="167" fillId="0" borderId="0" xfId="1" applyNumberFormat="1" applyFont="1"/>
    <xf numFmtId="9" fontId="172" fillId="0" borderId="0" xfId="2" applyFont="1"/>
    <xf numFmtId="171" fontId="169" fillId="0" borderId="0" xfId="2" applyNumberFormat="1" applyFont="1"/>
    <xf numFmtId="193" fontId="158" fillId="0" borderId="11" xfId="1" applyNumberFormat="1" applyFont="1" applyBorder="1"/>
    <xf numFmtId="0" fontId="229" fillId="0" borderId="0" xfId="0" applyFont="1" applyAlignment="1">
      <alignment horizontal="center" vertical="center"/>
    </xf>
    <xf numFmtId="0" fontId="231" fillId="0" borderId="40" xfId="0" applyFont="1" applyBorder="1" applyAlignment="1">
      <alignment horizontal="center" vertical="center"/>
    </xf>
    <xf numFmtId="0" fontId="232" fillId="0" borderId="0" xfId="0" applyFont="1" applyAlignment="1">
      <alignment horizontal="center" vertical="center"/>
    </xf>
    <xf numFmtId="9" fontId="232" fillId="0" borderId="0" xfId="2" applyFont="1" applyAlignment="1">
      <alignment horizontal="right" vertical="top" wrapText="1"/>
    </xf>
    <xf numFmtId="169" fontId="170" fillId="0" borderId="0" xfId="52" applyNumberFormat="1" applyFont="1" applyAlignment="1">
      <alignment horizontal="right"/>
    </xf>
    <xf numFmtId="169" fontId="231" fillId="0" borderId="41" xfId="1" applyNumberFormat="1" applyFont="1" applyBorder="1" applyAlignment="1">
      <alignment horizontal="center" vertical="center"/>
    </xf>
    <xf numFmtId="169" fontId="230" fillId="0" borderId="40" xfId="1" quotePrefix="1" applyNumberFormat="1" applyFont="1" applyBorder="1" applyAlignment="1">
      <alignment horizontal="right" vertical="center"/>
    </xf>
    <xf numFmtId="169" fontId="232" fillId="0" borderId="42" xfId="1" applyNumberFormat="1" applyFont="1" applyBorder="1" applyAlignment="1">
      <alignment horizontal="center" vertical="center"/>
    </xf>
    <xf numFmtId="169" fontId="232" fillId="0" borderId="0" xfId="1" applyNumberFormat="1" applyFont="1" applyAlignment="1">
      <alignment horizontal="right" vertical="center" wrapText="1"/>
    </xf>
    <xf numFmtId="169" fontId="233" fillId="0" borderId="42" xfId="1" applyNumberFormat="1" applyFont="1" applyBorder="1" applyAlignment="1">
      <alignment horizontal="center" vertical="center"/>
    </xf>
    <xf numFmtId="0" fontId="231" fillId="0" borderId="0" xfId="0" applyFont="1" applyAlignment="1">
      <alignment horizontal="center" vertical="center"/>
    </xf>
    <xf numFmtId="193" fontId="232" fillId="0" borderId="0" xfId="0" applyNumberFormat="1" applyFont="1" applyAlignment="1">
      <alignment horizontal="center" vertical="center"/>
    </xf>
    <xf numFmtId="169" fontId="233" fillId="0" borderId="0" xfId="1" applyNumberFormat="1" applyFont="1" applyBorder="1" applyAlignment="1">
      <alignment horizontal="center" vertical="center"/>
    </xf>
    <xf numFmtId="0" fontId="233" fillId="0" borderId="40" xfId="0" applyFont="1" applyBorder="1" applyAlignment="1">
      <alignment horizontal="center" vertical="center"/>
    </xf>
    <xf numFmtId="169" fontId="232" fillId="0" borderId="0" xfId="1" applyNumberFormat="1" applyFont="1" applyAlignment="1">
      <alignment horizontal="right" vertical="top" wrapText="1"/>
    </xf>
    <xf numFmtId="169" fontId="233" fillId="0" borderId="41" xfId="1" applyNumberFormat="1" applyFont="1" applyBorder="1" applyAlignment="1">
      <alignment horizontal="center" vertical="center"/>
    </xf>
    <xf numFmtId="169" fontId="233" fillId="0" borderId="40" xfId="1" quotePrefix="1" applyNumberFormat="1" applyFont="1" applyBorder="1" applyAlignment="1">
      <alignment horizontal="right" vertical="center"/>
    </xf>
    <xf numFmtId="169" fontId="232" fillId="0" borderId="0" xfId="1" applyNumberFormat="1" applyFont="1" applyBorder="1" applyAlignment="1">
      <alignment horizontal="center" vertical="center"/>
    </xf>
    <xf numFmtId="0" fontId="162" fillId="0" borderId="0" xfId="52" applyFont="1" applyAlignment="1">
      <alignment vertical="center"/>
    </xf>
    <xf numFmtId="0" fontId="162" fillId="0" borderId="0" xfId="52" applyFont="1" applyAlignment="1">
      <alignment horizontal="center" vertical="center"/>
    </xf>
    <xf numFmtId="169" fontId="162" fillId="0" borderId="0" xfId="1" applyNumberFormat="1" applyFont="1" applyAlignment="1">
      <alignment horizontal="right" vertical="center"/>
    </xf>
    <xf numFmtId="0" fontId="162" fillId="0" borderId="0" xfId="52" applyFont="1" applyAlignment="1">
      <alignment horizontal="left" vertical="center" indent="2"/>
    </xf>
    <xf numFmtId="9" fontId="162" fillId="0" borderId="0" xfId="52" applyNumberFormat="1" applyFont="1" applyAlignment="1">
      <alignment horizontal="right" vertical="center"/>
    </xf>
    <xf numFmtId="9" fontId="162" fillId="0" borderId="0" xfId="2" applyFont="1" applyAlignment="1">
      <alignment horizontal="right" vertical="center"/>
    </xf>
    <xf numFmtId="171" fontId="162" fillId="0" borderId="0" xfId="2" applyNumberFormat="1" applyFont="1" applyAlignment="1">
      <alignment horizontal="right" vertical="center"/>
    </xf>
    <xf numFmtId="0" fontId="160" fillId="0" borderId="0" xfId="52" applyFont="1" applyAlignment="1">
      <alignment vertical="center"/>
    </xf>
    <xf numFmtId="0" fontId="160" fillId="0" borderId="0" xfId="52" applyFont="1" applyAlignment="1">
      <alignment horizontal="center" vertical="center"/>
    </xf>
    <xf numFmtId="169" fontId="160" fillId="0" borderId="0" xfId="1" applyNumberFormat="1" applyFont="1" applyAlignment="1">
      <alignment horizontal="right" vertical="center"/>
    </xf>
    <xf numFmtId="0" fontId="162" fillId="0" borderId="2" xfId="52" applyFont="1" applyBorder="1" applyAlignment="1">
      <alignment vertical="center"/>
    </xf>
    <xf numFmtId="0" fontId="162" fillId="0" borderId="2" xfId="52" applyFont="1" applyBorder="1" applyAlignment="1">
      <alignment horizontal="center" vertical="center"/>
    </xf>
    <xf numFmtId="169" fontId="162" fillId="0" borderId="2" xfId="52" applyNumberFormat="1" applyFont="1" applyBorder="1" applyAlignment="1">
      <alignment horizontal="right" vertical="center"/>
    </xf>
    <xf numFmtId="0" fontId="160" fillId="63" borderId="0" xfId="52" applyFont="1" applyFill="1"/>
    <xf numFmtId="0" fontId="160" fillId="63" borderId="0" xfId="52" applyFont="1" applyFill="1" applyAlignment="1">
      <alignment horizontal="center"/>
    </xf>
    <xf numFmtId="169" fontId="160" fillId="63" borderId="0" xfId="1" applyNumberFormat="1" applyFont="1" applyFill="1" applyAlignment="1">
      <alignment horizontal="right"/>
    </xf>
    <xf numFmtId="0" fontId="162" fillId="0" borderId="0" xfId="52" applyFont="1"/>
    <xf numFmtId="0" fontId="162" fillId="0" borderId="0" xfId="52" applyFont="1" applyAlignment="1">
      <alignment horizontal="center"/>
    </xf>
    <xf numFmtId="9" fontId="162" fillId="0" borderId="0" xfId="2" applyFont="1" applyAlignment="1">
      <alignment horizontal="right"/>
    </xf>
    <xf numFmtId="9" fontId="232" fillId="0" borderId="0" xfId="2" applyFont="1" applyBorder="1" applyAlignment="1">
      <alignment horizontal="right" vertical="center"/>
    </xf>
    <xf numFmtId="0" fontId="159" fillId="0" borderId="46" xfId="52" applyFont="1" applyBorder="1" applyAlignment="1">
      <alignment vertical="center"/>
    </xf>
    <xf numFmtId="169" fontId="159" fillId="0" borderId="46" xfId="52" applyNumberFormat="1" applyFont="1" applyBorder="1" applyAlignment="1">
      <alignment horizontal="right" vertical="center"/>
    </xf>
    <xf numFmtId="0" fontId="158" fillId="0" borderId="45" xfId="52" applyFont="1" applyBorder="1" applyAlignment="1">
      <alignment horizontal="right" vertical="center"/>
    </xf>
    <xf numFmtId="169" fontId="158" fillId="0" borderId="45" xfId="52" applyNumberFormat="1" applyFont="1" applyBorder="1" applyAlignment="1">
      <alignment horizontal="right" vertical="center"/>
    </xf>
    <xf numFmtId="49" fontId="160" fillId="58" borderId="0" xfId="0" applyNumberFormat="1" applyFont="1" applyFill="1" applyAlignment="1">
      <alignment horizontal="right" vertical="center"/>
    </xf>
    <xf numFmtId="49" fontId="160" fillId="58" borderId="0" xfId="0" applyNumberFormat="1" applyFont="1" applyFill="1" applyAlignment="1">
      <alignment horizontal="left" vertical="center"/>
    </xf>
    <xf numFmtId="169" fontId="232" fillId="0" borderId="47" xfId="1" applyNumberFormat="1" applyFont="1" applyBorder="1" applyAlignment="1">
      <alignment horizontal="center" vertical="center"/>
    </xf>
    <xf numFmtId="169" fontId="232" fillId="0" borderId="50" xfId="1" applyNumberFormat="1" applyFont="1" applyBorder="1" applyAlignment="1">
      <alignment horizontal="center" vertical="center"/>
    </xf>
    <xf numFmtId="169" fontId="232" fillId="0" borderId="51" xfId="1" applyNumberFormat="1" applyFont="1" applyBorder="1" applyAlignment="1">
      <alignment horizontal="center" vertical="center"/>
    </xf>
    <xf numFmtId="169" fontId="232" fillId="0" borderId="52" xfId="1" applyNumberFormat="1" applyFont="1" applyBorder="1" applyAlignment="1">
      <alignment horizontal="center" vertical="center"/>
    </xf>
    <xf numFmtId="193" fontId="232" fillId="0" borderId="53" xfId="0" applyNumberFormat="1" applyFont="1" applyBorder="1" applyAlignment="1">
      <alignment horizontal="center" vertical="center"/>
    </xf>
    <xf numFmtId="0" fontId="232" fillId="0" borderId="48" xfId="0" applyFont="1" applyBorder="1" applyAlignment="1">
      <alignment horizontal="center" vertical="center"/>
    </xf>
    <xf numFmtId="169" fontId="159" fillId="0" borderId="48" xfId="52" applyNumberFormat="1" applyFont="1" applyBorder="1" applyAlignment="1">
      <alignment horizontal="right" vertical="center"/>
    </xf>
    <xf numFmtId="169" fontId="232" fillId="0" borderId="54" xfId="1" applyNumberFormat="1" applyFont="1" applyBorder="1" applyAlignment="1">
      <alignment horizontal="center" vertical="center"/>
    </xf>
    <xf numFmtId="0" fontId="159" fillId="0" borderId="48" xfId="52" applyFont="1" applyBorder="1" applyAlignment="1">
      <alignment horizontal="right" vertical="center"/>
    </xf>
    <xf numFmtId="193" fontId="232" fillId="0" borderId="55" xfId="0" applyNumberFormat="1" applyFont="1" applyBorder="1" applyAlignment="1">
      <alignment horizontal="center" vertical="center"/>
    </xf>
    <xf numFmtId="49" fontId="160" fillId="58" borderId="54" xfId="0" applyNumberFormat="1" applyFont="1" applyFill="1" applyBorder="1" applyAlignment="1">
      <alignment horizontal="right" vertical="center"/>
    </xf>
    <xf numFmtId="0" fontId="158" fillId="0" borderId="54" xfId="52" applyFont="1" applyBorder="1" applyAlignment="1">
      <alignment horizontal="right" vertical="center"/>
    </xf>
    <xf numFmtId="0" fontId="158" fillId="0" borderId="54" xfId="52" applyFont="1" applyBorder="1" applyAlignment="1">
      <alignment vertical="center"/>
    </xf>
    <xf numFmtId="193" fontId="159" fillId="0" borderId="49" xfId="1" applyNumberFormat="1" applyFont="1" applyBorder="1"/>
    <xf numFmtId="0" fontId="159" fillId="0" borderId="49" xfId="52" applyFont="1" applyBorder="1"/>
    <xf numFmtId="169" fontId="159" fillId="0" borderId="49" xfId="1" applyNumberFormat="1" applyFont="1" applyBorder="1"/>
    <xf numFmtId="0" fontId="158" fillId="0" borderId="54" xfId="52" applyFont="1" applyBorder="1"/>
    <xf numFmtId="3" fontId="158" fillId="0" borderId="54" xfId="52" applyNumberFormat="1" applyFont="1" applyBorder="1"/>
    <xf numFmtId="169" fontId="158" fillId="0" borderId="54" xfId="1" applyNumberFormat="1" applyFont="1" applyBorder="1"/>
    <xf numFmtId="193" fontId="158" fillId="0" borderId="0" xfId="1" applyNumberFormat="1" applyFont="1" applyBorder="1"/>
    <xf numFmtId="171" fontId="176" fillId="0" borderId="11" xfId="2" applyNumberFormat="1" applyFont="1" applyFill="1" applyBorder="1" applyAlignment="1">
      <alignment horizontal="right" vertical="center"/>
    </xf>
    <xf numFmtId="3" fontId="158" fillId="0" borderId="11" xfId="52" applyNumberFormat="1" applyFont="1" applyBorder="1"/>
    <xf numFmtId="169" fontId="232" fillId="0" borderId="4" xfId="1" applyNumberFormat="1" applyFont="1" applyBorder="1" applyAlignment="1">
      <alignment horizontal="center" vertical="center"/>
    </xf>
    <xf numFmtId="169" fontId="232" fillId="0" borderId="57" xfId="1" applyNumberFormat="1" applyFont="1" applyBorder="1" applyAlignment="1">
      <alignment horizontal="center" vertical="center"/>
    </xf>
    <xf numFmtId="169" fontId="232" fillId="0" borderId="58" xfId="1" applyNumberFormat="1" applyFont="1" applyBorder="1" applyAlignment="1">
      <alignment horizontal="right" vertical="top" wrapText="1"/>
    </xf>
    <xf numFmtId="169" fontId="232" fillId="0" borderId="52" xfId="1" applyNumberFormat="1" applyFont="1" applyBorder="1" applyAlignment="1">
      <alignment horizontal="right" vertical="top" wrapText="1"/>
    </xf>
    <xf numFmtId="9" fontId="232" fillId="0" borderId="54" xfId="2" applyFont="1" applyBorder="1" applyAlignment="1">
      <alignment horizontal="center" vertical="center"/>
    </xf>
    <xf numFmtId="0" fontId="233" fillId="0" borderId="49" xfId="0" applyFont="1" applyBorder="1" applyAlignment="1">
      <alignment horizontal="center" vertical="center"/>
    </xf>
    <xf numFmtId="0" fontId="233" fillId="0" borderId="49" xfId="0" quotePrefix="1" applyFont="1" applyBorder="1" applyAlignment="1">
      <alignment horizontal="right" vertical="center"/>
    </xf>
    <xf numFmtId="0" fontId="233" fillId="0" borderId="59" xfId="0" applyFont="1" applyBorder="1" applyAlignment="1">
      <alignment horizontal="center" vertical="center"/>
    </xf>
    <xf numFmtId="169" fontId="233" fillId="0" borderId="50" xfId="1" applyNumberFormat="1" applyFont="1" applyBorder="1" applyAlignment="1">
      <alignment horizontal="center" vertical="center"/>
    </xf>
    <xf numFmtId="169" fontId="232" fillId="0" borderId="0" xfId="1" applyNumberFormat="1" applyFont="1" applyBorder="1" applyAlignment="1">
      <alignment horizontal="right" vertical="top" wrapText="1"/>
    </xf>
    <xf numFmtId="169" fontId="232" fillId="0" borderId="48" xfId="1" applyNumberFormat="1" applyFont="1" applyBorder="1" applyAlignment="1">
      <alignment horizontal="center" vertical="center"/>
    </xf>
    <xf numFmtId="0" fontId="176" fillId="0" borderId="54" xfId="52" applyFont="1" applyBorder="1"/>
    <xf numFmtId="0" fontId="232" fillId="0" borderId="53" xfId="0" applyFont="1" applyBorder="1" applyAlignment="1">
      <alignment horizontal="center" vertical="center"/>
    </xf>
    <xf numFmtId="0" fontId="233" fillId="0" borderId="60" xfId="0" applyFont="1" applyBorder="1" applyAlignment="1">
      <alignment horizontal="center" vertical="center"/>
    </xf>
    <xf numFmtId="171" fontId="176" fillId="0" borderId="54" xfId="2" applyNumberFormat="1" applyFont="1" applyBorder="1"/>
    <xf numFmtId="166" fontId="158" fillId="0" borderId="11" xfId="73" applyFont="1" applyBorder="1"/>
    <xf numFmtId="49" fontId="234" fillId="58" borderId="0" xfId="0" applyNumberFormat="1" applyFont="1" applyFill="1" applyAlignment="1">
      <alignment horizontal="right" vertical="center"/>
    </xf>
    <xf numFmtId="49" fontId="234" fillId="58" borderId="54" xfId="0" applyNumberFormat="1" applyFont="1" applyFill="1" applyBorder="1" applyAlignment="1">
      <alignment horizontal="right" vertical="center"/>
    </xf>
    <xf numFmtId="193" fontId="235" fillId="0" borderId="0" xfId="52" applyNumberFormat="1" applyFont="1"/>
    <xf numFmtId="169" fontId="235" fillId="0" borderId="0" xfId="1" applyNumberFormat="1" applyFont="1" applyBorder="1"/>
    <xf numFmtId="193" fontId="235" fillId="0" borderId="54" xfId="52" applyNumberFormat="1" applyFont="1" applyBorder="1"/>
    <xf numFmtId="0" fontId="235" fillId="0" borderId="0" xfId="52" applyFont="1" applyAlignment="1">
      <alignment horizontal="right"/>
    </xf>
    <xf numFmtId="169" fontId="235" fillId="0" borderId="54" xfId="52" applyNumberFormat="1" applyFont="1" applyBorder="1" applyAlignment="1">
      <alignment horizontal="right"/>
    </xf>
    <xf numFmtId="0" fontId="236" fillId="0" borderId="54" xfId="52" applyFont="1" applyBorder="1"/>
    <xf numFmtId="0" fontId="236" fillId="0" borderId="0" xfId="52" applyFont="1"/>
    <xf numFmtId="169" fontId="236" fillId="0" borderId="54" xfId="1" applyNumberFormat="1" applyFont="1" applyBorder="1"/>
    <xf numFmtId="169" fontId="236" fillId="0" borderId="0" xfId="1" applyNumberFormat="1" applyFont="1" applyBorder="1"/>
    <xf numFmtId="0" fontId="235" fillId="0" borderId="54" xfId="52" applyFont="1" applyBorder="1"/>
    <xf numFmtId="0" fontId="235" fillId="0" borderId="0" xfId="52" applyFont="1"/>
    <xf numFmtId="9" fontId="237" fillId="0" borderId="54" xfId="2" applyFont="1" applyBorder="1"/>
    <xf numFmtId="9" fontId="237" fillId="0" borderId="49" xfId="2" applyFont="1" applyBorder="1"/>
    <xf numFmtId="223" fontId="158" fillId="0" borderId="0" xfId="73" applyNumberFormat="1" applyFont="1"/>
    <xf numFmtId="169" fontId="158" fillId="0" borderId="11" xfId="1" applyNumberFormat="1" applyFont="1" applyBorder="1"/>
    <xf numFmtId="220" fontId="176" fillId="10" borderId="0" xfId="1" applyNumberFormat="1" applyFont="1" applyFill="1" applyBorder="1" applyAlignment="1">
      <alignment horizontal="right" vertical="center"/>
    </xf>
    <xf numFmtId="169" fontId="170" fillId="0" borderId="0" xfId="1" applyNumberFormat="1" applyFont="1"/>
    <xf numFmtId="0" fontId="170" fillId="0" borderId="0" xfId="52" applyFont="1"/>
    <xf numFmtId="171" fontId="60" fillId="0" borderId="0" xfId="2" applyNumberFormat="1" applyFont="1"/>
    <xf numFmtId="171" fontId="35" fillId="0" borderId="0" xfId="2" applyNumberFormat="1" applyFont="1"/>
    <xf numFmtId="171" fontId="232" fillId="0" borderId="0" xfId="2" applyNumberFormat="1" applyFont="1" applyBorder="1" applyAlignment="1">
      <alignment horizontal="right" vertical="center"/>
    </xf>
    <xf numFmtId="171" fontId="176" fillId="0" borderId="0" xfId="2" applyNumberFormat="1" applyFont="1" applyFill="1" applyAlignment="1">
      <alignment horizontal="right" vertical="center"/>
    </xf>
    <xf numFmtId="0" fontId="158" fillId="10" borderId="0" xfId="0" applyFont="1" applyFill="1" applyProtection="1">
      <protection locked="0"/>
    </xf>
    <xf numFmtId="0" fontId="158" fillId="10" borderId="0" xfId="0" applyFont="1" applyFill="1" applyAlignment="1" applyProtection="1">
      <alignment horizontal="right"/>
      <protection locked="0"/>
    </xf>
    <xf numFmtId="200" fontId="158" fillId="10" borderId="0" xfId="0" applyNumberFormat="1" applyFont="1" applyFill="1" applyAlignment="1" applyProtection="1">
      <alignment horizontal="right"/>
      <protection locked="0"/>
    </xf>
    <xf numFmtId="0" fontId="158" fillId="10" borderId="0" xfId="0" applyFont="1" applyFill="1" applyAlignment="1" applyProtection="1">
      <alignment horizontal="right" vertical="center"/>
      <protection locked="0"/>
    </xf>
    <xf numFmtId="0" fontId="135" fillId="10" borderId="0" xfId="0" applyFont="1" applyFill="1" applyProtection="1">
      <protection locked="0"/>
    </xf>
    <xf numFmtId="43" fontId="158" fillId="10" borderId="0" xfId="0" applyNumberFormat="1" applyFont="1" applyFill="1" applyAlignment="1" applyProtection="1">
      <alignment horizontal="right"/>
      <protection locked="0"/>
    </xf>
    <xf numFmtId="0" fontId="159" fillId="10" borderId="0" xfId="0" applyFont="1" applyFill="1" applyProtection="1">
      <protection locked="0"/>
    </xf>
    <xf numFmtId="0" fontId="159" fillId="10" borderId="0" xfId="0" applyFont="1" applyFill="1" applyAlignment="1" applyProtection="1">
      <alignment horizontal="right"/>
      <protection locked="0"/>
    </xf>
    <xf numFmtId="200" fontId="159" fillId="10" borderId="0" xfId="0" applyNumberFormat="1" applyFont="1" applyFill="1" applyAlignment="1" applyProtection="1">
      <alignment horizontal="right"/>
      <protection locked="0"/>
    </xf>
    <xf numFmtId="169" fontId="159" fillId="10" borderId="0" xfId="1" applyNumberFormat="1" applyFont="1" applyFill="1" applyBorder="1" applyAlignment="1" applyProtection="1">
      <alignment horizontal="right"/>
      <protection locked="0"/>
    </xf>
    <xf numFmtId="171" fontId="159" fillId="10" borderId="0" xfId="2" applyNumberFormat="1" applyFont="1" applyFill="1" applyBorder="1" applyAlignment="1" applyProtection="1">
      <alignment horizontal="right"/>
      <protection locked="0"/>
    </xf>
    <xf numFmtId="0" fontId="66" fillId="10" borderId="0" xfId="0" applyFont="1" applyFill="1" applyProtection="1">
      <protection locked="0"/>
    </xf>
    <xf numFmtId="49" fontId="160" fillId="64" borderId="0" xfId="0" applyNumberFormat="1" applyFont="1" applyFill="1" applyProtection="1">
      <protection locked="0"/>
    </xf>
    <xf numFmtId="49" fontId="160" fillId="64" borderId="0" xfId="0" applyNumberFormat="1" applyFont="1" applyFill="1" applyAlignment="1" applyProtection="1">
      <alignment horizontal="right"/>
      <protection locked="0"/>
    </xf>
    <xf numFmtId="49" fontId="178" fillId="64" borderId="0" xfId="0" applyNumberFormat="1" applyFont="1" applyFill="1" applyAlignment="1" applyProtection="1">
      <alignment horizontal="right"/>
      <protection locked="0"/>
    </xf>
    <xf numFmtId="49" fontId="158" fillId="64" borderId="0" xfId="0" applyNumberFormat="1" applyFont="1" applyFill="1" applyAlignment="1" applyProtection="1">
      <alignment horizontal="right"/>
      <protection locked="0"/>
    </xf>
    <xf numFmtId="49" fontId="160" fillId="64" borderId="0" xfId="0" applyNumberFormat="1" applyFont="1" applyFill="1" applyAlignment="1" applyProtection="1">
      <alignment horizontal="right" vertical="center"/>
      <protection locked="0"/>
    </xf>
    <xf numFmtId="49" fontId="141" fillId="64" borderId="0" xfId="0" applyNumberFormat="1" applyFont="1" applyFill="1" applyProtection="1">
      <protection locked="0"/>
    </xf>
    <xf numFmtId="0" fontId="177" fillId="10" borderId="0" xfId="0" applyFont="1" applyFill="1" applyProtection="1">
      <protection locked="0"/>
    </xf>
    <xf numFmtId="169" fontId="179" fillId="10" borderId="0" xfId="1" applyNumberFormat="1" applyFont="1" applyFill="1" applyProtection="1">
      <protection locked="0"/>
    </xf>
    <xf numFmtId="169" fontId="179" fillId="10" borderId="0" xfId="1" applyNumberFormat="1" applyFont="1" applyFill="1" applyAlignment="1" applyProtection="1">
      <alignment horizontal="right"/>
      <protection locked="0"/>
    </xf>
    <xf numFmtId="169" fontId="179" fillId="10" borderId="0" xfId="1" applyNumberFormat="1" applyFont="1" applyFill="1" applyBorder="1" applyAlignment="1" applyProtection="1">
      <alignment horizontal="right"/>
      <protection locked="0"/>
    </xf>
    <xf numFmtId="169" fontId="179" fillId="10" borderId="0" xfId="0" applyNumberFormat="1" applyFont="1" applyFill="1" applyAlignment="1" applyProtection="1">
      <alignment horizontal="right"/>
      <protection locked="0"/>
    </xf>
    <xf numFmtId="169" fontId="177" fillId="10" borderId="0" xfId="0" applyNumberFormat="1" applyFont="1" applyFill="1" applyAlignment="1" applyProtection="1">
      <alignment horizontal="right"/>
      <protection locked="0"/>
    </xf>
    <xf numFmtId="3" fontId="177" fillId="10" borderId="0" xfId="0" applyNumberFormat="1" applyFont="1" applyFill="1" applyAlignment="1" applyProtection="1">
      <alignment horizontal="right"/>
      <protection locked="0"/>
    </xf>
    <xf numFmtId="169" fontId="177" fillId="10" borderId="4" xfId="0" applyNumberFormat="1" applyFont="1" applyFill="1" applyBorder="1" applyAlignment="1" applyProtection="1">
      <alignment horizontal="right"/>
      <protection locked="0"/>
    </xf>
    <xf numFmtId="169" fontId="177" fillId="10" borderId="4" xfId="0" applyNumberFormat="1" applyFont="1" applyFill="1" applyBorder="1" applyAlignment="1" applyProtection="1">
      <alignment horizontal="right" vertical="center"/>
      <protection locked="0"/>
    </xf>
    <xf numFmtId="169" fontId="177" fillId="10" borderId="0" xfId="0" applyNumberFormat="1" applyFont="1" applyFill="1" applyAlignment="1" applyProtection="1">
      <alignment horizontal="right" vertical="center"/>
      <protection locked="0"/>
    </xf>
    <xf numFmtId="169" fontId="177" fillId="10" borderId="0" xfId="0" applyNumberFormat="1" applyFont="1" applyFill="1" applyProtection="1">
      <protection locked="0"/>
    </xf>
    <xf numFmtId="0" fontId="140" fillId="10" borderId="0" xfId="0" applyFont="1" applyFill="1" applyProtection="1">
      <protection locked="0"/>
    </xf>
    <xf numFmtId="0" fontId="170" fillId="10" borderId="0" xfId="0" applyFont="1" applyFill="1" applyProtection="1">
      <protection locked="0"/>
    </xf>
    <xf numFmtId="9" fontId="180" fillId="10" borderId="0" xfId="2" applyFont="1" applyFill="1" applyProtection="1">
      <protection locked="0"/>
    </xf>
    <xf numFmtId="9" fontId="180" fillId="10" borderId="0" xfId="2" applyFont="1" applyFill="1" applyAlignment="1" applyProtection="1">
      <alignment horizontal="right"/>
      <protection locked="0"/>
    </xf>
    <xf numFmtId="9" fontId="180" fillId="10" borderId="0" xfId="2" applyFont="1" applyFill="1" applyBorder="1" applyAlignment="1" applyProtection="1">
      <alignment horizontal="right"/>
      <protection locked="0"/>
    </xf>
    <xf numFmtId="9" fontId="180" fillId="10" borderId="5" xfId="2" applyFont="1" applyFill="1" applyBorder="1" applyAlignment="1" applyProtection="1">
      <alignment horizontal="right"/>
      <protection locked="0"/>
    </xf>
    <xf numFmtId="9" fontId="170" fillId="10" borderId="0" xfId="2" applyFont="1" applyFill="1" applyAlignment="1" applyProtection="1">
      <alignment horizontal="right"/>
      <protection locked="0"/>
    </xf>
    <xf numFmtId="0" fontId="170" fillId="10" borderId="0" xfId="0" applyFont="1" applyFill="1" applyAlignment="1" applyProtection="1">
      <alignment horizontal="right"/>
      <protection locked="0"/>
    </xf>
    <xf numFmtId="9" fontId="170" fillId="10" borderId="4" xfId="2" applyFont="1" applyFill="1" applyBorder="1" applyAlignment="1" applyProtection="1">
      <alignment horizontal="right"/>
      <protection locked="0"/>
    </xf>
    <xf numFmtId="9" fontId="170" fillId="10" borderId="0" xfId="2" applyFont="1" applyFill="1" applyBorder="1" applyAlignment="1" applyProtection="1">
      <alignment horizontal="right"/>
      <protection locked="0"/>
    </xf>
    <xf numFmtId="9" fontId="170" fillId="10" borderId="4" xfId="2" applyFont="1" applyFill="1" applyBorder="1" applyAlignment="1" applyProtection="1">
      <alignment horizontal="right" vertical="center"/>
      <protection locked="0"/>
    </xf>
    <xf numFmtId="9" fontId="170" fillId="10" borderId="0" xfId="2" applyFont="1" applyFill="1" applyAlignment="1" applyProtection="1">
      <alignment horizontal="right" vertical="center"/>
      <protection locked="0"/>
    </xf>
    <xf numFmtId="9" fontId="170" fillId="10" borderId="0" xfId="2" applyFont="1" applyFill="1" applyProtection="1">
      <protection locked="0"/>
    </xf>
    <xf numFmtId="0" fontId="138" fillId="10" borderId="0" xfId="0" applyFont="1" applyFill="1" applyProtection="1">
      <protection locked="0"/>
    </xf>
    <xf numFmtId="0" fontId="159" fillId="13" borderId="0" xfId="0" applyFont="1" applyFill="1" applyProtection="1">
      <protection locked="0"/>
    </xf>
    <xf numFmtId="169" fontId="179" fillId="13" borderId="0" xfId="1" applyNumberFormat="1" applyFont="1" applyFill="1" applyProtection="1">
      <protection locked="0"/>
    </xf>
    <xf numFmtId="169" fontId="179" fillId="13" borderId="0" xfId="1" applyNumberFormat="1" applyFont="1" applyFill="1" applyAlignment="1" applyProtection="1">
      <alignment horizontal="right"/>
      <protection locked="0"/>
    </xf>
    <xf numFmtId="169" fontId="179" fillId="13" borderId="0" xfId="1" applyNumberFormat="1" applyFont="1" applyFill="1" applyBorder="1" applyAlignment="1" applyProtection="1">
      <alignment horizontal="right"/>
      <protection locked="0"/>
    </xf>
    <xf numFmtId="169" fontId="179" fillId="13" borderId="0" xfId="0" applyNumberFormat="1" applyFont="1" applyFill="1" applyAlignment="1" applyProtection="1">
      <alignment horizontal="right"/>
      <protection locked="0"/>
    </xf>
    <xf numFmtId="169" fontId="179" fillId="13" borderId="5" xfId="0" applyNumberFormat="1" applyFont="1" applyFill="1" applyBorder="1" applyAlignment="1" applyProtection="1">
      <alignment horizontal="right"/>
      <protection locked="0"/>
    </xf>
    <xf numFmtId="169" fontId="159" fillId="13" borderId="0" xfId="0" applyNumberFormat="1" applyFont="1" applyFill="1" applyAlignment="1" applyProtection="1">
      <alignment horizontal="right"/>
      <protection locked="0"/>
    </xf>
    <xf numFmtId="49" fontId="158" fillId="13" borderId="0" xfId="0" applyNumberFormat="1" applyFont="1" applyFill="1" applyAlignment="1" applyProtection="1">
      <alignment horizontal="right"/>
      <protection locked="0"/>
    </xf>
    <xf numFmtId="169" fontId="159" fillId="13" borderId="0" xfId="1" applyNumberFormat="1" applyFont="1" applyFill="1" applyAlignment="1" applyProtection="1">
      <alignment horizontal="right"/>
      <protection locked="0"/>
    </xf>
    <xf numFmtId="169" fontId="159" fillId="13" borderId="4" xfId="1" applyNumberFormat="1" applyFont="1" applyFill="1" applyBorder="1" applyAlignment="1" applyProtection="1">
      <alignment horizontal="right"/>
      <protection locked="0"/>
    </xf>
    <xf numFmtId="169" fontId="159" fillId="13" borderId="0" xfId="1" applyNumberFormat="1" applyFont="1" applyFill="1" applyBorder="1" applyAlignment="1" applyProtection="1">
      <alignment horizontal="right"/>
      <protection locked="0"/>
    </xf>
    <xf numFmtId="169" fontId="159" fillId="13" borderId="4" xfId="1" applyNumberFormat="1" applyFont="1" applyFill="1" applyBorder="1" applyAlignment="1" applyProtection="1">
      <alignment horizontal="right" vertical="center"/>
      <protection locked="0"/>
    </xf>
    <xf numFmtId="169" fontId="159" fillId="13" borderId="0" xfId="1" applyNumberFormat="1" applyFont="1" applyFill="1" applyAlignment="1" applyProtection="1">
      <alignment horizontal="right" vertical="center"/>
      <protection locked="0"/>
    </xf>
    <xf numFmtId="169" fontId="159" fillId="13" borderId="0" xfId="1" applyNumberFormat="1" applyFont="1" applyFill="1" applyProtection="1">
      <protection locked="0"/>
    </xf>
    <xf numFmtId="0" fontId="66" fillId="13" borderId="0" xfId="0" applyFont="1" applyFill="1" applyProtection="1">
      <protection locked="0"/>
    </xf>
    <xf numFmtId="0" fontId="172" fillId="10" borderId="0" xfId="0" applyFont="1" applyFill="1" applyProtection="1">
      <protection locked="0"/>
    </xf>
    <xf numFmtId="9" fontId="172" fillId="10" borderId="0" xfId="2" applyFont="1" applyFill="1" applyAlignment="1" applyProtection="1">
      <alignment horizontal="right"/>
      <protection locked="0"/>
    </xf>
    <xf numFmtId="9" fontId="172" fillId="10" borderId="4" xfId="2" applyFont="1" applyFill="1" applyBorder="1" applyAlignment="1" applyProtection="1">
      <alignment horizontal="right"/>
      <protection locked="0"/>
    </xf>
    <xf numFmtId="9" fontId="172" fillId="10" borderId="0" xfId="2" applyFont="1" applyFill="1" applyBorder="1" applyAlignment="1" applyProtection="1">
      <alignment horizontal="right"/>
      <protection locked="0"/>
    </xf>
    <xf numFmtId="9" fontId="172" fillId="10" borderId="4" xfId="2" applyFont="1" applyFill="1" applyBorder="1" applyAlignment="1" applyProtection="1">
      <alignment horizontal="right" vertical="center"/>
      <protection locked="0"/>
    </xf>
    <xf numFmtId="9" fontId="172" fillId="10" borderId="0" xfId="2" applyFont="1" applyFill="1" applyAlignment="1" applyProtection="1">
      <alignment horizontal="right" vertical="center"/>
      <protection locked="0"/>
    </xf>
    <xf numFmtId="9" fontId="172" fillId="10" borderId="0" xfId="2" applyFont="1" applyFill="1" applyProtection="1">
      <protection locked="0"/>
    </xf>
    <xf numFmtId="0" fontId="136" fillId="10" borderId="0" xfId="0" applyFont="1" applyFill="1" applyProtection="1">
      <protection locked="0"/>
    </xf>
    <xf numFmtId="0" fontId="180" fillId="10" borderId="0" xfId="0" applyFont="1" applyFill="1" applyProtection="1">
      <protection locked="0"/>
    </xf>
    <xf numFmtId="171" fontId="180" fillId="10" borderId="0" xfId="2" applyNumberFormat="1" applyFont="1" applyFill="1" applyBorder="1" applyAlignment="1" applyProtection="1">
      <alignment horizontal="right"/>
      <protection locked="0"/>
    </xf>
    <xf numFmtId="0" fontId="170" fillId="10" borderId="0" xfId="0" applyFont="1" applyFill="1" applyAlignment="1" applyProtection="1">
      <alignment horizontal="right" vertical="center"/>
      <protection locked="0"/>
    </xf>
    <xf numFmtId="169" fontId="176" fillId="10" borderId="0" xfId="1" applyNumberFormat="1" applyFont="1" applyFill="1" applyAlignment="1" applyProtection="1">
      <alignment horizontal="left" indent="3"/>
      <protection locked="0"/>
    </xf>
    <xf numFmtId="169" fontId="180" fillId="10" borderId="0" xfId="1" applyNumberFormat="1" applyFont="1" applyFill="1" applyProtection="1">
      <protection locked="0"/>
    </xf>
    <xf numFmtId="169" fontId="180" fillId="10" borderId="0" xfId="1" applyNumberFormat="1" applyFont="1" applyFill="1" applyAlignment="1" applyProtection="1">
      <alignment horizontal="right"/>
      <protection locked="0"/>
    </xf>
    <xf numFmtId="169" fontId="180" fillId="10" borderId="0" xfId="1" applyNumberFormat="1" applyFont="1" applyFill="1" applyBorder="1" applyAlignment="1" applyProtection="1">
      <alignment horizontal="right"/>
      <protection locked="0"/>
    </xf>
    <xf numFmtId="169" fontId="180" fillId="10" borderId="5" xfId="1" applyNumberFormat="1" applyFont="1" applyFill="1" applyBorder="1" applyAlignment="1" applyProtection="1">
      <alignment horizontal="right"/>
      <protection locked="0"/>
    </xf>
    <xf numFmtId="169" fontId="176" fillId="10" borderId="0" xfId="1" applyNumberFormat="1" applyFont="1" applyFill="1" applyBorder="1" applyAlignment="1" applyProtection="1">
      <alignment horizontal="right"/>
      <protection locked="0"/>
    </xf>
    <xf numFmtId="49" fontId="158" fillId="10" borderId="0" xfId="0" applyNumberFormat="1" applyFont="1" applyFill="1" applyAlignment="1" applyProtection="1">
      <alignment horizontal="right"/>
      <protection locked="0"/>
    </xf>
    <xf numFmtId="169" fontId="176" fillId="10" borderId="0" xfId="1" applyNumberFormat="1" applyFont="1" applyFill="1" applyAlignment="1" applyProtection="1">
      <alignment horizontal="right"/>
      <protection locked="0"/>
    </xf>
    <xf numFmtId="169" fontId="176" fillId="10" borderId="4" xfId="1" applyNumberFormat="1" applyFont="1" applyFill="1" applyBorder="1" applyAlignment="1" applyProtection="1">
      <alignment horizontal="right"/>
      <protection locked="0"/>
    </xf>
    <xf numFmtId="169" fontId="176" fillId="10" borderId="4" xfId="1" applyNumberFormat="1" applyFont="1" applyFill="1" applyBorder="1" applyAlignment="1" applyProtection="1">
      <alignment horizontal="right" vertical="center"/>
      <protection locked="0"/>
    </xf>
    <xf numFmtId="169" fontId="176" fillId="10" borderId="0" xfId="1" applyNumberFormat="1" applyFont="1" applyFill="1" applyAlignment="1" applyProtection="1">
      <alignment horizontal="right" vertical="center"/>
      <protection locked="0"/>
    </xf>
    <xf numFmtId="169" fontId="176" fillId="10" borderId="0" xfId="1" applyNumberFormat="1" applyFont="1" applyFill="1" applyProtection="1">
      <protection locked="0"/>
    </xf>
    <xf numFmtId="169" fontId="143" fillId="10" borderId="0" xfId="1" applyNumberFormat="1" applyFont="1" applyFill="1" applyProtection="1">
      <protection locked="0"/>
    </xf>
    <xf numFmtId="0" fontId="180" fillId="10" borderId="0" xfId="0" applyFont="1" applyFill="1" applyAlignment="1" applyProtection="1">
      <alignment horizontal="right"/>
      <protection locked="0"/>
    </xf>
    <xf numFmtId="169" fontId="170" fillId="10" borderId="0" xfId="0" applyNumberFormat="1" applyFont="1" applyFill="1" applyAlignment="1" applyProtection="1">
      <alignment horizontal="right"/>
      <protection locked="0"/>
    </xf>
    <xf numFmtId="0" fontId="170" fillId="10" borderId="4" xfId="0" applyFont="1" applyFill="1" applyBorder="1" applyAlignment="1" applyProtection="1">
      <alignment horizontal="right"/>
      <protection locked="0"/>
    </xf>
    <xf numFmtId="0" fontId="170" fillId="10" borderId="4" xfId="0" applyFont="1" applyFill="1" applyBorder="1" applyAlignment="1" applyProtection="1">
      <alignment horizontal="right" vertical="center"/>
      <protection locked="0"/>
    </xf>
    <xf numFmtId="193" fontId="170" fillId="10" borderId="0" xfId="1" applyNumberFormat="1" applyFont="1" applyFill="1" applyAlignment="1" applyProtection="1">
      <alignment horizontal="right"/>
      <protection locked="0"/>
    </xf>
    <xf numFmtId="43" fontId="170" fillId="10" borderId="0" xfId="1" applyFont="1" applyFill="1" applyAlignment="1" applyProtection="1">
      <alignment horizontal="right"/>
      <protection locked="0"/>
    </xf>
    <xf numFmtId="43" fontId="170" fillId="10" borderId="4" xfId="1" applyFont="1" applyFill="1" applyBorder="1" applyAlignment="1" applyProtection="1">
      <alignment horizontal="right"/>
      <protection locked="0"/>
    </xf>
    <xf numFmtId="193" fontId="170" fillId="10" borderId="0" xfId="1" applyNumberFormat="1" applyFont="1" applyFill="1" applyBorder="1" applyAlignment="1" applyProtection="1">
      <alignment horizontal="right"/>
      <protection locked="0"/>
    </xf>
    <xf numFmtId="43" fontId="170" fillId="10" borderId="0" xfId="1" applyFont="1" applyFill="1" applyBorder="1" applyAlignment="1" applyProtection="1">
      <alignment horizontal="right"/>
      <protection locked="0"/>
    </xf>
    <xf numFmtId="43" fontId="170" fillId="10" borderId="4" xfId="1" applyFont="1" applyFill="1" applyBorder="1" applyAlignment="1" applyProtection="1">
      <alignment horizontal="right" vertical="center"/>
      <protection locked="0"/>
    </xf>
    <xf numFmtId="169" fontId="170" fillId="10" borderId="0" xfId="1" applyNumberFormat="1" applyFont="1" applyFill="1" applyProtection="1">
      <protection locked="0"/>
    </xf>
    <xf numFmtId="9" fontId="180" fillId="6" borderId="0" xfId="2" applyFont="1" applyFill="1" applyBorder="1" applyAlignment="1" applyProtection="1">
      <alignment horizontal="right"/>
      <protection locked="0"/>
    </xf>
    <xf numFmtId="9" fontId="170" fillId="6" borderId="0" xfId="2" applyFont="1" applyFill="1" applyBorder="1" applyAlignment="1" applyProtection="1">
      <alignment horizontal="right"/>
      <protection locked="0"/>
    </xf>
    <xf numFmtId="9" fontId="170" fillId="6" borderId="4" xfId="2" applyFont="1" applyFill="1" applyBorder="1" applyAlignment="1" applyProtection="1">
      <alignment horizontal="right"/>
      <protection locked="0"/>
    </xf>
    <xf numFmtId="9" fontId="170" fillId="6" borderId="0" xfId="2" applyFont="1" applyFill="1" applyAlignment="1" applyProtection="1">
      <alignment horizontal="right"/>
      <protection locked="0"/>
    </xf>
    <xf numFmtId="9" fontId="170" fillId="6" borderId="4" xfId="2" applyFont="1" applyFill="1" applyBorder="1" applyAlignment="1" applyProtection="1">
      <alignment horizontal="right" vertical="center"/>
      <protection locked="0"/>
    </xf>
    <xf numFmtId="169" fontId="170" fillId="10" borderId="0" xfId="0" applyNumberFormat="1" applyFont="1" applyFill="1" applyProtection="1">
      <protection locked="0"/>
    </xf>
    <xf numFmtId="9" fontId="181" fillId="10" borderId="0" xfId="2" applyFont="1" applyFill="1" applyProtection="1">
      <protection locked="0"/>
    </xf>
    <xf numFmtId="9" fontId="181" fillId="10" borderId="0" xfId="2" applyFont="1" applyFill="1" applyAlignment="1" applyProtection="1">
      <alignment horizontal="right"/>
      <protection locked="0"/>
    </xf>
    <xf numFmtId="9" fontId="181" fillId="10" borderId="4" xfId="2" applyFont="1" applyFill="1" applyBorder="1" applyAlignment="1" applyProtection="1">
      <alignment horizontal="right"/>
      <protection locked="0"/>
    </xf>
    <xf numFmtId="9" fontId="181" fillId="10" borderId="0" xfId="2" applyFont="1" applyFill="1" applyBorder="1" applyAlignment="1" applyProtection="1">
      <alignment horizontal="right"/>
      <protection locked="0"/>
    </xf>
    <xf numFmtId="9" fontId="181" fillId="10" borderId="4" xfId="2" applyFont="1" applyFill="1" applyBorder="1" applyAlignment="1" applyProtection="1">
      <alignment horizontal="right" vertical="center"/>
      <protection locked="0"/>
    </xf>
    <xf numFmtId="9" fontId="181" fillId="10" borderId="0" xfId="2" applyFont="1" applyFill="1" applyBorder="1" applyAlignment="1" applyProtection="1">
      <alignment horizontal="right" vertical="center"/>
      <protection locked="0"/>
    </xf>
    <xf numFmtId="9" fontId="144" fillId="10" borderId="0" xfId="2" applyFont="1" applyFill="1" applyProtection="1">
      <protection locked="0"/>
    </xf>
    <xf numFmtId="43" fontId="170" fillId="10" borderId="0" xfId="0" applyNumberFormat="1" applyFont="1" applyFill="1" applyAlignment="1" applyProtection="1">
      <alignment horizontal="right"/>
      <protection locked="0"/>
    </xf>
    <xf numFmtId="169" fontId="170" fillId="10" borderId="4" xfId="0" applyNumberFormat="1" applyFont="1" applyFill="1" applyBorder="1" applyAlignment="1" applyProtection="1">
      <alignment horizontal="right"/>
      <protection locked="0"/>
    </xf>
    <xf numFmtId="169" fontId="170" fillId="10" borderId="4" xfId="0" applyNumberFormat="1" applyFont="1" applyFill="1" applyBorder="1" applyAlignment="1" applyProtection="1">
      <alignment horizontal="right" vertical="center"/>
      <protection locked="0"/>
    </xf>
    <xf numFmtId="169" fontId="170" fillId="10" borderId="0" xfId="1" applyNumberFormat="1" applyFont="1" applyFill="1" applyAlignment="1" applyProtection="1">
      <alignment horizontal="right"/>
      <protection locked="0"/>
    </xf>
    <xf numFmtId="169" fontId="177" fillId="10" borderId="0" xfId="1" applyNumberFormat="1" applyFont="1" applyFill="1" applyProtection="1">
      <protection locked="0"/>
    </xf>
    <xf numFmtId="169" fontId="177" fillId="10" borderId="0" xfId="1" applyNumberFormat="1" applyFont="1" applyFill="1" applyAlignment="1" applyProtection="1">
      <alignment horizontal="right"/>
      <protection locked="0"/>
    </xf>
    <xf numFmtId="169" fontId="182" fillId="10" borderId="4" xfId="1" applyNumberFormat="1" applyFont="1" applyFill="1" applyBorder="1" applyAlignment="1" applyProtection="1">
      <alignment horizontal="right"/>
      <protection locked="0"/>
    </xf>
    <xf numFmtId="169" fontId="182" fillId="10" borderId="0" xfId="1" applyNumberFormat="1" applyFont="1" applyFill="1" applyBorder="1" applyAlignment="1" applyProtection="1">
      <alignment horizontal="right"/>
      <protection locked="0"/>
    </xf>
    <xf numFmtId="169" fontId="182" fillId="10" borderId="0" xfId="1" applyNumberFormat="1" applyFont="1" applyFill="1" applyAlignment="1" applyProtection="1">
      <alignment horizontal="right"/>
      <protection locked="0"/>
    </xf>
    <xf numFmtId="169" fontId="182" fillId="10" borderId="4" xfId="1" applyNumberFormat="1" applyFont="1" applyFill="1" applyBorder="1" applyAlignment="1" applyProtection="1">
      <alignment horizontal="right" vertical="center"/>
      <protection locked="0"/>
    </xf>
    <xf numFmtId="169" fontId="182" fillId="10" borderId="0" xfId="1" applyNumberFormat="1" applyFont="1" applyFill="1" applyAlignment="1" applyProtection="1">
      <alignment horizontal="right" vertical="center"/>
      <protection locked="0"/>
    </xf>
    <xf numFmtId="169" fontId="140" fillId="10" borderId="0" xfId="1" applyNumberFormat="1" applyFont="1" applyFill="1" applyProtection="1">
      <protection locked="0"/>
    </xf>
    <xf numFmtId="9" fontId="180" fillId="10" borderId="0" xfId="0" applyNumberFormat="1" applyFont="1" applyFill="1" applyAlignment="1" applyProtection="1">
      <alignment horizontal="right"/>
      <protection locked="0"/>
    </xf>
    <xf numFmtId="9" fontId="180" fillId="10" borderId="5" xfId="0" applyNumberFormat="1" applyFont="1" applyFill="1" applyBorder="1" applyAlignment="1" applyProtection="1">
      <alignment horizontal="right"/>
      <protection locked="0"/>
    </xf>
    <xf numFmtId="9" fontId="170" fillId="10" borderId="0" xfId="0" applyNumberFormat="1" applyFont="1" applyFill="1" applyAlignment="1" applyProtection="1">
      <alignment horizontal="right"/>
      <protection locked="0"/>
    </xf>
    <xf numFmtId="0" fontId="170" fillId="10" borderId="0" xfId="0" applyFont="1" applyFill="1" applyAlignment="1" applyProtection="1">
      <alignment horizontal="left" indent="2"/>
      <protection locked="0"/>
    </xf>
    <xf numFmtId="0" fontId="180" fillId="10" borderId="5" xfId="0" applyFont="1" applyFill="1" applyBorder="1" applyAlignment="1" applyProtection="1">
      <alignment horizontal="right"/>
      <protection locked="0"/>
    </xf>
    <xf numFmtId="169" fontId="170" fillId="10" borderId="4" xfId="1" applyNumberFormat="1" applyFont="1" applyFill="1" applyBorder="1" applyAlignment="1" applyProtection="1">
      <alignment horizontal="right"/>
      <protection locked="0"/>
    </xf>
    <xf numFmtId="169" fontId="170" fillId="10" borderId="0" xfId="1" applyNumberFormat="1" applyFont="1" applyFill="1" applyBorder="1" applyAlignment="1" applyProtection="1">
      <alignment horizontal="right"/>
      <protection locked="0"/>
    </xf>
    <xf numFmtId="169" fontId="170" fillId="10" borderId="4" xfId="1" applyNumberFormat="1" applyFont="1" applyFill="1" applyBorder="1" applyAlignment="1" applyProtection="1">
      <alignment horizontal="right" vertical="center"/>
      <protection locked="0"/>
    </xf>
    <xf numFmtId="0" fontId="179" fillId="10" borderId="0" xfId="0" applyFont="1" applyFill="1" applyProtection="1">
      <protection locked="0"/>
    </xf>
    <xf numFmtId="0" fontId="179" fillId="10" borderId="0" xfId="0" applyFont="1" applyFill="1" applyAlignment="1" applyProtection="1">
      <alignment horizontal="right"/>
      <protection locked="0"/>
    </xf>
    <xf numFmtId="200" fontId="170" fillId="10" borderId="4" xfId="0" applyNumberFormat="1" applyFont="1" applyFill="1" applyBorder="1" applyAlignment="1" applyProtection="1">
      <alignment horizontal="right"/>
      <protection locked="0"/>
    </xf>
    <xf numFmtId="200" fontId="170" fillId="10" borderId="0" xfId="0" applyNumberFormat="1" applyFont="1" applyFill="1" applyAlignment="1" applyProtection="1">
      <alignment horizontal="right"/>
      <protection locked="0"/>
    </xf>
    <xf numFmtId="200" fontId="170" fillId="10" borderId="4" xfId="0" applyNumberFormat="1" applyFont="1" applyFill="1" applyBorder="1" applyAlignment="1" applyProtection="1">
      <alignment horizontal="right" vertical="center"/>
      <protection locked="0"/>
    </xf>
    <xf numFmtId="200" fontId="170" fillId="10" borderId="0" xfId="0" applyNumberFormat="1" applyFont="1" applyFill="1" applyAlignment="1" applyProtection="1">
      <alignment horizontal="right" vertical="center"/>
      <protection locked="0"/>
    </xf>
    <xf numFmtId="169" fontId="183" fillId="10" borderId="0" xfId="1" applyNumberFormat="1" applyFont="1" applyFill="1" applyAlignment="1" applyProtection="1">
      <alignment horizontal="left"/>
      <protection locked="0"/>
    </xf>
    <xf numFmtId="169" fontId="184" fillId="10" borderId="0" xfId="1" applyNumberFormat="1" applyFont="1" applyFill="1" applyProtection="1">
      <protection locked="0"/>
    </xf>
    <xf numFmtId="169" fontId="184" fillId="10" borderId="0" xfId="1" applyNumberFormat="1" applyFont="1" applyFill="1" applyAlignment="1" applyProtection="1">
      <alignment horizontal="right"/>
      <protection locked="0"/>
    </xf>
    <xf numFmtId="169" fontId="184" fillId="10" borderId="0" xfId="1" applyNumberFormat="1" applyFont="1" applyFill="1" applyBorder="1" applyAlignment="1" applyProtection="1">
      <alignment horizontal="right"/>
      <protection locked="0"/>
    </xf>
    <xf numFmtId="169" fontId="184" fillId="10" borderId="5" xfId="1" applyNumberFormat="1" applyFont="1" applyFill="1" applyBorder="1" applyAlignment="1" applyProtection="1">
      <alignment horizontal="right"/>
      <protection locked="0"/>
    </xf>
    <xf numFmtId="169" fontId="183" fillId="10" borderId="0" xfId="1" applyNumberFormat="1" applyFont="1" applyFill="1" applyAlignment="1" applyProtection="1">
      <alignment horizontal="right"/>
      <protection locked="0"/>
    </xf>
    <xf numFmtId="169" fontId="183" fillId="10" borderId="4" xfId="1" applyNumberFormat="1" applyFont="1" applyFill="1" applyBorder="1" applyAlignment="1" applyProtection="1">
      <alignment horizontal="right"/>
      <protection locked="0"/>
    </xf>
    <xf numFmtId="9" fontId="183" fillId="10" borderId="0" xfId="2" applyFont="1" applyFill="1" applyBorder="1" applyAlignment="1" applyProtection="1">
      <alignment horizontal="right"/>
      <protection locked="0"/>
    </xf>
    <xf numFmtId="169" fontId="183" fillId="10" borderId="0" xfId="1" applyNumberFormat="1" applyFont="1" applyFill="1" applyBorder="1" applyAlignment="1" applyProtection="1">
      <alignment horizontal="right"/>
      <protection locked="0"/>
    </xf>
    <xf numFmtId="169" fontId="183" fillId="10" borderId="4" xfId="1" applyNumberFormat="1" applyFont="1" applyFill="1" applyBorder="1" applyAlignment="1" applyProtection="1">
      <alignment horizontal="right" vertical="center"/>
      <protection locked="0"/>
    </xf>
    <xf numFmtId="204" fontId="183" fillId="10" borderId="0" xfId="1" applyNumberFormat="1" applyFont="1" applyFill="1" applyAlignment="1" applyProtection="1">
      <alignment horizontal="right" vertical="center"/>
      <protection locked="0"/>
    </xf>
    <xf numFmtId="169" fontId="183" fillId="10" borderId="0" xfId="1" applyNumberFormat="1" applyFont="1" applyFill="1" applyAlignment="1" applyProtection="1">
      <alignment horizontal="right" vertical="center"/>
      <protection locked="0"/>
    </xf>
    <xf numFmtId="169" fontId="183" fillId="10" borderId="0" xfId="1" applyNumberFormat="1" applyFont="1" applyFill="1" applyProtection="1">
      <protection locked="0"/>
    </xf>
    <xf numFmtId="169" fontId="145" fillId="10" borderId="0" xfId="1" applyNumberFormat="1" applyFont="1" applyFill="1" applyProtection="1">
      <protection locked="0"/>
    </xf>
    <xf numFmtId="0" fontId="172" fillId="10" borderId="0" xfId="0" applyFont="1" applyFill="1" applyAlignment="1" applyProtection="1">
      <alignment horizontal="left" indent="2"/>
      <protection locked="0"/>
    </xf>
    <xf numFmtId="171" fontId="180" fillId="10" borderId="0" xfId="2" applyNumberFormat="1" applyFont="1" applyFill="1" applyProtection="1">
      <protection locked="0"/>
    </xf>
    <xf numFmtId="171" fontId="180" fillId="10" borderId="0" xfId="2" applyNumberFormat="1" applyFont="1" applyFill="1" applyAlignment="1" applyProtection="1">
      <alignment horizontal="right"/>
      <protection locked="0"/>
    </xf>
    <xf numFmtId="171" fontId="180" fillId="10" borderId="5" xfId="2" applyNumberFormat="1" applyFont="1" applyFill="1" applyBorder="1" applyAlignment="1" applyProtection="1">
      <alignment horizontal="right"/>
      <protection locked="0"/>
    </xf>
    <xf numFmtId="171" fontId="172" fillId="10" borderId="0" xfId="2" applyNumberFormat="1" applyFont="1" applyFill="1" applyAlignment="1" applyProtection="1">
      <alignment horizontal="right"/>
      <protection locked="0"/>
    </xf>
    <xf numFmtId="0" fontId="172" fillId="10" borderId="0" xfId="0" applyFont="1" applyFill="1" applyAlignment="1" applyProtection="1">
      <alignment horizontal="right"/>
      <protection locked="0"/>
    </xf>
    <xf numFmtId="171" fontId="172" fillId="10" borderId="4" xfId="2" applyNumberFormat="1" applyFont="1" applyFill="1" applyBorder="1" applyAlignment="1" applyProtection="1">
      <alignment horizontal="right"/>
      <protection locked="0"/>
    </xf>
    <xf numFmtId="0" fontId="172" fillId="10" borderId="4" xfId="0" applyFont="1" applyFill="1" applyBorder="1" applyAlignment="1" applyProtection="1">
      <alignment horizontal="right"/>
      <protection locked="0"/>
    </xf>
    <xf numFmtId="0" fontId="172" fillId="10" borderId="4" xfId="0" applyFont="1" applyFill="1" applyBorder="1" applyAlignment="1" applyProtection="1">
      <alignment horizontal="right" vertical="center"/>
      <protection locked="0"/>
    </xf>
    <xf numFmtId="0" fontId="172" fillId="10" borderId="0" xfId="0" applyFont="1" applyFill="1" applyAlignment="1" applyProtection="1">
      <alignment horizontal="right" vertical="center"/>
      <protection locked="0"/>
    </xf>
    <xf numFmtId="169" fontId="175" fillId="10" borderId="0" xfId="0" applyNumberFormat="1" applyFont="1" applyFill="1" applyAlignment="1" applyProtection="1">
      <alignment horizontal="left" indent="1"/>
      <protection locked="0"/>
    </xf>
    <xf numFmtId="169" fontId="175" fillId="10" borderId="0" xfId="1" applyNumberFormat="1" applyFont="1" applyFill="1" applyAlignment="1" applyProtection="1">
      <alignment horizontal="right"/>
      <protection locked="0"/>
    </xf>
    <xf numFmtId="0" fontId="175" fillId="10" borderId="0" xfId="0" applyFont="1" applyFill="1" applyAlignment="1" applyProtection="1">
      <alignment horizontal="right"/>
      <protection locked="0"/>
    </xf>
    <xf numFmtId="171" fontId="175" fillId="10" borderId="0" xfId="2" applyNumberFormat="1" applyFont="1" applyFill="1" applyAlignment="1" applyProtection="1">
      <alignment horizontal="right"/>
      <protection locked="0"/>
    </xf>
    <xf numFmtId="43" fontId="175" fillId="10" borderId="0" xfId="0" applyNumberFormat="1" applyFont="1" applyFill="1" applyAlignment="1" applyProtection="1">
      <alignment horizontal="right"/>
      <protection locked="0"/>
    </xf>
    <xf numFmtId="0" fontId="175" fillId="10" borderId="4" xfId="0" applyFont="1" applyFill="1" applyBorder="1" applyAlignment="1" applyProtection="1">
      <alignment horizontal="right"/>
      <protection locked="0"/>
    </xf>
    <xf numFmtId="0" fontId="175" fillId="10" borderId="4" xfId="0" applyFont="1" applyFill="1" applyBorder="1" applyAlignment="1" applyProtection="1">
      <alignment horizontal="right" vertical="center"/>
      <protection locked="0"/>
    </xf>
    <xf numFmtId="0" fontId="175" fillId="10" borderId="0" xfId="0" applyFont="1" applyFill="1" applyAlignment="1" applyProtection="1">
      <alignment horizontal="right" vertical="center"/>
      <protection locked="0"/>
    </xf>
    <xf numFmtId="0" fontId="175" fillId="10" borderId="0" xfId="0" applyFont="1" applyFill="1" applyProtection="1">
      <protection locked="0"/>
    </xf>
    <xf numFmtId="0" fontId="146" fillId="10" borderId="0" xfId="0" applyFont="1" applyFill="1" applyProtection="1">
      <protection locked="0"/>
    </xf>
    <xf numFmtId="169" fontId="158" fillId="10" borderId="0" xfId="1" applyNumberFormat="1" applyFont="1" applyFill="1" applyAlignment="1" applyProtection="1">
      <alignment horizontal="right"/>
      <protection locked="0"/>
    </xf>
    <xf numFmtId="9" fontId="175" fillId="10" borderId="0" xfId="0" applyNumberFormat="1" applyFont="1" applyFill="1" applyAlignment="1" applyProtection="1">
      <alignment horizontal="right"/>
      <protection locked="0"/>
    </xf>
    <xf numFmtId="198" fontId="175" fillId="10" borderId="0" xfId="0" applyNumberFormat="1" applyFont="1" applyFill="1" applyAlignment="1" applyProtection="1">
      <alignment horizontal="right"/>
      <protection locked="0"/>
    </xf>
    <xf numFmtId="0" fontId="175" fillId="10" borderId="0" xfId="0" applyFont="1" applyFill="1" applyAlignment="1" applyProtection="1">
      <alignment horizontal="left" indent="2"/>
      <protection locked="0"/>
    </xf>
    <xf numFmtId="43" fontId="175" fillId="10" borderId="4" xfId="0" applyNumberFormat="1" applyFont="1" applyFill="1" applyBorder="1" applyAlignment="1" applyProtection="1">
      <alignment horizontal="right"/>
      <protection locked="0"/>
    </xf>
    <xf numFmtId="169" fontId="175" fillId="10" borderId="4" xfId="1" applyNumberFormat="1" applyFont="1" applyFill="1" applyBorder="1" applyAlignment="1" applyProtection="1">
      <alignment horizontal="right"/>
      <protection locked="0"/>
    </xf>
    <xf numFmtId="169" fontId="175" fillId="10" borderId="4" xfId="1" applyNumberFormat="1" applyFont="1" applyFill="1" applyBorder="1" applyAlignment="1" applyProtection="1">
      <alignment horizontal="right" vertical="center"/>
      <protection locked="0"/>
    </xf>
    <xf numFmtId="169" fontId="175" fillId="10" borderId="0" xfId="0" applyNumberFormat="1" applyFont="1" applyFill="1" applyAlignment="1" applyProtection="1">
      <alignment horizontal="right" vertical="center"/>
      <protection locked="0"/>
    </xf>
    <xf numFmtId="169" fontId="175" fillId="10" borderId="0" xfId="1" applyNumberFormat="1" applyFont="1" applyFill="1" applyBorder="1" applyAlignment="1" applyProtection="1">
      <alignment horizontal="right"/>
      <protection locked="0"/>
    </xf>
    <xf numFmtId="169" fontId="185" fillId="10" borderId="0" xfId="1" applyNumberFormat="1" applyFont="1" applyFill="1" applyBorder="1" applyAlignment="1" applyProtection="1">
      <alignment horizontal="left"/>
      <protection locked="0"/>
    </xf>
    <xf numFmtId="169" fontId="186" fillId="10" borderId="0" xfId="1" applyNumberFormat="1" applyFont="1" applyFill="1" applyBorder="1" applyProtection="1">
      <protection locked="0"/>
    </xf>
    <xf numFmtId="169" fontId="186" fillId="10" borderId="0" xfId="1" applyNumberFormat="1" applyFont="1" applyFill="1" applyBorder="1" applyAlignment="1" applyProtection="1">
      <alignment horizontal="right"/>
      <protection locked="0"/>
    </xf>
    <xf numFmtId="169" fontId="186" fillId="10" borderId="5" xfId="1" applyNumberFormat="1" applyFont="1" applyFill="1" applyBorder="1" applyAlignment="1" applyProtection="1">
      <alignment horizontal="right"/>
      <protection locked="0"/>
    </xf>
    <xf numFmtId="169" fontId="185" fillId="10" borderId="0" xfId="1" applyNumberFormat="1" applyFont="1" applyFill="1" applyBorder="1" applyAlignment="1" applyProtection="1">
      <alignment horizontal="right"/>
      <protection locked="0"/>
    </xf>
    <xf numFmtId="169" fontId="185" fillId="10" borderId="4" xfId="1" applyNumberFormat="1" applyFont="1" applyFill="1" applyBorder="1" applyAlignment="1" applyProtection="1">
      <alignment horizontal="right"/>
      <protection locked="0"/>
    </xf>
    <xf numFmtId="43" fontId="185" fillId="10" borderId="0" xfId="1" applyFont="1" applyFill="1" applyBorder="1" applyAlignment="1" applyProtection="1">
      <alignment horizontal="right"/>
      <protection locked="0"/>
    </xf>
    <xf numFmtId="169" fontId="185" fillId="10" borderId="4" xfId="1" applyNumberFormat="1" applyFont="1" applyFill="1" applyBorder="1" applyAlignment="1" applyProtection="1">
      <alignment horizontal="right" vertical="center"/>
      <protection locked="0"/>
    </xf>
    <xf numFmtId="169" fontId="185" fillId="10" borderId="0" xfId="1" applyNumberFormat="1" applyFont="1" applyFill="1" applyBorder="1" applyAlignment="1" applyProtection="1">
      <alignment horizontal="right" vertical="center"/>
      <protection locked="0"/>
    </xf>
    <xf numFmtId="198" fontId="185" fillId="10" borderId="0" xfId="1" applyNumberFormat="1" applyFont="1" applyFill="1" applyBorder="1" applyAlignment="1" applyProtection="1">
      <alignment horizontal="right" vertical="center"/>
      <protection locked="0"/>
    </xf>
    <xf numFmtId="169" fontId="185" fillId="10" borderId="0" xfId="1" applyNumberFormat="1" applyFont="1" applyFill="1" applyBorder="1" applyProtection="1">
      <protection locked="0"/>
    </xf>
    <xf numFmtId="169" fontId="147" fillId="10" borderId="0" xfId="1" applyNumberFormat="1" applyFont="1" applyFill="1" applyBorder="1" applyProtection="1">
      <protection locked="0"/>
    </xf>
    <xf numFmtId="193" fontId="172" fillId="10" borderId="0" xfId="1" applyNumberFormat="1" applyFont="1" applyFill="1" applyAlignment="1" applyProtection="1">
      <alignment horizontal="right"/>
      <protection locked="0"/>
    </xf>
    <xf numFmtId="169" fontId="172" fillId="10" borderId="0" xfId="1" applyNumberFormat="1" applyFont="1" applyFill="1" applyAlignment="1" applyProtection="1">
      <alignment horizontal="right"/>
      <protection locked="0"/>
    </xf>
    <xf numFmtId="169" fontId="159" fillId="10" borderId="0" xfId="0" applyNumberFormat="1" applyFont="1" applyFill="1" applyProtection="1">
      <protection locked="0"/>
    </xf>
    <xf numFmtId="0" fontId="179" fillId="10" borderId="5" xfId="0" applyFont="1" applyFill="1" applyBorder="1" applyAlignment="1" applyProtection="1">
      <alignment horizontal="right"/>
      <protection locked="0"/>
    </xf>
    <xf numFmtId="169" fontId="159" fillId="10" borderId="0" xfId="1" applyNumberFormat="1" applyFont="1" applyFill="1" applyAlignment="1" applyProtection="1">
      <alignment horizontal="right"/>
      <protection locked="0"/>
    </xf>
    <xf numFmtId="0" fontId="159" fillId="10" borderId="4" xfId="0" applyFont="1" applyFill="1" applyBorder="1" applyAlignment="1" applyProtection="1">
      <alignment horizontal="right"/>
      <protection locked="0"/>
    </xf>
    <xf numFmtId="0" fontId="159" fillId="10" borderId="4" xfId="0" applyFont="1" applyFill="1" applyBorder="1" applyAlignment="1" applyProtection="1">
      <alignment horizontal="right" vertical="center"/>
      <protection locked="0"/>
    </xf>
    <xf numFmtId="0" fontId="159" fillId="10" borderId="0" xfId="0" applyFont="1" applyFill="1" applyAlignment="1" applyProtection="1">
      <alignment horizontal="right" vertical="center"/>
      <protection locked="0"/>
    </xf>
    <xf numFmtId="169" fontId="180" fillId="10" borderId="0" xfId="2" applyNumberFormat="1" applyFont="1" applyFill="1" applyBorder="1" applyAlignment="1" applyProtection="1">
      <alignment horizontal="right"/>
      <protection locked="0"/>
    </xf>
    <xf numFmtId="169" fontId="180" fillId="10" borderId="5" xfId="0" applyNumberFormat="1" applyFont="1" applyFill="1" applyBorder="1" applyAlignment="1" applyProtection="1">
      <alignment horizontal="right"/>
      <protection locked="0"/>
    </xf>
    <xf numFmtId="169" fontId="180" fillId="10" borderId="0" xfId="0" applyNumberFormat="1" applyFont="1" applyFill="1" applyAlignment="1" applyProtection="1">
      <alignment horizontal="right"/>
      <protection locked="0"/>
    </xf>
    <xf numFmtId="43" fontId="180" fillId="10" borderId="0" xfId="0" applyNumberFormat="1" applyFont="1" applyFill="1" applyAlignment="1" applyProtection="1">
      <alignment horizontal="right"/>
      <protection locked="0"/>
    </xf>
    <xf numFmtId="204" fontId="158" fillId="10" borderId="0" xfId="0" applyNumberFormat="1" applyFont="1" applyFill="1" applyAlignment="1" applyProtection="1">
      <alignment horizontal="right"/>
      <protection locked="0"/>
    </xf>
    <xf numFmtId="169" fontId="158" fillId="10" borderId="4" xfId="1" applyNumberFormat="1" applyFont="1" applyFill="1" applyBorder="1" applyAlignment="1" applyProtection="1">
      <alignment horizontal="right"/>
      <protection locked="0"/>
    </xf>
    <xf numFmtId="0" fontId="158" fillId="10" borderId="4" xfId="0" applyFont="1" applyFill="1" applyBorder="1" applyAlignment="1" applyProtection="1">
      <alignment horizontal="right"/>
      <protection locked="0"/>
    </xf>
    <xf numFmtId="0" fontId="158" fillId="10" borderId="4" xfId="0" applyFont="1" applyFill="1" applyBorder="1" applyAlignment="1" applyProtection="1">
      <alignment horizontal="right" vertical="center"/>
      <protection locked="0"/>
    </xf>
    <xf numFmtId="208" fontId="158" fillId="10" borderId="4" xfId="0" applyNumberFormat="1" applyFont="1" applyFill="1" applyBorder="1" applyAlignment="1" applyProtection="1">
      <alignment horizontal="right" vertical="center"/>
      <protection locked="0"/>
    </xf>
    <xf numFmtId="169" fontId="159" fillId="13" borderId="0" xfId="0" applyNumberFormat="1" applyFont="1" applyFill="1" applyProtection="1">
      <protection locked="0"/>
    </xf>
    <xf numFmtId="0" fontId="179" fillId="13" borderId="0" xfId="0" applyFont="1" applyFill="1" applyProtection="1">
      <protection locked="0"/>
    </xf>
    <xf numFmtId="43" fontId="179" fillId="13" borderId="0" xfId="0" applyNumberFormat="1" applyFont="1" applyFill="1" applyAlignment="1" applyProtection="1">
      <alignment horizontal="right"/>
      <protection locked="0"/>
    </xf>
    <xf numFmtId="0" fontId="179" fillId="13" borderId="0" xfId="0" applyFont="1" applyFill="1" applyAlignment="1" applyProtection="1">
      <alignment horizontal="right"/>
      <protection locked="0"/>
    </xf>
    <xf numFmtId="0" fontId="179" fillId="13" borderId="5" xfId="0" applyFont="1" applyFill="1" applyBorder="1" applyAlignment="1" applyProtection="1">
      <alignment horizontal="right"/>
      <protection locked="0"/>
    </xf>
    <xf numFmtId="0" fontId="159" fillId="13" borderId="0" xfId="0" applyFont="1" applyFill="1" applyAlignment="1" applyProtection="1">
      <alignment horizontal="right"/>
      <protection locked="0"/>
    </xf>
    <xf numFmtId="43" fontId="179" fillId="10" borderId="0" xfId="0" applyNumberFormat="1" applyFont="1" applyFill="1" applyAlignment="1" applyProtection="1">
      <alignment horizontal="right"/>
      <protection locked="0"/>
    </xf>
    <xf numFmtId="169" fontId="187" fillId="10" borderId="4" xfId="4" applyNumberFormat="1" applyFont="1" applyFill="1" applyBorder="1" applyAlignment="1" applyProtection="1">
      <alignment horizontal="right"/>
      <protection locked="0"/>
    </xf>
    <xf numFmtId="169" fontId="187" fillId="10" borderId="0" xfId="4" applyNumberFormat="1" applyFont="1" applyFill="1" applyBorder="1" applyAlignment="1" applyProtection="1">
      <alignment horizontal="right"/>
      <protection locked="0"/>
    </xf>
    <xf numFmtId="169" fontId="159" fillId="10" borderId="4" xfId="1" applyNumberFormat="1" applyFont="1" applyFill="1" applyBorder="1" applyAlignment="1" applyProtection="1">
      <alignment horizontal="right"/>
      <protection locked="0"/>
    </xf>
    <xf numFmtId="169" fontId="159" fillId="10" borderId="4" xfId="1" applyNumberFormat="1" applyFont="1" applyFill="1" applyBorder="1" applyAlignment="1" applyProtection="1">
      <alignment horizontal="right" vertical="center"/>
      <protection locked="0"/>
    </xf>
    <xf numFmtId="169" fontId="159" fillId="10" borderId="0" xfId="1" applyNumberFormat="1" applyFont="1" applyFill="1" applyAlignment="1" applyProtection="1">
      <alignment horizontal="right" vertical="center"/>
      <protection locked="0"/>
    </xf>
    <xf numFmtId="169" fontId="159" fillId="10" borderId="0" xfId="1" applyNumberFormat="1" applyFont="1" applyFill="1" applyProtection="1">
      <protection locked="0"/>
    </xf>
    <xf numFmtId="169" fontId="170" fillId="10" borderId="0" xfId="0" applyNumberFormat="1" applyFont="1" applyFill="1" applyAlignment="1" applyProtection="1">
      <alignment horizontal="left" indent="2"/>
      <protection locked="0"/>
    </xf>
    <xf numFmtId="169" fontId="170" fillId="6" borderId="0" xfId="1" applyNumberFormat="1" applyFont="1" applyFill="1" applyAlignment="1" applyProtection="1">
      <alignment horizontal="right"/>
      <protection locked="0"/>
    </xf>
    <xf numFmtId="169" fontId="170" fillId="10" borderId="0" xfId="1" applyNumberFormat="1" applyFont="1" applyFill="1" applyAlignment="1" applyProtection="1">
      <alignment horizontal="right" vertical="center"/>
      <protection locked="0"/>
    </xf>
    <xf numFmtId="169" fontId="188" fillId="10" borderId="0" xfId="0" applyNumberFormat="1" applyFont="1" applyFill="1" applyAlignment="1" applyProtection="1">
      <alignment horizontal="left" indent="4"/>
      <protection locked="0"/>
    </xf>
    <xf numFmtId="0" fontId="189" fillId="10" borderId="0" xfId="0" applyFont="1" applyFill="1" applyAlignment="1" applyProtection="1">
      <alignment horizontal="left" indent="2"/>
      <protection locked="0"/>
    </xf>
    <xf numFmtId="169" fontId="189" fillId="10" borderId="0" xfId="0" applyNumberFormat="1" applyFont="1" applyFill="1" applyAlignment="1" applyProtection="1">
      <alignment horizontal="right" indent="2"/>
      <protection locked="0"/>
    </xf>
    <xf numFmtId="43" fontId="189" fillId="10" borderId="0" xfId="0" applyNumberFormat="1" applyFont="1" applyFill="1" applyAlignment="1" applyProtection="1">
      <alignment horizontal="right" indent="2"/>
      <protection locked="0"/>
    </xf>
    <xf numFmtId="0" fontId="189" fillId="10" borderId="0" xfId="0" applyFont="1" applyFill="1" applyAlignment="1" applyProtection="1">
      <alignment horizontal="right" indent="2"/>
      <protection locked="0"/>
    </xf>
    <xf numFmtId="0" fontId="189" fillId="10" borderId="5" xfId="0" applyFont="1" applyFill="1" applyBorder="1" applyAlignment="1" applyProtection="1">
      <alignment horizontal="right" indent="2"/>
      <protection locked="0"/>
    </xf>
    <xf numFmtId="0" fontId="188" fillId="10" borderId="0" xfId="0" applyFont="1" applyFill="1" applyAlignment="1" applyProtection="1">
      <alignment horizontal="right" indent="2"/>
      <protection locked="0"/>
    </xf>
    <xf numFmtId="169" fontId="188" fillId="10" borderId="0" xfId="1" applyNumberFormat="1" applyFont="1" applyFill="1" applyAlignment="1" applyProtection="1">
      <alignment horizontal="right" indent="2"/>
      <protection locked="0"/>
    </xf>
    <xf numFmtId="169" fontId="188" fillId="6" borderId="0" xfId="1" applyNumberFormat="1" applyFont="1" applyFill="1" applyAlignment="1" applyProtection="1">
      <alignment horizontal="right" indent="2"/>
      <protection locked="0"/>
    </xf>
    <xf numFmtId="169" fontId="188" fillId="10" borderId="4" xfId="1" applyNumberFormat="1" applyFont="1" applyFill="1" applyBorder="1" applyAlignment="1" applyProtection="1">
      <alignment horizontal="right" indent="2"/>
      <protection locked="0"/>
    </xf>
    <xf numFmtId="169" fontId="188" fillId="10" borderId="0" xfId="1" applyNumberFormat="1" applyFont="1" applyFill="1" applyBorder="1" applyAlignment="1" applyProtection="1">
      <alignment horizontal="right" indent="2"/>
      <protection locked="0"/>
    </xf>
    <xf numFmtId="43" fontId="188" fillId="10" borderId="0" xfId="1" applyFont="1" applyFill="1" applyAlignment="1" applyProtection="1">
      <alignment horizontal="right" indent="2"/>
      <protection locked="0"/>
    </xf>
    <xf numFmtId="193" fontId="188" fillId="10" borderId="0" xfId="1" applyNumberFormat="1" applyFont="1" applyFill="1" applyAlignment="1" applyProtection="1">
      <alignment horizontal="right" indent="2"/>
      <protection locked="0"/>
    </xf>
    <xf numFmtId="169" fontId="188" fillId="10" borderId="4" xfId="1" applyNumberFormat="1" applyFont="1" applyFill="1" applyBorder="1" applyAlignment="1" applyProtection="1">
      <alignment horizontal="right" vertical="center"/>
      <protection locked="0"/>
    </xf>
    <xf numFmtId="193" fontId="188" fillId="10" borderId="0" xfId="1" applyNumberFormat="1" applyFont="1" applyFill="1" applyAlignment="1" applyProtection="1">
      <alignment horizontal="right" vertical="center"/>
      <protection locked="0"/>
    </xf>
    <xf numFmtId="193" fontId="188" fillId="10" borderId="0" xfId="1" applyNumberFormat="1" applyFont="1" applyFill="1" applyAlignment="1" applyProtection="1">
      <alignment horizontal="left" indent="2"/>
      <protection locked="0"/>
    </xf>
    <xf numFmtId="169" fontId="188" fillId="10" borderId="0" xfId="1" applyNumberFormat="1" applyFont="1" applyFill="1" applyAlignment="1" applyProtection="1">
      <alignment horizontal="left" indent="2"/>
      <protection locked="0"/>
    </xf>
    <xf numFmtId="0" fontId="153" fillId="10" borderId="0" xfId="0" applyFont="1" applyFill="1" applyAlignment="1" applyProtection="1">
      <alignment horizontal="left" indent="2"/>
      <protection locked="0"/>
    </xf>
    <xf numFmtId="204" fontId="170" fillId="10" borderId="0" xfId="0" applyNumberFormat="1" applyFont="1" applyFill="1" applyAlignment="1" applyProtection="1">
      <alignment horizontal="right"/>
      <protection locked="0"/>
    </xf>
    <xf numFmtId="169" fontId="170" fillId="6" borderId="4" xfId="1" applyNumberFormat="1" applyFont="1" applyFill="1" applyBorder="1" applyAlignment="1" applyProtection="1">
      <alignment horizontal="right"/>
      <protection locked="0"/>
    </xf>
    <xf numFmtId="169" fontId="158" fillId="10" borderId="0" xfId="1" applyNumberFormat="1" applyFont="1" applyFill="1" applyBorder="1" applyAlignment="1" applyProtection="1">
      <alignment horizontal="right"/>
      <protection locked="0"/>
    </xf>
    <xf numFmtId="169" fontId="158" fillId="10" borderId="4" xfId="1" applyNumberFormat="1" applyFont="1" applyFill="1" applyBorder="1" applyAlignment="1" applyProtection="1">
      <alignment horizontal="right" vertical="center"/>
      <protection locked="0"/>
    </xf>
    <xf numFmtId="169" fontId="158" fillId="10" borderId="0" xfId="1" applyNumberFormat="1" applyFont="1" applyFill="1" applyAlignment="1" applyProtection="1">
      <alignment horizontal="right" vertical="center"/>
      <protection locked="0"/>
    </xf>
    <xf numFmtId="169" fontId="158" fillId="10" borderId="0" xfId="1" applyNumberFormat="1" applyFont="1" applyFill="1" applyProtection="1">
      <protection locked="0"/>
    </xf>
    <xf numFmtId="9" fontId="179" fillId="13" borderId="0" xfId="2" applyFont="1" applyFill="1" applyBorder="1" applyAlignment="1" applyProtection="1">
      <alignment horizontal="right"/>
      <protection locked="0"/>
    </xf>
    <xf numFmtId="9" fontId="179" fillId="13" borderId="5" xfId="2" applyFont="1" applyFill="1" applyBorder="1" applyAlignment="1" applyProtection="1">
      <alignment horizontal="right"/>
      <protection locked="0"/>
    </xf>
    <xf numFmtId="9" fontId="159" fillId="13" borderId="0" xfId="2" applyFont="1" applyFill="1" applyAlignment="1" applyProtection="1">
      <alignment horizontal="right"/>
      <protection locked="0"/>
    </xf>
    <xf numFmtId="0" fontId="177" fillId="59" borderId="0" xfId="0" applyFont="1" applyFill="1" applyProtection="1">
      <protection locked="0"/>
    </xf>
    <xf numFmtId="169" fontId="179" fillId="59" borderId="0" xfId="0" applyNumberFormat="1" applyFont="1" applyFill="1" applyProtection="1">
      <protection locked="0"/>
    </xf>
    <xf numFmtId="169" fontId="179" fillId="59" borderId="0" xfId="0" applyNumberFormat="1" applyFont="1" applyFill="1" applyAlignment="1" applyProtection="1">
      <alignment horizontal="right"/>
      <protection locked="0"/>
    </xf>
    <xf numFmtId="169" fontId="179" fillId="59" borderId="5" xfId="0" applyNumberFormat="1" applyFont="1" applyFill="1" applyBorder="1" applyAlignment="1" applyProtection="1">
      <alignment horizontal="right"/>
      <protection locked="0"/>
    </xf>
    <xf numFmtId="169" fontId="177" fillId="59" borderId="0" xfId="0" applyNumberFormat="1" applyFont="1" applyFill="1" applyAlignment="1" applyProtection="1">
      <alignment horizontal="right"/>
      <protection locked="0"/>
    </xf>
    <xf numFmtId="169" fontId="177" fillId="59" borderId="0" xfId="1" applyNumberFormat="1" applyFont="1" applyFill="1" applyAlignment="1" applyProtection="1">
      <alignment horizontal="right"/>
      <protection locked="0"/>
    </xf>
    <xf numFmtId="0" fontId="176" fillId="59" borderId="0" xfId="0" applyFont="1" applyFill="1" applyAlignment="1" applyProtection="1">
      <alignment horizontal="right"/>
      <protection locked="0"/>
    </xf>
    <xf numFmtId="0" fontId="177" fillId="59" borderId="0" xfId="0" applyFont="1" applyFill="1" applyAlignment="1" applyProtection="1">
      <alignment horizontal="right"/>
      <protection locked="0"/>
    </xf>
    <xf numFmtId="9" fontId="177" fillId="59" borderId="4" xfId="2" applyFont="1" applyFill="1" applyBorder="1" applyAlignment="1" applyProtection="1">
      <alignment horizontal="right"/>
      <protection locked="0"/>
    </xf>
    <xf numFmtId="43" fontId="177" fillId="59" borderId="5" xfId="0" applyNumberFormat="1" applyFont="1" applyFill="1" applyBorder="1" applyAlignment="1" applyProtection="1">
      <alignment horizontal="right"/>
      <protection locked="0"/>
    </xf>
    <xf numFmtId="43" fontId="177" fillId="59" borderId="0" xfId="0" applyNumberFormat="1" applyFont="1" applyFill="1" applyAlignment="1" applyProtection="1">
      <alignment horizontal="right"/>
      <protection locked="0"/>
    </xf>
    <xf numFmtId="0" fontId="177" fillId="59" borderId="4" xfId="0" applyFont="1" applyFill="1" applyBorder="1" applyAlignment="1" applyProtection="1">
      <alignment horizontal="right"/>
      <protection locked="0"/>
    </xf>
    <xf numFmtId="0" fontId="177" fillId="59" borderId="4" xfId="0" applyFont="1" applyFill="1" applyBorder="1" applyAlignment="1" applyProtection="1">
      <alignment horizontal="right" vertical="center"/>
      <protection locked="0"/>
    </xf>
    <xf numFmtId="0" fontId="177" fillId="59" borderId="0" xfId="0" applyFont="1" applyFill="1" applyAlignment="1" applyProtection="1">
      <alignment horizontal="right" vertical="center"/>
      <protection locked="0"/>
    </xf>
    <xf numFmtId="0" fontId="140" fillId="59" borderId="0" xfId="0" applyFont="1" applyFill="1" applyProtection="1">
      <protection locked="0"/>
    </xf>
    <xf numFmtId="9" fontId="158" fillId="10" borderId="0" xfId="2" applyFont="1" applyFill="1" applyAlignment="1" applyProtection="1">
      <alignment horizontal="right"/>
      <protection locked="0"/>
    </xf>
    <xf numFmtId="0" fontId="159" fillId="10" borderId="0" xfId="0" applyFont="1" applyFill="1" applyAlignment="1" applyProtection="1">
      <alignment horizontal="left" indent="1"/>
      <protection locked="0"/>
    </xf>
    <xf numFmtId="43" fontId="179" fillId="10" borderId="5" xfId="0" applyNumberFormat="1" applyFont="1" applyFill="1" applyBorder="1" applyAlignment="1" applyProtection="1">
      <alignment horizontal="right"/>
      <protection locked="0"/>
    </xf>
    <xf numFmtId="43" fontId="159" fillId="10" borderId="0" xfId="0" applyNumberFormat="1" applyFont="1" applyFill="1" applyAlignment="1" applyProtection="1">
      <alignment horizontal="right"/>
      <protection locked="0"/>
    </xf>
    <xf numFmtId="0" fontId="172" fillId="10" borderId="0" xfId="0" applyFont="1" applyFill="1" applyAlignment="1" applyProtection="1">
      <alignment horizontal="left" indent="3"/>
      <protection locked="0"/>
    </xf>
    <xf numFmtId="0" fontId="158" fillId="10" borderId="0" xfId="0" applyFont="1" applyFill="1" applyAlignment="1" applyProtection="1">
      <alignment horizontal="left" indent="2"/>
      <protection locked="0"/>
    </xf>
    <xf numFmtId="193" fontId="180" fillId="10" borderId="0" xfId="1" applyNumberFormat="1" applyFont="1" applyFill="1" applyBorder="1" applyAlignment="1" applyProtection="1">
      <alignment horizontal="right"/>
      <protection locked="0"/>
    </xf>
    <xf numFmtId="193" fontId="180" fillId="10" borderId="5" xfId="1" applyNumberFormat="1" applyFont="1" applyFill="1" applyBorder="1" applyAlignment="1" applyProtection="1">
      <alignment horizontal="right"/>
      <protection locked="0"/>
    </xf>
    <xf numFmtId="193" fontId="158" fillId="10" borderId="0" xfId="0" applyNumberFormat="1" applyFont="1" applyFill="1" applyAlignment="1" applyProtection="1">
      <alignment horizontal="right"/>
      <protection locked="0"/>
    </xf>
    <xf numFmtId="43" fontId="158" fillId="10" borderId="4" xfId="0" applyNumberFormat="1" applyFont="1" applyFill="1" applyBorder="1" applyAlignment="1" applyProtection="1">
      <alignment horizontal="right"/>
      <protection locked="0"/>
    </xf>
    <xf numFmtId="43" fontId="158" fillId="10" borderId="4" xfId="0" applyNumberFormat="1" applyFont="1" applyFill="1" applyBorder="1" applyAlignment="1" applyProtection="1">
      <alignment horizontal="right" vertical="center"/>
      <protection locked="0"/>
    </xf>
    <xf numFmtId="43" fontId="158" fillId="10" borderId="0" xfId="0" applyNumberFormat="1" applyFont="1" applyFill="1" applyAlignment="1" applyProtection="1">
      <alignment horizontal="right" vertical="center"/>
      <protection locked="0"/>
    </xf>
    <xf numFmtId="43" fontId="158" fillId="10" borderId="0" xfId="0" applyNumberFormat="1" applyFont="1" applyFill="1" applyProtection="1">
      <protection locked="0"/>
    </xf>
    <xf numFmtId="169" fontId="190" fillId="10" borderId="0" xfId="1" applyNumberFormat="1" applyFont="1" applyFill="1" applyAlignment="1" applyProtection="1">
      <alignment horizontal="left" indent="1"/>
      <protection locked="0"/>
    </xf>
    <xf numFmtId="169" fontId="190" fillId="10" borderId="0" xfId="1" applyNumberFormat="1" applyFont="1" applyFill="1" applyAlignment="1" applyProtection="1">
      <alignment horizontal="right"/>
      <protection locked="0"/>
    </xf>
    <xf numFmtId="169" fontId="148" fillId="10" borderId="0" xfId="1" applyNumberFormat="1" applyFont="1" applyFill="1" applyProtection="1">
      <protection locked="0"/>
    </xf>
    <xf numFmtId="0" fontId="158" fillId="10" borderId="0" xfId="0" applyFont="1" applyFill="1" applyAlignment="1" applyProtection="1">
      <alignment horizontal="left" indent="3"/>
      <protection locked="0"/>
    </xf>
    <xf numFmtId="169" fontId="158" fillId="10" borderId="0" xfId="0" applyNumberFormat="1" applyFont="1" applyFill="1" applyAlignment="1" applyProtection="1">
      <alignment horizontal="right"/>
      <protection locked="0"/>
    </xf>
    <xf numFmtId="1" fontId="158" fillId="10" borderId="0" xfId="0" applyNumberFormat="1" applyFont="1" applyFill="1" applyAlignment="1" applyProtection="1">
      <alignment horizontal="right"/>
      <protection locked="0"/>
    </xf>
    <xf numFmtId="0" fontId="180" fillId="10" borderId="0" xfId="0" applyFont="1" applyFill="1" applyAlignment="1" applyProtection="1">
      <alignment horizontal="left" indent="2"/>
      <protection locked="0"/>
    </xf>
    <xf numFmtId="0" fontId="180" fillId="10" borderId="0" xfId="0" applyFont="1" applyFill="1" applyAlignment="1" applyProtection="1">
      <alignment horizontal="right" indent="2"/>
      <protection locked="0"/>
    </xf>
    <xf numFmtId="171" fontId="180" fillId="10" borderId="0" xfId="2" applyNumberFormat="1" applyFont="1" applyFill="1" applyBorder="1" applyAlignment="1" applyProtection="1">
      <alignment horizontal="right" indent="2"/>
      <protection locked="0"/>
    </xf>
    <xf numFmtId="0" fontId="180" fillId="10" borderId="5" xfId="0" applyFont="1" applyFill="1" applyBorder="1" applyAlignment="1" applyProtection="1">
      <alignment horizontal="right" indent="2"/>
      <protection locked="0"/>
    </xf>
    <xf numFmtId="0" fontId="172" fillId="10" borderId="0" xfId="0" applyFont="1" applyFill="1" applyAlignment="1" applyProtection="1">
      <alignment horizontal="right" indent="2"/>
      <protection locked="0"/>
    </xf>
    <xf numFmtId="0" fontId="172" fillId="10" borderId="4" xfId="0" applyFont="1" applyFill="1" applyBorder="1" applyAlignment="1" applyProtection="1">
      <alignment horizontal="right" indent="2"/>
      <protection locked="0"/>
    </xf>
    <xf numFmtId="0" fontId="136" fillId="10" borderId="0" xfId="0" applyFont="1" applyFill="1" applyAlignment="1" applyProtection="1">
      <alignment horizontal="left" indent="2"/>
      <protection locked="0"/>
    </xf>
    <xf numFmtId="0" fontId="177" fillId="10" borderId="0" xfId="0" applyFont="1" applyFill="1" applyAlignment="1" applyProtection="1">
      <alignment horizontal="left" indent="2"/>
      <protection locked="0"/>
    </xf>
    <xf numFmtId="169" fontId="179" fillId="10" borderId="0" xfId="1" applyNumberFormat="1" applyFont="1" applyFill="1" applyAlignment="1" applyProtection="1">
      <alignment horizontal="left" indent="2"/>
      <protection locked="0"/>
    </xf>
    <xf numFmtId="169" fontId="179" fillId="10" borderId="0" xfId="1" applyNumberFormat="1" applyFont="1" applyFill="1" applyAlignment="1" applyProtection="1">
      <alignment horizontal="right" indent="2"/>
      <protection locked="0"/>
    </xf>
    <xf numFmtId="169" fontId="179" fillId="10" borderId="0" xfId="1" applyNumberFormat="1" applyFont="1" applyFill="1" applyBorder="1" applyAlignment="1" applyProtection="1">
      <alignment horizontal="right" indent="2"/>
      <protection locked="0"/>
    </xf>
    <xf numFmtId="0" fontId="179" fillId="10" borderId="0" xfId="0" applyFont="1" applyFill="1" applyAlignment="1" applyProtection="1">
      <alignment horizontal="right" indent="2"/>
      <protection locked="0"/>
    </xf>
    <xf numFmtId="0" fontId="179" fillId="10" borderId="5" xfId="0" applyFont="1" applyFill="1" applyBorder="1" applyAlignment="1" applyProtection="1">
      <alignment horizontal="right" indent="2"/>
      <protection locked="0"/>
    </xf>
    <xf numFmtId="0" fontId="177" fillId="10" borderId="0" xfId="0" applyFont="1" applyFill="1" applyAlignment="1" applyProtection="1">
      <alignment horizontal="right" indent="2"/>
      <protection locked="0"/>
    </xf>
    <xf numFmtId="0" fontId="177" fillId="10" borderId="4" xfId="0" applyFont="1" applyFill="1" applyBorder="1" applyAlignment="1" applyProtection="1">
      <alignment horizontal="right" indent="2"/>
      <protection locked="0"/>
    </xf>
    <xf numFmtId="0" fontId="177" fillId="10" borderId="4" xfId="0" applyFont="1" applyFill="1" applyBorder="1" applyAlignment="1" applyProtection="1">
      <alignment horizontal="right" vertical="center"/>
      <protection locked="0"/>
    </xf>
    <xf numFmtId="0" fontId="177" fillId="10" borderId="0" xfId="0" applyFont="1" applyFill="1" applyAlignment="1" applyProtection="1">
      <alignment horizontal="right" vertical="center"/>
      <protection locked="0"/>
    </xf>
    <xf numFmtId="0" fontId="140" fillId="10" borderId="0" xfId="0" applyFont="1" applyFill="1" applyAlignment="1" applyProtection="1">
      <alignment horizontal="left" indent="2"/>
      <protection locked="0"/>
    </xf>
    <xf numFmtId="171" fontId="180" fillId="10" borderId="0" xfId="0" applyNumberFormat="1" applyFont="1" applyFill="1" applyAlignment="1" applyProtection="1">
      <alignment horizontal="left" indent="2"/>
      <protection locked="0"/>
    </xf>
    <xf numFmtId="171" fontId="180" fillId="10" borderId="0" xfId="0" applyNumberFormat="1" applyFont="1" applyFill="1" applyAlignment="1" applyProtection="1">
      <alignment horizontal="right" indent="2"/>
      <protection locked="0"/>
    </xf>
    <xf numFmtId="169" fontId="159" fillId="59" borderId="0" xfId="1" applyNumberFormat="1" applyFont="1" applyFill="1" applyProtection="1">
      <protection locked="0"/>
    </xf>
    <xf numFmtId="169" fontId="179" fillId="59" borderId="0" xfId="1" applyNumberFormat="1" applyFont="1" applyFill="1" applyProtection="1">
      <protection locked="0"/>
    </xf>
    <xf numFmtId="169" fontId="179" fillId="59" borderId="0" xfId="1" applyNumberFormat="1" applyFont="1" applyFill="1" applyAlignment="1" applyProtection="1">
      <alignment horizontal="right"/>
      <protection locked="0"/>
    </xf>
    <xf numFmtId="169" fontId="179" fillId="59" borderId="0" xfId="1" applyNumberFormat="1" applyFont="1" applyFill="1" applyBorder="1" applyAlignment="1" applyProtection="1">
      <alignment horizontal="right"/>
      <protection locked="0"/>
    </xf>
    <xf numFmtId="169" fontId="179" fillId="59" borderId="5" xfId="1" applyNumberFormat="1" applyFont="1" applyFill="1" applyBorder="1" applyAlignment="1" applyProtection="1">
      <alignment horizontal="right"/>
      <protection locked="0"/>
    </xf>
    <xf numFmtId="169" fontId="159" fillId="59" borderId="0" xfId="1" applyNumberFormat="1" applyFont="1" applyFill="1" applyAlignment="1" applyProtection="1">
      <alignment horizontal="right"/>
      <protection locked="0"/>
    </xf>
    <xf numFmtId="0" fontId="158" fillId="59" borderId="0" xfId="0" applyFont="1" applyFill="1" applyAlignment="1" applyProtection="1">
      <alignment horizontal="right"/>
      <protection locked="0"/>
    </xf>
    <xf numFmtId="0" fontId="159" fillId="59" borderId="0" xfId="0" applyFont="1" applyFill="1" applyAlignment="1" applyProtection="1">
      <alignment horizontal="right"/>
      <protection locked="0"/>
    </xf>
    <xf numFmtId="169" fontId="159" fillId="59" borderId="0" xfId="0" applyNumberFormat="1" applyFont="1" applyFill="1" applyAlignment="1" applyProtection="1">
      <alignment horizontal="right"/>
      <protection locked="0"/>
    </xf>
    <xf numFmtId="9" fontId="159" fillId="59" borderId="4" xfId="2" applyFont="1" applyFill="1" applyBorder="1" applyAlignment="1" applyProtection="1">
      <alignment horizontal="right"/>
      <protection locked="0"/>
    </xf>
    <xf numFmtId="9" fontId="159" fillId="59" borderId="0" xfId="0" applyNumberFormat="1" applyFont="1" applyFill="1" applyAlignment="1" applyProtection="1">
      <alignment horizontal="right"/>
      <protection locked="0"/>
    </xf>
    <xf numFmtId="0" fontId="159" fillId="59" borderId="4" xfId="0" applyFont="1" applyFill="1" applyBorder="1" applyAlignment="1" applyProtection="1">
      <alignment horizontal="right"/>
      <protection locked="0"/>
    </xf>
    <xf numFmtId="0" fontId="159" fillId="59" borderId="4" xfId="0" applyFont="1" applyFill="1" applyBorder="1" applyAlignment="1" applyProtection="1">
      <alignment horizontal="right" vertical="center"/>
      <protection locked="0"/>
    </xf>
    <xf numFmtId="0" fontId="159" fillId="59" borderId="0" xfId="0" applyFont="1" applyFill="1" applyAlignment="1" applyProtection="1">
      <alignment horizontal="right" vertical="center"/>
      <protection locked="0"/>
    </xf>
    <xf numFmtId="0" fontId="159" fillId="59" borderId="0" xfId="0" applyFont="1" applyFill="1" applyProtection="1">
      <protection locked="0"/>
    </xf>
    <xf numFmtId="0" fontId="66" fillId="59" borderId="0" xfId="0" applyFont="1" applyFill="1" applyProtection="1">
      <protection locked="0"/>
    </xf>
    <xf numFmtId="171" fontId="158" fillId="10" borderId="0" xfId="2" applyNumberFormat="1" applyFont="1" applyFill="1" applyAlignment="1" applyProtection="1">
      <alignment horizontal="right"/>
      <protection locked="0"/>
    </xf>
    <xf numFmtId="43" fontId="180" fillId="10" borderId="5" xfId="0" applyNumberFormat="1" applyFont="1" applyFill="1" applyBorder="1" applyAlignment="1" applyProtection="1">
      <alignment horizontal="right"/>
      <protection locked="0"/>
    </xf>
    <xf numFmtId="43" fontId="180" fillId="10" borderId="0" xfId="0" applyNumberFormat="1" applyFont="1" applyFill="1" applyProtection="1">
      <protection locked="0"/>
    </xf>
    <xf numFmtId="0" fontId="191" fillId="10" borderId="0" xfId="0" applyFont="1" applyFill="1" applyAlignment="1" applyProtection="1">
      <alignment horizontal="left" indent="1"/>
      <protection locked="0"/>
    </xf>
    <xf numFmtId="0" fontId="192" fillId="10" borderId="0" xfId="0" applyFont="1" applyFill="1" applyProtection="1">
      <protection locked="0"/>
    </xf>
    <xf numFmtId="0" fontId="192" fillId="10" borderId="0" xfId="0" applyFont="1" applyFill="1" applyAlignment="1" applyProtection="1">
      <alignment horizontal="right"/>
      <protection locked="0"/>
    </xf>
    <xf numFmtId="169" fontId="192" fillId="10" borderId="0" xfId="0" applyNumberFormat="1" applyFont="1" applyFill="1" applyAlignment="1" applyProtection="1">
      <alignment horizontal="right"/>
      <protection locked="0"/>
    </xf>
    <xf numFmtId="169" fontId="192" fillId="10" borderId="5" xfId="0" applyNumberFormat="1" applyFont="1" applyFill="1" applyBorder="1" applyAlignment="1" applyProtection="1">
      <alignment horizontal="right"/>
      <protection locked="0"/>
    </xf>
    <xf numFmtId="169" fontId="193" fillId="10" borderId="0" xfId="0" applyNumberFormat="1" applyFont="1" applyFill="1" applyAlignment="1" applyProtection="1">
      <alignment horizontal="right"/>
      <protection locked="0"/>
    </xf>
    <xf numFmtId="169" fontId="193" fillId="10" borderId="0" xfId="1" applyNumberFormat="1" applyFont="1" applyFill="1" applyAlignment="1" applyProtection="1">
      <alignment horizontal="right"/>
      <protection locked="0"/>
    </xf>
    <xf numFmtId="0" fontId="149" fillId="10" borderId="0" xfId="0" applyFont="1" applyFill="1" applyProtection="1">
      <protection locked="0"/>
    </xf>
    <xf numFmtId="0" fontId="170" fillId="10" borderId="0" xfId="0" applyFont="1" applyFill="1" applyAlignment="1" applyProtection="1">
      <alignment horizontal="left" indent="3"/>
      <protection locked="0"/>
    </xf>
    <xf numFmtId="43" fontId="177" fillId="10" borderId="0" xfId="1" applyFont="1" applyFill="1" applyAlignment="1" applyProtection="1">
      <alignment horizontal="left" indent="2"/>
      <protection locked="0"/>
    </xf>
    <xf numFmtId="43" fontId="179" fillId="10" borderId="0" xfId="1" applyFont="1" applyFill="1" applyBorder="1" applyAlignment="1" applyProtection="1">
      <alignment horizontal="right"/>
      <protection locked="0"/>
    </xf>
    <xf numFmtId="43" fontId="179" fillId="10" borderId="5" xfId="1" applyFont="1" applyFill="1" applyBorder="1" applyAlignment="1" applyProtection="1">
      <alignment horizontal="right"/>
      <protection locked="0"/>
    </xf>
    <xf numFmtId="43" fontId="177" fillId="10" borderId="0" xfId="1" applyFont="1" applyFill="1" applyAlignment="1" applyProtection="1">
      <alignment horizontal="right"/>
      <protection locked="0"/>
    </xf>
    <xf numFmtId="43" fontId="177" fillId="10" borderId="4" xfId="1" applyFont="1" applyFill="1" applyBorder="1" applyAlignment="1" applyProtection="1">
      <alignment horizontal="right"/>
      <protection locked="0"/>
    </xf>
    <xf numFmtId="43" fontId="177" fillId="10" borderId="0" xfId="1" applyFont="1" applyFill="1" applyBorder="1" applyAlignment="1" applyProtection="1">
      <alignment horizontal="right"/>
      <protection locked="0"/>
    </xf>
    <xf numFmtId="43" fontId="177" fillId="10" borderId="4" xfId="1" applyFont="1" applyFill="1" applyBorder="1" applyAlignment="1" applyProtection="1">
      <alignment horizontal="right" vertical="center"/>
      <protection locked="0"/>
    </xf>
    <xf numFmtId="43" fontId="177" fillId="10" borderId="0" xfId="1" applyFont="1" applyFill="1" applyAlignment="1" applyProtection="1">
      <alignment horizontal="right" vertical="center"/>
      <protection locked="0"/>
    </xf>
    <xf numFmtId="43" fontId="177" fillId="10" borderId="0" xfId="1" applyFont="1" applyFill="1" applyProtection="1">
      <protection locked="0"/>
    </xf>
    <xf numFmtId="43" fontId="140" fillId="10" borderId="0" xfId="1" applyFont="1" applyFill="1" applyProtection="1">
      <protection locked="0"/>
    </xf>
    <xf numFmtId="169" fontId="176" fillId="10" borderId="0" xfId="1" applyNumberFormat="1" applyFont="1" applyFill="1" applyAlignment="1" applyProtection="1">
      <alignment horizontal="left" indent="2"/>
      <protection locked="0"/>
    </xf>
    <xf numFmtId="9" fontId="176" fillId="10" borderId="0" xfId="2" applyFont="1" applyFill="1" applyAlignment="1" applyProtection="1">
      <alignment horizontal="right"/>
      <protection locked="0"/>
    </xf>
    <xf numFmtId="9" fontId="176" fillId="10" borderId="4" xfId="2" applyFont="1" applyFill="1" applyBorder="1" applyAlignment="1" applyProtection="1">
      <alignment horizontal="right"/>
      <protection locked="0"/>
    </xf>
    <xf numFmtId="9" fontId="176" fillId="10" borderId="0" xfId="2" applyFont="1" applyFill="1" applyBorder="1" applyAlignment="1" applyProtection="1">
      <alignment horizontal="right"/>
      <protection locked="0"/>
    </xf>
    <xf numFmtId="9" fontId="176" fillId="10" borderId="4" xfId="2" applyFont="1" applyFill="1" applyBorder="1" applyAlignment="1" applyProtection="1">
      <alignment horizontal="right" vertical="center"/>
      <protection locked="0"/>
    </xf>
    <xf numFmtId="9" fontId="176" fillId="10" borderId="0" xfId="2" applyFont="1" applyFill="1" applyAlignment="1" applyProtection="1">
      <alignment horizontal="right" vertical="center"/>
      <protection locked="0"/>
    </xf>
    <xf numFmtId="9" fontId="176" fillId="10" borderId="0" xfId="2" applyFont="1" applyFill="1" applyProtection="1">
      <protection locked="0"/>
    </xf>
    <xf numFmtId="169" fontId="180" fillId="10" borderId="5" xfId="2" applyNumberFormat="1" applyFont="1" applyFill="1" applyBorder="1" applyAlignment="1" applyProtection="1">
      <alignment horizontal="right"/>
      <protection locked="0"/>
    </xf>
    <xf numFmtId="169" fontId="176" fillId="10" borderId="0" xfId="2" applyNumberFormat="1" applyFont="1" applyFill="1" applyAlignment="1" applyProtection="1">
      <alignment horizontal="right"/>
      <protection locked="0"/>
    </xf>
    <xf numFmtId="193" fontId="180" fillId="10" borderId="0" xfId="2" applyNumberFormat="1" applyFont="1" applyFill="1" applyBorder="1" applyAlignment="1" applyProtection="1">
      <alignment horizontal="right"/>
      <protection locked="0"/>
    </xf>
    <xf numFmtId="193" fontId="180" fillId="10" borderId="5" xfId="2" applyNumberFormat="1" applyFont="1" applyFill="1" applyBorder="1" applyAlignment="1" applyProtection="1">
      <alignment horizontal="right"/>
      <protection locked="0"/>
    </xf>
    <xf numFmtId="193" fontId="176" fillId="10" borderId="0" xfId="2" applyNumberFormat="1" applyFont="1" applyFill="1" applyAlignment="1" applyProtection="1">
      <alignment horizontal="right"/>
      <protection locked="0"/>
    </xf>
    <xf numFmtId="193" fontId="176" fillId="10" borderId="0" xfId="1" applyNumberFormat="1" applyFont="1" applyFill="1" applyAlignment="1" applyProtection="1">
      <alignment horizontal="right"/>
      <protection locked="0"/>
    </xf>
    <xf numFmtId="43" fontId="176" fillId="10" borderId="4" xfId="1" applyFont="1" applyFill="1" applyBorder="1" applyAlignment="1" applyProtection="1">
      <alignment horizontal="right"/>
      <protection locked="0"/>
    </xf>
    <xf numFmtId="43" fontId="176" fillId="10" borderId="0" xfId="1" applyFont="1" applyFill="1" applyAlignment="1" applyProtection="1">
      <alignment horizontal="right"/>
      <protection locked="0"/>
    </xf>
    <xf numFmtId="43" fontId="176" fillId="10" borderId="4" xfId="1" applyFont="1" applyFill="1" applyBorder="1" applyAlignment="1" applyProtection="1">
      <alignment horizontal="right" vertical="center"/>
      <protection locked="0"/>
    </xf>
    <xf numFmtId="193" fontId="176" fillId="10" borderId="0" xfId="1" applyNumberFormat="1" applyFont="1" applyFill="1" applyAlignment="1" applyProtection="1">
      <alignment horizontal="right" vertical="center"/>
      <protection locked="0"/>
    </xf>
    <xf numFmtId="193" fontId="176" fillId="10" borderId="0" xfId="1" applyNumberFormat="1" applyFont="1" applyFill="1" applyProtection="1">
      <protection locked="0"/>
    </xf>
    <xf numFmtId="169" fontId="183" fillId="10" borderId="0" xfId="1" applyNumberFormat="1" applyFont="1" applyFill="1" applyAlignment="1" applyProtection="1">
      <alignment horizontal="left" indent="2"/>
      <protection locked="0"/>
    </xf>
    <xf numFmtId="169" fontId="172" fillId="10" borderId="0" xfId="1" applyNumberFormat="1" applyFont="1" applyFill="1" applyAlignment="1" applyProtection="1">
      <alignment horizontal="left" indent="2"/>
      <protection locked="0"/>
    </xf>
    <xf numFmtId="171" fontId="180" fillId="6" borderId="0" xfId="2" applyNumberFormat="1" applyFont="1" applyFill="1" applyBorder="1" applyAlignment="1" applyProtection="1">
      <alignment horizontal="right"/>
      <protection locked="0"/>
    </xf>
    <xf numFmtId="10" fontId="180" fillId="10" borderId="0" xfId="2" applyNumberFormat="1" applyFont="1" applyFill="1" applyBorder="1" applyAlignment="1" applyProtection="1">
      <alignment horizontal="right"/>
      <protection locked="0"/>
    </xf>
    <xf numFmtId="10" fontId="180" fillId="6" borderId="0" xfId="2" applyNumberFormat="1" applyFont="1" applyFill="1" applyBorder="1" applyAlignment="1" applyProtection="1">
      <alignment horizontal="right"/>
      <protection locked="0"/>
    </xf>
    <xf numFmtId="10" fontId="180" fillId="10" borderId="5" xfId="2" applyNumberFormat="1" applyFont="1" applyFill="1" applyBorder="1" applyAlignment="1" applyProtection="1">
      <alignment horizontal="right"/>
      <protection locked="0"/>
    </xf>
    <xf numFmtId="10" fontId="172" fillId="10" borderId="0" xfId="2" applyNumberFormat="1" applyFont="1" applyFill="1" applyBorder="1" applyAlignment="1" applyProtection="1">
      <alignment horizontal="right"/>
      <protection locked="0"/>
    </xf>
    <xf numFmtId="171" fontId="194" fillId="10" borderId="0" xfId="2" applyNumberFormat="1" applyFont="1" applyFill="1" applyAlignment="1" applyProtection="1">
      <alignment horizontal="right"/>
      <protection locked="0"/>
    </xf>
    <xf numFmtId="171" fontId="172" fillId="52" borderId="4" xfId="2" applyNumberFormat="1" applyFont="1" applyFill="1" applyBorder="1" applyAlignment="1" applyProtection="1">
      <alignment horizontal="right"/>
      <protection locked="0"/>
    </xf>
    <xf numFmtId="171" fontId="172" fillId="52" borderId="0" xfId="2" applyNumberFormat="1" applyFont="1" applyFill="1" applyBorder="1" applyAlignment="1" applyProtection="1">
      <alignment horizontal="right"/>
      <protection locked="0"/>
    </xf>
    <xf numFmtId="171" fontId="172" fillId="52" borderId="0" xfId="2" applyNumberFormat="1" applyFont="1" applyFill="1" applyAlignment="1" applyProtection="1">
      <alignment horizontal="right"/>
      <protection locked="0"/>
    </xf>
    <xf numFmtId="171" fontId="172" fillId="52" borderId="4" xfId="2" applyNumberFormat="1" applyFont="1" applyFill="1" applyBorder="1" applyAlignment="1" applyProtection="1">
      <alignment horizontal="right" vertical="center"/>
      <protection locked="0"/>
    </xf>
    <xf numFmtId="171" fontId="172" fillId="52" borderId="0" xfId="2" applyNumberFormat="1" applyFont="1" applyFill="1" applyAlignment="1" applyProtection="1">
      <alignment horizontal="right" vertical="center"/>
      <protection locked="0"/>
    </xf>
    <xf numFmtId="171" fontId="172" fillId="52" borderId="0" xfId="2" applyNumberFormat="1" applyFont="1" applyFill="1" applyProtection="1">
      <protection locked="0"/>
    </xf>
    <xf numFmtId="169" fontId="136" fillId="10" borderId="0" xfId="1" applyNumberFormat="1" applyFont="1" applyFill="1" applyProtection="1">
      <protection locked="0"/>
    </xf>
    <xf numFmtId="171" fontId="172" fillId="10" borderId="0" xfId="2" applyNumberFormat="1" applyFont="1" applyFill="1" applyBorder="1" applyAlignment="1" applyProtection="1">
      <alignment horizontal="right"/>
      <protection locked="0"/>
    </xf>
    <xf numFmtId="171" fontId="172" fillId="10" borderId="4" xfId="2" applyNumberFormat="1" applyFont="1" applyFill="1" applyBorder="1" applyAlignment="1" applyProtection="1">
      <alignment horizontal="right" vertical="center"/>
      <protection locked="0"/>
    </xf>
    <xf numFmtId="171" fontId="172" fillId="10" borderId="0" xfId="2" applyNumberFormat="1" applyFont="1" applyFill="1" applyAlignment="1" applyProtection="1">
      <alignment horizontal="right" vertical="center"/>
      <protection locked="0"/>
    </xf>
    <xf numFmtId="171" fontId="172" fillId="10" borderId="0" xfId="2" applyNumberFormat="1" applyFont="1" applyFill="1" applyProtection="1">
      <protection locked="0"/>
    </xf>
    <xf numFmtId="171" fontId="176" fillId="10" borderId="0" xfId="2" applyNumberFormat="1" applyFont="1" applyFill="1" applyAlignment="1" applyProtection="1">
      <alignment horizontal="right"/>
      <protection locked="0"/>
    </xf>
    <xf numFmtId="171" fontId="176" fillId="10" borderId="4" xfId="2" applyNumberFormat="1" applyFont="1" applyFill="1" applyBorder="1" applyAlignment="1" applyProtection="1">
      <alignment horizontal="right"/>
      <protection locked="0"/>
    </xf>
    <xf numFmtId="171" fontId="176" fillId="10" borderId="0" xfId="2" applyNumberFormat="1" applyFont="1" applyFill="1" applyBorder="1" applyAlignment="1" applyProtection="1">
      <alignment horizontal="right"/>
      <protection locked="0"/>
    </xf>
    <xf numFmtId="171" fontId="176" fillId="10" borderId="4" xfId="2" applyNumberFormat="1" applyFont="1" applyFill="1" applyBorder="1" applyAlignment="1" applyProtection="1">
      <alignment horizontal="right" vertical="center"/>
      <protection locked="0"/>
    </xf>
    <xf numFmtId="171" fontId="176" fillId="10" borderId="0" xfId="2" applyNumberFormat="1" applyFont="1" applyFill="1" applyAlignment="1" applyProtection="1">
      <alignment horizontal="right" vertical="center"/>
      <protection locked="0"/>
    </xf>
    <xf numFmtId="171" fontId="176" fillId="10" borderId="0" xfId="2" applyNumberFormat="1" applyFont="1" applyFill="1" applyProtection="1">
      <protection locked="0"/>
    </xf>
    <xf numFmtId="169" fontId="176" fillId="0" borderId="0" xfId="1" applyNumberFormat="1" applyFont="1" applyFill="1" applyAlignment="1" applyProtection="1">
      <alignment horizontal="left" indent="2"/>
      <protection locked="0"/>
    </xf>
    <xf numFmtId="169" fontId="180" fillId="0" borderId="0" xfId="1" applyNumberFormat="1" applyFont="1" applyFill="1" applyProtection="1">
      <protection locked="0"/>
    </xf>
    <xf numFmtId="169" fontId="180" fillId="0" borderId="0" xfId="1" applyNumberFormat="1" applyFont="1" applyFill="1" applyAlignment="1" applyProtection="1">
      <alignment horizontal="right"/>
      <protection locked="0"/>
    </xf>
    <xf numFmtId="169" fontId="180" fillId="0" borderId="0" xfId="1" applyNumberFormat="1" applyFont="1" applyFill="1" applyBorder="1" applyAlignment="1" applyProtection="1">
      <alignment horizontal="right"/>
      <protection locked="0"/>
    </xf>
    <xf numFmtId="169" fontId="180" fillId="0" borderId="5" xfId="1" applyNumberFormat="1" applyFont="1" applyFill="1" applyBorder="1" applyAlignment="1" applyProtection="1">
      <alignment horizontal="right"/>
      <protection locked="0"/>
    </xf>
    <xf numFmtId="169" fontId="176" fillId="0" borderId="0" xfId="1" applyNumberFormat="1" applyFont="1" applyFill="1" applyAlignment="1" applyProtection="1">
      <alignment horizontal="right"/>
      <protection locked="0"/>
    </xf>
    <xf numFmtId="0" fontId="158" fillId="0" borderId="0" xfId="0" applyFont="1" applyAlignment="1" applyProtection="1">
      <alignment horizontal="right"/>
      <protection locked="0"/>
    </xf>
    <xf numFmtId="169" fontId="176" fillId="0" borderId="4" xfId="1" applyNumberFormat="1" applyFont="1" applyFill="1" applyBorder="1" applyAlignment="1" applyProtection="1">
      <alignment horizontal="right"/>
      <protection locked="0"/>
    </xf>
    <xf numFmtId="169" fontId="176" fillId="0" borderId="0" xfId="1" applyNumberFormat="1" applyFont="1" applyFill="1" applyBorder="1" applyAlignment="1" applyProtection="1">
      <alignment horizontal="right"/>
      <protection locked="0"/>
    </xf>
    <xf numFmtId="169" fontId="176" fillId="0" borderId="4" xfId="1" applyNumberFormat="1" applyFont="1" applyFill="1" applyBorder="1" applyAlignment="1" applyProtection="1">
      <alignment horizontal="right" vertical="center"/>
      <protection locked="0"/>
    </xf>
    <xf numFmtId="169" fontId="176" fillId="0" borderId="0" xfId="1" applyNumberFormat="1" applyFont="1" applyFill="1" applyAlignment="1" applyProtection="1">
      <alignment horizontal="right" vertical="center"/>
      <protection locked="0"/>
    </xf>
    <xf numFmtId="169" fontId="176" fillId="0" borderId="0" xfId="1" applyNumberFormat="1" applyFont="1" applyFill="1" applyProtection="1">
      <protection locked="0"/>
    </xf>
    <xf numFmtId="169" fontId="143" fillId="0" borderId="0" xfId="1" applyNumberFormat="1" applyFont="1" applyFill="1" applyProtection="1">
      <protection locked="0"/>
    </xf>
    <xf numFmtId="169" fontId="180" fillId="6" borderId="0" xfId="1" applyNumberFormat="1" applyFont="1" applyFill="1" applyBorder="1" applyAlignment="1" applyProtection="1">
      <alignment horizontal="right"/>
      <protection locked="0"/>
    </xf>
    <xf numFmtId="169" fontId="180" fillId="6" borderId="5" xfId="1" applyNumberFormat="1" applyFont="1" applyFill="1" applyBorder="1" applyAlignment="1" applyProtection="1">
      <alignment horizontal="right"/>
      <protection locked="0"/>
    </xf>
    <xf numFmtId="169" fontId="176" fillId="6" borderId="0" xfId="1" applyNumberFormat="1" applyFont="1" applyFill="1" applyBorder="1" applyAlignment="1" applyProtection="1">
      <alignment horizontal="right"/>
      <protection locked="0"/>
    </xf>
    <xf numFmtId="169" fontId="176" fillId="6" borderId="4" xfId="1" applyNumberFormat="1" applyFont="1" applyFill="1" applyBorder="1" applyAlignment="1" applyProtection="1">
      <alignment horizontal="right"/>
      <protection locked="0"/>
    </xf>
    <xf numFmtId="9" fontId="183" fillId="10" borderId="0" xfId="2" applyFont="1" applyFill="1" applyAlignment="1" applyProtection="1">
      <alignment horizontal="right"/>
      <protection locked="0"/>
    </xf>
    <xf numFmtId="169" fontId="176" fillId="10" borderId="4" xfId="1" applyNumberFormat="1" applyFont="1" applyFill="1" applyBorder="1" applyProtection="1">
      <protection locked="0"/>
    </xf>
    <xf numFmtId="169" fontId="170" fillId="10" borderId="0" xfId="1" applyNumberFormat="1" applyFont="1" applyFill="1" applyAlignment="1" applyProtection="1">
      <alignment horizontal="left" indent="2"/>
      <protection locked="0"/>
    </xf>
    <xf numFmtId="169" fontId="138" fillId="10" borderId="0" xfId="1" applyNumberFormat="1" applyFont="1" applyFill="1" applyProtection="1">
      <protection locked="0"/>
    </xf>
    <xf numFmtId="0" fontId="195" fillId="10" borderId="0" xfId="0" applyFont="1" applyFill="1" applyProtection="1">
      <protection locked="0"/>
    </xf>
    <xf numFmtId="169" fontId="186" fillId="10" borderId="0" xfId="1" applyNumberFormat="1" applyFont="1" applyFill="1" applyProtection="1">
      <protection locked="0"/>
    </xf>
    <xf numFmtId="169" fontId="186" fillId="10" borderId="0" xfId="1" applyNumberFormat="1" applyFont="1" applyFill="1" applyAlignment="1" applyProtection="1">
      <alignment horizontal="right"/>
      <protection locked="0"/>
    </xf>
    <xf numFmtId="169" fontId="195" fillId="10" borderId="0" xfId="0" applyNumberFormat="1" applyFont="1" applyFill="1" applyAlignment="1" applyProtection="1">
      <alignment horizontal="right"/>
      <protection locked="0"/>
    </xf>
    <xf numFmtId="171" fontId="195" fillId="10" borderId="0" xfId="2" applyNumberFormat="1" applyFont="1" applyFill="1" applyAlignment="1" applyProtection="1">
      <alignment horizontal="right"/>
      <protection locked="0"/>
    </xf>
    <xf numFmtId="0" fontId="195" fillId="10" borderId="0" xfId="0" applyFont="1" applyFill="1" applyAlignment="1" applyProtection="1">
      <alignment horizontal="right"/>
      <protection locked="0"/>
    </xf>
    <xf numFmtId="169" fontId="195" fillId="10" borderId="0" xfId="1" applyNumberFormat="1" applyFont="1" applyFill="1" applyAlignment="1" applyProtection="1">
      <alignment horizontal="right"/>
      <protection locked="0"/>
    </xf>
    <xf numFmtId="169" fontId="195" fillId="10" borderId="4" xfId="1" applyNumberFormat="1" applyFont="1" applyFill="1" applyBorder="1" applyAlignment="1" applyProtection="1">
      <alignment horizontal="right"/>
      <protection locked="0"/>
    </xf>
    <xf numFmtId="169" fontId="195" fillId="10" borderId="0" xfId="1" applyNumberFormat="1" applyFont="1" applyFill="1" applyBorder="1" applyAlignment="1" applyProtection="1">
      <alignment horizontal="right"/>
      <protection locked="0"/>
    </xf>
    <xf numFmtId="169" fontId="195" fillId="10" borderId="4" xfId="1" applyNumberFormat="1" applyFont="1" applyFill="1" applyBorder="1" applyAlignment="1" applyProtection="1">
      <alignment horizontal="right" vertical="center"/>
      <protection locked="0"/>
    </xf>
    <xf numFmtId="169" fontId="195" fillId="10" borderId="0" xfId="1" applyNumberFormat="1" applyFont="1" applyFill="1" applyAlignment="1" applyProtection="1">
      <alignment horizontal="right" vertical="center"/>
      <protection locked="0"/>
    </xf>
    <xf numFmtId="169" fontId="195" fillId="10" borderId="0" xfId="1" applyNumberFormat="1" applyFont="1" applyFill="1" applyProtection="1">
      <protection locked="0"/>
    </xf>
    <xf numFmtId="0" fontId="150" fillId="10" borderId="0" xfId="0" applyFont="1" applyFill="1" applyProtection="1">
      <protection locked="0"/>
    </xf>
    <xf numFmtId="171" fontId="180" fillId="10" borderId="0" xfId="2" applyNumberFormat="1" applyFont="1" applyFill="1" applyBorder="1" applyProtection="1">
      <protection locked="0"/>
    </xf>
    <xf numFmtId="10" fontId="170" fillId="10" borderId="0" xfId="2" applyNumberFormat="1" applyFont="1" applyFill="1" applyBorder="1" applyAlignment="1" applyProtection="1">
      <alignment horizontal="right"/>
      <protection locked="0"/>
    </xf>
    <xf numFmtId="194" fontId="170" fillId="10" borderId="0" xfId="2" applyNumberFormat="1" applyFont="1" applyFill="1" applyBorder="1" applyAlignment="1" applyProtection="1">
      <alignment horizontal="right"/>
      <protection locked="0"/>
    </xf>
    <xf numFmtId="171" fontId="170" fillId="10" borderId="0" xfId="2" applyNumberFormat="1" applyFont="1" applyFill="1" applyBorder="1" applyAlignment="1" applyProtection="1">
      <alignment horizontal="right"/>
      <protection locked="0"/>
    </xf>
    <xf numFmtId="10" fontId="170" fillId="10" borderId="0" xfId="2" applyNumberFormat="1" applyFont="1" applyFill="1" applyAlignment="1" applyProtection="1">
      <alignment horizontal="right"/>
      <protection locked="0"/>
    </xf>
    <xf numFmtId="10" fontId="170" fillId="10" borderId="4" xfId="2" applyNumberFormat="1" applyFont="1" applyFill="1" applyBorder="1" applyAlignment="1" applyProtection="1">
      <alignment horizontal="right"/>
      <protection locked="0"/>
    </xf>
    <xf numFmtId="10" fontId="170" fillId="10" borderId="4" xfId="2" applyNumberFormat="1" applyFont="1" applyFill="1" applyBorder="1" applyAlignment="1" applyProtection="1">
      <alignment horizontal="right" vertical="center"/>
      <protection locked="0"/>
    </xf>
    <xf numFmtId="10" fontId="170" fillId="10" borderId="0" xfId="2" applyNumberFormat="1" applyFont="1" applyFill="1" applyAlignment="1" applyProtection="1">
      <alignment horizontal="right" vertical="center"/>
      <protection locked="0"/>
    </xf>
    <xf numFmtId="10" fontId="170" fillId="10" borderId="0" xfId="2" applyNumberFormat="1" applyFont="1" applyFill="1" applyProtection="1">
      <protection locked="0"/>
    </xf>
    <xf numFmtId="10" fontId="176" fillId="10" borderId="0" xfId="2" applyNumberFormat="1" applyFont="1" applyFill="1" applyAlignment="1" applyProtection="1">
      <alignment horizontal="right"/>
      <protection locked="0"/>
    </xf>
    <xf numFmtId="9" fontId="176" fillId="52" borderId="4" xfId="2" applyFont="1" applyFill="1" applyBorder="1" applyAlignment="1" applyProtection="1">
      <alignment horizontal="right"/>
      <protection locked="0"/>
    </xf>
    <xf numFmtId="9" fontId="176" fillId="52" borderId="0" xfId="2" applyFont="1" applyFill="1" applyBorder="1" applyAlignment="1" applyProtection="1">
      <alignment horizontal="right"/>
      <protection locked="0"/>
    </xf>
    <xf numFmtId="9" fontId="176" fillId="52" borderId="0" xfId="2" applyFont="1" applyFill="1" applyAlignment="1" applyProtection="1">
      <alignment horizontal="right"/>
      <protection locked="0"/>
    </xf>
    <xf numFmtId="9" fontId="176" fillId="52" borderId="4" xfId="2" applyFont="1" applyFill="1" applyBorder="1" applyAlignment="1" applyProtection="1">
      <alignment horizontal="right" vertical="center"/>
      <protection locked="0"/>
    </xf>
    <xf numFmtId="9" fontId="176" fillId="52" borderId="0" xfId="2" applyFont="1" applyFill="1" applyAlignment="1" applyProtection="1">
      <alignment horizontal="right" vertical="center"/>
      <protection locked="0"/>
    </xf>
    <xf numFmtId="9" fontId="176" fillId="52" borderId="0" xfId="2" applyFont="1" applyFill="1" applyProtection="1">
      <protection locked="0"/>
    </xf>
    <xf numFmtId="0" fontId="180" fillId="10" borderId="0" xfId="1" applyNumberFormat="1" applyFont="1" applyFill="1" applyBorder="1" applyAlignment="1" applyProtection="1">
      <alignment horizontal="right"/>
      <protection locked="0"/>
    </xf>
    <xf numFmtId="0" fontId="180" fillId="10" borderId="5" xfId="1" applyNumberFormat="1" applyFont="1" applyFill="1" applyBorder="1" applyAlignment="1" applyProtection="1">
      <alignment horizontal="right"/>
      <protection locked="0"/>
    </xf>
    <xf numFmtId="0" fontId="176" fillId="10" borderId="0" xfId="1" applyNumberFormat="1" applyFont="1" applyFill="1" applyBorder="1" applyAlignment="1" applyProtection="1">
      <alignment horizontal="right"/>
      <protection locked="0"/>
    </xf>
    <xf numFmtId="10" fontId="176" fillId="10" borderId="4" xfId="2" applyNumberFormat="1" applyFont="1" applyFill="1" applyBorder="1" applyAlignment="1" applyProtection="1">
      <alignment horizontal="right"/>
      <protection locked="0"/>
    </xf>
    <xf numFmtId="10" fontId="176" fillId="10" borderId="4" xfId="2" applyNumberFormat="1" applyFont="1" applyFill="1" applyBorder="1" applyAlignment="1" applyProtection="1">
      <alignment horizontal="right" vertical="center"/>
      <protection locked="0"/>
    </xf>
    <xf numFmtId="10" fontId="176" fillId="10" borderId="0" xfId="2" applyNumberFormat="1" applyFont="1" applyFill="1" applyAlignment="1" applyProtection="1">
      <alignment horizontal="right" vertical="center"/>
      <protection locked="0"/>
    </xf>
    <xf numFmtId="10" fontId="176" fillId="10" borderId="0" xfId="2" applyNumberFormat="1" applyFont="1" applyFill="1" applyProtection="1">
      <protection locked="0"/>
    </xf>
    <xf numFmtId="9" fontId="158" fillId="10" borderId="4" xfId="2" applyFont="1" applyFill="1" applyBorder="1" applyAlignment="1" applyProtection="1">
      <alignment horizontal="right"/>
      <protection locked="0"/>
    </xf>
    <xf numFmtId="9" fontId="158" fillId="10" borderId="4" xfId="2" applyFont="1" applyFill="1" applyBorder="1" applyAlignment="1" applyProtection="1">
      <alignment horizontal="right" vertical="center"/>
      <protection locked="0"/>
    </xf>
    <xf numFmtId="9" fontId="158" fillId="10" borderId="0" xfId="2" applyFont="1" applyFill="1" applyAlignment="1" applyProtection="1">
      <alignment horizontal="right" vertical="center"/>
      <protection locked="0"/>
    </xf>
    <xf numFmtId="9" fontId="158" fillId="10" borderId="0" xfId="2" applyFont="1" applyFill="1" applyProtection="1">
      <protection locked="0"/>
    </xf>
    <xf numFmtId="169" fontId="172" fillId="10" borderId="0" xfId="0" applyNumberFormat="1" applyFont="1" applyFill="1" applyAlignment="1" applyProtection="1">
      <alignment horizontal="right"/>
      <protection locked="0"/>
    </xf>
    <xf numFmtId="9" fontId="172" fillId="10" borderId="0" xfId="0" applyNumberFormat="1" applyFont="1" applyFill="1" applyAlignment="1" applyProtection="1">
      <alignment horizontal="right"/>
      <protection locked="0"/>
    </xf>
    <xf numFmtId="0" fontId="170" fillId="4" borderId="0" xfId="0" applyFont="1" applyFill="1" applyAlignment="1" applyProtection="1">
      <alignment horizontal="left" indent="2"/>
      <protection locked="0"/>
    </xf>
    <xf numFmtId="0" fontId="180" fillId="4" borderId="0" xfId="0" applyFont="1" applyFill="1" applyProtection="1">
      <protection locked="0"/>
    </xf>
    <xf numFmtId="43" fontId="180" fillId="4" borderId="0" xfId="0" applyNumberFormat="1" applyFont="1" applyFill="1" applyAlignment="1" applyProtection="1">
      <alignment horizontal="right"/>
      <protection locked="0"/>
    </xf>
    <xf numFmtId="43" fontId="180" fillId="4" borderId="5" xfId="0" applyNumberFormat="1" applyFont="1" applyFill="1" applyBorder="1" applyAlignment="1" applyProtection="1">
      <alignment horizontal="right"/>
      <protection locked="0"/>
    </xf>
    <xf numFmtId="43" fontId="170" fillId="4" borderId="0" xfId="0" applyNumberFormat="1" applyFont="1" applyFill="1" applyAlignment="1" applyProtection="1">
      <alignment horizontal="right"/>
      <protection locked="0"/>
    </xf>
    <xf numFmtId="204" fontId="170" fillId="4" borderId="0" xfId="0" applyNumberFormat="1" applyFont="1" applyFill="1" applyAlignment="1" applyProtection="1">
      <alignment horizontal="right"/>
      <protection locked="0"/>
    </xf>
    <xf numFmtId="0" fontId="158" fillId="4" borderId="0" xfId="0" applyFont="1" applyFill="1" applyAlignment="1" applyProtection="1">
      <alignment horizontal="right"/>
      <protection locked="0"/>
    </xf>
    <xf numFmtId="43" fontId="170" fillId="4" borderId="4" xfId="0" applyNumberFormat="1" applyFont="1" applyFill="1" applyBorder="1" applyAlignment="1" applyProtection="1">
      <alignment horizontal="right"/>
      <protection locked="0"/>
    </xf>
    <xf numFmtId="43" fontId="170" fillId="4" borderId="4" xfId="0" applyNumberFormat="1" applyFont="1" applyFill="1" applyBorder="1" applyAlignment="1" applyProtection="1">
      <alignment horizontal="right" vertical="center"/>
      <protection locked="0"/>
    </xf>
    <xf numFmtId="43" fontId="170" fillId="4" borderId="0" xfId="0" applyNumberFormat="1" applyFont="1" applyFill="1" applyAlignment="1" applyProtection="1">
      <alignment horizontal="right" vertical="center"/>
      <protection locked="0"/>
    </xf>
    <xf numFmtId="43" fontId="170" fillId="4" borderId="0" xfId="0" applyNumberFormat="1" applyFont="1" applyFill="1" applyProtection="1">
      <protection locked="0"/>
    </xf>
    <xf numFmtId="0" fontId="138" fillId="4" borderId="0" xfId="0" applyFont="1" applyFill="1" applyProtection="1">
      <protection locked="0"/>
    </xf>
    <xf numFmtId="43" fontId="176" fillId="10" borderId="0" xfId="1" applyFont="1" applyFill="1" applyAlignment="1" applyProtection="1">
      <alignment horizontal="left" indent="3"/>
      <protection locked="0"/>
    </xf>
    <xf numFmtId="43" fontId="180" fillId="10" borderId="0" xfId="1" applyFont="1" applyFill="1" applyProtection="1">
      <protection locked="0"/>
    </xf>
    <xf numFmtId="43" fontId="180" fillId="10" borderId="0" xfId="1" applyFont="1" applyFill="1" applyAlignment="1" applyProtection="1">
      <alignment horizontal="right"/>
      <protection locked="0"/>
    </xf>
    <xf numFmtId="43" fontId="180" fillId="10" borderId="0" xfId="1" applyFont="1" applyFill="1" applyBorder="1" applyAlignment="1" applyProtection="1">
      <alignment horizontal="right"/>
      <protection locked="0"/>
    </xf>
    <xf numFmtId="198" fontId="180" fillId="10" borderId="0" xfId="1" applyNumberFormat="1" applyFont="1" applyFill="1" applyBorder="1" applyAlignment="1" applyProtection="1">
      <alignment horizontal="right"/>
      <protection locked="0"/>
    </xf>
    <xf numFmtId="43" fontId="176" fillId="10" borderId="0" xfId="1" applyFont="1" applyFill="1" applyBorder="1" applyAlignment="1" applyProtection="1">
      <alignment horizontal="right"/>
      <protection locked="0"/>
    </xf>
    <xf numFmtId="43" fontId="176" fillId="10" borderId="0" xfId="1" applyFont="1" applyFill="1" applyAlignment="1" applyProtection="1">
      <alignment horizontal="right" vertical="center"/>
      <protection locked="0"/>
    </xf>
    <xf numFmtId="43" fontId="176" fillId="10" borderId="0" xfId="1" applyFont="1" applyFill="1" applyProtection="1">
      <protection locked="0"/>
    </xf>
    <xf numFmtId="43" fontId="143" fillId="10" borderId="0" xfId="1" applyFont="1" applyFill="1" applyProtection="1">
      <protection locked="0"/>
    </xf>
    <xf numFmtId="0" fontId="159" fillId="4" borderId="0" xfId="0" applyFont="1" applyFill="1" applyProtection="1">
      <protection locked="0"/>
    </xf>
    <xf numFmtId="0" fontId="179" fillId="4" borderId="0" xfId="0" applyFont="1" applyFill="1" applyProtection="1">
      <protection locked="0"/>
    </xf>
    <xf numFmtId="0" fontId="179" fillId="4" borderId="0" xfId="0" applyFont="1" applyFill="1" applyAlignment="1" applyProtection="1">
      <alignment horizontal="right"/>
      <protection locked="0"/>
    </xf>
    <xf numFmtId="169" fontId="179" fillId="4" borderId="0" xfId="1" applyNumberFormat="1" applyFont="1" applyFill="1" applyAlignment="1" applyProtection="1">
      <alignment horizontal="right"/>
      <protection locked="0"/>
    </xf>
    <xf numFmtId="169" fontId="179" fillId="4" borderId="0" xfId="1" applyNumberFormat="1" applyFont="1" applyFill="1" applyBorder="1" applyAlignment="1" applyProtection="1">
      <alignment horizontal="right"/>
      <protection locked="0"/>
    </xf>
    <xf numFmtId="169" fontId="179" fillId="4" borderId="5" xfId="1" applyNumberFormat="1" applyFont="1" applyFill="1" applyBorder="1" applyAlignment="1" applyProtection="1">
      <alignment horizontal="right"/>
      <protection locked="0"/>
    </xf>
    <xf numFmtId="169" fontId="159" fillId="4" borderId="0" xfId="1" applyNumberFormat="1" applyFont="1" applyFill="1" applyAlignment="1" applyProtection="1">
      <alignment horizontal="right"/>
      <protection locked="0"/>
    </xf>
    <xf numFmtId="0" fontId="159" fillId="4" borderId="0" xfId="0" applyFont="1" applyFill="1" applyAlignment="1" applyProtection="1">
      <alignment horizontal="right"/>
      <protection locked="0"/>
    </xf>
    <xf numFmtId="169" fontId="159" fillId="4" borderId="4" xfId="1" applyNumberFormat="1" applyFont="1" applyFill="1" applyBorder="1" applyAlignment="1" applyProtection="1">
      <alignment horizontal="right"/>
      <protection locked="0"/>
    </xf>
    <xf numFmtId="169" fontId="159" fillId="4" borderId="0" xfId="1" applyNumberFormat="1" applyFont="1" applyFill="1" applyBorder="1" applyAlignment="1" applyProtection="1">
      <alignment horizontal="right"/>
      <protection locked="0"/>
    </xf>
    <xf numFmtId="169" fontId="159" fillId="4" borderId="4" xfId="1" applyNumberFormat="1" applyFont="1" applyFill="1" applyBorder="1" applyAlignment="1" applyProtection="1">
      <alignment horizontal="right" vertical="center"/>
      <protection locked="0"/>
    </xf>
    <xf numFmtId="169" fontId="159" fillId="4" borderId="0" xfId="1" applyNumberFormat="1" applyFont="1" applyFill="1" applyAlignment="1" applyProtection="1">
      <alignment horizontal="right" vertical="center"/>
      <protection locked="0"/>
    </xf>
    <xf numFmtId="169" fontId="159" fillId="4" borderId="0" xfId="1" applyNumberFormat="1" applyFont="1" applyFill="1" applyProtection="1">
      <protection locked="0"/>
    </xf>
    <xf numFmtId="0" fontId="66" fillId="4" borderId="0" xfId="0" applyFont="1" applyFill="1" applyProtection="1">
      <protection locked="0"/>
    </xf>
    <xf numFmtId="10" fontId="180" fillId="10" borderId="0" xfId="0" applyNumberFormat="1" applyFont="1" applyFill="1" applyAlignment="1" applyProtection="1">
      <alignment horizontal="right"/>
      <protection locked="0"/>
    </xf>
    <xf numFmtId="10" fontId="180" fillId="10" borderId="5" xfId="0" applyNumberFormat="1" applyFont="1" applyFill="1" applyBorder="1" applyAlignment="1" applyProtection="1">
      <alignment horizontal="right"/>
      <protection locked="0"/>
    </xf>
    <xf numFmtId="10" fontId="172" fillId="10" borderId="0" xfId="0" applyNumberFormat="1" applyFont="1" applyFill="1" applyAlignment="1" applyProtection="1">
      <alignment horizontal="right"/>
      <protection locked="0"/>
    </xf>
    <xf numFmtId="10" fontId="196" fillId="10" borderId="0" xfId="0" applyNumberFormat="1" applyFont="1" applyFill="1" applyAlignment="1" applyProtection="1">
      <alignment horizontal="right"/>
      <protection locked="0"/>
    </xf>
    <xf numFmtId="9" fontId="196" fillId="10" borderId="0" xfId="0" applyNumberFormat="1" applyFont="1" applyFill="1" applyAlignment="1" applyProtection="1">
      <alignment horizontal="right"/>
      <protection locked="0"/>
    </xf>
    <xf numFmtId="171" fontId="172" fillId="10" borderId="4" xfId="0" applyNumberFormat="1" applyFont="1" applyFill="1" applyBorder="1" applyAlignment="1" applyProtection="1">
      <alignment horizontal="right"/>
      <protection locked="0"/>
    </xf>
    <xf numFmtId="171" fontId="172" fillId="10" borderId="0" xfId="0" applyNumberFormat="1" applyFont="1" applyFill="1" applyAlignment="1" applyProtection="1">
      <alignment horizontal="right"/>
      <protection locked="0"/>
    </xf>
    <xf numFmtId="171" fontId="172" fillId="10" borderId="4" xfId="0" applyNumberFormat="1" applyFont="1" applyFill="1" applyBorder="1" applyAlignment="1" applyProtection="1">
      <alignment horizontal="right" vertical="center"/>
      <protection locked="0"/>
    </xf>
    <xf numFmtId="171" fontId="172" fillId="10" borderId="0" xfId="0" applyNumberFormat="1" applyFont="1" applyFill="1" applyAlignment="1" applyProtection="1">
      <alignment horizontal="right" vertical="center"/>
      <protection locked="0"/>
    </xf>
    <xf numFmtId="171" fontId="172" fillId="10" borderId="0" xfId="0" applyNumberFormat="1" applyFont="1" applyFill="1" applyProtection="1">
      <protection locked="0"/>
    </xf>
    <xf numFmtId="169" fontId="159" fillId="4" borderId="0" xfId="0" applyNumberFormat="1" applyFont="1" applyFill="1" applyProtection="1">
      <protection locked="0"/>
    </xf>
    <xf numFmtId="0" fontId="180" fillId="4" borderId="0" xfId="0" applyFont="1" applyFill="1" applyAlignment="1" applyProtection="1">
      <alignment horizontal="right"/>
      <protection locked="0"/>
    </xf>
    <xf numFmtId="169" fontId="180" fillId="4" borderId="0" xfId="0" applyNumberFormat="1" applyFont="1" applyFill="1" applyAlignment="1" applyProtection="1">
      <alignment horizontal="right"/>
      <protection locked="0"/>
    </xf>
    <xf numFmtId="169" fontId="180" fillId="4" borderId="5" xfId="0" applyNumberFormat="1" applyFont="1" applyFill="1" applyBorder="1" applyAlignment="1" applyProtection="1">
      <alignment horizontal="right"/>
      <protection locked="0"/>
    </xf>
    <xf numFmtId="169" fontId="158" fillId="4" borderId="0" xfId="0" applyNumberFormat="1" applyFont="1" applyFill="1" applyAlignment="1" applyProtection="1">
      <alignment horizontal="right"/>
      <protection locked="0"/>
    </xf>
    <xf numFmtId="169" fontId="158" fillId="4" borderId="0" xfId="1" applyNumberFormat="1" applyFont="1" applyFill="1" applyAlignment="1" applyProtection="1">
      <alignment horizontal="right"/>
      <protection locked="0"/>
    </xf>
    <xf numFmtId="169" fontId="158" fillId="4" borderId="0" xfId="1" applyNumberFormat="1" applyFont="1" applyFill="1" applyBorder="1" applyAlignment="1" applyProtection="1">
      <alignment horizontal="right"/>
      <protection locked="0"/>
    </xf>
    <xf numFmtId="169" fontId="158" fillId="4" borderId="4" xfId="1" applyNumberFormat="1" applyFont="1" applyFill="1" applyBorder="1" applyAlignment="1" applyProtection="1">
      <alignment horizontal="right"/>
      <protection locked="0"/>
    </xf>
    <xf numFmtId="169" fontId="158" fillId="4" borderId="4" xfId="1" applyNumberFormat="1" applyFont="1" applyFill="1" applyBorder="1" applyAlignment="1" applyProtection="1">
      <alignment horizontal="right" vertical="center"/>
      <protection locked="0"/>
    </xf>
    <xf numFmtId="169" fontId="158" fillId="4" borderId="0" xfId="1" applyNumberFormat="1" applyFont="1" applyFill="1" applyAlignment="1" applyProtection="1">
      <alignment horizontal="right" vertical="center"/>
      <protection locked="0"/>
    </xf>
    <xf numFmtId="169" fontId="158" fillId="4" borderId="0" xfId="1" applyNumberFormat="1" applyFont="1" applyFill="1" applyProtection="1">
      <protection locked="0"/>
    </xf>
    <xf numFmtId="0" fontId="135" fillId="4" borderId="0" xfId="0" applyFont="1" applyFill="1" applyProtection="1">
      <protection locked="0"/>
    </xf>
    <xf numFmtId="171" fontId="158" fillId="0" borderId="0" xfId="2" applyNumberFormat="1" applyFont="1" applyFill="1" applyAlignment="1" applyProtection="1">
      <alignment horizontal="right"/>
      <protection locked="0"/>
    </xf>
    <xf numFmtId="43" fontId="158" fillId="10" borderId="0" xfId="1" applyFont="1" applyFill="1" applyAlignment="1" applyProtection="1">
      <alignment horizontal="right"/>
      <protection locked="0"/>
    </xf>
    <xf numFmtId="169" fontId="158" fillId="6" borderId="0" xfId="1" applyNumberFormat="1" applyFont="1" applyFill="1" applyBorder="1" applyAlignment="1" applyProtection="1">
      <alignment horizontal="right"/>
      <protection locked="0"/>
    </xf>
    <xf numFmtId="169" fontId="158" fillId="10" borderId="0" xfId="0" applyNumberFormat="1" applyFont="1" applyFill="1" applyProtection="1">
      <protection locked="0"/>
    </xf>
    <xf numFmtId="171" fontId="180" fillId="0" borderId="0" xfId="2" applyNumberFormat="1" applyFont="1" applyFill="1" applyAlignment="1" applyProtection="1">
      <alignment horizontal="right"/>
      <protection locked="0"/>
    </xf>
    <xf numFmtId="169" fontId="158" fillId="0" borderId="0" xfId="1" applyNumberFormat="1" applyFont="1" applyFill="1" applyAlignment="1" applyProtection="1">
      <alignment horizontal="right"/>
      <protection locked="0"/>
    </xf>
    <xf numFmtId="0" fontId="193" fillId="10" borderId="0" xfId="0" applyFont="1" applyFill="1" applyAlignment="1" applyProtection="1">
      <alignment horizontal="right"/>
      <protection locked="0"/>
    </xf>
    <xf numFmtId="169" fontId="193" fillId="10" borderId="4" xfId="1" applyNumberFormat="1" applyFont="1" applyFill="1" applyBorder="1" applyAlignment="1" applyProtection="1">
      <alignment horizontal="right"/>
      <protection locked="0"/>
    </xf>
    <xf numFmtId="0" fontId="180" fillId="0" borderId="0" xfId="0" applyFont="1" applyProtection="1">
      <protection locked="0"/>
    </xf>
    <xf numFmtId="0" fontId="180" fillId="0" borderId="0" xfId="0" applyFont="1" applyAlignment="1" applyProtection="1">
      <alignment horizontal="right"/>
      <protection locked="0"/>
    </xf>
    <xf numFmtId="9" fontId="180" fillId="0" borderId="0" xfId="2" applyFont="1" applyFill="1" applyBorder="1" applyAlignment="1" applyProtection="1">
      <alignment horizontal="right"/>
      <protection locked="0"/>
    </xf>
    <xf numFmtId="9" fontId="180" fillId="0" borderId="5" xfId="2" applyFont="1" applyFill="1" applyBorder="1" applyAlignment="1" applyProtection="1">
      <alignment horizontal="right"/>
      <protection locked="0"/>
    </xf>
    <xf numFmtId="9" fontId="158" fillId="0" borderId="0" xfId="2" applyFont="1" applyFill="1" applyAlignment="1" applyProtection="1">
      <alignment horizontal="right"/>
      <protection locked="0"/>
    </xf>
    <xf numFmtId="0" fontId="158" fillId="0" borderId="0" xfId="0" applyFont="1" applyProtection="1">
      <protection locked="0"/>
    </xf>
    <xf numFmtId="169" fontId="180" fillId="0" borderId="0" xfId="0" applyNumberFormat="1" applyFont="1" applyAlignment="1" applyProtection="1">
      <alignment horizontal="right"/>
      <protection locked="0"/>
    </xf>
    <xf numFmtId="43" fontId="180" fillId="0" borderId="0" xfId="0" applyNumberFormat="1" applyFont="1" applyAlignment="1" applyProtection="1">
      <alignment horizontal="right"/>
      <protection locked="0"/>
    </xf>
    <xf numFmtId="169" fontId="158" fillId="0" borderId="0" xfId="1" applyNumberFormat="1" applyFont="1" applyFill="1" applyBorder="1" applyAlignment="1" applyProtection="1">
      <alignment horizontal="right"/>
      <protection locked="0"/>
    </xf>
    <xf numFmtId="169" fontId="158" fillId="0" borderId="4" xfId="1" applyNumberFormat="1" applyFont="1" applyFill="1" applyBorder="1" applyAlignment="1" applyProtection="1">
      <alignment horizontal="right"/>
      <protection locked="0"/>
    </xf>
    <xf numFmtId="193" fontId="158" fillId="10" borderId="0" xfId="1" applyNumberFormat="1" applyFont="1" applyFill="1" applyAlignment="1" applyProtection="1">
      <alignment horizontal="right"/>
      <protection locked="0"/>
    </xf>
    <xf numFmtId="0" fontId="195" fillId="0" borderId="0" xfId="0" applyFont="1" applyProtection="1">
      <protection locked="0"/>
    </xf>
    <xf numFmtId="0" fontId="186" fillId="0" borderId="0" xfId="0" applyFont="1" applyProtection="1">
      <protection locked="0"/>
    </xf>
    <xf numFmtId="169" fontId="186" fillId="0" borderId="0" xfId="1" applyNumberFormat="1" applyFont="1" applyFill="1" applyAlignment="1" applyProtection="1">
      <alignment horizontal="right"/>
      <protection locked="0"/>
    </xf>
    <xf numFmtId="169" fontId="186" fillId="0" borderId="0" xfId="1" applyNumberFormat="1" applyFont="1" applyFill="1" applyBorder="1" applyAlignment="1" applyProtection="1">
      <alignment horizontal="right"/>
      <protection locked="0"/>
    </xf>
    <xf numFmtId="169" fontId="186" fillId="0" borderId="0" xfId="0" applyNumberFormat="1" applyFont="1" applyAlignment="1" applyProtection="1">
      <alignment horizontal="right"/>
      <protection locked="0"/>
    </xf>
    <xf numFmtId="169" fontId="186" fillId="0" borderId="5" xfId="0" applyNumberFormat="1" applyFont="1" applyBorder="1" applyAlignment="1" applyProtection="1">
      <alignment horizontal="right"/>
      <protection locked="0"/>
    </xf>
    <xf numFmtId="169" fontId="195" fillId="0" borderId="0" xfId="0" applyNumberFormat="1" applyFont="1" applyAlignment="1" applyProtection="1">
      <alignment horizontal="right"/>
      <protection locked="0"/>
    </xf>
    <xf numFmtId="0" fontId="198" fillId="0" borderId="0" xfId="20" applyFont="1" applyFill="1" applyBorder="1" applyProtection="1">
      <protection locked="0"/>
    </xf>
    <xf numFmtId="0" fontId="179" fillId="0" borderId="0" xfId="20" applyFont="1" applyFill="1" applyBorder="1" applyProtection="1">
      <protection locked="0"/>
    </xf>
    <xf numFmtId="171" fontId="180" fillId="0" borderId="0" xfId="2" applyNumberFormat="1" applyFont="1" applyFill="1" applyBorder="1" applyAlignment="1" applyProtection="1">
      <alignment horizontal="right"/>
      <protection locked="0"/>
    </xf>
    <xf numFmtId="171" fontId="180" fillId="0" borderId="5" xfId="2" applyNumberFormat="1" applyFont="1" applyFill="1" applyBorder="1" applyAlignment="1" applyProtection="1">
      <alignment horizontal="right"/>
      <protection locked="0"/>
    </xf>
    <xf numFmtId="171" fontId="198" fillId="0" borderId="0" xfId="20" applyNumberFormat="1" applyFont="1" applyFill="1" applyBorder="1" applyAlignment="1" applyProtection="1">
      <alignment horizontal="right"/>
      <protection locked="0"/>
    </xf>
    <xf numFmtId="193" fontId="198" fillId="17" borderId="0" xfId="1" applyNumberFormat="1" applyFont="1" applyFill="1" applyBorder="1" applyAlignment="1" applyProtection="1">
      <alignment horizontal="right"/>
      <protection locked="0"/>
    </xf>
    <xf numFmtId="0" fontId="198" fillId="17" borderId="0" xfId="20" applyFont="1" applyBorder="1" applyAlignment="1" applyProtection="1">
      <alignment horizontal="right"/>
      <protection locked="0"/>
    </xf>
    <xf numFmtId="169" fontId="198" fillId="17" borderId="0" xfId="20" applyNumberFormat="1" applyFont="1" applyBorder="1" applyAlignment="1" applyProtection="1">
      <alignment horizontal="right"/>
      <protection locked="0"/>
    </xf>
    <xf numFmtId="171" fontId="198" fillId="17" borderId="0" xfId="2" applyNumberFormat="1" applyFont="1" applyFill="1" applyBorder="1" applyAlignment="1" applyProtection="1">
      <alignment horizontal="right"/>
      <protection locked="0"/>
    </xf>
    <xf numFmtId="171" fontId="198" fillId="17" borderId="4" xfId="2" applyNumberFormat="1" applyFont="1" applyFill="1" applyBorder="1" applyAlignment="1" applyProtection="1">
      <alignment horizontal="right"/>
      <protection locked="0"/>
    </xf>
    <xf numFmtId="171" fontId="198" fillId="17" borderId="5" xfId="2" applyNumberFormat="1" applyFont="1" applyFill="1" applyBorder="1" applyAlignment="1" applyProtection="1">
      <alignment horizontal="right"/>
      <protection locked="0"/>
    </xf>
    <xf numFmtId="171" fontId="198" fillId="17" borderId="4" xfId="2" applyNumberFormat="1" applyFont="1" applyFill="1" applyBorder="1" applyAlignment="1" applyProtection="1">
      <alignment horizontal="right" vertical="center"/>
      <protection locked="0"/>
    </xf>
    <xf numFmtId="171" fontId="198" fillId="17" borderId="0" xfId="2" applyNumberFormat="1" applyFont="1" applyFill="1" applyBorder="1" applyAlignment="1" applyProtection="1">
      <alignment horizontal="right" vertical="center"/>
      <protection locked="0"/>
    </xf>
    <xf numFmtId="171" fontId="198" fillId="17" borderId="0" xfId="2" applyNumberFormat="1" applyFont="1" applyFill="1" applyBorder="1" applyProtection="1">
      <protection locked="0"/>
    </xf>
    <xf numFmtId="0" fontId="151" fillId="17" borderId="0" xfId="20" applyFont="1" applyBorder="1" applyProtection="1">
      <protection locked="0"/>
    </xf>
    <xf numFmtId="169" fontId="158" fillId="0" borderId="0" xfId="0" applyNumberFormat="1" applyFont="1" applyAlignment="1" applyProtection="1">
      <alignment horizontal="right"/>
      <protection locked="0"/>
    </xf>
    <xf numFmtId="200" fontId="158" fillId="10" borderId="4" xfId="0" applyNumberFormat="1" applyFont="1" applyFill="1" applyBorder="1" applyAlignment="1" applyProtection="1">
      <alignment horizontal="right"/>
      <protection locked="0"/>
    </xf>
    <xf numFmtId="169" fontId="158" fillId="10" borderId="4" xfId="0" applyNumberFormat="1" applyFont="1" applyFill="1" applyBorder="1" applyAlignment="1" applyProtection="1">
      <alignment horizontal="right" vertical="center"/>
      <protection locked="0"/>
    </xf>
    <xf numFmtId="171" fontId="158" fillId="10" borderId="0" xfId="0" applyNumberFormat="1" applyFont="1" applyFill="1" applyAlignment="1" applyProtection="1">
      <alignment horizontal="right" vertical="center"/>
      <protection locked="0"/>
    </xf>
    <xf numFmtId="43" fontId="180" fillId="0" borderId="0" xfId="1" applyFont="1" applyFill="1" applyBorder="1" applyAlignment="1" applyProtection="1">
      <alignment horizontal="right"/>
      <protection locked="0"/>
    </xf>
    <xf numFmtId="43" fontId="180" fillId="0" borderId="5" xfId="1" applyFont="1" applyFill="1" applyBorder="1" applyAlignment="1" applyProtection="1">
      <alignment horizontal="right"/>
      <protection locked="0"/>
    </xf>
    <xf numFmtId="43" fontId="158" fillId="0" borderId="0" xfId="1" applyFont="1" applyFill="1" applyAlignment="1" applyProtection="1">
      <alignment horizontal="right"/>
      <protection locked="0"/>
    </xf>
    <xf numFmtId="171" fontId="158" fillId="10" borderId="0" xfId="0" applyNumberFormat="1" applyFont="1" applyFill="1" applyAlignment="1" applyProtection="1">
      <alignment horizontal="right"/>
      <protection locked="0"/>
    </xf>
    <xf numFmtId="208" fontId="158" fillId="10" borderId="0" xfId="0" applyNumberFormat="1" applyFont="1" applyFill="1" applyAlignment="1" applyProtection="1">
      <alignment horizontal="right" vertical="center"/>
      <protection locked="0"/>
    </xf>
    <xf numFmtId="0" fontId="195" fillId="0" borderId="0" xfId="0" applyFont="1" applyAlignment="1" applyProtection="1">
      <alignment horizontal="right"/>
      <protection locked="0"/>
    </xf>
    <xf numFmtId="43" fontId="195" fillId="10" borderId="0" xfId="1" applyFont="1" applyFill="1" applyAlignment="1" applyProtection="1">
      <alignment horizontal="right"/>
      <protection locked="0"/>
    </xf>
    <xf numFmtId="43" fontId="195" fillId="10" borderId="4" xfId="1" applyFont="1" applyFill="1" applyBorder="1" applyAlignment="1" applyProtection="1">
      <alignment horizontal="right"/>
      <protection locked="0"/>
    </xf>
    <xf numFmtId="43" fontId="195" fillId="10" borderId="0" xfId="1" applyFont="1" applyFill="1" applyBorder="1" applyAlignment="1" applyProtection="1">
      <alignment horizontal="right"/>
      <protection locked="0"/>
    </xf>
    <xf numFmtId="171" fontId="186" fillId="0" borderId="0" xfId="2" applyNumberFormat="1" applyFont="1" applyFill="1" applyBorder="1" applyAlignment="1" applyProtection="1">
      <alignment horizontal="right"/>
      <protection locked="0"/>
    </xf>
    <xf numFmtId="171" fontId="186" fillId="0" borderId="5" xfId="2" applyNumberFormat="1" applyFont="1" applyFill="1" applyBorder="1" applyAlignment="1" applyProtection="1">
      <alignment horizontal="right"/>
      <protection locked="0"/>
    </xf>
    <xf numFmtId="171" fontId="195" fillId="0" borderId="0" xfId="2" applyNumberFormat="1" applyFont="1" applyFill="1" applyBorder="1" applyAlignment="1" applyProtection="1">
      <alignment horizontal="right"/>
      <protection locked="0"/>
    </xf>
    <xf numFmtId="171" fontId="195" fillId="0" borderId="4" xfId="2" applyNumberFormat="1" applyFont="1" applyFill="1" applyBorder="1" applyAlignment="1" applyProtection="1">
      <alignment horizontal="right"/>
      <protection locked="0"/>
    </xf>
    <xf numFmtId="0" fontId="195" fillId="10" borderId="4" xfId="0" applyFont="1" applyFill="1" applyBorder="1" applyAlignment="1" applyProtection="1">
      <alignment horizontal="right"/>
      <protection locked="0"/>
    </xf>
    <xf numFmtId="0" fontId="195" fillId="10" borderId="4" xfId="0" applyFont="1" applyFill="1" applyBorder="1" applyAlignment="1" applyProtection="1">
      <alignment horizontal="right" vertical="center"/>
      <protection locked="0"/>
    </xf>
    <xf numFmtId="0" fontId="167" fillId="0" borderId="0" xfId="0" applyFont="1" applyProtection="1">
      <protection locked="0"/>
    </xf>
    <xf numFmtId="0" fontId="189" fillId="0" borderId="0" xfId="0" applyFont="1" applyProtection="1">
      <protection locked="0"/>
    </xf>
    <xf numFmtId="0" fontId="189" fillId="0" borderId="0" xfId="0" applyFont="1" applyAlignment="1" applyProtection="1">
      <alignment horizontal="right"/>
      <protection locked="0"/>
    </xf>
    <xf numFmtId="169" fontId="189" fillId="0" borderId="0" xfId="0" applyNumberFormat="1" applyFont="1" applyAlignment="1" applyProtection="1">
      <alignment horizontal="right"/>
      <protection locked="0"/>
    </xf>
    <xf numFmtId="169" fontId="189" fillId="0" borderId="5" xfId="0" applyNumberFormat="1" applyFont="1" applyBorder="1" applyAlignment="1" applyProtection="1">
      <alignment horizontal="right"/>
      <protection locked="0"/>
    </xf>
    <xf numFmtId="169" fontId="167" fillId="0" borderId="0" xfId="0" applyNumberFormat="1" applyFont="1" applyAlignment="1" applyProtection="1">
      <alignment horizontal="right"/>
      <protection locked="0"/>
    </xf>
    <xf numFmtId="0" fontId="167" fillId="6" borderId="0" xfId="0" applyFont="1" applyFill="1" applyAlignment="1" applyProtection="1">
      <alignment horizontal="right"/>
      <protection locked="0"/>
    </xf>
    <xf numFmtId="169" fontId="167" fillId="6" borderId="0" xfId="0" applyNumberFormat="1" applyFont="1" applyFill="1" applyAlignment="1" applyProtection="1">
      <alignment horizontal="right"/>
      <protection locked="0"/>
    </xf>
    <xf numFmtId="169" fontId="167" fillId="6" borderId="4" xfId="0" applyNumberFormat="1" applyFont="1" applyFill="1" applyBorder="1" applyAlignment="1" applyProtection="1">
      <alignment horizontal="right"/>
      <protection locked="0"/>
    </xf>
    <xf numFmtId="169" fontId="167" fillId="6" borderId="4" xfId="0" applyNumberFormat="1" applyFont="1" applyFill="1" applyBorder="1" applyAlignment="1" applyProtection="1">
      <alignment horizontal="right" vertical="center"/>
      <protection locked="0"/>
    </xf>
    <xf numFmtId="169" fontId="167" fillId="6" borderId="0" xfId="0" applyNumberFormat="1" applyFont="1" applyFill="1" applyAlignment="1" applyProtection="1">
      <alignment horizontal="right" vertical="center"/>
      <protection locked="0"/>
    </xf>
    <xf numFmtId="169" fontId="167" fillId="6" borderId="0" xfId="0" applyNumberFormat="1" applyFont="1" applyFill="1" applyProtection="1">
      <protection locked="0"/>
    </xf>
    <xf numFmtId="0" fontId="167" fillId="6" borderId="0" xfId="0" applyFont="1" applyFill="1" applyProtection="1">
      <protection locked="0"/>
    </xf>
    <xf numFmtId="0" fontId="137" fillId="6" borderId="0" xfId="0" applyFont="1" applyFill="1" applyProtection="1">
      <protection locked="0"/>
    </xf>
    <xf numFmtId="9" fontId="167" fillId="0" borderId="0" xfId="2" applyFont="1" applyFill="1" applyProtection="1">
      <protection locked="0"/>
    </xf>
    <xf numFmtId="9" fontId="189" fillId="0" borderId="0" xfId="2" applyFont="1" applyFill="1" applyProtection="1">
      <protection locked="0"/>
    </xf>
    <xf numFmtId="9" fontId="189" fillId="0" borderId="0" xfId="2" applyFont="1" applyFill="1" applyAlignment="1" applyProtection="1">
      <alignment horizontal="right"/>
      <protection locked="0"/>
    </xf>
    <xf numFmtId="171" fontId="189" fillId="0" borderId="0" xfId="2" applyNumberFormat="1" applyFont="1" applyFill="1" applyAlignment="1" applyProtection="1">
      <alignment horizontal="right"/>
      <protection locked="0"/>
    </xf>
    <xf numFmtId="9" fontId="189" fillId="0" borderId="0" xfId="2" applyFont="1" applyFill="1" applyBorder="1" applyAlignment="1" applyProtection="1">
      <alignment horizontal="right"/>
      <protection locked="0"/>
    </xf>
    <xf numFmtId="9" fontId="189" fillId="0" borderId="5" xfId="2" applyFont="1" applyFill="1" applyBorder="1" applyAlignment="1" applyProtection="1">
      <alignment horizontal="right"/>
      <protection locked="0"/>
    </xf>
    <xf numFmtId="9" fontId="167" fillId="0" borderId="0" xfId="2" applyFont="1" applyFill="1" applyBorder="1" applyAlignment="1" applyProtection="1">
      <alignment horizontal="right"/>
      <protection locked="0"/>
    </xf>
    <xf numFmtId="9" fontId="167" fillId="0" borderId="0" xfId="2" applyFont="1" applyFill="1" applyAlignment="1" applyProtection="1">
      <alignment horizontal="right"/>
      <protection locked="0"/>
    </xf>
    <xf numFmtId="9" fontId="167" fillId="10" borderId="0" xfId="2" applyFont="1" applyFill="1" applyAlignment="1" applyProtection="1">
      <alignment horizontal="right"/>
      <protection locked="0"/>
    </xf>
    <xf numFmtId="10" fontId="167" fillId="10" borderId="4" xfId="2" applyNumberFormat="1" applyFont="1" applyFill="1" applyBorder="1" applyAlignment="1" applyProtection="1">
      <alignment horizontal="right"/>
      <protection locked="0"/>
    </xf>
    <xf numFmtId="10" fontId="167" fillId="10" borderId="0" xfId="2" applyNumberFormat="1" applyFont="1" applyFill="1" applyBorder="1" applyAlignment="1" applyProtection="1">
      <alignment horizontal="right"/>
      <protection locked="0"/>
    </xf>
    <xf numFmtId="10" fontId="167" fillId="10" borderId="0" xfId="2" applyNumberFormat="1" applyFont="1" applyFill="1" applyAlignment="1" applyProtection="1">
      <alignment horizontal="right"/>
      <protection locked="0"/>
    </xf>
    <xf numFmtId="10" fontId="167" fillId="10" borderId="4" xfId="2" applyNumberFormat="1" applyFont="1" applyFill="1" applyBorder="1" applyAlignment="1" applyProtection="1">
      <alignment horizontal="right" vertical="center"/>
      <protection locked="0"/>
    </xf>
    <xf numFmtId="9" fontId="167" fillId="10" borderId="0" xfId="2" applyFont="1" applyFill="1" applyAlignment="1" applyProtection="1">
      <alignment horizontal="right" vertical="center"/>
      <protection locked="0"/>
    </xf>
    <xf numFmtId="9" fontId="167" fillId="10" borderId="0" xfId="2" applyFont="1" applyFill="1" applyProtection="1">
      <protection locked="0"/>
    </xf>
    <xf numFmtId="9" fontId="137" fillId="10" borderId="0" xfId="2" applyFont="1" applyFill="1" applyProtection="1">
      <protection locked="0"/>
    </xf>
    <xf numFmtId="0" fontId="199" fillId="0" borderId="0" xfId="0" applyFont="1" applyProtection="1">
      <protection locked="0"/>
    </xf>
    <xf numFmtId="193" fontId="189" fillId="0" borderId="0" xfId="0" applyNumberFormat="1" applyFont="1" applyAlignment="1" applyProtection="1">
      <alignment horizontal="right"/>
      <protection locked="0"/>
    </xf>
    <xf numFmtId="43" fontId="189" fillId="0" borderId="0" xfId="0" applyNumberFormat="1" applyFont="1" applyAlignment="1" applyProtection="1">
      <alignment horizontal="right"/>
      <protection locked="0"/>
    </xf>
    <xf numFmtId="193" fontId="189" fillId="0" borderId="5" xfId="0" applyNumberFormat="1" applyFont="1" applyBorder="1" applyAlignment="1" applyProtection="1">
      <alignment horizontal="right"/>
      <protection locked="0"/>
    </xf>
    <xf numFmtId="193" fontId="199" fillId="0" borderId="0" xfId="0" applyNumberFormat="1" applyFont="1" applyAlignment="1" applyProtection="1">
      <alignment horizontal="right"/>
      <protection locked="0"/>
    </xf>
    <xf numFmtId="169" fontId="199" fillId="0" borderId="0" xfId="0" applyNumberFormat="1" applyFont="1" applyAlignment="1" applyProtection="1">
      <alignment horizontal="right"/>
      <protection locked="0"/>
    </xf>
    <xf numFmtId="0" fontId="199" fillId="10" borderId="0" xfId="0" applyFont="1" applyFill="1" applyAlignment="1" applyProtection="1">
      <alignment horizontal="right"/>
      <protection locked="0"/>
    </xf>
    <xf numFmtId="169" fontId="199" fillId="10" borderId="0" xfId="0" applyNumberFormat="1" applyFont="1" applyFill="1" applyAlignment="1" applyProtection="1">
      <alignment horizontal="right"/>
      <protection locked="0"/>
    </xf>
    <xf numFmtId="169" fontId="199" fillId="10" borderId="4" xfId="0" applyNumberFormat="1" applyFont="1" applyFill="1" applyBorder="1" applyAlignment="1" applyProtection="1">
      <alignment horizontal="right"/>
      <protection locked="0"/>
    </xf>
    <xf numFmtId="0" fontId="199" fillId="10" borderId="4" xfId="0" applyFont="1" applyFill="1" applyBorder="1" applyAlignment="1" applyProtection="1">
      <alignment horizontal="right"/>
      <protection locked="0"/>
    </xf>
    <xf numFmtId="0" fontId="199" fillId="10" borderId="4" xfId="0" applyFont="1" applyFill="1" applyBorder="1" applyAlignment="1" applyProtection="1">
      <alignment horizontal="right" vertical="center"/>
      <protection locked="0"/>
    </xf>
    <xf numFmtId="0" fontId="199" fillId="10" borderId="0" xfId="0" applyFont="1" applyFill="1" applyAlignment="1" applyProtection="1">
      <alignment horizontal="right" vertical="center"/>
      <protection locked="0"/>
    </xf>
    <xf numFmtId="0" fontId="199" fillId="10" borderId="0" xfId="0" applyFont="1" applyFill="1" applyProtection="1">
      <protection locked="0"/>
    </xf>
    <xf numFmtId="0" fontId="152" fillId="10" borderId="0" xfId="0" applyFont="1" applyFill="1" applyProtection="1">
      <protection locked="0"/>
    </xf>
    <xf numFmtId="0" fontId="200" fillId="59" borderId="0" xfId="0" applyFont="1" applyFill="1" applyProtection="1">
      <protection locked="0"/>
    </xf>
    <xf numFmtId="0" fontId="201" fillId="59" borderId="0" xfId="0" applyFont="1" applyFill="1" applyProtection="1">
      <protection locked="0"/>
    </xf>
    <xf numFmtId="0" fontId="201" fillId="59" borderId="0" xfId="0" applyFont="1" applyFill="1" applyAlignment="1" applyProtection="1">
      <alignment horizontal="right"/>
      <protection locked="0"/>
    </xf>
    <xf numFmtId="43" fontId="201" fillId="59" borderId="0" xfId="0" applyNumberFormat="1" applyFont="1" applyFill="1" applyAlignment="1" applyProtection="1">
      <alignment horizontal="right"/>
      <protection locked="0"/>
    </xf>
    <xf numFmtId="43" fontId="201" fillId="59" borderId="5" xfId="0" applyNumberFormat="1" applyFont="1" applyFill="1" applyBorder="1" applyAlignment="1" applyProtection="1">
      <alignment horizontal="right"/>
      <protection locked="0"/>
    </xf>
    <xf numFmtId="43" fontId="200" fillId="59" borderId="0" xfId="0" applyNumberFormat="1" applyFont="1" applyFill="1" applyAlignment="1" applyProtection="1">
      <alignment horizontal="right"/>
      <protection locked="0"/>
    </xf>
    <xf numFmtId="169" fontId="200" fillId="59" borderId="0" xfId="0" applyNumberFormat="1" applyFont="1" applyFill="1" applyAlignment="1" applyProtection="1">
      <alignment horizontal="right"/>
      <protection locked="0"/>
    </xf>
    <xf numFmtId="0" fontId="200" fillId="59" borderId="0" xfId="0" applyFont="1" applyFill="1" applyAlignment="1" applyProtection="1">
      <alignment horizontal="right"/>
      <protection locked="0"/>
    </xf>
    <xf numFmtId="43" fontId="200" fillId="59" borderId="4" xfId="1" applyFont="1" applyFill="1" applyBorder="1" applyAlignment="1" applyProtection="1">
      <alignment horizontal="right"/>
      <protection locked="0"/>
    </xf>
    <xf numFmtId="43" fontId="200" fillId="59" borderId="4" xfId="1" applyFont="1" applyFill="1" applyBorder="1" applyAlignment="1" applyProtection="1">
      <alignment horizontal="right" vertical="center"/>
      <protection locked="0"/>
    </xf>
    <xf numFmtId="0" fontId="200" fillId="59" borderId="0" xfId="0" applyFont="1" applyFill="1" applyAlignment="1" applyProtection="1">
      <alignment horizontal="right" vertical="center"/>
      <protection locked="0"/>
    </xf>
    <xf numFmtId="0" fontId="154" fillId="59" borderId="0" xfId="0" applyFont="1" applyFill="1" applyProtection="1">
      <protection locked="0"/>
    </xf>
    <xf numFmtId="171" fontId="200" fillId="59" borderId="4" xfId="2" applyNumberFormat="1" applyFont="1" applyFill="1" applyBorder="1" applyAlignment="1" applyProtection="1">
      <alignment horizontal="right"/>
      <protection locked="0"/>
    </xf>
    <xf numFmtId="171" fontId="200" fillId="59" borderId="0" xfId="2" applyNumberFormat="1" applyFont="1" applyFill="1" applyBorder="1" applyAlignment="1" applyProtection="1">
      <alignment horizontal="right"/>
      <protection locked="0"/>
    </xf>
    <xf numFmtId="43" fontId="200" fillId="59" borderId="4" xfId="0" applyNumberFormat="1" applyFont="1" applyFill="1" applyBorder="1" applyAlignment="1" applyProtection="1">
      <alignment horizontal="right"/>
      <protection locked="0"/>
    </xf>
    <xf numFmtId="43" fontId="200" fillId="59" borderId="4" xfId="0" applyNumberFormat="1" applyFont="1" applyFill="1" applyBorder="1" applyAlignment="1" applyProtection="1">
      <alignment horizontal="right" vertical="center"/>
      <protection locked="0"/>
    </xf>
    <xf numFmtId="0" fontId="188" fillId="10" borderId="0" xfId="0" applyFont="1" applyFill="1" applyProtection="1">
      <protection locked="0"/>
    </xf>
    <xf numFmtId="0" fontId="189" fillId="10" borderId="0" xfId="0" applyFont="1" applyFill="1" applyProtection="1">
      <protection locked="0"/>
    </xf>
    <xf numFmtId="0" fontId="189" fillId="10" borderId="0" xfId="0" applyFont="1" applyFill="1" applyAlignment="1" applyProtection="1">
      <alignment horizontal="right"/>
      <protection locked="0"/>
    </xf>
    <xf numFmtId="169" fontId="189" fillId="10" borderId="0" xfId="0" applyNumberFormat="1" applyFont="1" applyFill="1" applyAlignment="1" applyProtection="1">
      <alignment horizontal="right"/>
      <protection locked="0"/>
    </xf>
    <xf numFmtId="193" fontId="189" fillId="10" borderId="0" xfId="0" applyNumberFormat="1" applyFont="1" applyFill="1" applyAlignment="1" applyProtection="1">
      <alignment horizontal="right"/>
      <protection locked="0"/>
    </xf>
    <xf numFmtId="9" fontId="189" fillId="10" borderId="0" xfId="2" applyFont="1" applyFill="1" applyBorder="1" applyAlignment="1" applyProtection="1">
      <alignment horizontal="right"/>
      <protection locked="0"/>
    </xf>
    <xf numFmtId="193" fontId="189" fillId="10" borderId="5" xfId="0" applyNumberFormat="1" applyFont="1" applyFill="1" applyBorder="1" applyAlignment="1" applyProtection="1">
      <alignment horizontal="right"/>
      <protection locked="0"/>
    </xf>
    <xf numFmtId="193" fontId="188" fillId="10" borderId="0" xfId="0" applyNumberFormat="1" applyFont="1" applyFill="1" applyAlignment="1" applyProtection="1">
      <alignment horizontal="right"/>
      <protection locked="0"/>
    </xf>
    <xf numFmtId="169" fontId="188" fillId="10" borderId="0" xfId="0" applyNumberFormat="1" applyFont="1" applyFill="1" applyAlignment="1" applyProtection="1">
      <alignment horizontal="right"/>
      <protection locked="0"/>
    </xf>
    <xf numFmtId="0" fontId="188" fillId="10" borderId="0" xfId="0" applyFont="1" applyFill="1" applyAlignment="1" applyProtection="1">
      <alignment horizontal="right"/>
      <protection locked="0"/>
    </xf>
    <xf numFmtId="169" fontId="182" fillId="6" borderId="0" xfId="0" applyNumberFormat="1" applyFont="1" applyFill="1" applyAlignment="1" applyProtection="1">
      <alignment horizontal="right"/>
      <protection locked="0"/>
    </xf>
    <xf numFmtId="0" fontId="182" fillId="6" borderId="0" xfId="0" applyFont="1" applyFill="1" applyAlignment="1" applyProtection="1">
      <alignment horizontal="right"/>
      <protection locked="0"/>
    </xf>
    <xf numFmtId="200" fontId="182" fillId="6" borderId="0" xfId="0" applyNumberFormat="1" applyFont="1" applyFill="1" applyAlignment="1" applyProtection="1">
      <alignment horizontal="right"/>
      <protection locked="0"/>
    </xf>
    <xf numFmtId="43" fontId="182" fillId="6" borderId="4" xfId="0" applyNumberFormat="1" applyFont="1" applyFill="1" applyBorder="1" applyAlignment="1" applyProtection="1">
      <alignment horizontal="right"/>
      <protection locked="0"/>
    </xf>
    <xf numFmtId="43" fontId="188" fillId="10" borderId="0" xfId="1" applyFont="1" applyFill="1" applyAlignment="1" applyProtection="1">
      <alignment horizontal="right"/>
      <protection locked="0"/>
    </xf>
    <xf numFmtId="43" fontId="188" fillId="10" borderId="4" xfId="1" applyFont="1" applyFill="1" applyBorder="1" applyAlignment="1" applyProtection="1">
      <alignment horizontal="right"/>
      <protection locked="0"/>
    </xf>
    <xf numFmtId="43" fontId="188" fillId="10" borderId="4" xfId="1" applyFont="1" applyFill="1" applyBorder="1" applyAlignment="1" applyProtection="1">
      <alignment horizontal="right" vertical="center"/>
      <protection locked="0"/>
    </xf>
    <xf numFmtId="0" fontId="188" fillId="10" borderId="0" xfId="0" applyFont="1" applyFill="1" applyAlignment="1" applyProtection="1">
      <alignment horizontal="right" vertical="center"/>
      <protection locked="0"/>
    </xf>
    <xf numFmtId="0" fontId="153" fillId="10" borderId="0" xfId="0" applyFont="1" applyFill="1" applyProtection="1">
      <protection locked="0"/>
    </xf>
    <xf numFmtId="9" fontId="199" fillId="10" borderId="0" xfId="2" applyFont="1" applyFill="1" applyProtection="1">
      <protection locked="0"/>
    </xf>
    <xf numFmtId="9" fontId="189" fillId="10" borderId="0" xfId="2" applyFont="1" applyFill="1" applyProtection="1">
      <protection locked="0"/>
    </xf>
    <xf numFmtId="9" fontId="189" fillId="10" borderId="0" xfId="2" applyFont="1" applyFill="1" applyAlignment="1" applyProtection="1">
      <alignment horizontal="right"/>
      <protection locked="0"/>
    </xf>
    <xf numFmtId="10" fontId="189" fillId="10" borderId="0" xfId="2" applyNumberFormat="1" applyFont="1" applyFill="1" applyBorder="1" applyAlignment="1" applyProtection="1">
      <alignment horizontal="right"/>
      <protection locked="0"/>
    </xf>
    <xf numFmtId="171" fontId="189" fillId="10" borderId="5" xfId="2" applyNumberFormat="1" applyFont="1" applyFill="1" applyBorder="1" applyAlignment="1" applyProtection="1">
      <alignment horizontal="right"/>
      <protection locked="0"/>
    </xf>
    <xf numFmtId="171" fontId="199" fillId="10" borderId="0" xfId="2" applyNumberFormat="1" applyFont="1" applyFill="1" applyBorder="1" applyAlignment="1" applyProtection="1">
      <alignment horizontal="right"/>
      <protection locked="0"/>
    </xf>
    <xf numFmtId="9" fontId="199" fillId="10" borderId="0" xfId="2" applyFont="1" applyFill="1" applyAlignment="1" applyProtection="1">
      <alignment horizontal="right"/>
      <protection locked="0"/>
    </xf>
    <xf numFmtId="9" fontId="199" fillId="10" borderId="4" xfId="2" applyFont="1" applyFill="1" applyBorder="1" applyAlignment="1" applyProtection="1">
      <alignment horizontal="right"/>
      <protection locked="0"/>
    </xf>
    <xf numFmtId="43" fontId="199" fillId="10" borderId="0" xfId="1" applyFont="1" applyFill="1" applyAlignment="1" applyProtection="1">
      <alignment horizontal="right"/>
      <protection locked="0"/>
    </xf>
    <xf numFmtId="169" fontId="199" fillId="10" borderId="0" xfId="1" applyNumberFormat="1" applyFont="1" applyFill="1" applyBorder="1" applyAlignment="1" applyProtection="1">
      <alignment horizontal="right"/>
      <protection locked="0"/>
    </xf>
    <xf numFmtId="169" fontId="199" fillId="10" borderId="0" xfId="2" applyNumberFormat="1" applyFont="1" applyFill="1" applyBorder="1" applyAlignment="1" applyProtection="1">
      <alignment horizontal="right"/>
      <protection locked="0"/>
    </xf>
    <xf numFmtId="9" fontId="199" fillId="10" borderId="4" xfId="2" applyFont="1" applyFill="1" applyBorder="1" applyAlignment="1" applyProtection="1">
      <alignment horizontal="right" vertical="center"/>
      <protection locked="0"/>
    </xf>
    <xf numFmtId="9" fontId="199" fillId="10" borderId="0" xfId="2" applyFont="1" applyFill="1" applyAlignment="1" applyProtection="1">
      <alignment horizontal="right" vertical="center"/>
      <protection locked="0"/>
    </xf>
    <xf numFmtId="9" fontId="152" fillId="10" borderId="0" xfId="2" applyFont="1" applyFill="1" applyProtection="1">
      <protection locked="0"/>
    </xf>
    <xf numFmtId="193" fontId="199" fillId="10" borderId="0" xfId="0" applyNumberFormat="1" applyFont="1" applyFill="1" applyAlignment="1" applyProtection="1">
      <alignment horizontal="right"/>
      <protection locked="0"/>
    </xf>
    <xf numFmtId="10" fontId="199" fillId="10" borderId="0" xfId="2" applyNumberFormat="1" applyFont="1" applyFill="1" applyAlignment="1" applyProtection="1">
      <alignment horizontal="right"/>
      <protection locked="0"/>
    </xf>
    <xf numFmtId="171" fontId="188" fillId="10" borderId="4" xfId="2" applyNumberFormat="1" applyFont="1" applyFill="1" applyBorder="1" applyAlignment="1" applyProtection="1">
      <alignment horizontal="right"/>
      <protection locked="0"/>
    </xf>
    <xf numFmtId="171" fontId="188" fillId="10" borderId="4" xfId="2" applyNumberFormat="1" applyFont="1" applyFill="1" applyBorder="1" applyAlignment="1" applyProtection="1">
      <alignment horizontal="right" vertical="center"/>
      <protection locked="0"/>
    </xf>
    <xf numFmtId="43" fontId="188" fillId="10" borderId="0" xfId="0" applyNumberFormat="1" applyFont="1" applyFill="1" applyProtection="1">
      <protection locked="0"/>
    </xf>
    <xf numFmtId="171" fontId="189" fillId="10" borderId="0" xfId="2" applyNumberFormat="1" applyFont="1" applyFill="1" applyBorder="1" applyAlignment="1" applyProtection="1">
      <alignment horizontal="right"/>
      <protection locked="0"/>
    </xf>
    <xf numFmtId="43" fontId="199" fillId="10" borderId="0" xfId="0" applyNumberFormat="1" applyFont="1" applyFill="1" applyProtection="1">
      <protection locked="0"/>
    </xf>
    <xf numFmtId="0" fontId="158" fillId="6" borderId="0" xfId="0" applyFont="1" applyFill="1" applyAlignment="1" applyProtection="1">
      <alignment horizontal="right"/>
      <protection locked="0"/>
    </xf>
    <xf numFmtId="169" fontId="158" fillId="6" borderId="0" xfId="0" applyNumberFormat="1" applyFont="1" applyFill="1" applyAlignment="1" applyProtection="1">
      <alignment horizontal="right"/>
      <protection locked="0"/>
    </xf>
    <xf numFmtId="43" fontId="158" fillId="6" borderId="0" xfId="0" applyNumberFormat="1" applyFont="1" applyFill="1" applyAlignment="1" applyProtection="1">
      <alignment horizontal="right"/>
      <protection locked="0"/>
    </xf>
    <xf numFmtId="171" fontId="202" fillId="10" borderId="4" xfId="2" applyNumberFormat="1" applyFont="1" applyFill="1" applyBorder="1" applyAlignment="1" applyProtection="1">
      <alignment horizontal="right"/>
      <protection locked="0"/>
    </xf>
    <xf numFmtId="171" fontId="202" fillId="10" borderId="4" xfId="2" applyNumberFormat="1" applyFont="1" applyFill="1" applyBorder="1" applyAlignment="1" applyProtection="1">
      <alignment horizontal="right" vertical="center"/>
      <protection locked="0"/>
    </xf>
    <xf numFmtId="14" fontId="180" fillId="10" borderId="0" xfId="0" applyNumberFormat="1" applyFont="1" applyFill="1" applyAlignment="1" applyProtection="1">
      <alignment horizontal="right"/>
      <protection locked="0"/>
    </xf>
    <xf numFmtId="14" fontId="180" fillId="10" borderId="5" xfId="0" applyNumberFormat="1" applyFont="1" applyFill="1" applyBorder="1" applyAlignment="1" applyProtection="1">
      <alignment horizontal="right"/>
      <protection locked="0"/>
    </xf>
    <xf numFmtId="0" fontId="169" fillId="10" borderId="0" xfId="0" applyFont="1" applyFill="1" applyAlignment="1" applyProtection="1">
      <alignment horizontal="right"/>
      <protection locked="0"/>
    </xf>
    <xf numFmtId="0" fontId="169" fillId="10" borderId="0" xfId="0" applyFont="1" applyFill="1" applyProtection="1">
      <protection locked="0"/>
    </xf>
    <xf numFmtId="43" fontId="169" fillId="10" borderId="0" xfId="0" applyNumberFormat="1" applyFont="1" applyFill="1" applyAlignment="1" applyProtection="1">
      <alignment horizontal="right"/>
      <protection locked="0"/>
    </xf>
    <xf numFmtId="43" fontId="169" fillId="10" borderId="4" xfId="0" applyNumberFormat="1" applyFont="1" applyFill="1" applyBorder="1" applyAlignment="1" applyProtection="1">
      <alignment horizontal="right"/>
      <protection locked="0"/>
    </xf>
    <xf numFmtId="0" fontId="169" fillId="10" borderId="0" xfId="0" applyFont="1" applyFill="1" applyAlignment="1" applyProtection="1">
      <alignment horizontal="right" vertical="center"/>
      <protection locked="0"/>
    </xf>
    <xf numFmtId="0" fontId="139" fillId="10" borderId="0" xfId="0" applyFont="1" applyFill="1" applyProtection="1">
      <protection locked="0"/>
    </xf>
    <xf numFmtId="0" fontId="179" fillId="59" borderId="0" xfId="58" applyFont="1" applyFill="1" applyProtection="1">
      <protection locked="0"/>
    </xf>
    <xf numFmtId="0" fontId="179" fillId="59" borderId="0" xfId="58" applyFont="1" applyFill="1" applyAlignment="1" applyProtection="1">
      <alignment horizontal="right"/>
      <protection locked="0"/>
    </xf>
    <xf numFmtId="0" fontId="179" fillId="59" borderId="5" xfId="58" applyFont="1" applyFill="1" applyBorder="1" applyAlignment="1" applyProtection="1">
      <alignment horizontal="right"/>
      <protection locked="0"/>
    </xf>
    <xf numFmtId="0" fontId="177" fillId="59" borderId="0" xfId="58" applyFont="1" applyFill="1" applyAlignment="1" applyProtection="1">
      <alignment horizontal="right"/>
      <protection locked="0"/>
    </xf>
    <xf numFmtId="169" fontId="176" fillId="59" borderId="0" xfId="55" quotePrefix="1" applyNumberFormat="1" applyFont="1" applyFill="1" applyBorder="1" applyAlignment="1" applyProtection="1">
      <alignment horizontal="right"/>
      <protection locked="0"/>
    </xf>
    <xf numFmtId="0" fontId="188" fillId="59" borderId="0" xfId="0" applyFont="1" applyFill="1" applyAlignment="1" applyProtection="1">
      <alignment horizontal="right"/>
      <protection locked="0"/>
    </xf>
    <xf numFmtId="0" fontId="188" fillId="59" borderId="4" xfId="0" applyFont="1" applyFill="1" applyBorder="1" applyAlignment="1" applyProtection="1">
      <alignment horizontal="right"/>
      <protection locked="0"/>
    </xf>
    <xf numFmtId="43" fontId="188" fillId="59" borderId="0" xfId="0" applyNumberFormat="1" applyFont="1" applyFill="1" applyAlignment="1" applyProtection="1">
      <alignment horizontal="right"/>
      <protection locked="0"/>
    </xf>
    <xf numFmtId="0" fontId="188" fillId="59" borderId="4" xfId="0" applyFont="1" applyFill="1" applyBorder="1" applyAlignment="1" applyProtection="1">
      <alignment horizontal="right" vertical="center"/>
      <protection locked="0"/>
    </xf>
    <xf numFmtId="0" fontId="188" fillId="59" borderId="0" xfId="0" applyFont="1" applyFill="1" applyAlignment="1" applyProtection="1">
      <alignment horizontal="right" vertical="center"/>
      <protection locked="0"/>
    </xf>
    <xf numFmtId="0" fontId="188" fillId="59" borderId="0" xfId="0" applyFont="1" applyFill="1" applyProtection="1">
      <protection locked="0"/>
    </xf>
    <xf numFmtId="0" fontId="153" fillId="59" borderId="0" xfId="0" applyFont="1" applyFill="1" applyProtection="1">
      <protection locked="0"/>
    </xf>
    <xf numFmtId="0" fontId="188" fillId="10" borderId="0" xfId="0" applyFont="1" applyFill="1" applyAlignment="1" applyProtection="1">
      <alignment horizontal="left" indent="2"/>
      <protection locked="0"/>
    </xf>
    <xf numFmtId="43" fontId="180" fillId="10" borderId="0" xfId="55" quotePrefix="1" applyFont="1" applyFill="1" applyBorder="1" applyAlignment="1" applyProtection="1">
      <alignment horizontal="right"/>
      <protection locked="0"/>
    </xf>
    <xf numFmtId="0" fontId="176" fillId="10" borderId="0" xfId="0" applyFont="1" applyFill="1" applyAlignment="1" applyProtection="1">
      <alignment horizontal="right"/>
      <protection locked="0"/>
    </xf>
    <xf numFmtId="0" fontId="176" fillId="4" borderId="0" xfId="0" applyFont="1" applyFill="1" applyAlignment="1" applyProtection="1">
      <alignment horizontal="right"/>
      <protection locked="0"/>
    </xf>
    <xf numFmtId="0" fontId="176" fillId="10" borderId="4" xfId="0" applyFont="1" applyFill="1" applyBorder="1" applyAlignment="1" applyProtection="1">
      <alignment horizontal="right"/>
      <protection locked="0"/>
    </xf>
    <xf numFmtId="43" fontId="176" fillId="10" borderId="0" xfId="0" applyNumberFormat="1" applyFont="1" applyFill="1" applyAlignment="1" applyProtection="1">
      <alignment horizontal="right"/>
      <protection locked="0"/>
    </xf>
    <xf numFmtId="0" fontId="176" fillId="10" borderId="0" xfId="0" applyFont="1" applyFill="1" applyAlignment="1" applyProtection="1">
      <alignment horizontal="right" vertical="center"/>
      <protection locked="0"/>
    </xf>
    <xf numFmtId="0" fontId="176" fillId="10" borderId="0" xfId="0" applyFont="1" applyFill="1" applyProtection="1">
      <protection locked="0"/>
    </xf>
    <xf numFmtId="0" fontId="143" fillId="0" borderId="0" xfId="0" applyFont="1" applyProtection="1">
      <protection locked="0"/>
    </xf>
    <xf numFmtId="203" fontId="176" fillId="10" borderId="0" xfId="0" applyNumberFormat="1" applyFont="1" applyFill="1" applyAlignment="1" applyProtection="1">
      <alignment horizontal="right"/>
      <protection locked="0"/>
    </xf>
    <xf numFmtId="0" fontId="176" fillId="0" borderId="0" xfId="0" applyFont="1" applyAlignment="1" applyProtection="1">
      <alignment horizontal="right"/>
      <protection locked="0"/>
    </xf>
    <xf numFmtId="43" fontId="180" fillId="10" borderId="0" xfId="55" applyFont="1" applyFill="1" applyBorder="1" applyAlignment="1" applyProtection="1">
      <alignment horizontal="right"/>
      <protection locked="0"/>
    </xf>
    <xf numFmtId="43" fontId="176" fillId="4" borderId="0" xfId="0" applyNumberFormat="1" applyFont="1" applyFill="1" applyAlignment="1" applyProtection="1">
      <alignment horizontal="right"/>
      <protection locked="0"/>
    </xf>
    <xf numFmtId="9" fontId="180" fillId="10" borderId="0" xfId="2" quotePrefix="1" applyFont="1" applyFill="1" applyBorder="1" applyAlignment="1" applyProtection="1">
      <alignment horizontal="right"/>
      <protection locked="0"/>
    </xf>
    <xf numFmtId="9" fontId="176" fillId="10" borderId="0" xfId="0" applyNumberFormat="1" applyFont="1" applyFill="1" applyAlignment="1" applyProtection="1">
      <alignment horizontal="right"/>
      <protection locked="0"/>
    </xf>
    <xf numFmtId="9" fontId="176" fillId="4" borderId="0" xfId="0" applyNumberFormat="1" applyFont="1" applyFill="1" applyAlignment="1" applyProtection="1">
      <alignment horizontal="right"/>
      <protection locked="0"/>
    </xf>
    <xf numFmtId="169" fontId="180" fillId="10" borderId="0" xfId="55" quotePrefix="1" applyNumberFormat="1" applyFont="1" applyFill="1" applyBorder="1" applyAlignment="1" applyProtection="1">
      <alignment horizontal="right"/>
      <protection locked="0"/>
    </xf>
    <xf numFmtId="9" fontId="176" fillId="4" borderId="0" xfId="2" applyFont="1" applyFill="1" applyBorder="1" applyAlignment="1" applyProtection="1">
      <alignment horizontal="right"/>
      <protection locked="0"/>
    </xf>
    <xf numFmtId="169" fontId="176" fillId="10" borderId="0" xfId="0" applyNumberFormat="1" applyFont="1" applyFill="1" applyAlignment="1" applyProtection="1">
      <alignment horizontal="right"/>
      <protection locked="0"/>
    </xf>
    <xf numFmtId="169" fontId="200" fillId="10" borderId="0" xfId="1" applyNumberFormat="1" applyFont="1" applyFill="1" applyAlignment="1" applyProtection="1">
      <alignment horizontal="left" indent="2"/>
      <protection locked="0"/>
    </xf>
    <xf numFmtId="169" fontId="179" fillId="10" borderId="0" xfId="1" quotePrefix="1" applyNumberFormat="1" applyFont="1" applyFill="1" applyBorder="1" applyAlignment="1" applyProtection="1">
      <alignment horizontal="right"/>
      <protection locked="0"/>
    </xf>
    <xf numFmtId="169" fontId="179" fillId="10" borderId="5" xfId="1" applyNumberFormat="1" applyFont="1" applyFill="1" applyBorder="1" applyAlignment="1" applyProtection="1">
      <alignment horizontal="right"/>
      <protection locked="0"/>
    </xf>
    <xf numFmtId="169" fontId="177" fillId="10" borderId="0" xfId="1" applyNumberFormat="1" applyFont="1" applyFill="1" applyBorder="1" applyAlignment="1" applyProtection="1">
      <alignment horizontal="right"/>
      <protection locked="0"/>
    </xf>
    <xf numFmtId="169" fontId="177" fillId="4" borderId="0" xfId="1" applyNumberFormat="1" applyFont="1" applyFill="1" applyBorder="1" applyAlignment="1" applyProtection="1">
      <alignment horizontal="right"/>
      <protection locked="0"/>
    </xf>
    <xf numFmtId="9" fontId="177" fillId="10" borderId="0" xfId="2" applyFont="1" applyFill="1" applyAlignment="1" applyProtection="1">
      <alignment horizontal="right"/>
      <protection locked="0"/>
    </xf>
    <xf numFmtId="169" fontId="177" fillId="10" borderId="4" xfId="1" applyNumberFormat="1" applyFont="1" applyFill="1" applyBorder="1" applyAlignment="1" applyProtection="1">
      <alignment horizontal="right"/>
      <protection locked="0"/>
    </xf>
    <xf numFmtId="10" fontId="177" fillId="10" borderId="0" xfId="2" applyNumberFormat="1" applyFont="1" applyFill="1" applyBorder="1" applyAlignment="1" applyProtection="1">
      <alignment horizontal="right"/>
      <protection locked="0"/>
    </xf>
    <xf numFmtId="43" fontId="177" fillId="0" borderId="4" xfId="1" applyFont="1" applyBorder="1" applyAlignment="1" applyProtection="1">
      <alignment horizontal="right"/>
      <protection locked="0"/>
    </xf>
    <xf numFmtId="43" fontId="177" fillId="0" borderId="0" xfId="1" applyFont="1" applyAlignment="1" applyProtection="1">
      <alignment horizontal="right"/>
      <protection locked="0"/>
    </xf>
    <xf numFmtId="171" fontId="177" fillId="10" borderId="0" xfId="2" applyNumberFormat="1" applyFont="1" applyFill="1" applyAlignment="1" applyProtection="1">
      <alignment horizontal="right"/>
      <protection locked="0"/>
    </xf>
    <xf numFmtId="43" fontId="177" fillId="0" borderId="4" xfId="1" applyFont="1" applyBorder="1" applyAlignment="1" applyProtection="1">
      <alignment horizontal="right" vertical="center"/>
      <protection locked="0"/>
    </xf>
    <xf numFmtId="193" fontId="177" fillId="10" borderId="0" xfId="1" applyNumberFormat="1" applyFont="1" applyFill="1" applyAlignment="1" applyProtection="1">
      <alignment horizontal="right" vertical="center"/>
      <protection locked="0"/>
    </xf>
    <xf numFmtId="169" fontId="177" fillId="10" borderId="0" xfId="1" applyNumberFormat="1" applyFont="1" applyFill="1" applyAlignment="1" applyProtection="1">
      <alignment horizontal="right" vertical="center"/>
      <protection locked="0"/>
    </xf>
    <xf numFmtId="169" fontId="140" fillId="0" borderId="0" xfId="1" applyNumberFormat="1" applyFont="1" applyProtection="1">
      <protection locked="0"/>
    </xf>
    <xf numFmtId="0" fontId="176" fillId="10" borderId="4" xfId="0" applyFont="1" applyFill="1" applyBorder="1" applyAlignment="1" applyProtection="1">
      <alignment horizontal="right" vertical="center"/>
      <protection locked="0"/>
    </xf>
    <xf numFmtId="193" fontId="179" fillId="10" borderId="0" xfId="1" quotePrefix="1" applyNumberFormat="1" applyFont="1" applyFill="1" applyBorder="1" applyAlignment="1" applyProtection="1">
      <alignment horizontal="right"/>
      <protection locked="0"/>
    </xf>
    <xf numFmtId="169" fontId="177" fillId="10" borderId="4" xfId="1" applyNumberFormat="1" applyFont="1" applyFill="1" applyBorder="1" applyAlignment="1" applyProtection="1">
      <alignment horizontal="right" vertical="center"/>
      <protection locked="0"/>
    </xf>
    <xf numFmtId="169" fontId="180" fillId="10" borderId="0" xfId="1" quotePrefix="1" applyNumberFormat="1" applyFont="1" applyFill="1" applyBorder="1" applyAlignment="1" applyProtection="1">
      <alignment horizontal="right"/>
      <protection locked="0"/>
    </xf>
    <xf numFmtId="194" fontId="176" fillId="10" borderId="0" xfId="0" applyNumberFormat="1" applyFont="1" applyFill="1" applyAlignment="1" applyProtection="1">
      <alignment horizontal="right"/>
      <protection locked="0"/>
    </xf>
    <xf numFmtId="9" fontId="180" fillId="0" borderId="0" xfId="2" applyFont="1" applyFill="1" applyBorder="1" applyProtection="1">
      <protection locked="0"/>
    </xf>
    <xf numFmtId="9" fontId="176" fillId="0" borderId="0" xfId="2" applyFont="1" applyFill="1" applyBorder="1" applyAlignment="1" applyProtection="1">
      <alignment horizontal="right"/>
      <protection locked="0"/>
    </xf>
    <xf numFmtId="9" fontId="179" fillId="10" borderId="0" xfId="2" applyFont="1" applyFill="1" applyBorder="1" applyAlignment="1" applyProtection="1">
      <alignment horizontal="right"/>
      <protection locked="0"/>
    </xf>
    <xf numFmtId="171" fontId="179" fillId="10" borderId="0" xfId="2" applyNumberFormat="1" applyFont="1" applyFill="1" applyBorder="1" applyAlignment="1" applyProtection="1">
      <alignment horizontal="right"/>
      <protection locked="0"/>
    </xf>
    <xf numFmtId="9" fontId="176" fillId="10" borderId="0" xfId="0" applyNumberFormat="1" applyFont="1" applyFill="1" applyProtection="1">
      <protection locked="0"/>
    </xf>
    <xf numFmtId="0" fontId="143" fillId="10" borderId="0" xfId="0" applyFont="1" applyFill="1" applyProtection="1">
      <protection locked="0"/>
    </xf>
    <xf numFmtId="9" fontId="170" fillId="10" borderId="0" xfId="0" applyNumberFormat="1" applyFont="1" applyFill="1" applyProtection="1">
      <protection locked="0"/>
    </xf>
    <xf numFmtId="171" fontId="158" fillId="10" borderId="4" xfId="2" applyNumberFormat="1" applyFont="1" applyFill="1" applyBorder="1" applyAlignment="1" applyProtection="1">
      <alignment horizontal="right"/>
      <protection locked="0"/>
    </xf>
    <xf numFmtId="169" fontId="179" fillId="13" borderId="5" xfId="1" applyNumberFormat="1" applyFont="1" applyFill="1" applyBorder="1" applyAlignment="1" applyProtection="1">
      <alignment horizontal="right"/>
      <protection locked="0"/>
    </xf>
    <xf numFmtId="0" fontId="158" fillId="13" borderId="0" xfId="0" applyFont="1" applyFill="1" applyAlignment="1" applyProtection="1">
      <alignment horizontal="right"/>
      <protection locked="0"/>
    </xf>
    <xf numFmtId="169" fontId="159" fillId="13" borderId="4" xfId="0" applyNumberFormat="1" applyFont="1" applyFill="1" applyBorder="1" applyAlignment="1" applyProtection="1">
      <alignment horizontal="right" vertical="center"/>
      <protection locked="0"/>
    </xf>
    <xf numFmtId="9" fontId="158" fillId="10" borderId="0" xfId="0" applyNumberFormat="1" applyFont="1" applyFill="1" applyProtection="1">
      <protection locked="0"/>
    </xf>
    <xf numFmtId="9" fontId="158" fillId="0" borderId="0" xfId="0" applyNumberFormat="1" applyFont="1" applyProtection="1">
      <protection locked="0"/>
    </xf>
    <xf numFmtId="193" fontId="180" fillId="0" borderId="0" xfId="0" applyNumberFormat="1" applyFont="1" applyAlignment="1" applyProtection="1">
      <alignment horizontal="right"/>
      <protection locked="0"/>
    </xf>
    <xf numFmtId="43" fontId="180" fillId="0" borderId="5" xfId="0" applyNumberFormat="1" applyFont="1" applyBorder="1" applyAlignment="1" applyProtection="1">
      <alignment horizontal="right"/>
      <protection locked="0"/>
    </xf>
    <xf numFmtId="43" fontId="158" fillId="0" borderId="0" xfId="0" applyNumberFormat="1" applyFont="1" applyAlignment="1" applyProtection="1">
      <alignment horizontal="right"/>
      <protection locked="0"/>
    </xf>
    <xf numFmtId="0" fontId="158" fillId="0" borderId="4" xfId="0" applyFont="1" applyBorder="1" applyAlignment="1" applyProtection="1">
      <alignment horizontal="right"/>
      <protection locked="0"/>
    </xf>
    <xf numFmtId="0" fontId="158" fillId="0" borderId="4" xfId="0" applyFont="1" applyBorder="1" applyAlignment="1" applyProtection="1">
      <alignment horizontal="right" vertical="center"/>
      <protection locked="0"/>
    </xf>
    <xf numFmtId="0" fontId="158" fillId="0" borderId="0" xfId="0" applyFont="1" applyAlignment="1" applyProtection="1">
      <alignment horizontal="right" vertical="center"/>
      <protection locked="0"/>
    </xf>
    <xf numFmtId="0" fontId="135" fillId="0" borderId="0" xfId="0" applyFont="1" applyProtection="1">
      <protection locked="0"/>
    </xf>
    <xf numFmtId="200" fontId="180" fillId="0" borderId="0" xfId="0" applyNumberFormat="1" applyFont="1" applyAlignment="1" applyProtection="1">
      <alignment horizontal="right"/>
      <protection locked="0"/>
    </xf>
    <xf numFmtId="0" fontId="180" fillId="0" borderId="5" xfId="0" applyFont="1" applyBorder="1" applyAlignment="1" applyProtection="1">
      <alignment horizontal="right"/>
      <protection locked="0"/>
    </xf>
    <xf numFmtId="169" fontId="190" fillId="0" borderId="0" xfId="1" applyNumberFormat="1" applyFont="1" applyFill="1" applyProtection="1">
      <protection locked="0"/>
    </xf>
    <xf numFmtId="0" fontId="184" fillId="0" borderId="0" xfId="0" applyFont="1" applyProtection="1">
      <protection locked="0"/>
    </xf>
    <xf numFmtId="0" fontId="184" fillId="0" borderId="0" xfId="0" applyFont="1" applyAlignment="1" applyProtection="1">
      <alignment horizontal="right"/>
      <protection locked="0"/>
    </xf>
    <xf numFmtId="43" fontId="184" fillId="0" borderId="0" xfId="0" applyNumberFormat="1" applyFont="1" applyAlignment="1" applyProtection="1">
      <alignment horizontal="right"/>
      <protection locked="0"/>
    </xf>
    <xf numFmtId="43" fontId="184" fillId="0" borderId="5" xfId="0" applyNumberFormat="1" applyFont="1" applyBorder="1" applyAlignment="1" applyProtection="1">
      <alignment horizontal="right"/>
      <protection locked="0"/>
    </xf>
    <xf numFmtId="43" fontId="190" fillId="0" borderId="0" xfId="0" applyNumberFormat="1" applyFont="1" applyAlignment="1" applyProtection="1">
      <alignment horizontal="right"/>
      <protection locked="0"/>
    </xf>
    <xf numFmtId="0" fontId="190" fillId="0" borderId="0" xfId="0" applyFont="1" applyAlignment="1" applyProtection="1">
      <alignment horizontal="right"/>
      <protection locked="0"/>
    </xf>
    <xf numFmtId="43" fontId="190" fillId="0" borderId="0" xfId="1" applyFont="1" applyFill="1" applyAlignment="1" applyProtection="1">
      <alignment horizontal="right"/>
      <protection locked="0"/>
    </xf>
    <xf numFmtId="43" fontId="190" fillId="0" borderId="4" xfId="1" applyFont="1" applyFill="1" applyBorder="1" applyAlignment="1" applyProtection="1">
      <alignment horizontal="right"/>
      <protection locked="0"/>
    </xf>
    <xf numFmtId="43" fontId="190" fillId="0" borderId="0" xfId="1" applyFont="1" applyFill="1" applyBorder="1" applyAlignment="1" applyProtection="1">
      <alignment horizontal="right"/>
      <protection locked="0"/>
    </xf>
    <xf numFmtId="43" fontId="190" fillId="0" borderId="4" xfId="1" applyFont="1" applyFill="1" applyBorder="1" applyAlignment="1" applyProtection="1">
      <alignment horizontal="right" vertical="center"/>
      <protection locked="0"/>
    </xf>
    <xf numFmtId="43" fontId="190" fillId="0" borderId="0" xfId="1" applyFont="1" applyFill="1" applyAlignment="1" applyProtection="1">
      <alignment horizontal="right" vertical="center"/>
      <protection locked="0"/>
    </xf>
    <xf numFmtId="0" fontId="190" fillId="0" borderId="0" xfId="0" applyFont="1" applyProtection="1">
      <protection locked="0"/>
    </xf>
    <xf numFmtId="0" fontId="148" fillId="0" borderId="0" xfId="0" applyFont="1" applyProtection="1">
      <protection locked="0"/>
    </xf>
    <xf numFmtId="169" fontId="158" fillId="0" borderId="0" xfId="1" applyNumberFormat="1" applyFont="1" applyFill="1" applyProtection="1">
      <protection locked="0"/>
    </xf>
    <xf numFmtId="9" fontId="180" fillId="0" borderId="0" xfId="0" applyNumberFormat="1" applyFont="1" applyAlignment="1" applyProtection="1">
      <alignment horizontal="right"/>
      <protection locked="0"/>
    </xf>
    <xf numFmtId="200" fontId="158" fillId="0" borderId="0" xfId="0" applyNumberFormat="1" applyFont="1" applyAlignment="1" applyProtection="1">
      <alignment horizontal="right"/>
      <protection locked="0"/>
    </xf>
    <xf numFmtId="200" fontId="158" fillId="0" borderId="4" xfId="0" applyNumberFormat="1" applyFont="1" applyBorder="1" applyAlignment="1" applyProtection="1">
      <alignment horizontal="right"/>
      <protection locked="0"/>
    </xf>
    <xf numFmtId="200" fontId="158" fillId="0" borderId="4" xfId="0" applyNumberFormat="1" applyFont="1" applyBorder="1" applyAlignment="1" applyProtection="1">
      <alignment horizontal="right" vertical="center"/>
      <protection locked="0"/>
    </xf>
    <xf numFmtId="200" fontId="158" fillId="0" borderId="0" xfId="0" applyNumberFormat="1" applyFont="1" applyAlignment="1" applyProtection="1">
      <alignment horizontal="right" vertical="center"/>
      <protection locked="0"/>
    </xf>
    <xf numFmtId="9" fontId="180" fillId="0" borderId="5" xfId="0" applyNumberFormat="1" applyFont="1" applyBorder="1" applyAlignment="1" applyProtection="1">
      <alignment horizontal="right"/>
      <protection locked="0"/>
    </xf>
    <xf numFmtId="9" fontId="158" fillId="0" borderId="0" xfId="0" applyNumberFormat="1" applyFont="1" applyAlignment="1" applyProtection="1">
      <alignment horizontal="right"/>
      <protection locked="0"/>
    </xf>
    <xf numFmtId="169" fontId="195" fillId="0" borderId="0" xfId="1" applyNumberFormat="1" applyFont="1" applyFill="1" applyAlignment="1" applyProtection="1">
      <alignment horizontal="right"/>
      <protection locked="0"/>
    </xf>
    <xf numFmtId="43" fontId="195" fillId="0" borderId="0" xfId="1" applyFont="1" applyFill="1" applyAlignment="1" applyProtection="1">
      <alignment horizontal="right"/>
      <protection locked="0"/>
    </xf>
    <xf numFmtId="43" fontId="195" fillId="0" borderId="4" xfId="1" applyFont="1" applyFill="1" applyBorder="1" applyAlignment="1" applyProtection="1">
      <alignment horizontal="right"/>
      <protection locked="0"/>
    </xf>
    <xf numFmtId="43" fontId="195" fillId="0" borderId="0" xfId="1" applyFont="1" applyFill="1" applyBorder="1" applyAlignment="1" applyProtection="1">
      <alignment horizontal="right"/>
      <protection locked="0"/>
    </xf>
    <xf numFmtId="169" fontId="195" fillId="0" borderId="4" xfId="1" applyNumberFormat="1" applyFont="1" applyFill="1" applyBorder="1" applyAlignment="1" applyProtection="1">
      <alignment horizontal="right"/>
      <protection locked="0"/>
    </xf>
    <xf numFmtId="169" fontId="195" fillId="0" borderId="4" xfId="1" applyNumberFormat="1" applyFont="1" applyFill="1" applyBorder="1" applyAlignment="1" applyProtection="1">
      <alignment horizontal="right" vertical="center"/>
      <protection locked="0"/>
    </xf>
    <xf numFmtId="169" fontId="195" fillId="0" borderId="0" xfId="1" applyNumberFormat="1" applyFont="1" applyFill="1" applyAlignment="1" applyProtection="1">
      <alignment horizontal="right" vertical="center"/>
      <protection locked="0"/>
    </xf>
    <xf numFmtId="169" fontId="195" fillId="0" borderId="0" xfId="1" applyNumberFormat="1" applyFont="1" applyFill="1" applyProtection="1">
      <protection locked="0"/>
    </xf>
    <xf numFmtId="0" fontId="150" fillId="0" borderId="0" xfId="0" applyFont="1" applyProtection="1">
      <protection locked="0"/>
    </xf>
    <xf numFmtId="9" fontId="203" fillId="0" borderId="0" xfId="0" applyNumberFormat="1" applyFont="1" applyProtection="1">
      <protection locked="0"/>
    </xf>
    <xf numFmtId="0" fontId="179" fillId="0" borderId="0" xfId="0" applyFont="1" applyProtection="1">
      <protection locked="0"/>
    </xf>
    <xf numFmtId="0" fontId="179" fillId="0" borderId="0" xfId="0" applyFont="1" applyAlignment="1" applyProtection="1">
      <alignment horizontal="right"/>
      <protection locked="0"/>
    </xf>
    <xf numFmtId="169" fontId="179" fillId="0" borderId="0" xfId="1" applyNumberFormat="1" applyFont="1" applyFill="1" applyBorder="1" applyAlignment="1" applyProtection="1">
      <alignment horizontal="right"/>
      <protection locked="0"/>
    </xf>
    <xf numFmtId="169" fontId="179" fillId="0" borderId="5" xfId="1" applyNumberFormat="1" applyFont="1" applyFill="1" applyBorder="1" applyAlignment="1" applyProtection="1">
      <alignment horizontal="right"/>
      <protection locked="0"/>
    </xf>
    <xf numFmtId="169" fontId="203" fillId="0" borderId="0" xfId="1" applyNumberFormat="1" applyFont="1" applyFill="1" applyBorder="1" applyAlignment="1" applyProtection="1">
      <alignment horizontal="right"/>
      <protection locked="0"/>
    </xf>
    <xf numFmtId="9" fontId="179" fillId="0" borderId="0" xfId="2" applyFont="1" applyFill="1" applyBorder="1" applyAlignment="1" applyProtection="1">
      <alignment horizontal="right"/>
      <protection locked="0"/>
    </xf>
    <xf numFmtId="9" fontId="179" fillId="0" borderId="5" xfId="2" applyFont="1" applyFill="1" applyBorder="1" applyAlignment="1" applyProtection="1">
      <alignment horizontal="right"/>
      <protection locked="0"/>
    </xf>
    <xf numFmtId="9" fontId="203" fillId="0" borderId="0" xfId="2" applyFont="1" applyFill="1" applyBorder="1" applyAlignment="1" applyProtection="1">
      <alignment horizontal="right"/>
      <protection locked="0"/>
    </xf>
    <xf numFmtId="9" fontId="159" fillId="13" borderId="0" xfId="0" applyNumberFormat="1" applyFont="1" applyFill="1" applyProtection="1">
      <protection locked="0"/>
    </xf>
    <xf numFmtId="166" fontId="179" fillId="13" borderId="5" xfId="73" applyFont="1" applyFill="1" applyBorder="1" applyAlignment="1" applyProtection="1">
      <alignment horizontal="right"/>
      <protection locked="0"/>
    </xf>
    <xf numFmtId="43" fontId="159" fillId="13" borderId="0" xfId="0" applyNumberFormat="1" applyFont="1" applyFill="1" applyAlignment="1" applyProtection="1">
      <alignment horizontal="right"/>
      <protection locked="0"/>
    </xf>
    <xf numFmtId="200" fontId="159" fillId="13" borderId="0" xfId="0" applyNumberFormat="1" applyFont="1" applyFill="1" applyAlignment="1" applyProtection="1">
      <alignment horizontal="right"/>
      <protection locked="0"/>
    </xf>
    <xf numFmtId="0" fontId="159" fillId="13" borderId="4" xfId="0" applyFont="1" applyFill="1" applyBorder="1" applyAlignment="1" applyProtection="1">
      <alignment horizontal="right"/>
      <protection locked="0"/>
    </xf>
    <xf numFmtId="0" fontId="159" fillId="13" borderId="4" xfId="0" applyFont="1" applyFill="1" applyBorder="1" applyAlignment="1" applyProtection="1">
      <alignment horizontal="right" vertical="center"/>
      <protection locked="0"/>
    </xf>
    <xf numFmtId="0" fontId="159" fillId="13" borderId="0" xfId="0" applyFont="1" applyFill="1" applyAlignment="1" applyProtection="1">
      <alignment horizontal="right" vertical="center"/>
      <protection locked="0"/>
    </xf>
    <xf numFmtId="9" fontId="158" fillId="0" borderId="0" xfId="0" applyNumberFormat="1" applyFont="1" applyAlignment="1" applyProtection="1">
      <alignment horizontal="left" indent="2"/>
      <protection locked="0"/>
    </xf>
    <xf numFmtId="43" fontId="158" fillId="0" borderId="4" xfId="0" applyNumberFormat="1" applyFont="1" applyBorder="1" applyAlignment="1" applyProtection="1">
      <alignment horizontal="right"/>
      <protection locked="0"/>
    </xf>
    <xf numFmtId="9" fontId="158" fillId="0" borderId="0" xfId="2" applyFont="1" applyFill="1" applyBorder="1" applyAlignment="1" applyProtection="1">
      <alignment horizontal="right"/>
      <protection locked="0"/>
    </xf>
    <xf numFmtId="9" fontId="158" fillId="10" borderId="0" xfId="2" applyFont="1" applyFill="1" applyBorder="1" applyAlignment="1" applyProtection="1">
      <alignment horizontal="right"/>
      <protection locked="0"/>
    </xf>
    <xf numFmtId="43" fontId="159" fillId="10" borderId="0" xfId="1" applyFont="1" applyFill="1" applyProtection="1">
      <protection locked="0"/>
    </xf>
    <xf numFmtId="43" fontId="179" fillId="10" borderId="0" xfId="1" applyFont="1" applyFill="1" applyProtection="1">
      <protection locked="0"/>
    </xf>
    <xf numFmtId="43" fontId="179" fillId="10" borderId="0" xfId="1" applyFont="1" applyFill="1" applyAlignment="1" applyProtection="1">
      <alignment horizontal="right"/>
      <protection locked="0"/>
    </xf>
    <xf numFmtId="43" fontId="159" fillId="10" borderId="0" xfId="1" applyFont="1" applyFill="1" applyAlignment="1" applyProtection="1">
      <alignment horizontal="right"/>
      <protection locked="0"/>
    </xf>
    <xf numFmtId="43" fontId="159" fillId="10" borderId="4" xfId="1" applyFont="1" applyFill="1" applyBorder="1" applyAlignment="1" applyProtection="1">
      <alignment horizontal="right"/>
      <protection locked="0"/>
    </xf>
    <xf numFmtId="43" fontId="159" fillId="10" borderId="0" xfId="1" applyFont="1" applyFill="1" applyBorder="1" applyAlignment="1" applyProtection="1">
      <alignment horizontal="right"/>
      <protection locked="0"/>
    </xf>
    <xf numFmtId="43" fontId="159" fillId="10" borderId="4" xfId="1" applyFont="1" applyFill="1" applyBorder="1" applyAlignment="1" applyProtection="1">
      <alignment horizontal="right" vertical="center"/>
      <protection locked="0"/>
    </xf>
    <xf numFmtId="43" fontId="159" fillId="10" borderId="0" xfId="1" applyFont="1" applyFill="1" applyAlignment="1" applyProtection="1">
      <alignment horizontal="right" vertical="center"/>
      <protection locked="0"/>
    </xf>
    <xf numFmtId="43" fontId="66" fillId="10" borderId="0" xfId="1" applyFont="1" applyFill="1" applyProtection="1">
      <protection locked="0"/>
    </xf>
    <xf numFmtId="169" fontId="179" fillId="13" borderId="4" xfId="1" applyNumberFormat="1" applyFont="1" applyFill="1" applyBorder="1" applyProtection="1">
      <protection locked="0"/>
    </xf>
    <xf numFmtId="169" fontId="179" fillId="13" borderId="4" xfId="1" applyNumberFormat="1" applyFont="1" applyFill="1" applyBorder="1" applyAlignment="1" applyProtection="1">
      <alignment horizontal="right"/>
      <protection locked="0"/>
    </xf>
    <xf numFmtId="169" fontId="180" fillId="10" borderId="4" xfId="1" applyNumberFormat="1" applyFont="1" applyFill="1" applyBorder="1" applyProtection="1">
      <protection locked="0"/>
    </xf>
    <xf numFmtId="169" fontId="180" fillId="10" borderId="4" xfId="1" applyNumberFormat="1" applyFont="1" applyFill="1" applyBorder="1" applyAlignment="1" applyProtection="1">
      <alignment horizontal="right"/>
      <protection locked="0"/>
    </xf>
    <xf numFmtId="169" fontId="180" fillId="10" borderId="0" xfId="1" applyNumberFormat="1" applyFont="1" applyFill="1" applyBorder="1" applyProtection="1">
      <protection locked="0"/>
    </xf>
    <xf numFmtId="169" fontId="179" fillId="13" borderId="0" xfId="0" applyNumberFormat="1" applyFont="1" applyFill="1" applyProtection="1">
      <protection locked="0"/>
    </xf>
    <xf numFmtId="169" fontId="180" fillId="10" borderId="0" xfId="0" applyNumberFormat="1" applyFont="1" applyFill="1" applyProtection="1">
      <protection locked="0"/>
    </xf>
    <xf numFmtId="0" fontId="160" fillId="51" borderId="0" xfId="0" applyFont="1" applyFill="1" applyProtection="1">
      <protection locked="0"/>
    </xf>
    <xf numFmtId="0" fontId="179" fillId="51" borderId="0" xfId="0" applyFont="1" applyFill="1" applyProtection="1">
      <protection locked="0"/>
    </xf>
    <xf numFmtId="0" fontId="179" fillId="51" borderId="0" xfId="0" applyFont="1" applyFill="1" applyAlignment="1" applyProtection="1">
      <alignment horizontal="right"/>
      <protection locked="0"/>
    </xf>
    <xf numFmtId="0" fontId="179" fillId="51" borderId="5" xfId="0" applyFont="1" applyFill="1" applyBorder="1" applyAlignment="1" applyProtection="1">
      <alignment horizontal="right"/>
      <protection locked="0"/>
    </xf>
    <xf numFmtId="0" fontId="160" fillId="51" borderId="0" xfId="0" applyFont="1" applyFill="1" applyAlignment="1" applyProtection="1">
      <alignment horizontal="right"/>
      <protection locked="0"/>
    </xf>
    <xf numFmtId="49" fontId="160" fillId="51" borderId="0" xfId="0" applyNumberFormat="1" applyFont="1" applyFill="1" applyAlignment="1" applyProtection="1">
      <alignment horizontal="right"/>
      <protection locked="0"/>
    </xf>
    <xf numFmtId="49" fontId="160" fillId="51" borderId="4" xfId="0" applyNumberFormat="1" applyFont="1" applyFill="1" applyBorder="1" applyAlignment="1" applyProtection="1">
      <alignment horizontal="right"/>
      <protection locked="0"/>
    </xf>
    <xf numFmtId="0" fontId="160" fillId="51" borderId="4" xfId="0" applyFont="1" applyFill="1" applyBorder="1" applyAlignment="1" applyProtection="1">
      <alignment horizontal="right"/>
      <protection locked="0"/>
    </xf>
    <xf numFmtId="0" fontId="160" fillId="51" borderId="4" xfId="0" applyFont="1" applyFill="1" applyBorder="1" applyAlignment="1" applyProtection="1">
      <alignment horizontal="right" vertical="center"/>
      <protection locked="0"/>
    </xf>
    <xf numFmtId="0" fontId="160" fillId="51" borderId="0" xfId="0" applyFont="1" applyFill="1" applyAlignment="1" applyProtection="1">
      <alignment horizontal="right" vertical="center"/>
      <protection locked="0"/>
    </xf>
    <xf numFmtId="0" fontId="141" fillId="51" borderId="0" xfId="0" applyFont="1" applyFill="1" applyProtection="1">
      <protection locked="0"/>
    </xf>
    <xf numFmtId="9" fontId="179" fillId="10" borderId="0" xfId="2" applyFont="1" applyFill="1" applyAlignment="1" applyProtection="1">
      <alignment horizontal="right"/>
      <protection locked="0"/>
    </xf>
    <xf numFmtId="169" fontId="66" fillId="10" borderId="0" xfId="1" applyNumberFormat="1" applyFont="1" applyFill="1" applyProtection="1">
      <protection locked="0"/>
    </xf>
    <xf numFmtId="169" fontId="179" fillId="51" borderId="0" xfId="1" applyNumberFormat="1" applyFont="1" applyFill="1" applyBorder="1" applyAlignment="1" applyProtection="1">
      <alignment horizontal="right"/>
      <protection locked="0"/>
    </xf>
    <xf numFmtId="169" fontId="179" fillId="51" borderId="0" xfId="0" applyNumberFormat="1" applyFont="1" applyFill="1" applyAlignment="1" applyProtection="1">
      <alignment horizontal="right"/>
      <protection locked="0"/>
    </xf>
    <xf numFmtId="169" fontId="160" fillId="51" borderId="0" xfId="1" applyNumberFormat="1" applyFont="1" applyFill="1" applyAlignment="1" applyProtection="1">
      <alignment horizontal="right"/>
      <protection locked="0"/>
    </xf>
    <xf numFmtId="169" fontId="160" fillId="51" borderId="4" xfId="1" applyNumberFormat="1" applyFont="1" applyFill="1" applyBorder="1" applyAlignment="1" applyProtection="1">
      <alignment horizontal="right"/>
      <protection locked="0"/>
    </xf>
    <xf numFmtId="0" fontId="158" fillId="10" borderId="11" xfId="0" applyFont="1" applyFill="1" applyBorder="1" applyProtection="1">
      <protection locked="0"/>
    </xf>
    <xf numFmtId="0" fontId="180" fillId="10" borderId="11" xfId="0" applyFont="1" applyFill="1" applyBorder="1" applyProtection="1">
      <protection locked="0"/>
    </xf>
    <xf numFmtId="0" fontId="180" fillId="10" borderId="11" xfId="0" applyFont="1" applyFill="1" applyBorder="1" applyAlignment="1" applyProtection="1">
      <alignment horizontal="right"/>
      <protection locked="0"/>
    </xf>
    <xf numFmtId="0" fontId="158" fillId="10" borderId="11" xfId="0" applyFont="1" applyFill="1" applyBorder="1" applyAlignment="1" applyProtection="1">
      <alignment horizontal="right"/>
      <protection locked="0"/>
    </xf>
    <xf numFmtId="0" fontId="158" fillId="10" borderId="11" xfId="0" applyFont="1" applyFill="1" applyBorder="1" applyAlignment="1" applyProtection="1">
      <alignment horizontal="right" vertical="center"/>
      <protection locked="0"/>
    </xf>
    <xf numFmtId="0" fontId="135" fillId="10" borderId="11" xfId="0" applyFont="1" applyFill="1" applyBorder="1" applyProtection="1">
      <protection locked="0"/>
    </xf>
    <xf numFmtId="0" fontId="203" fillId="10" borderId="0" xfId="0" applyFont="1" applyFill="1" applyProtection="1">
      <protection locked="0"/>
    </xf>
    <xf numFmtId="0" fontId="203" fillId="10" borderId="0" xfId="0" applyFont="1" applyFill="1" applyAlignment="1" applyProtection="1">
      <alignment horizontal="right"/>
      <protection locked="0"/>
    </xf>
    <xf numFmtId="43" fontId="203" fillId="10" borderId="4" xfId="1" applyFont="1" applyFill="1" applyBorder="1" applyAlignment="1" applyProtection="1">
      <alignment horizontal="right"/>
      <protection locked="0"/>
    </xf>
    <xf numFmtId="0" fontId="203" fillId="10" borderId="0" xfId="0" applyFont="1" applyFill="1" applyAlignment="1" applyProtection="1">
      <alignment horizontal="right" vertical="center"/>
      <protection locked="0"/>
    </xf>
    <xf numFmtId="0" fontId="142" fillId="10" borderId="0" xfId="0" applyFont="1" applyFill="1" applyProtection="1">
      <protection locked="0"/>
    </xf>
    <xf numFmtId="193" fontId="203" fillId="10" borderId="4" xfId="1" applyNumberFormat="1" applyFont="1" applyFill="1" applyBorder="1" applyAlignment="1" applyProtection="1">
      <alignment horizontal="right"/>
      <protection locked="0"/>
    </xf>
    <xf numFmtId="193" fontId="203" fillId="10" borderId="0" xfId="0" applyNumberFormat="1" applyFont="1" applyFill="1" applyAlignment="1" applyProtection="1">
      <alignment horizontal="right" vertical="center"/>
      <protection locked="0"/>
    </xf>
    <xf numFmtId="193" fontId="203" fillId="10" borderId="0" xfId="0" applyNumberFormat="1" applyFont="1" applyFill="1" applyProtection="1">
      <protection locked="0"/>
    </xf>
    <xf numFmtId="0" fontId="177" fillId="10" borderId="0" xfId="0" applyFont="1" applyFill="1" applyAlignment="1" applyProtection="1">
      <alignment horizontal="right"/>
      <protection locked="0"/>
    </xf>
    <xf numFmtId="0" fontId="177" fillId="10" borderId="4" xfId="0" applyFont="1" applyFill="1" applyBorder="1" applyAlignment="1" applyProtection="1">
      <alignment horizontal="right"/>
      <protection locked="0"/>
    </xf>
    <xf numFmtId="9" fontId="158" fillId="10" borderId="0" xfId="0" applyNumberFormat="1" applyFont="1" applyFill="1" applyAlignment="1" applyProtection="1">
      <alignment horizontal="right"/>
      <protection locked="0"/>
    </xf>
    <xf numFmtId="0" fontId="188" fillId="10" borderId="0" xfId="0" applyFont="1" applyFill="1" applyAlignment="1" applyProtection="1">
      <alignment horizontal="left" indent="3"/>
      <protection locked="0"/>
    </xf>
    <xf numFmtId="169" fontId="176" fillId="10" borderId="0" xfId="55" applyNumberFormat="1" applyFont="1" applyFill="1" applyBorder="1" applyAlignment="1" applyProtection="1">
      <alignment horizontal="right"/>
      <protection locked="0"/>
    </xf>
    <xf numFmtId="43" fontId="180" fillId="10" borderId="5" xfId="55" applyFont="1" applyFill="1" applyBorder="1" applyAlignment="1" applyProtection="1">
      <alignment horizontal="right"/>
      <protection locked="0"/>
    </xf>
    <xf numFmtId="43" fontId="176" fillId="10" borderId="0" xfId="55" applyFont="1" applyFill="1" applyBorder="1" applyAlignment="1" applyProtection="1">
      <alignment horizontal="right"/>
      <protection locked="0"/>
    </xf>
    <xf numFmtId="9" fontId="158" fillId="10" borderId="5" xfId="2" applyFont="1" applyFill="1" applyBorder="1" applyAlignment="1" applyProtection="1">
      <alignment horizontal="right"/>
      <protection locked="0"/>
    </xf>
    <xf numFmtId="0" fontId="174" fillId="10" borderId="0" xfId="0" applyFont="1" applyFill="1" applyProtection="1">
      <protection locked="0"/>
    </xf>
    <xf numFmtId="169" fontId="179" fillId="10" borderId="5" xfId="0" applyNumberFormat="1" applyFont="1" applyFill="1" applyBorder="1" applyAlignment="1" applyProtection="1">
      <alignment horizontal="right"/>
      <protection locked="0"/>
    </xf>
    <xf numFmtId="169" fontId="174" fillId="10" borderId="0" xfId="0" applyNumberFormat="1" applyFont="1" applyFill="1" applyAlignment="1" applyProtection="1">
      <alignment horizontal="right"/>
      <protection locked="0"/>
    </xf>
    <xf numFmtId="0" fontId="174" fillId="10" borderId="0" xfId="0" applyFont="1" applyFill="1" applyAlignment="1" applyProtection="1">
      <alignment horizontal="right"/>
      <protection locked="0"/>
    </xf>
    <xf numFmtId="0" fontId="174" fillId="10" borderId="4" xfId="0" applyFont="1" applyFill="1" applyBorder="1" applyAlignment="1" applyProtection="1">
      <alignment horizontal="right"/>
      <protection locked="0"/>
    </xf>
    <xf numFmtId="0" fontId="174" fillId="10" borderId="4" xfId="0" applyFont="1" applyFill="1" applyBorder="1" applyAlignment="1" applyProtection="1">
      <alignment horizontal="right" vertical="center"/>
      <protection locked="0"/>
    </xf>
    <xf numFmtId="0" fontId="174" fillId="10" borderId="0" xfId="0" applyFont="1" applyFill="1" applyAlignment="1" applyProtection="1">
      <alignment horizontal="right" vertical="center"/>
      <protection locked="0"/>
    </xf>
    <xf numFmtId="0" fontId="155" fillId="10" borderId="0" xfId="0" applyFont="1" applyFill="1" applyProtection="1">
      <protection locked="0"/>
    </xf>
    <xf numFmtId="43" fontId="180" fillId="10" borderId="5" xfId="1" applyFont="1" applyFill="1" applyBorder="1" applyAlignment="1" applyProtection="1">
      <alignment horizontal="right"/>
      <protection locked="0"/>
    </xf>
    <xf numFmtId="169" fontId="180" fillId="10" borderId="0" xfId="55" applyNumberFormat="1" applyFont="1" applyFill="1" applyBorder="1" applyAlignment="1" applyProtection="1">
      <alignment horizontal="right"/>
      <protection locked="0"/>
    </xf>
    <xf numFmtId="169" fontId="180" fillId="10" borderId="5" xfId="55" applyNumberFormat="1" applyFont="1" applyFill="1" applyBorder="1" applyAlignment="1" applyProtection="1">
      <alignment horizontal="right"/>
      <protection locked="0"/>
    </xf>
    <xf numFmtId="49" fontId="159" fillId="10" borderId="0" xfId="0" applyNumberFormat="1" applyFont="1" applyFill="1" applyAlignment="1" applyProtection="1">
      <alignment horizontal="right"/>
      <protection locked="0"/>
    </xf>
    <xf numFmtId="204" fontId="180" fillId="10" borderId="0" xfId="1" applyNumberFormat="1" applyFont="1" applyFill="1" applyBorder="1" applyAlignment="1" applyProtection="1">
      <alignment horizontal="right"/>
      <protection locked="0"/>
    </xf>
    <xf numFmtId="204" fontId="180" fillId="10" borderId="0" xfId="0" applyNumberFormat="1" applyFont="1" applyFill="1" applyAlignment="1" applyProtection="1">
      <alignment horizontal="right"/>
      <protection locked="0"/>
    </xf>
    <xf numFmtId="204" fontId="180" fillId="10" borderId="5" xfId="0" applyNumberFormat="1" applyFont="1" applyFill="1" applyBorder="1" applyAlignment="1" applyProtection="1">
      <alignment horizontal="right"/>
      <protection locked="0"/>
    </xf>
    <xf numFmtId="198" fontId="170" fillId="10" borderId="0" xfId="1" applyNumberFormat="1" applyFont="1" applyFill="1" applyAlignment="1" applyProtection="1">
      <alignment horizontal="right" vertical="center"/>
      <protection locked="0"/>
    </xf>
    <xf numFmtId="198" fontId="170" fillId="10" borderId="0" xfId="1" applyNumberFormat="1" applyFont="1" applyFill="1" applyProtection="1">
      <protection locked="0"/>
    </xf>
    <xf numFmtId="198" fontId="180" fillId="10" borderId="0" xfId="1" applyNumberFormat="1" applyFont="1" applyFill="1" applyProtection="1">
      <protection locked="0"/>
    </xf>
    <xf numFmtId="198" fontId="180" fillId="10" borderId="0" xfId="1" applyNumberFormat="1" applyFont="1" applyFill="1" applyAlignment="1" applyProtection="1">
      <alignment horizontal="right"/>
      <protection locked="0"/>
    </xf>
    <xf numFmtId="198" fontId="180" fillId="10" borderId="5" xfId="1" applyNumberFormat="1" applyFont="1" applyFill="1" applyBorder="1" applyAlignment="1" applyProtection="1">
      <alignment horizontal="right"/>
      <protection locked="0"/>
    </xf>
    <xf numFmtId="198" fontId="170" fillId="10" borderId="0" xfId="1" applyNumberFormat="1" applyFont="1" applyFill="1" applyAlignment="1" applyProtection="1">
      <alignment horizontal="right"/>
      <protection locked="0"/>
    </xf>
    <xf numFmtId="166" fontId="170" fillId="10" borderId="0" xfId="73" applyFont="1" applyFill="1" applyAlignment="1" applyProtection="1">
      <alignment horizontal="right"/>
      <protection locked="0"/>
    </xf>
    <xf numFmtId="166" fontId="170" fillId="10" borderId="4" xfId="73" applyFont="1" applyFill="1" applyBorder="1" applyAlignment="1" applyProtection="1">
      <alignment horizontal="right"/>
      <protection locked="0"/>
    </xf>
    <xf numFmtId="166" fontId="170" fillId="10" borderId="0" xfId="73" applyFont="1" applyFill="1" applyBorder="1" applyAlignment="1" applyProtection="1">
      <alignment horizontal="right"/>
      <protection locked="0"/>
    </xf>
    <xf numFmtId="166" fontId="170" fillId="10" borderId="4" xfId="73" applyFont="1" applyFill="1" applyBorder="1" applyAlignment="1" applyProtection="1">
      <alignment horizontal="right" vertical="center"/>
      <protection locked="0"/>
    </xf>
    <xf numFmtId="198" fontId="138" fillId="10" borderId="0" xfId="1" applyNumberFormat="1" applyFont="1" applyFill="1" applyProtection="1">
      <protection locked="0"/>
    </xf>
    <xf numFmtId="16" fontId="180" fillId="10" borderId="0" xfId="0" applyNumberFormat="1" applyFont="1" applyFill="1" applyAlignment="1" applyProtection="1">
      <alignment horizontal="right"/>
      <protection locked="0"/>
    </xf>
    <xf numFmtId="213" fontId="180" fillId="10" borderId="5" xfId="0" applyNumberFormat="1" applyFont="1" applyFill="1" applyBorder="1" applyAlignment="1" applyProtection="1">
      <alignment horizontal="right"/>
      <protection locked="0"/>
    </xf>
    <xf numFmtId="213" fontId="158" fillId="10" borderId="0" xfId="0" applyNumberFormat="1" applyFont="1" applyFill="1" applyAlignment="1" applyProtection="1">
      <alignment horizontal="right"/>
      <protection locked="0"/>
    </xf>
    <xf numFmtId="213" fontId="158" fillId="10" borderId="4" xfId="0" applyNumberFormat="1" applyFont="1" applyFill="1" applyBorder="1" applyAlignment="1" applyProtection="1">
      <alignment horizontal="right"/>
      <protection locked="0"/>
    </xf>
    <xf numFmtId="169" fontId="158" fillId="10" borderId="4" xfId="0" applyNumberFormat="1" applyFont="1" applyFill="1" applyBorder="1" applyAlignment="1" applyProtection="1">
      <alignment horizontal="right"/>
      <protection locked="0"/>
    </xf>
    <xf numFmtId="200" fontId="180" fillId="10" borderId="0" xfId="0" applyNumberFormat="1" applyFont="1" applyFill="1" applyAlignment="1" applyProtection="1">
      <alignment horizontal="right"/>
      <protection locked="0"/>
    </xf>
    <xf numFmtId="203" fontId="180" fillId="10" borderId="0" xfId="0" applyNumberFormat="1" applyFont="1" applyFill="1" applyAlignment="1" applyProtection="1">
      <alignment horizontal="right"/>
      <protection locked="0"/>
    </xf>
    <xf numFmtId="49" fontId="180" fillId="10" borderId="0" xfId="0" applyNumberFormat="1" applyFont="1" applyFill="1" applyProtection="1">
      <protection locked="0"/>
    </xf>
    <xf numFmtId="49" fontId="180" fillId="10" borderId="0" xfId="0" applyNumberFormat="1" applyFont="1" applyFill="1" applyAlignment="1" applyProtection="1">
      <alignment horizontal="right"/>
      <protection locked="0"/>
    </xf>
    <xf numFmtId="43" fontId="158" fillId="10" borderId="0" xfId="1" applyFont="1" applyFill="1" applyAlignment="1" applyProtection="1">
      <alignment horizontal="right" vertical="center"/>
      <protection locked="0"/>
    </xf>
    <xf numFmtId="169" fontId="159" fillId="13" borderId="0" xfId="1" applyNumberFormat="1" applyFont="1" applyFill="1" applyBorder="1" applyAlignment="1" applyProtection="1">
      <alignment horizontal="right" vertical="center"/>
      <protection locked="0"/>
    </xf>
    <xf numFmtId="169" fontId="159" fillId="13" borderId="0" xfId="1" applyNumberFormat="1" applyFont="1" applyFill="1" applyBorder="1" applyProtection="1">
      <protection locked="0"/>
    </xf>
    <xf numFmtId="0" fontId="135" fillId="13" borderId="0" xfId="0" applyFont="1" applyFill="1" applyProtection="1">
      <protection locked="0"/>
    </xf>
    <xf numFmtId="0" fontId="181" fillId="0" borderId="0" xfId="0" applyFont="1" applyAlignment="1" applyProtection="1">
      <alignment horizontal="left" indent="2"/>
      <protection locked="0"/>
    </xf>
    <xf numFmtId="0" fontId="181" fillId="0" borderId="0" xfId="0" applyFont="1" applyAlignment="1" applyProtection="1">
      <alignment horizontal="right"/>
      <protection locked="0"/>
    </xf>
    <xf numFmtId="169" fontId="181" fillId="0" borderId="0" xfId="1" applyNumberFormat="1" applyFont="1" applyFill="1" applyBorder="1" applyAlignment="1" applyProtection="1">
      <alignment horizontal="right"/>
      <protection locked="0"/>
    </xf>
    <xf numFmtId="9" fontId="181" fillId="0" borderId="4" xfId="2" applyFont="1" applyFill="1" applyBorder="1" applyAlignment="1" applyProtection="1">
      <alignment horizontal="right"/>
      <protection locked="0"/>
    </xf>
    <xf numFmtId="9" fontId="181" fillId="0" borderId="0" xfId="2" applyFont="1" applyFill="1" applyBorder="1" applyAlignment="1" applyProtection="1">
      <alignment horizontal="right"/>
      <protection locked="0"/>
    </xf>
    <xf numFmtId="9" fontId="181" fillId="0" borderId="4" xfId="2" applyFont="1" applyFill="1" applyBorder="1" applyAlignment="1" applyProtection="1">
      <alignment horizontal="right" vertical="center"/>
      <protection locked="0"/>
    </xf>
    <xf numFmtId="9" fontId="181" fillId="0" borderId="0" xfId="2" applyFont="1" applyFill="1" applyBorder="1" applyAlignment="1" applyProtection="1">
      <alignment horizontal="right" vertical="center"/>
      <protection locked="0"/>
    </xf>
    <xf numFmtId="9" fontId="181" fillId="0" borderId="0" xfId="2" applyFont="1" applyFill="1" applyBorder="1" applyProtection="1">
      <protection locked="0"/>
    </xf>
    <xf numFmtId="0" fontId="144" fillId="0" borderId="0" xfId="0" applyFont="1" applyProtection="1">
      <protection locked="0"/>
    </xf>
    <xf numFmtId="0" fontId="159" fillId="0" borderId="0" xfId="0" applyFont="1" applyAlignment="1" applyProtection="1">
      <alignment horizontal="left" indent="3"/>
      <protection locked="0"/>
    </xf>
    <xf numFmtId="0" fontId="179" fillId="0" borderId="5" xfId="0" applyFont="1" applyBorder="1" applyAlignment="1" applyProtection="1">
      <alignment horizontal="right"/>
      <protection locked="0"/>
    </xf>
    <xf numFmtId="0" fontId="159" fillId="0" borderId="0" xfId="0" applyFont="1" applyAlignment="1" applyProtection="1">
      <alignment horizontal="right"/>
      <protection locked="0"/>
    </xf>
    <xf numFmtId="169" fontId="159" fillId="0" borderId="0" xfId="1" applyNumberFormat="1" applyFont="1" applyFill="1" applyBorder="1" applyAlignment="1" applyProtection="1">
      <alignment horizontal="right"/>
      <protection locked="0"/>
    </xf>
    <xf numFmtId="169" fontId="159" fillId="0" borderId="4" xfId="1" applyNumberFormat="1" applyFont="1" applyFill="1" applyBorder="1" applyAlignment="1" applyProtection="1">
      <alignment horizontal="right"/>
      <protection locked="0"/>
    </xf>
    <xf numFmtId="169" fontId="159" fillId="0" borderId="4" xfId="1" applyNumberFormat="1" applyFont="1" applyFill="1" applyBorder="1" applyAlignment="1" applyProtection="1">
      <alignment horizontal="right" vertical="center"/>
      <protection locked="0"/>
    </xf>
    <xf numFmtId="169" fontId="159" fillId="0" borderId="0" xfId="1" applyNumberFormat="1" applyFont="1" applyFill="1" applyBorder="1" applyAlignment="1" applyProtection="1">
      <alignment horizontal="right" vertical="center"/>
      <protection locked="0"/>
    </xf>
    <xf numFmtId="169" fontId="159" fillId="0" borderId="0" xfId="1" applyNumberFormat="1" applyFont="1" applyFill="1" applyBorder="1" applyProtection="1">
      <protection locked="0"/>
    </xf>
    <xf numFmtId="0" fontId="181" fillId="0" borderId="0" xfId="0" applyFont="1" applyAlignment="1" applyProtection="1">
      <alignment horizontal="left" indent="3"/>
      <protection locked="0"/>
    </xf>
    <xf numFmtId="169" fontId="181" fillId="0" borderId="4" xfId="1" applyNumberFormat="1" applyFont="1" applyFill="1" applyBorder="1" applyAlignment="1" applyProtection="1">
      <alignment horizontal="right"/>
      <protection locked="0"/>
    </xf>
    <xf numFmtId="169" fontId="181" fillId="0" borderId="4" xfId="1" applyNumberFormat="1" applyFont="1" applyFill="1" applyBorder="1" applyAlignment="1" applyProtection="1">
      <alignment horizontal="right" vertical="center"/>
      <protection locked="0"/>
    </xf>
    <xf numFmtId="169" fontId="181" fillId="0" borderId="0" xfId="1" applyNumberFormat="1" applyFont="1" applyFill="1" applyBorder="1" applyAlignment="1" applyProtection="1">
      <alignment horizontal="right" vertical="center"/>
      <protection locked="0"/>
    </xf>
    <xf numFmtId="169" fontId="181" fillId="0" borderId="0" xfId="1" applyNumberFormat="1" applyFont="1" applyFill="1" applyBorder="1" applyProtection="1">
      <protection locked="0"/>
    </xf>
    <xf numFmtId="0" fontId="193" fillId="10" borderId="0" xfId="0" applyFont="1" applyFill="1" applyProtection="1">
      <protection locked="0"/>
    </xf>
    <xf numFmtId="169" fontId="192" fillId="10" borderId="0" xfId="1" applyNumberFormat="1" applyFont="1" applyFill="1" applyBorder="1" applyAlignment="1" applyProtection="1">
      <alignment horizontal="right"/>
      <protection locked="0"/>
    </xf>
    <xf numFmtId="169" fontId="192" fillId="10" borderId="5" xfId="1" applyNumberFormat="1" applyFont="1" applyFill="1" applyBorder="1" applyAlignment="1" applyProtection="1">
      <alignment horizontal="right"/>
      <protection locked="0"/>
    </xf>
    <xf numFmtId="169" fontId="193" fillId="10" borderId="0" xfId="1" applyNumberFormat="1" applyFont="1" applyFill="1" applyBorder="1" applyAlignment="1" applyProtection="1">
      <alignment horizontal="right"/>
      <protection locked="0"/>
    </xf>
    <xf numFmtId="193" fontId="193" fillId="10" borderId="0" xfId="1" applyNumberFormat="1" applyFont="1" applyFill="1" applyAlignment="1" applyProtection="1">
      <alignment horizontal="right" vertical="center"/>
      <protection locked="0"/>
    </xf>
    <xf numFmtId="43" fontId="193" fillId="10" borderId="0" xfId="0" applyNumberFormat="1" applyFont="1" applyFill="1" applyAlignment="1" applyProtection="1">
      <alignment horizontal="right" vertical="center"/>
      <protection locked="0"/>
    </xf>
    <xf numFmtId="43" fontId="193" fillId="10" borderId="0" xfId="0" applyNumberFormat="1" applyFont="1" applyFill="1" applyProtection="1">
      <protection locked="0"/>
    </xf>
    <xf numFmtId="10" fontId="181" fillId="10" borderId="0" xfId="2" applyNumberFormat="1" applyFont="1" applyFill="1" applyBorder="1" applyAlignment="1" applyProtection="1">
      <alignment horizontal="left" indent="2"/>
      <protection locked="0"/>
    </xf>
    <xf numFmtId="10" fontId="180" fillId="10" borderId="0" xfId="2" applyNumberFormat="1" applyFont="1" applyFill="1" applyBorder="1" applyProtection="1">
      <protection locked="0"/>
    </xf>
    <xf numFmtId="10" fontId="181" fillId="10" borderId="0" xfId="2" applyNumberFormat="1" applyFont="1" applyFill="1" applyBorder="1" applyAlignment="1" applyProtection="1">
      <alignment horizontal="right"/>
      <protection locked="0"/>
    </xf>
    <xf numFmtId="10" fontId="181" fillId="10" borderId="4" xfId="2" applyNumberFormat="1" applyFont="1" applyFill="1" applyBorder="1" applyAlignment="1" applyProtection="1">
      <alignment horizontal="right"/>
      <protection locked="0"/>
    </xf>
    <xf numFmtId="10" fontId="181" fillId="10" borderId="4" xfId="2" applyNumberFormat="1" applyFont="1" applyFill="1" applyBorder="1" applyAlignment="1" applyProtection="1">
      <alignment horizontal="right" vertical="center"/>
      <protection locked="0"/>
    </xf>
    <xf numFmtId="10" fontId="181" fillId="10" borderId="0" xfId="2" applyNumberFormat="1" applyFont="1" applyFill="1" applyBorder="1" applyAlignment="1" applyProtection="1">
      <alignment horizontal="right" vertical="center"/>
      <protection locked="0"/>
    </xf>
    <xf numFmtId="10" fontId="181" fillId="10" borderId="0" xfId="2" applyNumberFormat="1" applyFont="1" applyFill="1" applyBorder="1" applyProtection="1">
      <protection locked="0"/>
    </xf>
    <xf numFmtId="10" fontId="144" fillId="10" borderId="0" xfId="2" applyNumberFormat="1" applyFont="1" applyFill="1" applyBorder="1" applyProtection="1">
      <protection locked="0"/>
    </xf>
    <xf numFmtId="169" fontId="158" fillId="10" borderId="0" xfId="0" applyNumberFormat="1" applyFont="1" applyFill="1" applyAlignment="1" applyProtection="1">
      <alignment horizontal="right" vertical="center"/>
      <protection locked="0"/>
    </xf>
    <xf numFmtId="1" fontId="158" fillId="10" borderId="0" xfId="0" applyNumberFormat="1" applyFont="1" applyFill="1" applyProtection="1">
      <protection locked="0"/>
    </xf>
    <xf numFmtId="193" fontId="158" fillId="10" borderId="0" xfId="0" applyNumberFormat="1" applyFont="1" applyFill="1" applyAlignment="1" applyProtection="1">
      <alignment horizontal="right" vertical="center"/>
      <protection locked="0"/>
    </xf>
    <xf numFmtId="193" fontId="158" fillId="10" borderId="0" xfId="0" applyNumberFormat="1" applyFont="1" applyFill="1" applyProtection="1">
      <protection locked="0"/>
    </xf>
    <xf numFmtId="208" fontId="158" fillId="10" borderId="0" xfId="0" applyNumberFormat="1" applyFont="1" applyFill="1" applyAlignment="1" applyProtection="1">
      <alignment horizontal="right"/>
      <protection locked="0"/>
    </xf>
    <xf numFmtId="9" fontId="158" fillId="10" borderId="0" xfId="0" applyNumberFormat="1" applyFont="1" applyFill="1" applyAlignment="1" applyProtection="1">
      <alignment horizontal="right" vertical="center"/>
      <protection locked="0"/>
    </xf>
    <xf numFmtId="0" fontId="156" fillId="10" borderId="0" xfId="0" applyFont="1" applyFill="1" applyProtection="1">
      <protection locked="0"/>
    </xf>
    <xf numFmtId="0" fontId="156" fillId="10" borderId="0" xfId="0" applyFont="1" applyFill="1" applyAlignment="1" applyProtection="1">
      <alignment horizontal="right"/>
      <protection locked="0"/>
    </xf>
    <xf numFmtId="0" fontId="156" fillId="10" borderId="5" xfId="0" applyFont="1" applyFill="1" applyBorder="1" applyAlignment="1" applyProtection="1">
      <alignment horizontal="right"/>
      <protection locked="0"/>
    </xf>
    <xf numFmtId="0" fontId="135" fillId="10" borderId="0" xfId="0" applyFont="1" applyFill="1" applyAlignment="1" applyProtection="1">
      <alignment horizontal="right"/>
      <protection locked="0"/>
    </xf>
    <xf numFmtId="0" fontId="135" fillId="10" borderId="4" xfId="0" applyFont="1" applyFill="1" applyBorder="1" applyAlignment="1" applyProtection="1">
      <alignment horizontal="right"/>
      <protection locked="0"/>
    </xf>
    <xf numFmtId="0" fontId="135" fillId="10" borderId="4" xfId="0" applyFont="1" applyFill="1" applyBorder="1" applyAlignment="1" applyProtection="1">
      <alignment horizontal="right" vertical="center"/>
      <protection locked="0"/>
    </xf>
    <xf numFmtId="0" fontId="135" fillId="10" borderId="0" xfId="0" applyFont="1" applyFill="1" applyAlignment="1" applyProtection="1">
      <alignment horizontal="right" vertical="center"/>
      <protection locked="0"/>
    </xf>
    <xf numFmtId="169" fontId="135" fillId="10" borderId="0" xfId="0" applyNumberFormat="1" applyFont="1" applyFill="1" applyAlignment="1" applyProtection="1">
      <alignment horizontal="right"/>
      <protection locked="0"/>
    </xf>
    <xf numFmtId="171" fontId="135" fillId="10" borderId="0" xfId="2" applyNumberFormat="1" applyFont="1" applyFill="1" applyAlignment="1" applyProtection="1">
      <alignment horizontal="right"/>
      <protection locked="0"/>
    </xf>
    <xf numFmtId="0" fontId="135" fillId="10" borderId="5" xfId="0" applyFont="1" applyFill="1" applyBorder="1" applyAlignment="1" applyProtection="1">
      <alignment horizontal="right"/>
      <protection locked="0"/>
    </xf>
    <xf numFmtId="9" fontId="135" fillId="10" borderId="0" xfId="2" applyFont="1" applyFill="1" applyAlignment="1" applyProtection="1">
      <alignment horizontal="right"/>
      <protection locked="0"/>
    </xf>
    <xf numFmtId="169" fontId="172" fillId="10" borderId="0" xfId="0" applyNumberFormat="1" applyFont="1" applyFill="1"/>
    <xf numFmtId="0" fontId="180" fillId="10" borderId="0" xfId="0" applyFont="1" applyFill="1"/>
    <xf numFmtId="0" fontId="180" fillId="10" borderId="0" xfId="0" applyFont="1" applyFill="1" applyAlignment="1">
      <alignment horizontal="right"/>
    </xf>
    <xf numFmtId="9" fontId="180" fillId="10" borderId="0" xfId="2" applyFont="1" applyFill="1" applyBorder="1" applyAlignment="1" applyProtection="1">
      <alignment horizontal="right"/>
    </xf>
    <xf numFmtId="171" fontId="180" fillId="10" borderId="0" xfId="2" applyNumberFormat="1" applyFont="1" applyFill="1" applyBorder="1" applyAlignment="1" applyProtection="1">
      <alignment horizontal="right"/>
    </xf>
    <xf numFmtId="171" fontId="180" fillId="10" borderId="5" xfId="2" applyNumberFormat="1" applyFont="1" applyFill="1" applyBorder="1" applyAlignment="1" applyProtection="1">
      <alignment horizontal="right"/>
    </xf>
    <xf numFmtId="9" fontId="172" fillId="10" borderId="0" xfId="2" applyFont="1" applyFill="1" applyAlignment="1" applyProtection="1">
      <alignment horizontal="right"/>
    </xf>
    <xf numFmtId="0" fontId="158" fillId="10" borderId="0" xfId="0" applyFont="1" applyFill="1" applyAlignment="1">
      <alignment horizontal="right"/>
    </xf>
    <xf numFmtId="0" fontId="172" fillId="10" borderId="0" xfId="0" applyFont="1" applyFill="1" applyAlignment="1">
      <alignment horizontal="right"/>
    </xf>
    <xf numFmtId="171" fontId="172" fillId="10" borderId="0" xfId="2" applyNumberFormat="1" applyFont="1" applyFill="1" applyAlignment="1" applyProtection="1">
      <alignment horizontal="right"/>
    </xf>
    <xf numFmtId="171" fontId="172" fillId="10" borderId="0" xfId="0" applyNumberFormat="1" applyFont="1" applyFill="1" applyAlignment="1">
      <alignment horizontal="right"/>
    </xf>
    <xf numFmtId="171" fontId="172" fillId="10" borderId="4" xfId="0" applyNumberFormat="1" applyFont="1" applyFill="1" applyBorder="1" applyAlignment="1">
      <alignment horizontal="right"/>
    </xf>
    <xf numFmtId="171" fontId="172" fillId="10" borderId="4" xfId="0" applyNumberFormat="1" applyFont="1" applyFill="1" applyBorder="1" applyAlignment="1">
      <alignment horizontal="right" vertical="center"/>
    </xf>
    <xf numFmtId="171" fontId="172" fillId="10" borderId="0" xfId="0" applyNumberFormat="1" applyFont="1" applyFill="1"/>
    <xf numFmtId="0" fontId="136" fillId="10" borderId="0" xfId="0" applyFont="1" applyFill="1"/>
    <xf numFmtId="0" fontId="175" fillId="10" borderId="0" xfId="0" applyFont="1" applyFill="1" applyAlignment="1">
      <alignment horizontal="left" indent="3"/>
    </xf>
    <xf numFmtId="171" fontId="180" fillId="10" borderId="0" xfId="2" applyNumberFormat="1" applyFont="1" applyFill="1" applyProtection="1"/>
    <xf numFmtId="9" fontId="180" fillId="10" borderId="0" xfId="2" applyFont="1" applyFill="1" applyAlignment="1" applyProtection="1">
      <alignment horizontal="right"/>
    </xf>
    <xf numFmtId="169" fontId="180" fillId="10" borderId="0" xfId="0" applyNumberFormat="1" applyFont="1" applyFill="1" applyAlignment="1">
      <alignment horizontal="right"/>
    </xf>
    <xf numFmtId="169" fontId="180" fillId="10" borderId="0" xfId="1" applyNumberFormat="1" applyFont="1" applyFill="1" applyBorder="1" applyAlignment="1" applyProtection="1">
      <alignment horizontal="right"/>
    </xf>
    <xf numFmtId="169" fontId="180" fillId="10" borderId="5" xfId="1" applyNumberFormat="1" applyFont="1" applyFill="1" applyBorder="1" applyAlignment="1" applyProtection="1">
      <alignment horizontal="right"/>
    </xf>
    <xf numFmtId="169" fontId="158" fillId="10" borderId="0" xfId="1" applyNumberFormat="1" applyFont="1" applyFill="1" applyAlignment="1" applyProtection="1">
      <alignment horizontal="right"/>
    </xf>
    <xf numFmtId="171" fontId="158" fillId="0" borderId="0" xfId="2" applyNumberFormat="1" applyFont="1" applyFill="1" applyAlignment="1" applyProtection="1">
      <alignment horizontal="right"/>
    </xf>
    <xf numFmtId="43" fontId="158" fillId="10" borderId="0" xfId="1" applyFont="1" applyFill="1" applyAlignment="1" applyProtection="1">
      <alignment horizontal="right"/>
    </xf>
    <xf numFmtId="169" fontId="158" fillId="10" borderId="4" xfId="1" applyNumberFormat="1" applyFont="1" applyFill="1" applyBorder="1" applyAlignment="1" applyProtection="1">
      <alignment horizontal="right"/>
    </xf>
    <xf numFmtId="169" fontId="158" fillId="10" borderId="0" xfId="1" applyNumberFormat="1" applyFont="1" applyFill="1" applyBorder="1" applyAlignment="1" applyProtection="1">
      <alignment horizontal="right"/>
    </xf>
    <xf numFmtId="169" fontId="158" fillId="10" borderId="4" xfId="1" applyNumberFormat="1" applyFont="1" applyFill="1" applyBorder="1" applyAlignment="1" applyProtection="1">
      <alignment horizontal="right" vertical="center"/>
    </xf>
    <xf numFmtId="169" fontId="158" fillId="10" borderId="0" xfId="1" applyNumberFormat="1" applyFont="1" applyFill="1" applyAlignment="1" applyProtection="1">
      <alignment horizontal="right" vertical="center"/>
    </xf>
    <xf numFmtId="169" fontId="158" fillId="10" borderId="0" xfId="1" applyNumberFormat="1" applyFont="1" applyFill="1" applyProtection="1"/>
    <xf numFmtId="0" fontId="135" fillId="10" borderId="0" xfId="0" applyFont="1" applyFill="1"/>
    <xf numFmtId="0" fontId="170" fillId="10" borderId="0" xfId="0" applyFont="1" applyFill="1" applyAlignment="1">
      <alignment horizontal="left" indent="3"/>
    </xf>
    <xf numFmtId="169" fontId="158" fillId="10" borderId="0" xfId="1" applyNumberFormat="1" applyFont="1" applyFill="1" applyBorder="1" applyAlignment="1" applyProtection="1">
      <alignment horizontal="right" vertical="center"/>
    </xf>
    <xf numFmtId="169" fontId="158" fillId="10" borderId="0" xfId="1" applyNumberFormat="1" applyFont="1" applyFill="1" applyBorder="1" applyProtection="1"/>
    <xf numFmtId="0" fontId="176" fillId="10" borderId="0" xfId="0" applyFont="1" applyFill="1" applyAlignment="1">
      <alignment horizontal="left" indent="3"/>
    </xf>
    <xf numFmtId="169" fontId="180" fillId="10" borderId="0" xfId="1" applyNumberFormat="1" applyFont="1" applyFill="1" applyAlignment="1" applyProtection="1">
      <alignment horizontal="right"/>
    </xf>
    <xf numFmtId="169" fontId="180" fillId="6" borderId="0" xfId="1" applyNumberFormat="1" applyFont="1" applyFill="1" applyBorder="1" applyAlignment="1" applyProtection="1">
      <alignment horizontal="right"/>
    </xf>
    <xf numFmtId="169" fontId="180" fillId="6" borderId="5" xfId="1" applyNumberFormat="1" applyFont="1" applyFill="1" applyBorder="1" applyAlignment="1" applyProtection="1">
      <alignment horizontal="right"/>
    </xf>
    <xf numFmtId="169" fontId="158" fillId="6" borderId="0" xfId="1" applyNumberFormat="1" applyFont="1" applyFill="1" applyBorder="1" applyAlignment="1" applyProtection="1">
      <alignment horizontal="right"/>
    </xf>
    <xf numFmtId="0" fontId="180" fillId="10" borderId="5" xfId="0" applyFont="1" applyFill="1" applyBorder="1" applyAlignment="1">
      <alignment horizontal="right"/>
    </xf>
    <xf numFmtId="43" fontId="158" fillId="10" borderId="0" xfId="0" applyNumberFormat="1" applyFont="1" applyFill="1" applyAlignment="1">
      <alignment horizontal="right"/>
    </xf>
    <xf numFmtId="169" fontId="158" fillId="6" borderId="0" xfId="1" applyNumberFormat="1" applyFont="1" applyFill="1" applyAlignment="1" applyProtection="1">
      <alignment horizontal="right"/>
    </xf>
    <xf numFmtId="0" fontId="158" fillId="10" borderId="4" xfId="0" applyFont="1" applyFill="1" applyBorder="1" applyAlignment="1">
      <alignment horizontal="right"/>
    </xf>
    <xf numFmtId="0" fontId="158" fillId="10" borderId="4" xfId="0" applyFont="1" applyFill="1" applyBorder="1" applyAlignment="1">
      <alignment horizontal="right" vertical="center"/>
    </xf>
    <xf numFmtId="0" fontId="197" fillId="10" borderId="0" xfId="4" applyFont="1" applyFill="1" applyAlignment="1" applyProtection="1">
      <alignment horizontal="left" indent="3"/>
    </xf>
    <xf numFmtId="171" fontId="180" fillId="10" borderId="0" xfId="2" applyNumberFormat="1" applyFont="1" applyFill="1" applyAlignment="1" applyProtection="1">
      <alignment horizontal="right"/>
    </xf>
    <xf numFmtId="0" fontId="193" fillId="0" borderId="0" xfId="0" applyFont="1" applyAlignment="1">
      <alignment horizontal="left" indent="3"/>
    </xf>
    <xf numFmtId="171" fontId="180" fillId="0" borderId="0" xfId="2" applyNumberFormat="1" applyFont="1" applyFill="1" applyProtection="1"/>
    <xf numFmtId="0" fontId="192" fillId="0" borderId="0" xfId="0" applyFont="1" applyAlignment="1">
      <alignment horizontal="right"/>
    </xf>
    <xf numFmtId="171" fontId="180" fillId="0" borderId="0" xfId="2" applyNumberFormat="1" applyFont="1" applyFill="1" applyAlignment="1" applyProtection="1">
      <alignment horizontal="right"/>
    </xf>
    <xf numFmtId="169" fontId="192" fillId="0" borderId="0" xfId="0" applyNumberFormat="1" applyFont="1" applyAlignment="1">
      <alignment horizontal="right"/>
    </xf>
    <xf numFmtId="169" fontId="180" fillId="0" borderId="0" xfId="1" applyNumberFormat="1" applyFont="1" applyFill="1" applyBorder="1" applyAlignment="1" applyProtection="1">
      <alignment horizontal="right"/>
    </xf>
    <xf numFmtId="169" fontId="180" fillId="0" borderId="5" xfId="1" applyNumberFormat="1" applyFont="1" applyFill="1" applyBorder="1" applyAlignment="1" applyProtection="1">
      <alignment horizontal="right"/>
    </xf>
    <xf numFmtId="169" fontId="158" fillId="0" borderId="0" xfId="1" applyNumberFormat="1" applyFont="1" applyFill="1" applyAlignment="1" applyProtection="1">
      <alignment horizontal="right"/>
    </xf>
    <xf numFmtId="0" fontId="193" fillId="10" borderId="0" xfId="0" applyFont="1" applyFill="1" applyAlignment="1">
      <alignment horizontal="right"/>
    </xf>
    <xf numFmtId="169" fontId="193" fillId="10" borderId="0" xfId="1" applyNumberFormat="1" applyFont="1" applyFill="1" applyAlignment="1" applyProtection="1">
      <alignment horizontal="right"/>
    </xf>
    <xf numFmtId="43" fontId="193" fillId="10" borderId="0" xfId="0" applyNumberFormat="1" applyFont="1" applyFill="1" applyAlignment="1">
      <alignment horizontal="right"/>
    </xf>
    <xf numFmtId="169" fontId="193" fillId="10" borderId="4" xfId="1" applyNumberFormat="1" applyFont="1" applyFill="1" applyBorder="1" applyAlignment="1" applyProtection="1">
      <alignment horizontal="right"/>
    </xf>
    <xf numFmtId="169" fontId="193" fillId="10" borderId="4" xfId="1" applyNumberFormat="1" applyFont="1" applyFill="1" applyBorder="1" applyAlignment="1" applyProtection="1">
      <alignment horizontal="right" vertical="center"/>
    </xf>
    <xf numFmtId="169" fontId="193" fillId="10" borderId="0" xfId="1" applyNumberFormat="1" applyFont="1" applyFill="1" applyAlignment="1" applyProtection="1">
      <alignment horizontal="right" vertical="center"/>
    </xf>
    <xf numFmtId="0" fontId="149" fillId="10" borderId="0" xfId="0" applyFont="1" applyFill="1"/>
    <xf numFmtId="0" fontId="158" fillId="0" borderId="0" xfId="0" applyFont="1" applyAlignment="1">
      <alignment horizontal="left" indent="3"/>
    </xf>
    <xf numFmtId="0" fontId="180" fillId="0" borderId="0" xfId="0" applyFont="1" applyAlignment="1">
      <alignment horizontal="right"/>
    </xf>
    <xf numFmtId="9" fontId="180" fillId="0" borderId="0" xfId="2" applyFont="1" applyFill="1" applyAlignment="1" applyProtection="1">
      <alignment horizontal="right"/>
    </xf>
    <xf numFmtId="9" fontId="180" fillId="0" borderId="0" xfId="2" applyFont="1" applyFill="1" applyBorder="1" applyAlignment="1" applyProtection="1">
      <alignment horizontal="right"/>
    </xf>
    <xf numFmtId="9" fontId="180" fillId="0" borderId="5" xfId="2" applyFont="1" applyFill="1" applyBorder="1" applyAlignment="1" applyProtection="1">
      <alignment horizontal="right"/>
    </xf>
    <xf numFmtId="9" fontId="158" fillId="0" borderId="0" xfId="2" applyFont="1" applyFill="1" applyAlignment="1" applyProtection="1">
      <alignment horizontal="right"/>
    </xf>
    <xf numFmtId="207" fontId="158" fillId="10" borderId="4" xfId="1" applyNumberFormat="1" applyFont="1" applyFill="1" applyBorder="1" applyAlignment="1" applyProtection="1">
      <alignment horizontal="right"/>
    </xf>
    <xf numFmtId="0" fontId="193" fillId="0" borderId="0" xfId="0" applyFont="1"/>
    <xf numFmtId="0" fontId="192" fillId="0" borderId="0" xfId="0" applyFont="1"/>
    <xf numFmtId="169" fontId="192" fillId="0" borderId="5" xfId="0" applyNumberFormat="1" applyFont="1" applyBorder="1" applyAlignment="1">
      <alignment horizontal="right"/>
    </xf>
    <xf numFmtId="169" fontId="193" fillId="0" borderId="0" xfId="0" applyNumberFormat="1" applyFont="1" applyAlignment="1">
      <alignment horizontal="right"/>
    </xf>
    <xf numFmtId="0" fontId="193" fillId="0" borderId="0" xfId="0" applyFont="1" applyAlignment="1">
      <alignment horizontal="right"/>
    </xf>
    <xf numFmtId="169" fontId="193" fillId="0" borderId="0" xfId="1" applyNumberFormat="1" applyFont="1" applyFill="1" applyAlignment="1" applyProtection="1">
      <alignment horizontal="right"/>
    </xf>
    <xf numFmtId="169" fontId="193" fillId="0" borderId="5" xfId="0" applyNumberFormat="1" applyFont="1" applyBorder="1" applyAlignment="1">
      <alignment horizontal="right"/>
    </xf>
    <xf numFmtId="169" fontId="193" fillId="0" borderId="9" xfId="0" applyNumberFormat="1" applyFont="1" applyBorder="1" applyAlignment="1">
      <alignment horizontal="right"/>
    </xf>
    <xf numFmtId="169" fontId="193" fillId="0" borderId="9" xfId="0" applyNumberFormat="1" applyFont="1" applyBorder="1" applyAlignment="1">
      <alignment horizontal="right" vertical="center"/>
    </xf>
    <xf numFmtId="169" fontId="193" fillId="0" borderId="0" xfId="0" applyNumberFormat="1" applyFont="1" applyAlignment="1">
      <alignment horizontal="right" vertical="center"/>
    </xf>
    <xf numFmtId="169" fontId="193" fillId="0" borderId="0" xfId="0" applyNumberFormat="1" applyFont="1"/>
    <xf numFmtId="0" fontId="149" fillId="0" borderId="0" xfId="0" applyFont="1"/>
    <xf numFmtId="169" fontId="180" fillId="0" borderId="0" xfId="0" applyNumberFormat="1" applyFont="1" applyAlignment="1">
      <alignment horizontal="right"/>
    </xf>
    <xf numFmtId="43" fontId="180" fillId="0" borderId="0" xfId="0" applyNumberFormat="1" applyFont="1" applyAlignment="1">
      <alignment horizontal="right"/>
    </xf>
    <xf numFmtId="169" fontId="180" fillId="0" borderId="0" xfId="1" applyNumberFormat="1" applyFont="1" applyFill="1" applyAlignment="1" applyProtection="1">
      <alignment horizontal="right"/>
    </xf>
    <xf numFmtId="169" fontId="158" fillId="0" borderId="0" xfId="1" applyNumberFormat="1" applyFont="1" applyFill="1" applyBorder="1" applyAlignment="1" applyProtection="1">
      <alignment horizontal="right"/>
    </xf>
    <xf numFmtId="169" fontId="158" fillId="0" borderId="4" xfId="1" applyNumberFormat="1" applyFont="1" applyFill="1" applyBorder="1" applyAlignment="1" applyProtection="1">
      <alignment horizontal="right"/>
    </xf>
    <xf numFmtId="10" fontId="158" fillId="0" borderId="0" xfId="2" applyNumberFormat="1" applyFont="1" applyFill="1" applyAlignment="1" applyProtection="1">
      <alignment horizontal="right"/>
    </xf>
    <xf numFmtId="169" fontId="158" fillId="10" borderId="0" xfId="0" applyNumberFormat="1" applyFont="1" applyFill="1" applyAlignment="1">
      <alignment horizontal="right"/>
    </xf>
    <xf numFmtId="193" fontId="158" fillId="10" borderId="0" xfId="1" applyNumberFormat="1" applyFont="1" applyFill="1" applyAlignment="1" applyProtection="1">
      <alignment horizontal="right"/>
    </xf>
    <xf numFmtId="193" fontId="158" fillId="10" borderId="0" xfId="0" applyNumberFormat="1" applyFont="1" applyFill="1" applyAlignment="1">
      <alignment horizontal="right"/>
    </xf>
    <xf numFmtId="0" fontId="195" fillId="0" borderId="0" xfId="0" applyFont="1"/>
    <xf numFmtId="0" fontId="186" fillId="0" borderId="0" xfId="0" applyFont="1"/>
    <xf numFmtId="169" fontId="186" fillId="0" borderId="0" xfId="1" applyNumberFormat="1" applyFont="1" applyFill="1" applyAlignment="1" applyProtection="1">
      <alignment horizontal="right"/>
    </xf>
    <xf numFmtId="169" fontId="186" fillId="0" borderId="0" xfId="1" applyNumberFormat="1" applyFont="1" applyFill="1" applyBorder="1" applyAlignment="1" applyProtection="1">
      <alignment horizontal="right"/>
    </xf>
    <xf numFmtId="169" fontId="192" fillId="0" borderId="0" xfId="4" applyNumberFormat="1" applyFont="1" applyFill="1" applyBorder="1" applyAlignment="1" applyProtection="1">
      <alignment horizontal="right"/>
    </xf>
    <xf numFmtId="169" fontId="186" fillId="0" borderId="0" xfId="0" applyNumberFormat="1" applyFont="1" applyAlignment="1">
      <alignment horizontal="right"/>
    </xf>
    <xf numFmtId="169" fontId="186" fillId="0" borderId="5" xfId="0" applyNumberFormat="1" applyFont="1" applyBorder="1" applyAlignment="1">
      <alignment horizontal="right"/>
    </xf>
    <xf numFmtId="169" fontId="195" fillId="0" borderId="0" xfId="0" applyNumberFormat="1" applyFont="1" applyAlignment="1">
      <alignment horizontal="right"/>
    </xf>
    <xf numFmtId="9" fontId="195" fillId="0" borderId="0" xfId="2" applyFont="1" applyAlignment="1" applyProtection="1">
      <alignment horizontal="right"/>
    </xf>
    <xf numFmtId="0" fontId="195" fillId="10" borderId="0" xfId="0" applyFont="1" applyFill="1" applyAlignment="1">
      <alignment horizontal="right"/>
    </xf>
    <xf numFmtId="169" fontId="195" fillId="10" borderId="0" xfId="1" applyNumberFormat="1" applyFont="1" applyFill="1" applyAlignment="1" applyProtection="1">
      <alignment horizontal="right"/>
    </xf>
    <xf numFmtId="43" fontId="195" fillId="10" borderId="0" xfId="0" applyNumberFormat="1" applyFont="1" applyFill="1" applyAlignment="1">
      <alignment horizontal="right"/>
    </xf>
    <xf numFmtId="169" fontId="195" fillId="10" borderId="0" xfId="0" applyNumberFormat="1" applyFont="1" applyFill="1" applyAlignment="1">
      <alignment horizontal="right"/>
    </xf>
    <xf numFmtId="169" fontId="195" fillId="10" borderId="4" xfId="1" applyNumberFormat="1" applyFont="1" applyFill="1" applyBorder="1" applyAlignment="1" applyProtection="1">
      <alignment horizontal="right"/>
    </xf>
    <xf numFmtId="169" fontId="195" fillId="10" borderId="0" xfId="1" applyNumberFormat="1" applyFont="1" applyFill="1" applyBorder="1" applyAlignment="1" applyProtection="1">
      <alignment horizontal="right"/>
    </xf>
    <xf numFmtId="169" fontId="195" fillId="10" borderId="4" xfId="1" applyNumberFormat="1" applyFont="1" applyFill="1" applyBorder="1" applyAlignment="1" applyProtection="1">
      <alignment horizontal="right" vertical="center"/>
    </xf>
    <xf numFmtId="169" fontId="195" fillId="10" borderId="0" xfId="1" applyNumberFormat="1" applyFont="1" applyFill="1" applyAlignment="1" applyProtection="1">
      <alignment horizontal="right" vertical="center"/>
    </xf>
    <xf numFmtId="169" fontId="195" fillId="10" borderId="0" xfId="1" applyNumberFormat="1" applyFont="1" applyFill="1" applyProtection="1"/>
    <xf numFmtId="0" fontId="150" fillId="10" borderId="0" xfId="0" applyFont="1" applyFill="1"/>
    <xf numFmtId="198" fontId="158" fillId="0" borderId="0" xfId="0" applyNumberFormat="1" applyFont="1" applyProtection="1">
      <protection locked="0"/>
    </xf>
    <xf numFmtId="1" fontId="158" fillId="0" borderId="0" xfId="0" applyNumberFormat="1" applyFont="1" applyProtection="1">
      <protection locked="0"/>
    </xf>
    <xf numFmtId="0" fontId="160" fillId="64" borderId="0" xfId="0" applyFont="1" applyFill="1" applyProtection="1">
      <protection locked="0"/>
    </xf>
    <xf numFmtId="17" fontId="160" fillId="64" borderId="0" xfId="0" applyNumberFormat="1" applyFont="1" applyFill="1" applyProtection="1">
      <protection locked="0"/>
    </xf>
    <xf numFmtId="169" fontId="204" fillId="13" borderId="0" xfId="1" applyNumberFormat="1" applyFont="1" applyFill="1" applyBorder="1" applyProtection="1">
      <protection locked="0"/>
    </xf>
    <xf numFmtId="169" fontId="179" fillId="13" borderId="0" xfId="1" applyNumberFormat="1" applyFont="1" applyFill="1" applyBorder="1" applyProtection="1">
      <protection locked="0"/>
    </xf>
    <xf numFmtId="169" fontId="204" fillId="13" borderId="0" xfId="1" applyNumberFormat="1" applyFont="1" applyFill="1" applyProtection="1">
      <protection locked="0"/>
    </xf>
    <xf numFmtId="0" fontId="203" fillId="0" borderId="0" xfId="0" applyFont="1" applyProtection="1">
      <protection locked="0"/>
    </xf>
    <xf numFmtId="17" fontId="203" fillId="0" borderId="0" xfId="0" applyNumberFormat="1" applyFont="1" applyProtection="1">
      <protection locked="0"/>
    </xf>
    <xf numFmtId="9" fontId="203" fillId="0" borderId="0" xfId="2" applyFont="1" applyFill="1" applyBorder="1" applyProtection="1">
      <protection locked="0"/>
    </xf>
    <xf numFmtId="9" fontId="179" fillId="0" borderId="0" xfId="2" applyFont="1" applyFill="1" applyBorder="1" applyProtection="1">
      <protection locked="0"/>
    </xf>
    <xf numFmtId="9" fontId="158" fillId="0" borderId="0" xfId="2" applyFont="1" applyFill="1" applyBorder="1" applyProtection="1">
      <protection locked="0"/>
    </xf>
    <xf numFmtId="10" fontId="180" fillId="0" borderId="0" xfId="2" applyNumberFormat="1" applyFont="1" applyFill="1" applyBorder="1" applyProtection="1">
      <protection locked="0"/>
    </xf>
    <xf numFmtId="9" fontId="158" fillId="0" borderId="0" xfId="2" applyFont="1" applyFill="1" applyProtection="1">
      <protection locked="0"/>
    </xf>
    <xf numFmtId="9" fontId="170" fillId="0" borderId="0" xfId="2" applyFont="1" applyFill="1" applyBorder="1" applyProtection="1">
      <protection locked="0"/>
    </xf>
    <xf numFmtId="9" fontId="170" fillId="0" borderId="0" xfId="2" applyFont="1" applyFill="1" applyProtection="1">
      <protection locked="0"/>
    </xf>
    <xf numFmtId="169" fontId="205" fillId="0" borderId="0" xfId="1" applyNumberFormat="1" applyFont="1" applyFill="1" applyBorder="1" applyProtection="1">
      <protection locked="0"/>
    </xf>
    <xf numFmtId="169" fontId="180" fillId="0" borderId="0" xfId="1" applyNumberFormat="1" applyFont="1" applyFill="1" applyBorder="1" applyProtection="1">
      <protection locked="0"/>
    </xf>
    <xf numFmtId="169" fontId="205" fillId="0" borderId="0" xfId="1" applyNumberFormat="1" applyFont="1" applyFill="1" applyProtection="1">
      <protection locked="0"/>
    </xf>
    <xf numFmtId="169" fontId="176" fillId="0" borderId="0" xfId="1" applyNumberFormat="1" applyFont="1" applyFill="1" applyBorder="1" applyProtection="1">
      <protection locked="0"/>
    </xf>
    <xf numFmtId="169" fontId="206" fillId="0" borderId="0" xfId="1" applyNumberFormat="1" applyFont="1" applyFill="1" applyBorder="1" applyProtection="1">
      <protection locked="0"/>
    </xf>
    <xf numFmtId="193" fontId="206" fillId="0" borderId="0" xfId="1" applyNumberFormat="1" applyFont="1" applyFill="1" applyBorder="1" applyProtection="1">
      <protection locked="0"/>
    </xf>
    <xf numFmtId="43" fontId="206" fillId="0" borderId="0" xfId="1" applyFont="1" applyFill="1" applyBorder="1" applyProtection="1">
      <protection locked="0"/>
    </xf>
    <xf numFmtId="43" fontId="179" fillId="0" borderId="0" xfId="1" applyFont="1" applyFill="1" applyBorder="1" applyProtection="1">
      <protection locked="0"/>
    </xf>
    <xf numFmtId="169" fontId="206" fillId="0" borderId="0" xfId="1" applyNumberFormat="1" applyFont="1" applyFill="1" applyProtection="1">
      <protection locked="0"/>
    </xf>
    <xf numFmtId="171" fontId="180" fillId="0" borderId="0" xfId="2" applyNumberFormat="1" applyFont="1" applyFill="1" applyBorder="1" applyProtection="1">
      <protection locked="0"/>
    </xf>
    <xf numFmtId="0" fontId="179" fillId="0" borderId="0" xfId="0" applyFont="1" applyAlignment="1" applyProtection="1">
      <alignment horizontal="left" indent="4"/>
      <protection locked="0"/>
    </xf>
    <xf numFmtId="205" fontId="179" fillId="0" borderId="0" xfId="0" applyNumberFormat="1" applyFont="1" applyProtection="1">
      <protection locked="0"/>
    </xf>
    <xf numFmtId="9" fontId="180" fillId="0" borderId="0" xfId="0" applyNumberFormat="1" applyFont="1" applyAlignment="1" applyProtection="1">
      <alignment horizontal="left" indent="4"/>
      <protection locked="0"/>
    </xf>
    <xf numFmtId="169" fontId="180" fillId="0" borderId="0" xfId="0" applyNumberFormat="1" applyFont="1" applyProtection="1">
      <protection locked="0"/>
    </xf>
    <xf numFmtId="193" fontId="180" fillId="0" borderId="0" xfId="1" applyNumberFormat="1" applyFont="1" applyFill="1" applyBorder="1" applyProtection="1">
      <protection locked="0"/>
    </xf>
    <xf numFmtId="193" fontId="180" fillId="0" borderId="0" xfId="0" applyNumberFormat="1" applyFont="1" applyProtection="1">
      <protection locked="0"/>
    </xf>
    <xf numFmtId="200" fontId="180" fillId="0" borderId="0" xfId="0" applyNumberFormat="1" applyFont="1" applyProtection="1">
      <protection locked="0"/>
    </xf>
    <xf numFmtId="9" fontId="180" fillId="0" borderId="0" xfId="0" applyNumberFormat="1" applyFont="1" applyProtection="1">
      <protection locked="0"/>
    </xf>
    <xf numFmtId="193" fontId="179" fillId="0" borderId="0" xfId="1" applyNumberFormat="1" applyFont="1" applyFill="1" applyBorder="1" applyProtection="1">
      <protection locked="0"/>
    </xf>
    <xf numFmtId="169" fontId="170" fillId="0" borderId="0" xfId="1" applyNumberFormat="1" applyFont="1" applyFill="1" applyBorder="1" applyProtection="1">
      <protection locked="0"/>
    </xf>
    <xf numFmtId="169" fontId="170" fillId="0" borderId="0" xfId="1" applyNumberFormat="1" applyFont="1" applyFill="1" applyProtection="1">
      <protection locked="0"/>
    </xf>
    <xf numFmtId="169" fontId="159" fillId="0" borderId="0" xfId="1" applyNumberFormat="1" applyFont="1" applyFill="1" applyBorder="1" applyAlignment="1" applyProtection="1">
      <alignment horizontal="left" indent="4"/>
      <protection locked="0"/>
    </xf>
    <xf numFmtId="169" fontId="179" fillId="0" borderId="0" xfId="1" applyNumberFormat="1" applyFont="1" applyFill="1" applyBorder="1" applyProtection="1">
      <protection locked="0"/>
    </xf>
    <xf numFmtId="169" fontId="159" fillId="0" borderId="0" xfId="1" applyNumberFormat="1" applyFont="1" applyFill="1" applyProtection="1">
      <protection locked="0"/>
    </xf>
    <xf numFmtId="9" fontId="158" fillId="0" borderId="0" xfId="0" applyNumberFormat="1" applyFont="1" applyAlignment="1" applyProtection="1">
      <alignment horizontal="left" indent="4"/>
      <protection locked="0"/>
    </xf>
    <xf numFmtId="169" fontId="158" fillId="0" borderId="0" xfId="1" applyNumberFormat="1" applyFont="1" applyFill="1" applyBorder="1" applyProtection="1">
      <protection locked="0"/>
    </xf>
    <xf numFmtId="43" fontId="158" fillId="0" borderId="0" xfId="0" applyNumberFormat="1" applyFont="1" applyProtection="1">
      <protection locked="0"/>
    </xf>
    <xf numFmtId="43" fontId="158" fillId="0" borderId="0" xfId="1" applyFont="1" applyFill="1" applyBorder="1" applyProtection="1">
      <protection locked="0"/>
    </xf>
    <xf numFmtId="43" fontId="180" fillId="0" borderId="0" xfId="0" applyNumberFormat="1" applyFont="1" applyProtection="1">
      <protection locked="0"/>
    </xf>
    <xf numFmtId="171" fontId="170" fillId="0" borderId="0" xfId="2" applyNumberFormat="1" applyFont="1" applyFill="1" applyBorder="1" applyProtection="1">
      <protection locked="0"/>
    </xf>
    <xf numFmtId="169" fontId="170" fillId="0" borderId="0" xfId="2" applyNumberFormat="1" applyFont="1" applyFill="1" applyBorder="1" applyProtection="1">
      <protection locked="0"/>
    </xf>
    <xf numFmtId="169" fontId="180" fillId="0" borderId="0" xfId="2" applyNumberFormat="1" applyFont="1" applyFill="1" applyBorder="1" applyProtection="1">
      <protection locked="0"/>
    </xf>
    <xf numFmtId="43" fontId="170" fillId="0" borderId="0" xfId="1" applyFont="1" applyFill="1" applyBorder="1" applyProtection="1">
      <protection locked="0"/>
    </xf>
    <xf numFmtId="43" fontId="180" fillId="0" borderId="0" xfId="1" applyFont="1" applyFill="1" applyBorder="1" applyProtection="1">
      <protection locked="0"/>
    </xf>
    <xf numFmtId="169" fontId="172" fillId="0" borderId="0" xfId="1" applyNumberFormat="1" applyFont="1" applyFill="1" applyBorder="1" applyProtection="1">
      <protection locked="0"/>
    </xf>
    <xf numFmtId="169" fontId="172" fillId="0" borderId="0" xfId="1" applyNumberFormat="1" applyFont="1" applyFill="1" applyProtection="1">
      <protection locked="0"/>
    </xf>
    <xf numFmtId="169" fontId="158" fillId="0" borderId="0" xfId="0" applyNumberFormat="1" applyFont="1" applyProtection="1">
      <protection locked="0"/>
    </xf>
    <xf numFmtId="43" fontId="206" fillId="0" borderId="0" xfId="1" applyFont="1" applyFill="1" applyProtection="1">
      <protection locked="0"/>
    </xf>
    <xf numFmtId="169" fontId="170" fillId="0" borderId="0" xfId="0" applyNumberFormat="1" applyFont="1" applyProtection="1">
      <protection locked="0"/>
    </xf>
    <xf numFmtId="0" fontId="170" fillId="0" borderId="0" xfId="0" applyFont="1" applyProtection="1">
      <protection locked="0"/>
    </xf>
    <xf numFmtId="43" fontId="170" fillId="0" borderId="0" xfId="0" applyNumberFormat="1" applyFont="1" applyProtection="1">
      <protection locked="0"/>
    </xf>
    <xf numFmtId="201" fontId="180" fillId="0" borderId="0" xfId="0" applyNumberFormat="1" applyFont="1" applyProtection="1">
      <protection locked="0"/>
    </xf>
    <xf numFmtId="0" fontId="170" fillId="0" borderId="11" xfId="0" applyFont="1" applyBorder="1" applyProtection="1">
      <protection locked="0"/>
    </xf>
    <xf numFmtId="169" fontId="177" fillId="59" borderId="0" xfId="0" applyNumberFormat="1" applyFont="1" applyFill="1" applyAlignment="1" applyProtection="1">
      <alignment horizontal="left" indent="3"/>
      <protection locked="0"/>
    </xf>
    <xf numFmtId="9" fontId="177" fillId="59" borderId="0" xfId="2" applyFont="1" applyFill="1" applyBorder="1" applyProtection="1">
      <protection locked="0"/>
    </xf>
    <xf numFmtId="43" fontId="177" fillId="59" borderId="0" xfId="0" applyNumberFormat="1" applyFont="1" applyFill="1" applyProtection="1">
      <protection locked="0"/>
    </xf>
    <xf numFmtId="169" fontId="177" fillId="59" borderId="0" xfId="0" applyNumberFormat="1" applyFont="1" applyFill="1" applyProtection="1">
      <protection locked="0"/>
    </xf>
    <xf numFmtId="169" fontId="179" fillId="59" borderId="0" xfId="1" applyNumberFormat="1" applyFont="1" applyFill="1" applyBorder="1" applyProtection="1">
      <protection locked="0"/>
    </xf>
    <xf numFmtId="0" fontId="179" fillId="59" borderId="0" xfId="0" applyFont="1" applyFill="1" applyProtection="1">
      <protection locked="0"/>
    </xf>
    <xf numFmtId="200" fontId="179" fillId="59" borderId="0" xfId="0" applyNumberFormat="1" applyFont="1" applyFill="1" applyProtection="1">
      <protection locked="0"/>
    </xf>
    <xf numFmtId="201" fontId="179" fillId="59" borderId="0" xfId="0" applyNumberFormat="1" applyFont="1" applyFill="1" applyProtection="1">
      <protection locked="0"/>
    </xf>
    <xf numFmtId="169" fontId="177" fillId="59" borderId="0" xfId="1" applyNumberFormat="1" applyFont="1" applyFill="1" applyBorder="1" applyProtection="1">
      <protection locked="0"/>
    </xf>
    <xf numFmtId="169" fontId="170" fillId="0" borderId="0" xfId="0" applyNumberFormat="1" applyFont="1" applyAlignment="1" applyProtection="1">
      <alignment horizontal="left" indent="3"/>
      <protection locked="0"/>
    </xf>
    <xf numFmtId="169" fontId="176" fillId="0" borderId="0" xfId="0" applyNumberFormat="1" applyFont="1" applyAlignment="1" applyProtection="1">
      <alignment horizontal="left" indent="3"/>
      <protection locked="0"/>
    </xf>
    <xf numFmtId="0" fontId="176" fillId="0" borderId="0" xfId="0" applyFont="1" applyProtection="1">
      <protection locked="0"/>
    </xf>
    <xf numFmtId="9" fontId="176" fillId="0" borderId="0" xfId="2" applyFont="1" applyFill="1" applyBorder="1" applyProtection="1">
      <protection locked="0"/>
    </xf>
    <xf numFmtId="43" fontId="176" fillId="0" borderId="0" xfId="0" applyNumberFormat="1" applyFont="1" applyProtection="1">
      <protection locked="0"/>
    </xf>
    <xf numFmtId="169" fontId="176" fillId="0" borderId="0" xfId="0" applyNumberFormat="1" applyFont="1" applyProtection="1">
      <protection locked="0"/>
    </xf>
    <xf numFmtId="9" fontId="170" fillId="0" borderId="0" xfId="0" applyNumberFormat="1" applyFont="1" applyProtection="1">
      <protection locked="0"/>
    </xf>
    <xf numFmtId="169" fontId="172" fillId="0" borderId="0" xfId="1" applyNumberFormat="1" applyFont="1" applyFill="1" applyBorder="1" applyAlignment="1" applyProtection="1">
      <alignment horizontal="left" indent="3"/>
      <protection locked="0"/>
    </xf>
    <xf numFmtId="0" fontId="177" fillId="4" borderId="0" xfId="0" applyFont="1" applyFill="1" applyAlignment="1" applyProtection="1">
      <alignment horizontal="left" indent="3"/>
      <protection locked="0"/>
    </xf>
    <xf numFmtId="0" fontId="177" fillId="4" borderId="0" xfId="0" applyFont="1" applyFill="1" applyProtection="1">
      <protection locked="0"/>
    </xf>
    <xf numFmtId="9" fontId="177" fillId="4" borderId="0" xfId="2" applyFont="1" applyFill="1" applyBorder="1" applyProtection="1">
      <protection locked="0"/>
    </xf>
    <xf numFmtId="43" fontId="177" fillId="4" borderId="0" xfId="0" applyNumberFormat="1" applyFont="1" applyFill="1" applyProtection="1">
      <protection locked="0"/>
    </xf>
    <xf numFmtId="169" fontId="177" fillId="4" borderId="0" xfId="0" applyNumberFormat="1" applyFont="1" applyFill="1" applyProtection="1">
      <protection locked="0"/>
    </xf>
    <xf numFmtId="169" fontId="179" fillId="4" borderId="0" xfId="1" applyNumberFormat="1" applyFont="1" applyFill="1" applyBorder="1" applyProtection="1">
      <protection locked="0"/>
    </xf>
    <xf numFmtId="200" fontId="179" fillId="4" borderId="0" xfId="0" applyNumberFormat="1" applyFont="1" applyFill="1" applyProtection="1">
      <protection locked="0"/>
    </xf>
    <xf numFmtId="171" fontId="179" fillId="4" borderId="0" xfId="0" applyNumberFormat="1" applyFont="1" applyFill="1" applyProtection="1">
      <protection locked="0"/>
    </xf>
    <xf numFmtId="9" fontId="179" fillId="4" borderId="0" xfId="2" applyFont="1" applyFill="1" applyBorder="1" applyProtection="1">
      <protection locked="0"/>
    </xf>
    <xf numFmtId="201" fontId="179" fillId="4" borderId="0" xfId="0" applyNumberFormat="1" applyFont="1" applyFill="1" applyProtection="1">
      <protection locked="0"/>
    </xf>
    <xf numFmtId="169" fontId="179" fillId="4" borderId="0" xfId="0" applyNumberFormat="1" applyFont="1" applyFill="1" applyProtection="1">
      <protection locked="0"/>
    </xf>
    <xf numFmtId="43" fontId="170" fillId="6" borderId="0" xfId="0" applyNumberFormat="1" applyFont="1" applyFill="1" applyProtection="1">
      <protection locked="0"/>
    </xf>
    <xf numFmtId="169" fontId="180" fillId="0" borderId="0" xfId="1" applyNumberFormat="1" applyFont="1" applyProtection="1">
      <protection locked="0"/>
    </xf>
    <xf numFmtId="0" fontId="177" fillId="0" borderId="0" xfId="0" applyFont="1" applyProtection="1">
      <protection locked="0"/>
    </xf>
    <xf numFmtId="169" fontId="177" fillId="0" borderId="0" xfId="1" applyNumberFormat="1" applyFont="1" applyFill="1" applyBorder="1" applyProtection="1">
      <protection locked="0"/>
    </xf>
    <xf numFmtId="43" fontId="177" fillId="0" borderId="0" xfId="0" applyNumberFormat="1" applyFont="1" applyProtection="1">
      <protection locked="0"/>
    </xf>
    <xf numFmtId="43" fontId="179" fillId="0" borderId="0" xfId="0" applyNumberFormat="1" applyFont="1" applyProtection="1">
      <protection locked="0"/>
    </xf>
    <xf numFmtId="169" fontId="179" fillId="0" borderId="0" xfId="1" applyNumberFormat="1" applyFont="1" applyProtection="1">
      <protection locked="0"/>
    </xf>
    <xf numFmtId="169" fontId="177" fillId="0" borderId="0" xfId="1" applyNumberFormat="1" applyFont="1" applyProtection="1">
      <protection locked="0"/>
    </xf>
    <xf numFmtId="169" fontId="158" fillId="0" borderId="0" xfId="1" applyNumberFormat="1" applyFont="1" applyProtection="1">
      <protection locked="0"/>
    </xf>
    <xf numFmtId="9" fontId="206" fillId="0" borderId="0" xfId="0" applyNumberFormat="1" applyFont="1" applyProtection="1">
      <protection locked="0"/>
    </xf>
    <xf numFmtId="0" fontId="206" fillId="0" borderId="0" xfId="0" applyFont="1" applyProtection="1">
      <protection locked="0"/>
    </xf>
    <xf numFmtId="43" fontId="206" fillId="0" borderId="0" xfId="0" applyNumberFormat="1" applyFont="1" applyProtection="1">
      <protection locked="0"/>
    </xf>
    <xf numFmtId="171" fontId="205" fillId="0" borderId="0" xfId="2" applyNumberFormat="1" applyFont="1" applyFill="1" applyBorder="1" applyProtection="1">
      <protection locked="0"/>
    </xf>
    <xf numFmtId="171" fontId="205" fillId="0" borderId="0" xfId="2" applyNumberFormat="1" applyFont="1" applyFill="1" applyProtection="1">
      <protection locked="0"/>
    </xf>
    <xf numFmtId="171" fontId="205" fillId="10" borderId="0" xfId="2" applyNumberFormat="1" applyFont="1" applyFill="1" applyBorder="1" applyProtection="1">
      <protection locked="0"/>
    </xf>
    <xf numFmtId="171" fontId="205" fillId="10" borderId="0" xfId="2" applyNumberFormat="1" applyFont="1" applyFill="1" applyProtection="1">
      <protection locked="0"/>
    </xf>
    <xf numFmtId="171" fontId="176" fillId="10" borderId="0" xfId="2" applyNumberFormat="1" applyFont="1" applyFill="1" applyBorder="1" applyProtection="1">
      <protection locked="0"/>
    </xf>
    <xf numFmtId="193" fontId="176" fillId="10" borderId="0" xfId="1" applyNumberFormat="1" applyFont="1" applyFill="1" applyBorder="1" applyProtection="1">
      <protection locked="0"/>
    </xf>
    <xf numFmtId="0" fontId="162" fillId="10" borderId="0" xfId="0" applyFont="1" applyFill="1" applyProtection="1">
      <protection locked="0"/>
    </xf>
    <xf numFmtId="0" fontId="162" fillId="10" borderId="0" xfId="0" applyFont="1" applyFill="1"/>
    <xf numFmtId="200" fontId="162" fillId="10" borderId="0" xfId="0" applyNumberFormat="1" applyFont="1" applyFill="1"/>
    <xf numFmtId="171" fontId="162" fillId="10" borderId="0" xfId="2" applyNumberFormat="1" applyFont="1" applyFill="1" applyBorder="1" applyProtection="1"/>
    <xf numFmtId="0" fontId="160" fillId="10" borderId="0" xfId="0" applyFont="1" applyFill="1"/>
    <xf numFmtId="43" fontId="162" fillId="10" borderId="0" xfId="0" applyNumberFormat="1" applyFont="1" applyFill="1"/>
    <xf numFmtId="43" fontId="160" fillId="10" borderId="0" xfId="0" applyNumberFormat="1" applyFont="1" applyFill="1"/>
    <xf numFmtId="169" fontId="162" fillId="10" borderId="0" xfId="0" applyNumberFormat="1" applyFont="1" applyFill="1"/>
    <xf numFmtId="10" fontId="162" fillId="10" borderId="0" xfId="0" applyNumberFormat="1" applyFont="1" applyFill="1"/>
    <xf numFmtId="169" fontId="162" fillId="10" borderId="0" xfId="1" applyNumberFormat="1" applyFont="1" applyFill="1" applyBorder="1" applyProtection="1"/>
    <xf numFmtId="9" fontId="162" fillId="10" borderId="0" xfId="2" applyFont="1" applyFill="1" applyBorder="1" applyProtection="1"/>
    <xf numFmtId="9" fontId="162" fillId="10" borderId="0" xfId="0" applyNumberFormat="1" applyFont="1" applyFill="1"/>
    <xf numFmtId="9" fontId="162" fillId="10" borderId="0" xfId="2" applyFont="1" applyFill="1" applyProtection="1"/>
    <xf numFmtId="169" fontId="162" fillId="10" borderId="0" xfId="2" applyNumberFormat="1" applyFont="1" applyFill="1" applyProtection="1"/>
    <xf numFmtId="199" fontId="162" fillId="10" borderId="0" xfId="0" applyNumberFormat="1" applyFont="1" applyFill="1"/>
    <xf numFmtId="209" fontId="162" fillId="10" borderId="0" xfId="2" applyNumberFormat="1" applyFont="1" applyFill="1" applyBorder="1" applyProtection="1"/>
    <xf numFmtId="43" fontId="162" fillId="10" borderId="0" xfId="1" applyFont="1" applyFill="1" applyBorder="1" applyProtection="1"/>
    <xf numFmtId="17" fontId="162" fillId="10" borderId="0" xfId="0" applyNumberFormat="1" applyFont="1" applyFill="1"/>
    <xf numFmtId="193" fontId="162" fillId="10" borderId="0" xfId="1" applyNumberFormat="1" applyFont="1" applyFill="1" applyBorder="1" applyProtection="1"/>
    <xf numFmtId="0" fontId="238" fillId="0" borderId="0" xfId="0" applyFont="1" applyAlignment="1">
      <alignment horizontal="center" vertical="center"/>
    </xf>
    <xf numFmtId="0" fontId="238" fillId="0" borderId="0" xfId="0" applyFont="1" applyAlignment="1">
      <alignment horizontal="left" vertical="center"/>
    </xf>
    <xf numFmtId="0" fontId="238" fillId="0" borderId="0" xfId="0" applyFont="1" applyAlignment="1">
      <alignment vertical="center" wrapText="1"/>
    </xf>
    <xf numFmtId="0" fontId="239" fillId="0" borderId="40" xfId="0" quotePrefix="1" applyFont="1" applyBorder="1" applyAlignment="1">
      <alignment horizontal="left" vertical="center"/>
    </xf>
    <xf numFmtId="0" fontId="239" fillId="0" borderId="40" xfId="0" quotePrefix="1" applyFont="1" applyBorder="1" applyAlignment="1">
      <alignment horizontal="right" vertical="center"/>
    </xf>
    <xf numFmtId="0" fontId="239" fillId="0" borderId="0" xfId="0" quotePrefix="1" applyFont="1" applyAlignment="1">
      <alignment horizontal="right" vertical="center"/>
    </xf>
    <xf numFmtId="49" fontId="238" fillId="0" borderId="0" xfId="0" applyNumberFormat="1" applyFont="1" applyAlignment="1">
      <alignment horizontal="center" vertical="center"/>
    </xf>
    <xf numFmtId="0" fontId="239" fillId="0" borderId="0" xfId="0" applyFont="1" applyAlignment="1">
      <alignment horizontal="left" vertical="center" wrapText="1"/>
    </xf>
    <xf numFmtId="166" fontId="239" fillId="0" borderId="0" xfId="73" applyFont="1" applyBorder="1" applyAlignment="1">
      <alignment horizontal="right" vertical="center" wrapText="1"/>
    </xf>
    <xf numFmtId="169" fontId="238" fillId="0" borderId="0" xfId="1" applyNumberFormat="1" applyFont="1" applyAlignment="1">
      <alignment horizontal="center" vertical="center"/>
    </xf>
    <xf numFmtId="169" fontId="238" fillId="0" borderId="0" xfId="1" applyNumberFormat="1" applyFont="1" applyBorder="1" applyAlignment="1">
      <alignment horizontal="right" vertical="center" wrapText="1"/>
    </xf>
    <xf numFmtId="193" fontId="238" fillId="0" borderId="0" xfId="1" applyNumberFormat="1" applyFont="1" applyBorder="1" applyAlignment="1">
      <alignment horizontal="right" vertical="center" wrapText="1"/>
    </xf>
    <xf numFmtId="43" fontId="238" fillId="0" borderId="0" xfId="2" applyNumberFormat="1" applyFont="1" applyBorder="1" applyAlignment="1">
      <alignment horizontal="right" vertical="center" wrapText="1"/>
    </xf>
    <xf numFmtId="0" fontId="239" fillId="0" borderId="0" xfId="0" applyFont="1" applyAlignment="1">
      <alignment vertical="center" wrapText="1"/>
    </xf>
    <xf numFmtId="169" fontId="238" fillId="0" borderId="0" xfId="1" applyNumberFormat="1" applyFont="1" applyAlignment="1">
      <alignment vertical="center" wrapText="1"/>
    </xf>
    <xf numFmtId="9" fontId="238" fillId="0" borderId="0" xfId="2" applyFont="1" applyBorder="1" applyAlignment="1">
      <alignment horizontal="right" vertical="center" wrapText="1"/>
    </xf>
    <xf numFmtId="0" fontId="238" fillId="0" borderId="0" xfId="0" applyFont="1" applyAlignment="1">
      <alignment horizontal="left" vertical="center" wrapText="1"/>
    </xf>
    <xf numFmtId="166" fontId="238" fillId="0" borderId="0" xfId="73" applyFont="1" applyBorder="1" applyAlignment="1">
      <alignment horizontal="right" vertical="center" wrapText="1"/>
    </xf>
    <xf numFmtId="0" fontId="238" fillId="0" borderId="0" xfId="0" quotePrefix="1" applyFont="1" applyAlignment="1">
      <alignment horizontal="left" vertical="center" wrapText="1"/>
    </xf>
    <xf numFmtId="0" fontId="238" fillId="4" borderId="0" xfId="0" applyFont="1" applyFill="1" applyAlignment="1">
      <alignment vertical="center" wrapText="1"/>
    </xf>
    <xf numFmtId="0" fontId="238" fillId="0" borderId="44" xfId="0" applyFont="1" applyBorder="1" applyAlignment="1">
      <alignment vertical="center" wrapText="1"/>
    </xf>
    <xf numFmtId="0" fontId="238" fillId="0" borderId="44" xfId="0" applyFont="1" applyBorder="1" applyAlignment="1">
      <alignment horizontal="left" vertical="center" wrapText="1"/>
    </xf>
    <xf numFmtId="0" fontId="238" fillId="0" borderId="43" xfId="0" applyFont="1" applyBorder="1" applyAlignment="1">
      <alignment vertical="center" wrapText="1"/>
    </xf>
    <xf numFmtId="0" fontId="239" fillId="4" borderId="0" xfId="0" applyFont="1" applyFill="1" applyAlignment="1">
      <alignment horizontal="left" vertical="center"/>
    </xf>
    <xf numFmtId="0" fontId="239" fillId="4" borderId="0" xfId="0" applyFont="1" applyFill="1" applyAlignment="1">
      <alignment vertical="center" wrapText="1"/>
    </xf>
    <xf numFmtId="43" fontId="239" fillId="4" borderId="0" xfId="2" applyNumberFormat="1" applyFont="1" applyFill="1" applyBorder="1" applyAlignment="1">
      <alignment horizontal="right" vertical="center" wrapText="1"/>
    </xf>
    <xf numFmtId="0" fontId="239" fillId="4" borderId="0" xfId="0" quotePrefix="1" applyFont="1" applyFill="1" applyAlignment="1">
      <alignment horizontal="left" vertical="center"/>
    </xf>
    <xf numFmtId="0" fontId="239" fillId="4" borderId="0" xfId="0" quotePrefix="1" applyFont="1" applyFill="1" applyAlignment="1">
      <alignment horizontal="right" vertical="center"/>
    </xf>
    <xf numFmtId="0" fontId="238" fillId="0" borderId="0" xfId="0" applyFont="1" applyAlignment="1">
      <alignment horizontal="left" vertical="center" wrapText="1" indent="2"/>
    </xf>
    <xf numFmtId="193" fontId="238" fillId="0" borderId="0" xfId="1" applyNumberFormat="1" applyFont="1" applyBorder="1" applyAlignment="1">
      <alignment horizontal="left" vertical="center" wrapText="1" indent="2"/>
    </xf>
    <xf numFmtId="43" fontId="238" fillId="0" borderId="0" xfId="2" applyNumberFormat="1" applyFont="1" applyBorder="1" applyAlignment="1">
      <alignment horizontal="left" vertical="center" wrapText="1" indent="2"/>
    </xf>
    <xf numFmtId="0" fontId="238" fillId="0" borderId="0" xfId="0" applyFont="1" applyAlignment="1">
      <alignment horizontal="left" vertical="center" indent="2"/>
    </xf>
    <xf numFmtId="0" fontId="239" fillId="0" borderId="0" xfId="0" applyFont="1" applyAlignment="1">
      <alignment horizontal="left" vertical="center"/>
    </xf>
    <xf numFmtId="171" fontId="238" fillId="0" borderId="0" xfId="2" applyNumberFormat="1" applyFont="1" applyBorder="1" applyAlignment="1">
      <alignment horizontal="right" vertical="center" wrapText="1"/>
    </xf>
    <xf numFmtId="0" fontId="238" fillId="0" borderId="11" xfId="0" applyFont="1" applyBorder="1" applyAlignment="1">
      <alignment horizontal="left" vertical="center"/>
    </xf>
    <xf numFmtId="171" fontId="238" fillId="0" borderId="11" xfId="2" applyNumberFormat="1" applyFont="1" applyBorder="1" applyAlignment="1">
      <alignment vertical="center" wrapText="1"/>
    </xf>
    <xf numFmtId="0" fontId="239" fillId="0" borderId="40" xfId="0" applyFont="1" applyBorder="1" applyAlignment="1">
      <alignment horizontal="center" vertical="center"/>
    </xf>
    <xf numFmtId="49" fontId="239" fillId="0" borderId="40" xfId="0" applyNumberFormat="1" applyFont="1" applyBorder="1" applyAlignment="1">
      <alignment horizontal="center" vertical="center"/>
    </xf>
    <xf numFmtId="169" fontId="239" fillId="0" borderId="0" xfId="1" applyNumberFormat="1" applyFont="1" applyAlignment="1">
      <alignment horizontal="center" vertical="center"/>
    </xf>
    <xf numFmtId="0" fontId="13" fillId="0" borderId="0" xfId="3" applyAlignment="1">
      <alignment horizontal="right"/>
    </xf>
    <xf numFmtId="0" fontId="239" fillId="4" borderId="0" xfId="0" applyFont="1" applyFill="1" applyAlignment="1">
      <alignment horizontal="center" vertical="center"/>
    </xf>
    <xf numFmtId="0" fontId="238" fillId="4" borderId="0" xfId="0" applyFont="1" applyFill="1" applyAlignment="1">
      <alignment horizontal="center" vertical="center"/>
    </xf>
    <xf numFmtId="169" fontId="232" fillId="0" borderId="0" xfId="1" applyNumberFormat="1" applyFont="1" applyAlignment="1">
      <alignment horizontal="right" vertical="center"/>
    </xf>
    <xf numFmtId="169" fontId="232" fillId="0" borderId="48" xfId="1" applyNumberFormat="1" applyFont="1" applyBorder="1" applyAlignment="1">
      <alignment horizontal="right" vertical="center"/>
    </xf>
    <xf numFmtId="169" fontId="232" fillId="0" borderId="54" xfId="1" applyNumberFormat="1" applyFont="1" applyBorder="1" applyAlignment="1">
      <alignment horizontal="right" vertical="center"/>
    </xf>
    <xf numFmtId="43" fontId="135" fillId="10" borderId="0" xfId="0" applyNumberFormat="1" applyFont="1" applyFill="1" applyAlignment="1" applyProtection="1">
      <alignment horizontal="right"/>
      <protection locked="0"/>
    </xf>
    <xf numFmtId="0" fontId="238" fillId="0" borderId="0" xfId="0" quotePrefix="1" applyFont="1" applyAlignment="1">
      <alignment horizontal="left" vertical="center"/>
    </xf>
    <xf numFmtId="0" fontId="238" fillId="0" borderId="0" xfId="0" applyFont="1" applyAlignment="1">
      <alignment horizontal="left" vertical="center"/>
    </xf>
    <xf numFmtId="0" fontId="160" fillId="64" borderId="2" xfId="0" applyFont="1" applyFill="1" applyBorder="1" applyAlignment="1">
      <alignment horizontal="center" vertical="center"/>
    </xf>
    <xf numFmtId="0" fontId="160" fillId="64" borderId="11" xfId="0" applyFont="1" applyFill="1" applyBorder="1" applyAlignment="1">
      <alignment horizontal="center" vertical="center"/>
    </xf>
    <xf numFmtId="49" fontId="158" fillId="0" borderId="0" xfId="0" applyNumberFormat="1" applyFont="1" applyAlignment="1">
      <alignment horizontal="left" vertical="top" wrapText="1"/>
    </xf>
    <xf numFmtId="49" fontId="158" fillId="0" borderId="0" xfId="0" applyNumberFormat="1" applyFont="1" applyAlignment="1">
      <alignment horizontal="left" vertical="top"/>
    </xf>
    <xf numFmtId="49" fontId="158" fillId="0" borderId="11" xfId="0" applyNumberFormat="1" applyFont="1" applyBorder="1" applyAlignment="1">
      <alignment horizontal="left" vertical="top"/>
    </xf>
    <xf numFmtId="0" fontId="177" fillId="0" borderId="2" xfId="0" applyFont="1" applyBorder="1" applyAlignment="1">
      <alignment horizontal="center" vertical="center" wrapText="1"/>
    </xf>
    <xf numFmtId="0" fontId="177" fillId="0" borderId="11" xfId="0" applyFont="1" applyBorder="1" applyAlignment="1">
      <alignment horizontal="center" vertical="center" wrapText="1"/>
    </xf>
    <xf numFmtId="49" fontId="161" fillId="48" borderId="2" xfId="1" quotePrefix="1" applyNumberFormat="1" applyFont="1" applyFill="1" applyBorder="1" applyAlignment="1">
      <alignment horizontal="left" vertical="top" wrapText="1"/>
    </xf>
    <xf numFmtId="49" fontId="161" fillId="48" borderId="0" xfId="1" quotePrefix="1" applyNumberFormat="1" applyFont="1" applyFill="1" applyBorder="1" applyAlignment="1">
      <alignment horizontal="left" vertical="top" wrapText="1"/>
    </xf>
    <xf numFmtId="49" fontId="161" fillId="48" borderId="0" xfId="1" applyNumberFormat="1" applyFont="1" applyFill="1" applyBorder="1" applyAlignment="1">
      <alignment horizontal="left" vertical="top" wrapText="1"/>
    </xf>
    <xf numFmtId="49" fontId="161" fillId="48" borderId="11" xfId="1" applyNumberFormat="1" applyFont="1" applyFill="1" applyBorder="1" applyAlignment="1">
      <alignment horizontal="left" vertical="top" wrapText="1"/>
    </xf>
    <xf numFmtId="0" fontId="232" fillId="0" borderId="54" xfId="0" applyFont="1" applyBorder="1" applyAlignment="1">
      <alignment horizontal="center" vertical="center"/>
    </xf>
    <xf numFmtId="0" fontId="159" fillId="0" borderId="2" xfId="52" applyFont="1" applyBorder="1" applyAlignment="1">
      <alignment horizontal="center" vertical="center"/>
    </xf>
    <xf numFmtId="0" fontId="158" fillId="0" borderId="0" xfId="52" applyFont="1" applyAlignment="1">
      <alignment horizontal="left" vertical="center" wrapText="1"/>
    </xf>
    <xf numFmtId="0" fontId="158" fillId="0" borderId="11" xfId="52" applyFont="1" applyBorder="1" applyAlignment="1">
      <alignment horizontal="left" vertical="center" wrapText="1"/>
    </xf>
    <xf numFmtId="49" fontId="177" fillId="0" borderId="11" xfId="0" applyNumberFormat="1" applyFont="1" applyBorder="1" applyAlignment="1">
      <alignment horizontal="left" vertical="center"/>
    </xf>
    <xf numFmtId="193" fontId="158" fillId="0" borderId="0" xfId="1" applyNumberFormat="1" applyFont="1" applyBorder="1" applyAlignment="1">
      <alignment horizontal="right" vertical="center"/>
    </xf>
    <xf numFmtId="169" fontId="159" fillId="0" borderId="7" xfId="1" applyNumberFormat="1" applyFont="1" applyBorder="1" applyAlignment="1">
      <alignment horizontal="right" vertical="center"/>
    </xf>
    <xf numFmtId="0" fontId="159" fillId="0" borderId="7" xfId="52" applyFont="1" applyBorder="1" applyAlignment="1">
      <alignment horizontal="center"/>
    </xf>
    <xf numFmtId="0" fontId="158" fillId="0" borderId="0" xfId="52" applyFont="1" applyAlignment="1">
      <alignment horizontal="center" vertical="center" wrapText="1"/>
    </xf>
    <xf numFmtId="0" fontId="158" fillId="0" borderId="0" xfId="52" applyFont="1" applyAlignment="1">
      <alignment horizontal="center" vertical="center"/>
    </xf>
    <xf numFmtId="0" fontId="158" fillId="0" borderId="11" xfId="52" applyFont="1" applyBorder="1" applyAlignment="1">
      <alignment horizontal="center" vertical="center"/>
    </xf>
    <xf numFmtId="0" fontId="177" fillId="0" borderId="2" xfId="52" applyFont="1" applyBorder="1" applyAlignment="1">
      <alignment horizontal="center" vertical="center"/>
    </xf>
    <xf numFmtId="0" fontId="164" fillId="48" borderId="2" xfId="0" applyFont="1" applyFill="1" applyBorder="1" applyAlignment="1">
      <alignment vertical="center"/>
    </xf>
    <xf numFmtId="0" fontId="164" fillId="48" borderId="0" xfId="0" applyFont="1" applyFill="1" applyAlignment="1">
      <alignment vertical="center"/>
    </xf>
    <xf numFmtId="0" fontId="164" fillId="48" borderId="11" xfId="0" applyFont="1" applyFill="1" applyBorder="1" applyAlignment="1">
      <alignment vertical="center"/>
    </xf>
    <xf numFmtId="49" fontId="160" fillId="58" borderId="0" xfId="0" applyNumberFormat="1" applyFont="1" applyFill="1" applyAlignment="1">
      <alignment horizontal="center" vertical="center"/>
    </xf>
    <xf numFmtId="0" fontId="177" fillId="0" borderId="49" xfId="52" applyFont="1" applyFill="1" applyBorder="1" applyAlignment="1">
      <alignment horizontal="left" vertical="center"/>
    </xf>
    <xf numFmtId="0" fontId="176" fillId="0" borderId="56" xfId="52" applyFont="1" applyFill="1" applyBorder="1" applyAlignment="1">
      <alignment horizontal="left" vertical="center"/>
    </xf>
    <xf numFmtId="0" fontId="176" fillId="0" borderId="54" xfId="52" applyFont="1" applyFill="1" applyBorder="1" applyAlignment="1">
      <alignment horizontal="left" vertical="center"/>
    </xf>
    <xf numFmtId="0" fontId="158" fillId="0" borderId="11" xfId="52" applyFont="1" applyBorder="1" applyAlignment="1">
      <alignment horizontal="left"/>
    </xf>
    <xf numFmtId="0" fontId="158" fillId="0" borderId="0" xfId="52" applyNumberFormat="1" applyFont="1" applyAlignment="1">
      <alignment horizontal="center"/>
    </xf>
    <xf numFmtId="0" fontId="160" fillId="53" borderId="0" xfId="52" applyFont="1" applyFill="1" applyAlignment="1">
      <alignment horizontal="center" vertical="center"/>
    </xf>
    <xf numFmtId="0" fontId="158" fillId="0" borderId="0" xfId="52" applyFont="1" applyAlignment="1">
      <alignment horizontal="center"/>
    </xf>
    <xf numFmtId="169" fontId="158" fillId="0" borderId="0" xfId="1" applyNumberFormat="1" applyFont="1" applyAlignment="1">
      <alignment horizontal="center"/>
    </xf>
    <xf numFmtId="9" fontId="158" fillId="0" borderId="0" xfId="2" applyFont="1" applyAlignment="1">
      <alignment horizontal="center"/>
    </xf>
    <xf numFmtId="0" fontId="158" fillId="0" borderId="0" xfId="52" applyFont="1" applyAlignment="1">
      <alignment horizontal="right"/>
    </xf>
    <xf numFmtId="0" fontId="160" fillId="53" borderId="0" xfId="52" applyNumberFormat="1" applyFont="1" applyFill="1" applyAlignment="1">
      <alignment horizontal="center"/>
    </xf>
    <xf numFmtId="0" fontId="160" fillId="53" borderId="0" xfId="52" applyFont="1" applyFill="1" applyAlignment="1">
      <alignment horizontal="center"/>
    </xf>
    <xf numFmtId="0" fontId="160" fillId="53" borderId="2" xfId="52" applyFont="1" applyFill="1" applyBorder="1" applyAlignment="1">
      <alignment horizontal="center" vertical="center"/>
    </xf>
    <xf numFmtId="49" fontId="158" fillId="0" borderId="32" xfId="1" applyNumberFormat="1" applyFont="1" applyBorder="1" applyAlignment="1">
      <alignment horizontal="center" vertical="top"/>
    </xf>
    <xf numFmtId="49" fontId="158" fillId="0" borderId="33" xfId="1" applyNumberFormat="1" applyFont="1" applyBorder="1" applyAlignment="1">
      <alignment horizontal="center" vertical="top"/>
    </xf>
    <xf numFmtId="49" fontId="176" fillId="0" borderId="32" xfId="1" quotePrefix="1" applyNumberFormat="1" applyFont="1" applyBorder="1" applyAlignment="1">
      <alignment horizontal="left" vertical="top" wrapText="1"/>
    </xf>
    <xf numFmtId="49" fontId="176" fillId="0" borderId="33" xfId="1" applyNumberFormat="1" applyFont="1" applyBorder="1" applyAlignment="1">
      <alignment horizontal="left" vertical="top" wrapText="1"/>
    </xf>
    <xf numFmtId="169" fontId="177" fillId="0" borderId="7" xfId="52" applyNumberFormat="1" applyFont="1" applyFill="1" applyBorder="1" applyAlignment="1">
      <alignment horizontal="right" vertical="center"/>
    </xf>
    <xf numFmtId="169" fontId="176" fillId="0" borderId="0" xfId="52" applyNumberFormat="1" applyFont="1" applyFill="1" applyAlignment="1">
      <alignment horizontal="right" vertical="center"/>
    </xf>
    <xf numFmtId="193" fontId="158" fillId="0" borderId="0" xfId="52" applyNumberFormat="1" applyFont="1" applyAlignment="1">
      <alignment horizontal="right" vertical="center"/>
    </xf>
    <xf numFmtId="0" fontId="160" fillId="53" borderId="2" xfId="52" applyFont="1" applyFill="1" applyBorder="1" applyAlignment="1">
      <alignment horizontal="right" vertical="center"/>
    </xf>
    <xf numFmtId="0" fontId="158" fillId="0" borderId="0" xfId="52" applyFont="1" applyAlignment="1">
      <alignment horizontal="right" vertical="center"/>
    </xf>
    <xf numFmtId="0" fontId="108" fillId="0" borderId="2" xfId="3" applyFont="1" applyBorder="1" applyAlignment="1">
      <alignment horizontal="right"/>
    </xf>
    <xf numFmtId="0" fontId="101" fillId="0" borderId="0" xfId="3" applyFont="1" applyAlignment="1">
      <alignment horizontal="center" vertical="center"/>
    </xf>
    <xf numFmtId="0" fontId="126" fillId="0" borderId="14" xfId="3" applyFont="1" applyBorder="1" applyAlignment="1">
      <alignment horizontal="center"/>
    </xf>
    <xf numFmtId="0" fontId="126" fillId="0" borderId="8" xfId="3" applyFont="1" applyBorder="1" applyAlignment="1">
      <alignment horizontal="center"/>
    </xf>
    <xf numFmtId="171" fontId="89" fillId="43" borderId="14" xfId="3" applyNumberFormat="1" applyFont="1" applyFill="1" applyBorder="1" applyAlignment="1">
      <alignment horizontal="center" vertical="center"/>
    </xf>
    <xf numFmtId="171" fontId="89" fillId="43" borderId="7" xfId="3" applyNumberFormat="1" applyFont="1" applyFill="1" applyBorder="1" applyAlignment="1">
      <alignment horizontal="center" vertical="center"/>
    </xf>
    <xf numFmtId="9" fontId="126" fillId="0" borderId="14" xfId="2" applyFont="1" applyBorder="1" applyAlignment="1">
      <alignment horizontal="center"/>
    </xf>
    <xf numFmtId="9" fontId="126" fillId="0" borderId="8" xfId="2" applyFont="1" applyBorder="1" applyAlignment="1">
      <alignment horizontal="center"/>
    </xf>
    <xf numFmtId="0" fontId="0" fillId="0" borderId="0" xfId="0" applyAlignment="1">
      <alignment horizontal="center"/>
    </xf>
    <xf numFmtId="0" fontId="0" fillId="0" borderId="0" xfId="0" applyAlignment="1">
      <alignment horizontal="center" vertical="center"/>
    </xf>
    <xf numFmtId="0" fontId="0" fillId="10" borderId="0" xfId="0" quotePrefix="1" applyFill="1" applyAlignment="1">
      <alignment horizontal="center" vertical="top" wrapText="1"/>
    </xf>
    <xf numFmtId="0" fontId="0" fillId="10" borderId="0" xfId="0" applyFill="1" applyAlignment="1">
      <alignment horizontal="center" vertical="top" wrapText="1"/>
    </xf>
    <xf numFmtId="2" fontId="89" fillId="53" borderId="0" xfId="0" applyNumberFormat="1" applyFont="1" applyFill="1" applyAlignment="1">
      <alignment horizontal="center" vertical="center"/>
    </xf>
    <xf numFmtId="0" fontId="88" fillId="10" borderId="0" xfId="0" applyFont="1" applyFill="1" applyAlignment="1">
      <alignment horizontal="center"/>
    </xf>
    <xf numFmtId="0" fontId="89" fillId="53" borderId="0" xfId="0" applyFont="1" applyFill="1" applyAlignment="1">
      <alignment horizontal="center" vertical="top" wrapText="1"/>
    </xf>
    <xf numFmtId="0" fontId="88" fillId="10" borderId="0" xfId="0" applyFont="1" applyFill="1" applyAlignment="1">
      <alignment horizontal="center" vertical="center"/>
    </xf>
    <xf numFmtId="2" fontId="89" fillId="53" borderId="0" xfId="0" applyNumberFormat="1" applyFont="1" applyFill="1" applyAlignment="1">
      <alignment horizontal="center"/>
    </xf>
  </cellXfs>
  <cellStyles count="75">
    <cellStyle name="]_x000d__x000a_Zoomed=1_x000d__x000a_Row=0_x000d__x000a_Column=0_x000d__x000a_Height=0_x000d__x000a_Width=0_x000d__x000a_FontName=FoxFont_x000d__x000a_FontStyle=0_x000d__x000a_FontSize=9_x000d__x000a_PrtFontName=FoxPrin 2" xfId="58" xr:uid="{419D120C-8652-418C-9D05-B8CA61DF82B2}"/>
    <cellStyle name="20% - Accent1" xfId="28" builtinId="30" customBuiltin="1"/>
    <cellStyle name="20% - Accent2" xfId="32" builtinId="34" customBuiltin="1"/>
    <cellStyle name="20% - Accent3" xfId="36" builtinId="38" customBuiltin="1"/>
    <cellStyle name="20% - Accent4" xfId="40" builtinId="42" customBuiltin="1"/>
    <cellStyle name="20% - Accent5" xfId="44" builtinId="46" customBuiltin="1"/>
    <cellStyle name="20% - Accent6" xfId="48" builtinId="50" customBuiltin="1"/>
    <cellStyle name="40% - Accent1" xfId="29" builtinId="31" customBuiltin="1"/>
    <cellStyle name="40% - Accent2" xfId="33" builtinId="35" customBuiltin="1"/>
    <cellStyle name="40% - Accent3" xfId="37" builtinId="39" customBuiltin="1"/>
    <cellStyle name="40% - Accent4" xfId="41" builtinId="43" customBuiltin="1"/>
    <cellStyle name="40% - Accent5" xfId="45" builtinId="47" customBuiltin="1"/>
    <cellStyle name="40% - Accent6" xfId="49" builtinId="51" customBuiltin="1"/>
    <cellStyle name="60% - Accent1" xfId="30" builtinId="32" customBuiltin="1"/>
    <cellStyle name="60% - Accent2" xfId="34" builtinId="36" customBuiltin="1"/>
    <cellStyle name="60% - Accent3" xfId="38" builtinId="40" customBuiltin="1"/>
    <cellStyle name="60% - Accent4" xfId="42" builtinId="44" customBuiltin="1"/>
    <cellStyle name="60% - Accent5" xfId="46" builtinId="48" customBuiltin="1"/>
    <cellStyle name="60% - Accent6" xfId="50" builtinId="52" customBuiltin="1"/>
    <cellStyle name="Accent1" xfId="27" builtinId="29" customBuiltin="1"/>
    <cellStyle name="Accent1 2" xfId="7" xr:uid="{00000000-0005-0000-0000-000013000000}"/>
    <cellStyle name="Accent2" xfId="31" builtinId="33" customBuiltin="1"/>
    <cellStyle name="Accent3" xfId="35" builtinId="37" customBuiltin="1"/>
    <cellStyle name="Accent4" xfId="39" builtinId="41" customBuiltin="1"/>
    <cellStyle name="Accent5" xfId="43" builtinId="45" customBuiltin="1"/>
    <cellStyle name="Accent6" xfId="47" builtinId="49" customBuiltin="1"/>
    <cellStyle name="Bad" xfId="16" builtinId="27" customBuiltin="1"/>
    <cellStyle name="blp_datetime" xfId="56" xr:uid="{00000000-0005-0000-0000-00001A000000}"/>
    <cellStyle name="Calculation" xfId="20" builtinId="22" customBuiltin="1"/>
    <cellStyle name="Check Cell" xfId="22" builtinId="23" customBuiltin="1"/>
    <cellStyle name="Comma" xfId="1" builtinId="3"/>
    <cellStyle name="Comma [0]" xfId="73" builtinId="6"/>
    <cellStyle name="Comma 2" xfId="8" xr:uid="{00000000-0005-0000-0000-00001E000000}"/>
    <cellStyle name="Comma 2 2" xfId="60" xr:uid="{09478C74-A8C0-4162-B01D-1735998807AA}"/>
    <cellStyle name="Comma 2 3" xfId="54" xr:uid="{00000000-0005-0000-0000-00001F000000}"/>
    <cellStyle name="Comma 3" xfId="53" xr:uid="{00000000-0005-0000-0000-000020000000}"/>
    <cellStyle name="Comma 4" xfId="55" xr:uid="{00000000-0005-0000-0000-000021000000}"/>
    <cellStyle name="Comma 5" xfId="64" xr:uid="{7164ABA4-FBE2-48FC-98C4-BFC2DBF21728}"/>
    <cellStyle name="Comma 6" xfId="66" xr:uid="{6D964458-19AE-4113-90C3-95772C840F31}"/>
    <cellStyle name="Comma 7" xfId="67" xr:uid="{4FABD0DF-3219-40CE-A9C5-42E89803E2F2}"/>
    <cellStyle name="Comma 8" xfId="70" xr:uid="{35EFAE84-C360-49A1-82E7-EE2AB13B3174}"/>
    <cellStyle name="Comma 9" xfId="72" xr:uid="{B06D642E-E6F7-4A61-A065-EE7A34D2B1C3}"/>
    <cellStyle name="Explanatory Text" xfId="25" builtinId="53" customBuiltin="1"/>
    <cellStyle name="Good" xfId="15" builtinId="26" customBuiltin="1"/>
    <cellStyle name="Heading 1" xfId="11" builtinId="16" customBuiltin="1"/>
    <cellStyle name="Heading 2" xfId="12" builtinId="17" customBuiltin="1"/>
    <cellStyle name="Heading 3" xfId="13" builtinId="18" customBuiltin="1"/>
    <cellStyle name="Heading 4" xfId="14" builtinId="19" customBuiltin="1"/>
    <cellStyle name="Hyperlink" xfId="4" xr:uid="{00000000-0005-0000-0000-000028000000}"/>
    <cellStyle name="Hyperlink 2" xfId="68" xr:uid="{7BFFBD06-62BC-47CC-B4A7-C065D7C5766E}"/>
    <cellStyle name="Input" xfId="18" builtinId="20" customBuiltin="1"/>
    <cellStyle name="Linked Cell" xfId="21" builtinId="24" customBuiltin="1"/>
    <cellStyle name="Neutral" xfId="17" builtinId="28" customBuiltin="1"/>
    <cellStyle name="Neutral 2" xfId="6" xr:uid="{00000000-0005-0000-0000-00002C000000}"/>
    <cellStyle name="Normal" xfId="0" builtinId="0"/>
    <cellStyle name="Normal 2" xfId="3" xr:uid="{00000000-0005-0000-0000-00002E000000}"/>
    <cellStyle name="Normal 2 2" xfId="61" xr:uid="{08A004F8-EFA7-49BB-B45C-8D518EAB9838}"/>
    <cellStyle name="Normal 3" xfId="5" xr:uid="{00000000-0005-0000-0000-00002F000000}"/>
    <cellStyle name="Normal 4" xfId="51" xr:uid="{00000000-0005-0000-0000-000030000000}"/>
    <cellStyle name="Normal 4 2" xfId="57" xr:uid="{00000000-0005-0000-0000-000031000000}"/>
    <cellStyle name="Normal 4 3" xfId="59" xr:uid="{869F1163-186A-4586-A9B7-5D24FB6EA0A4}"/>
    <cellStyle name="Normal 4 4" xfId="74" xr:uid="{7EF36E40-2D18-46EB-B96C-E5909C9A7E10}"/>
    <cellStyle name="Normal 5" xfId="52" xr:uid="{00000000-0005-0000-0000-000032000000}"/>
    <cellStyle name="Normal 6" xfId="65" xr:uid="{07F16DA4-6B9B-458B-9DE0-99DFB0E70DF0}"/>
    <cellStyle name="Normal 7" xfId="69" xr:uid="{AA76943B-9D64-4A98-AA4E-000393240B2D}"/>
    <cellStyle name="Note" xfId="24" builtinId="10" customBuiltin="1"/>
    <cellStyle name="Output" xfId="19" builtinId="21" customBuiltin="1"/>
    <cellStyle name="Percent" xfId="2" builtinId="5"/>
    <cellStyle name="Percent 1dp" xfId="62" xr:uid="{07E02CD6-DC6E-41A4-8C54-39541DF3D75E}"/>
    <cellStyle name="Percent 2" xfId="9" xr:uid="{00000000-0005-0000-0000-000036000000}"/>
    <cellStyle name="Percent 3" xfId="63" xr:uid="{21C2C8BA-112D-4805-8C43-76B2059A549F}"/>
    <cellStyle name="Percent 4" xfId="71" xr:uid="{1A5EF549-92FC-48CC-90FE-FB8F0E652F3D}"/>
    <cellStyle name="Title" xfId="10" builtinId="15" customBuiltin="1"/>
    <cellStyle name="Total" xfId="26" builtinId="25" customBuiltin="1"/>
    <cellStyle name="Warning Text" xfId="23" builtinId="11" customBuiltin="1"/>
  </cellStyles>
  <dxfs count="56">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ill>
        <patternFill patternType="none">
          <bgColor auto="1"/>
        </patternFill>
      </fill>
    </dxf>
    <dxf>
      <fill>
        <patternFill patternType="none">
          <bgColor auto="1"/>
        </patternFill>
      </fill>
    </dxf>
    <dxf>
      <fill>
        <patternFill patternType="none">
          <bgColor auto="1"/>
        </patternFill>
      </fill>
    </dxf>
    <dxf>
      <font>
        <color rgb="FF00B050"/>
      </font>
    </dxf>
    <dxf>
      <font>
        <color rgb="FF9C0006"/>
      </font>
    </dxf>
    <dxf>
      <font>
        <color rgb="FF00B050"/>
      </font>
    </dxf>
    <dxf>
      <font>
        <color rgb="FF006100"/>
      </font>
      <fill>
        <patternFill>
          <bgColor rgb="FFC6EFCE"/>
        </patternFill>
      </fill>
    </dxf>
    <dxf>
      <font>
        <color rgb="FF9C0006"/>
      </font>
      <fill>
        <patternFill>
          <bgColor rgb="FFFFC7CE"/>
        </patternFill>
      </fill>
    </dxf>
    <dxf>
      <font>
        <color rgb="FF00B050"/>
      </font>
    </dxf>
    <dxf>
      <font>
        <color rgb="FF006100"/>
      </font>
      <fill>
        <patternFill>
          <bgColor rgb="FFC6EFCE"/>
        </patternFill>
      </fill>
    </dxf>
    <dxf>
      <font>
        <color rgb="FF00B050"/>
      </font>
    </dxf>
    <dxf>
      <font>
        <color rgb="FF9C0006"/>
      </font>
    </dxf>
    <dxf>
      <font>
        <color rgb="FF006100"/>
      </font>
      <fill>
        <patternFill>
          <bgColor rgb="FFC6EFCE"/>
        </patternFill>
      </fill>
    </dxf>
    <dxf>
      <font>
        <color rgb="FF9C5700"/>
      </font>
      <fill>
        <patternFill>
          <bgColor rgb="FFFFEB9C"/>
        </patternFill>
      </fill>
    </dxf>
    <dxf>
      <font>
        <color rgb="FF006100"/>
      </font>
      <fill>
        <patternFill>
          <bgColor rgb="FFC6EFCE"/>
        </patternFill>
      </fill>
    </dxf>
    <dxf>
      <font>
        <color rgb="FF9C0006"/>
      </font>
    </dxf>
    <dxf>
      <font>
        <color theme="6"/>
      </font>
    </dxf>
    <dxf>
      <font>
        <color rgb="FF9C0006"/>
      </font>
    </dxf>
    <dxf>
      <font>
        <color theme="6"/>
      </font>
    </dxf>
    <dxf>
      <font>
        <color rgb="FF9C0006"/>
      </font>
    </dxf>
    <dxf>
      <font>
        <color rgb="FF9C0006"/>
      </font>
    </dxf>
    <dxf>
      <font>
        <color theme="6"/>
      </font>
    </dxf>
    <dxf>
      <font>
        <color rgb="FF9C0006"/>
      </font>
    </dxf>
    <dxf>
      <font>
        <color theme="6"/>
      </font>
    </dxf>
    <dxf>
      <font>
        <color rgb="FF9C0006"/>
      </font>
    </dxf>
    <dxf>
      <font>
        <color rgb="FF00B050"/>
      </font>
    </dxf>
    <dxf>
      <font>
        <color rgb="FF9C0006"/>
      </font>
    </dxf>
    <dxf>
      <font>
        <color rgb="FF00B050"/>
      </font>
    </dxf>
    <dxf>
      <font>
        <color rgb="FF9C0006"/>
      </font>
    </dxf>
    <dxf>
      <font>
        <color rgb="FF00B050"/>
      </font>
    </dxf>
    <dxf>
      <font>
        <color rgb="FF9C0006"/>
      </font>
    </dxf>
    <dxf>
      <font>
        <color rgb="FF00B050"/>
      </font>
    </dxf>
    <dxf>
      <font>
        <color rgb="FF9C0006"/>
      </font>
    </dxf>
    <dxf>
      <font>
        <color rgb="FF00B050"/>
      </font>
    </dxf>
    <dxf>
      <font>
        <color rgb="FF9C0006"/>
      </font>
    </dxf>
    <dxf>
      <font>
        <color theme="6"/>
      </font>
    </dxf>
    <dxf>
      <font>
        <color rgb="FF9C0006"/>
      </font>
    </dxf>
    <dxf>
      <font>
        <color theme="6"/>
      </font>
    </dxf>
    <dxf>
      <font>
        <color rgb="FF9C0006"/>
      </font>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0" tint="-0.34998626667073579"/>
      </font>
    </dxf>
    <dxf>
      <font>
        <color theme="0" tint="-0.34998626667073579"/>
      </font>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0A5DAF"/>
      <color rgb="FF1E447E"/>
      <color rgb="FF15C132"/>
      <color rgb="FF308043"/>
      <color rgb="FF9516A2"/>
      <color rgb="FFFFCCFF"/>
      <color rgb="FFFF99FF"/>
      <color rgb="FFBBE5F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heetMetadata" Target="metadata.xml"/><Relationship Id="rId21" Type="http://schemas.openxmlformats.org/officeDocument/2006/relationships/worksheet" Target="worksheets/sheet21.xml"/><Relationship Id="rId34" Type="http://schemas.openxmlformats.org/officeDocument/2006/relationships/externalLink" Target="externalLinks/externalLink1.xml"/><Relationship Id="rId42" Type="http://schemas.microsoft.com/office/2017/06/relationships/richStyles" Target="richData/richStyles.xml"/><Relationship Id="rId47" Type="http://schemas.openxmlformats.org/officeDocument/2006/relationships/calcChain" Target="calcChain.xml"/><Relationship Id="rId50" Type="http://schemas.openxmlformats.org/officeDocument/2006/relationships/customXml" Target="../customXml/item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tyles" Target="styles.xml"/><Relationship Id="rId40" Type="http://schemas.microsoft.com/office/2017/06/relationships/rdRichValue" Target="richData/rdrichvalue.xml"/><Relationship Id="rId45" Type="http://schemas.microsoft.com/office/2017/06/relationships/rdRichValueTypes" Target="richData/rdRichValueTyp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onnections" Target="connections.xml"/><Relationship Id="rId49"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microsoft.com/office/2017/06/relationships/rdSupportingPropertyBag" Target="richData/rdsupportingpropertybag.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theme" Target="theme/theme1.xml"/><Relationship Id="rId43" Type="http://schemas.microsoft.com/office/2017/06/relationships/rdSupportingPropertyBagStructure" Target="richData/rdsupportingpropertybagstructure.xml"/><Relationship Id="rId48" Type="http://schemas.openxmlformats.org/officeDocument/2006/relationships/customXml" Target="../customXml/item1.xml"/><Relationship Id="rId8" Type="http://schemas.openxmlformats.org/officeDocument/2006/relationships/worksheet" Target="worksheets/sheet8.xml"/><Relationship Id="rId51" Type="http://schemas.openxmlformats.org/officeDocument/2006/relationships/customXml" Target="../customXml/item4.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haredStrings" Target="sharedStrings.xml"/><Relationship Id="rId46" Type="http://schemas.microsoft.com/office/2017/10/relationships/person" Target="persons/person.xml"/><Relationship Id="rId20" Type="http://schemas.openxmlformats.org/officeDocument/2006/relationships/worksheet" Target="worksheets/sheet20.xml"/><Relationship Id="rId41" Type="http://schemas.microsoft.com/office/2017/06/relationships/rdRichValueStructure" Target="richData/rdrichvaluestructure.xml"/><Relationship Id="rId1" Type="http://schemas.openxmlformats.org/officeDocument/2006/relationships/worksheet" Target="worksheets/sheet1.xml"/><Relationship Id="rId6" Type="http://schemas.openxmlformats.org/officeDocument/2006/relationships/worksheet" Target="worksheets/sheet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5.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6.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7.xml.rels><?xml version="1.0" encoding="UTF-8" standalone="yes"?>
<Relationships xmlns="http://schemas.openxmlformats.org/package/2006/relationships"><Relationship Id="rId3" Type="http://schemas.openxmlformats.org/officeDocument/2006/relationships/chartUserShapes" Target="../drawings/drawing7.xml"/><Relationship Id="rId2" Type="http://schemas.microsoft.com/office/2011/relationships/chartColorStyle" Target="colors16.xml"/><Relationship Id="rId1" Type="http://schemas.microsoft.com/office/2011/relationships/chartStyle" Target="style16.xml"/></Relationships>
</file>

<file path=xl/charts/_rels/chart18.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9.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18.xml"/><Relationship Id="rId1" Type="http://schemas.microsoft.com/office/2011/relationships/chartStyle" Target="style18.xml"/></Relationships>
</file>

<file path=xl/charts/_rels/chart20.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1.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2.xml.rels><?xml version="1.0" encoding="UTF-8" standalone="yes"?>
<Relationships xmlns="http://schemas.openxmlformats.org/package/2006/relationships"><Relationship Id="rId3" Type="http://schemas.openxmlformats.org/officeDocument/2006/relationships/chartUserShapes" Target="../drawings/drawing9.xml"/><Relationship Id="rId2" Type="http://schemas.microsoft.com/office/2011/relationships/chartColorStyle" Target="colors21.xml"/><Relationship Id="rId1" Type="http://schemas.microsoft.com/office/2011/relationships/chartStyle" Target="style21.xml"/></Relationships>
</file>

<file path=xl/charts/_rels/chart23.xml.rels><?xml version="1.0" encoding="UTF-8" standalone="yes"?>
<Relationships xmlns="http://schemas.openxmlformats.org/package/2006/relationships"><Relationship Id="rId3" Type="http://schemas.openxmlformats.org/officeDocument/2006/relationships/chartUserShapes" Target="../drawings/drawing10.xml"/><Relationship Id="rId2" Type="http://schemas.microsoft.com/office/2011/relationships/chartColorStyle" Target="colors22.xml"/><Relationship Id="rId1" Type="http://schemas.microsoft.com/office/2011/relationships/chartStyle" Target="style22.xml"/></Relationships>
</file>

<file path=xl/charts/_rels/chart24.xml.rels><?xml version="1.0" encoding="UTF-8" standalone="yes"?>
<Relationships xmlns="http://schemas.openxmlformats.org/package/2006/relationships"><Relationship Id="rId3" Type="http://schemas.openxmlformats.org/officeDocument/2006/relationships/chartUserShapes" Target="../drawings/drawing11.xml"/><Relationship Id="rId2" Type="http://schemas.microsoft.com/office/2011/relationships/chartColorStyle" Target="colors23.xml"/><Relationship Id="rId1" Type="http://schemas.microsoft.com/office/2011/relationships/chartStyle" Target="style23.xml"/></Relationships>
</file>

<file path=xl/charts/_rels/chart25.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6.xml.rels><?xml version="1.0" encoding="UTF-8" standalone="yes"?>
<Relationships xmlns="http://schemas.openxmlformats.org/package/2006/relationships"><Relationship Id="rId3" Type="http://schemas.openxmlformats.org/officeDocument/2006/relationships/chartUserShapes" Target="../drawings/drawing13.xml"/><Relationship Id="rId2" Type="http://schemas.microsoft.com/office/2011/relationships/chartColorStyle" Target="colors25.xml"/><Relationship Id="rId1" Type="http://schemas.microsoft.com/office/2011/relationships/chartStyle" Target="style25.xml"/></Relationships>
</file>

<file path=xl/charts/_rels/chart27.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8.xml.rels><?xml version="1.0" encoding="UTF-8" standalone="yes"?>
<Relationships xmlns="http://schemas.openxmlformats.org/package/2006/relationships"><Relationship Id="rId3" Type="http://schemas.openxmlformats.org/officeDocument/2006/relationships/chartUserShapes" Target="../drawings/drawing15.xml"/><Relationship Id="rId2" Type="http://schemas.microsoft.com/office/2011/relationships/chartColorStyle" Target="colors27.xml"/><Relationship Id="rId1" Type="http://schemas.microsoft.com/office/2011/relationships/chartStyle" Target="style27.xml"/></Relationships>
</file>

<file path=xl/charts/_rels/chart29.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30.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1.xml.rels><?xml version="1.0" encoding="UTF-8" standalone="yes"?>
<Relationships xmlns="http://schemas.openxmlformats.org/package/2006/relationships"><Relationship Id="rId3" Type="http://schemas.openxmlformats.org/officeDocument/2006/relationships/chartUserShapes" Target="../drawings/drawing16.xml"/><Relationship Id="rId2" Type="http://schemas.microsoft.com/office/2011/relationships/chartColorStyle" Target="colors30.xml"/><Relationship Id="rId1" Type="http://schemas.microsoft.com/office/2011/relationships/chartStyle" Target="style30.xml"/></Relationships>
</file>

<file path=xl/charts/_rels/chart32.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3.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4.xml.rels><?xml version="1.0" encoding="UTF-8" standalone="yes"?>
<Relationships xmlns="http://schemas.openxmlformats.org/package/2006/relationships"><Relationship Id="rId3" Type="http://schemas.openxmlformats.org/officeDocument/2006/relationships/chartUserShapes" Target="../drawings/drawing17.xml"/><Relationship Id="rId2" Type="http://schemas.microsoft.com/office/2011/relationships/chartColorStyle" Target="colors35.xml"/><Relationship Id="rId1" Type="http://schemas.microsoft.com/office/2011/relationships/chartStyle" Target="style35.xml"/></Relationships>
</file>

<file path=xl/charts/_rels/chart35.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6.xml.rels><?xml version="1.0" encoding="UTF-8" standalone="yes"?>
<Relationships xmlns="http://schemas.openxmlformats.org/package/2006/relationships"><Relationship Id="rId3" Type="http://schemas.openxmlformats.org/officeDocument/2006/relationships/chartUserShapes" Target="../drawings/drawing18.xml"/><Relationship Id="rId2" Type="http://schemas.microsoft.com/office/2011/relationships/chartColorStyle" Target="colors38.xml"/><Relationship Id="rId1" Type="http://schemas.microsoft.com/office/2011/relationships/chartStyle" Target="style38.xml"/></Relationships>
</file>

<file path=xl/charts/_rels/chart37.xml.rels><?xml version="1.0" encoding="UTF-8" standalone="yes"?>
<Relationships xmlns="http://schemas.openxmlformats.org/package/2006/relationships"><Relationship Id="rId3" Type="http://schemas.openxmlformats.org/officeDocument/2006/relationships/chartUserShapes" Target="../drawings/drawing19.xml"/><Relationship Id="rId2" Type="http://schemas.microsoft.com/office/2011/relationships/chartColorStyle" Target="colors39.xml"/><Relationship Id="rId1" Type="http://schemas.microsoft.com/office/2011/relationships/chartStyle" Target="style39.xml"/></Relationships>
</file>

<file path=xl/charts/_rels/chart38.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41.xml"/><Relationship Id="rId1" Type="http://schemas.microsoft.com/office/2011/relationships/chartStyle" Target="style41.xml"/></Relationships>
</file>

<file path=xl/charts/_rels/chart39.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40.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41.xml.rels><?xml version="1.0" encoding="UTF-8" standalone="yes"?>
<Relationships xmlns="http://schemas.openxmlformats.org/package/2006/relationships"><Relationship Id="rId3" Type="http://schemas.openxmlformats.org/officeDocument/2006/relationships/chartUserShapes" Target="../drawings/drawing22.xml"/><Relationship Id="rId2" Type="http://schemas.microsoft.com/office/2011/relationships/chartColorStyle" Target="colors46.xml"/><Relationship Id="rId1" Type="http://schemas.microsoft.com/office/2011/relationships/chartStyle" Target="style46.xml"/></Relationships>
</file>

<file path=xl/charts/_rels/chart42.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43.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44.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45.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46.xml.rels><?xml version="1.0" encoding="UTF-8" standalone="yes"?>
<Relationships xmlns="http://schemas.openxmlformats.org/package/2006/relationships"><Relationship Id="rId3" Type="http://schemas.openxmlformats.org/officeDocument/2006/relationships/chartUserShapes" Target="../drawings/drawing23.xml"/><Relationship Id="rId2" Type="http://schemas.microsoft.com/office/2011/relationships/chartColorStyle" Target="colors51.xml"/><Relationship Id="rId1" Type="http://schemas.microsoft.com/office/2011/relationships/chartStyle" Target="style51.xml"/></Relationships>
</file>

<file path=xl/charts/_rels/chart47.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48.xml.rels><?xml version="1.0" encoding="UTF-8" standalone="yes"?>
<Relationships xmlns="http://schemas.openxmlformats.org/package/2006/relationships"><Relationship Id="rId2" Type="http://schemas.microsoft.com/office/2011/relationships/chartColorStyle" Target="colors53.xml"/><Relationship Id="rId1" Type="http://schemas.microsoft.com/office/2011/relationships/chartStyle" Target="style53.xml"/></Relationships>
</file>

<file path=xl/charts/_rels/chart49.xml.rels><?xml version="1.0" encoding="UTF-8" standalone="yes"?>
<Relationships xmlns="http://schemas.openxmlformats.org/package/2006/relationships"><Relationship Id="rId3" Type="http://schemas.openxmlformats.org/officeDocument/2006/relationships/chartUserShapes" Target="../drawings/drawing26.xml"/><Relationship Id="rId2" Type="http://schemas.microsoft.com/office/2011/relationships/chartColorStyle" Target="colors54.xml"/><Relationship Id="rId1" Type="http://schemas.microsoft.com/office/2011/relationships/chartStyle" Target="style54.xml"/></Relationships>
</file>

<file path=xl/charts/_rels/chart50.xml.rels><?xml version="1.0" encoding="UTF-8" standalone="yes"?>
<Relationships xmlns="http://schemas.openxmlformats.org/package/2006/relationships"><Relationship Id="rId2" Type="http://schemas.microsoft.com/office/2011/relationships/chartColorStyle" Target="colors55.xml"/><Relationship Id="rId1" Type="http://schemas.microsoft.com/office/2011/relationships/chartStyle" Target="style55.xml"/></Relationships>
</file>

<file path=xl/charts/_rels/chart51.xml.rels><?xml version="1.0" encoding="UTF-8" standalone="yes"?>
<Relationships xmlns="http://schemas.openxmlformats.org/package/2006/relationships"><Relationship Id="rId2" Type="http://schemas.microsoft.com/office/2011/relationships/chartColorStyle" Target="colors58.xml"/><Relationship Id="rId1" Type="http://schemas.microsoft.com/office/2011/relationships/chartStyle" Target="style58.xml"/></Relationships>
</file>

<file path=xl/charts/_rels/chart52.xml.rels><?xml version="1.0" encoding="UTF-8" standalone="yes"?>
<Relationships xmlns="http://schemas.openxmlformats.org/package/2006/relationships"><Relationship Id="rId2" Type="http://schemas.microsoft.com/office/2011/relationships/chartColorStyle" Target="colors59.xml"/><Relationship Id="rId1" Type="http://schemas.microsoft.com/office/2011/relationships/chartStyle" Target="style59.xml"/></Relationships>
</file>

<file path=xl/charts/_rels/chart53.xml.rels><?xml version="1.0" encoding="UTF-8" standalone="yes"?>
<Relationships xmlns="http://schemas.openxmlformats.org/package/2006/relationships"><Relationship Id="rId2" Type="http://schemas.microsoft.com/office/2011/relationships/chartColorStyle" Target="colors60.xml"/><Relationship Id="rId1" Type="http://schemas.microsoft.com/office/2011/relationships/chartStyle" Target="style60.xml"/></Relationships>
</file>

<file path=xl/charts/_rels/chart54.xml.rels><?xml version="1.0" encoding="UTF-8" standalone="yes"?>
<Relationships xmlns="http://schemas.openxmlformats.org/package/2006/relationships"><Relationship Id="rId2" Type="http://schemas.microsoft.com/office/2011/relationships/chartColorStyle" Target="colors61.xml"/><Relationship Id="rId1" Type="http://schemas.microsoft.com/office/2011/relationships/chartStyle" Target="style61.xml"/></Relationships>
</file>

<file path=xl/charts/_rels/chart55.xml.rels><?xml version="1.0" encoding="UTF-8" standalone="yes"?>
<Relationships xmlns="http://schemas.openxmlformats.org/package/2006/relationships"><Relationship Id="rId2" Type="http://schemas.microsoft.com/office/2011/relationships/chartColorStyle" Target="colors62.xml"/><Relationship Id="rId1" Type="http://schemas.microsoft.com/office/2011/relationships/chartStyle" Target="style62.xml"/></Relationships>
</file>

<file path=xl/charts/_rels/chart56.xml.rels><?xml version="1.0" encoding="UTF-8" standalone="yes"?>
<Relationships xmlns="http://schemas.openxmlformats.org/package/2006/relationships"><Relationship Id="rId2" Type="http://schemas.microsoft.com/office/2011/relationships/chartColorStyle" Target="colors63.xml"/><Relationship Id="rId1" Type="http://schemas.microsoft.com/office/2011/relationships/chartStyle" Target="style63.xml"/></Relationships>
</file>

<file path=xl/charts/_rels/chart57.xml.rels><?xml version="1.0" encoding="UTF-8" standalone="yes"?>
<Relationships xmlns="http://schemas.openxmlformats.org/package/2006/relationships"><Relationship Id="rId2" Type="http://schemas.microsoft.com/office/2011/relationships/chartColorStyle" Target="colors64.xml"/><Relationship Id="rId1" Type="http://schemas.microsoft.com/office/2011/relationships/chartStyle" Target="style64.xml"/></Relationships>
</file>

<file path=xl/charts/_rels/chart58.xml.rels><?xml version="1.0" encoding="UTF-8" standalone="yes"?>
<Relationships xmlns="http://schemas.openxmlformats.org/package/2006/relationships"><Relationship Id="rId2" Type="http://schemas.microsoft.com/office/2011/relationships/chartColorStyle" Target="colors65.xml"/><Relationship Id="rId1" Type="http://schemas.microsoft.com/office/2011/relationships/chartStyle" Target="style65.xml"/></Relationships>
</file>

<file path=xl/charts/_rels/chart59.xml.rels><?xml version="1.0" encoding="UTF-8" standalone="yes"?>
<Relationships xmlns="http://schemas.openxmlformats.org/package/2006/relationships"><Relationship Id="rId2" Type="http://schemas.microsoft.com/office/2011/relationships/chartColorStyle" Target="colors66.xml"/><Relationship Id="rId1" Type="http://schemas.microsoft.com/office/2011/relationships/chartStyle" Target="style66.xml"/></Relationships>
</file>

<file path=xl/charts/_rels/chart60.xml.rels><?xml version="1.0" encoding="UTF-8" standalone="yes"?>
<Relationships xmlns="http://schemas.openxmlformats.org/package/2006/relationships"><Relationship Id="rId2" Type="http://schemas.microsoft.com/office/2011/relationships/chartColorStyle" Target="colors67.xml"/><Relationship Id="rId1" Type="http://schemas.microsoft.com/office/2011/relationships/chartStyle" Target="style67.xml"/></Relationships>
</file>

<file path=xl/charts/_rels/chart61.xml.rels><?xml version="1.0" encoding="UTF-8" standalone="yes"?>
<Relationships xmlns="http://schemas.openxmlformats.org/package/2006/relationships"><Relationship Id="rId2" Type="http://schemas.microsoft.com/office/2011/relationships/chartColorStyle" Target="colors68.xml"/><Relationship Id="rId1" Type="http://schemas.microsoft.com/office/2011/relationships/chartStyle" Target="style68.xml"/></Relationships>
</file>

<file path=xl/charts/_rels/chart62.xml.rels><?xml version="1.0" encoding="UTF-8" standalone="yes"?>
<Relationships xmlns="http://schemas.openxmlformats.org/package/2006/relationships"><Relationship Id="rId2" Type="http://schemas.microsoft.com/office/2011/relationships/chartColorStyle" Target="colors69.xml"/><Relationship Id="rId1" Type="http://schemas.microsoft.com/office/2011/relationships/chartStyle" Target="style69.xml"/></Relationships>
</file>

<file path=xl/charts/_rels/chart63.xml.rels><?xml version="1.0" encoding="UTF-8" standalone="yes"?>
<Relationships xmlns="http://schemas.openxmlformats.org/package/2006/relationships"><Relationship Id="rId2" Type="http://schemas.microsoft.com/office/2011/relationships/chartColorStyle" Target="colors70.xml"/><Relationship Id="rId1" Type="http://schemas.microsoft.com/office/2011/relationships/chartStyle" Target="style70.xml"/></Relationships>
</file>

<file path=xl/charts/_rels/chart64.xml.rels><?xml version="1.0" encoding="UTF-8" standalone="yes"?>
<Relationships xmlns="http://schemas.openxmlformats.org/package/2006/relationships"><Relationship Id="rId2" Type="http://schemas.microsoft.com/office/2011/relationships/chartColorStyle" Target="colors71.xml"/><Relationship Id="rId1" Type="http://schemas.microsoft.com/office/2011/relationships/chartStyle" Target="style71.xml"/></Relationships>
</file>

<file path=xl/charts/_rels/chart65.xml.rels><?xml version="1.0" encoding="UTF-8" standalone="yes"?>
<Relationships xmlns="http://schemas.openxmlformats.org/package/2006/relationships"><Relationship Id="rId2" Type="http://schemas.microsoft.com/office/2011/relationships/chartColorStyle" Target="colors72.xml"/><Relationship Id="rId1" Type="http://schemas.microsoft.com/office/2011/relationships/chartStyle" Target="style72.xml"/></Relationships>
</file>

<file path=xl/charts/_rels/chart66.xml.rels><?xml version="1.0" encoding="UTF-8" standalone="yes"?>
<Relationships xmlns="http://schemas.openxmlformats.org/package/2006/relationships"><Relationship Id="rId3" Type="http://schemas.openxmlformats.org/officeDocument/2006/relationships/chartUserShapes" Target="../drawings/drawing35.xml"/><Relationship Id="rId2" Type="http://schemas.microsoft.com/office/2011/relationships/chartColorStyle" Target="colors73.xml"/><Relationship Id="rId1" Type="http://schemas.microsoft.com/office/2011/relationships/chartStyle" Target="style73.xml"/></Relationships>
</file>

<file path=xl/charts/_rels/chart67.xml.rels><?xml version="1.0" encoding="UTF-8" standalone="yes"?>
<Relationships xmlns="http://schemas.openxmlformats.org/package/2006/relationships"><Relationship Id="rId2" Type="http://schemas.microsoft.com/office/2011/relationships/chartColorStyle" Target="colors74.xml"/><Relationship Id="rId1" Type="http://schemas.microsoft.com/office/2011/relationships/chartStyle" Target="style74.xml"/></Relationships>
</file>

<file path=xl/charts/_rels/chart68.xml.rels><?xml version="1.0" encoding="UTF-8" standalone="yes"?>
<Relationships xmlns="http://schemas.openxmlformats.org/package/2006/relationships"><Relationship Id="rId3" Type="http://schemas.openxmlformats.org/officeDocument/2006/relationships/chartUserShapes" Target="../drawings/drawing37.xml"/><Relationship Id="rId2" Type="http://schemas.microsoft.com/office/2011/relationships/chartColorStyle" Target="colors75.xml"/><Relationship Id="rId1" Type="http://schemas.microsoft.com/office/2011/relationships/chartStyle" Target="style75.xml"/></Relationships>
</file>

<file path=xl/charts/_rels/chart69.xml.rels><?xml version="1.0" encoding="UTF-8" standalone="yes"?>
<Relationships xmlns="http://schemas.openxmlformats.org/package/2006/relationships"><Relationship Id="rId3" Type="http://schemas.openxmlformats.org/officeDocument/2006/relationships/chartUserShapes" Target="../drawings/drawing38.xml"/><Relationship Id="rId2" Type="http://schemas.microsoft.com/office/2011/relationships/chartColorStyle" Target="colors77.xml"/><Relationship Id="rId1" Type="http://schemas.microsoft.com/office/2011/relationships/chartStyle" Target="style77.xml"/></Relationships>
</file>

<file path=xl/charts/_rels/chart70.xml.rels><?xml version="1.0" encoding="UTF-8" standalone="yes"?>
<Relationships xmlns="http://schemas.openxmlformats.org/package/2006/relationships"><Relationship Id="rId2" Type="http://schemas.microsoft.com/office/2011/relationships/chartColorStyle" Target="colors78.xml"/><Relationship Id="rId1" Type="http://schemas.microsoft.com/office/2011/relationships/chartStyle" Target="style78.xml"/></Relationships>
</file>

<file path=xl/charts/_rels/chart71.xml.rels><?xml version="1.0" encoding="UTF-8" standalone="yes"?>
<Relationships xmlns="http://schemas.openxmlformats.org/package/2006/relationships"><Relationship Id="rId3" Type="http://schemas.openxmlformats.org/officeDocument/2006/relationships/chartUserShapes" Target="../drawings/drawing39.xml"/><Relationship Id="rId2" Type="http://schemas.microsoft.com/office/2011/relationships/chartColorStyle" Target="colors79.xml"/><Relationship Id="rId1" Type="http://schemas.microsoft.com/office/2011/relationships/chartStyle" Target="style79.xml"/></Relationships>
</file>

<file path=xl/charts/_rels/chart72.xml.rels><?xml version="1.0" encoding="UTF-8" standalone="yes"?>
<Relationships xmlns="http://schemas.openxmlformats.org/package/2006/relationships"><Relationship Id="rId2" Type="http://schemas.microsoft.com/office/2011/relationships/chartColorStyle" Target="colors80.xml"/><Relationship Id="rId1" Type="http://schemas.microsoft.com/office/2011/relationships/chartStyle" Target="style80.xml"/></Relationships>
</file>

<file path=xl/charts/_rels/chart73.xml.rels><?xml version="1.0" encoding="UTF-8" standalone="yes"?>
<Relationships xmlns="http://schemas.openxmlformats.org/package/2006/relationships"><Relationship Id="rId3" Type="http://schemas.openxmlformats.org/officeDocument/2006/relationships/chartUserShapes" Target="../drawings/drawing40.xml"/><Relationship Id="rId2" Type="http://schemas.microsoft.com/office/2011/relationships/chartColorStyle" Target="colors82.xml"/><Relationship Id="rId1" Type="http://schemas.microsoft.com/office/2011/relationships/chartStyle" Target="style82.xml"/></Relationships>
</file>

<file path=xl/charts/_rels/chart74.xml.rels><?xml version="1.0" encoding="UTF-8" standalone="yes"?>
<Relationships xmlns="http://schemas.openxmlformats.org/package/2006/relationships"><Relationship Id="rId3" Type="http://schemas.openxmlformats.org/officeDocument/2006/relationships/chartUserShapes" Target="../drawings/drawing41.xml"/><Relationship Id="rId2" Type="http://schemas.microsoft.com/office/2011/relationships/chartColorStyle" Target="colors83.xml"/><Relationship Id="rId1" Type="http://schemas.microsoft.com/office/2011/relationships/chartStyle" Target="style83.xml"/></Relationships>
</file>

<file path=xl/charts/_rels/chart75.xml.rels><?xml version="1.0" encoding="UTF-8" standalone="yes"?>
<Relationships xmlns="http://schemas.openxmlformats.org/package/2006/relationships"><Relationship Id="rId3" Type="http://schemas.openxmlformats.org/officeDocument/2006/relationships/chartUserShapes" Target="../drawings/drawing42.xml"/><Relationship Id="rId2" Type="http://schemas.microsoft.com/office/2011/relationships/chartColorStyle" Target="colors84.xml"/><Relationship Id="rId1" Type="http://schemas.microsoft.com/office/2011/relationships/chartStyle" Target="style84.xml"/></Relationships>
</file>

<file path=xl/charts/_rels/chart76.xml.rels><?xml version="1.0" encoding="UTF-8" standalone="yes"?>
<Relationships xmlns="http://schemas.openxmlformats.org/package/2006/relationships"><Relationship Id="rId2" Type="http://schemas.microsoft.com/office/2011/relationships/chartColorStyle" Target="colors85.xml"/><Relationship Id="rId1" Type="http://schemas.microsoft.com/office/2011/relationships/chartStyle" Target="style85.xml"/></Relationships>
</file>

<file path=xl/charts/_rels/chartEx1.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Ex2.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Ex3.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Ex4.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Ex5.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Ex6.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Ex7.xml.rels><?xml version="1.0" encoding="UTF-8" standalone="yes"?>
<Relationships xmlns="http://schemas.openxmlformats.org/package/2006/relationships"><Relationship Id="rId2" Type="http://schemas.microsoft.com/office/2011/relationships/chartColorStyle" Target="colors56.xml"/><Relationship Id="rId1" Type="http://schemas.microsoft.com/office/2011/relationships/chartStyle" Target="style56.xml"/></Relationships>
</file>

<file path=xl/charts/_rels/chartEx8.xml.rels><?xml version="1.0" encoding="UTF-8" standalone="yes"?>
<Relationships xmlns="http://schemas.openxmlformats.org/package/2006/relationships"><Relationship Id="rId2" Type="http://schemas.microsoft.com/office/2011/relationships/chartColorStyle" Target="colors57.xml"/><Relationship Id="rId1" Type="http://schemas.microsoft.com/office/2011/relationships/chartStyle" Target="style57.xml"/></Relationships>
</file>

<file path=xl/charts/_rels/chartEx9.xml.rels><?xml version="1.0" encoding="UTF-8" standalone="yes"?>
<Relationships xmlns="http://schemas.openxmlformats.org/package/2006/relationships"><Relationship Id="rId2" Type="http://schemas.microsoft.com/office/2011/relationships/chartColorStyle" Target="colors76.xml"/><Relationship Id="rId1" Type="http://schemas.microsoft.com/office/2011/relationships/chartStyle" Target="style76.xml"/></Relationships>
</file>

<file path=xl/charts/_rels/chartEx10.xml.rels><?xml version="1.0" encoding="UTF-8" standalone="yes"?>
<Relationships xmlns="http://schemas.openxmlformats.org/package/2006/relationships"><Relationship Id="rId2" Type="http://schemas.microsoft.com/office/2011/relationships/chartColorStyle" Target="colors81.xml"/><Relationship Id="rId1" Type="http://schemas.microsoft.com/office/2011/relationships/chartStyle" Target="style8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SLCH bhx</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vi-VN"/>
        </a:p>
      </c:txPr>
    </c:title>
    <c:autoTitleDeleted val="0"/>
    <c:plotArea>
      <c:layout/>
      <c:lineChart>
        <c:grouping val="standard"/>
        <c:varyColors val="0"/>
        <c:ser>
          <c:idx val="0"/>
          <c:order val="0"/>
          <c:spPr>
            <a:ln w="28575" cap="rnd">
              <a:solidFill>
                <a:schemeClr val="accent1"/>
              </a:solidFill>
              <a:round/>
            </a:ln>
            <a:effectLst/>
          </c:spPr>
          <c:marker>
            <c:symbol val="none"/>
          </c:marker>
          <c:cat>
            <c:numRef>
              <c:f>Rev_Month!$B$109:$BS$109</c:f>
              <c:numCache>
                <c:formatCode>mmm\-yy</c:formatCode>
                <c:ptCount val="10"/>
                <c:pt idx="0">
                  <c:v>44927</c:v>
                </c:pt>
                <c:pt idx="1">
                  <c:v>44958</c:v>
                </c:pt>
                <c:pt idx="2">
                  <c:v>44986</c:v>
                </c:pt>
                <c:pt idx="3">
                  <c:v>45017</c:v>
                </c:pt>
                <c:pt idx="4">
                  <c:v>45047</c:v>
                </c:pt>
                <c:pt idx="5">
                  <c:v>45078</c:v>
                </c:pt>
                <c:pt idx="6">
                  <c:v>45108</c:v>
                </c:pt>
                <c:pt idx="7">
                  <c:v>45139</c:v>
                </c:pt>
                <c:pt idx="8">
                  <c:v>45170</c:v>
                </c:pt>
                <c:pt idx="9">
                  <c:v>45200</c:v>
                </c:pt>
              </c:numCache>
            </c:numRef>
          </c:cat>
          <c:val>
            <c:numRef>
              <c:f>Rev_Month!$B$110:$BS$110</c:f>
              <c:numCache>
                <c:formatCode>_(* #,##0_);_(* \(#,##0\);_(* "-"??_);_(@_)</c:formatCode>
                <c:ptCount val="10"/>
                <c:pt idx="0">
                  <c:v>1729</c:v>
                </c:pt>
                <c:pt idx="1">
                  <c:v>1729</c:v>
                </c:pt>
                <c:pt idx="2">
                  <c:v>1710</c:v>
                </c:pt>
                <c:pt idx="3">
                  <c:v>1708</c:v>
                </c:pt>
                <c:pt idx="4">
                  <c:v>1704</c:v>
                </c:pt>
                <c:pt idx="5">
                  <c:v>1706</c:v>
                </c:pt>
                <c:pt idx="6">
                  <c:v>1706</c:v>
                </c:pt>
                <c:pt idx="7">
                  <c:v>1706</c:v>
                </c:pt>
                <c:pt idx="8">
                  <c:v>1706</c:v>
                </c:pt>
                <c:pt idx="9">
                  <c:v>1706</c:v>
                </c:pt>
              </c:numCache>
            </c:numRef>
          </c:val>
          <c:smooth val="0"/>
          <c:extLst>
            <c:ext xmlns:c16="http://schemas.microsoft.com/office/drawing/2014/chart" uri="{C3380CC4-5D6E-409C-BE32-E72D297353CC}">
              <c16:uniqueId val="{00000000-4E91-4EBA-9604-3D094BBC00AE}"/>
            </c:ext>
          </c:extLst>
        </c:ser>
        <c:dLbls>
          <c:showLegendKey val="0"/>
          <c:showVal val="0"/>
          <c:showCatName val="0"/>
          <c:showSerName val="0"/>
          <c:showPercent val="0"/>
          <c:showBubbleSize val="0"/>
        </c:dLbls>
        <c:smooth val="0"/>
        <c:axId val="1125508088"/>
        <c:axId val="1125510608"/>
      </c:lineChart>
      <c:dateAx>
        <c:axId val="1125508088"/>
        <c:scaling>
          <c:orientation val="minMax"/>
        </c:scaling>
        <c:delete val="0"/>
        <c:axPos val="b"/>
        <c:numFmt formatCode="mmm\-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vi-VN"/>
          </a:p>
        </c:txPr>
        <c:crossAx val="1125510608"/>
        <c:crosses val="autoZero"/>
        <c:auto val="1"/>
        <c:lblOffset val="100"/>
        <c:baseTimeUnit val="months"/>
      </c:dateAx>
      <c:valAx>
        <c:axId val="1125510608"/>
        <c:scaling>
          <c:orientation val="minMax"/>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vi-VN"/>
          </a:p>
        </c:txPr>
        <c:crossAx val="1125508088"/>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vi-VN"/>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Appendix!$AS$1</c:f>
              <c:strCache>
                <c:ptCount val="1"/>
                <c:pt idx="0">
                  <c:v>PNJ</c:v>
                </c:pt>
              </c:strCache>
            </c:strRef>
          </c:tx>
          <c:spPr>
            <a:ln w="28575" cap="rnd">
              <a:solidFill>
                <a:srgbClr val="002060"/>
              </a:solidFill>
              <a:round/>
            </a:ln>
            <a:effectLst/>
          </c:spPr>
          <c:marker>
            <c:symbol val="none"/>
          </c:marker>
          <c:cat>
            <c:numRef>
              <c:f>Appendix!$AR$2:$AR$259</c:f>
              <c:numCache>
                <c:formatCode>m/d/yy</c:formatCode>
                <c:ptCount val="258"/>
                <c:pt idx="0">
                  <c:v>44687</c:v>
                </c:pt>
                <c:pt idx="1">
                  <c:v>44686</c:v>
                </c:pt>
                <c:pt idx="2">
                  <c:v>44685</c:v>
                </c:pt>
                <c:pt idx="3">
                  <c:v>44680</c:v>
                </c:pt>
                <c:pt idx="4">
                  <c:v>44679</c:v>
                </c:pt>
                <c:pt idx="5">
                  <c:v>44678</c:v>
                </c:pt>
                <c:pt idx="6">
                  <c:v>44677</c:v>
                </c:pt>
                <c:pt idx="7">
                  <c:v>44676</c:v>
                </c:pt>
                <c:pt idx="8">
                  <c:v>44673</c:v>
                </c:pt>
                <c:pt idx="9">
                  <c:v>44673</c:v>
                </c:pt>
                <c:pt idx="10">
                  <c:v>44672</c:v>
                </c:pt>
                <c:pt idx="11">
                  <c:v>44671</c:v>
                </c:pt>
                <c:pt idx="12">
                  <c:v>44670</c:v>
                </c:pt>
                <c:pt idx="13">
                  <c:v>44669</c:v>
                </c:pt>
                <c:pt idx="14">
                  <c:v>44666</c:v>
                </c:pt>
                <c:pt idx="15">
                  <c:v>44665</c:v>
                </c:pt>
                <c:pt idx="16">
                  <c:v>44664</c:v>
                </c:pt>
                <c:pt idx="17">
                  <c:v>44663</c:v>
                </c:pt>
                <c:pt idx="18">
                  <c:v>44659</c:v>
                </c:pt>
                <c:pt idx="19">
                  <c:v>44658</c:v>
                </c:pt>
                <c:pt idx="20">
                  <c:v>44657</c:v>
                </c:pt>
                <c:pt idx="21">
                  <c:v>44656</c:v>
                </c:pt>
                <c:pt idx="22">
                  <c:v>44655</c:v>
                </c:pt>
                <c:pt idx="23">
                  <c:v>44652</c:v>
                </c:pt>
                <c:pt idx="24">
                  <c:v>44651</c:v>
                </c:pt>
                <c:pt idx="25">
                  <c:v>44650</c:v>
                </c:pt>
                <c:pt idx="26">
                  <c:v>44649</c:v>
                </c:pt>
                <c:pt idx="27">
                  <c:v>44648</c:v>
                </c:pt>
                <c:pt idx="28">
                  <c:v>44645</c:v>
                </c:pt>
                <c:pt idx="29">
                  <c:v>44644</c:v>
                </c:pt>
                <c:pt idx="30">
                  <c:v>44643</c:v>
                </c:pt>
                <c:pt idx="31">
                  <c:v>44642</c:v>
                </c:pt>
                <c:pt idx="32">
                  <c:v>44641</c:v>
                </c:pt>
                <c:pt idx="33">
                  <c:v>44638</c:v>
                </c:pt>
                <c:pt idx="34">
                  <c:v>44637</c:v>
                </c:pt>
                <c:pt idx="35">
                  <c:v>44636</c:v>
                </c:pt>
                <c:pt idx="36">
                  <c:v>44635</c:v>
                </c:pt>
                <c:pt idx="37">
                  <c:v>44634</c:v>
                </c:pt>
                <c:pt idx="38">
                  <c:v>44631</c:v>
                </c:pt>
                <c:pt idx="39">
                  <c:v>44630</c:v>
                </c:pt>
                <c:pt idx="40">
                  <c:v>44629</c:v>
                </c:pt>
                <c:pt idx="41">
                  <c:v>44628</c:v>
                </c:pt>
                <c:pt idx="42">
                  <c:v>44627</c:v>
                </c:pt>
                <c:pt idx="43">
                  <c:v>44624</c:v>
                </c:pt>
                <c:pt idx="44">
                  <c:v>44623</c:v>
                </c:pt>
                <c:pt idx="45">
                  <c:v>44622</c:v>
                </c:pt>
                <c:pt idx="46">
                  <c:v>44621</c:v>
                </c:pt>
                <c:pt idx="47">
                  <c:v>44620</c:v>
                </c:pt>
                <c:pt idx="48">
                  <c:v>44617</c:v>
                </c:pt>
                <c:pt idx="49">
                  <c:v>44616</c:v>
                </c:pt>
                <c:pt idx="50">
                  <c:v>44615</c:v>
                </c:pt>
                <c:pt idx="51">
                  <c:v>44614</c:v>
                </c:pt>
                <c:pt idx="52">
                  <c:v>44613</c:v>
                </c:pt>
                <c:pt idx="53">
                  <c:v>44610</c:v>
                </c:pt>
                <c:pt idx="54">
                  <c:v>44609</c:v>
                </c:pt>
                <c:pt idx="55">
                  <c:v>44608</c:v>
                </c:pt>
                <c:pt idx="56">
                  <c:v>44607</c:v>
                </c:pt>
                <c:pt idx="57">
                  <c:v>44606</c:v>
                </c:pt>
                <c:pt idx="58">
                  <c:v>44603</c:v>
                </c:pt>
                <c:pt idx="59">
                  <c:v>44602</c:v>
                </c:pt>
                <c:pt idx="60">
                  <c:v>44601</c:v>
                </c:pt>
                <c:pt idx="61">
                  <c:v>44600</c:v>
                </c:pt>
                <c:pt idx="62">
                  <c:v>44599</c:v>
                </c:pt>
                <c:pt idx="63">
                  <c:v>44589</c:v>
                </c:pt>
                <c:pt idx="64">
                  <c:v>44588</c:v>
                </c:pt>
                <c:pt idx="65">
                  <c:v>44587</c:v>
                </c:pt>
                <c:pt idx="66">
                  <c:v>44586</c:v>
                </c:pt>
                <c:pt idx="67">
                  <c:v>44585</c:v>
                </c:pt>
                <c:pt idx="68">
                  <c:v>44582</c:v>
                </c:pt>
                <c:pt idx="69">
                  <c:v>44581</c:v>
                </c:pt>
                <c:pt idx="70">
                  <c:v>44580</c:v>
                </c:pt>
                <c:pt idx="71">
                  <c:v>44579</c:v>
                </c:pt>
                <c:pt idx="72">
                  <c:v>44578</c:v>
                </c:pt>
                <c:pt idx="73">
                  <c:v>44575</c:v>
                </c:pt>
                <c:pt idx="74">
                  <c:v>44574</c:v>
                </c:pt>
                <c:pt idx="75">
                  <c:v>44573</c:v>
                </c:pt>
                <c:pt idx="76">
                  <c:v>44572</c:v>
                </c:pt>
                <c:pt idx="77">
                  <c:v>44571</c:v>
                </c:pt>
                <c:pt idx="78">
                  <c:v>44568</c:v>
                </c:pt>
                <c:pt idx="79">
                  <c:v>44567</c:v>
                </c:pt>
                <c:pt idx="80">
                  <c:v>44566</c:v>
                </c:pt>
                <c:pt idx="81">
                  <c:v>44565</c:v>
                </c:pt>
                <c:pt idx="82">
                  <c:v>44561</c:v>
                </c:pt>
                <c:pt idx="83">
                  <c:v>44560</c:v>
                </c:pt>
                <c:pt idx="84">
                  <c:v>44559</c:v>
                </c:pt>
                <c:pt idx="85">
                  <c:v>44558</c:v>
                </c:pt>
                <c:pt idx="86">
                  <c:v>44557</c:v>
                </c:pt>
                <c:pt idx="87">
                  <c:v>44554</c:v>
                </c:pt>
                <c:pt idx="88">
                  <c:v>44553</c:v>
                </c:pt>
                <c:pt idx="89">
                  <c:v>44552</c:v>
                </c:pt>
                <c:pt idx="90">
                  <c:v>44551</c:v>
                </c:pt>
                <c:pt idx="91">
                  <c:v>44550</c:v>
                </c:pt>
                <c:pt idx="92">
                  <c:v>44547</c:v>
                </c:pt>
                <c:pt idx="93">
                  <c:v>44546</c:v>
                </c:pt>
                <c:pt idx="94">
                  <c:v>44545</c:v>
                </c:pt>
                <c:pt idx="95">
                  <c:v>44544</c:v>
                </c:pt>
                <c:pt idx="96">
                  <c:v>44543</c:v>
                </c:pt>
                <c:pt idx="97">
                  <c:v>44540</c:v>
                </c:pt>
                <c:pt idx="98">
                  <c:v>44539</c:v>
                </c:pt>
                <c:pt idx="99">
                  <c:v>44538</c:v>
                </c:pt>
                <c:pt idx="100">
                  <c:v>44537</c:v>
                </c:pt>
                <c:pt idx="101">
                  <c:v>44536</c:v>
                </c:pt>
                <c:pt idx="102">
                  <c:v>44533</c:v>
                </c:pt>
                <c:pt idx="103">
                  <c:v>44532</c:v>
                </c:pt>
                <c:pt idx="104">
                  <c:v>44531</c:v>
                </c:pt>
                <c:pt idx="105">
                  <c:v>44530</c:v>
                </c:pt>
                <c:pt idx="106">
                  <c:v>44529</c:v>
                </c:pt>
                <c:pt idx="107">
                  <c:v>44526</c:v>
                </c:pt>
                <c:pt idx="108">
                  <c:v>44525</c:v>
                </c:pt>
                <c:pt idx="109">
                  <c:v>44524</c:v>
                </c:pt>
                <c:pt idx="110">
                  <c:v>44523</c:v>
                </c:pt>
                <c:pt idx="111">
                  <c:v>44522</c:v>
                </c:pt>
                <c:pt idx="112">
                  <c:v>44519</c:v>
                </c:pt>
                <c:pt idx="113">
                  <c:v>44518</c:v>
                </c:pt>
                <c:pt idx="114">
                  <c:v>44517</c:v>
                </c:pt>
                <c:pt idx="115">
                  <c:v>44516</c:v>
                </c:pt>
                <c:pt idx="116">
                  <c:v>44515</c:v>
                </c:pt>
                <c:pt idx="117">
                  <c:v>44512</c:v>
                </c:pt>
                <c:pt idx="118">
                  <c:v>44511</c:v>
                </c:pt>
                <c:pt idx="119">
                  <c:v>44510</c:v>
                </c:pt>
                <c:pt idx="120">
                  <c:v>44509</c:v>
                </c:pt>
                <c:pt idx="121">
                  <c:v>44508</c:v>
                </c:pt>
                <c:pt idx="122">
                  <c:v>44505</c:v>
                </c:pt>
                <c:pt idx="123">
                  <c:v>44504</c:v>
                </c:pt>
                <c:pt idx="124">
                  <c:v>44503</c:v>
                </c:pt>
                <c:pt idx="125">
                  <c:v>44502</c:v>
                </c:pt>
                <c:pt idx="126">
                  <c:v>44501</c:v>
                </c:pt>
                <c:pt idx="127">
                  <c:v>44498</c:v>
                </c:pt>
                <c:pt idx="128">
                  <c:v>44497</c:v>
                </c:pt>
                <c:pt idx="129">
                  <c:v>44496</c:v>
                </c:pt>
                <c:pt idx="130">
                  <c:v>44495</c:v>
                </c:pt>
                <c:pt idx="131">
                  <c:v>44494</c:v>
                </c:pt>
                <c:pt idx="132">
                  <c:v>44491</c:v>
                </c:pt>
                <c:pt idx="133">
                  <c:v>44490</c:v>
                </c:pt>
                <c:pt idx="134">
                  <c:v>44489</c:v>
                </c:pt>
                <c:pt idx="135">
                  <c:v>44488</c:v>
                </c:pt>
                <c:pt idx="136">
                  <c:v>44487</c:v>
                </c:pt>
                <c:pt idx="137">
                  <c:v>44484</c:v>
                </c:pt>
                <c:pt idx="138">
                  <c:v>44483</c:v>
                </c:pt>
                <c:pt idx="139">
                  <c:v>44482</c:v>
                </c:pt>
                <c:pt idx="140">
                  <c:v>44481</c:v>
                </c:pt>
                <c:pt idx="141">
                  <c:v>44480</c:v>
                </c:pt>
                <c:pt idx="142">
                  <c:v>44477</c:v>
                </c:pt>
                <c:pt idx="143">
                  <c:v>44476</c:v>
                </c:pt>
                <c:pt idx="144">
                  <c:v>44475</c:v>
                </c:pt>
                <c:pt idx="145">
                  <c:v>44474</c:v>
                </c:pt>
                <c:pt idx="146">
                  <c:v>44473</c:v>
                </c:pt>
                <c:pt idx="147">
                  <c:v>44470</c:v>
                </c:pt>
                <c:pt idx="148">
                  <c:v>44469</c:v>
                </c:pt>
                <c:pt idx="149">
                  <c:v>44468</c:v>
                </c:pt>
                <c:pt idx="150">
                  <c:v>44467</c:v>
                </c:pt>
                <c:pt idx="151">
                  <c:v>44466</c:v>
                </c:pt>
                <c:pt idx="152">
                  <c:v>44463</c:v>
                </c:pt>
                <c:pt idx="153">
                  <c:v>44462</c:v>
                </c:pt>
                <c:pt idx="154">
                  <c:v>44461</c:v>
                </c:pt>
                <c:pt idx="155">
                  <c:v>44460</c:v>
                </c:pt>
                <c:pt idx="156">
                  <c:v>44459</c:v>
                </c:pt>
                <c:pt idx="157">
                  <c:v>44456</c:v>
                </c:pt>
                <c:pt idx="158">
                  <c:v>44455</c:v>
                </c:pt>
                <c:pt idx="159">
                  <c:v>44454</c:v>
                </c:pt>
                <c:pt idx="160">
                  <c:v>44453</c:v>
                </c:pt>
                <c:pt idx="161">
                  <c:v>44452</c:v>
                </c:pt>
                <c:pt idx="162">
                  <c:v>44449</c:v>
                </c:pt>
                <c:pt idx="163">
                  <c:v>44448</c:v>
                </c:pt>
                <c:pt idx="164">
                  <c:v>44447</c:v>
                </c:pt>
                <c:pt idx="165">
                  <c:v>44446</c:v>
                </c:pt>
                <c:pt idx="166">
                  <c:v>44445</c:v>
                </c:pt>
                <c:pt idx="167">
                  <c:v>44440</c:v>
                </c:pt>
                <c:pt idx="168">
                  <c:v>44439</c:v>
                </c:pt>
                <c:pt idx="169">
                  <c:v>44438</c:v>
                </c:pt>
                <c:pt idx="170">
                  <c:v>44435</c:v>
                </c:pt>
                <c:pt idx="171">
                  <c:v>44434</c:v>
                </c:pt>
                <c:pt idx="172">
                  <c:v>44433</c:v>
                </c:pt>
                <c:pt idx="173">
                  <c:v>44432</c:v>
                </c:pt>
                <c:pt idx="174">
                  <c:v>44431</c:v>
                </c:pt>
                <c:pt idx="175">
                  <c:v>44428</c:v>
                </c:pt>
                <c:pt idx="176">
                  <c:v>44427</c:v>
                </c:pt>
                <c:pt idx="177">
                  <c:v>44426</c:v>
                </c:pt>
                <c:pt idx="178">
                  <c:v>44425</c:v>
                </c:pt>
                <c:pt idx="179">
                  <c:v>44424</c:v>
                </c:pt>
                <c:pt idx="180">
                  <c:v>44421</c:v>
                </c:pt>
                <c:pt idx="181">
                  <c:v>44420</c:v>
                </c:pt>
                <c:pt idx="182">
                  <c:v>44419</c:v>
                </c:pt>
                <c:pt idx="183">
                  <c:v>44418</c:v>
                </c:pt>
                <c:pt idx="184">
                  <c:v>44417</c:v>
                </c:pt>
                <c:pt idx="185">
                  <c:v>44414</c:v>
                </c:pt>
                <c:pt idx="186">
                  <c:v>44413</c:v>
                </c:pt>
                <c:pt idx="187">
                  <c:v>44412</c:v>
                </c:pt>
                <c:pt idx="188">
                  <c:v>44411</c:v>
                </c:pt>
                <c:pt idx="189">
                  <c:v>44410</c:v>
                </c:pt>
                <c:pt idx="190">
                  <c:v>44407</c:v>
                </c:pt>
                <c:pt idx="191">
                  <c:v>44406</c:v>
                </c:pt>
                <c:pt idx="192">
                  <c:v>44405</c:v>
                </c:pt>
                <c:pt idx="193">
                  <c:v>44404</c:v>
                </c:pt>
                <c:pt idx="194">
                  <c:v>44403</c:v>
                </c:pt>
                <c:pt idx="195">
                  <c:v>44400</c:v>
                </c:pt>
                <c:pt idx="196">
                  <c:v>44399</c:v>
                </c:pt>
                <c:pt idx="197">
                  <c:v>44398</c:v>
                </c:pt>
                <c:pt idx="198">
                  <c:v>44397</c:v>
                </c:pt>
                <c:pt idx="199">
                  <c:v>44396</c:v>
                </c:pt>
                <c:pt idx="200">
                  <c:v>44393</c:v>
                </c:pt>
                <c:pt idx="201">
                  <c:v>44392</c:v>
                </c:pt>
                <c:pt idx="202">
                  <c:v>44391</c:v>
                </c:pt>
                <c:pt idx="203">
                  <c:v>44390</c:v>
                </c:pt>
                <c:pt idx="204">
                  <c:v>44389</c:v>
                </c:pt>
                <c:pt idx="205">
                  <c:v>44386</c:v>
                </c:pt>
                <c:pt idx="206">
                  <c:v>44385</c:v>
                </c:pt>
                <c:pt idx="207">
                  <c:v>44384</c:v>
                </c:pt>
                <c:pt idx="208">
                  <c:v>44383</c:v>
                </c:pt>
                <c:pt idx="209">
                  <c:v>44382</c:v>
                </c:pt>
                <c:pt idx="210">
                  <c:v>44379</c:v>
                </c:pt>
                <c:pt idx="211">
                  <c:v>44378</c:v>
                </c:pt>
                <c:pt idx="212">
                  <c:v>44377</c:v>
                </c:pt>
                <c:pt idx="213">
                  <c:v>44376</c:v>
                </c:pt>
                <c:pt idx="214">
                  <c:v>44375</c:v>
                </c:pt>
                <c:pt idx="215">
                  <c:v>44372</c:v>
                </c:pt>
                <c:pt idx="216">
                  <c:v>44371</c:v>
                </c:pt>
                <c:pt idx="217">
                  <c:v>44370</c:v>
                </c:pt>
                <c:pt idx="218">
                  <c:v>44369</c:v>
                </c:pt>
                <c:pt idx="219">
                  <c:v>44368</c:v>
                </c:pt>
                <c:pt idx="220">
                  <c:v>44365</c:v>
                </c:pt>
                <c:pt idx="221">
                  <c:v>44364</c:v>
                </c:pt>
                <c:pt idx="222">
                  <c:v>44363</c:v>
                </c:pt>
                <c:pt idx="223">
                  <c:v>44362</c:v>
                </c:pt>
                <c:pt idx="224">
                  <c:v>44361</c:v>
                </c:pt>
                <c:pt idx="225">
                  <c:v>44358</c:v>
                </c:pt>
                <c:pt idx="226">
                  <c:v>44357</c:v>
                </c:pt>
                <c:pt idx="227">
                  <c:v>44356</c:v>
                </c:pt>
                <c:pt idx="228">
                  <c:v>44355</c:v>
                </c:pt>
                <c:pt idx="229">
                  <c:v>44354</c:v>
                </c:pt>
                <c:pt idx="230">
                  <c:v>44351</c:v>
                </c:pt>
                <c:pt idx="231">
                  <c:v>44350</c:v>
                </c:pt>
                <c:pt idx="232">
                  <c:v>44349</c:v>
                </c:pt>
                <c:pt idx="233">
                  <c:v>44348</c:v>
                </c:pt>
                <c:pt idx="234">
                  <c:v>44347</c:v>
                </c:pt>
                <c:pt idx="235">
                  <c:v>44344</c:v>
                </c:pt>
                <c:pt idx="236">
                  <c:v>44343</c:v>
                </c:pt>
                <c:pt idx="237">
                  <c:v>44342</c:v>
                </c:pt>
                <c:pt idx="238">
                  <c:v>44341</c:v>
                </c:pt>
                <c:pt idx="239">
                  <c:v>44340</c:v>
                </c:pt>
                <c:pt idx="240">
                  <c:v>44337</c:v>
                </c:pt>
                <c:pt idx="241">
                  <c:v>44336</c:v>
                </c:pt>
                <c:pt idx="242">
                  <c:v>44335</c:v>
                </c:pt>
                <c:pt idx="243">
                  <c:v>44334</c:v>
                </c:pt>
                <c:pt idx="244">
                  <c:v>44333</c:v>
                </c:pt>
                <c:pt idx="245">
                  <c:v>44330</c:v>
                </c:pt>
                <c:pt idx="246">
                  <c:v>44329</c:v>
                </c:pt>
                <c:pt idx="247">
                  <c:v>44328</c:v>
                </c:pt>
                <c:pt idx="248">
                  <c:v>44327</c:v>
                </c:pt>
                <c:pt idx="249">
                  <c:v>44326</c:v>
                </c:pt>
                <c:pt idx="250">
                  <c:v>44323</c:v>
                </c:pt>
                <c:pt idx="251">
                  <c:v>44322</c:v>
                </c:pt>
                <c:pt idx="252">
                  <c:v>44321</c:v>
                </c:pt>
                <c:pt idx="253">
                  <c:v>44320</c:v>
                </c:pt>
                <c:pt idx="254">
                  <c:v>44315</c:v>
                </c:pt>
                <c:pt idx="255">
                  <c:v>44314</c:v>
                </c:pt>
                <c:pt idx="256">
                  <c:v>44313</c:v>
                </c:pt>
                <c:pt idx="257">
                  <c:v>44312</c:v>
                </c:pt>
              </c:numCache>
            </c:numRef>
          </c:cat>
          <c:val>
            <c:numRef>
              <c:f>Appendix!$AS$2:$AS$259</c:f>
              <c:numCache>
                <c:formatCode>General</c:formatCode>
                <c:ptCount val="258"/>
                <c:pt idx="0">
                  <c:v>106500</c:v>
                </c:pt>
                <c:pt idx="1">
                  <c:v>110000</c:v>
                </c:pt>
                <c:pt idx="2">
                  <c:v>108300</c:v>
                </c:pt>
                <c:pt idx="3">
                  <c:v>108000</c:v>
                </c:pt>
                <c:pt idx="4">
                  <c:v>106200</c:v>
                </c:pt>
                <c:pt idx="5">
                  <c:v>107000</c:v>
                </c:pt>
                <c:pt idx="6">
                  <c:v>107400</c:v>
                </c:pt>
                <c:pt idx="7">
                  <c:v>107000</c:v>
                </c:pt>
                <c:pt idx="8">
                  <c:v>115000</c:v>
                </c:pt>
                <c:pt idx="9">
                  <c:v>115000</c:v>
                </c:pt>
                <c:pt idx="10">
                  <c:v>119000</c:v>
                </c:pt>
                <c:pt idx="11">
                  <c:v>118900</c:v>
                </c:pt>
                <c:pt idx="12">
                  <c:v>118900</c:v>
                </c:pt>
                <c:pt idx="13">
                  <c:v>123500</c:v>
                </c:pt>
                <c:pt idx="14">
                  <c:v>117100</c:v>
                </c:pt>
                <c:pt idx="15">
                  <c:v>117000</c:v>
                </c:pt>
                <c:pt idx="16">
                  <c:v>116000</c:v>
                </c:pt>
                <c:pt idx="17">
                  <c:v>112400</c:v>
                </c:pt>
                <c:pt idx="18">
                  <c:v>114500</c:v>
                </c:pt>
                <c:pt idx="19">
                  <c:v>115100</c:v>
                </c:pt>
                <c:pt idx="20">
                  <c:v>118100</c:v>
                </c:pt>
                <c:pt idx="21">
                  <c:v>117800</c:v>
                </c:pt>
                <c:pt idx="22">
                  <c:v>116600</c:v>
                </c:pt>
                <c:pt idx="23">
                  <c:v>117200</c:v>
                </c:pt>
                <c:pt idx="24">
                  <c:v>110500</c:v>
                </c:pt>
                <c:pt idx="25">
                  <c:v>108300</c:v>
                </c:pt>
                <c:pt idx="26">
                  <c:v>110500</c:v>
                </c:pt>
                <c:pt idx="27">
                  <c:v>108200</c:v>
                </c:pt>
                <c:pt idx="28">
                  <c:v>108200</c:v>
                </c:pt>
                <c:pt idx="29">
                  <c:v>107000</c:v>
                </c:pt>
                <c:pt idx="30">
                  <c:v>105100</c:v>
                </c:pt>
                <c:pt idx="31">
                  <c:v>107000</c:v>
                </c:pt>
                <c:pt idx="32">
                  <c:v>105600</c:v>
                </c:pt>
                <c:pt idx="33">
                  <c:v>103500</c:v>
                </c:pt>
                <c:pt idx="34">
                  <c:v>103000</c:v>
                </c:pt>
                <c:pt idx="35">
                  <c:v>102800</c:v>
                </c:pt>
                <c:pt idx="36">
                  <c:v>102900</c:v>
                </c:pt>
                <c:pt idx="37">
                  <c:v>98500</c:v>
                </c:pt>
                <c:pt idx="38">
                  <c:v>104500</c:v>
                </c:pt>
                <c:pt idx="39">
                  <c:v>108300</c:v>
                </c:pt>
                <c:pt idx="40">
                  <c:v>110500</c:v>
                </c:pt>
                <c:pt idx="41">
                  <c:v>106000</c:v>
                </c:pt>
                <c:pt idx="42">
                  <c:v>108000</c:v>
                </c:pt>
                <c:pt idx="43">
                  <c:v>105599.97</c:v>
                </c:pt>
                <c:pt idx="44">
                  <c:v>103412.4</c:v>
                </c:pt>
                <c:pt idx="45">
                  <c:v>102815.79</c:v>
                </c:pt>
                <c:pt idx="46">
                  <c:v>104406.75</c:v>
                </c:pt>
                <c:pt idx="47">
                  <c:v>102418.05</c:v>
                </c:pt>
                <c:pt idx="48">
                  <c:v>107190.93</c:v>
                </c:pt>
                <c:pt idx="49">
                  <c:v>108384.15</c:v>
                </c:pt>
                <c:pt idx="50">
                  <c:v>108980.76</c:v>
                </c:pt>
                <c:pt idx="51">
                  <c:v>109378.5</c:v>
                </c:pt>
                <c:pt idx="52">
                  <c:v>105898.28</c:v>
                </c:pt>
                <c:pt idx="53">
                  <c:v>106395.45</c:v>
                </c:pt>
                <c:pt idx="54">
                  <c:v>107290.37</c:v>
                </c:pt>
                <c:pt idx="55">
                  <c:v>105699.41</c:v>
                </c:pt>
                <c:pt idx="56">
                  <c:v>104903.92</c:v>
                </c:pt>
                <c:pt idx="57">
                  <c:v>104009.01</c:v>
                </c:pt>
                <c:pt idx="58">
                  <c:v>104207.88</c:v>
                </c:pt>
                <c:pt idx="59">
                  <c:v>102716.36</c:v>
                </c:pt>
                <c:pt idx="60">
                  <c:v>102716.36</c:v>
                </c:pt>
                <c:pt idx="61">
                  <c:v>104406.75</c:v>
                </c:pt>
                <c:pt idx="62">
                  <c:v>106693.75</c:v>
                </c:pt>
                <c:pt idx="63">
                  <c:v>103412.4</c:v>
                </c:pt>
                <c:pt idx="64">
                  <c:v>100429.35</c:v>
                </c:pt>
                <c:pt idx="65">
                  <c:v>100429.35</c:v>
                </c:pt>
                <c:pt idx="66">
                  <c:v>96451.95</c:v>
                </c:pt>
                <c:pt idx="67">
                  <c:v>96352.52</c:v>
                </c:pt>
                <c:pt idx="68">
                  <c:v>94960.43</c:v>
                </c:pt>
                <c:pt idx="69">
                  <c:v>93866.64</c:v>
                </c:pt>
                <c:pt idx="70">
                  <c:v>93071.16</c:v>
                </c:pt>
                <c:pt idx="71">
                  <c:v>92772.86</c:v>
                </c:pt>
                <c:pt idx="72">
                  <c:v>92971.73</c:v>
                </c:pt>
                <c:pt idx="73">
                  <c:v>93369.47</c:v>
                </c:pt>
                <c:pt idx="74">
                  <c:v>93568.34</c:v>
                </c:pt>
                <c:pt idx="75">
                  <c:v>92176.25</c:v>
                </c:pt>
                <c:pt idx="76">
                  <c:v>93568.34</c:v>
                </c:pt>
                <c:pt idx="77">
                  <c:v>92673.42</c:v>
                </c:pt>
                <c:pt idx="78">
                  <c:v>93369.47</c:v>
                </c:pt>
                <c:pt idx="79">
                  <c:v>94065.51</c:v>
                </c:pt>
                <c:pt idx="80">
                  <c:v>94562.69</c:v>
                </c:pt>
                <c:pt idx="81">
                  <c:v>95954.78</c:v>
                </c:pt>
                <c:pt idx="82">
                  <c:v>95656.47</c:v>
                </c:pt>
                <c:pt idx="83">
                  <c:v>91977.38</c:v>
                </c:pt>
                <c:pt idx="84">
                  <c:v>92673.42</c:v>
                </c:pt>
                <c:pt idx="85">
                  <c:v>95059.86</c:v>
                </c:pt>
                <c:pt idx="86">
                  <c:v>95457.600000000006</c:v>
                </c:pt>
                <c:pt idx="87">
                  <c:v>94164.95</c:v>
                </c:pt>
                <c:pt idx="88">
                  <c:v>93170.6</c:v>
                </c:pt>
                <c:pt idx="89">
                  <c:v>93966.080000000002</c:v>
                </c:pt>
                <c:pt idx="90">
                  <c:v>94264.38</c:v>
                </c:pt>
                <c:pt idx="91">
                  <c:v>93667.77</c:v>
                </c:pt>
                <c:pt idx="92">
                  <c:v>94960.43</c:v>
                </c:pt>
                <c:pt idx="93">
                  <c:v>93170.6</c:v>
                </c:pt>
                <c:pt idx="94">
                  <c:v>95457.600000000006</c:v>
                </c:pt>
                <c:pt idx="95">
                  <c:v>95656.47</c:v>
                </c:pt>
                <c:pt idx="96">
                  <c:v>97943.48</c:v>
                </c:pt>
                <c:pt idx="97">
                  <c:v>96750.25</c:v>
                </c:pt>
                <c:pt idx="98">
                  <c:v>97943.48</c:v>
                </c:pt>
                <c:pt idx="99">
                  <c:v>95457.62</c:v>
                </c:pt>
                <c:pt idx="100">
                  <c:v>92690.73</c:v>
                </c:pt>
                <c:pt idx="101">
                  <c:v>90121.48</c:v>
                </c:pt>
                <c:pt idx="102">
                  <c:v>92888.36</c:v>
                </c:pt>
                <c:pt idx="103">
                  <c:v>96248.16</c:v>
                </c:pt>
                <c:pt idx="104">
                  <c:v>96149.34</c:v>
                </c:pt>
                <c:pt idx="105">
                  <c:v>96742.24</c:v>
                </c:pt>
                <c:pt idx="106">
                  <c:v>96939.88</c:v>
                </c:pt>
                <c:pt idx="107">
                  <c:v>100299.67</c:v>
                </c:pt>
                <c:pt idx="108">
                  <c:v>102868.92</c:v>
                </c:pt>
                <c:pt idx="109">
                  <c:v>104450</c:v>
                </c:pt>
                <c:pt idx="110">
                  <c:v>104450</c:v>
                </c:pt>
                <c:pt idx="111">
                  <c:v>102770.11</c:v>
                </c:pt>
                <c:pt idx="112">
                  <c:v>101090.21</c:v>
                </c:pt>
                <c:pt idx="113">
                  <c:v>104944.09</c:v>
                </c:pt>
                <c:pt idx="114">
                  <c:v>105141.72</c:v>
                </c:pt>
                <c:pt idx="115">
                  <c:v>106722.8</c:v>
                </c:pt>
                <c:pt idx="116">
                  <c:v>109489.69</c:v>
                </c:pt>
                <c:pt idx="117">
                  <c:v>108600.33</c:v>
                </c:pt>
                <c:pt idx="118">
                  <c:v>103264.19</c:v>
                </c:pt>
                <c:pt idx="119">
                  <c:v>101781.93</c:v>
                </c:pt>
                <c:pt idx="120">
                  <c:v>104746.45</c:v>
                </c:pt>
                <c:pt idx="121">
                  <c:v>106722.8</c:v>
                </c:pt>
                <c:pt idx="122">
                  <c:v>106722.8</c:v>
                </c:pt>
                <c:pt idx="123">
                  <c:v>102770.11</c:v>
                </c:pt>
                <c:pt idx="124">
                  <c:v>103264.19</c:v>
                </c:pt>
                <c:pt idx="125">
                  <c:v>103758.28</c:v>
                </c:pt>
                <c:pt idx="126">
                  <c:v>99904.4</c:v>
                </c:pt>
                <c:pt idx="127">
                  <c:v>102770.11</c:v>
                </c:pt>
                <c:pt idx="128">
                  <c:v>100398.49</c:v>
                </c:pt>
                <c:pt idx="129">
                  <c:v>100694.94</c:v>
                </c:pt>
                <c:pt idx="130">
                  <c:v>97137.51</c:v>
                </c:pt>
                <c:pt idx="131">
                  <c:v>97928.05</c:v>
                </c:pt>
                <c:pt idx="132">
                  <c:v>97829.24</c:v>
                </c:pt>
                <c:pt idx="133">
                  <c:v>96841.06</c:v>
                </c:pt>
                <c:pt idx="134">
                  <c:v>97829.24</c:v>
                </c:pt>
                <c:pt idx="135">
                  <c:v>96841.06</c:v>
                </c:pt>
                <c:pt idx="136">
                  <c:v>97829.24</c:v>
                </c:pt>
                <c:pt idx="137">
                  <c:v>99311.5</c:v>
                </c:pt>
                <c:pt idx="138">
                  <c:v>99805.58</c:v>
                </c:pt>
                <c:pt idx="139">
                  <c:v>99805.58</c:v>
                </c:pt>
                <c:pt idx="140">
                  <c:v>98817.41</c:v>
                </c:pt>
                <c:pt idx="141">
                  <c:v>100793.76</c:v>
                </c:pt>
                <c:pt idx="142">
                  <c:v>98323.32</c:v>
                </c:pt>
                <c:pt idx="143">
                  <c:v>95852.89</c:v>
                </c:pt>
                <c:pt idx="144">
                  <c:v>96939.88</c:v>
                </c:pt>
                <c:pt idx="145">
                  <c:v>95852.89</c:v>
                </c:pt>
                <c:pt idx="146">
                  <c:v>97631.6</c:v>
                </c:pt>
                <c:pt idx="147">
                  <c:v>97829.24</c:v>
                </c:pt>
                <c:pt idx="148">
                  <c:v>97532.78</c:v>
                </c:pt>
                <c:pt idx="149">
                  <c:v>92196.64</c:v>
                </c:pt>
                <c:pt idx="150">
                  <c:v>91900.19</c:v>
                </c:pt>
                <c:pt idx="151">
                  <c:v>89923.839999999997</c:v>
                </c:pt>
                <c:pt idx="152">
                  <c:v>90912.02</c:v>
                </c:pt>
                <c:pt idx="153">
                  <c:v>91109.65</c:v>
                </c:pt>
                <c:pt idx="154">
                  <c:v>91999.01</c:v>
                </c:pt>
                <c:pt idx="155">
                  <c:v>89034.49</c:v>
                </c:pt>
                <c:pt idx="156">
                  <c:v>89923.839999999997</c:v>
                </c:pt>
                <c:pt idx="157">
                  <c:v>91406.1</c:v>
                </c:pt>
                <c:pt idx="158">
                  <c:v>91900.19</c:v>
                </c:pt>
                <c:pt idx="159">
                  <c:v>90813.2</c:v>
                </c:pt>
                <c:pt idx="160">
                  <c:v>87947.49</c:v>
                </c:pt>
                <c:pt idx="161">
                  <c:v>90912.02</c:v>
                </c:pt>
                <c:pt idx="162">
                  <c:v>92888.36</c:v>
                </c:pt>
                <c:pt idx="163">
                  <c:v>89429.759999999995</c:v>
                </c:pt>
                <c:pt idx="164">
                  <c:v>85180.61</c:v>
                </c:pt>
                <c:pt idx="165">
                  <c:v>85180.61</c:v>
                </c:pt>
                <c:pt idx="166">
                  <c:v>85477.06</c:v>
                </c:pt>
                <c:pt idx="167">
                  <c:v>84291.25</c:v>
                </c:pt>
                <c:pt idx="168">
                  <c:v>84982.97</c:v>
                </c:pt>
                <c:pt idx="169">
                  <c:v>85378.240000000005</c:v>
                </c:pt>
                <c:pt idx="170">
                  <c:v>84785.34</c:v>
                </c:pt>
                <c:pt idx="171">
                  <c:v>85180.61</c:v>
                </c:pt>
                <c:pt idx="172">
                  <c:v>87947.49</c:v>
                </c:pt>
                <c:pt idx="173">
                  <c:v>87255.77</c:v>
                </c:pt>
                <c:pt idx="174">
                  <c:v>87453.41</c:v>
                </c:pt>
                <c:pt idx="175">
                  <c:v>90417.93</c:v>
                </c:pt>
                <c:pt idx="176">
                  <c:v>92888.36</c:v>
                </c:pt>
                <c:pt idx="177">
                  <c:v>93580.09</c:v>
                </c:pt>
                <c:pt idx="178">
                  <c:v>94370.63</c:v>
                </c:pt>
                <c:pt idx="179">
                  <c:v>93382.45</c:v>
                </c:pt>
                <c:pt idx="180">
                  <c:v>93382.45</c:v>
                </c:pt>
                <c:pt idx="181">
                  <c:v>93382.45</c:v>
                </c:pt>
                <c:pt idx="182">
                  <c:v>94271.81</c:v>
                </c:pt>
                <c:pt idx="183">
                  <c:v>94667.08</c:v>
                </c:pt>
                <c:pt idx="184">
                  <c:v>95358.8</c:v>
                </c:pt>
                <c:pt idx="185">
                  <c:v>95062.35</c:v>
                </c:pt>
                <c:pt idx="186">
                  <c:v>94667.08</c:v>
                </c:pt>
                <c:pt idx="187">
                  <c:v>95358.8</c:v>
                </c:pt>
                <c:pt idx="188">
                  <c:v>95358.8</c:v>
                </c:pt>
                <c:pt idx="189">
                  <c:v>94469.440000000002</c:v>
                </c:pt>
                <c:pt idx="190">
                  <c:v>94667.08</c:v>
                </c:pt>
                <c:pt idx="191">
                  <c:v>91900.19</c:v>
                </c:pt>
                <c:pt idx="192">
                  <c:v>89034.49</c:v>
                </c:pt>
                <c:pt idx="193">
                  <c:v>89034.49</c:v>
                </c:pt>
                <c:pt idx="194">
                  <c:v>89627.39</c:v>
                </c:pt>
                <c:pt idx="195">
                  <c:v>89923.839999999997</c:v>
                </c:pt>
                <c:pt idx="196">
                  <c:v>91999.01</c:v>
                </c:pt>
                <c:pt idx="197">
                  <c:v>90121.48</c:v>
                </c:pt>
                <c:pt idx="198">
                  <c:v>90912.02</c:v>
                </c:pt>
                <c:pt idx="199">
                  <c:v>90516.75</c:v>
                </c:pt>
                <c:pt idx="200">
                  <c:v>94864.71</c:v>
                </c:pt>
                <c:pt idx="201">
                  <c:v>93975.360000000001</c:v>
                </c:pt>
                <c:pt idx="202">
                  <c:v>94864.71</c:v>
                </c:pt>
                <c:pt idx="203">
                  <c:v>98026.87</c:v>
                </c:pt>
                <c:pt idx="204">
                  <c:v>100892.57</c:v>
                </c:pt>
                <c:pt idx="205">
                  <c:v>104252.37</c:v>
                </c:pt>
                <c:pt idx="206">
                  <c:v>104351.18</c:v>
                </c:pt>
                <c:pt idx="207">
                  <c:v>105240.54</c:v>
                </c:pt>
                <c:pt idx="208">
                  <c:v>98422.14</c:v>
                </c:pt>
                <c:pt idx="209">
                  <c:v>98125.69</c:v>
                </c:pt>
                <c:pt idx="210">
                  <c:v>98323.32</c:v>
                </c:pt>
                <c:pt idx="211">
                  <c:v>99015.039999999994</c:v>
                </c:pt>
                <c:pt idx="212">
                  <c:v>98916.23</c:v>
                </c:pt>
                <c:pt idx="213">
                  <c:v>97433.97</c:v>
                </c:pt>
                <c:pt idx="214">
                  <c:v>96939.88</c:v>
                </c:pt>
                <c:pt idx="215">
                  <c:v>96248.16</c:v>
                </c:pt>
                <c:pt idx="216">
                  <c:v>96939.88</c:v>
                </c:pt>
                <c:pt idx="217">
                  <c:v>97631.6</c:v>
                </c:pt>
                <c:pt idx="218">
                  <c:v>97335.15</c:v>
                </c:pt>
                <c:pt idx="219">
                  <c:v>96939.88</c:v>
                </c:pt>
                <c:pt idx="220">
                  <c:v>96841.06</c:v>
                </c:pt>
                <c:pt idx="221">
                  <c:v>94370.63</c:v>
                </c:pt>
                <c:pt idx="222">
                  <c:v>93975.360000000001</c:v>
                </c:pt>
                <c:pt idx="223">
                  <c:v>94864.71</c:v>
                </c:pt>
                <c:pt idx="224">
                  <c:v>95852.89</c:v>
                </c:pt>
                <c:pt idx="225">
                  <c:v>95754.07</c:v>
                </c:pt>
                <c:pt idx="226">
                  <c:v>94667.08</c:v>
                </c:pt>
                <c:pt idx="227">
                  <c:v>94667.08</c:v>
                </c:pt>
                <c:pt idx="228">
                  <c:v>94864.71</c:v>
                </c:pt>
                <c:pt idx="229">
                  <c:v>98422.14</c:v>
                </c:pt>
                <c:pt idx="230">
                  <c:v>99410.31</c:v>
                </c:pt>
                <c:pt idx="231">
                  <c:v>100003.22</c:v>
                </c:pt>
                <c:pt idx="232">
                  <c:v>99311.5</c:v>
                </c:pt>
                <c:pt idx="233">
                  <c:v>99311.5</c:v>
                </c:pt>
                <c:pt idx="234">
                  <c:v>99706.77</c:v>
                </c:pt>
                <c:pt idx="235">
                  <c:v>99805.58</c:v>
                </c:pt>
                <c:pt idx="236">
                  <c:v>100398.49</c:v>
                </c:pt>
                <c:pt idx="237">
                  <c:v>100596.12</c:v>
                </c:pt>
                <c:pt idx="238">
                  <c:v>100694.94</c:v>
                </c:pt>
                <c:pt idx="239">
                  <c:v>100694.94</c:v>
                </c:pt>
                <c:pt idx="240">
                  <c:v>100596.12</c:v>
                </c:pt>
                <c:pt idx="241">
                  <c:v>98125.69</c:v>
                </c:pt>
                <c:pt idx="242">
                  <c:v>92394.28</c:v>
                </c:pt>
                <c:pt idx="243">
                  <c:v>92394.28</c:v>
                </c:pt>
                <c:pt idx="244">
                  <c:v>92888.36</c:v>
                </c:pt>
                <c:pt idx="245">
                  <c:v>93086</c:v>
                </c:pt>
                <c:pt idx="246">
                  <c:v>93184.82</c:v>
                </c:pt>
                <c:pt idx="247">
                  <c:v>94667.08</c:v>
                </c:pt>
                <c:pt idx="248">
                  <c:v>92888.36</c:v>
                </c:pt>
                <c:pt idx="249">
                  <c:v>92493.1</c:v>
                </c:pt>
                <c:pt idx="250">
                  <c:v>94370.63</c:v>
                </c:pt>
                <c:pt idx="251">
                  <c:v>94864.71</c:v>
                </c:pt>
                <c:pt idx="252">
                  <c:v>95852.89</c:v>
                </c:pt>
                <c:pt idx="253">
                  <c:v>94074.17</c:v>
                </c:pt>
                <c:pt idx="254">
                  <c:v>96841.06</c:v>
                </c:pt>
                <c:pt idx="255">
                  <c:v>94568.26</c:v>
                </c:pt>
                <c:pt idx="256">
                  <c:v>94864.71</c:v>
                </c:pt>
                <c:pt idx="257">
                  <c:v>93876.54</c:v>
                </c:pt>
              </c:numCache>
            </c:numRef>
          </c:val>
          <c:smooth val="0"/>
          <c:extLst>
            <c:ext xmlns:c16="http://schemas.microsoft.com/office/drawing/2014/chart" uri="{C3380CC4-5D6E-409C-BE32-E72D297353CC}">
              <c16:uniqueId val="{00000000-710E-4F43-882E-3D43D14471ED}"/>
            </c:ext>
          </c:extLst>
        </c:ser>
        <c:ser>
          <c:idx val="1"/>
          <c:order val="1"/>
          <c:tx>
            <c:strRef>
              <c:f>Appendix!$AT$1</c:f>
              <c:strCache>
                <c:ptCount val="1"/>
                <c:pt idx="0">
                  <c:v>BSC Dự báo</c:v>
                </c:pt>
              </c:strCache>
            </c:strRef>
          </c:tx>
          <c:spPr>
            <a:ln w="28575" cap="rnd">
              <a:solidFill>
                <a:srgbClr val="FFC000"/>
              </a:solidFill>
              <a:round/>
            </a:ln>
            <a:effectLst/>
          </c:spPr>
          <c:marker>
            <c:symbol val="none"/>
          </c:marker>
          <c:cat>
            <c:numRef>
              <c:f>Appendix!$AR$2:$AR$259</c:f>
              <c:numCache>
                <c:formatCode>m/d/yy</c:formatCode>
                <c:ptCount val="258"/>
                <c:pt idx="0">
                  <c:v>44687</c:v>
                </c:pt>
                <c:pt idx="1">
                  <c:v>44686</c:v>
                </c:pt>
                <c:pt idx="2">
                  <c:v>44685</c:v>
                </c:pt>
                <c:pt idx="3">
                  <c:v>44680</c:v>
                </c:pt>
                <c:pt idx="4">
                  <c:v>44679</c:v>
                </c:pt>
                <c:pt idx="5">
                  <c:v>44678</c:v>
                </c:pt>
                <c:pt idx="6">
                  <c:v>44677</c:v>
                </c:pt>
                <c:pt idx="7">
                  <c:v>44676</c:v>
                </c:pt>
                <c:pt idx="8">
                  <c:v>44673</c:v>
                </c:pt>
                <c:pt idx="9">
                  <c:v>44673</c:v>
                </c:pt>
                <c:pt idx="10">
                  <c:v>44672</c:v>
                </c:pt>
                <c:pt idx="11">
                  <c:v>44671</c:v>
                </c:pt>
                <c:pt idx="12">
                  <c:v>44670</c:v>
                </c:pt>
                <c:pt idx="13">
                  <c:v>44669</c:v>
                </c:pt>
                <c:pt idx="14">
                  <c:v>44666</c:v>
                </c:pt>
                <c:pt idx="15">
                  <c:v>44665</c:v>
                </c:pt>
                <c:pt idx="16">
                  <c:v>44664</c:v>
                </c:pt>
                <c:pt idx="17">
                  <c:v>44663</c:v>
                </c:pt>
                <c:pt idx="18">
                  <c:v>44659</c:v>
                </c:pt>
                <c:pt idx="19">
                  <c:v>44658</c:v>
                </c:pt>
                <c:pt idx="20">
                  <c:v>44657</c:v>
                </c:pt>
                <c:pt idx="21">
                  <c:v>44656</c:v>
                </c:pt>
                <c:pt idx="22">
                  <c:v>44655</c:v>
                </c:pt>
                <c:pt idx="23">
                  <c:v>44652</c:v>
                </c:pt>
                <c:pt idx="24">
                  <c:v>44651</c:v>
                </c:pt>
                <c:pt idx="25">
                  <c:v>44650</c:v>
                </c:pt>
                <c:pt idx="26">
                  <c:v>44649</c:v>
                </c:pt>
                <c:pt idx="27">
                  <c:v>44648</c:v>
                </c:pt>
                <c:pt idx="28">
                  <c:v>44645</c:v>
                </c:pt>
                <c:pt idx="29">
                  <c:v>44644</c:v>
                </c:pt>
                <c:pt idx="30">
                  <c:v>44643</c:v>
                </c:pt>
                <c:pt idx="31">
                  <c:v>44642</c:v>
                </c:pt>
                <c:pt idx="32">
                  <c:v>44641</c:v>
                </c:pt>
                <c:pt idx="33">
                  <c:v>44638</c:v>
                </c:pt>
                <c:pt idx="34">
                  <c:v>44637</c:v>
                </c:pt>
                <c:pt idx="35">
                  <c:v>44636</c:v>
                </c:pt>
                <c:pt idx="36">
                  <c:v>44635</c:v>
                </c:pt>
                <c:pt idx="37">
                  <c:v>44634</c:v>
                </c:pt>
                <c:pt idx="38">
                  <c:v>44631</c:v>
                </c:pt>
                <c:pt idx="39">
                  <c:v>44630</c:v>
                </c:pt>
                <c:pt idx="40">
                  <c:v>44629</c:v>
                </c:pt>
                <c:pt idx="41">
                  <c:v>44628</c:v>
                </c:pt>
                <c:pt idx="42">
                  <c:v>44627</c:v>
                </c:pt>
                <c:pt idx="43">
                  <c:v>44624</c:v>
                </c:pt>
                <c:pt idx="44">
                  <c:v>44623</c:v>
                </c:pt>
                <c:pt idx="45">
                  <c:v>44622</c:v>
                </c:pt>
                <c:pt idx="46">
                  <c:v>44621</c:v>
                </c:pt>
                <c:pt idx="47">
                  <c:v>44620</c:v>
                </c:pt>
                <c:pt idx="48">
                  <c:v>44617</c:v>
                </c:pt>
                <c:pt idx="49">
                  <c:v>44616</c:v>
                </c:pt>
                <c:pt idx="50">
                  <c:v>44615</c:v>
                </c:pt>
                <c:pt idx="51">
                  <c:v>44614</c:v>
                </c:pt>
                <c:pt idx="52">
                  <c:v>44613</c:v>
                </c:pt>
                <c:pt idx="53">
                  <c:v>44610</c:v>
                </c:pt>
                <c:pt idx="54">
                  <c:v>44609</c:v>
                </c:pt>
                <c:pt idx="55">
                  <c:v>44608</c:v>
                </c:pt>
                <c:pt idx="56">
                  <c:v>44607</c:v>
                </c:pt>
                <c:pt idx="57">
                  <c:v>44606</c:v>
                </c:pt>
                <c:pt idx="58">
                  <c:v>44603</c:v>
                </c:pt>
                <c:pt idx="59">
                  <c:v>44602</c:v>
                </c:pt>
                <c:pt idx="60">
                  <c:v>44601</c:v>
                </c:pt>
                <c:pt idx="61">
                  <c:v>44600</c:v>
                </c:pt>
                <c:pt idx="62">
                  <c:v>44599</c:v>
                </c:pt>
                <c:pt idx="63">
                  <c:v>44589</c:v>
                </c:pt>
                <c:pt idx="64">
                  <c:v>44588</c:v>
                </c:pt>
                <c:pt idx="65">
                  <c:v>44587</c:v>
                </c:pt>
                <c:pt idx="66">
                  <c:v>44586</c:v>
                </c:pt>
                <c:pt idx="67">
                  <c:v>44585</c:v>
                </c:pt>
                <c:pt idx="68">
                  <c:v>44582</c:v>
                </c:pt>
                <c:pt idx="69">
                  <c:v>44581</c:v>
                </c:pt>
                <c:pt idx="70">
                  <c:v>44580</c:v>
                </c:pt>
                <c:pt idx="71">
                  <c:v>44579</c:v>
                </c:pt>
                <c:pt idx="72">
                  <c:v>44578</c:v>
                </c:pt>
                <c:pt idx="73">
                  <c:v>44575</c:v>
                </c:pt>
                <c:pt idx="74">
                  <c:v>44574</c:v>
                </c:pt>
                <c:pt idx="75">
                  <c:v>44573</c:v>
                </c:pt>
                <c:pt idx="76">
                  <c:v>44572</c:v>
                </c:pt>
                <c:pt idx="77">
                  <c:v>44571</c:v>
                </c:pt>
                <c:pt idx="78">
                  <c:v>44568</c:v>
                </c:pt>
                <c:pt idx="79">
                  <c:v>44567</c:v>
                </c:pt>
                <c:pt idx="80">
                  <c:v>44566</c:v>
                </c:pt>
                <c:pt idx="81">
                  <c:v>44565</c:v>
                </c:pt>
                <c:pt idx="82">
                  <c:v>44561</c:v>
                </c:pt>
                <c:pt idx="83">
                  <c:v>44560</c:v>
                </c:pt>
                <c:pt idx="84">
                  <c:v>44559</c:v>
                </c:pt>
                <c:pt idx="85">
                  <c:v>44558</c:v>
                </c:pt>
                <c:pt idx="86">
                  <c:v>44557</c:v>
                </c:pt>
                <c:pt idx="87">
                  <c:v>44554</c:v>
                </c:pt>
                <c:pt idx="88">
                  <c:v>44553</c:v>
                </c:pt>
                <c:pt idx="89">
                  <c:v>44552</c:v>
                </c:pt>
                <c:pt idx="90">
                  <c:v>44551</c:v>
                </c:pt>
                <c:pt idx="91">
                  <c:v>44550</c:v>
                </c:pt>
                <c:pt idx="92">
                  <c:v>44547</c:v>
                </c:pt>
                <c:pt idx="93">
                  <c:v>44546</c:v>
                </c:pt>
                <c:pt idx="94">
                  <c:v>44545</c:v>
                </c:pt>
                <c:pt idx="95">
                  <c:v>44544</c:v>
                </c:pt>
                <c:pt idx="96">
                  <c:v>44543</c:v>
                </c:pt>
                <c:pt idx="97">
                  <c:v>44540</c:v>
                </c:pt>
                <c:pt idx="98">
                  <c:v>44539</c:v>
                </c:pt>
                <c:pt idx="99">
                  <c:v>44538</c:v>
                </c:pt>
                <c:pt idx="100">
                  <c:v>44537</c:v>
                </c:pt>
                <c:pt idx="101">
                  <c:v>44536</c:v>
                </c:pt>
                <c:pt idx="102">
                  <c:v>44533</c:v>
                </c:pt>
                <c:pt idx="103">
                  <c:v>44532</c:v>
                </c:pt>
                <c:pt idx="104">
                  <c:v>44531</c:v>
                </c:pt>
                <c:pt idx="105">
                  <c:v>44530</c:v>
                </c:pt>
                <c:pt idx="106">
                  <c:v>44529</c:v>
                </c:pt>
                <c:pt idx="107">
                  <c:v>44526</c:v>
                </c:pt>
                <c:pt idx="108">
                  <c:v>44525</c:v>
                </c:pt>
                <c:pt idx="109">
                  <c:v>44524</c:v>
                </c:pt>
                <c:pt idx="110">
                  <c:v>44523</c:v>
                </c:pt>
                <c:pt idx="111">
                  <c:v>44522</c:v>
                </c:pt>
                <c:pt idx="112">
                  <c:v>44519</c:v>
                </c:pt>
                <c:pt idx="113">
                  <c:v>44518</c:v>
                </c:pt>
                <c:pt idx="114">
                  <c:v>44517</c:v>
                </c:pt>
                <c:pt idx="115">
                  <c:v>44516</c:v>
                </c:pt>
                <c:pt idx="116">
                  <c:v>44515</c:v>
                </c:pt>
                <c:pt idx="117">
                  <c:v>44512</c:v>
                </c:pt>
                <c:pt idx="118">
                  <c:v>44511</c:v>
                </c:pt>
                <c:pt idx="119">
                  <c:v>44510</c:v>
                </c:pt>
                <c:pt idx="120">
                  <c:v>44509</c:v>
                </c:pt>
                <c:pt idx="121">
                  <c:v>44508</c:v>
                </c:pt>
                <c:pt idx="122">
                  <c:v>44505</c:v>
                </c:pt>
                <c:pt idx="123">
                  <c:v>44504</c:v>
                </c:pt>
                <c:pt idx="124">
                  <c:v>44503</c:v>
                </c:pt>
                <c:pt idx="125">
                  <c:v>44502</c:v>
                </c:pt>
                <c:pt idx="126">
                  <c:v>44501</c:v>
                </c:pt>
                <c:pt idx="127">
                  <c:v>44498</c:v>
                </c:pt>
                <c:pt idx="128">
                  <c:v>44497</c:v>
                </c:pt>
                <c:pt idx="129">
                  <c:v>44496</c:v>
                </c:pt>
                <c:pt idx="130">
                  <c:v>44495</c:v>
                </c:pt>
                <c:pt idx="131">
                  <c:v>44494</c:v>
                </c:pt>
                <c:pt idx="132">
                  <c:v>44491</c:v>
                </c:pt>
                <c:pt idx="133">
                  <c:v>44490</c:v>
                </c:pt>
                <c:pt idx="134">
                  <c:v>44489</c:v>
                </c:pt>
                <c:pt idx="135">
                  <c:v>44488</c:v>
                </c:pt>
                <c:pt idx="136">
                  <c:v>44487</c:v>
                </c:pt>
                <c:pt idx="137">
                  <c:v>44484</c:v>
                </c:pt>
                <c:pt idx="138">
                  <c:v>44483</c:v>
                </c:pt>
                <c:pt idx="139">
                  <c:v>44482</c:v>
                </c:pt>
                <c:pt idx="140">
                  <c:v>44481</c:v>
                </c:pt>
                <c:pt idx="141">
                  <c:v>44480</c:v>
                </c:pt>
                <c:pt idx="142">
                  <c:v>44477</c:v>
                </c:pt>
                <c:pt idx="143">
                  <c:v>44476</c:v>
                </c:pt>
                <c:pt idx="144">
                  <c:v>44475</c:v>
                </c:pt>
                <c:pt idx="145">
                  <c:v>44474</c:v>
                </c:pt>
                <c:pt idx="146">
                  <c:v>44473</c:v>
                </c:pt>
                <c:pt idx="147">
                  <c:v>44470</c:v>
                </c:pt>
                <c:pt idx="148">
                  <c:v>44469</c:v>
                </c:pt>
                <c:pt idx="149">
                  <c:v>44468</c:v>
                </c:pt>
                <c:pt idx="150">
                  <c:v>44467</c:v>
                </c:pt>
                <c:pt idx="151">
                  <c:v>44466</c:v>
                </c:pt>
                <c:pt idx="152">
                  <c:v>44463</c:v>
                </c:pt>
                <c:pt idx="153">
                  <c:v>44462</c:v>
                </c:pt>
                <c:pt idx="154">
                  <c:v>44461</c:v>
                </c:pt>
                <c:pt idx="155">
                  <c:v>44460</c:v>
                </c:pt>
                <c:pt idx="156">
                  <c:v>44459</c:v>
                </c:pt>
                <c:pt idx="157">
                  <c:v>44456</c:v>
                </c:pt>
                <c:pt idx="158">
                  <c:v>44455</c:v>
                </c:pt>
                <c:pt idx="159">
                  <c:v>44454</c:v>
                </c:pt>
                <c:pt idx="160">
                  <c:v>44453</c:v>
                </c:pt>
                <c:pt idx="161">
                  <c:v>44452</c:v>
                </c:pt>
                <c:pt idx="162">
                  <c:v>44449</c:v>
                </c:pt>
                <c:pt idx="163">
                  <c:v>44448</c:v>
                </c:pt>
                <c:pt idx="164">
                  <c:v>44447</c:v>
                </c:pt>
                <c:pt idx="165">
                  <c:v>44446</c:v>
                </c:pt>
                <c:pt idx="166">
                  <c:v>44445</c:v>
                </c:pt>
                <c:pt idx="167">
                  <c:v>44440</c:v>
                </c:pt>
                <c:pt idx="168">
                  <c:v>44439</c:v>
                </c:pt>
                <c:pt idx="169">
                  <c:v>44438</c:v>
                </c:pt>
                <c:pt idx="170">
                  <c:v>44435</c:v>
                </c:pt>
                <c:pt idx="171">
                  <c:v>44434</c:v>
                </c:pt>
                <c:pt idx="172">
                  <c:v>44433</c:v>
                </c:pt>
                <c:pt idx="173">
                  <c:v>44432</c:v>
                </c:pt>
                <c:pt idx="174">
                  <c:v>44431</c:v>
                </c:pt>
                <c:pt idx="175">
                  <c:v>44428</c:v>
                </c:pt>
                <c:pt idx="176">
                  <c:v>44427</c:v>
                </c:pt>
                <c:pt idx="177">
                  <c:v>44426</c:v>
                </c:pt>
                <c:pt idx="178">
                  <c:v>44425</c:v>
                </c:pt>
                <c:pt idx="179">
                  <c:v>44424</c:v>
                </c:pt>
                <c:pt idx="180">
                  <c:v>44421</c:v>
                </c:pt>
                <c:pt idx="181">
                  <c:v>44420</c:v>
                </c:pt>
                <c:pt idx="182">
                  <c:v>44419</c:v>
                </c:pt>
                <c:pt idx="183">
                  <c:v>44418</c:v>
                </c:pt>
                <c:pt idx="184">
                  <c:v>44417</c:v>
                </c:pt>
                <c:pt idx="185">
                  <c:v>44414</c:v>
                </c:pt>
                <c:pt idx="186">
                  <c:v>44413</c:v>
                </c:pt>
                <c:pt idx="187">
                  <c:v>44412</c:v>
                </c:pt>
                <c:pt idx="188">
                  <c:v>44411</c:v>
                </c:pt>
                <c:pt idx="189">
                  <c:v>44410</c:v>
                </c:pt>
                <c:pt idx="190">
                  <c:v>44407</c:v>
                </c:pt>
                <c:pt idx="191">
                  <c:v>44406</c:v>
                </c:pt>
                <c:pt idx="192">
                  <c:v>44405</c:v>
                </c:pt>
                <c:pt idx="193">
                  <c:v>44404</c:v>
                </c:pt>
                <c:pt idx="194">
                  <c:v>44403</c:v>
                </c:pt>
                <c:pt idx="195">
                  <c:v>44400</c:v>
                </c:pt>
                <c:pt idx="196">
                  <c:v>44399</c:v>
                </c:pt>
                <c:pt idx="197">
                  <c:v>44398</c:v>
                </c:pt>
                <c:pt idx="198">
                  <c:v>44397</c:v>
                </c:pt>
                <c:pt idx="199">
                  <c:v>44396</c:v>
                </c:pt>
                <c:pt idx="200">
                  <c:v>44393</c:v>
                </c:pt>
                <c:pt idx="201">
                  <c:v>44392</c:v>
                </c:pt>
                <c:pt idx="202">
                  <c:v>44391</c:v>
                </c:pt>
                <c:pt idx="203">
                  <c:v>44390</c:v>
                </c:pt>
                <c:pt idx="204">
                  <c:v>44389</c:v>
                </c:pt>
                <c:pt idx="205">
                  <c:v>44386</c:v>
                </c:pt>
                <c:pt idx="206">
                  <c:v>44385</c:v>
                </c:pt>
                <c:pt idx="207">
                  <c:v>44384</c:v>
                </c:pt>
                <c:pt idx="208">
                  <c:v>44383</c:v>
                </c:pt>
                <c:pt idx="209">
                  <c:v>44382</c:v>
                </c:pt>
                <c:pt idx="210">
                  <c:v>44379</c:v>
                </c:pt>
                <c:pt idx="211">
                  <c:v>44378</c:v>
                </c:pt>
                <c:pt idx="212">
                  <c:v>44377</c:v>
                </c:pt>
                <c:pt idx="213">
                  <c:v>44376</c:v>
                </c:pt>
                <c:pt idx="214">
                  <c:v>44375</c:v>
                </c:pt>
                <c:pt idx="215">
                  <c:v>44372</c:v>
                </c:pt>
                <c:pt idx="216">
                  <c:v>44371</c:v>
                </c:pt>
                <c:pt idx="217">
                  <c:v>44370</c:v>
                </c:pt>
                <c:pt idx="218">
                  <c:v>44369</c:v>
                </c:pt>
                <c:pt idx="219">
                  <c:v>44368</c:v>
                </c:pt>
                <c:pt idx="220">
                  <c:v>44365</c:v>
                </c:pt>
                <c:pt idx="221">
                  <c:v>44364</c:v>
                </c:pt>
                <c:pt idx="222">
                  <c:v>44363</c:v>
                </c:pt>
                <c:pt idx="223">
                  <c:v>44362</c:v>
                </c:pt>
                <c:pt idx="224">
                  <c:v>44361</c:v>
                </c:pt>
                <c:pt idx="225">
                  <c:v>44358</c:v>
                </c:pt>
                <c:pt idx="226">
                  <c:v>44357</c:v>
                </c:pt>
                <c:pt idx="227">
                  <c:v>44356</c:v>
                </c:pt>
                <c:pt idx="228">
                  <c:v>44355</c:v>
                </c:pt>
                <c:pt idx="229">
                  <c:v>44354</c:v>
                </c:pt>
                <c:pt idx="230">
                  <c:v>44351</c:v>
                </c:pt>
                <c:pt idx="231">
                  <c:v>44350</c:v>
                </c:pt>
                <c:pt idx="232">
                  <c:v>44349</c:v>
                </c:pt>
                <c:pt idx="233">
                  <c:v>44348</c:v>
                </c:pt>
                <c:pt idx="234">
                  <c:v>44347</c:v>
                </c:pt>
                <c:pt idx="235">
                  <c:v>44344</c:v>
                </c:pt>
                <c:pt idx="236">
                  <c:v>44343</c:v>
                </c:pt>
                <c:pt idx="237">
                  <c:v>44342</c:v>
                </c:pt>
                <c:pt idx="238">
                  <c:v>44341</c:v>
                </c:pt>
                <c:pt idx="239">
                  <c:v>44340</c:v>
                </c:pt>
                <c:pt idx="240">
                  <c:v>44337</c:v>
                </c:pt>
                <c:pt idx="241">
                  <c:v>44336</c:v>
                </c:pt>
                <c:pt idx="242">
                  <c:v>44335</c:v>
                </c:pt>
                <c:pt idx="243">
                  <c:v>44334</c:v>
                </c:pt>
                <c:pt idx="244">
                  <c:v>44333</c:v>
                </c:pt>
                <c:pt idx="245">
                  <c:v>44330</c:v>
                </c:pt>
                <c:pt idx="246">
                  <c:v>44329</c:v>
                </c:pt>
                <c:pt idx="247">
                  <c:v>44328</c:v>
                </c:pt>
                <c:pt idx="248">
                  <c:v>44327</c:v>
                </c:pt>
                <c:pt idx="249">
                  <c:v>44326</c:v>
                </c:pt>
                <c:pt idx="250">
                  <c:v>44323</c:v>
                </c:pt>
                <c:pt idx="251">
                  <c:v>44322</c:v>
                </c:pt>
                <c:pt idx="252">
                  <c:v>44321</c:v>
                </c:pt>
                <c:pt idx="253">
                  <c:v>44320</c:v>
                </c:pt>
                <c:pt idx="254">
                  <c:v>44315</c:v>
                </c:pt>
                <c:pt idx="255">
                  <c:v>44314</c:v>
                </c:pt>
                <c:pt idx="256">
                  <c:v>44313</c:v>
                </c:pt>
                <c:pt idx="257">
                  <c:v>44312</c:v>
                </c:pt>
              </c:numCache>
            </c:numRef>
          </c:cat>
          <c:val>
            <c:numRef>
              <c:f>Appendix!$AT$2:$AT$250</c:f>
              <c:numCache>
                <c:formatCode>General</c:formatCode>
                <c:ptCount val="249"/>
                <c:pt idx="0">
                  <c:v>46300</c:v>
                </c:pt>
                <c:pt idx="1">
                  <c:v>20100</c:v>
                </c:pt>
                <c:pt idx="2">
                  <c:v>20100</c:v>
                </c:pt>
                <c:pt idx="3">
                  <c:v>20100</c:v>
                </c:pt>
                <c:pt idx="4">
                  <c:v>20100</c:v>
                </c:pt>
                <c:pt idx="5">
                  <c:v>20100</c:v>
                </c:pt>
                <c:pt idx="6">
                  <c:v>20100</c:v>
                </c:pt>
                <c:pt idx="7">
                  <c:v>20100</c:v>
                </c:pt>
                <c:pt idx="8">
                  <c:v>20100</c:v>
                </c:pt>
                <c:pt idx="9">
                  <c:v>20100</c:v>
                </c:pt>
                <c:pt idx="10">
                  <c:v>20100</c:v>
                </c:pt>
                <c:pt idx="11">
                  <c:v>20100</c:v>
                </c:pt>
                <c:pt idx="12">
                  <c:v>20100</c:v>
                </c:pt>
                <c:pt idx="13">
                  <c:v>20100</c:v>
                </c:pt>
                <c:pt idx="14">
                  <c:v>20100</c:v>
                </c:pt>
                <c:pt idx="15">
                  <c:v>20100</c:v>
                </c:pt>
                <c:pt idx="16">
                  <c:v>20100</c:v>
                </c:pt>
                <c:pt idx="17">
                  <c:v>20100</c:v>
                </c:pt>
                <c:pt idx="18">
                  <c:v>20100</c:v>
                </c:pt>
                <c:pt idx="19">
                  <c:v>20100</c:v>
                </c:pt>
                <c:pt idx="20">
                  <c:v>20100</c:v>
                </c:pt>
                <c:pt idx="21">
                  <c:v>20100</c:v>
                </c:pt>
                <c:pt idx="22">
                  <c:v>20100</c:v>
                </c:pt>
                <c:pt idx="23">
                  <c:v>20100</c:v>
                </c:pt>
                <c:pt idx="24">
                  <c:v>20100</c:v>
                </c:pt>
                <c:pt idx="25">
                  <c:v>20100</c:v>
                </c:pt>
                <c:pt idx="26">
                  <c:v>20100</c:v>
                </c:pt>
                <c:pt idx="27">
                  <c:v>20100</c:v>
                </c:pt>
                <c:pt idx="28">
                  <c:v>20100</c:v>
                </c:pt>
                <c:pt idx="29">
                  <c:v>20100</c:v>
                </c:pt>
                <c:pt idx="30">
                  <c:v>20100</c:v>
                </c:pt>
                <c:pt idx="31">
                  <c:v>20100</c:v>
                </c:pt>
                <c:pt idx="32">
                  <c:v>20100</c:v>
                </c:pt>
                <c:pt idx="33">
                  <c:v>20100</c:v>
                </c:pt>
                <c:pt idx="34">
                  <c:v>20100</c:v>
                </c:pt>
                <c:pt idx="35">
                  <c:v>20100</c:v>
                </c:pt>
                <c:pt idx="36">
                  <c:v>20100</c:v>
                </c:pt>
                <c:pt idx="37">
                  <c:v>20100</c:v>
                </c:pt>
                <c:pt idx="38">
                  <c:v>20100</c:v>
                </c:pt>
                <c:pt idx="39">
                  <c:v>20100</c:v>
                </c:pt>
                <c:pt idx="40">
                  <c:v>20100</c:v>
                </c:pt>
                <c:pt idx="41">
                  <c:v>20100</c:v>
                </c:pt>
                <c:pt idx="42">
                  <c:v>20100</c:v>
                </c:pt>
                <c:pt idx="43">
                  <c:v>20100</c:v>
                </c:pt>
                <c:pt idx="44">
                  <c:v>20100</c:v>
                </c:pt>
                <c:pt idx="45">
                  <c:v>20100</c:v>
                </c:pt>
                <c:pt idx="46">
                  <c:v>20100</c:v>
                </c:pt>
                <c:pt idx="47">
                  <c:v>20100</c:v>
                </c:pt>
                <c:pt idx="48">
                  <c:v>20100</c:v>
                </c:pt>
                <c:pt idx="49">
                  <c:v>20100</c:v>
                </c:pt>
                <c:pt idx="50">
                  <c:v>20100</c:v>
                </c:pt>
                <c:pt idx="51">
                  <c:v>20100</c:v>
                </c:pt>
                <c:pt idx="52">
                  <c:v>20100</c:v>
                </c:pt>
                <c:pt idx="53">
                  <c:v>20100</c:v>
                </c:pt>
                <c:pt idx="54">
                  <c:v>20100</c:v>
                </c:pt>
                <c:pt idx="55">
                  <c:v>20100</c:v>
                </c:pt>
                <c:pt idx="56">
                  <c:v>20100</c:v>
                </c:pt>
                <c:pt idx="57">
                  <c:v>20100</c:v>
                </c:pt>
                <c:pt idx="58">
                  <c:v>20100</c:v>
                </c:pt>
                <c:pt idx="59">
                  <c:v>20100</c:v>
                </c:pt>
                <c:pt idx="60">
                  <c:v>20100</c:v>
                </c:pt>
                <c:pt idx="61">
                  <c:v>20100</c:v>
                </c:pt>
                <c:pt idx="62">
                  <c:v>20100</c:v>
                </c:pt>
                <c:pt idx="63">
                  <c:v>20100</c:v>
                </c:pt>
                <c:pt idx="64">
                  <c:v>20100</c:v>
                </c:pt>
                <c:pt idx="65">
                  <c:v>20100</c:v>
                </c:pt>
                <c:pt idx="66">
                  <c:v>20100</c:v>
                </c:pt>
                <c:pt idx="67">
                  <c:v>20100</c:v>
                </c:pt>
                <c:pt idx="68">
                  <c:v>20100</c:v>
                </c:pt>
                <c:pt idx="69">
                  <c:v>20100</c:v>
                </c:pt>
                <c:pt idx="70">
                  <c:v>20100</c:v>
                </c:pt>
                <c:pt idx="71">
                  <c:v>20100</c:v>
                </c:pt>
                <c:pt idx="72">
                  <c:v>20100</c:v>
                </c:pt>
                <c:pt idx="73">
                  <c:v>100000</c:v>
                </c:pt>
                <c:pt idx="74">
                  <c:v>100000</c:v>
                </c:pt>
                <c:pt idx="75">
                  <c:v>100000</c:v>
                </c:pt>
                <c:pt idx="76">
                  <c:v>100000</c:v>
                </c:pt>
                <c:pt idx="77">
                  <c:v>100000</c:v>
                </c:pt>
                <c:pt idx="78">
                  <c:v>100000</c:v>
                </c:pt>
                <c:pt idx="79">
                  <c:v>100000</c:v>
                </c:pt>
                <c:pt idx="80">
                  <c:v>100000</c:v>
                </c:pt>
                <c:pt idx="81">
                  <c:v>100000</c:v>
                </c:pt>
                <c:pt idx="82">
                  <c:v>100000</c:v>
                </c:pt>
                <c:pt idx="83">
                  <c:v>100000</c:v>
                </c:pt>
                <c:pt idx="84">
                  <c:v>100000</c:v>
                </c:pt>
                <c:pt idx="85">
                  <c:v>100000</c:v>
                </c:pt>
                <c:pt idx="86">
                  <c:v>100000</c:v>
                </c:pt>
                <c:pt idx="87">
                  <c:v>100000</c:v>
                </c:pt>
                <c:pt idx="88">
                  <c:v>100000</c:v>
                </c:pt>
                <c:pt idx="89">
                  <c:v>100000</c:v>
                </c:pt>
                <c:pt idx="90">
                  <c:v>100000</c:v>
                </c:pt>
                <c:pt idx="91">
                  <c:v>100000</c:v>
                </c:pt>
                <c:pt idx="92">
                  <c:v>100000</c:v>
                </c:pt>
                <c:pt idx="93">
                  <c:v>100000</c:v>
                </c:pt>
                <c:pt idx="94">
                  <c:v>100000</c:v>
                </c:pt>
                <c:pt idx="95">
                  <c:v>100000</c:v>
                </c:pt>
                <c:pt idx="96">
                  <c:v>100000</c:v>
                </c:pt>
                <c:pt idx="97">
                  <c:v>100000</c:v>
                </c:pt>
                <c:pt idx="98">
                  <c:v>100000</c:v>
                </c:pt>
                <c:pt idx="99">
                  <c:v>100000</c:v>
                </c:pt>
                <c:pt idx="100">
                  <c:v>100000</c:v>
                </c:pt>
                <c:pt idx="101">
                  <c:v>100000</c:v>
                </c:pt>
                <c:pt idx="102">
                  <c:v>100000</c:v>
                </c:pt>
                <c:pt idx="103">
                  <c:v>100000</c:v>
                </c:pt>
                <c:pt idx="104">
                  <c:v>100000</c:v>
                </c:pt>
                <c:pt idx="105">
                  <c:v>100000</c:v>
                </c:pt>
                <c:pt idx="106">
                  <c:v>100000</c:v>
                </c:pt>
                <c:pt idx="107">
                  <c:v>100000</c:v>
                </c:pt>
                <c:pt idx="108">
                  <c:v>100000</c:v>
                </c:pt>
                <c:pt idx="109">
                  <c:v>100000</c:v>
                </c:pt>
                <c:pt idx="110">
                  <c:v>100000</c:v>
                </c:pt>
                <c:pt idx="111">
                  <c:v>100000</c:v>
                </c:pt>
                <c:pt idx="112">
                  <c:v>100000</c:v>
                </c:pt>
                <c:pt idx="113">
                  <c:v>100000</c:v>
                </c:pt>
                <c:pt idx="114">
                  <c:v>100000</c:v>
                </c:pt>
                <c:pt idx="115">
                  <c:v>100000</c:v>
                </c:pt>
                <c:pt idx="116">
                  <c:v>100000</c:v>
                </c:pt>
                <c:pt idx="117">
                  <c:v>100000</c:v>
                </c:pt>
                <c:pt idx="118">
                  <c:v>100000</c:v>
                </c:pt>
                <c:pt idx="119">
                  <c:v>100000</c:v>
                </c:pt>
                <c:pt idx="120">
                  <c:v>100000</c:v>
                </c:pt>
                <c:pt idx="121">
                  <c:v>100000</c:v>
                </c:pt>
                <c:pt idx="122">
                  <c:v>100000</c:v>
                </c:pt>
                <c:pt idx="123">
                  <c:v>100000</c:v>
                </c:pt>
                <c:pt idx="124">
                  <c:v>100000</c:v>
                </c:pt>
                <c:pt idx="125">
                  <c:v>100000</c:v>
                </c:pt>
                <c:pt idx="126">
                  <c:v>100000</c:v>
                </c:pt>
                <c:pt idx="127">
                  <c:v>100000</c:v>
                </c:pt>
                <c:pt idx="128">
                  <c:v>100000</c:v>
                </c:pt>
                <c:pt idx="129">
                  <c:v>100000</c:v>
                </c:pt>
                <c:pt idx="130">
                  <c:v>100000</c:v>
                </c:pt>
                <c:pt idx="131">
                  <c:v>100000</c:v>
                </c:pt>
                <c:pt idx="132">
                  <c:v>100000</c:v>
                </c:pt>
                <c:pt idx="133">
                  <c:v>100000</c:v>
                </c:pt>
                <c:pt idx="134">
                  <c:v>100000</c:v>
                </c:pt>
                <c:pt idx="135">
                  <c:v>100000</c:v>
                </c:pt>
                <c:pt idx="136">
                  <c:v>100000</c:v>
                </c:pt>
                <c:pt idx="137">
                  <c:v>100000</c:v>
                </c:pt>
                <c:pt idx="138">
                  <c:v>100000</c:v>
                </c:pt>
                <c:pt idx="139">
                  <c:v>100000</c:v>
                </c:pt>
                <c:pt idx="140">
                  <c:v>100000</c:v>
                </c:pt>
                <c:pt idx="141">
                  <c:v>100000</c:v>
                </c:pt>
                <c:pt idx="142">
                  <c:v>100000</c:v>
                </c:pt>
                <c:pt idx="143">
                  <c:v>100000</c:v>
                </c:pt>
                <c:pt idx="144">
                  <c:v>100000</c:v>
                </c:pt>
                <c:pt idx="145">
                  <c:v>100000</c:v>
                </c:pt>
                <c:pt idx="146">
                  <c:v>100000</c:v>
                </c:pt>
                <c:pt idx="147">
                  <c:v>100000</c:v>
                </c:pt>
                <c:pt idx="148">
                  <c:v>100000</c:v>
                </c:pt>
                <c:pt idx="149">
                  <c:v>100000</c:v>
                </c:pt>
                <c:pt idx="150">
                  <c:v>100000</c:v>
                </c:pt>
                <c:pt idx="151">
                  <c:v>100000</c:v>
                </c:pt>
                <c:pt idx="152">
                  <c:v>100000</c:v>
                </c:pt>
                <c:pt idx="153">
                  <c:v>100000</c:v>
                </c:pt>
                <c:pt idx="154">
                  <c:v>100000</c:v>
                </c:pt>
                <c:pt idx="155">
                  <c:v>100000</c:v>
                </c:pt>
                <c:pt idx="156">
                  <c:v>100000</c:v>
                </c:pt>
                <c:pt idx="157">
                  <c:v>100000</c:v>
                </c:pt>
                <c:pt idx="158">
                  <c:v>100000</c:v>
                </c:pt>
                <c:pt idx="159">
                  <c:v>100000</c:v>
                </c:pt>
                <c:pt idx="160">
                  <c:v>100000</c:v>
                </c:pt>
                <c:pt idx="161">
                  <c:v>100000</c:v>
                </c:pt>
                <c:pt idx="162">
                  <c:v>100000</c:v>
                </c:pt>
                <c:pt idx="163">
                  <c:v>100000</c:v>
                </c:pt>
                <c:pt idx="164">
                  <c:v>100000</c:v>
                </c:pt>
                <c:pt idx="165">
                  <c:v>100000</c:v>
                </c:pt>
                <c:pt idx="166">
                  <c:v>100000</c:v>
                </c:pt>
                <c:pt idx="167">
                  <c:v>100000</c:v>
                </c:pt>
                <c:pt idx="168">
                  <c:v>100000</c:v>
                </c:pt>
                <c:pt idx="169">
                  <c:v>100000</c:v>
                </c:pt>
                <c:pt idx="170">
                  <c:v>100000</c:v>
                </c:pt>
                <c:pt idx="171">
                  <c:v>100000</c:v>
                </c:pt>
                <c:pt idx="172">
                  <c:v>100000</c:v>
                </c:pt>
                <c:pt idx="173">
                  <c:v>100000</c:v>
                </c:pt>
                <c:pt idx="174">
                  <c:v>100000</c:v>
                </c:pt>
                <c:pt idx="175">
                  <c:v>100000</c:v>
                </c:pt>
                <c:pt idx="176">
                  <c:v>100000</c:v>
                </c:pt>
                <c:pt idx="177">
                  <c:v>100000</c:v>
                </c:pt>
                <c:pt idx="178">
                  <c:v>100000</c:v>
                </c:pt>
                <c:pt idx="179">
                  <c:v>100000</c:v>
                </c:pt>
                <c:pt idx="180">
                  <c:v>100000</c:v>
                </c:pt>
                <c:pt idx="181">
                  <c:v>100000</c:v>
                </c:pt>
                <c:pt idx="182">
                  <c:v>100000</c:v>
                </c:pt>
                <c:pt idx="183">
                  <c:v>100000</c:v>
                </c:pt>
                <c:pt idx="184">
                  <c:v>100000</c:v>
                </c:pt>
                <c:pt idx="185">
                  <c:v>100000</c:v>
                </c:pt>
                <c:pt idx="186">
                  <c:v>100000</c:v>
                </c:pt>
                <c:pt idx="187">
                  <c:v>100000</c:v>
                </c:pt>
                <c:pt idx="188">
                  <c:v>100000</c:v>
                </c:pt>
                <c:pt idx="189">
                  <c:v>100000</c:v>
                </c:pt>
                <c:pt idx="190">
                  <c:v>100000</c:v>
                </c:pt>
                <c:pt idx="191">
                  <c:v>100000</c:v>
                </c:pt>
                <c:pt idx="192">
                  <c:v>100000</c:v>
                </c:pt>
                <c:pt idx="193">
                  <c:v>100000</c:v>
                </c:pt>
                <c:pt idx="194">
                  <c:v>100000</c:v>
                </c:pt>
                <c:pt idx="195">
                  <c:v>100000</c:v>
                </c:pt>
                <c:pt idx="196">
                  <c:v>100000</c:v>
                </c:pt>
                <c:pt idx="197">
                  <c:v>100000</c:v>
                </c:pt>
                <c:pt idx="198">
                  <c:v>100000</c:v>
                </c:pt>
                <c:pt idx="199">
                  <c:v>100000</c:v>
                </c:pt>
                <c:pt idx="200">
                  <c:v>100000</c:v>
                </c:pt>
                <c:pt idx="201">
                  <c:v>100000</c:v>
                </c:pt>
                <c:pt idx="202">
                  <c:v>100000</c:v>
                </c:pt>
                <c:pt idx="203">
                  <c:v>100000</c:v>
                </c:pt>
                <c:pt idx="204">
                  <c:v>100000</c:v>
                </c:pt>
                <c:pt idx="205">
                  <c:v>100000</c:v>
                </c:pt>
                <c:pt idx="206">
                  <c:v>100000</c:v>
                </c:pt>
                <c:pt idx="207">
                  <c:v>100000</c:v>
                </c:pt>
                <c:pt idx="208">
                  <c:v>100000</c:v>
                </c:pt>
                <c:pt idx="209">
                  <c:v>100000</c:v>
                </c:pt>
                <c:pt idx="210">
                  <c:v>100000</c:v>
                </c:pt>
                <c:pt idx="211">
                  <c:v>100000</c:v>
                </c:pt>
                <c:pt idx="212">
                  <c:v>100000</c:v>
                </c:pt>
                <c:pt idx="213">
                  <c:v>100000</c:v>
                </c:pt>
                <c:pt idx="214">
                  <c:v>100000</c:v>
                </c:pt>
                <c:pt idx="215">
                  <c:v>100000</c:v>
                </c:pt>
                <c:pt idx="216">
                  <c:v>100000</c:v>
                </c:pt>
                <c:pt idx="217">
                  <c:v>100000</c:v>
                </c:pt>
                <c:pt idx="218">
                  <c:v>100000</c:v>
                </c:pt>
                <c:pt idx="219">
                  <c:v>100000</c:v>
                </c:pt>
                <c:pt idx="220">
                  <c:v>100000</c:v>
                </c:pt>
                <c:pt idx="221">
                  <c:v>100000</c:v>
                </c:pt>
                <c:pt idx="222">
                  <c:v>100000</c:v>
                </c:pt>
                <c:pt idx="223">
                  <c:v>100000</c:v>
                </c:pt>
                <c:pt idx="224">
                  <c:v>100000</c:v>
                </c:pt>
                <c:pt idx="225">
                  <c:v>100000</c:v>
                </c:pt>
                <c:pt idx="226">
                  <c:v>100000</c:v>
                </c:pt>
                <c:pt idx="227">
                  <c:v>100000</c:v>
                </c:pt>
                <c:pt idx="228">
                  <c:v>100000</c:v>
                </c:pt>
                <c:pt idx="229">
                  <c:v>100000</c:v>
                </c:pt>
                <c:pt idx="230">
                  <c:v>100000</c:v>
                </c:pt>
                <c:pt idx="231">
                  <c:v>100000</c:v>
                </c:pt>
                <c:pt idx="232">
                  <c:v>100000</c:v>
                </c:pt>
                <c:pt idx="233">
                  <c:v>100000</c:v>
                </c:pt>
                <c:pt idx="234">
                  <c:v>100000</c:v>
                </c:pt>
                <c:pt idx="235">
                  <c:v>100000</c:v>
                </c:pt>
                <c:pt idx="236">
                  <c:v>100000</c:v>
                </c:pt>
                <c:pt idx="237">
                  <c:v>100000</c:v>
                </c:pt>
                <c:pt idx="238">
                  <c:v>100000</c:v>
                </c:pt>
                <c:pt idx="239">
                  <c:v>100000</c:v>
                </c:pt>
                <c:pt idx="240">
                  <c:v>100000</c:v>
                </c:pt>
                <c:pt idx="241">
                  <c:v>100000</c:v>
                </c:pt>
                <c:pt idx="242">
                  <c:v>100000</c:v>
                </c:pt>
                <c:pt idx="243">
                  <c:v>100000</c:v>
                </c:pt>
                <c:pt idx="244">
                  <c:v>100000</c:v>
                </c:pt>
                <c:pt idx="245">
                  <c:v>100000</c:v>
                </c:pt>
                <c:pt idx="246">
                  <c:v>100000</c:v>
                </c:pt>
                <c:pt idx="247">
                  <c:v>100000</c:v>
                </c:pt>
                <c:pt idx="248">
                  <c:v>100000</c:v>
                </c:pt>
              </c:numCache>
            </c:numRef>
          </c:val>
          <c:smooth val="0"/>
          <c:extLst>
            <c:ext xmlns:c16="http://schemas.microsoft.com/office/drawing/2014/chart" uri="{C3380CC4-5D6E-409C-BE32-E72D297353CC}">
              <c16:uniqueId val="{00000001-710E-4F43-882E-3D43D14471ED}"/>
            </c:ext>
          </c:extLst>
        </c:ser>
        <c:dLbls>
          <c:showLegendKey val="0"/>
          <c:showVal val="0"/>
          <c:showCatName val="0"/>
          <c:showSerName val="0"/>
          <c:showPercent val="0"/>
          <c:showBubbleSize val="0"/>
        </c:dLbls>
        <c:smooth val="0"/>
        <c:axId val="1218616271"/>
        <c:axId val="1218608783"/>
      </c:lineChart>
      <c:dateAx>
        <c:axId val="1218616271"/>
        <c:scaling>
          <c:orientation val="minMax"/>
        </c:scaling>
        <c:delete val="0"/>
        <c:axPos val="b"/>
        <c:numFmt formatCode="m/d/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vi-VN"/>
          </a:p>
        </c:txPr>
        <c:crossAx val="1218608783"/>
        <c:crosses val="autoZero"/>
        <c:auto val="1"/>
        <c:lblOffset val="100"/>
        <c:baseTimeUnit val="days"/>
      </c:dateAx>
      <c:valAx>
        <c:axId val="1218608783"/>
        <c:scaling>
          <c:orientation val="minMax"/>
          <c:max val="150000"/>
          <c:min val="8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vi-VN"/>
          </a:p>
        </c:txPr>
        <c:crossAx val="121861627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vi-VN"/>
        </a:p>
      </c:txPr>
    </c:legend>
    <c:plotVisOnly val="1"/>
    <c:dispBlanksAs val="gap"/>
    <c:showDLblsOverMax val="0"/>
  </c:chart>
  <c:spPr>
    <a:solidFill>
      <a:schemeClr val="bg1"/>
    </a:solidFill>
    <a:ln w="9525" cap="flat" cmpd="sng" algn="ctr">
      <a:noFill/>
      <a:round/>
    </a:ln>
    <a:effectLst/>
  </c:spPr>
  <c:txPr>
    <a:bodyPr/>
    <a:lstStyle/>
    <a:p>
      <a:pPr>
        <a:defRPr/>
      </a:pPr>
      <a:endParaRPr lang="vi-VN"/>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Tồn</a:t>
            </a:r>
            <a:r>
              <a:rPr lang="en-US" baseline="0"/>
              <a:t> kho ngành</a:t>
            </a:r>
            <a:endParaRPr lang="vi-V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vi-VN"/>
        </a:p>
      </c:txPr>
    </c:title>
    <c:autoTitleDeleted val="0"/>
    <c:plotArea>
      <c:layout/>
      <c:barChart>
        <c:barDir val="col"/>
        <c:grouping val="clustered"/>
        <c:varyColors val="0"/>
        <c:ser>
          <c:idx val="0"/>
          <c:order val="0"/>
          <c:tx>
            <c:strRef>
              <c:f>Valuation_Senario!$A$12</c:f>
              <c:strCache>
                <c:ptCount val="1"/>
                <c:pt idx="0">
                  <c:v>MWG (ICT+CE)</c:v>
                </c:pt>
              </c:strCache>
            </c:strRef>
          </c:tx>
          <c:spPr>
            <a:solidFill>
              <a:schemeClr val="accent1"/>
            </a:solidFill>
            <a:ln>
              <a:noFill/>
            </a:ln>
            <a:effectLst/>
          </c:spPr>
          <c:invertIfNegative val="0"/>
          <c:cat>
            <c:numRef>
              <c:f>Valuation_Senario!$B$11:$F$11</c:f>
              <c:numCache>
                <c:formatCode>General</c:formatCode>
                <c:ptCount val="4"/>
                <c:pt idx="0">
                  <c:v>2018</c:v>
                </c:pt>
                <c:pt idx="1">
                  <c:v>2020</c:v>
                </c:pt>
                <c:pt idx="2">
                  <c:v>2021</c:v>
                </c:pt>
                <c:pt idx="3">
                  <c:v>2022</c:v>
                </c:pt>
              </c:numCache>
            </c:numRef>
          </c:cat>
          <c:val>
            <c:numRef>
              <c:f>Valuation_Senario!$B$12:$F$12</c:f>
              <c:numCache>
                <c:formatCode>0</c:formatCode>
                <c:ptCount val="4"/>
                <c:pt idx="0">
                  <c:v>91.488742283708802</c:v>
                </c:pt>
                <c:pt idx="1">
                  <c:v>88.2007003243409</c:v>
                </c:pt>
                <c:pt idx="2">
                  <c:v>121.54055539184164</c:v>
                </c:pt>
                <c:pt idx="3">
                  <c:v>75.935745830294707</c:v>
                </c:pt>
              </c:numCache>
            </c:numRef>
          </c:val>
          <c:extLst>
            <c:ext xmlns:c16="http://schemas.microsoft.com/office/drawing/2014/chart" uri="{C3380CC4-5D6E-409C-BE32-E72D297353CC}">
              <c16:uniqueId val="{00000000-72E1-4231-83CB-BFCE7F28EA10}"/>
            </c:ext>
          </c:extLst>
        </c:ser>
        <c:ser>
          <c:idx val="1"/>
          <c:order val="1"/>
          <c:tx>
            <c:strRef>
              <c:f>Valuation_Senario!$A$13</c:f>
              <c:strCache>
                <c:ptCount val="1"/>
                <c:pt idx="0">
                  <c:v>FRT</c:v>
                </c:pt>
              </c:strCache>
            </c:strRef>
          </c:tx>
          <c:spPr>
            <a:solidFill>
              <a:schemeClr val="accent2"/>
            </a:solidFill>
            <a:ln>
              <a:noFill/>
            </a:ln>
            <a:effectLst/>
          </c:spPr>
          <c:invertIfNegative val="0"/>
          <c:cat>
            <c:numRef>
              <c:f>Valuation_Senario!$B$11:$F$11</c:f>
              <c:numCache>
                <c:formatCode>General</c:formatCode>
                <c:ptCount val="4"/>
                <c:pt idx="0">
                  <c:v>2018</c:v>
                </c:pt>
                <c:pt idx="1">
                  <c:v>2020</c:v>
                </c:pt>
                <c:pt idx="2">
                  <c:v>2021</c:v>
                </c:pt>
                <c:pt idx="3">
                  <c:v>2022</c:v>
                </c:pt>
              </c:numCache>
            </c:numRef>
          </c:cat>
          <c:val>
            <c:numRef>
              <c:f>Valuation_Senario!$B$13:$F$13</c:f>
              <c:numCache>
                <c:formatCode>0</c:formatCode>
                <c:ptCount val="4"/>
                <c:pt idx="0">
                  <c:v>57.648847277520801</c:v>
                </c:pt>
                <c:pt idx="1">
                  <c:v>75.602487013821403</c:v>
                </c:pt>
                <c:pt idx="2">
                  <c:v>63.978209541918503</c:v>
                </c:pt>
                <c:pt idx="3">
                  <c:v>81.965322787993102</c:v>
                </c:pt>
              </c:numCache>
            </c:numRef>
          </c:val>
          <c:extLst>
            <c:ext xmlns:c16="http://schemas.microsoft.com/office/drawing/2014/chart" uri="{C3380CC4-5D6E-409C-BE32-E72D297353CC}">
              <c16:uniqueId val="{00000001-72E1-4231-83CB-BFCE7F28EA10}"/>
            </c:ext>
          </c:extLst>
        </c:ser>
        <c:ser>
          <c:idx val="2"/>
          <c:order val="2"/>
          <c:tx>
            <c:strRef>
              <c:f>Valuation_Senario!$A$14</c:f>
              <c:strCache>
                <c:ptCount val="1"/>
                <c:pt idx="0">
                  <c:v>PET</c:v>
                </c:pt>
              </c:strCache>
            </c:strRef>
          </c:tx>
          <c:spPr>
            <a:solidFill>
              <a:schemeClr val="accent3"/>
            </a:solidFill>
            <a:ln>
              <a:noFill/>
            </a:ln>
            <a:effectLst/>
          </c:spPr>
          <c:invertIfNegative val="0"/>
          <c:cat>
            <c:numRef>
              <c:f>Valuation_Senario!$B$11:$F$11</c:f>
              <c:numCache>
                <c:formatCode>General</c:formatCode>
                <c:ptCount val="4"/>
                <c:pt idx="0">
                  <c:v>2018</c:v>
                </c:pt>
                <c:pt idx="1">
                  <c:v>2020</c:v>
                </c:pt>
                <c:pt idx="2">
                  <c:v>2021</c:v>
                </c:pt>
                <c:pt idx="3">
                  <c:v>2022</c:v>
                </c:pt>
              </c:numCache>
            </c:numRef>
          </c:cat>
          <c:val>
            <c:numRef>
              <c:f>Valuation_Senario!$B$14:$F$14</c:f>
              <c:numCache>
                <c:formatCode>0</c:formatCode>
                <c:ptCount val="4"/>
                <c:pt idx="0">
                  <c:v>26.239592066986599</c:v>
                </c:pt>
                <c:pt idx="1">
                  <c:v>20.716028738682599</c:v>
                </c:pt>
                <c:pt idx="2">
                  <c:v>13.092606346851399</c:v>
                </c:pt>
                <c:pt idx="3">
                  <c:v>33.446418780280297</c:v>
                </c:pt>
              </c:numCache>
            </c:numRef>
          </c:val>
          <c:extLst>
            <c:ext xmlns:c16="http://schemas.microsoft.com/office/drawing/2014/chart" uri="{C3380CC4-5D6E-409C-BE32-E72D297353CC}">
              <c16:uniqueId val="{00000002-72E1-4231-83CB-BFCE7F28EA10}"/>
            </c:ext>
          </c:extLst>
        </c:ser>
        <c:ser>
          <c:idx val="3"/>
          <c:order val="3"/>
          <c:tx>
            <c:strRef>
              <c:f>Valuation_Senario!$A$15</c:f>
              <c:strCache>
                <c:ptCount val="1"/>
                <c:pt idx="0">
                  <c:v>DGW</c:v>
                </c:pt>
              </c:strCache>
            </c:strRef>
          </c:tx>
          <c:spPr>
            <a:solidFill>
              <a:schemeClr val="accent4"/>
            </a:solidFill>
            <a:ln>
              <a:noFill/>
            </a:ln>
            <a:effectLst/>
          </c:spPr>
          <c:invertIfNegative val="0"/>
          <c:cat>
            <c:numRef>
              <c:f>Valuation_Senario!$B$11:$F$11</c:f>
              <c:numCache>
                <c:formatCode>General</c:formatCode>
                <c:ptCount val="4"/>
                <c:pt idx="0">
                  <c:v>2018</c:v>
                </c:pt>
                <c:pt idx="1">
                  <c:v>2020</c:v>
                </c:pt>
                <c:pt idx="2">
                  <c:v>2021</c:v>
                </c:pt>
                <c:pt idx="3">
                  <c:v>2022</c:v>
                </c:pt>
              </c:numCache>
            </c:numRef>
          </c:cat>
          <c:val>
            <c:numRef>
              <c:f>Valuation_Senario!$B$15:$F$15</c:f>
              <c:numCache>
                <c:formatCode>0</c:formatCode>
                <c:ptCount val="4"/>
                <c:pt idx="0">
                  <c:v>58.3468824703019</c:v>
                </c:pt>
                <c:pt idx="1">
                  <c:v>27.390585155102599</c:v>
                </c:pt>
                <c:pt idx="2">
                  <c:v>18.100419331306099</c:v>
                </c:pt>
                <c:pt idx="3">
                  <c:v>37.116430713539401</c:v>
                </c:pt>
              </c:numCache>
            </c:numRef>
          </c:val>
          <c:extLst>
            <c:ext xmlns:c16="http://schemas.microsoft.com/office/drawing/2014/chart" uri="{C3380CC4-5D6E-409C-BE32-E72D297353CC}">
              <c16:uniqueId val="{00000003-72E1-4231-83CB-BFCE7F28EA10}"/>
            </c:ext>
          </c:extLst>
        </c:ser>
        <c:ser>
          <c:idx val="4"/>
          <c:order val="4"/>
          <c:tx>
            <c:strRef>
              <c:f>Valuation_Senario!$A$16</c:f>
              <c:strCache>
                <c:ptCount val="1"/>
                <c:pt idx="0">
                  <c:v>MWG (BHX)</c:v>
                </c:pt>
              </c:strCache>
            </c:strRef>
          </c:tx>
          <c:spPr>
            <a:solidFill>
              <a:schemeClr val="accent5"/>
            </a:solidFill>
            <a:ln>
              <a:noFill/>
            </a:ln>
            <a:effectLst/>
          </c:spPr>
          <c:invertIfNegative val="0"/>
          <c:cat>
            <c:numRef>
              <c:f>Valuation_Senario!$B$11:$F$11</c:f>
              <c:numCache>
                <c:formatCode>General</c:formatCode>
                <c:ptCount val="4"/>
                <c:pt idx="0">
                  <c:v>2018</c:v>
                </c:pt>
                <c:pt idx="1">
                  <c:v>2020</c:v>
                </c:pt>
                <c:pt idx="2">
                  <c:v>2021</c:v>
                </c:pt>
                <c:pt idx="3">
                  <c:v>2022</c:v>
                </c:pt>
              </c:numCache>
            </c:numRef>
          </c:cat>
          <c:val>
            <c:numRef>
              <c:f>Valuation_Senario!$B$16:$F$16</c:f>
              <c:numCache>
                <c:formatCode>0</c:formatCode>
                <c:ptCount val="4"/>
                <c:pt idx="0">
                  <c:v>61.831686789600248</c:v>
                </c:pt>
                <c:pt idx="1">
                  <c:v>71.032457072578708</c:v>
                </c:pt>
                <c:pt idx="2">
                  <c:v>81.796724852074462</c:v>
                </c:pt>
                <c:pt idx="3">
                  <c:v>70.464383759752181</c:v>
                </c:pt>
              </c:numCache>
            </c:numRef>
          </c:val>
          <c:extLst>
            <c:ext xmlns:c16="http://schemas.microsoft.com/office/drawing/2014/chart" uri="{C3380CC4-5D6E-409C-BE32-E72D297353CC}">
              <c16:uniqueId val="{00000004-72E1-4231-83CB-BFCE7F28EA10}"/>
            </c:ext>
          </c:extLst>
        </c:ser>
        <c:ser>
          <c:idx val="5"/>
          <c:order val="5"/>
          <c:tx>
            <c:strRef>
              <c:f>Valuation_Senario!$A$17</c:f>
              <c:strCache>
                <c:ptCount val="1"/>
                <c:pt idx="0">
                  <c:v>MSN WCM</c:v>
                </c:pt>
              </c:strCache>
            </c:strRef>
          </c:tx>
          <c:spPr>
            <a:solidFill>
              <a:schemeClr val="accent6"/>
            </a:solidFill>
            <a:ln>
              <a:noFill/>
            </a:ln>
            <a:effectLst/>
          </c:spPr>
          <c:invertIfNegative val="0"/>
          <c:cat>
            <c:numRef>
              <c:f>Valuation_Senario!$B$11:$F$11</c:f>
              <c:numCache>
                <c:formatCode>General</c:formatCode>
                <c:ptCount val="4"/>
                <c:pt idx="0">
                  <c:v>2018</c:v>
                </c:pt>
                <c:pt idx="1">
                  <c:v>2020</c:v>
                </c:pt>
                <c:pt idx="2">
                  <c:v>2021</c:v>
                </c:pt>
                <c:pt idx="3">
                  <c:v>2022</c:v>
                </c:pt>
              </c:numCache>
            </c:numRef>
          </c:cat>
          <c:val>
            <c:numRef>
              <c:f>Valuation_Senario!$B$17:$F$17</c:f>
              <c:numCache>
                <c:formatCode>0</c:formatCode>
                <c:ptCount val="4"/>
                <c:pt idx="0">
                  <c:v>0</c:v>
                </c:pt>
                <c:pt idx="1">
                  <c:v>46.897382117610498</c:v>
                </c:pt>
                <c:pt idx="2">
                  <c:v>55.974157485417997</c:v>
                </c:pt>
                <c:pt idx="3">
                  <c:v>62.068445784200698</c:v>
                </c:pt>
              </c:numCache>
            </c:numRef>
          </c:val>
          <c:extLst>
            <c:ext xmlns:c16="http://schemas.microsoft.com/office/drawing/2014/chart" uri="{C3380CC4-5D6E-409C-BE32-E72D297353CC}">
              <c16:uniqueId val="{00000005-72E1-4231-83CB-BFCE7F28EA10}"/>
            </c:ext>
          </c:extLst>
        </c:ser>
        <c:ser>
          <c:idx val="6"/>
          <c:order val="6"/>
          <c:tx>
            <c:strRef>
              <c:f>Valuation_Senario!$A$18</c:f>
              <c:strCache>
                <c:ptCount val="1"/>
                <c:pt idx="0">
                  <c:v>Trung bình </c:v>
                </c:pt>
              </c:strCache>
            </c:strRef>
          </c:tx>
          <c:spPr>
            <a:solidFill>
              <a:schemeClr val="accent1">
                <a:lumMod val="60000"/>
              </a:schemeClr>
            </a:solidFill>
            <a:ln>
              <a:noFill/>
            </a:ln>
            <a:effectLst/>
          </c:spPr>
          <c:invertIfNegative val="0"/>
          <c:cat>
            <c:numRef>
              <c:f>Valuation_Senario!$B$11:$F$11</c:f>
              <c:numCache>
                <c:formatCode>General</c:formatCode>
                <c:ptCount val="4"/>
                <c:pt idx="0">
                  <c:v>2018</c:v>
                </c:pt>
                <c:pt idx="1">
                  <c:v>2020</c:v>
                </c:pt>
                <c:pt idx="2">
                  <c:v>2021</c:v>
                </c:pt>
                <c:pt idx="3">
                  <c:v>2022</c:v>
                </c:pt>
              </c:numCache>
            </c:numRef>
          </c:cat>
          <c:val>
            <c:numRef>
              <c:f>Valuation_Senario!$B$18:$F$18</c:f>
              <c:numCache>
                <c:formatCode>0</c:formatCode>
                <c:ptCount val="4"/>
                <c:pt idx="0">
                  <c:v>53.630368245807297</c:v>
                </c:pt>
                <c:pt idx="1">
                  <c:v>62.512959784266997</c:v>
                </c:pt>
                <c:pt idx="2">
                  <c:v>56.056879619121901</c:v>
                </c:pt>
                <c:pt idx="3">
                  <c:v>68.199582085917399</c:v>
                </c:pt>
              </c:numCache>
            </c:numRef>
          </c:val>
          <c:extLst>
            <c:ext xmlns:c16="http://schemas.microsoft.com/office/drawing/2014/chart" uri="{C3380CC4-5D6E-409C-BE32-E72D297353CC}">
              <c16:uniqueId val="{00000006-72E1-4231-83CB-BFCE7F28EA10}"/>
            </c:ext>
          </c:extLst>
        </c:ser>
        <c:dLbls>
          <c:showLegendKey val="0"/>
          <c:showVal val="0"/>
          <c:showCatName val="0"/>
          <c:showSerName val="0"/>
          <c:showPercent val="0"/>
          <c:showBubbleSize val="0"/>
        </c:dLbls>
        <c:gapWidth val="219"/>
        <c:overlap val="-27"/>
        <c:axId val="776879535"/>
        <c:axId val="776881615"/>
      </c:barChart>
      <c:catAx>
        <c:axId val="7768795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vi-VN"/>
          </a:p>
        </c:txPr>
        <c:crossAx val="776881615"/>
        <c:crosses val="autoZero"/>
        <c:auto val="1"/>
        <c:lblAlgn val="ctr"/>
        <c:lblOffset val="100"/>
        <c:noMultiLvlLbl val="0"/>
      </c:catAx>
      <c:valAx>
        <c:axId val="776881615"/>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vi-VN"/>
          </a:p>
        </c:txPr>
        <c:crossAx val="77687953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vi-V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vi-VN"/>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vi-VN"/>
        </a:p>
      </c:txPr>
    </c:title>
    <c:autoTitleDeleted val="0"/>
    <c:plotArea>
      <c:layout/>
      <c:barChart>
        <c:barDir val="col"/>
        <c:grouping val="clustered"/>
        <c:varyColors val="0"/>
        <c:ser>
          <c:idx val="0"/>
          <c:order val="0"/>
          <c:tx>
            <c:strRef>
              <c:f>Valuation_Senario!$B$33</c:f>
              <c:strCache>
                <c:ptCount val="1"/>
                <c:pt idx="0">
                  <c:v>Trung bình DT/CH - Tỷ đồng/tháng</c:v>
                </c:pt>
              </c:strCache>
            </c:strRef>
          </c:tx>
          <c:spPr>
            <a:solidFill>
              <a:schemeClr val="accent2"/>
            </a:solidFill>
            <a:ln>
              <a:noFill/>
            </a:ln>
            <a:effectLst/>
          </c:spPr>
          <c:invertIfNegative val="0"/>
          <c:cat>
            <c:strRef>
              <c:f>Valuation_Senario!$C$32:$J$32</c:f>
              <c:strCache>
                <c:ptCount val="7"/>
                <c:pt idx="0">
                  <c:v>Q2/2021</c:v>
                </c:pt>
                <c:pt idx="1">
                  <c:v>Q3/2021</c:v>
                </c:pt>
                <c:pt idx="2">
                  <c:v>Q4/2021</c:v>
                </c:pt>
                <c:pt idx="3">
                  <c:v>Q1/2022</c:v>
                </c:pt>
                <c:pt idx="4">
                  <c:v>Q2/2022</c:v>
                </c:pt>
                <c:pt idx="5">
                  <c:v>Q3/2022</c:v>
                </c:pt>
                <c:pt idx="6">
                  <c:v>Q4/2022</c:v>
                </c:pt>
              </c:strCache>
            </c:strRef>
          </c:cat>
          <c:val>
            <c:numRef>
              <c:f>Valuation_Senario!$C$33:$J$33</c:f>
              <c:numCache>
                <c:formatCode>_(* #,##0.0_);_(* \(#,##0.0\);_(* "-"??_);_(@_)</c:formatCode>
                <c:ptCount val="7"/>
                <c:pt idx="0">
                  <c:v>1.3727773256889215</c:v>
                </c:pt>
                <c:pt idx="1">
                  <c:v>1.6251844917424716</c:v>
                </c:pt>
                <c:pt idx="2">
                  <c:v>0.94271663712332188</c:v>
                </c:pt>
                <c:pt idx="3">
                  <c:v>0.97110012460307893</c:v>
                </c:pt>
                <c:pt idx="4">
                  <c:v>1.0913302730128052</c:v>
                </c:pt>
                <c:pt idx="5">
                  <c:v>1.2679725795682169</c:v>
                </c:pt>
                <c:pt idx="6">
                  <c:v>1.3774982610623734</c:v>
                </c:pt>
              </c:numCache>
            </c:numRef>
          </c:val>
          <c:extLst>
            <c:ext xmlns:c16="http://schemas.microsoft.com/office/drawing/2014/chart" uri="{C3380CC4-5D6E-409C-BE32-E72D297353CC}">
              <c16:uniqueId val="{00000000-8A83-4F03-ACBD-D9C2D34C030E}"/>
            </c:ext>
          </c:extLst>
        </c:ser>
        <c:ser>
          <c:idx val="1"/>
          <c:order val="1"/>
          <c:tx>
            <c:strRef>
              <c:f>Valuation_Senario!$B$36</c:f>
              <c:strCache>
                <c:ptCount val="1"/>
                <c:pt idx="0">
                  <c:v>Trung bình DT/CH - Tỷ đồng/tháng</c:v>
                </c:pt>
              </c:strCache>
            </c:strRef>
          </c:tx>
          <c:spPr>
            <a:solidFill>
              <a:schemeClr val="bg1">
                <a:lumMod val="65000"/>
              </a:schemeClr>
            </a:solidFill>
            <a:ln>
              <a:noFill/>
            </a:ln>
            <a:effectLst/>
          </c:spPr>
          <c:invertIfNegative val="0"/>
          <c:cat>
            <c:strRef>
              <c:f>Valuation_Senario!$C$32:$J$32</c:f>
              <c:strCache>
                <c:ptCount val="7"/>
                <c:pt idx="0">
                  <c:v>Q2/2021</c:v>
                </c:pt>
                <c:pt idx="1">
                  <c:v>Q3/2021</c:v>
                </c:pt>
                <c:pt idx="2">
                  <c:v>Q4/2021</c:v>
                </c:pt>
                <c:pt idx="3">
                  <c:v>Q1/2022</c:v>
                </c:pt>
                <c:pt idx="4">
                  <c:v>Q2/2022</c:v>
                </c:pt>
                <c:pt idx="5">
                  <c:v>Q3/2022</c:v>
                </c:pt>
                <c:pt idx="6">
                  <c:v>Q4/2022</c:v>
                </c:pt>
              </c:strCache>
            </c:strRef>
          </c:cat>
          <c:val>
            <c:numRef>
              <c:f>Valuation_Senario!$C$36:$J$36</c:f>
              <c:numCache>
                <c:formatCode>_(* #,##0.0_);_(* \(#,##0.0\);_(* "-"??_);_(@_)</c:formatCode>
                <c:ptCount val="7"/>
                <c:pt idx="0">
                  <c:v>0.74456156088809156</c:v>
                </c:pt>
                <c:pt idx="1">
                  <c:v>0.96412719202503094</c:v>
                </c:pt>
                <c:pt idx="2">
                  <c:v>0.6433811158220607</c:v>
                </c:pt>
                <c:pt idx="3">
                  <c:v>0.59520680808460047</c:v>
                </c:pt>
                <c:pt idx="4">
                  <c:v>0.57002926596189452</c:v>
                </c:pt>
                <c:pt idx="5">
                  <c:v>0.58710005078720162</c:v>
                </c:pt>
                <c:pt idx="6">
                  <c:v>0.53675267795894677</c:v>
                </c:pt>
              </c:numCache>
            </c:numRef>
          </c:val>
          <c:extLst>
            <c:ext xmlns:c16="http://schemas.microsoft.com/office/drawing/2014/chart" uri="{C3380CC4-5D6E-409C-BE32-E72D297353CC}">
              <c16:uniqueId val="{00000001-8A83-4F03-ACBD-D9C2D34C030E}"/>
            </c:ext>
          </c:extLst>
        </c:ser>
        <c:dLbls>
          <c:showLegendKey val="0"/>
          <c:showVal val="0"/>
          <c:showCatName val="0"/>
          <c:showSerName val="0"/>
          <c:showPercent val="0"/>
          <c:showBubbleSize val="0"/>
        </c:dLbls>
        <c:gapWidth val="219"/>
        <c:overlap val="-27"/>
        <c:axId val="1138724591"/>
        <c:axId val="1138745807"/>
      </c:barChart>
      <c:lineChart>
        <c:grouping val="standard"/>
        <c:varyColors val="0"/>
        <c:ser>
          <c:idx val="2"/>
          <c:order val="2"/>
          <c:tx>
            <c:strRef>
              <c:f>Valuation_Senario!$B$34</c:f>
              <c:strCache>
                <c:ptCount val="1"/>
                <c:pt idx="0">
                  <c:v>EBITDA (%)</c:v>
                </c:pt>
              </c:strCache>
            </c:strRef>
          </c:tx>
          <c:spPr>
            <a:ln w="28575" cap="rnd">
              <a:solidFill>
                <a:schemeClr val="accent4"/>
              </a:solidFill>
              <a:round/>
            </a:ln>
            <a:effectLst/>
          </c:spPr>
          <c:marker>
            <c:symbol val="none"/>
          </c:marker>
          <c:cat>
            <c:strRef>
              <c:f>Valuation_Senario!$C$32:$J$32</c:f>
              <c:strCache>
                <c:ptCount val="7"/>
                <c:pt idx="0">
                  <c:v>Q2/2021</c:v>
                </c:pt>
                <c:pt idx="1">
                  <c:v>Q3/2021</c:v>
                </c:pt>
                <c:pt idx="2">
                  <c:v>Q4/2021</c:v>
                </c:pt>
                <c:pt idx="3">
                  <c:v>Q1/2022</c:v>
                </c:pt>
                <c:pt idx="4">
                  <c:v>Q2/2022</c:v>
                </c:pt>
                <c:pt idx="5">
                  <c:v>Q3/2022</c:v>
                </c:pt>
                <c:pt idx="6">
                  <c:v>Q4/2022</c:v>
                </c:pt>
              </c:strCache>
            </c:strRef>
          </c:cat>
          <c:val>
            <c:numRef>
              <c:f>Valuation_Senario!$C$34:$J$34</c:f>
              <c:numCache>
                <c:formatCode>0.0%</c:formatCode>
                <c:ptCount val="7"/>
                <c:pt idx="0">
                  <c:v>-1.8015980311784113E-2</c:v>
                </c:pt>
                <c:pt idx="1">
                  <c:v>3.8135708400026135E-2</c:v>
                </c:pt>
                <c:pt idx="2">
                  <c:v>4.9341945276119119E-2</c:v>
                </c:pt>
                <c:pt idx="3">
                  <c:v>-7.3563929528429536E-2</c:v>
                </c:pt>
                <c:pt idx="4">
                  <c:v>-0.10077015066166309</c:v>
                </c:pt>
                <c:pt idx="5">
                  <c:v>-7.4924686242166499E-2</c:v>
                </c:pt>
                <c:pt idx="6">
                  <c:v>-2.3986594227997583E-3</c:v>
                </c:pt>
              </c:numCache>
            </c:numRef>
          </c:val>
          <c:smooth val="0"/>
          <c:extLst>
            <c:ext xmlns:c16="http://schemas.microsoft.com/office/drawing/2014/chart" uri="{C3380CC4-5D6E-409C-BE32-E72D297353CC}">
              <c16:uniqueId val="{00000002-8A83-4F03-ACBD-D9C2D34C030E}"/>
            </c:ext>
          </c:extLst>
        </c:ser>
        <c:ser>
          <c:idx val="3"/>
          <c:order val="3"/>
          <c:tx>
            <c:strRef>
              <c:f>Valuation_Senario!$B$37</c:f>
              <c:strCache>
                <c:ptCount val="1"/>
                <c:pt idx="0">
                  <c:v>EBITDA (%)</c:v>
                </c:pt>
              </c:strCache>
            </c:strRef>
          </c:tx>
          <c:spPr>
            <a:ln w="28575" cap="rnd">
              <a:solidFill>
                <a:schemeClr val="bg1">
                  <a:lumMod val="50000"/>
                </a:schemeClr>
              </a:solidFill>
              <a:round/>
            </a:ln>
            <a:effectLst/>
          </c:spPr>
          <c:marker>
            <c:symbol val="none"/>
          </c:marker>
          <c:cat>
            <c:strRef>
              <c:f>Valuation_Senario!$C$32:$J$32</c:f>
              <c:strCache>
                <c:ptCount val="7"/>
                <c:pt idx="0">
                  <c:v>Q2/2021</c:v>
                </c:pt>
                <c:pt idx="1">
                  <c:v>Q3/2021</c:v>
                </c:pt>
                <c:pt idx="2">
                  <c:v>Q4/2021</c:v>
                </c:pt>
                <c:pt idx="3">
                  <c:v>Q1/2022</c:v>
                </c:pt>
                <c:pt idx="4">
                  <c:v>Q2/2022</c:v>
                </c:pt>
                <c:pt idx="5">
                  <c:v>Q3/2022</c:v>
                </c:pt>
                <c:pt idx="6">
                  <c:v>Q4/2022</c:v>
                </c:pt>
              </c:strCache>
            </c:strRef>
          </c:cat>
          <c:val>
            <c:numRef>
              <c:f>Valuation_Senario!$C$37:$J$37</c:f>
              <c:numCache>
                <c:formatCode>0.0%</c:formatCode>
                <c:ptCount val="7"/>
                <c:pt idx="0">
                  <c:v>2.1727096595626903E-2</c:v>
                </c:pt>
                <c:pt idx="1">
                  <c:v>5.5199916045755061E-2</c:v>
                </c:pt>
                <c:pt idx="2">
                  <c:v>4.9454545454545452E-2</c:v>
                </c:pt>
                <c:pt idx="3">
                  <c:v>2.257087806220754E-2</c:v>
                </c:pt>
                <c:pt idx="4">
                  <c:v>2.1546803652968037E-2</c:v>
                </c:pt>
                <c:pt idx="5">
                  <c:v>3.2892150438998818E-2</c:v>
                </c:pt>
                <c:pt idx="6">
                  <c:v>3.1886387995712757E-2</c:v>
                </c:pt>
              </c:numCache>
            </c:numRef>
          </c:val>
          <c:smooth val="0"/>
          <c:extLst>
            <c:ext xmlns:c16="http://schemas.microsoft.com/office/drawing/2014/chart" uri="{C3380CC4-5D6E-409C-BE32-E72D297353CC}">
              <c16:uniqueId val="{00000003-8A83-4F03-ACBD-D9C2D34C030E}"/>
            </c:ext>
          </c:extLst>
        </c:ser>
        <c:dLbls>
          <c:showLegendKey val="0"/>
          <c:showVal val="0"/>
          <c:showCatName val="0"/>
          <c:showSerName val="0"/>
          <c:showPercent val="0"/>
          <c:showBubbleSize val="0"/>
        </c:dLbls>
        <c:marker val="1"/>
        <c:smooth val="0"/>
        <c:axId val="1138729583"/>
        <c:axId val="1138728751"/>
      </c:lineChart>
      <c:catAx>
        <c:axId val="11387245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vi-VN"/>
          </a:p>
        </c:txPr>
        <c:crossAx val="1138745807"/>
        <c:crosses val="autoZero"/>
        <c:auto val="1"/>
        <c:lblAlgn val="ctr"/>
        <c:lblOffset val="100"/>
        <c:noMultiLvlLbl val="0"/>
      </c:catAx>
      <c:valAx>
        <c:axId val="1138745807"/>
        <c:scaling>
          <c:orientation val="minMax"/>
        </c:scaling>
        <c:delete val="0"/>
        <c:axPos val="l"/>
        <c:numFmt formatCode="_(* #,##0.0_);_(* \(#,##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vi-VN"/>
          </a:p>
        </c:txPr>
        <c:crossAx val="1138724591"/>
        <c:crosses val="autoZero"/>
        <c:crossBetween val="between"/>
      </c:valAx>
      <c:valAx>
        <c:axId val="1138728751"/>
        <c:scaling>
          <c:orientation val="minMax"/>
        </c:scaling>
        <c:delete val="0"/>
        <c:axPos val="r"/>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vi-VN"/>
          </a:p>
        </c:txPr>
        <c:crossAx val="1138729583"/>
        <c:crosses val="max"/>
        <c:crossBetween val="between"/>
      </c:valAx>
      <c:catAx>
        <c:axId val="1138729583"/>
        <c:scaling>
          <c:orientation val="minMax"/>
        </c:scaling>
        <c:delete val="1"/>
        <c:axPos val="b"/>
        <c:numFmt formatCode="General" sourceLinked="1"/>
        <c:majorTickMark val="none"/>
        <c:minorTickMark val="none"/>
        <c:tickLblPos val="nextTo"/>
        <c:crossAx val="1138728751"/>
        <c:crosses val="autoZero"/>
        <c:auto val="1"/>
        <c:lblAlgn val="ctr"/>
        <c:lblOffset val="100"/>
        <c:noMultiLvlLbl val="0"/>
      </c:catAx>
      <c:spPr>
        <a:noFill/>
        <a:ln>
          <a:noFill/>
        </a:ln>
        <a:effectLst/>
      </c:spPr>
    </c:plotArea>
    <c:legend>
      <c:legendPos val="b"/>
      <c:layout>
        <c:manualLayout>
          <c:xMode val="edge"/>
          <c:yMode val="edge"/>
          <c:x val="0"/>
          <c:y val="0.81481262758821815"/>
          <c:w val="1"/>
          <c:h val="0.1851873724117818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vi-V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vi-VN"/>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vi-VN"/>
        </a:p>
      </c:txPr>
    </c:title>
    <c:autoTitleDeleted val="0"/>
    <c:plotArea>
      <c:layout/>
      <c:barChart>
        <c:barDir val="col"/>
        <c:grouping val="clustered"/>
        <c:varyColors val="0"/>
        <c:ser>
          <c:idx val="0"/>
          <c:order val="0"/>
          <c:tx>
            <c:strRef>
              <c:f>Valuation_Senario!$A$44</c:f>
              <c:strCache>
                <c:ptCount val="1"/>
                <c:pt idx="0">
                  <c:v>DT/CH TGDĐ +DMX (tỷ VND/tháng)</c:v>
                </c:pt>
              </c:strCache>
            </c:strRef>
          </c:tx>
          <c:spPr>
            <a:solidFill>
              <a:schemeClr val="accent1"/>
            </a:solidFill>
            <a:ln>
              <a:noFill/>
            </a:ln>
            <a:effectLst/>
          </c:spPr>
          <c:invertIfNegative val="0"/>
          <c:cat>
            <c:strRef>
              <c:f>Valuation_Senario!$B$43:$I$43</c:f>
              <c:strCache>
                <c:ptCount val="7"/>
                <c:pt idx="0">
                  <c:v>Q1/2021</c:v>
                </c:pt>
                <c:pt idx="1">
                  <c:v>Q3/2021</c:v>
                </c:pt>
                <c:pt idx="2">
                  <c:v>Q4/2021</c:v>
                </c:pt>
                <c:pt idx="3">
                  <c:v>Q1/2022</c:v>
                </c:pt>
                <c:pt idx="4">
                  <c:v>Q2/2022</c:v>
                </c:pt>
                <c:pt idx="5">
                  <c:v>Q3/2022</c:v>
                </c:pt>
                <c:pt idx="6">
                  <c:v>Q4/2022</c:v>
                </c:pt>
              </c:strCache>
            </c:strRef>
          </c:cat>
          <c:val>
            <c:numRef>
              <c:f>Valuation_Senario!$B$44:$I$44</c:f>
              <c:numCache>
                <c:formatCode>_-* #,##0.00\ _₫_-;\-* #,##0.00\ _₫_-;_-* "-"??\ _₫_-;_-@_-</c:formatCode>
                <c:ptCount val="7"/>
                <c:pt idx="0">
                  <c:v>3.4537538525614333</c:v>
                </c:pt>
                <c:pt idx="1">
                  <c:v>1.8491044831419048</c:v>
                </c:pt>
                <c:pt idx="2">
                  <c:v>3.5610124714561748</c:v>
                </c:pt>
                <c:pt idx="3">
                  <c:v>3.2808599288336722</c:v>
                </c:pt>
                <c:pt idx="4">
                  <c:v>2.8234840552050362</c:v>
                </c:pt>
                <c:pt idx="5">
                  <c:v>2.3425541888832502</c:v>
                </c:pt>
                <c:pt idx="6">
                  <c:v>2.0989600295055593</c:v>
                </c:pt>
              </c:numCache>
            </c:numRef>
          </c:val>
          <c:extLst>
            <c:ext xmlns:c16="http://schemas.microsoft.com/office/drawing/2014/chart" uri="{C3380CC4-5D6E-409C-BE32-E72D297353CC}">
              <c16:uniqueId val="{00000000-0746-47DD-9F6F-CA0E5B329140}"/>
            </c:ext>
          </c:extLst>
        </c:ser>
        <c:ser>
          <c:idx val="2"/>
          <c:order val="2"/>
          <c:tx>
            <c:strRef>
              <c:f>Valuation_Senario!$A$52</c:f>
              <c:strCache>
                <c:ptCount val="1"/>
                <c:pt idx="0">
                  <c:v>DT/CH TB tháng FPT Shop (tỷ VND)</c:v>
                </c:pt>
              </c:strCache>
            </c:strRef>
          </c:tx>
          <c:spPr>
            <a:solidFill>
              <a:schemeClr val="accent3"/>
            </a:solidFill>
            <a:ln>
              <a:noFill/>
            </a:ln>
            <a:effectLst/>
          </c:spPr>
          <c:invertIfNegative val="0"/>
          <c:cat>
            <c:strRef>
              <c:f>Valuation_Senario!$B$43:$I$43</c:f>
              <c:strCache>
                <c:ptCount val="7"/>
                <c:pt idx="0">
                  <c:v>Q1/2021</c:v>
                </c:pt>
                <c:pt idx="1">
                  <c:v>Q3/2021</c:v>
                </c:pt>
                <c:pt idx="2">
                  <c:v>Q4/2021</c:v>
                </c:pt>
                <c:pt idx="3">
                  <c:v>Q1/2022</c:v>
                </c:pt>
                <c:pt idx="4">
                  <c:v>Q2/2022</c:v>
                </c:pt>
                <c:pt idx="5">
                  <c:v>Q3/2022</c:v>
                </c:pt>
                <c:pt idx="6">
                  <c:v>Q4/2022</c:v>
                </c:pt>
              </c:strCache>
            </c:strRef>
          </c:cat>
          <c:val>
            <c:numRef>
              <c:f>Valuation_Senario!$B$52:$I$52</c:f>
              <c:numCache>
                <c:formatCode>_(* #,##0.0_);_(* \(#,##0.0\);_(* "-"??_);_(@_)</c:formatCode>
                <c:ptCount val="7"/>
                <c:pt idx="0">
                  <c:v>0</c:v>
                </c:pt>
                <c:pt idx="1">
                  <c:v>6.6053816500283551</c:v>
                </c:pt>
                <c:pt idx="2">
                  <c:v>4.5839077838783426</c:v>
                </c:pt>
                <c:pt idx="3">
                  <c:v>1.9935763161569613</c:v>
                </c:pt>
                <c:pt idx="4">
                  <c:v>2.2774431057563587</c:v>
                </c:pt>
                <c:pt idx="5">
                  <c:v>1.9603045133224579</c:v>
                </c:pt>
                <c:pt idx="6">
                  <c:v>2.0216170214782725</c:v>
                </c:pt>
              </c:numCache>
            </c:numRef>
          </c:val>
          <c:extLst>
            <c:ext xmlns:c16="http://schemas.microsoft.com/office/drawing/2014/chart" uri="{C3380CC4-5D6E-409C-BE32-E72D297353CC}">
              <c16:uniqueId val="{00000002-0746-47DD-9F6F-CA0E5B329140}"/>
            </c:ext>
          </c:extLst>
        </c:ser>
        <c:dLbls>
          <c:showLegendKey val="0"/>
          <c:showVal val="0"/>
          <c:showCatName val="0"/>
          <c:showSerName val="0"/>
          <c:showPercent val="0"/>
          <c:showBubbleSize val="0"/>
        </c:dLbls>
        <c:gapWidth val="219"/>
        <c:overlap val="-27"/>
        <c:axId val="495959935"/>
        <c:axId val="495957023"/>
      </c:barChart>
      <c:lineChart>
        <c:grouping val="standard"/>
        <c:varyColors val="0"/>
        <c:ser>
          <c:idx val="1"/>
          <c:order val="1"/>
          <c:tx>
            <c:strRef>
              <c:f>Valuation_Senario!$A$45</c:f>
              <c:strCache>
                <c:ptCount val="1"/>
                <c:pt idx="0">
                  <c:v>%YoY </c:v>
                </c:pt>
              </c:strCache>
            </c:strRef>
          </c:tx>
          <c:spPr>
            <a:ln w="28575" cap="rnd">
              <a:solidFill>
                <a:schemeClr val="accent2"/>
              </a:solidFill>
              <a:round/>
            </a:ln>
            <a:effectLst/>
          </c:spPr>
          <c:marker>
            <c:symbol val="none"/>
          </c:marker>
          <c:cat>
            <c:strRef>
              <c:f>Valuation_Senario!$B$43:$I$43</c:f>
              <c:strCache>
                <c:ptCount val="7"/>
                <c:pt idx="0">
                  <c:v>Q1/2021</c:v>
                </c:pt>
                <c:pt idx="1">
                  <c:v>Q3/2021</c:v>
                </c:pt>
                <c:pt idx="2">
                  <c:v>Q4/2021</c:v>
                </c:pt>
                <c:pt idx="3">
                  <c:v>Q1/2022</c:v>
                </c:pt>
                <c:pt idx="4">
                  <c:v>Q2/2022</c:v>
                </c:pt>
                <c:pt idx="5">
                  <c:v>Q3/2022</c:v>
                </c:pt>
                <c:pt idx="6">
                  <c:v>Q4/2022</c:v>
                </c:pt>
              </c:strCache>
            </c:strRef>
          </c:cat>
          <c:val>
            <c:numRef>
              <c:f>Valuation_Senario!$B$45:$I$45</c:f>
              <c:numCache>
                <c:formatCode>0%</c:formatCode>
                <c:ptCount val="7"/>
                <c:pt idx="0">
                  <c:v>-0.15545393984547595</c:v>
                </c:pt>
                <c:pt idx="1">
                  <c:v>-0.4324013698870327</c:v>
                </c:pt>
                <c:pt idx="2">
                  <c:v>0.12309024555085868</c:v>
                </c:pt>
                <c:pt idx="3">
                  <c:v>-5.0059712159144287E-2</c:v>
                </c:pt>
                <c:pt idx="4">
                  <c:v>-9.6776049981349033E-2</c:v>
                </c:pt>
                <c:pt idx="5">
                  <c:v>0.26685874716116675</c:v>
                </c:pt>
                <c:pt idx="6">
                  <c:v>-0.4105721206173566</c:v>
                </c:pt>
              </c:numCache>
            </c:numRef>
          </c:val>
          <c:smooth val="0"/>
          <c:extLst>
            <c:ext xmlns:c16="http://schemas.microsoft.com/office/drawing/2014/chart" uri="{C3380CC4-5D6E-409C-BE32-E72D297353CC}">
              <c16:uniqueId val="{00000001-0746-47DD-9F6F-CA0E5B329140}"/>
            </c:ext>
          </c:extLst>
        </c:ser>
        <c:ser>
          <c:idx val="3"/>
          <c:order val="3"/>
          <c:tx>
            <c:strRef>
              <c:f>Valuation_Senario!$A$53</c:f>
              <c:strCache>
                <c:ptCount val="1"/>
                <c:pt idx="0">
                  <c:v>%YoY </c:v>
                </c:pt>
              </c:strCache>
            </c:strRef>
          </c:tx>
          <c:spPr>
            <a:ln w="28575" cap="rnd">
              <a:solidFill>
                <a:schemeClr val="accent4"/>
              </a:solidFill>
              <a:round/>
            </a:ln>
            <a:effectLst/>
          </c:spPr>
          <c:marker>
            <c:symbol val="none"/>
          </c:marker>
          <c:cat>
            <c:strRef>
              <c:f>Valuation_Senario!$B$43:$I$43</c:f>
              <c:strCache>
                <c:ptCount val="7"/>
                <c:pt idx="0">
                  <c:v>Q1/2021</c:v>
                </c:pt>
                <c:pt idx="1">
                  <c:v>Q3/2021</c:v>
                </c:pt>
                <c:pt idx="2">
                  <c:v>Q4/2021</c:v>
                </c:pt>
                <c:pt idx="3">
                  <c:v>Q1/2022</c:v>
                </c:pt>
                <c:pt idx="4">
                  <c:v>Q2/2022</c:v>
                </c:pt>
                <c:pt idx="5">
                  <c:v>Q3/2022</c:v>
                </c:pt>
                <c:pt idx="6">
                  <c:v>Q4/2022</c:v>
                </c:pt>
              </c:strCache>
            </c:strRef>
          </c:cat>
          <c:val>
            <c:numRef>
              <c:f>Valuation_Senario!$B$53:$I$53</c:f>
              <c:numCache>
                <c:formatCode>0%</c:formatCode>
                <c:ptCount val="7"/>
                <c:pt idx="0">
                  <c:v>0</c:v>
                </c:pt>
                <c:pt idx="1">
                  <c:v>0</c:v>
                </c:pt>
                <c:pt idx="2">
                  <c:v>0</c:v>
                </c:pt>
                <c:pt idx="3">
                  <c:v>0</c:v>
                </c:pt>
                <c:pt idx="4">
                  <c:v>6.8991846993578632E-2</c:v>
                </c:pt>
                <c:pt idx="5">
                  <c:v>-0.70322615449267145</c:v>
                </c:pt>
                <c:pt idx="6">
                  <c:v>-0.55897519828205899</c:v>
                </c:pt>
              </c:numCache>
            </c:numRef>
          </c:val>
          <c:smooth val="0"/>
          <c:extLst>
            <c:ext xmlns:c16="http://schemas.microsoft.com/office/drawing/2014/chart" uri="{C3380CC4-5D6E-409C-BE32-E72D297353CC}">
              <c16:uniqueId val="{00000003-0746-47DD-9F6F-CA0E5B329140}"/>
            </c:ext>
          </c:extLst>
        </c:ser>
        <c:dLbls>
          <c:showLegendKey val="0"/>
          <c:showVal val="0"/>
          <c:showCatName val="0"/>
          <c:showSerName val="0"/>
          <c:showPercent val="0"/>
          <c:showBubbleSize val="0"/>
        </c:dLbls>
        <c:marker val="1"/>
        <c:smooth val="0"/>
        <c:axId val="1238817263"/>
        <c:axId val="1238816431"/>
      </c:lineChart>
      <c:catAx>
        <c:axId val="4959599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vi-VN"/>
          </a:p>
        </c:txPr>
        <c:crossAx val="495957023"/>
        <c:crosses val="autoZero"/>
        <c:auto val="1"/>
        <c:lblAlgn val="ctr"/>
        <c:lblOffset val="100"/>
        <c:noMultiLvlLbl val="0"/>
      </c:catAx>
      <c:valAx>
        <c:axId val="495957023"/>
        <c:scaling>
          <c:orientation val="minMax"/>
        </c:scaling>
        <c:delete val="0"/>
        <c:axPos val="l"/>
        <c:majorGridlines>
          <c:spPr>
            <a:ln w="9525" cap="flat" cmpd="sng" algn="ctr">
              <a:solidFill>
                <a:schemeClr val="tx1">
                  <a:lumMod val="15000"/>
                  <a:lumOff val="85000"/>
                </a:schemeClr>
              </a:solidFill>
              <a:round/>
            </a:ln>
            <a:effectLst/>
          </c:spPr>
        </c:majorGridlines>
        <c:numFmt formatCode="_-* #,##0.00\ _₫_-;\-* #,##0.00\ _₫_-;_-* &quot;-&quot;??\ _₫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vi-VN"/>
          </a:p>
        </c:txPr>
        <c:crossAx val="495959935"/>
        <c:crosses val="autoZero"/>
        <c:crossBetween val="between"/>
      </c:valAx>
      <c:valAx>
        <c:axId val="1238816431"/>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vi-VN"/>
          </a:p>
        </c:txPr>
        <c:crossAx val="1238817263"/>
        <c:crosses val="max"/>
        <c:crossBetween val="between"/>
      </c:valAx>
      <c:catAx>
        <c:axId val="1238817263"/>
        <c:scaling>
          <c:orientation val="minMax"/>
        </c:scaling>
        <c:delete val="1"/>
        <c:axPos val="b"/>
        <c:numFmt formatCode="General" sourceLinked="1"/>
        <c:majorTickMark val="out"/>
        <c:minorTickMark val="none"/>
        <c:tickLblPos val="nextTo"/>
        <c:crossAx val="1238816431"/>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vi-V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vi-VN"/>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vi-VN"/>
        </a:p>
      </c:txPr>
    </c:title>
    <c:autoTitleDeleted val="0"/>
    <c:plotArea>
      <c:layout/>
      <c:barChart>
        <c:barDir val="col"/>
        <c:grouping val="stacked"/>
        <c:varyColors val="0"/>
        <c:ser>
          <c:idx val="1"/>
          <c:order val="1"/>
          <c:tx>
            <c:strRef>
              <c:f>Valuation_Senario!$A$25</c:f>
              <c:strCache>
                <c:ptCount val="1"/>
                <c:pt idx="0">
                  <c:v>TGDĐ +DMX</c:v>
                </c:pt>
              </c:strCache>
            </c:strRef>
          </c:tx>
          <c:spPr>
            <a:solidFill>
              <a:schemeClr val="accent2"/>
            </a:solidFill>
            <a:ln>
              <a:noFill/>
            </a:ln>
            <a:effectLst/>
          </c:spPr>
          <c:invertIfNegative val="0"/>
          <c:cat>
            <c:strRef>
              <c:f>Valuation_Senario!$B$23:$I$23</c:f>
              <c:strCache>
                <c:ptCount val="7"/>
                <c:pt idx="0">
                  <c:v>Q1/2021</c:v>
                </c:pt>
                <c:pt idx="1">
                  <c:v>Q3/2021</c:v>
                </c:pt>
                <c:pt idx="2">
                  <c:v>Q4/2021</c:v>
                </c:pt>
                <c:pt idx="3">
                  <c:v>Q1/2022</c:v>
                </c:pt>
                <c:pt idx="4">
                  <c:v>Q2/2022</c:v>
                </c:pt>
                <c:pt idx="5">
                  <c:v>Q3/2022</c:v>
                </c:pt>
                <c:pt idx="6">
                  <c:v>Q4/2022</c:v>
                </c:pt>
              </c:strCache>
            </c:strRef>
          </c:cat>
          <c:val>
            <c:numRef>
              <c:f>Valuation_Senario!$B$25:$I$25</c:f>
              <c:numCache>
                <c:formatCode>_(* #,##0_);_(* \(#,##0\);_(* "-"??_);_(@_)</c:formatCode>
                <c:ptCount val="7"/>
                <c:pt idx="0">
                  <c:v>24877.389000000003</c:v>
                </c:pt>
                <c:pt idx="1">
                  <c:v>14972.199000000004</c:v>
                </c:pt>
                <c:pt idx="2">
                  <c:v>30409.266000000003</c:v>
                </c:pt>
                <c:pt idx="3">
                  <c:v>29818.095463204831</c:v>
                </c:pt>
                <c:pt idx="4">
                  <c:v>26660.748191273553</c:v>
                </c:pt>
                <c:pt idx="5">
                  <c:v>23050.733218611182</c:v>
                </c:pt>
                <c:pt idx="6">
                  <c:v>21522.736142550006</c:v>
                </c:pt>
              </c:numCache>
            </c:numRef>
          </c:val>
          <c:extLst>
            <c:ext xmlns:c16="http://schemas.microsoft.com/office/drawing/2014/chart" uri="{C3380CC4-5D6E-409C-BE32-E72D297353CC}">
              <c16:uniqueId val="{00000001-4433-4792-8DE6-1D637ED2D0A5}"/>
            </c:ext>
          </c:extLst>
        </c:ser>
        <c:ser>
          <c:idx val="2"/>
          <c:order val="2"/>
          <c:tx>
            <c:strRef>
              <c:f>Valuation_Senario!$A$26</c:f>
              <c:strCache>
                <c:ptCount val="1"/>
                <c:pt idx="0">
                  <c:v>BHX</c:v>
                </c:pt>
              </c:strCache>
            </c:strRef>
          </c:tx>
          <c:spPr>
            <a:solidFill>
              <a:schemeClr val="accent3"/>
            </a:solidFill>
            <a:ln>
              <a:noFill/>
            </a:ln>
            <a:effectLst/>
          </c:spPr>
          <c:invertIfNegative val="0"/>
          <c:cat>
            <c:strRef>
              <c:f>Valuation_Senario!$B$23:$I$23</c:f>
              <c:strCache>
                <c:ptCount val="7"/>
                <c:pt idx="0">
                  <c:v>Q1/2021</c:v>
                </c:pt>
                <c:pt idx="1">
                  <c:v>Q3/2021</c:v>
                </c:pt>
                <c:pt idx="2">
                  <c:v>Q4/2021</c:v>
                </c:pt>
                <c:pt idx="3">
                  <c:v>Q1/2022</c:v>
                </c:pt>
                <c:pt idx="4">
                  <c:v>Q2/2022</c:v>
                </c:pt>
                <c:pt idx="5">
                  <c:v>Q3/2022</c:v>
                </c:pt>
                <c:pt idx="6">
                  <c:v>Q4/2022</c:v>
                </c:pt>
              </c:strCache>
            </c:strRef>
          </c:cat>
          <c:val>
            <c:numRef>
              <c:f>Valuation_Senario!$B$26:$I$26</c:f>
              <c:numCache>
                <c:formatCode>_(* #,##0_);_(* \(#,##0\);_(* "-"??_);_(@_)</c:formatCode>
                <c:ptCount val="7"/>
                <c:pt idx="0">
                  <c:v>5949.6109999999999</c:v>
                </c:pt>
                <c:pt idx="1">
                  <c:v>9200.9820000000018</c:v>
                </c:pt>
                <c:pt idx="2">
                  <c:v>5584.1819999999971</c:v>
                </c:pt>
                <c:pt idx="3">
                  <c:v>6040</c:v>
                </c:pt>
                <c:pt idx="4">
                  <c:v>6775.5240000000013</c:v>
                </c:pt>
                <c:pt idx="5">
                  <c:v>7121.2509999999984</c:v>
                </c:pt>
                <c:pt idx="6">
                  <c:v>7144.3947310000003</c:v>
                </c:pt>
              </c:numCache>
            </c:numRef>
          </c:val>
          <c:extLst>
            <c:ext xmlns:c16="http://schemas.microsoft.com/office/drawing/2014/chart" uri="{C3380CC4-5D6E-409C-BE32-E72D297353CC}">
              <c16:uniqueId val="{00000002-4433-4792-8DE6-1D637ED2D0A5}"/>
            </c:ext>
          </c:extLst>
        </c:ser>
        <c:ser>
          <c:idx val="3"/>
          <c:order val="3"/>
          <c:tx>
            <c:strRef>
              <c:f>Valuation_Senario!$A$27</c:f>
              <c:strCache>
                <c:ptCount val="1"/>
                <c:pt idx="0">
                  <c:v>Khác</c:v>
                </c:pt>
              </c:strCache>
            </c:strRef>
          </c:tx>
          <c:spPr>
            <a:solidFill>
              <a:schemeClr val="accent4"/>
            </a:solidFill>
            <a:ln>
              <a:noFill/>
            </a:ln>
            <a:effectLst/>
          </c:spPr>
          <c:invertIfNegative val="0"/>
          <c:cat>
            <c:strRef>
              <c:f>Valuation_Senario!$B$23:$I$23</c:f>
              <c:strCache>
                <c:ptCount val="7"/>
                <c:pt idx="0">
                  <c:v>Q1/2021</c:v>
                </c:pt>
                <c:pt idx="1">
                  <c:v>Q3/2021</c:v>
                </c:pt>
                <c:pt idx="2">
                  <c:v>Q4/2021</c:v>
                </c:pt>
                <c:pt idx="3">
                  <c:v>Q1/2022</c:v>
                </c:pt>
                <c:pt idx="4">
                  <c:v>Q2/2022</c:v>
                </c:pt>
                <c:pt idx="5">
                  <c:v>Q3/2022</c:v>
                </c:pt>
                <c:pt idx="6">
                  <c:v>Q4/2022</c:v>
                </c:pt>
              </c:strCache>
            </c:strRef>
          </c:cat>
          <c:val>
            <c:numRef>
              <c:f>Valuation_Senario!$B$27:$I$27</c:f>
              <c:numCache>
                <c:formatCode>_(* #,##0_);_(* \(#,##0\);_(* "-"??_);_(@_)</c:formatCode>
                <c:ptCount val="7"/>
                <c:pt idx="0">
                  <c:v>329.44546403199729</c:v>
                </c:pt>
                <c:pt idx="1">
                  <c:v>331.6449272829941</c:v>
                </c:pt>
                <c:pt idx="2">
                  <c:v>503.83309097800156</c:v>
                </c:pt>
                <c:pt idx="3">
                  <c:v>961.07842241416802</c:v>
                </c:pt>
                <c:pt idx="4">
                  <c:v>1266.5681507624431</c:v>
                </c:pt>
                <c:pt idx="5">
                  <c:v>2150.47223758582</c:v>
                </c:pt>
                <c:pt idx="6">
                  <c:v>2210.6473301549922</c:v>
                </c:pt>
              </c:numCache>
            </c:numRef>
          </c:val>
          <c:extLst>
            <c:ext xmlns:c16="http://schemas.microsoft.com/office/drawing/2014/chart" uri="{C3380CC4-5D6E-409C-BE32-E72D297353CC}">
              <c16:uniqueId val="{00000003-4433-4792-8DE6-1D637ED2D0A5}"/>
            </c:ext>
          </c:extLst>
        </c:ser>
        <c:dLbls>
          <c:showLegendKey val="0"/>
          <c:showVal val="0"/>
          <c:showCatName val="0"/>
          <c:showSerName val="0"/>
          <c:showPercent val="0"/>
          <c:showBubbleSize val="0"/>
        </c:dLbls>
        <c:gapWidth val="150"/>
        <c:overlap val="100"/>
        <c:axId val="1844221711"/>
        <c:axId val="1844225039"/>
        <c:extLst>
          <c:ext xmlns:c15="http://schemas.microsoft.com/office/drawing/2012/chart" uri="{02D57815-91ED-43cb-92C2-25804820EDAC}">
            <c15:filteredBarSeries>
              <c15:ser>
                <c:idx val="0"/>
                <c:order val="0"/>
                <c:tx>
                  <c:strRef>
                    <c:extLst>
                      <c:ext uri="{02D57815-91ED-43cb-92C2-25804820EDAC}">
                        <c15:formulaRef>
                          <c15:sqref>Valuation_Senario!$A$24</c15:sqref>
                        </c15:formulaRef>
                      </c:ext>
                    </c:extLst>
                    <c:strCache>
                      <c:ptCount val="1"/>
                      <c:pt idx="0">
                        <c:v>MWG</c:v>
                      </c:pt>
                    </c:strCache>
                  </c:strRef>
                </c:tx>
                <c:spPr>
                  <a:solidFill>
                    <a:schemeClr val="accent1"/>
                  </a:solidFill>
                  <a:ln>
                    <a:noFill/>
                  </a:ln>
                  <a:effectLst/>
                </c:spPr>
                <c:invertIfNegative val="0"/>
                <c:cat>
                  <c:strRef>
                    <c:extLst>
                      <c:ext uri="{02D57815-91ED-43cb-92C2-25804820EDAC}">
                        <c15:formulaRef>
                          <c15:sqref>Valuation_Senario!$B$23:$I$23</c15:sqref>
                        </c15:formulaRef>
                      </c:ext>
                    </c:extLst>
                    <c:strCache>
                      <c:ptCount val="7"/>
                      <c:pt idx="0">
                        <c:v>Q1/2021</c:v>
                      </c:pt>
                      <c:pt idx="1">
                        <c:v>Q3/2021</c:v>
                      </c:pt>
                      <c:pt idx="2">
                        <c:v>Q4/2021</c:v>
                      </c:pt>
                      <c:pt idx="3">
                        <c:v>Q1/2022</c:v>
                      </c:pt>
                      <c:pt idx="4">
                        <c:v>Q2/2022</c:v>
                      </c:pt>
                      <c:pt idx="5">
                        <c:v>Q3/2022</c:v>
                      </c:pt>
                      <c:pt idx="6">
                        <c:v>Q4/2022</c:v>
                      </c:pt>
                    </c:strCache>
                  </c:strRef>
                </c:cat>
                <c:val>
                  <c:numRef>
                    <c:extLst>
                      <c:ext uri="{02D57815-91ED-43cb-92C2-25804820EDAC}">
                        <c15:formulaRef>
                          <c15:sqref>Valuation_Senario!$B$24:$I$24</c15:sqref>
                        </c15:formulaRef>
                      </c:ext>
                    </c:extLst>
                    <c:numCache>
                      <c:formatCode>_(* #,##0_);_(* \(#,##0\);_(* "-"??_);_(@_)</c:formatCode>
                      <c:ptCount val="7"/>
                      <c:pt idx="0">
                        <c:v>31156.445464032</c:v>
                      </c:pt>
                      <c:pt idx="1">
                        <c:v>24504.825927283</c:v>
                      </c:pt>
                      <c:pt idx="2">
                        <c:v>36497.281090978002</c:v>
                      </c:pt>
                      <c:pt idx="3">
                        <c:v>36819.173885618999</c:v>
                      </c:pt>
                      <c:pt idx="4">
                        <c:v>34702.840342035997</c:v>
                      </c:pt>
                      <c:pt idx="5">
                        <c:v>32322.456456197</c:v>
                      </c:pt>
                      <c:pt idx="6">
                        <c:v>30877.778203704998</c:v>
                      </c:pt>
                    </c:numCache>
                  </c:numRef>
                </c:val>
                <c:extLst>
                  <c:ext xmlns:c16="http://schemas.microsoft.com/office/drawing/2014/chart" uri="{C3380CC4-5D6E-409C-BE32-E72D297353CC}">
                    <c16:uniqueId val="{00000000-4433-4792-8DE6-1D637ED2D0A5}"/>
                  </c:ext>
                </c:extLst>
              </c15:ser>
            </c15:filteredBarSeries>
          </c:ext>
        </c:extLst>
      </c:barChart>
      <c:lineChart>
        <c:grouping val="standard"/>
        <c:varyColors val="0"/>
        <c:ser>
          <c:idx val="4"/>
          <c:order val="4"/>
          <c:tx>
            <c:strRef>
              <c:f>Valuation_Senario!$A$28</c:f>
              <c:strCache>
                <c:ptCount val="1"/>
                <c:pt idx="0">
                  <c:v>Biên gộp (%)</c:v>
                </c:pt>
              </c:strCache>
            </c:strRef>
          </c:tx>
          <c:spPr>
            <a:ln w="28575" cap="rnd">
              <a:solidFill>
                <a:schemeClr val="accent5"/>
              </a:solidFill>
              <a:round/>
            </a:ln>
            <a:effectLst/>
          </c:spPr>
          <c:marker>
            <c:symbol val="none"/>
          </c:marker>
          <c:cat>
            <c:strRef>
              <c:f>Valuation_Senario!$B$23:$I$23</c:f>
              <c:strCache>
                <c:ptCount val="7"/>
                <c:pt idx="0">
                  <c:v>Q1/2021</c:v>
                </c:pt>
                <c:pt idx="1">
                  <c:v>Q3/2021</c:v>
                </c:pt>
                <c:pt idx="2">
                  <c:v>Q4/2021</c:v>
                </c:pt>
                <c:pt idx="3">
                  <c:v>Q1/2022</c:v>
                </c:pt>
                <c:pt idx="4">
                  <c:v>Q2/2022</c:v>
                </c:pt>
                <c:pt idx="5">
                  <c:v>Q3/2022</c:v>
                </c:pt>
                <c:pt idx="6">
                  <c:v>Q4/2022</c:v>
                </c:pt>
              </c:strCache>
            </c:strRef>
          </c:cat>
          <c:val>
            <c:numRef>
              <c:f>Valuation_Senario!$B$28:$I$28</c:f>
              <c:numCache>
                <c:formatCode>0%</c:formatCode>
                <c:ptCount val="7"/>
                <c:pt idx="0">
                  <c:v>0.22787442519042692</c:v>
                </c:pt>
                <c:pt idx="1">
                  <c:v>0.25022232757449142</c:v>
                </c:pt>
                <c:pt idx="2">
                  <c:v>0.20407389470025525</c:v>
                </c:pt>
                <c:pt idx="3">
                  <c:v>0.22278597461617988</c:v>
                </c:pt>
                <c:pt idx="4">
                  <c:v>0.21365466234210026</c:v>
                </c:pt>
                <c:pt idx="5">
                  <c:v>0.23091431474038354</c:v>
                </c:pt>
                <c:pt idx="6">
                  <c:v>0.25923270074302895</c:v>
                </c:pt>
              </c:numCache>
            </c:numRef>
          </c:val>
          <c:smooth val="0"/>
          <c:extLst>
            <c:ext xmlns:c16="http://schemas.microsoft.com/office/drawing/2014/chart" uri="{C3380CC4-5D6E-409C-BE32-E72D297353CC}">
              <c16:uniqueId val="{00000004-4433-4792-8DE6-1D637ED2D0A5}"/>
            </c:ext>
          </c:extLst>
        </c:ser>
        <c:ser>
          <c:idx val="5"/>
          <c:order val="5"/>
          <c:tx>
            <c:strRef>
              <c:f>Valuation_Senario!$A$29</c:f>
              <c:strCache>
                <c:ptCount val="1"/>
                <c:pt idx="0">
                  <c:v>Biên hoạt đông (%)</c:v>
                </c:pt>
              </c:strCache>
            </c:strRef>
          </c:tx>
          <c:spPr>
            <a:ln w="28575" cap="rnd">
              <a:solidFill>
                <a:schemeClr val="accent6"/>
              </a:solidFill>
              <a:round/>
            </a:ln>
            <a:effectLst/>
          </c:spPr>
          <c:marker>
            <c:symbol val="none"/>
          </c:marker>
          <c:cat>
            <c:strRef>
              <c:f>Valuation_Senario!$B$23:$I$23</c:f>
              <c:strCache>
                <c:ptCount val="7"/>
                <c:pt idx="0">
                  <c:v>Q1/2021</c:v>
                </c:pt>
                <c:pt idx="1">
                  <c:v>Q3/2021</c:v>
                </c:pt>
                <c:pt idx="2">
                  <c:v>Q4/2021</c:v>
                </c:pt>
                <c:pt idx="3">
                  <c:v>Q1/2022</c:v>
                </c:pt>
                <c:pt idx="4">
                  <c:v>Q2/2022</c:v>
                </c:pt>
                <c:pt idx="5">
                  <c:v>Q3/2022</c:v>
                </c:pt>
                <c:pt idx="6">
                  <c:v>Q4/2022</c:v>
                </c:pt>
              </c:strCache>
            </c:strRef>
          </c:cat>
          <c:val>
            <c:numRef>
              <c:f>Valuation_Senario!$B$29:$I$29</c:f>
              <c:numCache>
                <c:formatCode>0.0%</c:formatCode>
                <c:ptCount val="7"/>
                <c:pt idx="0">
                  <c:v>5.4288896492305665E-2</c:v>
                </c:pt>
                <c:pt idx="1">
                  <c:v>3.4405412263888664E-2</c:v>
                </c:pt>
                <c:pt idx="2">
                  <c:v>5.0850957577570834E-2</c:v>
                </c:pt>
                <c:pt idx="3">
                  <c:v>5.0212727375724978E-2</c:v>
                </c:pt>
                <c:pt idx="4">
                  <c:v>5.8445107730856295E-2</c:v>
                </c:pt>
                <c:pt idx="5">
                  <c:v>5.3622104922967505E-2</c:v>
                </c:pt>
                <c:pt idx="6">
                  <c:v>3.348612537598103E-2</c:v>
                </c:pt>
              </c:numCache>
            </c:numRef>
          </c:val>
          <c:smooth val="0"/>
          <c:extLst>
            <c:ext xmlns:c16="http://schemas.microsoft.com/office/drawing/2014/chart" uri="{C3380CC4-5D6E-409C-BE32-E72D297353CC}">
              <c16:uniqueId val="{00000005-4433-4792-8DE6-1D637ED2D0A5}"/>
            </c:ext>
          </c:extLst>
        </c:ser>
        <c:ser>
          <c:idx val="6"/>
          <c:order val="6"/>
          <c:tx>
            <c:strRef>
              <c:f>Valuation_Senario!$A$30</c:f>
              <c:strCache>
                <c:ptCount val="1"/>
                <c:pt idx="0">
                  <c:v>Biên ròng (%)</c:v>
                </c:pt>
              </c:strCache>
            </c:strRef>
          </c:tx>
          <c:spPr>
            <a:ln w="28575" cap="rnd">
              <a:solidFill>
                <a:schemeClr val="accent1">
                  <a:lumMod val="60000"/>
                </a:schemeClr>
              </a:solidFill>
              <a:round/>
            </a:ln>
            <a:effectLst/>
          </c:spPr>
          <c:marker>
            <c:symbol val="none"/>
          </c:marker>
          <c:cat>
            <c:strRef>
              <c:f>Valuation_Senario!$B$23:$I$23</c:f>
              <c:strCache>
                <c:ptCount val="7"/>
                <c:pt idx="0">
                  <c:v>Q1/2021</c:v>
                </c:pt>
                <c:pt idx="1">
                  <c:v>Q3/2021</c:v>
                </c:pt>
                <c:pt idx="2">
                  <c:v>Q4/2021</c:v>
                </c:pt>
                <c:pt idx="3">
                  <c:v>Q1/2022</c:v>
                </c:pt>
                <c:pt idx="4">
                  <c:v>Q2/2022</c:v>
                </c:pt>
                <c:pt idx="5">
                  <c:v>Q3/2022</c:v>
                </c:pt>
                <c:pt idx="6">
                  <c:v>Q4/2022</c:v>
                </c:pt>
              </c:strCache>
            </c:strRef>
          </c:cat>
          <c:val>
            <c:numRef>
              <c:f>Valuation_Senario!$B$30:$I$30</c:f>
              <c:numCache>
                <c:formatCode>0%</c:formatCode>
                <c:ptCount val="7"/>
                <c:pt idx="0">
                  <c:v>4.3422432157857592E-2</c:v>
                </c:pt>
                <c:pt idx="1">
                  <c:v>3.2293398405980597E-2</c:v>
                </c:pt>
                <c:pt idx="2">
                  <c:v>4.3259141558279597E-2</c:v>
                </c:pt>
                <c:pt idx="3">
                  <c:v>3.9631918978513786E-2</c:v>
                </c:pt>
                <c:pt idx="4">
                  <c:v>3.2927874117412943E-2</c:v>
                </c:pt>
                <c:pt idx="5">
                  <c:v>2.8326244570477957E-2</c:v>
                </c:pt>
                <c:pt idx="6">
                  <c:v>2.023716456413167E-2</c:v>
                </c:pt>
              </c:numCache>
            </c:numRef>
          </c:val>
          <c:smooth val="0"/>
          <c:extLst>
            <c:ext xmlns:c16="http://schemas.microsoft.com/office/drawing/2014/chart" uri="{C3380CC4-5D6E-409C-BE32-E72D297353CC}">
              <c16:uniqueId val="{00000006-4433-4792-8DE6-1D637ED2D0A5}"/>
            </c:ext>
          </c:extLst>
        </c:ser>
        <c:dLbls>
          <c:showLegendKey val="0"/>
          <c:showVal val="0"/>
          <c:showCatName val="0"/>
          <c:showSerName val="0"/>
          <c:showPercent val="0"/>
          <c:showBubbleSize val="0"/>
        </c:dLbls>
        <c:marker val="1"/>
        <c:smooth val="0"/>
        <c:axId val="1167837743"/>
        <c:axId val="1167836079"/>
      </c:lineChart>
      <c:catAx>
        <c:axId val="18442217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vi-VN"/>
          </a:p>
        </c:txPr>
        <c:crossAx val="1844225039"/>
        <c:crosses val="autoZero"/>
        <c:auto val="1"/>
        <c:lblAlgn val="ctr"/>
        <c:lblOffset val="100"/>
        <c:noMultiLvlLbl val="0"/>
      </c:catAx>
      <c:valAx>
        <c:axId val="1844225039"/>
        <c:scaling>
          <c:orientation val="minMax"/>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vi-VN"/>
          </a:p>
        </c:txPr>
        <c:crossAx val="1844221711"/>
        <c:crosses val="autoZero"/>
        <c:crossBetween val="between"/>
      </c:valAx>
      <c:valAx>
        <c:axId val="1167836079"/>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vi-VN"/>
          </a:p>
        </c:txPr>
        <c:crossAx val="1167837743"/>
        <c:crosses val="max"/>
        <c:crossBetween val="between"/>
      </c:valAx>
      <c:catAx>
        <c:axId val="1167837743"/>
        <c:scaling>
          <c:orientation val="minMax"/>
        </c:scaling>
        <c:delete val="1"/>
        <c:axPos val="b"/>
        <c:numFmt formatCode="General" sourceLinked="1"/>
        <c:majorTickMark val="out"/>
        <c:minorTickMark val="none"/>
        <c:tickLblPos val="nextTo"/>
        <c:crossAx val="1167836079"/>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vi-VN"/>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vi-VN"/>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vi-VN"/>
              <a:t>TGDĐ+DMX</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vi-VN"/>
        </a:p>
      </c:txPr>
    </c:title>
    <c:autoTitleDeleted val="0"/>
    <c:plotArea>
      <c:layout>
        <c:manualLayout>
          <c:layoutTarget val="inner"/>
          <c:xMode val="edge"/>
          <c:yMode val="edge"/>
          <c:x val="0.11767847769028872"/>
          <c:y val="0.16712962962962963"/>
          <c:w val="0.79021259842519687"/>
          <c:h val="0.52146398366870805"/>
        </c:manualLayout>
      </c:layout>
      <c:barChart>
        <c:barDir val="col"/>
        <c:grouping val="clustered"/>
        <c:varyColors val="0"/>
        <c:ser>
          <c:idx val="0"/>
          <c:order val="0"/>
          <c:tx>
            <c:strRef>
              <c:f>Valuation_Senario!$A$44</c:f>
              <c:strCache>
                <c:ptCount val="1"/>
                <c:pt idx="0">
                  <c:v>DT/CH TGDĐ +DMX (tỷ VND/tháng)</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vi-V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Valuation_Senario!$B$43:$I$43</c:f>
              <c:strCache>
                <c:ptCount val="7"/>
                <c:pt idx="0">
                  <c:v>Q1/2021</c:v>
                </c:pt>
                <c:pt idx="1">
                  <c:v>Q3/2021</c:v>
                </c:pt>
                <c:pt idx="2">
                  <c:v>Q4/2021</c:v>
                </c:pt>
                <c:pt idx="3">
                  <c:v>Q1/2022</c:v>
                </c:pt>
                <c:pt idx="4">
                  <c:v>Q2/2022</c:v>
                </c:pt>
                <c:pt idx="5">
                  <c:v>Q3/2022</c:v>
                </c:pt>
                <c:pt idx="6">
                  <c:v>Q4/2022</c:v>
                </c:pt>
              </c:strCache>
            </c:strRef>
          </c:cat>
          <c:val>
            <c:numRef>
              <c:f>Valuation_Senario!$B$44:$I$44</c:f>
              <c:numCache>
                <c:formatCode>_-* #,##0.00\ _₫_-;\-* #,##0.00\ _₫_-;_-* "-"??\ _₫_-;_-@_-</c:formatCode>
                <c:ptCount val="7"/>
                <c:pt idx="0">
                  <c:v>3.4537538525614333</c:v>
                </c:pt>
                <c:pt idx="1">
                  <c:v>1.8491044831419048</c:v>
                </c:pt>
                <c:pt idx="2">
                  <c:v>3.5610124714561748</c:v>
                </c:pt>
                <c:pt idx="3">
                  <c:v>3.2808599288336722</c:v>
                </c:pt>
                <c:pt idx="4">
                  <c:v>2.8234840552050362</c:v>
                </c:pt>
                <c:pt idx="5">
                  <c:v>2.3425541888832502</c:v>
                </c:pt>
                <c:pt idx="6">
                  <c:v>2.0989600295055593</c:v>
                </c:pt>
              </c:numCache>
            </c:numRef>
          </c:val>
          <c:extLst>
            <c:ext xmlns:c16="http://schemas.microsoft.com/office/drawing/2014/chart" uri="{C3380CC4-5D6E-409C-BE32-E72D297353CC}">
              <c16:uniqueId val="{00000000-ABD4-4F7E-A4F0-3B3F559653C6}"/>
            </c:ext>
          </c:extLst>
        </c:ser>
        <c:dLbls>
          <c:showLegendKey val="0"/>
          <c:showVal val="0"/>
          <c:showCatName val="0"/>
          <c:showSerName val="0"/>
          <c:showPercent val="0"/>
          <c:showBubbleSize val="0"/>
        </c:dLbls>
        <c:gapWidth val="219"/>
        <c:overlap val="-27"/>
        <c:axId val="2094836927"/>
        <c:axId val="2094841919"/>
        <c:extLst>
          <c:ext xmlns:c15="http://schemas.microsoft.com/office/drawing/2012/chart" uri="{02D57815-91ED-43cb-92C2-25804820EDAC}">
            <c15:filteredBarSeries>
              <c15:ser>
                <c:idx val="1"/>
                <c:order val="1"/>
                <c:tx>
                  <c:strRef>
                    <c:extLst>
                      <c:ext uri="{02D57815-91ED-43cb-92C2-25804820EDAC}">
                        <c15:formulaRef>
                          <c15:sqref>Valuation_Senario!$A$45</c15:sqref>
                        </c15:formulaRef>
                      </c:ext>
                    </c:extLst>
                    <c:strCache>
                      <c:ptCount val="1"/>
                      <c:pt idx="0">
                        <c:v>%YoY </c:v>
                      </c:pt>
                    </c:strCache>
                  </c:strRef>
                </c:tx>
                <c:spPr>
                  <a:solidFill>
                    <a:schemeClr val="accent5"/>
                  </a:solidFill>
                  <a:ln>
                    <a:noFill/>
                  </a:ln>
                  <a:effectLst/>
                </c:spPr>
                <c:invertIfNegative val="0"/>
                <c:cat>
                  <c:strRef>
                    <c:extLst>
                      <c:ext uri="{02D57815-91ED-43cb-92C2-25804820EDAC}">
                        <c15:formulaRef>
                          <c15:sqref>Valuation_Senario!$B$43:$I$43</c15:sqref>
                        </c15:formulaRef>
                      </c:ext>
                    </c:extLst>
                    <c:strCache>
                      <c:ptCount val="7"/>
                      <c:pt idx="0">
                        <c:v>Q1/2021</c:v>
                      </c:pt>
                      <c:pt idx="1">
                        <c:v>Q3/2021</c:v>
                      </c:pt>
                      <c:pt idx="2">
                        <c:v>Q4/2021</c:v>
                      </c:pt>
                      <c:pt idx="3">
                        <c:v>Q1/2022</c:v>
                      </c:pt>
                      <c:pt idx="4">
                        <c:v>Q2/2022</c:v>
                      </c:pt>
                      <c:pt idx="5">
                        <c:v>Q3/2022</c:v>
                      </c:pt>
                      <c:pt idx="6">
                        <c:v>Q4/2022</c:v>
                      </c:pt>
                    </c:strCache>
                  </c:strRef>
                </c:cat>
                <c:val>
                  <c:numRef>
                    <c:extLst>
                      <c:ext uri="{02D57815-91ED-43cb-92C2-25804820EDAC}">
                        <c15:formulaRef>
                          <c15:sqref>Valuation_Senario!$B$45:$I$45</c15:sqref>
                        </c15:formulaRef>
                      </c:ext>
                    </c:extLst>
                    <c:numCache>
                      <c:formatCode>0%</c:formatCode>
                      <c:ptCount val="7"/>
                      <c:pt idx="0">
                        <c:v>-0.15545393984547595</c:v>
                      </c:pt>
                      <c:pt idx="1">
                        <c:v>-0.4324013698870327</c:v>
                      </c:pt>
                      <c:pt idx="2">
                        <c:v>0.12309024555085868</c:v>
                      </c:pt>
                      <c:pt idx="3">
                        <c:v>-5.0059712159144287E-2</c:v>
                      </c:pt>
                      <c:pt idx="4">
                        <c:v>-9.6776049981349033E-2</c:v>
                      </c:pt>
                      <c:pt idx="5">
                        <c:v>0.26685874716116675</c:v>
                      </c:pt>
                      <c:pt idx="6">
                        <c:v>-0.4105721206173566</c:v>
                      </c:pt>
                    </c:numCache>
                  </c:numRef>
                </c:val>
                <c:extLst>
                  <c:ext xmlns:c16="http://schemas.microsoft.com/office/drawing/2014/chart" uri="{C3380CC4-5D6E-409C-BE32-E72D297353CC}">
                    <c16:uniqueId val="{00000005-ABD4-4F7E-A4F0-3B3F559653C6}"/>
                  </c:ext>
                </c:extLst>
              </c15:ser>
            </c15:filteredBarSeries>
          </c:ext>
        </c:extLst>
      </c:barChart>
      <c:lineChart>
        <c:grouping val="standard"/>
        <c:varyColors val="0"/>
        <c:ser>
          <c:idx val="2"/>
          <c:order val="2"/>
          <c:tx>
            <c:strRef>
              <c:f>Valuation_Senario!$A$47</c:f>
              <c:strCache>
                <c:ptCount val="1"/>
                <c:pt idx="0">
                  <c:v>SSSG (%)</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dLbls>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accent3"/>
                    </a:solidFill>
                    <a:latin typeface="+mn-lt"/>
                    <a:ea typeface="+mn-ea"/>
                    <a:cs typeface="+mn-cs"/>
                  </a:defRPr>
                </a:pPr>
                <a:endParaRPr lang="vi-VN"/>
              </a:p>
            </c:txPr>
            <c:dLblPos val="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Valuation_Senario!$B$43:$I$43</c:f>
              <c:strCache>
                <c:ptCount val="7"/>
                <c:pt idx="0">
                  <c:v>Q1/2021</c:v>
                </c:pt>
                <c:pt idx="1">
                  <c:v>Q3/2021</c:v>
                </c:pt>
                <c:pt idx="2">
                  <c:v>Q4/2021</c:v>
                </c:pt>
                <c:pt idx="3">
                  <c:v>Q1/2022</c:v>
                </c:pt>
                <c:pt idx="4">
                  <c:v>Q2/2022</c:v>
                </c:pt>
                <c:pt idx="5">
                  <c:v>Q3/2022</c:v>
                </c:pt>
                <c:pt idx="6">
                  <c:v>Q4/2022</c:v>
                </c:pt>
              </c:strCache>
            </c:strRef>
          </c:cat>
          <c:val>
            <c:numRef>
              <c:f>Valuation_Senario!$B$47:$I$47</c:f>
              <c:numCache>
                <c:formatCode>0%</c:formatCode>
                <c:ptCount val="7"/>
                <c:pt idx="3">
                  <c:v>0.09</c:v>
                </c:pt>
                <c:pt idx="4">
                  <c:v>0.03</c:v>
                </c:pt>
                <c:pt idx="5">
                  <c:v>0.52</c:v>
                </c:pt>
                <c:pt idx="6">
                  <c:v>-0.31</c:v>
                </c:pt>
              </c:numCache>
            </c:numRef>
          </c:val>
          <c:smooth val="0"/>
          <c:extLst>
            <c:ext xmlns:c16="http://schemas.microsoft.com/office/drawing/2014/chart" uri="{C3380CC4-5D6E-409C-BE32-E72D297353CC}">
              <c16:uniqueId val="{00000002-ABD4-4F7E-A4F0-3B3F559653C6}"/>
            </c:ext>
          </c:extLst>
        </c:ser>
        <c:ser>
          <c:idx val="3"/>
          <c:order val="3"/>
          <c:tx>
            <c:strRef>
              <c:f>Valuation_Senario!$A$48</c:f>
              <c:strCache>
                <c:ptCount val="1"/>
                <c:pt idx="0">
                  <c:v>Biên gộp (%)</c:v>
                </c:pt>
              </c:strCache>
            </c:strRef>
          </c:tx>
          <c:spPr>
            <a:ln w="28575" cap="rnd">
              <a:solidFill>
                <a:srgbClr val="FF0000">
                  <a:alpha val="0"/>
                </a:srgbClr>
              </a:solidFill>
              <a:round/>
            </a:ln>
            <a:effectLst/>
          </c:spPr>
          <c:marker>
            <c:symbol val="circle"/>
            <c:size val="5"/>
            <c:spPr>
              <a:solidFill>
                <a:schemeClr val="accent6">
                  <a:lumMod val="60000"/>
                </a:schemeClr>
              </a:solidFill>
              <a:ln w="9525">
                <a:solidFill>
                  <a:srgbClr val="FF0000"/>
                </a:solidFill>
              </a:ln>
              <a:effectLst/>
            </c:spPr>
          </c:marker>
          <c:cat>
            <c:strRef>
              <c:f>Valuation_Senario!$B$43:$I$43</c:f>
              <c:strCache>
                <c:ptCount val="7"/>
                <c:pt idx="0">
                  <c:v>Q1/2021</c:v>
                </c:pt>
                <c:pt idx="1">
                  <c:v>Q3/2021</c:v>
                </c:pt>
                <c:pt idx="2">
                  <c:v>Q4/2021</c:v>
                </c:pt>
                <c:pt idx="3">
                  <c:v>Q1/2022</c:v>
                </c:pt>
                <c:pt idx="4">
                  <c:v>Q2/2022</c:v>
                </c:pt>
                <c:pt idx="5">
                  <c:v>Q3/2022</c:v>
                </c:pt>
                <c:pt idx="6">
                  <c:v>Q4/2022</c:v>
                </c:pt>
              </c:strCache>
            </c:strRef>
          </c:cat>
          <c:val>
            <c:numRef>
              <c:f>Valuation_Senario!$B$48:$I$48</c:f>
              <c:numCache>
                <c:formatCode>0%</c:formatCode>
                <c:ptCount val="7"/>
                <c:pt idx="0">
                  <c:v>0.21834784697612436</c:v>
                </c:pt>
                <c:pt idx="1">
                  <c:v>0.23456894915345294</c:v>
                </c:pt>
                <c:pt idx="2">
                  <c:v>0.19245666040930023</c:v>
                </c:pt>
                <c:pt idx="3">
                  <c:v>0.22</c:v>
                </c:pt>
                <c:pt idx="4">
                  <c:v>0.21</c:v>
                </c:pt>
                <c:pt idx="5">
                  <c:v>0.23</c:v>
                </c:pt>
                <c:pt idx="6">
                  <c:v>0.21</c:v>
                </c:pt>
              </c:numCache>
            </c:numRef>
          </c:val>
          <c:smooth val="0"/>
          <c:extLst>
            <c:ext xmlns:c16="http://schemas.microsoft.com/office/drawing/2014/chart" uri="{C3380CC4-5D6E-409C-BE32-E72D297353CC}">
              <c16:uniqueId val="{00000003-ABD4-4F7E-A4F0-3B3F559653C6}"/>
            </c:ext>
          </c:extLst>
        </c:ser>
        <c:ser>
          <c:idx val="4"/>
          <c:order val="4"/>
          <c:tx>
            <c:strRef>
              <c:f>Valuation_Senario!$A$49</c:f>
              <c:strCache>
                <c:ptCount val="1"/>
                <c:pt idx="0">
                  <c:v>SG&amp;A/Rev (%)</c:v>
                </c:pt>
              </c:strCache>
            </c:strRef>
          </c:tx>
          <c:spPr>
            <a:ln w="28575" cap="rnd">
              <a:solidFill>
                <a:schemeClr val="accent3">
                  <a:alpha val="0"/>
                </a:schemeClr>
              </a:solidFill>
              <a:round/>
            </a:ln>
            <a:effectLst/>
          </c:spPr>
          <c:marker>
            <c:symbol val="circle"/>
            <c:size val="5"/>
            <c:spPr>
              <a:solidFill>
                <a:schemeClr val="accent2"/>
              </a:solidFill>
              <a:ln w="9525">
                <a:solidFill>
                  <a:srgbClr val="FF0000"/>
                </a:solidFill>
              </a:ln>
              <a:effectLst/>
            </c:spPr>
          </c:marker>
          <c:cat>
            <c:strRef>
              <c:f>Valuation_Senario!$B$43:$I$43</c:f>
              <c:strCache>
                <c:ptCount val="7"/>
                <c:pt idx="0">
                  <c:v>Q1/2021</c:v>
                </c:pt>
                <c:pt idx="1">
                  <c:v>Q3/2021</c:v>
                </c:pt>
                <c:pt idx="2">
                  <c:v>Q4/2021</c:v>
                </c:pt>
                <c:pt idx="3">
                  <c:v>Q1/2022</c:v>
                </c:pt>
                <c:pt idx="4">
                  <c:v>Q2/2022</c:v>
                </c:pt>
                <c:pt idx="5">
                  <c:v>Q3/2022</c:v>
                </c:pt>
                <c:pt idx="6">
                  <c:v>Q4/2022</c:v>
                </c:pt>
              </c:strCache>
            </c:strRef>
          </c:cat>
          <c:val>
            <c:numRef>
              <c:f>Valuation_Senario!$B$49:$I$49</c:f>
              <c:numCache>
                <c:formatCode>0%</c:formatCode>
                <c:ptCount val="7"/>
                <c:pt idx="0">
                  <c:v>-0.11969306776287339</c:v>
                </c:pt>
                <c:pt idx="1">
                  <c:v>-0.17396404379582736</c:v>
                </c:pt>
                <c:pt idx="2">
                  <c:v>-0.12468143612550331</c:v>
                </c:pt>
                <c:pt idx="3">
                  <c:v>-0.13251041526605234</c:v>
                </c:pt>
                <c:pt idx="4">
                  <c:v>-9.1808679914939864E-2</c:v>
                </c:pt>
                <c:pt idx="5">
                  <c:v>-0.10775298658908433</c:v>
                </c:pt>
                <c:pt idx="6">
                  <c:v>-0.1336276256889869</c:v>
                </c:pt>
              </c:numCache>
            </c:numRef>
          </c:val>
          <c:smooth val="0"/>
          <c:extLst>
            <c:ext xmlns:c16="http://schemas.microsoft.com/office/drawing/2014/chart" uri="{C3380CC4-5D6E-409C-BE32-E72D297353CC}">
              <c16:uniqueId val="{00000004-ABD4-4F7E-A4F0-3B3F559653C6}"/>
            </c:ext>
          </c:extLst>
        </c:ser>
        <c:dLbls>
          <c:showLegendKey val="0"/>
          <c:showVal val="0"/>
          <c:showCatName val="0"/>
          <c:showSerName val="0"/>
          <c:showPercent val="0"/>
          <c:showBubbleSize val="0"/>
        </c:dLbls>
        <c:marker val="1"/>
        <c:smooth val="0"/>
        <c:axId val="2094839007"/>
        <c:axId val="2094840671"/>
      </c:lineChart>
      <c:catAx>
        <c:axId val="20948369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vi-VN"/>
          </a:p>
        </c:txPr>
        <c:crossAx val="2094841919"/>
        <c:crosses val="autoZero"/>
        <c:auto val="1"/>
        <c:lblAlgn val="ctr"/>
        <c:lblOffset val="100"/>
        <c:noMultiLvlLbl val="0"/>
      </c:catAx>
      <c:valAx>
        <c:axId val="2094841919"/>
        <c:scaling>
          <c:orientation val="minMax"/>
        </c:scaling>
        <c:delete val="0"/>
        <c:axPos val="l"/>
        <c:numFmt formatCode="_-* #,##0.00\ _₫_-;\-* #,##0.00\ _₫_-;_-* &quot;-&quot;??\ _₫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vi-VN"/>
          </a:p>
        </c:txPr>
        <c:crossAx val="2094836927"/>
        <c:crosses val="autoZero"/>
        <c:crossBetween val="between"/>
      </c:valAx>
      <c:valAx>
        <c:axId val="2094840671"/>
        <c:scaling>
          <c:orientation val="minMax"/>
        </c:scaling>
        <c:delete val="0"/>
        <c:axPos val="r"/>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vi-VN"/>
          </a:p>
        </c:txPr>
        <c:crossAx val="2094839007"/>
        <c:crosses val="max"/>
        <c:crossBetween val="between"/>
      </c:valAx>
      <c:catAx>
        <c:axId val="2094839007"/>
        <c:scaling>
          <c:orientation val="minMax"/>
        </c:scaling>
        <c:delete val="1"/>
        <c:axPos val="b"/>
        <c:numFmt formatCode="General" sourceLinked="1"/>
        <c:majorTickMark val="none"/>
        <c:minorTickMark val="none"/>
        <c:tickLblPos val="nextTo"/>
        <c:crossAx val="2094840671"/>
        <c:crosses val="autoZero"/>
        <c:auto val="1"/>
        <c:lblAlgn val="ctr"/>
        <c:lblOffset val="100"/>
        <c:noMultiLvlLbl val="0"/>
      </c:catAx>
      <c:spPr>
        <a:noFill/>
        <a:ln>
          <a:noFill/>
        </a:ln>
        <a:effectLst/>
      </c:spPr>
    </c:plotArea>
    <c:legend>
      <c:legendPos val="b"/>
      <c:layout>
        <c:manualLayout>
          <c:xMode val="edge"/>
          <c:yMode val="edge"/>
          <c:x val="3.888888888888889E-2"/>
          <c:y val="0.85184966462525513"/>
          <c:w val="0.95833333333333337"/>
          <c:h val="0.1481503353747448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vi-VN"/>
        </a:p>
      </c:txPr>
    </c:legend>
    <c:plotVisOnly val="1"/>
    <c:dispBlanksAs val="gap"/>
    <c:showDLblsOverMax val="0"/>
  </c:chart>
  <c:spPr>
    <a:solidFill>
      <a:schemeClr val="bg1"/>
    </a:solidFill>
    <a:ln w="9525" cap="flat" cmpd="sng" algn="ctr">
      <a:solidFill>
        <a:schemeClr val="accent5">
          <a:alpha val="0"/>
        </a:schemeClr>
      </a:solidFill>
      <a:round/>
    </a:ln>
    <a:effectLst/>
  </c:spPr>
  <c:txPr>
    <a:bodyPr/>
    <a:lstStyle/>
    <a:p>
      <a:pPr>
        <a:defRPr/>
      </a:pPr>
      <a:endParaRPr lang="vi-VN"/>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vi-VN"/>
              <a:t>BHX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vi-VN"/>
        </a:p>
      </c:txPr>
    </c:title>
    <c:autoTitleDeleted val="0"/>
    <c:plotArea>
      <c:layout>
        <c:manualLayout>
          <c:layoutTarget val="inner"/>
          <c:xMode val="edge"/>
          <c:yMode val="edge"/>
          <c:x val="8.9886701662292207E-2"/>
          <c:y val="7.4537037037037041E-2"/>
          <c:w val="0.79799037620297464"/>
          <c:h val="0.45317585301837271"/>
        </c:manualLayout>
      </c:layout>
      <c:barChart>
        <c:barDir val="col"/>
        <c:grouping val="clustered"/>
        <c:varyColors val="0"/>
        <c:ser>
          <c:idx val="0"/>
          <c:order val="0"/>
          <c:tx>
            <c:strRef>
              <c:f>Valuation_Senario!$A$33:$B$33</c:f>
              <c:strCache>
                <c:ptCount val="2"/>
                <c:pt idx="0">
                  <c:v>BHX</c:v>
                </c:pt>
                <c:pt idx="1">
                  <c:v>Trung bình DT/CH - Tỷ đồng/tháng</c:v>
                </c:pt>
              </c:strCache>
            </c:strRef>
          </c:tx>
          <c:spPr>
            <a:solidFill>
              <a:schemeClr val="accent2"/>
            </a:solidFill>
            <a:ln>
              <a:noFill/>
            </a:ln>
            <a:effectLst/>
          </c:spPr>
          <c:invertIfNegative val="0"/>
          <c:cat>
            <c:strRef>
              <c:extLst>
                <c:ext xmlns:c15="http://schemas.microsoft.com/office/drawing/2012/chart" uri="{02D57815-91ED-43cb-92C2-25804820EDAC}">
                  <c15:fullRef>
                    <c15:sqref>Valuation_Senario!$C$32:$J$32</c15:sqref>
                  </c15:fullRef>
                </c:ext>
              </c:extLst>
              <c:f>Valuation_Senario!$C$32:$I$32</c:f>
              <c:strCache>
                <c:ptCount val="6"/>
                <c:pt idx="0">
                  <c:v>Q2/2021</c:v>
                </c:pt>
                <c:pt idx="1">
                  <c:v>Q3/2021</c:v>
                </c:pt>
                <c:pt idx="2">
                  <c:v>Q4/2021</c:v>
                </c:pt>
                <c:pt idx="3">
                  <c:v>Q1/2022</c:v>
                </c:pt>
                <c:pt idx="4">
                  <c:v>Q2/2022</c:v>
                </c:pt>
                <c:pt idx="5">
                  <c:v>Q3/2022</c:v>
                </c:pt>
              </c:strCache>
            </c:strRef>
          </c:cat>
          <c:val>
            <c:numRef>
              <c:extLst>
                <c:ext xmlns:c15="http://schemas.microsoft.com/office/drawing/2012/chart" uri="{02D57815-91ED-43cb-92C2-25804820EDAC}">
                  <c15:fullRef>
                    <c15:sqref>Valuation_Senario!$C$33:$J$33</c15:sqref>
                  </c15:fullRef>
                </c:ext>
              </c:extLst>
              <c:f>Valuation_Senario!$C$33:$I$33</c:f>
              <c:numCache>
                <c:formatCode>_(* #,##0.0_);_(* \(#,##0.0\);_(* "-"??_);_(@_)</c:formatCode>
                <c:ptCount val="6"/>
                <c:pt idx="0">
                  <c:v>1.3727773256889215</c:v>
                </c:pt>
                <c:pt idx="1">
                  <c:v>1.6251844917424716</c:v>
                </c:pt>
                <c:pt idx="2">
                  <c:v>0.94271663712332188</c:v>
                </c:pt>
                <c:pt idx="3">
                  <c:v>0.97110012460307893</c:v>
                </c:pt>
                <c:pt idx="4">
                  <c:v>1.0913302730128052</c:v>
                </c:pt>
                <c:pt idx="5">
                  <c:v>1.2679725795682169</c:v>
                </c:pt>
              </c:numCache>
            </c:numRef>
          </c:val>
          <c:extLst>
            <c:ext xmlns:c16="http://schemas.microsoft.com/office/drawing/2014/chart" uri="{C3380CC4-5D6E-409C-BE32-E72D297353CC}">
              <c16:uniqueId val="{00000000-6FB2-4DE5-8B17-1D29BFA06F34}"/>
            </c:ext>
          </c:extLst>
        </c:ser>
        <c:ser>
          <c:idx val="3"/>
          <c:order val="3"/>
          <c:tx>
            <c:strRef>
              <c:f>Valuation_Senario!$A$36:$B$36</c:f>
              <c:strCache>
                <c:ptCount val="2"/>
                <c:pt idx="0">
                  <c:v>WCM</c:v>
                </c:pt>
                <c:pt idx="1">
                  <c:v>Trung bình DT/CH - Tỷ đồng/tháng</c:v>
                </c:pt>
              </c:strCache>
            </c:strRef>
          </c:tx>
          <c:spPr>
            <a:solidFill>
              <a:schemeClr val="bg1">
                <a:lumMod val="75000"/>
              </a:schemeClr>
            </a:solidFill>
            <a:ln>
              <a:noFill/>
            </a:ln>
            <a:effectLst/>
          </c:spPr>
          <c:invertIfNegative val="0"/>
          <c:cat>
            <c:strRef>
              <c:extLst>
                <c:ext xmlns:c15="http://schemas.microsoft.com/office/drawing/2012/chart" uri="{02D57815-91ED-43cb-92C2-25804820EDAC}">
                  <c15:fullRef>
                    <c15:sqref>Valuation_Senario!$C$32:$J$32</c15:sqref>
                  </c15:fullRef>
                </c:ext>
              </c:extLst>
              <c:f>Valuation_Senario!$C$32:$I$32</c:f>
              <c:strCache>
                <c:ptCount val="6"/>
                <c:pt idx="0">
                  <c:v>Q2/2021</c:v>
                </c:pt>
                <c:pt idx="1">
                  <c:v>Q3/2021</c:v>
                </c:pt>
                <c:pt idx="2">
                  <c:v>Q4/2021</c:v>
                </c:pt>
                <c:pt idx="3">
                  <c:v>Q1/2022</c:v>
                </c:pt>
                <c:pt idx="4">
                  <c:v>Q2/2022</c:v>
                </c:pt>
                <c:pt idx="5">
                  <c:v>Q3/2022</c:v>
                </c:pt>
              </c:strCache>
            </c:strRef>
          </c:cat>
          <c:val>
            <c:numRef>
              <c:extLst>
                <c:ext xmlns:c15="http://schemas.microsoft.com/office/drawing/2012/chart" uri="{02D57815-91ED-43cb-92C2-25804820EDAC}">
                  <c15:fullRef>
                    <c15:sqref>Valuation_Senario!$C$36:$J$36</c15:sqref>
                  </c15:fullRef>
                </c:ext>
              </c:extLst>
              <c:f>Valuation_Senario!$C$36:$I$36</c:f>
              <c:numCache>
                <c:formatCode>_(* #,##0.0_);_(* \(#,##0.0\);_(* "-"??_);_(@_)</c:formatCode>
                <c:ptCount val="6"/>
                <c:pt idx="0">
                  <c:v>0.74456156088809156</c:v>
                </c:pt>
                <c:pt idx="1">
                  <c:v>0.96412719202503094</c:v>
                </c:pt>
                <c:pt idx="2">
                  <c:v>0.6433811158220607</c:v>
                </c:pt>
                <c:pt idx="3">
                  <c:v>0.59520680808460047</c:v>
                </c:pt>
                <c:pt idx="4">
                  <c:v>0.57002926596189452</c:v>
                </c:pt>
                <c:pt idx="5">
                  <c:v>0.58710005078720162</c:v>
                </c:pt>
              </c:numCache>
            </c:numRef>
          </c:val>
          <c:extLst>
            <c:ext xmlns:c16="http://schemas.microsoft.com/office/drawing/2014/chart" uri="{C3380CC4-5D6E-409C-BE32-E72D297353CC}">
              <c16:uniqueId val="{00000001-6FB2-4DE5-8B17-1D29BFA06F34}"/>
            </c:ext>
          </c:extLst>
        </c:ser>
        <c:dLbls>
          <c:showLegendKey val="0"/>
          <c:showVal val="0"/>
          <c:showCatName val="0"/>
          <c:showSerName val="0"/>
          <c:showPercent val="0"/>
          <c:showBubbleSize val="0"/>
        </c:dLbls>
        <c:gapWidth val="219"/>
        <c:overlap val="-27"/>
        <c:axId val="729762271"/>
        <c:axId val="729761439"/>
      </c:barChart>
      <c:lineChart>
        <c:grouping val="standard"/>
        <c:varyColors val="0"/>
        <c:ser>
          <c:idx val="1"/>
          <c:order val="1"/>
          <c:tx>
            <c:strRef>
              <c:f>Valuation_Senario!$A$34:$B$34</c:f>
              <c:strCache>
                <c:ptCount val="2"/>
                <c:pt idx="0">
                  <c:v>BHX</c:v>
                </c:pt>
                <c:pt idx="1">
                  <c:v>EBITDA (%)</c:v>
                </c:pt>
              </c:strCache>
            </c:strRef>
          </c:tx>
          <c:spPr>
            <a:ln w="28575" cap="rnd">
              <a:solidFill>
                <a:srgbClr val="FFC000">
                  <a:alpha val="0"/>
                </a:srgbClr>
              </a:solidFill>
              <a:round/>
            </a:ln>
            <a:effectLst/>
          </c:spPr>
          <c:marker>
            <c:symbol val="circle"/>
            <c:size val="5"/>
            <c:spPr>
              <a:solidFill>
                <a:srgbClr val="FFC000"/>
              </a:solidFill>
              <a:ln w="12700">
                <a:solidFill>
                  <a:srgbClr val="FF0000"/>
                </a:solidFill>
              </a:ln>
              <a:effectLst/>
            </c:spPr>
          </c:marker>
          <c:cat>
            <c:strRef>
              <c:extLst>
                <c:ext xmlns:c15="http://schemas.microsoft.com/office/drawing/2012/chart" uri="{02D57815-91ED-43cb-92C2-25804820EDAC}">
                  <c15:fullRef>
                    <c15:sqref>Valuation_Senario!$C$32:$J$32</c15:sqref>
                  </c15:fullRef>
                </c:ext>
              </c:extLst>
              <c:f>Valuation_Senario!$C$32:$I$32</c:f>
              <c:strCache>
                <c:ptCount val="6"/>
                <c:pt idx="0">
                  <c:v>Q2/2021</c:v>
                </c:pt>
                <c:pt idx="1">
                  <c:v>Q3/2021</c:v>
                </c:pt>
                <c:pt idx="2">
                  <c:v>Q4/2021</c:v>
                </c:pt>
                <c:pt idx="3">
                  <c:v>Q1/2022</c:v>
                </c:pt>
                <c:pt idx="4">
                  <c:v>Q2/2022</c:v>
                </c:pt>
                <c:pt idx="5">
                  <c:v>Q3/2022</c:v>
                </c:pt>
              </c:strCache>
            </c:strRef>
          </c:cat>
          <c:val>
            <c:numRef>
              <c:extLst>
                <c:ext xmlns:c15="http://schemas.microsoft.com/office/drawing/2012/chart" uri="{02D57815-91ED-43cb-92C2-25804820EDAC}">
                  <c15:fullRef>
                    <c15:sqref>Valuation_Senario!$C$34:$J$34</c15:sqref>
                  </c15:fullRef>
                </c:ext>
              </c:extLst>
              <c:f>Valuation_Senario!$C$34:$I$34</c:f>
              <c:numCache>
                <c:formatCode>0.0%</c:formatCode>
                <c:ptCount val="6"/>
                <c:pt idx="0">
                  <c:v>-1.8015980311784113E-2</c:v>
                </c:pt>
                <c:pt idx="1">
                  <c:v>3.8135708400026135E-2</c:v>
                </c:pt>
                <c:pt idx="2">
                  <c:v>4.9341945276119119E-2</c:v>
                </c:pt>
                <c:pt idx="3">
                  <c:v>-7.3563929528429536E-2</c:v>
                </c:pt>
                <c:pt idx="4">
                  <c:v>-0.10077015066166309</c:v>
                </c:pt>
                <c:pt idx="5">
                  <c:v>-7.4924686242166499E-2</c:v>
                </c:pt>
              </c:numCache>
            </c:numRef>
          </c:val>
          <c:smooth val="0"/>
          <c:extLst>
            <c:ext xmlns:c16="http://schemas.microsoft.com/office/drawing/2014/chart" uri="{C3380CC4-5D6E-409C-BE32-E72D297353CC}">
              <c16:uniqueId val="{00000002-6FB2-4DE5-8B17-1D29BFA06F34}"/>
            </c:ext>
          </c:extLst>
        </c:ser>
        <c:ser>
          <c:idx val="2"/>
          <c:order val="2"/>
          <c:tx>
            <c:strRef>
              <c:f>Valuation_Senario!$A$35:$B$35</c:f>
              <c:strCache>
                <c:ptCount val="2"/>
                <c:pt idx="0">
                  <c:v>BHX</c:v>
                </c:pt>
                <c:pt idx="1">
                  <c:v>SSSG(%)</c:v>
                </c:pt>
              </c:strCache>
            </c:strRef>
          </c:tx>
          <c:spPr>
            <a:ln w="28575" cap="rnd">
              <a:solidFill>
                <a:srgbClr val="FFC000"/>
              </a:solidFill>
              <a:round/>
            </a:ln>
            <a:effectLst/>
          </c:spPr>
          <c:marker>
            <c:symbol val="none"/>
          </c:marker>
          <c:cat>
            <c:strRef>
              <c:extLst>
                <c:ext xmlns:c15="http://schemas.microsoft.com/office/drawing/2012/chart" uri="{02D57815-91ED-43cb-92C2-25804820EDAC}">
                  <c15:fullRef>
                    <c15:sqref>Valuation_Senario!$C$32:$J$32</c15:sqref>
                  </c15:fullRef>
                </c:ext>
              </c:extLst>
              <c:f>Valuation_Senario!$C$32:$I$32</c:f>
              <c:strCache>
                <c:ptCount val="6"/>
                <c:pt idx="0">
                  <c:v>Q2/2021</c:v>
                </c:pt>
                <c:pt idx="1">
                  <c:v>Q3/2021</c:v>
                </c:pt>
                <c:pt idx="2">
                  <c:v>Q4/2021</c:v>
                </c:pt>
                <c:pt idx="3">
                  <c:v>Q1/2022</c:v>
                </c:pt>
                <c:pt idx="4">
                  <c:v>Q2/2022</c:v>
                </c:pt>
                <c:pt idx="5">
                  <c:v>Q3/2022</c:v>
                </c:pt>
              </c:strCache>
            </c:strRef>
          </c:cat>
          <c:val>
            <c:numRef>
              <c:extLst>
                <c:ext xmlns:c15="http://schemas.microsoft.com/office/drawing/2012/chart" uri="{02D57815-91ED-43cb-92C2-25804820EDAC}">
                  <c15:fullRef>
                    <c15:sqref>Valuation_Senario!$C$35:$J$35</c15:sqref>
                  </c15:fullRef>
                </c:ext>
              </c:extLst>
              <c:f>Valuation_Senario!$C$35:$I$35</c:f>
              <c:numCache>
                <c:formatCode>General</c:formatCode>
                <c:ptCount val="6"/>
                <c:pt idx="3" formatCode="0%">
                  <c:v>-0.13</c:v>
                </c:pt>
                <c:pt idx="4" formatCode="0%">
                  <c:v>-0.19</c:v>
                </c:pt>
                <c:pt idx="5" formatCode="0%">
                  <c:v>-0.21</c:v>
                </c:pt>
              </c:numCache>
            </c:numRef>
          </c:val>
          <c:smooth val="0"/>
          <c:extLst>
            <c:ext xmlns:c16="http://schemas.microsoft.com/office/drawing/2014/chart" uri="{C3380CC4-5D6E-409C-BE32-E72D297353CC}">
              <c16:uniqueId val="{00000003-6FB2-4DE5-8B17-1D29BFA06F34}"/>
            </c:ext>
          </c:extLst>
        </c:ser>
        <c:ser>
          <c:idx val="4"/>
          <c:order val="4"/>
          <c:tx>
            <c:strRef>
              <c:f>Valuation_Senario!$A$37:$B$37</c:f>
              <c:strCache>
                <c:ptCount val="2"/>
                <c:pt idx="0">
                  <c:v>WCM</c:v>
                </c:pt>
                <c:pt idx="1">
                  <c:v>EBITDA (%)</c:v>
                </c:pt>
              </c:strCache>
            </c:strRef>
          </c:tx>
          <c:spPr>
            <a:ln w="28575" cap="rnd">
              <a:solidFill>
                <a:schemeClr val="bg1">
                  <a:lumMod val="50000"/>
                  <a:alpha val="0"/>
                </a:schemeClr>
              </a:solidFill>
              <a:round/>
            </a:ln>
            <a:effectLst/>
          </c:spPr>
          <c:marker>
            <c:symbol val="circle"/>
            <c:size val="5"/>
            <c:spPr>
              <a:solidFill>
                <a:schemeClr val="bg1">
                  <a:lumMod val="50000"/>
                </a:schemeClr>
              </a:solidFill>
              <a:ln w="3175">
                <a:solidFill>
                  <a:srgbClr val="FF0000"/>
                </a:solidFill>
              </a:ln>
              <a:effectLst/>
            </c:spPr>
          </c:marker>
          <c:cat>
            <c:strRef>
              <c:extLst>
                <c:ext xmlns:c15="http://schemas.microsoft.com/office/drawing/2012/chart" uri="{02D57815-91ED-43cb-92C2-25804820EDAC}">
                  <c15:fullRef>
                    <c15:sqref>Valuation_Senario!$C$32:$J$32</c15:sqref>
                  </c15:fullRef>
                </c:ext>
              </c:extLst>
              <c:f>Valuation_Senario!$C$32:$I$32</c:f>
              <c:strCache>
                <c:ptCount val="6"/>
                <c:pt idx="0">
                  <c:v>Q2/2021</c:v>
                </c:pt>
                <c:pt idx="1">
                  <c:v>Q3/2021</c:v>
                </c:pt>
                <c:pt idx="2">
                  <c:v>Q4/2021</c:v>
                </c:pt>
                <c:pt idx="3">
                  <c:v>Q1/2022</c:v>
                </c:pt>
                <c:pt idx="4">
                  <c:v>Q2/2022</c:v>
                </c:pt>
                <c:pt idx="5">
                  <c:v>Q3/2022</c:v>
                </c:pt>
              </c:strCache>
            </c:strRef>
          </c:cat>
          <c:val>
            <c:numRef>
              <c:extLst>
                <c:ext xmlns:c15="http://schemas.microsoft.com/office/drawing/2012/chart" uri="{02D57815-91ED-43cb-92C2-25804820EDAC}">
                  <c15:fullRef>
                    <c15:sqref>Valuation_Senario!$C$37:$J$37</c15:sqref>
                  </c15:fullRef>
                </c:ext>
              </c:extLst>
              <c:f>Valuation_Senario!$C$37:$I$37</c:f>
              <c:numCache>
                <c:formatCode>0.0%</c:formatCode>
                <c:ptCount val="6"/>
                <c:pt idx="0">
                  <c:v>2.1727096595626903E-2</c:v>
                </c:pt>
                <c:pt idx="1">
                  <c:v>5.5199916045755061E-2</c:v>
                </c:pt>
                <c:pt idx="2">
                  <c:v>4.9454545454545452E-2</c:v>
                </c:pt>
                <c:pt idx="3">
                  <c:v>2.257087806220754E-2</c:v>
                </c:pt>
                <c:pt idx="4">
                  <c:v>2.1546803652968037E-2</c:v>
                </c:pt>
                <c:pt idx="5">
                  <c:v>3.2892150438998818E-2</c:v>
                </c:pt>
              </c:numCache>
            </c:numRef>
          </c:val>
          <c:smooth val="0"/>
          <c:extLst>
            <c:ext xmlns:c16="http://schemas.microsoft.com/office/drawing/2014/chart" uri="{C3380CC4-5D6E-409C-BE32-E72D297353CC}">
              <c16:uniqueId val="{00000004-6FB2-4DE5-8B17-1D29BFA06F34}"/>
            </c:ext>
          </c:extLst>
        </c:ser>
        <c:ser>
          <c:idx val="5"/>
          <c:order val="5"/>
          <c:tx>
            <c:strRef>
              <c:f>Valuation_Senario!$A$38:$B$38</c:f>
              <c:strCache>
                <c:ptCount val="2"/>
                <c:pt idx="0">
                  <c:v>WCM</c:v>
                </c:pt>
                <c:pt idx="1">
                  <c:v>SSSG(%)</c:v>
                </c:pt>
              </c:strCache>
            </c:strRef>
          </c:tx>
          <c:spPr>
            <a:ln w="28575" cap="rnd">
              <a:solidFill>
                <a:schemeClr val="bg1">
                  <a:lumMod val="50000"/>
                </a:schemeClr>
              </a:solidFill>
              <a:round/>
            </a:ln>
            <a:effectLst/>
          </c:spPr>
          <c:marker>
            <c:symbol val="none"/>
          </c:marker>
          <c:cat>
            <c:strRef>
              <c:extLst>
                <c:ext xmlns:c15="http://schemas.microsoft.com/office/drawing/2012/chart" uri="{02D57815-91ED-43cb-92C2-25804820EDAC}">
                  <c15:fullRef>
                    <c15:sqref>Valuation_Senario!$C$32:$J$32</c15:sqref>
                  </c15:fullRef>
                </c:ext>
              </c:extLst>
              <c:f>Valuation_Senario!$C$32:$I$32</c:f>
              <c:strCache>
                <c:ptCount val="6"/>
                <c:pt idx="0">
                  <c:v>Q2/2021</c:v>
                </c:pt>
                <c:pt idx="1">
                  <c:v>Q3/2021</c:v>
                </c:pt>
                <c:pt idx="2">
                  <c:v>Q4/2021</c:v>
                </c:pt>
                <c:pt idx="3">
                  <c:v>Q1/2022</c:v>
                </c:pt>
                <c:pt idx="4">
                  <c:v>Q2/2022</c:v>
                </c:pt>
                <c:pt idx="5">
                  <c:v>Q3/2022</c:v>
                </c:pt>
              </c:strCache>
            </c:strRef>
          </c:cat>
          <c:val>
            <c:numRef>
              <c:extLst>
                <c:ext xmlns:c15="http://schemas.microsoft.com/office/drawing/2012/chart" uri="{02D57815-91ED-43cb-92C2-25804820EDAC}">
                  <c15:fullRef>
                    <c15:sqref>Valuation_Senario!$C$38:$J$38</c15:sqref>
                  </c15:fullRef>
                </c:ext>
              </c:extLst>
              <c:f>Valuation_Senario!$C$38:$I$38</c:f>
              <c:numCache>
                <c:formatCode>General</c:formatCode>
                <c:ptCount val="6"/>
                <c:pt idx="3" formatCode="0%">
                  <c:v>-3.6213017751479337E-2</c:v>
                </c:pt>
                <c:pt idx="4" formatCode="0%">
                  <c:v>-0.14980628497632376</c:v>
                </c:pt>
                <c:pt idx="5" formatCode="0%">
                  <c:v>-0.3304418985270049</c:v>
                </c:pt>
              </c:numCache>
            </c:numRef>
          </c:val>
          <c:smooth val="0"/>
          <c:extLst>
            <c:ext xmlns:c16="http://schemas.microsoft.com/office/drawing/2014/chart" uri="{C3380CC4-5D6E-409C-BE32-E72D297353CC}">
              <c16:uniqueId val="{00000005-6FB2-4DE5-8B17-1D29BFA06F34}"/>
            </c:ext>
          </c:extLst>
        </c:ser>
        <c:dLbls>
          <c:showLegendKey val="0"/>
          <c:showVal val="0"/>
          <c:showCatName val="0"/>
          <c:showSerName val="0"/>
          <c:showPercent val="0"/>
          <c:showBubbleSize val="0"/>
        </c:dLbls>
        <c:marker val="1"/>
        <c:smooth val="0"/>
        <c:axId val="729760607"/>
        <c:axId val="729761855"/>
      </c:lineChart>
      <c:catAx>
        <c:axId val="7297622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vi-VN"/>
          </a:p>
        </c:txPr>
        <c:crossAx val="729761439"/>
        <c:crosses val="autoZero"/>
        <c:auto val="1"/>
        <c:lblAlgn val="ctr"/>
        <c:lblOffset val="100"/>
        <c:noMultiLvlLbl val="0"/>
      </c:catAx>
      <c:valAx>
        <c:axId val="729761439"/>
        <c:scaling>
          <c:orientation val="minMax"/>
        </c:scaling>
        <c:delete val="0"/>
        <c:axPos val="l"/>
        <c:numFmt formatCode="_(* #,##0.0_);_(* \(#,##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vi-VN"/>
          </a:p>
        </c:txPr>
        <c:crossAx val="729762271"/>
        <c:crosses val="autoZero"/>
        <c:crossBetween val="between"/>
      </c:valAx>
      <c:valAx>
        <c:axId val="729761855"/>
        <c:scaling>
          <c:orientation val="minMax"/>
        </c:scaling>
        <c:delete val="0"/>
        <c:axPos val="r"/>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vi-VN"/>
          </a:p>
        </c:txPr>
        <c:crossAx val="729760607"/>
        <c:crosses val="max"/>
        <c:crossBetween val="between"/>
      </c:valAx>
      <c:catAx>
        <c:axId val="729760607"/>
        <c:scaling>
          <c:orientation val="minMax"/>
        </c:scaling>
        <c:delete val="1"/>
        <c:axPos val="b"/>
        <c:numFmt formatCode="General" sourceLinked="1"/>
        <c:majorTickMark val="none"/>
        <c:minorTickMark val="none"/>
        <c:tickLblPos val="nextTo"/>
        <c:crossAx val="729761855"/>
        <c:crosses val="autoZero"/>
        <c:auto val="1"/>
        <c:lblAlgn val="ctr"/>
        <c:lblOffset val="100"/>
        <c:noMultiLvlLbl val="0"/>
      </c:catAx>
      <c:spPr>
        <a:noFill/>
        <a:ln>
          <a:noFill/>
        </a:ln>
        <a:effectLst/>
      </c:spPr>
    </c:plotArea>
    <c:legend>
      <c:legendPos val="b"/>
      <c:layout>
        <c:manualLayout>
          <c:xMode val="edge"/>
          <c:yMode val="edge"/>
          <c:x val="0"/>
          <c:y val="0.62152449693788281"/>
          <c:w val="1"/>
          <c:h val="0.3506977252843394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vi-V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vi-VN"/>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defRPr/>
            </a:pPr>
            <a:r>
              <a:rPr lang="vi-VN"/>
              <a:t>KQKD</a:t>
            </a:r>
            <a:r>
              <a:rPr lang="vi-VN" baseline="0"/>
              <a:t> NGÀNH</a:t>
            </a:r>
            <a:endParaRPr lang="vi-VN"/>
          </a:p>
        </c:rich>
      </c:tx>
      <c:overlay val="0"/>
      <c:spPr>
        <a:noFill/>
        <a:ln>
          <a:noFill/>
        </a:ln>
        <a:effectLst/>
      </c:spPr>
    </c:title>
    <c:autoTitleDeleted val="0"/>
    <c:plotArea>
      <c:layout/>
      <c:barChart>
        <c:barDir val="col"/>
        <c:grouping val="clustered"/>
        <c:varyColors val="0"/>
        <c:ser>
          <c:idx val="0"/>
          <c:order val="0"/>
          <c:tx>
            <c:strRef>
              <c:f>Valuation_Senario!$B$81</c:f>
              <c:strCache>
                <c:ptCount val="1"/>
                <c:pt idx="0">
                  <c:v> DTT Q4.22 </c:v>
                </c:pt>
              </c:strCache>
            </c:strRef>
          </c:tx>
          <c:invertIfNegative val="0"/>
          <c:dLbls>
            <c:dLbl>
              <c:idx val="0"/>
              <c:tx>
                <c:rich>
                  <a:bodyPr/>
                  <a:lstStyle/>
                  <a:p>
                    <a:fld id="{5616A3A8-4D1A-3B43-87FF-1D69BA8EA49E}"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8B31-4E7F-98C3-957FFA97CA3E}"/>
                </c:ext>
              </c:extLst>
            </c:dLbl>
            <c:dLbl>
              <c:idx val="1"/>
              <c:tx>
                <c:rich>
                  <a:bodyPr/>
                  <a:lstStyle/>
                  <a:p>
                    <a:fld id="{DB6C7BB3-A8AE-0345-8F2F-053E4DD203B0}"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8B31-4E7F-98C3-957FFA97CA3E}"/>
                </c:ext>
              </c:extLst>
            </c:dLbl>
            <c:dLbl>
              <c:idx val="2"/>
              <c:tx>
                <c:rich>
                  <a:bodyPr/>
                  <a:lstStyle/>
                  <a:p>
                    <a:fld id="{F325893F-2F25-1242-80E9-ADB136E0181D}"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8B31-4E7F-98C3-957FFA97CA3E}"/>
                </c:ext>
              </c:extLst>
            </c:dLbl>
            <c:dLbl>
              <c:idx val="3"/>
              <c:tx>
                <c:rich>
                  <a:bodyPr/>
                  <a:lstStyle/>
                  <a:p>
                    <a:fld id="{14C4A1EB-9FA7-5B41-AF26-6359D9A84EDD}"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8B31-4E7F-98C3-957FFA97CA3E}"/>
                </c:ext>
              </c:extLst>
            </c:dLbl>
            <c:dLbl>
              <c:idx val="4"/>
              <c:tx>
                <c:rich>
                  <a:bodyPr/>
                  <a:lstStyle/>
                  <a:p>
                    <a:fld id="{1C3697DF-4DF3-084A-8F05-ABA541D109C1}"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8B31-4E7F-98C3-957FFA97CA3E}"/>
                </c:ext>
              </c:extLst>
            </c:dLbl>
            <c:numFmt formatCode="0%" sourceLinked="0"/>
            <c:spPr>
              <a:noFill/>
              <a:ln>
                <a:noFill/>
              </a:ln>
              <a:effectLst/>
            </c:sp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ext>
            </c:extLst>
          </c:dLbls>
          <c:cat>
            <c:strRef>
              <c:f>Valuation_Senario!$A$82:$A$86</c:f>
              <c:strCache>
                <c:ptCount val="5"/>
                <c:pt idx="0">
                  <c:v>MWG</c:v>
                </c:pt>
                <c:pt idx="1">
                  <c:v>FRT</c:v>
                </c:pt>
                <c:pt idx="2">
                  <c:v>PET</c:v>
                </c:pt>
                <c:pt idx="3">
                  <c:v>DGW</c:v>
                </c:pt>
                <c:pt idx="4">
                  <c:v>MSN</c:v>
                </c:pt>
              </c:strCache>
            </c:strRef>
          </c:cat>
          <c:val>
            <c:numRef>
              <c:f>Valuation_Senario!$B$82:$B$86</c:f>
              <c:numCache>
                <c:formatCode>_(* #,##0_);_(* \(#,##0\);_(* "-"??_);_(@_)</c:formatCode>
                <c:ptCount val="5"/>
                <c:pt idx="0">
                  <c:v>30588.381152474001</c:v>
                </c:pt>
                <c:pt idx="1">
                  <c:v>8457.8199720049997</c:v>
                </c:pt>
                <c:pt idx="2">
                  <c:v>4835.1398956029998</c:v>
                </c:pt>
                <c:pt idx="3">
                  <c:v>4075.1226889730001</c:v>
                </c:pt>
                <c:pt idx="4">
                  <c:v>20642.780999999999</c:v>
                </c:pt>
              </c:numCache>
            </c:numRef>
          </c:val>
          <c:extLst>
            <c:ext xmlns:c15="http://schemas.microsoft.com/office/drawing/2012/chart" uri="{02D57815-91ED-43cb-92C2-25804820EDAC}">
              <c15:datalabelsRange>
                <c15:f>Valuation_Senario!$F$82:$F$86</c15:f>
                <c15:dlblRangeCache>
                  <c:ptCount val="5"/>
                  <c:pt idx="0">
                    <c:v>-15%</c:v>
                  </c:pt>
                  <c:pt idx="1">
                    <c:v>-0,2%</c:v>
                  </c:pt>
                  <c:pt idx="2">
                    <c:v>-20%</c:v>
                  </c:pt>
                  <c:pt idx="3">
                    <c:v>-49%</c:v>
                  </c:pt>
                  <c:pt idx="4">
                    <c:v>-13%</c:v>
                  </c:pt>
                </c15:dlblRangeCache>
              </c15:datalabelsRange>
            </c:ext>
            <c:ext xmlns:c16="http://schemas.microsoft.com/office/drawing/2014/chart" uri="{C3380CC4-5D6E-409C-BE32-E72D297353CC}">
              <c16:uniqueId val="{00000005-17A1-4FA9-81B4-361B42F46B99}"/>
            </c:ext>
          </c:extLst>
        </c:ser>
        <c:ser>
          <c:idx val="2"/>
          <c:order val="2"/>
          <c:tx>
            <c:strRef>
              <c:f>Valuation_Senario!$D$81</c:f>
              <c:strCache>
                <c:ptCount val="1"/>
                <c:pt idx="0">
                  <c:v>DTT 2022</c:v>
                </c:pt>
              </c:strCache>
            </c:strRef>
          </c:tx>
          <c:spPr>
            <a:solidFill>
              <a:schemeClr val="accent3"/>
            </a:solidFill>
            <a:ln>
              <a:noFill/>
            </a:ln>
            <a:effectLst/>
          </c:spPr>
          <c:invertIfNegative val="0"/>
          <c:dLbls>
            <c:dLbl>
              <c:idx val="0"/>
              <c:tx>
                <c:rich>
                  <a:bodyPr/>
                  <a:lstStyle/>
                  <a:p>
                    <a:fld id="{F2C3512B-33D2-CC41-B386-0F0BE5543158}"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17A1-4FA9-81B4-361B42F46B99}"/>
                </c:ext>
              </c:extLst>
            </c:dLbl>
            <c:dLbl>
              <c:idx val="1"/>
              <c:tx>
                <c:rich>
                  <a:bodyPr/>
                  <a:lstStyle/>
                  <a:p>
                    <a:fld id="{74E5E53D-E9F3-0949-A94E-098D3B20FF25}"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17A1-4FA9-81B4-361B42F46B99}"/>
                </c:ext>
              </c:extLst>
            </c:dLbl>
            <c:dLbl>
              <c:idx val="2"/>
              <c:tx>
                <c:rich>
                  <a:bodyPr/>
                  <a:lstStyle/>
                  <a:p>
                    <a:fld id="{871C79FB-38F9-BF4A-B6DF-C71A2A20A986}"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17A1-4FA9-81B4-361B42F46B99}"/>
                </c:ext>
              </c:extLst>
            </c:dLbl>
            <c:dLbl>
              <c:idx val="3"/>
              <c:tx>
                <c:rich>
                  <a:bodyPr/>
                  <a:lstStyle/>
                  <a:p>
                    <a:fld id="{63AB388C-C371-2E40-96B8-04E9ABAAD63E}"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17A1-4FA9-81B4-361B42F46B99}"/>
                </c:ext>
              </c:extLst>
            </c:dLbl>
            <c:dLbl>
              <c:idx val="4"/>
              <c:tx>
                <c:rich>
                  <a:bodyPr/>
                  <a:lstStyle/>
                  <a:p>
                    <a:fld id="{DB2E927E-8236-5649-89C2-2B115438FC3E}"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17A1-4FA9-81B4-361B42F46B99}"/>
                </c:ext>
              </c:extLst>
            </c:dLbl>
            <c:spPr>
              <a:noFill/>
              <a:ln>
                <a:noFill/>
              </a:ln>
              <a:effectLst/>
            </c:sp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ext>
            </c:extLst>
          </c:dLbls>
          <c:cat>
            <c:strRef>
              <c:f>Valuation_Senario!$A$82:$A$86</c:f>
              <c:strCache>
                <c:ptCount val="5"/>
                <c:pt idx="0">
                  <c:v>MWG</c:v>
                </c:pt>
                <c:pt idx="1">
                  <c:v>FRT</c:v>
                </c:pt>
                <c:pt idx="2">
                  <c:v>PET</c:v>
                </c:pt>
                <c:pt idx="3">
                  <c:v>DGW</c:v>
                </c:pt>
                <c:pt idx="4">
                  <c:v>MSN</c:v>
                </c:pt>
              </c:strCache>
            </c:strRef>
          </c:cat>
          <c:val>
            <c:numRef>
              <c:f>Valuation_Senario!$D$82:$D$86</c:f>
              <c:numCache>
                <c:formatCode>_(* #,##0_);_(* \(#,##0\);_(* "-"??_);_(@_)</c:formatCode>
                <c:ptCount val="5"/>
                <c:pt idx="0">
                  <c:v>133404.777590524</c:v>
                </c:pt>
                <c:pt idx="1">
                  <c:v>30165.80075667</c:v>
                </c:pt>
                <c:pt idx="2">
                  <c:v>17665.363747059</c:v>
                </c:pt>
                <c:pt idx="3">
                  <c:v>22059.207686235</c:v>
                </c:pt>
                <c:pt idx="4">
                  <c:v>76189.225000000006</c:v>
                </c:pt>
              </c:numCache>
            </c:numRef>
          </c:val>
          <c:extLst>
            <c:ext xmlns:c15="http://schemas.microsoft.com/office/drawing/2012/chart" uri="{02D57815-91ED-43cb-92C2-25804820EDAC}">
              <c15:datalabelsRange>
                <c15:f>Valuation_Senario!$G$82:$G$86</c15:f>
                <c15:dlblRangeCache>
                  <c:ptCount val="5"/>
                  <c:pt idx="0">
                    <c:v>8%</c:v>
                  </c:pt>
                  <c:pt idx="1">
                    <c:v>34%</c:v>
                  </c:pt>
                  <c:pt idx="2">
                    <c:v>0,4%</c:v>
                  </c:pt>
                  <c:pt idx="3">
                    <c:v>5%</c:v>
                  </c:pt>
                  <c:pt idx="4">
                    <c:v>-14%</c:v>
                  </c:pt>
                </c15:dlblRangeCache>
              </c15:datalabelsRange>
            </c:ext>
            <c:ext xmlns:c16="http://schemas.microsoft.com/office/drawing/2014/chart" uri="{C3380CC4-5D6E-409C-BE32-E72D297353CC}">
              <c16:uniqueId val="{0000000B-17A1-4FA9-81B4-361B42F46B99}"/>
            </c:ext>
          </c:extLst>
        </c:ser>
        <c:dLbls>
          <c:showLegendKey val="0"/>
          <c:showVal val="0"/>
          <c:showCatName val="0"/>
          <c:showSerName val="0"/>
          <c:showPercent val="0"/>
          <c:showBubbleSize val="0"/>
        </c:dLbls>
        <c:gapWidth val="219"/>
        <c:overlap val="-27"/>
        <c:axId val="2094099071"/>
        <c:axId val="2094096991"/>
      </c:barChart>
      <c:lineChart>
        <c:grouping val="standard"/>
        <c:varyColors val="0"/>
        <c:ser>
          <c:idx val="1"/>
          <c:order val="1"/>
          <c:tx>
            <c:strRef>
              <c:f>Valuation_Senario!$C$81</c:f>
              <c:strCache>
                <c:ptCount val="1"/>
                <c:pt idx="0">
                  <c:v>%Tăng/ giảm BLNHĐ_Q4.22</c:v>
                </c:pt>
              </c:strCache>
            </c:strRef>
          </c:tx>
          <c:spPr>
            <a:ln w="19050">
              <a:noFill/>
            </a:ln>
          </c:spPr>
          <c:marker>
            <c:symbol val="diamond"/>
            <c:size val="6"/>
            <c:spPr>
              <a:solidFill>
                <a:srgbClr val="FFC000"/>
              </a:solidFill>
              <a:ln>
                <a:solidFill>
                  <a:srgbClr val="FFC000"/>
                </a:solidFill>
              </a:ln>
            </c:spPr>
          </c:marker>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Valuation_Senario!$A$82:$A$86</c:f>
              <c:strCache>
                <c:ptCount val="5"/>
                <c:pt idx="0">
                  <c:v>MWG</c:v>
                </c:pt>
                <c:pt idx="1">
                  <c:v>FRT</c:v>
                </c:pt>
                <c:pt idx="2">
                  <c:v>PET</c:v>
                </c:pt>
                <c:pt idx="3">
                  <c:v>DGW</c:v>
                </c:pt>
                <c:pt idx="4">
                  <c:v>MSN</c:v>
                </c:pt>
              </c:strCache>
            </c:strRef>
          </c:cat>
          <c:val>
            <c:numRef>
              <c:f>Valuation_Senario!$C$82:$C$86</c:f>
            </c:numRef>
          </c:val>
          <c:smooth val="0"/>
          <c:extLst>
            <c:ext xmlns:c16="http://schemas.microsoft.com/office/drawing/2014/chart" uri="{C3380CC4-5D6E-409C-BE32-E72D297353CC}">
              <c16:uniqueId val="{0000000C-17A1-4FA9-81B4-361B42F46B99}"/>
            </c:ext>
          </c:extLst>
        </c:ser>
        <c:ser>
          <c:idx val="3"/>
          <c:order val="3"/>
          <c:tx>
            <c:strRef>
              <c:f>Valuation_Senario!$E$81</c:f>
              <c:strCache>
                <c:ptCount val="1"/>
                <c:pt idx="0">
                  <c:v>%Tăng/ giảm BLNHĐ _Năm 2022</c:v>
                </c:pt>
              </c:strCache>
            </c:strRef>
          </c:tx>
          <c:spPr>
            <a:ln w="28575" cap="rnd">
              <a:solidFill>
                <a:schemeClr val="accent4">
                  <a:alpha val="0"/>
                </a:schemeClr>
              </a:solidFill>
              <a:round/>
            </a:ln>
            <a:effectLst/>
          </c:spPr>
          <c:marker>
            <c:symbol val="triangle"/>
            <c:size val="7"/>
            <c:spPr>
              <a:solidFill>
                <a:srgbClr val="FF0000"/>
              </a:solidFill>
            </c:spPr>
          </c:marker>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Valuation_Senario!$A$82:$A$86</c:f>
              <c:strCache>
                <c:ptCount val="5"/>
                <c:pt idx="0">
                  <c:v>MWG</c:v>
                </c:pt>
                <c:pt idx="1">
                  <c:v>FRT</c:v>
                </c:pt>
                <c:pt idx="2">
                  <c:v>PET</c:v>
                </c:pt>
                <c:pt idx="3">
                  <c:v>DGW</c:v>
                </c:pt>
                <c:pt idx="4">
                  <c:v>MSN</c:v>
                </c:pt>
              </c:strCache>
            </c:strRef>
          </c:cat>
          <c:val>
            <c:numRef>
              <c:f>Valuation_Senario!$E$82:$E$86</c:f>
              <c:numCache>
                <c:formatCode>0.0%</c:formatCode>
                <c:ptCount val="5"/>
                <c:pt idx="0">
                  <c:v>1.8649890662543259E-3</c:v>
                </c:pt>
                <c:pt idx="1">
                  <c:v>-3.5493062634423742E-3</c:v>
                </c:pt>
                <c:pt idx="2">
                  <c:v>4.9047643645878623E-3</c:v>
                </c:pt>
                <c:pt idx="3">
                  <c:v>3.6992866652306999E-3</c:v>
                </c:pt>
                <c:pt idx="4">
                  <c:v>-9.6129020211014396E-3</c:v>
                </c:pt>
              </c:numCache>
            </c:numRef>
          </c:val>
          <c:smooth val="0"/>
          <c:extLst>
            <c:ext xmlns:c16="http://schemas.microsoft.com/office/drawing/2014/chart" uri="{C3380CC4-5D6E-409C-BE32-E72D297353CC}">
              <c16:uniqueId val="{0000000D-17A1-4FA9-81B4-361B42F46B99}"/>
            </c:ext>
          </c:extLst>
        </c:ser>
        <c:dLbls>
          <c:showLegendKey val="0"/>
          <c:showVal val="0"/>
          <c:showCatName val="0"/>
          <c:showSerName val="0"/>
          <c:showPercent val="0"/>
          <c:showBubbleSize val="0"/>
        </c:dLbls>
        <c:marker val="1"/>
        <c:smooth val="0"/>
        <c:axId val="2094097407"/>
        <c:axId val="2094101983"/>
      </c:lineChart>
      <c:catAx>
        <c:axId val="2094099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vi-VN"/>
          </a:p>
        </c:txPr>
        <c:crossAx val="2094096991"/>
        <c:crosses val="autoZero"/>
        <c:auto val="1"/>
        <c:lblAlgn val="ctr"/>
        <c:lblOffset val="100"/>
        <c:noMultiLvlLbl val="0"/>
      </c:catAx>
      <c:valAx>
        <c:axId val="2094096991"/>
        <c:scaling>
          <c:orientation val="minMax"/>
        </c:scaling>
        <c:delete val="0"/>
        <c:axPos val="l"/>
        <c:numFmt formatCode="_(* #,##0_);_(* \(#,##0\);_(* &quot;-&quot;??_);_(@_)" sourceLinked="1"/>
        <c:majorTickMark val="none"/>
        <c:minorTickMark val="none"/>
        <c:tickLblPos val="nextTo"/>
        <c:spPr>
          <a:noFill/>
          <a:ln>
            <a:noFill/>
          </a:ln>
          <a:effectLst/>
        </c:spPr>
        <c:txPr>
          <a:bodyPr rot="-60000000" vert="horz"/>
          <a:lstStyle/>
          <a:p>
            <a:pPr>
              <a:defRPr/>
            </a:pPr>
            <a:endParaRPr lang="vi-VN"/>
          </a:p>
        </c:txPr>
        <c:crossAx val="2094099071"/>
        <c:crosses val="autoZero"/>
        <c:crossBetween val="between"/>
      </c:valAx>
      <c:valAx>
        <c:axId val="2094101983"/>
        <c:scaling>
          <c:orientation val="minMax"/>
        </c:scaling>
        <c:delete val="0"/>
        <c:axPos val="r"/>
        <c:numFmt formatCode="0.0%" sourceLinked="1"/>
        <c:majorTickMark val="none"/>
        <c:minorTickMark val="none"/>
        <c:tickLblPos val="nextTo"/>
        <c:spPr>
          <a:noFill/>
          <a:ln>
            <a:noFill/>
          </a:ln>
          <a:effectLst/>
        </c:spPr>
        <c:txPr>
          <a:bodyPr rot="-60000000" vert="horz"/>
          <a:lstStyle/>
          <a:p>
            <a:pPr>
              <a:defRPr/>
            </a:pPr>
            <a:endParaRPr lang="vi-VN"/>
          </a:p>
        </c:txPr>
        <c:crossAx val="2094097407"/>
        <c:crosses val="max"/>
        <c:crossBetween val="between"/>
      </c:valAx>
      <c:catAx>
        <c:axId val="2094097407"/>
        <c:scaling>
          <c:orientation val="minMax"/>
        </c:scaling>
        <c:delete val="1"/>
        <c:axPos val="b"/>
        <c:numFmt formatCode="General" sourceLinked="1"/>
        <c:majorTickMark val="none"/>
        <c:minorTickMark val="none"/>
        <c:tickLblPos val="nextTo"/>
        <c:crossAx val="2094101983"/>
        <c:crosses val="autoZero"/>
        <c:auto val="1"/>
        <c:lblAlgn val="ctr"/>
        <c:lblOffset val="100"/>
        <c:noMultiLvlLbl val="0"/>
      </c:catAx>
    </c:plotArea>
    <c:legend>
      <c:legendPos val="b"/>
      <c:overlay val="0"/>
      <c:spPr>
        <a:noFill/>
        <a:ln>
          <a:noFill/>
        </a:ln>
        <a:effectLst/>
      </c:spPr>
      <c:txPr>
        <a:bodyPr rot="0" vert="horz"/>
        <a:lstStyle/>
        <a:p>
          <a:pPr>
            <a:defRPr/>
          </a:pPr>
          <a:endParaRPr lang="vi-VN"/>
        </a:p>
      </c:txPr>
    </c:legend>
    <c:plotVisOnly val="1"/>
    <c:dispBlanksAs val="gap"/>
    <c:showDLblsOverMax val="0"/>
  </c:chart>
  <c:txPr>
    <a:bodyPr/>
    <a:lstStyle/>
    <a:p>
      <a:pPr>
        <a:defRPr>
          <a:latin typeface="Calibri (Body)"/>
        </a:defRPr>
      </a:pPr>
      <a:endParaRPr lang="vi-VN"/>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DỰ</a:t>
            </a:r>
            <a:r>
              <a:rPr lang="en-US" baseline="0"/>
              <a:t> PHÓNG 2023</a:t>
            </a:r>
            <a:endParaRPr lang="vi-V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vi-VN"/>
        </a:p>
      </c:txPr>
    </c:title>
    <c:autoTitleDeleted val="0"/>
    <c:plotArea>
      <c:layout/>
      <c:barChart>
        <c:barDir val="col"/>
        <c:grouping val="stacked"/>
        <c:varyColors val="0"/>
        <c:ser>
          <c:idx val="1"/>
          <c:order val="1"/>
          <c:tx>
            <c:strRef>
              <c:f>Valuation_Senario!$A$100</c:f>
              <c:strCache>
                <c:ptCount val="1"/>
                <c:pt idx="0">
                  <c:v> TGDĐ +DMX </c:v>
                </c:pt>
              </c:strCache>
            </c:strRef>
          </c:tx>
          <c:spPr>
            <a:solidFill>
              <a:srgbClr val="FFC000"/>
            </a:solidFill>
            <a:ln>
              <a:noFill/>
            </a:ln>
            <a:effectLst/>
          </c:spPr>
          <c:invertIfNegative val="0"/>
          <c:dLbls>
            <c:dLbl>
              <c:idx val="0"/>
              <c:tx>
                <c:rich>
                  <a:bodyPr/>
                  <a:lstStyle/>
                  <a:p>
                    <a:fld id="{ACB6B649-CB2A-BF4E-AA3F-814A10281AD7}"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DDD8-4633-BC44-8058CB06864C}"/>
                </c:ext>
              </c:extLst>
            </c:dLbl>
            <c:dLbl>
              <c:idx val="1"/>
              <c:tx>
                <c:rich>
                  <a:bodyPr/>
                  <a:lstStyle/>
                  <a:p>
                    <a:fld id="{2829E104-4DC3-0F43-BC16-BD3391C293AE}"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D-DDD8-4633-BC44-8058CB06864C}"/>
                </c:ext>
              </c:extLst>
            </c:dLbl>
            <c:dLbl>
              <c:idx val="2"/>
              <c:tx>
                <c:rich>
                  <a:bodyPr/>
                  <a:lstStyle/>
                  <a:p>
                    <a:fld id="{F00706F0-5D0D-204A-B09E-A1445010A0B8}"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E-DDD8-4633-BC44-8058CB06864C}"/>
                </c:ext>
              </c:extLst>
            </c:dLbl>
            <c:dLbl>
              <c:idx val="3"/>
              <c:tx>
                <c:rich>
                  <a:bodyPr/>
                  <a:lstStyle/>
                  <a:p>
                    <a:fld id="{C9736883-EBD6-304D-9021-D2EA56A87562}"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0-3F91-4CA1-8EC1-995AC1EC923C}"/>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vi-VN"/>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Valuation_Senario!$B$99:$F$99</c:f>
              <c:strCache>
                <c:ptCount val="4"/>
                <c:pt idx="0">
                  <c:v>Q1/2023</c:v>
                </c:pt>
                <c:pt idx="1">
                  <c:v>Q3/2023</c:v>
                </c:pt>
                <c:pt idx="2">
                  <c:v>Q4/2023</c:v>
                </c:pt>
                <c:pt idx="3">
                  <c:v>2023</c:v>
                </c:pt>
              </c:strCache>
            </c:strRef>
          </c:cat>
          <c:val>
            <c:numRef>
              <c:f>Valuation_Senario!$B$100:$F$100</c:f>
              <c:numCache>
                <c:formatCode>_(* #,##0_);_(* \(#,##0\);_(* "-"??_);_(@_)</c:formatCode>
                <c:ptCount val="4"/>
                <c:pt idx="0">
                  <c:v>19945.61</c:v>
                </c:pt>
                <c:pt idx="1">
                  <c:v>20644.035045759207</c:v>
                </c:pt>
                <c:pt idx="2">
                  <c:v>21141.636000000002</c:v>
                </c:pt>
                <c:pt idx="3">
                  <c:v>103655.51172900001</c:v>
                </c:pt>
              </c:numCache>
            </c:numRef>
          </c:val>
          <c:extLst>
            <c:ext xmlns:c15="http://schemas.microsoft.com/office/drawing/2012/chart" uri="{02D57815-91ED-43cb-92C2-25804820EDAC}">
              <c15:datalabelsRange>
                <c15:f>Valuation_Senario!$B$108:$F$108</c15:f>
                <c15:dlblRangeCache>
                  <c:ptCount val="4"/>
                  <c:pt idx="0">
                    <c:v>-24%</c:v>
                  </c:pt>
                  <c:pt idx="1">
                    <c:v>8%</c:v>
                  </c:pt>
                  <c:pt idx="2">
                    <c:v>52%</c:v>
                  </c:pt>
                  <c:pt idx="3">
                    <c:v>1%</c:v>
                  </c:pt>
                </c15:dlblRangeCache>
              </c15:datalabelsRange>
            </c:ext>
            <c:ext xmlns:c16="http://schemas.microsoft.com/office/drawing/2014/chart" uri="{C3380CC4-5D6E-409C-BE32-E72D297353CC}">
              <c16:uniqueId val="{00000001-DDD8-4633-BC44-8058CB06864C}"/>
            </c:ext>
          </c:extLst>
        </c:ser>
        <c:ser>
          <c:idx val="3"/>
          <c:order val="3"/>
          <c:tx>
            <c:strRef>
              <c:f>Valuation_Senario!$A$102</c:f>
              <c:strCache>
                <c:ptCount val="1"/>
                <c:pt idx="0">
                  <c:v> BHX </c:v>
                </c:pt>
              </c:strCache>
            </c:strRef>
          </c:tx>
          <c:spPr>
            <a:solidFill>
              <a:schemeClr val="accent4"/>
            </a:solidFill>
            <a:ln>
              <a:noFill/>
            </a:ln>
            <a:effectLst/>
          </c:spPr>
          <c:invertIfNegative val="0"/>
          <c:dLbls>
            <c:dLbl>
              <c:idx val="0"/>
              <c:tx>
                <c:rich>
                  <a:bodyPr/>
                  <a:lstStyle/>
                  <a:p>
                    <a:fld id="{2F812212-3284-A344-8494-1865678E30AF}"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DDD8-4633-BC44-8058CB06864C}"/>
                </c:ext>
              </c:extLst>
            </c:dLbl>
            <c:dLbl>
              <c:idx val="1"/>
              <c:delete val="1"/>
              <c:extLst>
                <c:ext xmlns:c15="http://schemas.microsoft.com/office/drawing/2012/chart" uri="{CE6537A1-D6FC-4f65-9D91-7224C49458BB}"/>
                <c:ext xmlns:c16="http://schemas.microsoft.com/office/drawing/2014/chart" uri="{C3380CC4-5D6E-409C-BE32-E72D297353CC}">
                  <c16:uniqueId val="{00000013-DDD8-4633-BC44-8058CB06864C}"/>
                </c:ext>
              </c:extLst>
            </c:dLbl>
            <c:dLbl>
              <c:idx val="2"/>
              <c:delete val="1"/>
              <c:extLst>
                <c:ext xmlns:c15="http://schemas.microsoft.com/office/drawing/2012/chart" uri="{CE6537A1-D6FC-4f65-9D91-7224C49458BB}"/>
                <c:ext xmlns:c16="http://schemas.microsoft.com/office/drawing/2014/chart" uri="{C3380CC4-5D6E-409C-BE32-E72D297353CC}">
                  <c16:uniqueId val="{00000014-DDD8-4633-BC44-8058CB06864C}"/>
                </c:ext>
              </c:extLst>
            </c:dLbl>
            <c:dLbl>
              <c:idx val="3"/>
              <c:tx>
                <c:rich>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fld id="{101CDF0B-DD08-9242-9B1D-8379115FDF81}" type="CELLRANGE">
                      <a:rPr lang="en-US"/>
                      <a:pPr>
                        <a:defRPr>
                          <a:solidFill>
                            <a:schemeClr val="bg1"/>
                          </a:solidFill>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0-195C-4FBE-BAC6-4C439B1A07A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vi-VN"/>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Valuation_Senario!$B$99:$F$99</c:f>
              <c:strCache>
                <c:ptCount val="4"/>
                <c:pt idx="0">
                  <c:v>Q1/2023</c:v>
                </c:pt>
                <c:pt idx="1">
                  <c:v>Q3/2023</c:v>
                </c:pt>
                <c:pt idx="2">
                  <c:v>Q4/2023</c:v>
                </c:pt>
                <c:pt idx="3">
                  <c:v>2023</c:v>
                </c:pt>
              </c:strCache>
            </c:strRef>
          </c:cat>
          <c:val>
            <c:numRef>
              <c:f>Valuation_Senario!$B$102:$F$102</c:f>
              <c:numCache>
                <c:formatCode>_(* #,##0_);_(* \(#,##0\);_(* "-"??_);_(@_)</c:formatCode>
                <c:ptCount val="4"/>
                <c:pt idx="0">
                  <c:v>6369.64</c:v>
                </c:pt>
                <c:pt idx="1">
                  <c:v>8632.5660000000025</c:v>
                </c:pt>
                <c:pt idx="2">
                  <c:v>9258.2540000000008</c:v>
                </c:pt>
                <c:pt idx="3">
                  <c:v>31580.760000000002</c:v>
                </c:pt>
              </c:numCache>
            </c:numRef>
          </c:val>
          <c:extLst>
            <c:ext xmlns:c15="http://schemas.microsoft.com/office/drawing/2012/chart" uri="{02D57815-91ED-43cb-92C2-25804820EDAC}">
              <c15:datalabelsRange>
                <c15:f>Valuation_Senario!$B$109:$F$109</c15:f>
                <c15:dlblRangeCache>
                  <c:ptCount val="4"/>
                  <c:pt idx="0">
                    <c:v>23%</c:v>
                  </c:pt>
                  <c:pt idx="1">
                    <c:v>22%</c:v>
                  </c:pt>
                  <c:pt idx="2">
                    <c:v>19%</c:v>
                  </c:pt>
                  <c:pt idx="3">
                    <c:v>9%</c:v>
                  </c:pt>
                </c15:dlblRangeCache>
              </c15:datalabelsRange>
            </c:ext>
            <c:ext xmlns:c16="http://schemas.microsoft.com/office/drawing/2014/chart" uri="{C3380CC4-5D6E-409C-BE32-E72D297353CC}">
              <c16:uniqueId val="{00000003-DDD8-4633-BC44-8058CB06864C}"/>
            </c:ext>
          </c:extLst>
        </c:ser>
        <c:ser>
          <c:idx val="5"/>
          <c:order val="5"/>
          <c:tx>
            <c:strRef>
              <c:f>Valuation_Senario!$A$104</c:f>
              <c:strCache>
                <c:ptCount val="1"/>
                <c:pt idx="0">
                  <c:v> Khác </c:v>
                </c:pt>
              </c:strCache>
            </c:strRef>
          </c:tx>
          <c:spPr>
            <a:solidFill>
              <a:schemeClr val="accent6"/>
            </a:solidFill>
            <a:ln>
              <a:noFill/>
            </a:ln>
            <a:effectLst/>
          </c:spPr>
          <c:invertIfNegative val="0"/>
          <c:dLbls>
            <c:dLbl>
              <c:idx val="0"/>
              <c:tx>
                <c:rich>
                  <a:bodyPr/>
                  <a:lstStyle/>
                  <a:p>
                    <a:fld id="{1A2BEBFA-4AEA-3842-A281-559A391FF9C6}" type="CELLRANGE">
                      <a:rPr lang="en-US"/>
                      <a:pPr/>
                      <a:t>[CELLRANGE]</a:t>
                    </a:fld>
                    <a:endParaRPr lang="en-US"/>
                  </a:p>
                </c:rich>
              </c:tx>
              <c:dLblPos val="inBase"/>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DDD8-4633-BC44-8058CB06864C}"/>
                </c:ext>
              </c:extLst>
            </c:dLbl>
            <c:dLbl>
              <c:idx val="1"/>
              <c:tx>
                <c:rich>
                  <a:bodyPr/>
                  <a:lstStyle/>
                  <a:p>
                    <a:fld id="{C1AD2D37-DC84-7747-B2D2-4AFF7F924632}" type="CELLRANGE">
                      <a:rPr lang="en-US"/>
                      <a:pPr/>
                      <a:t>[CELLRANGE]</a:t>
                    </a:fld>
                    <a:endParaRPr lang="en-US"/>
                  </a:p>
                </c:rich>
              </c:tx>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DDD8-4633-BC44-8058CB06864C}"/>
                </c:ext>
              </c:extLst>
            </c:dLbl>
            <c:dLbl>
              <c:idx val="2"/>
              <c:tx>
                <c:rich>
                  <a:bodyPr/>
                  <a:lstStyle/>
                  <a:p>
                    <a:fld id="{8976FA19-AA80-E342-B4F0-7D4E60EF71EA}" type="CELLRANGE">
                      <a:rPr lang="en-US"/>
                      <a:pPr/>
                      <a:t>[CELLRANGE]</a:t>
                    </a:fld>
                    <a:endParaRPr lang="en-US"/>
                  </a:p>
                </c:rich>
              </c:tx>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DDD8-4633-BC44-8058CB06864C}"/>
                </c:ext>
              </c:extLst>
            </c:dLbl>
            <c:dLbl>
              <c:idx val="3"/>
              <c:tx>
                <c:rich>
                  <a:bodyPr/>
                  <a:lstStyle/>
                  <a:p>
                    <a:fld id="{F4C81CAF-7EF3-7B45-920F-47F0F8C49281}" type="CELLRANGE">
                      <a:rPr lang="en-US"/>
                      <a:pPr/>
                      <a:t>[CELLRANGE]</a:t>
                    </a:fld>
                    <a:endParaRPr lang="en-US"/>
                  </a:p>
                </c:rich>
              </c:tx>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3F91-4CA1-8EC1-995AC1EC923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vi-VN"/>
              </a:p>
            </c:txPr>
            <c:dLblPos val="inBase"/>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Valuation_Senario!$B$99:$F$99</c:f>
              <c:strCache>
                <c:ptCount val="4"/>
                <c:pt idx="0">
                  <c:v>Q1/2023</c:v>
                </c:pt>
                <c:pt idx="1">
                  <c:v>Q3/2023</c:v>
                </c:pt>
                <c:pt idx="2">
                  <c:v>Q4/2023</c:v>
                </c:pt>
                <c:pt idx="3">
                  <c:v>2023</c:v>
                </c:pt>
              </c:strCache>
            </c:strRef>
          </c:cat>
          <c:val>
            <c:numRef>
              <c:f>Valuation_Senario!$B$104:$F$104</c:f>
              <c:numCache>
                <c:formatCode>_(* #,##0_);_(* \(#,##0\);_(* "-"??_);_(@_)</c:formatCode>
                <c:ptCount val="4"/>
                <c:pt idx="0">
                  <c:v>765.08037207423331</c:v>
                </c:pt>
                <c:pt idx="1">
                  <c:v>942.75258631502584</c:v>
                </c:pt>
                <c:pt idx="2">
                  <c:v>833.29897207423346</c:v>
                </c:pt>
                <c:pt idx="3">
                  <c:v>-16956.483273557998</c:v>
                </c:pt>
              </c:numCache>
            </c:numRef>
          </c:val>
          <c:extLst>
            <c:ext xmlns:c15="http://schemas.microsoft.com/office/drawing/2012/chart" uri="{02D57815-91ED-43cb-92C2-25804820EDAC}">
              <c15:datalabelsRange>
                <c15:f>Valuation_Senario!$B$107:$F$107</c15:f>
                <c15:dlblRangeCache>
                  <c:ptCount val="4"/>
                  <c:pt idx="0">
                    <c:v>-16%</c:v>
                  </c:pt>
                  <c:pt idx="1">
                    <c:v>3%</c:v>
                  </c:pt>
                  <c:pt idx="2">
                    <c:v>40%</c:v>
                  </c:pt>
                  <c:pt idx="3">
                    <c:v>3%</c:v>
                  </c:pt>
                </c15:dlblRangeCache>
              </c15:datalabelsRange>
            </c:ext>
            <c:ext xmlns:c16="http://schemas.microsoft.com/office/drawing/2014/chart" uri="{C3380CC4-5D6E-409C-BE32-E72D297353CC}">
              <c16:uniqueId val="{00000005-DDD8-4633-BC44-8058CB06864C}"/>
            </c:ext>
          </c:extLst>
        </c:ser>
        <c:dLbls>
          <c:showLegendKey val="0"/>
          <c:showVal val="0"/>
          <c:showCatName val="0"/>
          <c:showSerName val="0"/>
          <c:showPercent val="0"/>
          <c:showBubbleSize val="0"/>
        </c:dLbls>
        <c:gapWidth val="219"/>
        <c:overlap val="100"/>
        <c:axId val="2094645983"/>
        <c:axId val="2094648063"/>
      </c:barChart>
      <c:lineChart>
        <c:grouping val="standard"/>
        <c:varyColors val="0"/>
        <c:ser>
          <c:idx val="2"/>
          <c:order val="2"/>
          <c:tx>
            <c:strRef>
              <c:f>Valuation_Senario!$A$101</c:f>
              <c:strCache>
                <c:ptCount val="1"/>
                <c:pt idx="0">
                  <c:v>%Tăng/giảm BLNG_TGDĐ và ĐMX</c:v>
                </c:pt>
              </c:strCache>
            </c:strRef>
          </c:tx>
          <c:spPr>
            <a:ln w="28575" cap="rnd">
              <a:solidFill>
                <a:srgbClr val="FF0000">
                  <a:alpha val="0"/>
                </a:srgbClr>
              </a:solidFill>
              <a:round/>
            </a:ln>
            <a:effectLst/>
          </c:spPr>
          <c:marker>
            <c:symbol val="triangle"/>
            <c:size val="5"/>
            <c:spPr>
              <a:solidFill>
                <a:srgbClr val="FF0000"/>
              </a:solidFill>
              <a:ln w="9525">
                <a:solidFill>
                  <a:schemeClr val="accent3"/>
                </a:solidFill>
              </a:ln>
              <a:effectLst/>
            </c:spPr>
          </c:marker>
          <c:cat>
            <c:strRef>
              <c:f>Valuation_Senario!$B$99:$F$99</c:f>
              <c:strCache>
                <c:ptCount val="4"/>
                <c:pt idx="0">
                  <c:v>Q1/2023</c:v>
                </c:pt>
                <c:pt idx="1">
                  <c:v>Q3/2023</c:v>
                </c:pt>
                <c:pt idx="2">
                  <c:v>Q4/2023</c:v>
                </c:pt>
                <c:pt idx="3">
                  <c:v>2023</c:v>
                </c:pt>
              </c:strCache>
            </c:strRef>
          </c:cat>
          <c:val>
            <c:numRef>
              <c:f>Valuation_Senario!$B$101:$F$101</c:f>
              <c:numCache>
                <c:formatCode>0%</c:formatCode>
                <c:ptCount val="4"/>
                <c:pt idx="0">
                  <c:v>-4.9999999999999989E-2</c:v>
                </c:pt>
                <c:pt idx="1">
                  <c:v>-0.06</c:v>
                </c:pt>
                <c:pt idx="2">
                  <c:v>-3.999999999999998E-2</c:v>
                </c:pt>
                <c:pt idx="3" formatCode="0.0%">
                  <c:v>-4.4928099586534209E-2</c:v>
                </c:pt>
              </c:numCache>
            </c:numRef>
          </c:val>
          <c:smooth val="0"/>
          <c:extLst>
            <c:ext xmlns:c16="http://schemas.microsoft.com/office/drawing/2014/chart" uri="{C3380CC4-5D6E-409C-BE32-E72D297353CC}">
              <c16:uniqueId val="{00000002-DDD8-4633-BC44-8058CB06864C}"/>
            </c:ext>
          </c:extLst>
        </c:ser>
        <c:ser>
          <c:idx val="4"/>
          <c:order val="4"/>
          <c:tx>
            <c:strRef>
              <c:f>Valuation_Senario!$A$103</c:f>
              <c:strCache>
                <c:ptCount val="1"/>
                <c:pt idx="0">
                  <c:v>%Tăng/giảm BLNG_BHX</c:v>
                </c:pt>
              </c:strCache>
            </c:strRef>
          </c:tx>
          <c:spPr>
            <a:ln w="28575" cap="rnd">
              <a:solidFill>
                <a:schemeClr val="accent4">
                  <a:alpha val="0"/>
                </a:schemeClr>
              </a:solidFill>
              <a:round/>
            </a:ln>
            <a:effectLst/>
          </c:spPr>
          <c:marker>
            <c:symbol val="circle"/>
            <c:size val="5"/>
            <c:spPr>
              <a:solidFill>
                <a:schemeClr val="accent5"/>
              </a:solidFill>
              <a:ln w="9525">
                <a:solidFill>
                  <a:schemeClr val="accent5"/>
                </a:solidFill>
              </a:ln>
              <a:effectLst/>
            </c:spPr>
          </c:marker>
          <c:cat>
            <c:strRef>
              <c:f>Valuation_Senario!$B$99:$F$99</c:f>
              <c:strCache>
                <c:ptCount val="4"/>
                <c:pt idx="0">
                  <c:v>Q1/2023</c:v>
                </c:pt>
                <c:pt idx="1">
                  <c:v>Q3/2023</c:v>
                </c:pt>
                <c:pt idx="2">
                  <c:v>Q4/2023</c:v>
                </c:pt>
                <c:pt idx="3">
                  <c:v>2023</c:v>
                </c:pt>
              </c:strCache>
            </c:strRef>
          </c:cat>
          <c:val>
            <c:numRef>
              <c:f>Valuation_Senario!$B$103:$F$103</c:f>
              <c:numCache>
                <c:formatCode>0%</c:formatCode>
                <c:ptCount val="4"/>
                <c:pt idx="0">
                  <c:v>1.0000000000000009E-2</c:v>
                </c:pt>
                <c:pt idx="1">
                  <c:v>0</c:v>
                </c:pt>
                <c:pt idx="2">
                  <c:v>-3.0000000000000027E-2</c:v>
                </c:pt>
                <c:pt idx="3">
                  <c:v>-2.7762822300262391E-3</c:v>
                </c:pt>
              </c:numCache>
            </c:numRef>
          </c:val>
          <c:smooth val="0"/>
          <c:extLst>
            <c:ext xmlns:c16="http://schemas.microsoft.com/office/drawing/2014/chart" uri="{C3380CC4-5D6E-409C-BE32-E72D297353CC}">
              <c16:uniqueId val="{00000004-DDD8-4633-BC44-8058CB06864C}"/>
            </c:ext>
          </c:extLst>
        </c:ser>
        <c:dLbls>
          <c:showLegendKey val="0"/>
          <c:showVal val="0"/>
          <c:showCatName val="0"/>
          <c:showSerName val="0"/>
          <c:showPercent val="0"/>
          <c:showBubbleSize val="0"/>
        </c:dLbls>
        <c:marker val="1"/>
        <c:smooth val="0"/>
        <c:axId val="579768479"/>
        <c:axId val="579770559"/>
        <c:extLst>
          <c:ext xmlns:c15="http://schemas.microsoft.com/office/drawing/2012/chart" uri="{02D57815-91ED-43cb-92C2-25804820EDAC}">
            <c15:filteredLineSeries>
              <c15:ser>
                <c:idx val="0"/>
                <c:order val="0"/>
                <c:tx>
                  <c:v>#REF!</c:v>
                </c:tx>
                <c:spPr>
                  <a:ln w="25400" cap="rnd">
                    <a:noFill/>
                    <a:round/>
                  </a:ln>
                  <a:effectLst/>
                </c:spPr>
                <c:marker>
                  <c:symbol val="square"/>
                  <c:size val="5"/>
                  <c:spPr>
                    <a:solidFill>
                      <a:srgbClr val="FF0000"/>
                    </a:solidFill>
                    <a:ln w="9525">
                      <a:solidFill>
                        <a:schemeClr val="accent1"/>
                      </a:solidFill>
                    </a:ln>
                    <a:effectLst/>
                  </c:spPr>
                </c:marker>
                <c:cat>
                  <c:strRef>
                    <c:extLst>
                      <c:ext uri="{02D57815-91ED-43cb-92C2-25804820EDAC}">
                        <c15:formulaRef>
                          <c15:sqref>Valuation_Senario!$B$99:$F$99</c15:sqref>
                        </c15:formulaRef>
                      </c:ext>
                    </c:extLst>
                    <c:strCache>
                      <c:ptCount val="4"/>
                      <c:pt idx="0">
                        <c:v>Q1/2023</c:v>
                      </c:pt>
                      <c:pt idx="1">
                        <c:v>Q3/2023</c:v>
                      </c:pt>
                      <c:pt idx="2">
                        <c:v>Q4/2023</c:v>
                      </c:pt>
                      <c:pt idx="3">
                        <c:v>2023</c:v>
                      </c:pt>
                    </c:strCache>
                  </c:strRef>
                </c:cat>
                <c:val>
                  <c:numLit>
                    <c:formatCode>General</c:formatCode>
                    <c:ptCount val="1"/>
                    <c:pt idx="0">
                      <c:v>1</c:v>
                    </c:pt>
                  </c:numLit>
                </c:val>
                <c:smooth val="0"/>
                <c:extLst>
                  <c:ext xmlns:c16="http://schemas.microsoft.com/office/drawing/2014/chart" uri="{C3380CC4-5D6E-409C-BE32-E72D297353CC}">
                    <c16:uniqueId val="{00000000-DDD8-4633-BC44-8058CB06864C}"/>
                  </c:ext>
                </c:extLst>
              </c15:ser>
            </c15:filteredLineSeries>
          </c:ext>
        </c:extLst>
      </c:lineChart>
      <c:catAx>
        <c:axId val="20946459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vi-VN"/>
          </a:p>
        </c:txPr>
        <c:crossAx val="2094648063"/>
        <c:crosses val="autoZero"/>
        <c:auto val="1"/>
        <c:lblAlgn val="ctr"/>
        <c:lblOffset val="100"/>
        <c:noMultiLvlLbl val="0"/>
      </c:catAx>
      <c:valAx>
        <c:axId val="2094648063"/>
        <c:scaling>
          <c:orientation val="minMax"/>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vi-VN"/>
          </a:p>
        </c:txPr>
        <c:crossAx val="2094645983"/>
        <c:crosses val="autoZero"/>
        <c:crossBetween val="between"/>
      </c:valAx>
      <c:valAx>
        <c:axId val="579770559"/>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vi-VN"/>
          </a:p>
        </c:txPr>
        <c:crossAx val="579768479"/>
        <c:crosses val="max"/>
        <c:crossBetween val="between"/>
      </c:valAx>
      <c:catAx>
        <c:axId val="579768479"/>
        <c:scaling>
          <c:orientation val="minMax"/>
        </c:scaling>
        <c:delete val="1"/>
        <c:axPos val="b"/>
        <c:numFmt formatCode="General" sourceLinked="1"/>
        <c:majorTickMark val="out"/>
        <c:minorTickMark val="none"/>
        <c:tickLblPos val="nextTo"/>
        <c:crossAx val="579770559"/>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vi-V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vi-VN"/>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vi-VN"/>
        </a:p>
      </c:txPr>
    </c:title>
    <c:autoTitleDeleted val="0"/>
    <c:plotArea>
      <c:layout/>
      <c:barChart>
        <c:barDir val="col"/>
        <c:grouping val="clustered"/>
        <c:varyColors val="0"/>
        <c:ser>
          <c:idx val="0"/>
          <c:order val="0"/>
          <c:tx>
            <c:strRef>
              <c:f>Valuation_Senario!$X$1</c:f>
              <c:strCache>
                <c:ptCount val="1"/>
                <c:pt idx="0">
                  <c:v> Traffic BHX online (ngàn lượt truy cập)_RHS </c:v>
                </c:pt>
              </c:strCache>
            </c:strRef>
          </c:tx>
          <c:spPr>
            <a:solidFill>
              <a:schemeClr val="accent1"/>
            </a:solidFill>
            <a:ln>
              <a:noFill/>
            </a:ln>
            <a:effectLst/>
          </c:spPr>
          <c:invertIfNegative val="0"/>
          <c:cat>
            <c:strRef>
              <c:f>Valuation_Senario!$W$2:$W$50</c:f>
              <c:strCache>
                <c:ptCount val="49"/>
                <c:pt idx="0">
                  <c:v>2/2019</c:v>
                </c:pt>
                <c:pt idx="1">
                  <c:v>3/2019</c:v>
                </c:pt>
                <c:pt idx="2">
                  <c:v>4/2019</c:v>
                </c:pt>
                <c:pt idx="3">
                  <c:v>5/2019</c:v>
                </c:pt>
                <c:pt idx="4">
                  <c:v>6/2019</c:v>
                </c:pt>
                <c:pt idx="5">
                  <c:v>8/2019</c:v>
                </c:pt>
                <c:pt idx="6">
                  <c:v>9/2019</c:v>
                </c:pt>
                <c:pt idx="7">
                  <c:v>12/2019</c:v>
                </c:pt>
                <c:pt idx="8">
                  <c:v>1/2020</c:v>
                </c:pt>
                <c:pt idx="9">
                  <c:v>2/2020</c:v>
                </c:pt>
                <c:pt idx="10">
                  <c:v>3/2020</c:v>
                </c:pt>
                <c:pt idx="11">
                  <c:v>4/2020</c:v>
                </c:pt>
                <c:pt idx="12">
                  <c:v>5/2020</c:v>
                </c:pt>
                <c:pt idx="13">
                  <c:v>6/2020</c:v>
                </c:pt>
                <c:pt idx="14">
                  <c:v>7/2020</c:v>
                </c:pt>
                <c:pt idx="15">
                  <c:v>8/2020</c:v>
                </c:pt>
                <c:pt idx="16">
                  <c:v>9/2020</c:v>
                </c:pt>
                <c:pt idx="17">
                  <c:v>10/2020</c:v>
                </c:pt>
                <c:pt idx="18">
                  <c:v>11/2020</c:v>
                </c:pt>
                <c:pt idx="19">
                  <c:v>12/2020</c:v>
                </c:pt>
                <c:pt idx="20">
                  <c:v>1/2021</c:v>
                </c:pt>
                <c:pt idx="21">
                  <c:v>2/2021</c:v>
                </c:pt>
                <c:pt idx="22">
                  <c:v>3/2021</c:v>
                </c:pt>
                <c:pt idx="23">
                  <c:v>4/2021</c:v>
                </c:pt>
                <c:pt idx="24">
                  <c:v>5/2021</c:v>
                </c:pt>
                <c:pt idx="25">
                  <c:v>6/2021</c:v>
                </c:pt>
                <c:pt idx="26">
                  <c:v>7/2021</c:v>
                </c:pt>
                <c:pt idx="27">
                  <c:v>8/2021</c:v>
                </c:pt>
                <c:pt idx="28">
                  <c:v>9/2021</c:v>
                </c:pt>
                <c:pt idx="29">
                  <c:v>10/2021</c:v>
                </c:pt>
                <c:pt idx="30">
                  <c:v>11/2021</c:v>
                </c:pt>
                <c:pt idx="31">
                  <c:v>12/2021</c:v>
                </c:pt>
                <c:pt idx="32">
                  <c:v>1/2022</c:v>
                </c:pt>
                <c:pt idx="33">
                  <c:v>2/2022</c:v>
                </c:pt>
                <c:pt idx="34">
                  <c:v>3/2022</c:v>
                </c:pt>
                <c:pt idx="35">
                  <c:v>4/2022</c:v>
                </c:pt>
                <c:pt idx="36">
                  <c:v>5/2022</c:v>
                </c:pt>
                <c:pt idx="37">
                  <c:v>6/2022</c:v>
                </c:pt>
                <c:pt idx="38">
                  <c:v>7/2022</c:v>
                </c:pt>
                <c:pt idx="39">
                  <c:v>8/2022</c:v>
                </c:pt>
                <c:pt idx="40">
                  <c:v>9/2022</c:v>
                </c:pt>
                <c:pt idx="41">
                  <c:v>10/2022</c:v>
                </c:pt>
                <c:pt idx="42">
                  <c:v>11/2022</c:v>
                </c:pt>
                <c:pt idx="43">
                  <c:v>12/2022</c:v>
                </c:pt>
                <c:pt idx="44">
                  <c:v>1/2023</c:v>
                </c:pt>
                <c:pt idx="45">
                  <c:v>2/2023</c:v>
                </c:pt>
                <c:pt idx="46">
                  <c:v>3/2023</c:v>
                </c:pt>
                <c:pt idx="47">
                  <c:v>4/2023</c:v>
                </c:pt>
                <c:pt idx="48">
                  <c:v>5/2023</c:v>
                </c:pt>
              </c:strCache>
            </c:strRef>
          </c:cat>
          <c:val>
            <c:numRef>
              <c:f>Valuation_Senario!$X$2:$X$50</c:f>
              <c:numCache>
                <c:formatCode>_(* #,##0_);_(* \(#,##0\);_(* "-"??_);_(@_)</c:formatCode>
                <c:ptCount val="49"/>
                <c:pt idx="0">
                  <c:v>290.46749999999997</c:v>
                </c:pt>
                <c:pt idx="1">
                  <c:v>298.55599999999998</c:v>
                </c:pt>
                <c:pt idx="2">
                  <c:v>312.98200000000003</c:v>
                </c:pt>
                <c:pt idx="3">
                  <c:v>320.67599999999999</c:v>
                </c:pt>
                <c:pt idx="4">
                  <c:v>326.41399999999999</c:v>
                </c:pt>
                <c:pt idx="5">
                  <c:v>338.06599999999997</c:v>
                </c:pt>
                <c:pt idx="6">
                  <c:v>335.80599999999998</c:v>
                </c:pt>
                <c:pt idx="7">
                  <c:v>339.13200000000001</c:v>
                </c:pt>
                <c:pt idx="8">
                  <c:v>386.99950000000001</c:v>
                </c:pt>
                <c:pt idx="9">
                  <c:v>522.50300000000004</c:v>
                </c:pt>
                <c:pt idx="10">
                  <c:v>525.86099999999999</c:v>
                </c:pt>
                <c:pt idx="11">
                  <c:v>556.70000000000005</c:v>
                </c:pt>
                <c:pt idx="12">
                  <c:v>603.93399999999997</c:v>
                </c:pt>
                <c:pt idx="13">
                  <c:v>570.31200000000001</c:v>
                </c:pt>
                <c:pt idx="14">
                  <c:v>639.97249999999997</c:v>
                </c:pt>
                <c:pt idx="15">
                  <c:v>679.90250000000003</c:v>
                </c:pt>
                <c:pt idx="16">
                  <c:v>673.43600000000004</c:v>
                </c:pt>
                <c:pt idx="17">
                  <c:v>721.976</c:v>
                </c:pt>
                <c:pt idx="18">
                  <c:v>815.00549999999998</c:v>
                </c:pt>
                <c:pt idx="19">
                  <c:v>819.02549999999997</c:v>
                </c:pt>
                <c:pt idx="20">
                  <c:v>834.11500000000001</c:v>
                </c:pt>
                <c:pt idx="21">
                  <c:v>869.20399999999995</c:v>
                </c:pt>
                <c:pt idx="22">
                  <c:v>909.66150000000005</c:v>
                </c:pt>
                <c:pt idx="23">
                  <c:v>1095.7139999999999</c:v>
                </c:pt>
                <c:pt idx="24">
                  <c:v>1681.4835</c:v>
                </c:pt>
                <c:pt idx="25">
                  <c:v>2509.3969999999999</c:v>
                </c:pt>
                <c:pt idx="26">
                  <c:v>3252.4805000000001</c:v>
                </c:pt>
                <c:pt idx="27">
                  <c:v>3279.297</c:v>
                </c:pt>
                <c:pt idx="28">
                  <c:v>3638.7645000000002</c:v>
                </c:pt>
                <c:pt idx="29">
                  <c:v>3823.9839999999999</c:v>
                </c:pt>
                <c:pt idx="30">
                  <c:v>3951.3784999999998</c:v>
                </c:pt>
                <c:pt idx="31">
                  <c:v>4751.0195000000003</c:v>
                </c:pt>
                <c:pt idx="32">
                  <c:v>5725.4369999999999</c:v>
                </c:pt>
                <c:pt idx="33">
                  <c:v>6450.8440000000001</c:v>
                </c:pt>
                <c:pt idx="34">
                  <c:v>7813.8976666666667</c:v>
                </c:pt>
                <c:pt idx="35">
                  <c:v>9423.6124999999993</c:v>
                </c:pt>
                <c:pt idx="36">
                  <c:v>13189.494000000001</c:v>
                </c:pt>
                <c:pt idx="37">
                  <c:v>13776.852000000001</c:v>
                </c:pt>
                <c:pt idx="38">
                  <c:v>10836.933999999999</c:v>
                </c:pt>
                <c:pt idx="39">
                  <c:v>11584.7315</c:v>
                </c:pt>
                <c:pt idx="40">
                  <c:v>14773.541999999999</c:v>
                </c:pt>
                <c:pt idx="41">
                  <c:v>18274.670666666669</c:v>
                </c:pt>
                <c:pt idx="42">
                  <c:v>19993.720499999999</c:v>
                </c:pt>
                <c:pt idx="43">
                  <c:v>20733.902999999998</c:v>
                </c:pt>
                <c:pt idx="44">
                  <c:v>21315.223000000002</c:v>
                </c:pt>
                <c:pt idx="45">
                  <c:v>22189.214499999998</c:v>
                </c:pt>
                <c:pt idx="46">
                  <c:v>22668.784</c:v>
                </c:pt>
                <c:pt idx="47">
                  <c:v>22565.806</c:v>
                </c:pt>
                <c:pt idx="48">
                  <c:v>22630.46</c:v>
                </c:pt>
              </c:numCache>
            </c:numRef>
          </c:val>
          <c:extLst>
            <c:ext xmlns:c16="http://schemas.microsoft.com/office/drawing/2014/chart" uri="{C3380CC4-5D6E-409C-BE32-E72D297353CC}">
              <c16:uniqueId val="{00000000-7AA0-422E-9D98-925D6CBA30CE}"/>
            </c:ext>
          </c:extLst>
        </c:ser>
        <c:dLbls>
          <c:showLegendKey val="0"/>
          <c:showVal val="0"/>
          <c:showCatName val="0"/>
          <c:showSerName val="0"/>
          <c:showPercent val="0"/>
          <c:showBubbleSize val="0"/>
        </c:dLbls>
        <c:gapWidth val="219"/>
        <c:axId val="851222095"/>
        <c:axId val="851223343"/>
        <c:extLst>
          <c:ext xmlns:c15="http://schemas.microsoft.com/office/drawing/2012/chart" uri="{02D57815-91ED-43cb-92C2-25804820EDAC}">
            <c15:filteredBarSeries>
              <c15:ser>
                <c:idx val="1"/>
                <c:order val="1"/>
                <c:tx>
                  <c:strRef>
                    <c:extLst>
                      <c:ext uri="{02D57815-91ED-43cb-92C2-25804820EDAC}">
                        <c15:formulaRef>
                          <c15:sqref>Valuation_Senario!$Y$1</c15:sqref>
                        </c15:formulaRef>
                      </c:ext>
                    </c:extLst>
                    <c:strCache>
                      <c:ptCount val="1"/>
                      <c:pt idx="0">
                        <c:v> Traffic Winmart online (Lượt truy cập)_RHS </c:v>
                      </c:pt>
                    </c:strCache>
                  </c:strRef>
                </c:tx>
                <c:spPr>
                  <a:solidFill>
                    <a:schemeClr val="accent2"/>
                  </a:solidFill>
                  <a:ln>
                    <a:noFill/>
                  </a:ln>
                  <a:effectLst/>
                </c:spPr>
                <c:invertIfNegative val="0"/>
                <c:cat>
                  <c:strRef>
                    <c:extLst>
                      <c:ext uri="{02D57815-91ED-43cb-92C2-25804820EDAC}">
                        <c15:formulaRef>
                          <c15:sqref>Valuation_Senario!$W$2:$W$50</c15:sqref>
                        </c15:formulaRef>
                      </c:ext>
                    </c:extLst>
                    <c:strCache>
                      <c:ptCount val="49"/>
                      <c:pt idx="0">
                        <c:v>2/2019</c:v>
                      </c:pt>
                      <c:pt idx="1">
                        <c:v>3/2019</c:v>
                      </c:pt>
                      <c:pt idx="2">
                        <c:v>4/2019</c:v>
                      </c:pt>
                      <c:pt idx="3">
                        <c:v>5/2019</c:v>
                      </c:pt>
                      <c:pt idx="4">
                        <c:v>6/2019</c:v>
                      </c:pt>
                      <c:pt idx="5">
                        <c:v>8/2019</c:v>
                      </c:pt>
                      <c:pt idx="6">
                        <c:v>9/2019</c:v>
                      </c:pt>
                      <c:pt idx="7">
                        <c:v>12/2019</c:v>
                      </c:pt>
                      <c:pt idx="8">
                        <c:v>1/2020</c:v>
                      </c:pt>
                      <c:pt idx="9">
                        <c:v>2/2020</c:v>
                      </c:pt>
                      <c:pt idx="10">
                        <c:v>3/2020</c:v>
                      </c:pt>
                      <c:pt idx="11">
                        <c:v>4/2020</c:v>
                      </c:pt>
                      <c:pt idx="12">
                        <c:v>5/2020</c:v>
                      </c:pt>
                      <c:pt idx="13">
                        <c:v>6/2020</c:v>
                      </c:pt>
                      <c:pt idx="14">
                        <c:v>7/2020</c:v>
                      </c:pt>
                      <c:pt idx="15">
                        <c:v>8/2020</c:v>
                      </c:pt>
                      <c:pt idx="16">
                        <c:v>9/2020</c:v>
                      </c:pt>
                      <c:pt idx="17">
                        <c:v>10/2020</c:v>
                      </c:pt>
                      <c:pt idx="18">
                        <c:v>11/2020</c:v>
                      </c:pt>
                      <c:pt idx="19">
                        <c:v>12/2020</c:v>
                      </c:pt>
                      <c:pt idx="20">
                        <c:v>1/2021</c:v>
                      </c:pt>
                      <c:pt idx="21">
                        <c:v>2/2021</c:v>
                      </c:pt>
                      <c:pt idx="22">
                        <c:v>3/2021</c:v>
                      </c:pt>
                      <c:pt idx="23">
                        <c:v>4/2021</c:v>
                      </c:pt>
                      <c:pt idx="24">
                        <c:v>5/2021</c:v>
                      </c:pt>
                      <c:pt idx="25">
                        <c:v>6/2021</c:v>
                      </c:pt>
                      <c:pt idx="26">
                        <c:v>7/2021</c:v>
                      </c:pt>
                      <c:pt idx="27">
                        <c:v>8/2021</c:v>
                      </c:pt>
                      <c:pt idx="28">
                        <c:v>9/2021</c:v>
                      </c:pt>
                      <c:pt idx="29">
                        <c:v>10/2021</c:v>
                      </c:pt>
                      <c:pt idx="30">
                        <c:v>11/2021</c:v>
                      </c:pt>
                      <c:pt idx="31">
                        <c:v>12/2021</c:v>
                      </c:pt>
                      <c:pt idx="32">
                        <c:v>1/2022</c:v>
                      </c:pt>
                      <c:pt idx="33">
                        <c:v>2/2022</c:v>
                      </c:pt>
                      <c:pt idx="34">
                        <c:v>3/2022</c:v>
                      </c:pt>
                      <c:pt idx="35">
                        <c:v>4/2022</c:v>
                      </c:pt>
                      <c:pt idx="36">
                        <c:v>5/2022</c:v>
                      </c:pt>
                      <c:pt idx="37">
                        <c:v>6/2022</c:v>
                      </c:pt>
                      <c:pt idx="38">
                        <c:v>7/2022</c:v>
                      </c:pt>
                      <c:pt idx="39">
                        <c:v>8/2022</c:v>
                      </c:pt>
                      <c:pt idx="40">
                        <c:v>9/2022</c:v>
                      </c:pt>
                      <c:pt idx="41">
                        <c:v>10/2022</c:v>
                      </c:pt>
                      <c:pt idx="42">
                        <c:v>11/2022</c:v>
                      </c:pt>
                      <c:pt idx="43">
                        <c:v>12/2022</c:v>
                      </c:pt>
                      <c:pt idx="44">
                        <c:v>1/2023</c:v>
                      </c:pt>
                      <c:pt idx="45">
                        <c:v>2/2023</c:v>
                      </c:pt>
                      <c:pt idx="46">
                        <c:v>3/2023</c:v>
                      </c:pt>
                      <c:pt idx="47">
                        <c:v>4/2023</c:v>
                      </c:pt>
                      <c:pt idx="48">
                        <c:v>5/2023</c:v>
                      </c:pt>
                    </c:strCache>
                  </c:strRef>
                </c:cat>
                <c:val>
                  <c:numRef>
                    <c:extLst>
                      <c:ext uri="{02D57815-91ED-43cb-92C2-25804820EDAC}">
                        <c15:formulaRef>
                          <c15:sqref>Valuation_Senario!$Y$2:$Y$50</c15:sqref>
                        </c15:formulaRef>
                      </c:ext>
                    </c:extLst>
                    <c:numCache>
                      <c:formatCode>_(* #,##0_);_(* \(#,##0\);_(* "-"??_);_(@_)</c:formatCode>
                      <c:ptCount val="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42192.333333333336</c:v>
                      </c:pt>
                      <c:pt idx="32">
                        <c:v>36804</c:v>
                      </c:pt>
                      <c:pt idx="33">
                        <c:v>35107</c:v>
                      </c:pt>
                      <c:pt idx="34">
                        <c:v>41906</c:v>
                      </c:pt>
                      <c:pt idx="35">
                        <c:v>42162.5</c:v>
                      </c:pt>
                      <c:pt idx="36">
                        <c:v>44739.5</c:v>
                      </c:pt>
                      <c:pt idx="37">
                        <c:v>52723</c:v>
                      </c:pt>
                      <c:pt idx="38">
                        <c:v>61630</c:v>
                      </c:pt>
                      <c:pt idx="39">
                        <c:v>58268.333333333336</c:v>
                      </c:pt>
                      <c:pt idx="40">
                        <c:v>52072</c:v>
                      </c:pt>
                      <c:pt idx="41">
                        <c:v>53642</c:v>
                      </c:pt>
                      <c:pt idx="42">
                        <c:v>53981</c:v>
                      </c:pt>
                      <c:pt idx="43">
                        <c:v>45032.5</c:v>
                      </c:pt>
                      <c:pt idx="44">
                        <c:v>50604.5</c:v>
                      </c:pt>
                      <c:pt idx="45">
                        <c:v>42893</c:v>
                      </c:pt>
                      <c:pt idx="46">
                        <c:v>31582</c:v>
                      </c:pt>
                      <c:pt idx="47">
                        <c:v>29726.5</c:v>
                      </c:pt>
                      <c:pt idx="48">
                        <c:v>51799</c:v>
                      </c:pt>
                    </c:numCache>
                  </c:numRef>
                </c:val>
                <c:extLst>
                  <c:ext xmlns:c16="http://schemas.microsoft.com/office/drawing/2014/chart" uri="{C3380CC4-5D6E-409C-BE32-E72D297353CC}">
                    <c16:uniqueId val="{00000001-7AA0-422E-9D98-925D6CBA30CE}"/>
                  </c:ext>
                </c:extLst>
              </c15:ser>
            </c15:filteredBarSeries>
          </c:ext>
        </c:extLst>
      </c:barChart>
      <c:lineChart>
        <c:grouping val="standard"/>
        <c:varyColors val="0"/>
        <c:ser>
          <c:idx val="2"/>
          <c:order val="2"/>
          <c:tx>
            <c:strRef>
              <c:f>Valuation_Senario!$AB$1</c:f>
              <c:strCache>
                <c:ptCount val="1"/>
                <c:pt idx="0">
                  <c:v> DT/CH BHX </c:v>
                </c:pt>
              </c:strCache>
            </c:strRef>
          </c:tx>
          <c:spPr>
            <a:ln w="28575" cap="rnd">
              <a:solidFill>
                <a:schemeClr val="accent3"/>
              </a:solidFill>
              <a:round/>
            </a:ln>
            <a:effectLst/>
          </c:spPr>
          <c:marker>
            <c:symbol val="none"/>
          </c:marker>
          <c:cat>
            <c:strRef>
              <c:f>Valuation_Senario!$W$2:$W$50</c:f>
              <c:strCache>
                <c:ptCount val="49"/>
                <c:pt idx="0">
                  <c:v>2/2019</c:v>
                </c:pt>
                <c:pt idx="1">
                  <c:v>3/2019</c:v>
                </c:pt>
                <c:pt idx="2">
                  <c:v>4/2019</c:v>
                </c:pt>
                <c:pt idx="3">
                  <c:v>5/2019</c:v>
                </c:pt>
                <c:pt idx="4">
                  <c:v>6/2019</c:v>
                </c:pt>
                <c:pt idx="5">
                  <c:v>8/2019</c:v>
                </c:pt>
                <c:pt idx="6">
                  <c:v>9/2019</c:v>
                </c:pt>
                <c:pt idx="7">
                  <c:v>12/2019</c:v>
                </c:pt>
                <c:pt idx="8">
                  <c:v>1/2020</c:v>
                </c:pt>
                <c:pt idx="9">
                  <c:v>2/2020</c:v>
                </c:pt>
                <c:pt idx="10">
                  <c:v>3/2020</c:v>
                </c:pt>
                <c:pt idx="11">
                  <c:v>4/2020</c:v>
                </c:pt>
                <c:pt idx="12">
                  <c:v>5/2020</c:v>
                </c:pt>
                <c:pt idx="13">
                  <c:v>6/2020</c:v>
                </c:pt>
                <c:pt idx="14">
                  <c:v>7/2020</c:v>
                </c:pt>
                <c:pt idx="15">
                  <c:v>8/2020</c:v>
                </c:pt>
                <c:pt idx="16">
                  <c:v>9/2020</c:v>
                </c:pt>
                <c:pt idx="17">
                  <c:v>10/2020</c:v>
                </c:pt>
                <c:pt idx="18">
                  <c:v>11/2020</c:v>
                </c:pt>
                <c:pt idx="19">
                  <c:v>12/2020</c:v>
                </c:pt>
                <c:pt idx="20">
                  <c:v>1/2021</c:v>
                </c:pt>
                <c:pt idx="21">
                  <c:v>2/2021</c:v>
                </c:pt>
                <c:pt idx="22">
                  <c:v>3/2021</c:v>
                </c:pt>
                <c:pt idx="23">
                  <c:v>4/2021</c:v>
                </c:pt>
                <c:pt idx="24">
                  <c:v>5/2021</c:v>
                </c:pt>
                <c:pt idx="25">
                  <c:v>6/2021</c:v>
                </c:pt>
                <c:pt idx="26">
                  <c:v>7/2021</c:v>
                </c:pt>
                <c:pt idx="27">
                  <c:v>8/2021</c:v>
                </c:pt>
                <c:pt idx="28">
                  <c:v>9/2021</c:v>
                </c:pt>
                <c:pt idx="29">
                  <c:v>10/2021</c:v>
                </c:pt>
                <c:pt idx="30">
                  <c:v>11/2021</c:v>
                </c:pt>
                <c:pt idx="31">
                  <c:v>12/2021</c:v>
                </c:pt>
                <c:pt idx="32">
                  <c:v>1/2022</c:v>
                </c:pt>
                <c:pt idx="33">
                  <c:v>2/2022</c:v>
                </c:pt>
                <c:pt idx="34">
                  <c:v>3/2022</c:v>
                </c:pt>
                <c:pt idx="35">
                  <c:v>4/2022</c:v>
                </c:pt>
                <c:pt idx="36">
                  <c:v>5/2022</c:v>
                </c:pt>
                <c:pt idx="37">
                  <c:v>6/2022</c:v>
                </c:pt>
                <c:pt idx="38">
                  <c:v>7/2022</c:v>
                </c:pt>
                <c:pt idx="39">
                  <c:v>8/2022</c:v>
                </c:pt>
                <c:pt idx="40">
                  <c:v>9/2022</c:v>
                </c:pt>
                <c:pt idx="41">
                  <c:v>10/2022</c:v>
                </c:pt>
                <c:pt idx="42">
                  <c:v>11/2022</c:v>
                </c:pt>
                <c:pt idx="43">
                  <c:v>12/2022</c:v>
                </c:pt>
                <c:pt idx="44">
                  <c:v>1/2023</c:v>
                </c:pt>
                <c:pt idx="45">
                  <c:v>2/2023</c:v>
                </c:pt>
                <c:pt idx="46">
                  <c:v>3/2023</c:v>
                </c:pt>
                <c:pt idx="47">
                  <c:v>4/2023</c:v>
                </c:pt>
                <c:pt idx="48">
                  <c:v>5/2023</c:v>
                </c:pt>
              </c:strCache>
            </c:strRef>
          </c:cat>
          <c:val>
            <c:numRef>
              <c:f>Valuation_Senario!$AB$2:$AB$50</c:f>
              <c:numCache>
                <c:formatCode>_(* #,##0.0_);_(* \(#,##0.0\);_(* "-"??_);_(@_)</c:formatCode>
                <c:ptCount val="49"/>
                <c:pt idx="0">
                  <c:v>1.0023696682464456</c:v>
                </c:pt>
                <c:pt idx="1">
                  <c:v>1.3701905829596412</c:v>
                </c:pt>
                <c:pt idx="2">
                  <c:v>1.4152721712538232</c:v>
                </c:pt>
                <c:pt idx="3">
                  <c:v>1.5192734153263949</c:v>
                </c:pt>
                <c:pt idx="4">
                  <c:v>1.6824471615720524</c:v>
                </c:pt>
                <c:pt idx="5">
                  <c:v>1.541976171564734</c:v>
                </c:pt>
                <c:pt idx="6">
                  <c:v>1.5359725433526012</c:v>
                </c:pt>
                <c:pt idx="7">
                  <c:v>1.3435457348406994</c:v>
                </c:pt>
                <c:pt idx="8">
                  <c:v>1.2872620790629574</c:v>
                </c:pt>
                <c:pt idx="9">
                  <c:v>1.2037610241820771</c:v>
                </c:pt>
                <c:pt idx="10">
                  <c:v>1.7096522911051211</c:v>
                </c:pt>
                <c:pt idx="11">
                  <c:v>1.4063821070234117</c:v>
                </c:pt>
                <c:pt idx="12">
                  <c:v>1.2798291650634859</c:v>
                </c:pt>
                <c:pt idx="13">
                  <c:v>1.1381620484040693</c:v>
                </c:pt>
                <c:pt idx="14">
                  <c:v>1.178385297013455</c:v>
                </c:pt>
                <c:pt idx="15">
                  <c:v>1.2380671736375171</c:v>
                </c:pt>
                <c:pt idx="16">
                  <c:v>1.1957128651336233</c:v>
                </c:pt>
                <c:pt idx="17">
                  <c:v>1.2125086916742907</c:v>
                </c:pt>
                <c:pt idx="18">
                  <c:v>1.2242249476518106</c:v>
                </c:pt>
                <c:pt idx="19">
                  <c:v>1.2386048150322944</c:v>
                </c:pt>
                <c:pt idx="20">
                  <c:v>1.338114186851211</c:v>
                </c:pt>
                <c:pt idx="21">
                  <c:v>0.94395834522111255</c:v>
                </c:pt>
                <c:pt idx="22">
                  <c:v>1.1212228214589839</c:v>
                </c:pt>
                <c:pt idx="23">
                  <c:v>1.1989854341736697</c:v>
                </c:pt>
                <c:pt idx="24">
                  <c:v>1.3877120963327856</c:v>
                </c:pt>
                <c:pt idx="25">
                  <c:v>1.4694132120887935</c:v>
                </c:pt>
                <c:pt idx="26">
                  <c:v>2.2024512739690043</c:v>
                </c:pt>
                <c:pt idx="27">
                  <c:v>1.6010402911359514</c:v>
                </c:pt>
                <c:pt idx="28">
                  <c:v>0.99897203521491429</c:v>
                </c:pt>
                <c:pt idx="29">
                  <c:v>1.0341261633919339</c:v>
                </c:pt>
                <c:pt idx="30">
                  <c:v>0.9074747474747471</c:v>
                </c:pt>
                <c:pt idx="31">
                  <c:v>0.86514133591481013</c:v>
                </c:pt>
                <c:pt idx="32">
                  <c:v>0.92242194891201512</c:v>
                </c:pt>
                <c:pt idx="33">
                  <c:v>0.92242194891201512</c:v>
                </c:pt>
                <c:pt idx="34">
                  <c:v>1.0072958343139562</c:v>
                </c:pt>
                <c:pt idx="35">
                  <c:v>1.0124209046168269</c:v>
                </c:pt>
                <c:pt idx="36">
                  <c:v>1.0747663551401869</c:v>
                </c:pt>
                <c:pt idx="37">
                  <c:v>1.1494286423430138</c:v>
                </c:pt>
                <c:pt idx="38">
                  <c:v>1.2216844891476974</c:v>
                </c:pt>
                <c:pt idx="39">
                  <c:v>1.36</c:v>
                </c:pt>
                <c:pt idx="40">
                  <c:v>1.37</c:v>
                </c:pt>
                <c:pt idx="41">
                  <c:v>1.37</c:v>
                </c:pt>
                <c:pt idx="42">
                  <c:v>1.3286255787037025</c:v>
                </c:pt>
                <c:pt idx="43">
                  <c:v>1.4358621128472233</c:v>
                </c:pt>
                <c:pt idx="44">
                  <c:v>1.1929352226720649</c:v>
                </c:pt>
                <c:pt idx="45">
                  <c:v>1.1929352226720649</c:v>
                </c:pt>
                <c:pt idx="46">
                  <c:v>1.3053038674033151</c:v>
                </c:pt>
                <c:pt idx="47">
                  <c:v>1.3519322222222223</c:v>
                </c:pt>
                <c:pt idx="48">
                  <c:v>1.3519322222222223</c:v>
                </c:pt>
              </c:numCache>
            </c:numRef>
          </c:val>
          <c:smooth val="0"/>
          <c:extLst>
            <c:ext xmlns:c16="http://schemas.microsoft.com/office/drawing/2014/chart" uri="{C3380CC4-5D6E-409C-BE32-E72D297353CC}">
              <c16:uniqueId val="{00000002-7AA0-422E-9D98-925D6CBA30CE}"/>
            </c:ext>
          </c:extLst>
        </c:ser>
        <c:dLbls>
          <c:showLegendKey val="0"/>
          <c:showVal val="0"/>
          <c:showCatName val="0"/>
          <c:showSerName val="0"/>
          <c:showPercent val="0"/>
          <c:showBubbleSize val="0"/>
        </c:dLbls>
        <c:marker val="1"/>
        <c:smooth val="0"/>
        <c:axId val="664772159"/>
        <c:axId val="664770495"/>
      </c:lineChart>
      <c:catAx>
        <c:axId val="8512220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vi-VN"/>
          </a:p>
        </c:txPr>
        <c:crossAx val="851223343"/>
        <c:crosses val="autoZero"/>
        <c:auto val="1"/>
        <c:lblAlgn val="ctr"/>
        <c:lblOffset val="100"/>
        <c:noMultiLvlLbl val="0"/>
      </c:catAx>
      <c:valAx>
        <c:axId val="851223343"/>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vi-VN"/>
          </a:p>
        </c:txPr>
        <c:crossAx val="851222095"/>
        <c:crosses val="autoZero"/>
        <c:crossBetween val="between"/>
      </c:valAx>
      <c:valAx>
        <c:axId val="664770495"/>
        <c:scaling>
          <c:orientation val="minMax"/>
        </c:scaling>
        <c:delete val="0"/>
        <c:axPos val="r"/>
        <c:numFmt formatCode="_(* #,##0.0_);_(* \(#,##0.0\);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vi-VN"/>
          </a:p>
        </c:txPr>
        <c:crossAx val="664772159"/>
        <c:crosses val="max"/>
        <c:crossBetween val="between"/>
      </c:valAx>
      <c:catAx>
        <c:axId val="664772159"/>
        <c:scaling>
          <c:orientation val="minMax"/>
        </c:scaling>
        <c:delete val="1"/>
        <c:axPos val="b"/>
        <c:numFmt formatCode="General" sourceLinked="1"/>
        <c:majorTickMark val="out"/>
        <c:minorTickMark val="none"/>
        <c:tickLblPos val="nextTo"/>
        <c:crossAx val="664770495"/>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vi-V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vi-VN"/>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2"/>
          <c:order val="2"/>
          <c:tx>
            <c:strRef>
              <c:f>Valuation_Senario!$Z$1</c:f>
              <c:strCache>
                <c:ptCount val="1"/>
                <c:pt idx="0">
                  <c:v>DT BHX online_LHS</c:v>
                </c:pt>
              </c:strCache>
            </c:strRef>
          </c:tx>
          <c:spPr>
            <a:solidFill>
              <a:schemeClr val="accent3"/>
            </a:solidFill>
            <a:ln>
              <a:noFill/>
            </a:ln>
            <a:effectLst/>
          </c:spPr>
          <c:invertIfNegative val="0"/>
          <c:cat>
            <c:strRef>
              <c:extLst>
                <c:ext xmlns:c15="http://schemas.microsoft.com/office/drawing/2012/chart" uri="{02D57815-91ED-43cb-92C2-25804820EDAC}">
                  <c15:fullRef>
                    <c15:sqref>Valuation_Senario!$W$2:$W$50</c15:sqref>
                  </c15:fullRef>
                </c:ext>
              </c:extLst>
              <c:f>Valuation_Senario!$W$10:$W$50</c:f>
              <c:strCache>
                <c:ptCount val="41"/>
                <c:pt idx="0">
                  <c:v>1/2020</c:v>
                </c:pt>
                <c:pt idx="1">
                  <c:v>2/2020</c:v>
                </c:pt>
                <c:pt idx="2">
                  <c:v>3/2020</c:v>
                </c:pt>
                <c:pt idx="3">
                  <c:v>4/2020</c:v>
                </c:pt>
                <c:pt idx="4">
                  <c:v>5/2020</c:v>
                </c:pt>
                <c:pt idx="5">
                  <c:v>6/2020</c:v>
                </c:pt>
                <c:pt idx="6">
                  <c:v>7/2020</c:v>
                </c:pt>
                <c:pt idx="7">
                  <c:v>8/2020</c:v>
                </c:pt>
                <c:pt idx="8">
                  <c:v>9/2020</c:v>
                </c:pt>
                <c:pt idx="9">
                  <c:v>10/2020</c:v>
                </c:pt>
                <c:pt idx="10">
                  <c:v>11/2020</c:v>
                </c:pt>
                <c:pt idx="11">
                  <c:v>12/2020</c:v>
                </c:pt>
                <c:pt idx="12">
                  <c:v>1/2021</c:v>
                </c:pt>
                <c:pt idx="13">
                  <c:v>2/2021</c:v>
                </c:pt>
                <c:pt idx="14">
                  <c:v>3/2021</c:v>
                </c:pt>
                <c:pt idx="15">
                  <c:v>4/2021</c:v>
                </c:pt>
                <c:pt idx="16">
                  <c:v>5/2021</c:v>
                </c:pt>
                <c:pt idx="17">
                  <c:v>6/2021</c:v>
                </c:pt>
                <c:pt idx="18">
                  <c:v>7/2021</c:v>
                </c:pt>
                <c:pt idx="19">
                  <c:v>8/2021</c:v>
                </c:pt>
                <c:pt idx="20">
                  <c:v>9/2021</c:v>
                </c:pt>
                <c:pt idx="21">
                  <c:v>10/2021</c:v>
                </c:pt>
                <c:pt idx="22">
                  <c:v>11/2021</c:v>
                </c:pt>
                <c:pt idx="23">
                  <c:v>12/2021</c:v>
                </c:pt>
                <c:pt idx="24">
                  <c:v>1/2022</c:v>
                </c:pt>
                <c:pt idx="25">
                  <c:v>2/2022</c:v>
                </c:pt>
                <c:pt idx="26">
                  <c:v>3/2022</c:v>
                </c:pt>
                <c:pt idx="27">
                  <c:v>4/2022</c:v>
                </c:pt>
                <c:pt idx="28">
                  <c:v>5/2022</c:v>
                </c:pt>
                <c:pt idx="29">
                  <c:v>6/2022</c:v>
                </c:pt>
                <c:pt idx="30">
                  <c:v>7/2022</c:v>
                </c:pt>
                <c:pt idx="31">
                  <c:v>8/2022</c:v>
                </c:pt>
                <c:pt idx="32">
                  <c:v>9/2022</c:v>
                </c:pt>
                <c:pt idx="33">
                  <c:v>10/2022</c:v>
                </c:pt>
                <c:pt idx="34">
                  <c:v>11/2022</c:v>
                </c:pt>
                <c:pt idx="35">
                  <c:v>12/2022</c:v>
                </c:pt>
                <c:pt idx="36">
                  <c:v>1/2023</c:v>
                </c:pt>
                <c:pt idx="37">
                  <c:v>2/2023</c:v>
                </c:pt>
                <c:pt idx="38">
                  <c:v>3/2023</c:v>
                </c:pt>
                <c:pt idx="39">
                  <c:v>4/2023</c:v>
                </c:pt>
                <c:pt idx="40">
                  <c:v>5/2023</c:v>
                </c:pt>
              </c:strCache>
            </c:strRef>
          </c:cat>
          <c:val>
            <c:numRef>
              <c:extLst>
                <c:ext xmlns:c15="http://schemas.microsoft.com/office/drawing/2012/chart" uri="{02D57815-91ED-43cb-92C2-25804820EDAC}">
                  <c15:fullRef>
                    <c15:sqref>Valuation_Senario!$Z$2:$Z$50</c15:sqref>
                  </c15:fullRef>
                </c:ext>
              </c:extLst>
              <c:f>Valuation_Senario!$Z$10:$Z$50</c:f>
              <c:numCache>
                <c:formatCode>General</c:formatCode>
                <c:ptCount val="41"/>
                <c:pt idx="0" formatCode="_(* #,##0_);_(* \(#,##0\);_(* &quot;-&quot;??_);_(@_)">
                  <c:v>13.188000000000001</c:v>
                </c:pt>
                <c:pt idx="1" formatCode="_(* #,##0_);_(* \(#,##0\);_(* &quot;-&quot;??_);_(@_)">
                  <c:v>12.693660000000003</c:v>
                </c:pt>
                <c:pt idx="2" formatCode="_(* #,##0_);_(* \(#,##0\);_(* &quot;-&quot;??_);_(@_)">
                  <c:v>19.02843</c:v>
                </c:pt>
                <c:pt idx="3" formatCode="_(* #,##0_);_(* \(#,##0\);_(* &quot;-&quot;??_);_(@_)">
                  <c:v>16.820330000000006</c:v>
                </c:pt>
                <c:pt idx="4" formatCode="_(* #,##0_);_(* \(#,##0\);_(* &quot;-&quot;??_);_(@_)">
                  <c:v>16.63138</c:v>
                </c:pt>
                <c:pt idx="5" formatCode="_(* #,##0_);_(* \(#,##0\);_(* &quot;-&quot;??_);_(@_)">
                  <c:v>16.224500000000006</c:v>
                </c:pt>
                <c:pt idx="6" formatCode="_(* #,##0_);_(* \(#,##0\);_(* &quot;-&quot;??_);_(@_)">
                  <c:v>17.952699999999986</c:v>
                </c:pt>
                <c:pt idx="7" formatCode="_(* #,##0_);_(* \(#,##0\);_(* &quot;-&quot;??_);_(@_)">
                  <c:v>19.536700000000021</c:v>
                </c:pt>
                <c:pt idx="8" formatCode="_(* #,##0_);_(* \(#,##0\);_(* &quot;-&quot;??_);_(@_)">
                  <c:v>19.23902</c:v>
                </c:pt>
                <c:pt idx="9" formatCode="_(* #,##0_);_(* \(#,##0\);_(* &quot;-&quot;??_);_(@_)">
                  <c:v>19.879079999999995</c:v>
                </c:pt>
                <c:pt idx="10" formatCode="_(* #,##0_);_(* \(#,##0\);_(* &quot;-&quot;??_);_(@_)">
                  <c:v>20.462920000000015</c:v>
                </c:pt>
                <c:pt idx="11" formatCode="_(* #,##0_);_(* \(#,##0\);_(* &quot;-&quot;??_);_(@_)">
                  <c:v>63.280319999999918</c:v>
                </c:pt>
                <c:pt idx="12" formatCode="_(* #,##0_);_(* \(#,##0\);_(* &quot;-&quot;??_);_(@_)">
                  <c:v>69.608699999999999</c:v>
                </c:pt>
                <c:pt idx="13" formatCode="_(* #,##0_);_(* \(#,##0\);_(* &quot;-&quot;??_);_(@_)">
                  <c:v>49.628609999999995</c:v>
                </c:pt>
                <c:pt idx="14" formatCode="_(* #,##0_);_(* \(#,##0\);_(* &quot;-&quot;??_);_(@_)">
                  <c:v>59.251020000000004</c:v>
                </c:pt>
                <c:pt idx="15" formatCode="_(* #,##0_);_(* \(#,##0\);_(* &quot;-&quot;??_);_(@_)">
                  <c:v>64.205670000000012</c:v>
                </c:pt>
                <c:pt idx="16" formatCode="_(* #,##0_);_(* \(#,##0\);_(* &quot;-&quot;??_);_(@_)">
                  <c:v>76.060499999999976</c:v>
                </c:pt>
                <c:pt idx="17" formatCode="_(* #,##0_);_(* \(#,##0\);_(* &quot;-&quot;??_);_(@_)">
                  <c:v>82.412039999999976</c:v>
                </c:pt>
                <c:pt idx="18" formatCode="_(* #,##0_);_(* \(#,##0\);_(* &quot;-&quot;??_);_(@_)">
                  <c:v>125.77097999999999</c:v>
                </c:pt>
                <c:pt idx="19" formatCode="_(* #,##0_);_(* \(#,##0\);_(* &quot;-&quot;??_);_(@_)">
                  <c:v>92.388030000000072</c:v>
                </c:pt>
                <c:pt idx="20" formatCode="_(* #,##0_);_(* \(#,##0\);_(* &quot;-&quot;??_);_(@_)">
                  <c:v>57.870449999999977</c:v>
                </c:pt>
                <c:pt idx="21" formatCode="_(* #,##0_);_(* \(#,##0\);_(* &quot;-&quot;??_);_(@_)">
                  <c:v>60</c:v>
                </c:pt>
                <c:pt idx="22" formatCode="_(* #,##0_);_(* \(#,##0\);_(* &quot;-&quot;??_);_(@_)">
                  <c:v>53.903999999999975</c:v>
                </c:pt>
                <c:pt idx="23" formatCode="_(* #,##0_);_(* \(#,##0\);_(* &quot;-&quot;??_);_(@_)">
                  <c:v>53.621459999999935</c:v>
                </c:pt>
                <c:pt idx="24" formatCode="_(* #,##0_);_(* \(#,##0\);_(* &quot;-&quot;??_);_(@_)">
                  <c:v>58.5</c:v>
                </c:pt>
                <c:pt idx="25" formatCode="_(* #,##0_);_(* \(#,##0\);_(* &quot;-&quot;??_);_(@_)">
                  <c:v>58.5</c:v>
                </c:pt>
                <c:pt idx="26" formatCode="_(* #,##0_);_(* \(#,##0\);_(* &quot;-&quot;??_);_(@_)">
                  <c:v>64.2</c:v>
                </c:pt>
                <c:pt idx="27" formatCode="_(* #,##0_);_(* \(#,##0\);_(* &quot;-&quot;??_);_(@_)">
                  <c:v>64.8</c:v>
                </c:pt>
                <c:pt idx="28" formatCode="_(* #,##0_);_(* \(#,##0\);_(* &quot;-&quot;??_);_(@_)">
                  <c:v>69</c:v>
                </c:pt>
                <c:pt idx="29" formatCode="_(* #,##0_);_(* \(#,##0\);_(* &quot;-&quot;??_);_(@_)">
                  <c:v>69.465720000000033</c:v>
                </c:pt>
                <c:pt idx="30" formatCode="_(* #,##0_);_(* \(#,##0\);_(* &quot;-&quot;??_);_(@_)">
                  <c:v>83.456659999999971</c:v>
                </c:pt>
                <c:pt idx="31" formatCode="_(* #,##0_);_(* \(#,##0\);_(* &quot;-&quot;??_);_(@_)">
                  <c:v>82.977475000000013</c:v>
                </c:pt>
                <c:pt idx="32" formatCode="_(* #,##0_);_(* \(#,##0\);_(* &quot;-&quot;??_);_(@_)">
                  <c:v>82.809650000000019</c:v>
                </c:pt>
                <c:pt idx="33" formatCode="_(* #,##0_);_(* \(#,##0\);_(* &quot;-&quot;??_);_(@_)">
                  <c:v>82.857600000000019</c:v>
                </c:pt>
                <c:pt idx="34" formatCode="_(* #,##0_);_(* \(#,##0\);_(* &quot;-&quot;??_);_(@_)">
                  <c:v>80.355274999999935</c:v>
                </c:pt>
                <c:pt idx="35" formatCode="_(* #,##0_);_(* \(#,##0\);_(* &quot;-&quot;??_);_(@_)">
                  <c:v>86.84094058500007</c:v>
                </c:pt>
                <c:pt idx="36" formatCode="_(* #,##0_);_(* \(#,##0\);_(* &quot;-&quot;??_);_(@_)">
                  <c:v>72.190475000000006</c:v>
                </c:pt>
                <c:pt idx="37" formatCode="_(* #,##0_);_(* \(#,##0\);_(* &quot;-&quot;??_);_(@_)">
                  <c:v>72.190475000000006</c:v>
                </c:pt>
                <c:pt idx="38" formatCode="_(* #,##0_);_(* \(#,##0\);_(* &quot;-&quot;??_);_(@_)">
                  <c:v>78.556450000000012</c:v>
                </c:pt>
                <c:pt idx="39" formatCode="_(* #,##0_);_(* \(#,##0\);_(* &quot;-&quot;??_);_(@_)">
                  <c:v>80.913143500000018</c:v>
                </c:pt>
                <c:pt idx="40" formatCode="_(* #,##0_);_(* \(#,##0\);_(* &quot;-&quot;??_);_(@_)">
                  <c:v>80.913143500000018</c:v>
                </c:pt>
              </c:numCache>
            </c:numRef>
          </c:val>
          <c:extLst>
            <c:ext xmlns:c16="http://schemas.microsoft.com/office/drawing/2014/chart" uri="{C3380CC4-5D6E-409C-BE32-E72D297353CC}">
              <c16:uniqueId val="{00000002-3CE3-489E-86B7-13D8BFFA4288}"/>
            </c:ext>
          </c:extLst>
        </c:ser>
        <c:dLbls>
          <c:showLegendKey val="0"/>
          <c:showVal val="0"/>
          <c:showCatName val="0"/>
          <c:showSerName val="0"/>
          <c:showPercent val="0"/>
          <c:showBubbleSize val="0"/>
        </c:dLbls>
        <c:gapWidth val="219"/>
        <c:axId val="1045864447"/>
        <c:axId val="1045865695"/>
        <c:extLst>
          <c:ext xmlns:c15="http://schemas.microsoft.com/office/drawing/2012/chart" uri="{02D57815-91ED-43cb-92C2-25804820EDAC}">
            <c15:filteredBarSeries>
              <c15:ser>
                <c:idx val="1"/>
                <c:order val="1"/>
                <c:tx>
                  <c:strRef>
                    <c:extLst>
                      <c:ext uri="{02D57815-91ED-43cb-92C2-25804820EDAC}">
                        <c15:formulaRef>
                          <c15:sqref>Valuation_Senario!$Y$1</c15:sqref>
                        </c15:formulaRef>
                      </c:ext>
                    </c:extLst>
                    <c:strCache>
                      <c:ptCount val="1"/>
                      <c:pt idx="0">
                        <c:v> Traffic Winmart online (Lượt truy cập)_RHS </c:v>
                      </c:pt>
                    </c:strCache>
                  </c:strRef>
                </c:tx>
                <c:spPr>
                  <a:solidFill>
                    <a:schemeClr val="accent2"/>
                  </a:solidFill>
                  <a:ln>
                    <a:noFill/>
                  </a:ln>
                  <a:effectLst/>
                </c:spPr>
                <c:invertIfNegative val="0"/>
                <c:cat>
                  <c:strRef>
                    <c:extLst>
                      <c:ext uri="{02D57815-91ED-43cb-92C2-25804820EDAC}">
                        <c15:fullRef>
                          <c15:sqref>Valuation_Senario!$W$2:$W$50</c15:sqref>
                        </c15:fullRef>
                        <c15:formulaRef>
                          <c15:sqref>Valuation_Senario!$W$10:$W$50</c15:sqref>
                        </c15:formulaRef>
                      </c:ext>
                    </c:extLst>
                    <c:strCache>
                      <c:ptCount val="41"/>
                      <c:pt idx="0">
                        <c:v>1/2020</c:v>
                      </c:pt>
                      <c:pt idx="1">
                        <c:v>2/2020</c:v>
                      </c:pt>
                      <c:pt idx="2">
                        <c:v>3/2020</c:v>
                      </c:pt>
                      <c:pt idx="3">
                        <c:v>4/2020</c:v>
                      </c:pt>
                      <c:pt idx="4">
                        <c:v>5/2020</c:v>
                      </c:pt>
                      <c:pt idx="5">
                        <c:v>6/2020</c:v>
                      </c:pt>
                      <c:pt idx="6">
                        <c:v>7/2020</c:v>
                      </c:pt>
                      <c:pt idx="7">
                        <c:v>8/2020</c:v>
                      </c:pt>
                      <c:pt idx="8">
                        <c:v>9/2020</c:v>
                      </c:pt>
                      <c:pt idx="9">
                        <c:v>10/2020</c:v>
                      </c:pt>
                      <c:pt idx="10">
                        <c:v>11/2020</c:v>
                      </c:pt>
                      <c:pt idx="11">
                        <c:v>12/2020</c:v>
                      </c:pt>
                      <c:pt idx="12">
                        <c:v>1/2021</c:v>
                      </c:pt>
                      <c:pt idx="13">
                        <c:v>2/2021</c:v>
                      </c:pt>
                      <c:pt idx="14">
                        <c:v>3/2021</c:v>
                      </c:pt>
                      <c:pt idx="15">
                        <c:v>4/2021</c:v>
                      </c:pt>
                      <c:pt idx="16">
                        <c:v>5/2021</c:v>
                      </c:pt>
                      <c:pt idx="17">
                        <c:v>6/2021</c:v>
                      </c:pt>
                      <c:pt idx="18">
                        <c:v>7/2021</c:v>
                      </c:pt>
                      <c:pt idx="19">
                        <c:v>8/2021</c:v>
                      </c:pt>
                      <c:pt idx="20">
                        <c:v>9/2021</c:v>
                      </c:pt>
                      <c:pt idx="21">
                        <c:v>10/2021</c:v>
                      </c:pt>
                      <c:pt idx="22">
                        <c:v>11/2021</c:v>
                      </c:pt>
                      <c:pt idx="23">
                        <c:v>12/2021</c:v>
                      </c:pt>
                      <c:pt idx="24">
                        <c:v>1/2022</c:v>
                      </c:pt>
                      <c:pt idx="25">
                        <c:v>2/2022</c:v>
                      </c:pt>
                      <c:pt idx="26">
                        <c:v>3/2022</c:v>
                      </c:pt>
                      <c:pt idx="27">
                        <c:v>4/2022</c:v>
                      </c:pt>
                      <c:pt idx="28">
                        <c:v>5/2022</c:v>
                      </c:pt>
                      <c:pt idx="29">
                        <c:v>6/2022</c:v>
                      </c:pt>
                      <c:pt idx="30">
                        <c:v>7/2022</c:v>
                      </c:pt>
                      <c:pt idx="31">
                        <c:v>8/2022</c:v>
                      </c:pt>
                      <c:pt idx="32">
                        <c:v>9/2022</c:v>
                      </c:pt>
                      <c:pt idx="33">
                        <c:v>10/2022</c:v>
                      </c:pt>
                      <c:pt idx="34">
                        <c:v>11/2022</c:v>
                      </c:pt>
                      <c:pt idx="35">
                        <c:v>12/2022</c:v>
                      </c:pt>
                      <c:pt idx="36">
                        <c:v>1/2023</c:v>
                      </c:pt>
                      <c:pt idx="37">
                        <c:v>2/2023</c:v>
                      </c:pt>
                      <c:pt idx="38">
                        <c:v>3/2023</c:v>
                      </c:pt>
                      <c:pt idx="39">
                        <c:v>4/2023</c:v>
                      </c:pt>
                      <c:pt idx="40">
                        <c:v>5/2023</c:v>
                      </c:pt>
                    </c:strCache>
                  </c:strRef>
                </c:cat>
                <c:val>
                  <c:numRef>
                    <c:extLst>
                      <c:ext uri="{02D57815-91ED-43cb-92C2-25804820EDAC}">
                        <c15:fullRef>
                          <c15:sqref>Valuation_Senario!$Y$2:$Y$50</c15:sqref>
                        </c15:fullRef>
                        <c15:formulaRef>
                          <c15:sqref>Valuation_Senario!$Y$10:$Y$50</c15:sqref>
                        </c15:formulaRef>
                      </c:ext>
                    </c:extLst>
                    <c:numCache>
                      <c:formatCode>_(* #,##0_);_(* \(#,##0\);_(* "-"??_);_(@_)</c:formatCode>
                      <c:ptCount val="4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42192.333333333336</c:v>
                      </c:pt>
                      <c:pt idx="24">
                        <c:v>36804</c:v>
                      </c:pt>
                      <c:pt idx="25">
                        <c:v>35107</c:v>
                      </c:pt>
                      <c:pt idx="26">
                        <c:v>41906</c:v>
                      </c:pt>
                      <c:pt idx="27">
                        <c:v>42162.5</c:v>
                      </c:pt>
                      <c:pt idx="28">
                        <c:v>44739.5</c:v>
                      </c:pt>
                      <c:pt idx="29">
                        <c:v>52723</c:v>
                      </c:pt>
                      <c:pt idx="30">
                        <c:v>61630</c:v>
                      </c:pt>
                      <c:pt idx="31">
                        <c:v>58268.333333333336</c:v>
                      </c:pt>
                      <c:pt idx="32">
                        <c:v>52072</c:v>
                      </c:pt>
                      <c:pt idx="33">
                        <c:v>53642</c:v>
                      </c:pt>
                      <c:pt idx="34">
                        <c:v>53981</c:v>
                      </c:pt>
                      <c:pt idx="35">
                        <c:v>45032.5</c:v>
                      </c:pt>
                      <c:pt idx="36">
                        <c:v>50604.5</c:v>
                      </c:pt>
                      <c:pt idx="37">
                        <c:v>42893</c:v>
                      </c:pt>
                      <c:pt idx="38">
                        <c:v>31582</c:v>
                      </c:pt>
                      <c:pt idx="39">
                        <c:v>29726.5</c:v>
                      </c:pt>
                      <c:pt idx="40">
                        <c:v>51799</c:v>
                      </c:pt>
                    </c:numCache>
                  </c:numRef>
                </c:val>
                <c:extLst>
                  <c:ext xmlns:c16="http://schemas.microsoft.com/office/drawing/2014/chart" uri="{C3380CC4-5D6E-409C-BE32-E72D297353CC}">
                    <c16:uniqueId val="{00000001-3CE3-489E-86B7-13D8BFFA4288}"/>
                  </c:ext>
                </c:extLst>
              </c15:ser>
            </c15:filteredBarSeries>
          </c:ext>
        </c:extLst>
      </c:barChart>
      <c:lineChart>
        <c:grouping val="standard"/>
        <c:varyColors val="0"/>
        <c:ser>
          <c:idx val="0"/>
          <c:order val="0"/>
          <c:tx>
            <c:strRef>
              <c:f>Valuation_Senario!$X$1</c:f>
              <c:strCache>
                <c:ptCount val="1"/>
                <c:pt idx="0">
                  <c:v> Traffic BHX online (ngàn lượt truy cập)_RHS </c:v>
                </c:pt>
              </c:strCache>
            </c:strRef>
          </c:tx>
          <c:spPr>
            <a:ln w="28575" cap="rnd">
              <a:solidFill>
                <a:schemeClr val="accent1"/>
              </a:solidFill>
              <a:round/>
            </a:ln>
            <a:effectLst/>
          </c:spPr>
          <c:marker>
            <c:symbol val="none"/>
          </c:marker>
          <c:cat>
            <c:strRef>
              <c:extLst>
                <c:ext xmlns:c15="http://schemas.microsoft.com/office/drawing/2012/chart" uri="{02D57815-91ED-43cb-92C2-25804820EDAC}">
                  <c15:fullRef>
                    <c15:sqref>Valuation_Senario!$W$2:$W$50</c15:sqref>
                  </c15:fullRef>
                </c:ext>
              </c:extLst>
              <c:f>Valuation_Senario!$W$10:$W$50</c:f>
              <c:strCache>
                <c:ptCount val="41"/>
                <c:pt idx="0">
                  <c:v>1/2020</c:v>
                </c:pt>
                <c:pt idx="1">
                  <c:v>2/2020</c:v>
                </c:pt>
                <c:pt idx="2">
                  <c:v>3/2020</c:v>
                </c:pt>
                <c:pt idx="3">
                  <c:v>4/2020</c:v>
                </c:pt>
                <c:pt idx="4">
                  <c:v>5/2020</c:v>
                </c:pt>
                <c:pt idx="5">
                  <c:v>6/2020</c:v>
                </c:pt>
                <c:pt idx="6">
                  <c:v>7/2020</c:v>
                </c:pt>
                <c:pt idx="7">
                  <c:v>8/2020</c:v>
                </c:pt>
                <c:pt idx="8">
                  <c:v>9/2020</c:v>
                </c:pt>
                <c:pt idx="9">
                  <c:v>10/2020</c:v>
                </c:pt>
                <c:pt idx="10">
                  <c:v>11/2020</c:v>
                </c:pt>
                <c:pt idx="11">
                  <c:v>12/2020</c:v>
                </c:pt>
                <c:pt idx="12">
                  <c:v>1/2021</c:v>
                </c:pt>
                <c:pt idx="13">
                  <c:v>2/2021</c:v>
                </c:pt>
                <c:pt idx="14">
                  <c:v>3/2021</c:v>
                </c:pt>
                <c:pt idx="15">
                  <c:v>4/2021</c:v>
                </c:pt>
                <c:pt idx="16">
                  <c:v>5/2021</c:v>
                </c:pt>
                <c:pt idx="17">
                  <c:v>6/2021</c:v>
                </c:pt>
                <c:pt idx="18">
                  <c:v>7/2021</c:v>
                </c:pt>
                <c:pt idx="19">
                  <c:v>8/2021</c:v>
                </c:pt>
                <c:pt idx="20">
                  <c:v>9/2021</c:v>
                </c:pt>
                <c:pt idx="21">
                  <c:v>10/2021</c:v>
                </c:pt>
                <c:pt idx="22">
                  <c:v>11/2021</c:v>
                </c:pt>
                <c:pt idx="23">
                  <c:v>12/2021</c:v>
                </c:pt>
                <c:pt idx="24">
                  <c:v>1/2022</c:v>
                </c:pt>
                <c:pt idx="25">
                  <c:v>2/2022</c:v>
                </c:pt>
                <c:pt idx="26">
                  <c:v>3/2022</c:v>
                </c:pt>
                <c:pt idx="27">
                  <c:v>4/2022</c:v>
                </c:pt>
                <c:pt idx="28">
                  <c:v>5/2022</c:v>
                </c:pt>
                <c:pt idx="29">
                  <c:v>6/2022</c:v>
                </c:pt>
                <c:pt idx="30">
                  <c:v>7/2022</c:v>
                </c:pt>
                <c:pt idx="31">
                  <c:v>8/2022</c:v>
                </c:pt>
                <c:pt idx="32">
                  <c:v>9/2022</c:v>
                </c:pt>
                <c:pt idx="33">
                  <c:v>10/2022</c:v>
                </c:pt>
                <c:pt idx="34">
                  <c:v>11/2022</c:v>
                </c:pt>
                <c:pt idx="35">
                  <c:v>12/2022</c:v>
                </c:pt>
                <c:pt idx="36">
                  <c:v>1/2023</c:v>
                </c:pt>
                <c:pt idx="37">
                  <c:v>2/2023</c:v>
                </c:pt>
                <c:pt idx="38">
                  <c:v>3/2023</c:v>
                </c:pt>
                <c:pt idx="39">
                  <c:v>4/2023</c:v>
                </c:pt>
                <c:pt idx="40">
                  <c:v>5/2023</c:v>
                </c:pt>
              </c:strCache>
            </c:strRef>
          </c:cat>
          <c:val>
            <c:numRef>
              <c:extLst>
                <c:ext xmlns:c15="http://schemas.microsoft.com/office/drawing/2012/chart" uri="{02D57815-91ED-43cb-92C2-25804820EDAC}">
                  <c15:fullRef>
                    <c15:sqref>Valuation_Senario!$X$2:$X$50</c15:sqref>
                  </c15:fullRef>
                </c:ext>
              </c:extLst>
              <c:f>Valuation_Senario!$X$10:$X$50</c:f>
              <c:numCache>
                <c:formatCode>_(* #,##0_);_(* \(#,##0\);_(* "-"??_);_(@_)</c:formatCode>
                <c:ptCount val="41"/>
                <c:pt idx="0">
                  <c:v>386.99950000000001</c:v>
                </c:pt>
                <c:pt idx="1">
                  <c:v>522.50300000000004</c:v>
                </c:pt>
                <c:pt idx="2">
                  <c:v>525.86099999999999</c:v>
                </c:pt>
                <c:pt idx="3">
                  <c:v>556.70000000000005</c:v>
                </c:pt>
                <c:pt idx="4">
                  <c:v>603.93399999999997</c:v>
                </c:pt>
                <c:pt idx="5">
                  <c:v>570.31200000000001</c:v>
                </c:pt>
                <c:pt idx="6">
                  <c:v>639.97249999999997</c:v>
                </c:pt>
                <c:pt idx="7">
                  <c:v>679.90250000000003</c:v>
                </c:pt>
                <c:pt idx="8">
                  <c:v>673.43600000000004</c:v>
                </c:pt>
                <c:pt idx="9">
                  <c:v>721.976</c:v>
                </c:pt>
                <c:pt idx="10">
                  <c:v>815.00549999999998</c:v>
                </c:pt>
                <c:pt idx="11">
                  <c:v>819.02549999999997</c:v>
                </c:pt>
                <c:pt idx="12">
                  <c:v>834.11500000000001</c:v>
                </c:pt>
                <c:pt idx="13">
                  <c:v>869.20399999999995</c:v>
                </c:pt>
                <c:pt idx="14">
                  <c:v>909.66150000000005</c:v>
                </c:pt>
                <c:pt idx="15">
                  <c:v>1095.7139999999999</c:v>
                </c:pt>
                <c:pt idx="16">
                  <c:v>1681.4835</c:v>
                </c:pt>
                <c:pt idx="17">
                  <c:v>2509.3969999999999</c:v>
                </c:pt>
                <c:pt idx="18">
                  <c:v>3252.4805000000001</c:v>
                </c:pt>
                <c:pt idx="19">
                  <c:v>3279.297</c:v>
                </c:pt>
                <c:pt idx="20">
                  <c:v>3638.7645000000002</c:v>
                </c:pt>
                <c:pt idx="21">
                  <c:v>3823.9839999999999</c:v>
                </c:pt>
                <c:pt idx="22">
                  <c:v>3951.3784999999998</c:v>
                </c:pt>
                <c:pt idx="23">
                  <c:v>4751.0195000000003</c:v>
                </c:pt>
                <c:pt idx="24">
                  <c:v>5725.4369999999999</c:v>
                </c:pt>
                <c:pt idx="25">
                  <c:v>6450.8440000000001</c:v>
                </c:pt>
                <c:pt idx="26">
                  <c:v>7813.8976666666667</c:v>
                </c:pt>
                <c:pt idx="27">
                  <c:v>9423.6124999999993</c:v>
                </c:pt>
                <c:pt idx="28">
                  <c:v>13189.494000000001</c:v>
                </c:pt>
                <c:pt idx="29">
                  <c:v>13776.852000000001</c:v>
                </c:pt>
                <c:pt idx="30">
                  <c:v>10836.933999999999</c:v>
                </c:pt>
                <c:pt idx="31">
                  <c:v>11584.7315</c:v>
                </c:pt>
                <c:pt idx="32">
                  <c:v>14773.541999999999</c:v>
                </c:pt>
                <c:pt idx="33">
                  <c:v>18274.670666666669</c:v>
                </c:pt>
                <c:pt idx="34">
                  <c:v>19993.720499999999</c:v>
                </c:pt>
                <c:pt idx="35">
                  <c:v>20733.902999999998</c:v>
                </c:pt>
                <c:pt idx="36">
                  <c:v>21315.223000000002</c:v>
                </c:pt>
                <c:pt idx="37">
                  <c:v>22189.214499999998</c:v>
                </c:pt>
                <c:pt idx="38">
                  <c:v>22668.784</c:v>
                </c:pt>
                <c:pt idx="39">
                  <c:v>22565.806</c:v>
                </c:pt>
                <c:pt idx="40">
                  <c:v>22630.46</c:v>
                </c:pt>
              </c:numCache>
            </c:numRef>
          </c:val>
          <c:smooth val="0"/>
          <c:extLst>
            <c:ext xmlns:c16="http://schemas.microsoft.com/office/drawing/2014/chart" uri="{C3380CC4-5D6E-409C-BE32-E72D297353CC}">
              <c16:uniqueId val="{00000000-3CE3-489E-86B7-13D8BFFA4288}"/>
            </c:ext>
          </c:extLst>
        </c:ser>
        <c:dLbls>
          <c:showLegendKey val="0"/>
          <c:showVal val="0"/>
          <c:showCatName val="0"/>
          <c:showSerName val="0"/>
          <c:showPercent val="0"/>
          <c:showBubbleSize val="0"/>
        </c:dLbls>
        <c:marker val="1"/>
        <c:smooth val="0"/>
        <c:axId val="855748495"/>
        <c:axId val="855750991"/>
      </c:lineChart>
      <c:catAx>
        <c:axId val="10458644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vi-VN"/>
          </a:p>
        </c:txPr>
        <c:crossAx val="1045865695"/>
        <c:crosses val="autoZero"/>
        <c:auto val="1"/>
        <c:lblAlgn val="ctr"/>
        <c:lblOffset val="100"/>
        <c:noMultiLvlLbl val="0"/>
      </c:catAx>
      <c:valAx>
        <c:axId val="1045865695"/>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Tỷ</a:t>
                </a:r>
                <a:r>
                  <a:rPr lang="en-US" baseline="0"/>
                  <a:t> VND</a:t>
                </a:r>
                <a:endParaRPr lang="vi-V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vi-VN"/>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vi-VN"/>
          </a:p>
        </c:txPr>
        <c:crossAx val="1045864447"/>
        <c:crosses val="autoZero"/>
        <c:crossBetween val="between"/>
      </c:valAx>
      <c:valAx>
        <c:axId val="855750991"/>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Ngàn</a:t>
                </a:r>
                <a:r>
                  <a:rPr lang="en-US" baseline="0"/>
                  <a:t> lượt truy cập</a:t>
                </a:r>
                <a:endParaRPr lang="vi-V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vi-VN"/>
            </a:p>
          </c:txPr>
        </c:title>
        <c:numFmt formatCode="_(* #,##0_);_(* \(#,##0\);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vi-VN"/>
          </a:p>
        </c:txPr>
        <c:crossAx val="855748495"/>
        <c:crosses val="max"/>
        <c:crossBetween val="between"/>
      </c:valAx>
      <c:catAx>
        <c:axId val="855748495"/>
        <c:scaling>
          <c:orientation val="minMax"/>
        </c:scaling>
        <c:delete val="1"/>
        <c:axPos val="b"/>
        <c:numFmt formatCode="General" sourceLinked="1"/>
        <c:majorTickMark val="out"/>
        <c:minorTickMark val="none"/>
        <c:tickLblPos val="nextTo"/>
        <c:crossAx val="855750991"/>
        <c:crosses val="autoZero"/>
        <c:auto val="1"/>
        <c:lblAlgn val="ctr"/>
        <c:lblOffset val="100"/>
        <c:noMultiLvlLbl val="0"/>
      </c:catAx>
      <c:spPr>
        <a:noFill/>
        <a:ln>
          <a:noFill/>
        </a:ln>
        <a:effectLst/>
      </c:spPr>
    </c:plotArea>
    <c:legend>
      <c:legendPos val="b"/>
      <c:layout>
        <c:manualLayout>
          <c:xMode val="edge"/>
          <c:yMode val="edge"/>
          <c:x val="0"/>
          <c:y val="0.81423447069116361"/>
          <c:w val="0.91655555555555546"/>
          <c:h val="0.1857655293088363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vi-VN"/>
        </a:p>
      </c:txPr>
    </c:legend>
    <c:plotVisOnly val="1"/>
    <c:dispBlanksAs val="gap"/>
    <c:showDLblsOverMax val="0"/>
  </c:chart>
  <c:spPr>
    <a:solidFill>
      <a:schemeClr val="bg1"/>
    </a:solidFill>
    <a:ln w="9525" cap="flat" cmpd="sng" algn="ctr">
      <a:noFill/>
      <a:round/>
    </a:ln>
    <a:effectLst/>
  </c:spPr>
  <c:txPr>
    <a:bodyPr/>
    <a:lstStyle/>
    <a:p>
      <a:pPr>
        <a:defRPr/>
      </a:pPr>
      <a:endParaRPr lang="vi-VN"/>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vi-VN"/>
        </a:p>
      </c:txPr>
    </c:title>
    <c:autoTitleDeleted val="0"/>
    <c:plotArea>
      <c:layout/>
      <c:lineChart>
        <c:grouping val="standard"/>
        <c:varyColors val="0"/>
        <c:ser>
          <c:idx val="0"/>
          <c:order val="0"/>
          <c:tx>
            <c:strRef>
              <c:f>Valuation_Senario!$X$1</c:f>
              <c:strCache>
                <c:ptCount val="1"/>
                <c:pt idx="0">
                  <c:v> Traffic BHX online (ngàn lượt truy cập)_RHS </c:v>
                </c:pt>
              </c:strCache>
            </c:strRef>
          </c:tx>
          <c:spPr>
            <a:ln w="28575" cap="rnd">
              <a:solidFill>
                <a:schemeClr val="accent1"/>
              </a:solidFill>
              <a:round/>
            </a:ln>
            <a:effectLst/>
          </c:spPr>
          <c:marker>
            <c:symbol val="none"/>
          </c:marker>
          <c:cat>
            <c:strRef>
              <c:f>Valuation_Senario!$W$2:$W$50</c:f>
              <c:strCache>
                <c:ptCount val="49"/>
                <c:pt idx="0">
                  <c:v>2/2019</c:v>
                </c:pt>
                <c:pt idx="1">
                  <c:v>3/2019</c:v>
                </c:pt>
                <c:pt idx="2">
                  <c:v>4/2019</c:v>
                </c:pt>
                <c:pt idx="3">
                  <c:v>5/2019</c:v>
                </c:pt>
                <c:pt idx="4">
                  <c:v>6/2019</c:v>
                </c:pt>
                <c:pt idx="5">
                  <c:v>8/2019</c:v>
                </c:pt>
                <c:pt idx="6">
                  <c:v>9/2019</c:v>
                </c:pt>
                <c:pt idx="7">
                  <c:v>12/2019</c:v>
                </c:pt>
                <c:pt idx="8">
                  <c:v>1/2020</c:v>
                </c:pt>
                <c:pt idx="9">
                  <c:v>2/2020</c:v>
                </c:pt>
                <c:pt idx="10">
                  <c:v>3/2020</c:v>
                </c:pt>
                <c:pt idx="11">
                  <c:v>4/2020</c:v>
                </c:pt>
                <c:pt idx="12">
                  <c:v>5/2020</c:v>
                </c:pt>
                <c:pt idx="13">
                  <c:v>6/2020</c:v>
                </c:pt>
                <c:pt idx="14">
                  <c:v>7/2020</c:v>
                </c:pt>
                <c:pt idx="15">
                  <c:v>8/2020</c:v>
                </c:pt>
                <c:pt idx="16">
                  <c:v>9/2020</c:v>
                </c:pt>
                <c:pt idx="17">
                  <c:v>10/2020</c:v>
                </c:pt>
                <c:pt idx="18">
                  <c:v>11/2020</c:v>
                </c:pt>
                <c:pt idx="19">
                  <c:v>12/2020</c:v>
                </c:pt>
                <c:pt idx="20">
                  <c:v>1/2021</c:v>
                </c:pt>
                <c:pt idx="21">
                  <c:v>2/2021</c:v>
                </c:pt>
                <c:pt idx="22">
                  <c:v>3/2021</c:v>
                </c:pt>
                <c:pt idx="23">
                  <c:v>4/2021</c:v>
                </c:pt>
                <c:pt idx="24">
                  <c:v>5/2021</c:v>
                </c:pt>
                <c:pt idx="25">
                  <c:v>6/2021</c:v>
                </c:pt>
                <c:pt idx="26">
                  <c:v>7/2021</c:v>
                </c:pt>
                <c:pt idx="27">
                  <c:v>8/2021</c:v>
                </c:pt>
                <c:pt idx="28">
                  <c:v>9/2021</c:v>
                </c:pt>
                <c:pt idx="29">
                  <c:v>10/2021</c:v>
                </c:pt>
                <c:pt idx="30">
                  <c:v>11/2021</c:v>
                </c:pt>
                <c:pt idx="31">
                  <c:v>12/2021</c:v>
                </c:pt>
                <c:pt idx="32">
                  <c:v>1/2022</c:v>
                </c:pt>
                <c:pt idx="33">
                  <c:v>2/2022</c:v>
                </c:pt>
                <c:pt idx="34">
                  <c:v>3/2022</c:v>
                </c:pt>
                <c:pt idx="35">
                  <c:v>4/2022</c:v>
                </c:pt>
                <c:pt idx="36">
                  <c:v>5/2022</c:v>
                </c:pt>
                <c:pt idx="37">
                  <c:v>6/2022</c:v>
                </c:pt>
                <c:pt idx="38">
                  <c:v>7/2022</c:v>
                </c:pt>
                <c:pt idx="39">
                  <c:v>8/2022</c:v>
                </c:pt>
                <c:pt idx="40">
                  <c:v>9/2022</c:v>
                </c:pt>
                <c:pt idx="41">
                  <c:v>10/2022</c:v>
                </c:pt>
                <c:pt idx="42">
                  <c:v>11/2022</c:v>
                </c:pt>
                <c:pt idx="43">
                  <c:v>12/2022</c:v>
                </c:pt>
                <c:pt idx="44">
                  <c:v>1/2023</c:v>
                </c:pt>
                <c:pt idx="45">
                  <c:v>2/2023</c:v>
                </c:pt>
                <c:pt idx="46">
                  <c:v>3/2023</c:v>
                </c:pt>
                <c:pt idx="47">
                  <c:v>4/2023</c:v>
                </c:pt>
                <c:pt idx="48">
                  <c:v>5/2023</c:v>
                </c:pt>
              </c:strCache>
            </c:strRef>
          </c:cat>
          <c:val>
            <c:numRef>
              <c:f>Valuation_Senario!$X$2:$X$50</c:f>
              <c:numCache>
                <c:formatCode>_(* #,##0_);_(* \(#,##0\);_(* "-"??_);_(@_)</c:formatCode>
                <c:ptCount val="49"/>
                <c:pt idx="0">
                  <c:v>290.46749999999997</c:v>
                </c:pt>
                <c:pt idx="1">
                  <c:v>298.55599999999998</c:v>
                </c:pt>
                <c:pt idx="2">
                  <c:v>312.98200000000003</c:v>
                </c:pt>
                <c:pt idx="3">
                  <c:v>320.67599999999999</c:v>
                </c:pt>
                <c:pt idx="4">
                  <c:v>326.41399999999999</c:v>
                </c:pt>
                <c:pt idx="5">
                  <c:v>338.06599999999997</c:v>
                </c:pt>
                <c:pt idx="6">
                  <c:v>335.80599999999998</c:v>
                </c:pt>
                <c:pt idx="7">
                  <c:v>339.13200000000001</c:v>
                </c:pt>
                <c:pt idx="8">
                  <c:v>386.99950000000001</c:v>
                </c:pt>
                <c:pt idx="9">
                  <c:v>522.50300000000004</c:v>
                </c:pt>
                <c:pt idx="10">
                  <c:v>525.86099999999999</c:v>
                </c:pt>
                <c:pt idx="11">
                  <c:v>556.70000000000005</c:v>
                </c:pt>
                <c:pt idx="12">
                  <c:v>603.93399999999997</c:v>
                </c:pt>
                <c:pt idx="13">
                  <c:v>570.31200000000001</c:v>
                </c:pt>
                <c:pt idx="14">
                  <c:v>639.97249999999997</c:v>
                </c:pt>
                <c:pt idx="15">
                  <c:v>679.90250000000003</c:v>
                </c:pt>
                <c:pt idx="16">
                  <c:v>673.43600000000004</c:v>
                </c:pt>
                <c:pt idx="17">
                  <c:v>721.976</c:v>
                </c:pt>
                <c:pt idx="18">
                  <c:v>815.00549999999998</c:v>
                </c:pt>
                <c:pt idx="19">
                  <c:v>819.02549999999997</c:v>
                </c:pt>
                <c:pt idx="20">
                  <c:v>834.11500000000001</c:v>
                </c:pt>
                <c:pt idx="21">
                  <c:v>869.20399999999995</c:v>
                </c:pt>
                <c:pt idx="22">
                  <c:v>909.66150000000005</c:v>
                </c:pt>
                <c:pt idx="23">
                  <c:v>1095.7139999999999</c:v>
                </c:pt>
                <c:pt idx="24">
                  <c:v>1681.4835</c:v>
                </c:pt>
                <c:pt idx="25">
                  <c:v>2509.3969999999999</c:v>
                </c:pt>
                <c:pt idx="26">
                  <c:v>3252.4805000000001</c:v>
                </c:pt>
                <c:pt idx="27">
                  <c:v>3279.297</c:v>
                </c:pt>
                <c:pt idx="28">
                  <c:v>3638.7645000000002</c:v>
                </c:pt>
                <c:pt idx="29">
                  <c:v>3823.9839999999999</c:v>
                </c:pt>
                <c:pt idx="30">
                  <c:v>3951.3784999999998</c:v>
                </c:pt>
                <c:pt idx="31">
                  <c:v>4751.0195000000003</c:v>
                </c:pt>
                <c:pt idx="32">
                  <c:v>5725.4369999999999</c:v>
                </c:pt>
                <c:pt idx="33">
                  <c:v>6450.8440000000001</c:v>
                </c:pt>
                <c:pt idx="34">
                  <c:v>7813.8976666666667</c:v>
                </c:pt>
                <c:pt idx="35">
                  <c:v>9423.6124999999993</c:v>
                </c:pt>
                <c:pt idx="36">
                  <c:v>13189.494000000001</c:v>
                </c:pt>
                <c:pt idx="37">
                  <c:v>13776.852000000001</c:v>
                </c:pt>
                <c:pt idx="38">
                  <c:v>10836.933999999999</c:v>
                </c:pt>
                <c:pt idx="39">
                  <c:v>11584.7315</c:v>
                </c:pt>
                <c:pt idx="40">
                  <c:v>14773.541999999999</c:v>
                </c:pt>
                <c:pt idx="41">
                  <c:v>18274.670666666669</c:v>
                </c:pt>
                <c:pt idx="42">
                  <c:v>19993.720499999999</c:v>
                </c:pt>
                <c:pt idx="43">
                  <c:v>20733.902999999998</c:v>
                </c:pt>
                <c:pt idx="44">
                  <c:v>21315.223000000002</c:v>
                </c:pt>
                <c:pt idx="45">
                  <c:v>22189.214499999998</c:v>
                </c:pt>
                <c:pt idx="46">
                  <c:v>22668.784</c:v>
                </c:pt>
                <c:pt idx="47">
                  <c:v>22565.806</c:v>
                </c:pt>
                <c:pt idx="48">
                  <c:v>22630.46</c:v>
                </c:pt>
              </c:numCache>
            </c:numRef>
          </c:val>
          <c:smooth val="0"/>
          <c:extLst>
            <c:ext xmlns:c16="http://schemas.microsoft.com/office/drawing/2014/chart" uri="{C3380CC4-5D6E-409C-BE32-E72D297353CC}">
              <c16:uniqueId val="{00000000-E235-4B63-93C8-0819070A3118}"/>
            </c:ext>
          </c:extLst>
        </c:ser>
        <c:dLbls>
          <c:showLegendKey val="0"/>
          <c:showVal val="0"/>
          <c:showCatName val="0"/>
          <c:showSerName val="0"/>
          <c:showPercent val="0"/>
          <c:showBubbleSize val="0"/>
        </c:dLbls>
        <c:marker val="1"/>
        <c:smooth val="0"/>
        <c:axId val="941718079"/>
        <c:axId val="941708095"/>
      </c:lineChart>
      <c:lineChart>
        <c:grouping val="standard"/>
        <c:varyColors val="0"/>
        <c:ser>
          <c:idx val="1"/>
          <c:order val="1"/>
          <c:tx>
            <c:strRef>
              <c:f>Valuation_Senario!$Y$1</c:f>
              <c:strCache>
                <c:ptCount val="1"/>
                <c:pt idx="0">
                  <c:v> Traffic Winmart online (Lượt truy cập)_RHS </c:v>
                </c:pt>
              </c:strCache>
            </c:strRef>
          </c:tx>
          <c:spPr>
            <a:ln w="28575" cap="rnd">
              <a:solidFill>
                <a:schemeClr val="accent2"/>
              </a:solidFill>
              <a:round/>
            </a:ln>
            <a:effectLst/>
          </c:spPr>
          <c:marker>
            <c:symbol val="none"/>
          </c:marker>
          <c:cat>
            <c:strRef>
              <c:f>Valuation_Senario!$W$2:$W$50</c:f>
              <c:strCache>
                <c:ptCount val="49"/>
                <c:pt idx="0">
                  <c:v>2/2019</c:v>
                </c:pt>
                <c:pt idx="1">
                  <c:v>3/2019</c:v>
                </c:pt>
                <c:pt idx="2">
                  <c:v>4/2019</c:v>
                </c:pt>
                <c:pt idx="3">
                  <c:v>5/2019</c:v>
                </c:pt>
                <c:pt idx="4">
                  <c:v>6/2019</c:v>
                </c:pt>
                <c:pt idx="5">
                  <c:v>8/2019</c:v>
                </c:pt>
                <c:pt idx="6">
                  <c:v>9/2019</c:v>
                </c:pt>
                <c:pt idx="7">
                  <c:v>12/2019</c:v>
                </c:pt>
                <c:pt idx="8">
                  <c:v>1/2020</c:v>
                </c:pt>
                <c:pt idx="9">
                  <c:v>2/2020</c:v>
                </c:pt>
                <c:pt idx="10">
                  <c:v>3/2020</c:v>
                </c:pt>
                <c:pt idx="11">
                  <c:v>4/2020</c:v>
                </c:pt>
                <c:pt idx="12">
                  <c:v>5/2020</c:v>
                </c:pt>
                <c:pt idx="13">
                  <c:v>6/2020</c:v>
                </c:pt>
                <c:pt idx="14">
                  <c:v>7/2020</c:v>
                </c:pt>
                <c:pt idx="15">
                  <c:v>8/2020</c:v>
                </c:pt>
                <c:pt idx="16">
                  <c:v>9/2020</c:v>
                </c:pt>
                <c:pt idx="17">
                  <c:v>10/2020</c:v>
                </c:pt>
                <c:pt idx="18">
                  <c:v>11/2020</c:v>
                </c:pt>
                <c:pt idx="19">
                  <c:v>12/2020</c:v>
                </c:pt>
                <c:pt idx="20">
                  <c:v>1/2021</c:v>
                </c:pt>
                <c:pt idx="21">
                  <c:v>2/2021</c:v>
                </c:pt>
                <c:pt idx="22">
                  <c:v>3/2021</c:v>
                </c:pt>
                <c:pt idx="23">
                  <c:v>4/2021</c:v>
                </c:pt>
                <c:pt idx="24">
                  <c:v>5/2021</c:v>
                </c:pt>
                <c:pt idx="25">
                  <c:v>6/2021</c:v>
                </c:pt>
                <c:pt idx="26">
                  <c:v>7/2021</c:v>
                </c:pt>
                <c:pt idx="27">
                  <c:v>8/2021</c:v>
                </c:pt>
                <c:pt idx="28">
                  <c:v>9/2021</c:v>
                </c:pt>
                <c:pt idx="29">
                  <c:v>10/2021</c:v>
                </c:pt>
                <c:pt idx="30">
                  <c:v>11/2021</c:v>
                </c:pt>
                <c:pt idx="31">
                  <c:v>12/2021</c:v>
                </c:pt>
                <c:pt idx="32">
                  <c:v>1/2022</c:v>
                </c:pt>
                <c:pt idx="33">
                  <c:v>2/2022</c:v>
                </c:pt>
                <c:pt idx="34">
                  <c:v>3/2022</c:v>
                </c:pt>
                <c:pt idx="35">
                  <c:v>4/2022</c:v>
                </c:pt>
                <c:pt idx="36">
                  <c:v>5/2022</c:v>
                </c:pt>
                <c:pt idx="37">
                  <c:v>6/2022</c:v>
                </c:pt>
                <c:pt idx="38">
                  <c:v>7/2022</c:v>
                </c:pt>
                <c:pt idx="39">
                  <c:v>8/2022</c:v>
                </c:pt>
                <c:pt idx="40">
                  <c:v>9/2022</c:v>
                </c:pt>
                <c:pt idx="41">
                  <c:v>10/2022</c:v>
                </c:pt>
                <c:pt idx="42">
                  <c:v>11/2022</c:v>
                </c:pt>
                <c:pt idx="43">
                  <c:v>12/2022</c:v>
                </c:pt>
                <c:pt idx="44">
                  <c:v>1/2023</c:v>
                </c:pt>
                <c:pt idx="45">
                  <c:v>2/2023</c:v>
                </c:pt>
                <c:pt idx="46">
                  <c:v>3/2023</c:v>
                </c:pt>
                <c:pt idx="47">
                  <c:v>4/2023</c:v>
                </c:pt>
                <c:pt idx="48">
                  <c:v>5/2023</c:v>
                </c:pt>
              </c:strCache>
            </c:strRef>
          </c:cat>
          <c:val>
            <c:numRef>
              <c:f>Valuation_Senario!$Y$2:$Y$50</c:f>
              <c:numCache>
                <c:formatCode>_(* #,##0_);_(* \(#,##0\);_(* "-"??_);_(@_)</c:formatCode>
                <c:ptCount val="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42192.333333333336</c:v>
                </c:pt>
                <c:pt idx="32">
                  <c:v>36804</c:v>
                </c:pt>
                <c:pt idx="33">
                  <c:v>35107</c:v>
                </c:pt>
                <c:pt idx="34">
                  <c:v>41906</c:v>
                </c:pt>
                <c:pt idx="35">
                  <c:v>42162.5</c:v>
                </c:pt>
                <c:pt idx="36">
                  <c:v>44739.5</c:v>
                </c:pt>
                <c:pt idx="37">
                  <c:v>52723</c:v>
                </c:pt>
                <c:pt idx="38">
                  <c:v>61630</c:v>
                </c:pt>
                <c:pt idx="39">
                  <c:v>58268.333333333336</c:v>
                </c:pt>
                <c:pt idx="40">
                  <c:v>52072</c:v>
                </c:pt>
                <c:pt idx="41">
                  <c:v>53642</c:v>
                </c:pt>
                <c:pt idx="42">
                  <c:v>53981</c:v>
                </c:pt>
                <c:pt idx="43">
                  <c:v>45032.5</c:v>
                </c:pt>
                <c:pt idx="44">
                  <c:v>50604.5</c:v>
                </c:pt>
                <c:pt idx="45">
                  <c:v>42893</c:v>
                </c:pt>
                <c:pt idx="46">
                  <c:v>31582</c:v>
                </c:pt>
                <c:pt idx="47">
                  <c:v>29726.5</c:v>
                </c:pt>
                <c:pt idx="48">
                  <c:v>51799</c:v>
                </c:pt>
              </c:numCache>
            </c:numRef>
          </c:val>
          <c:smooth val="0"/>
          <c:extLst>
            <c:ext xmlns:c16="http://schemas.microsoft.com/office/drawing/2014/chart" uri="{C3380CC4-5D6E-409C-BE32-E72D297353CC}">
              <c16:uniqueId val="{00000001-E235-4B63-93C8-0819070A3118}"/>
            </c:ext>
          </c:extLst>
        </c:ser>
        <c:dLbls>
          <c:showLegendKey val="0"/>
          <c:showVal val="0"/>
          <c:showCatName val="0"/>
          <c:showSerName val="0"/>
          <c:showPercent val="0"/>
          <c:showBubbleSize val="0"/>
        </c:dLbls>
        <c:marker val="1"/>
        <c:smooth val="0"/>
        <c:axId val="941718911"/>
        <c:axId val="941706847"/>
      </c:lineChart>
      <c:catAx>
        <c:axId val="9417180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vi-VN"/>
          </a:p>
        </c:txPr>
        <c:crossAx val="941708095"/>
        <c:crosses val="autoZero"/>
        <c:auto val="1"/>
        <c:lblAlgn val="ctr"/>
        <c:lblOffset val="100"/>
        <c:noMultiLvlLbl val="0"/>
      </c:catAx>
      <c:valAx>
        <c:axId val="941708095"/>
        <c:scaling>
          <c:orientation val="minMax"/>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vi-VN"/>
          </a:p>
        </c:txPr>
        <c:crossAx val="941718079"/>
        <c:crosses val="autoZero"/>
        <c:crossBetween val="between"/>
      </c:valAx>
      <c:valAx>
        <c:axId val="941706847"/>
        <c:scaling>
          <c:orientation val="minMax"/>
        </c:scaling>
        <c:delete val="0"/>
        <c:axPos val="r"/>
        <c:numFmt formatCode="_(* #,##0_);_(* \(#,##0\);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vi-VN"/>
          </a:p>
        </c:txPr>
        <c:crossAx val="941718911"/>
        <c:crosses val="max"/>
        <c:crossBetween val="between"/>
      </c:valAx>
      <c:catAx>
        <c:axId val="941718911"/>
        <c:scaling>
          <c:orientation val="minMax"/>
        </c:scaling>
        <c:delete val="1"/>
        <c:axPos val="b"/>
        <c:numFmt formatCode="General" sourceLinked="1"/>
        <c:majorTickMark val="out"/>
        <c:minorTickMark val="none"/>
        <c:tickLblPos val="nextTo"/>
        <c:crossAx val="941706847"/>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vi-VN"/>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vi-VN"/>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176-466E-AFCD-F84DAE3911E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176-466E-AFCD-F84DAE3911E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176-466E-AFCD-F84DAE3911E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C176-466E-AFCD-F84DAE3911E9}"/>
              </c:ext>
            </c:extLst>
          </c:dPt>
          <c:cat>
            <c:strRef>
              <c:f>Valuation_Senario!$A$124:$A$127</c:f>
              <c:strCache>
                <c:ptCount val="4"/>
                <c:pt idx="0">
                  <c:v>TP.HCM</c:v>
                </c:pt>
                <c:pt idx="1">
                  <c:v>Miền Đông</c:v>
                </c:pt>
                <c:pt idx="2">
                  <c:v>Miền Tây</c:v>
                </c:pt>
                <c:pt idx="3">
                  <c:v>Miền Trung và Tây Nguyên</c:v>
                </c:pt>
              </c:strCache>
            </c:strRef>
          </c:cat>
          <c:val>
            <c:numRef>
              <c:f>Valuation_Senario!$B$124:$B$127</c:f>
              <c:numCache>
                <c:formatCode>0%</c:formatCode>
                <c:ptCount val="4"/>
                <c:pt idx="0">
                  <c:v>0.28999999999999998</c:v>
                </c:pt>
                <c:pt idx="1">
                  <c:v>0.25</c:v>
                </c:pt>
                <c:pt idx="2">
                  <c:v>0.34</c:v>
                </c:pt>
                <c:pt idx="3">
                  <c:v>0.12</c:v>
                </c:pt>
              </c:numCache>
            </c:numRef>
          </c:val>
          <c:extLst>
            <c:ext xmlns:c16="http://schemas.microsoft.com/office/drawing/2014/chart" uri="{C3380CC4-5D6E-409C-BE32-E72D297353CC}">
              <c16:uniqueId val="{00000000-09AD-4AF0-93B3-341B98244257}"/>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vi-VN"/>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vi-VN"/>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strRef>
              <c:f>Valuation_Senario!$B$128</c:f>
              <c:strCache>
                <c:ptCount val="1"/>
                <c:pt idx="0">
                  <c:v>2022</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89E-47CF-BD0D-C71AFE4F886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89E-47CF-BD0D-C71AFE4F886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89E-47CF-BD0D-C71AFE4F8863}"/>
              </c:ext>
            </c:extLst>
          </c:dPt>
          <c:cat>
            <c:strRef>
              <c:f>Valuation_Senario!$A$129:$A$131</c:f>
              <c:strCache>
                <c:ptCount val="3"/>
                <c:pt idx="0">
                  <c:v>TGDĐ+ĐMX</c:v>
                </c:pt>
                <c:pt idx="1">
                  <c:v>BHX</c:v>
                </c:pt>
                <c:pt idx="2">
                  <c:v>An Khang+Chuỗi AVA</c:v>
                </c:pt>
              </c:strCache>
            </c:strRef>
          </c:cat>
          <c:val>
            <c:numRef>
              <c:f>Valuation_Senario!$B$129:$B$131</c:f>
              <c:numCache>
                <c:formatCode>_(* #,##0_);_(* \(#,##0\);_(* "-"??_);_(@_)</c:formatCode>
                <c:ptCount val="3"/>
                <c:pt idx="0">
                  <c:v>103655.51172900001</c:v>
                </c:pt>
                <c:pt idx="1">
                  <c:v>27081.169731000002</c:v>
                </c:pt>
                <c:pt idx="2">
                  <c:v>2668.0999999999913</c:v>
                </c:pt>
              </c:numCache>
            </c:numRef>
          </c:val>
          <c:extLst>
            <c:ext xmlns:c16="http://schemas.microsoft.com/office/drawing/2014/chart" uri="{C3380CC4-5D6E-409C-BE32-E72D297353CC}">
              <c16:uniqueId val="{00000000-BF57-4F23-9179-E45B7786D147}"/>
            </c:ext>
          </c:extLst>
        </c:ser>
        <c:ser>
          <c:idx val="1"/>
          <c:order val="1"/>
          <c:tx>
            <c:strRef>
              <c:f>Valuation_Senario!$C$128</c:f>
              <c:strCache>
                <c:ptCount val="1"/>
                <c:pt idx="0">
                  <c:v>2023F</c:v>
                </c:pt>
              </c:strCache>
            </c:strRef>
          </c:tx>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vi-VN"/>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Valuation_Senario!$A$129:$A$131</c:f>
              <c:strCache>
                <c:ptCount val="3"/>
                <c:pt idx="0">
                  <c:v>TGDĐ+ĐMX</c:v>
                </c:pt>
                <c:pt idx="1">
                  <c:v>BHX</c:v>
                </c:pt>
                <c:pt idx="2">
                  <c:v>An Khang+Chuỗi AVA</c:v>
                </c:pt>
              </c:strCache>
            </c:strRef>
          </c:cat>
          <c:val>
            <c:numRef>
              <c:f>Valuation_Senario!$C$129:$C$131</c:f>
            </c:numRef>
          </c:val>
          <c:extLst>
            <c:ext xmlns:c16="http://schemas.microsoft.com/office/drawing/2014/chart" uri="{C3380CC4-5D6E-409C-BE32-E72D297353CC}">
              <c16:uniqueId val="{00000001-BF57-4F23-9179-E45B7786D147}"/>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vi-VN"/>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vi-VN"/>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Valuation_Senario!$A$156</c:f>
              <c:strCache>
                <c:ptCount val="1"/>
                <c:pt idx="0">
                  <c:v>DT(tỷ VND)_LHS</c:v>
                </c:pt>
              </c:strCache>
            </c:strRef>
          </c:tx>
          <c:spPr>
            <a:solidFill>
              <a:schemeClr val="accent1"/>
            </a:solidFill>
            <a:ln>
              <a:noFill/>
            </a:ln>
            <a:effectLst/>
          </c:spPr>
          <c:invertIfNegative val="0"/>
          <c:cat>
            <c:numRef>
              <c:f>Valuation_Senario!$C$155:$N$155</c:f>
              <c:numCache>
                <c:formatCode>mmm\-yy</c:formatCode>
                <c:ptCount val="11"/>
                <c:pt idx="0">
                  <c:v>44713</c:v>
                </c:pt>
                <c:pt idx="1">
                  <c:v>44743</c:v>
                </c:pt>
                <c:pt idx="2">
                  <c:v>44774</c:v>
                </c:pt>
                <c:pt idx="3">
                  <c:v>44805</c:v>
                </c:pt>
                <c:pt idx="4">
                  <c:v>44835</c:v>
                </c:pt>
                <c:pt idx="5">
                  <c:v>44866</c:v>
                </c:pt>
                <c:pt idx="6">
                  <c:v>44896</c:v>
                </c:pt>
                <c:pt idx="7">
                  <c:v>44927</c:v>
                </c:pt>
                <c:pt idx="8">
                  <c:v>44958</c:v>
                </c:pt>
                <c:pt idx="9">
                  <c:v>44986</c:v>
                </c:pt>
                <c:pt idx="10">
                  <c:v>45017</c:v>
                </c:pt>
              </c:numCache>
            </c:numRef>
          </c:cat>
          <c:val>
            <c:numRef>
              <c:f>Valuation_Senario!$C$156:$N$156</c:f>
              <c:numCache>
                <c:formatCode>_(* #,##0_);_(* \(#,##0\);_(* "-"??_);_(@_)</c:formatCode>
                <c:ptCount val="11"/>
                <c:pt idx="0">
                  <c:v>9189.4218272391918</c:v>
                </c:pt>
                <c:pt idx="1">
                  <c:v>8021.1563455216165</c:v>
                </c:pt>
                <c:pt idx="2">
                  <c:v>7800</c:v>
                </c:pt>
                <c:pt idx="3">
                  <c:v>7699.9999999999982</c:v>
                </c:pt>
                <c:pt idx="4">
                  <c:v>8600</c:v>
                </c:pt>
                <c:pt idx="5">
                  <c:v>7099.9999999999982</c:v>
                </c:pt>
                <c:pt idx="6">
                  <c:v>6955.5117290000062</c:v>
                </c:pt>
                <c:pt idx="7">
                  <c:v>7271.3250000000007</c:v>
                </c:pt>
                <c:pt idx="8">
                  <c:v>7271.3250000000007</c:v>
                </c:pt>
                <c:pt idx="9">
                  <c:v>5402.96</c:v>
                </c:pt>
                <c:pt idx="10">
                  <c:v>7358.0169999999998</c:v>
                </c:pt>
              </c:numCache>
            </c:numRef>
          </c:val>
          <c:extLst>
            <c:ext xmlns:c16="http://schemas.microsoft.com/office/drawing/2014/chart" uri="{C3380CC4-5D6E-409C-BE32-E72D297353CC}">
              <c16:uniqueId val="{00000000-6243-438B-B511-923F5B1E9FF2}"/>
            </c:ext>
          </c:extLst>
        </c:ser>
        <c:dLbls>
          <c:showLegendKey val="0"/>
          <c:showVal val="0"/>
          <c:showCatName val="0"/>
          <c:showSerName val="0"/>
          <c:showPercent val="0"/>
          <c:showBubbleSize val="0"/>
        </c:dLbls>
        <c:gapWidth val="219"/>
        <c:axId val="146234880"/>
        <c:axId val="146236544"/>
      </c:barChart>
      <c:lineChart>
        <c:grouping val="standard"/>
        <c:varyColors val="0"/>
        <c:ser>
          <c:idx val="2"/>
          <c:order val="2"/>
          <c:tx>
            <c:strRef>
              <c:f>Valuation_Senario!$A$158</c:f>
              <c:strCache>
                <c:ptCount val="1"/>
                <c:pt idx="0">
                  <c:v>SLCH_LHS</c:v>
                </c:pt>
              </c:strCache>
            </c:strRef>
          </c:tx>
          <c:spPr>
            <a:ln w="28575" cap="rnd">
              <a:solidFill>
                <a:schemeClr val="accent3"/>
              </a:solidFill>
              <a:round/>
            </a:ln>
            <a:effectLst/>
          </c:spPr>
          <c:marker>
            <c:symbol val="none"/>
          </c:marker>
          <c:cat>
            <c:numRef>
              <c:f>Valuation_Senario!$C$155:$N$155</c:f>
              <c:numCache>
                <c:formatCode>mmm\-yy</c:formatCode>
                <c:ptCount val="11"/>
                <c:pt idx="0">
                  <c:v>44713</c:v>
                </c:pt>
                <c:pt idx="1">
                  <c:v>44743</c:v>
                </c:pt>
                <c:pt idx="2">
                  <c:v>44774</c:v>
                </c:pt>
                <c:pt idx="3">
                  <c:v>44805</c:v>
                </c:pt>
                <c:pt idx="4">
                  <c:v>44835</c:v>
                </c:pt>
                <c:pt idx="5">
                  <c:v>44866</c:v>
                </c:pt>
                <c:pt idx="6">
                  <c:v>44896</c:v>
                </c:pt>
                <c:pt idx="7">
                  <c:v>44927</c:v>
                </c:pt>
                <c:pt idx="8">
                  <c:v>44958</c:v>
                </c:pt>
                <c:pt idx="9">
                  <c:v>44986</c:v>
                </c:pt>
                <c:pt idx="10">
                  <c:v>45017</c:v>
                </c:pt>
              </c:numCache>
            </c:numRef>
          </c:cat>
          <c:val>
            <c:numRef>
              <c:f>Valuation_Senario!$C$158:$N$158</c:f>
              <c:numCache>
                <c:formatCode>General</c:formatCode>
                <c:ptCount val="11"/>
                <c:pt idx="0">
                  <c:v>3108</c:v>
                </c:pt>
                <c:pt idx="1">
                  <c:v>3198</c:v>
                </c:pt>
                <c:pt idx="2">
                  <c:v>3198</c:v>
                </c:pt>
                <c:pt idx="3">
                  <c:v>3255</c:v>
                </c:pt>
                <c:pt idx="4">
                  <c:v>3308</c:v>
                </c:pt>
                <c:pt idx="5">
                  <c:v>3362</c:v>
                </c:pt>
                <c:pt idx="6">
                  <c:v>3432</c:v>
                </c:pt>
                <c:pt idx="7">
                  <c:v>3446</c:v>
                </c:pt>
                <c:pt idx="8">
                  <c:v>3474</c:v>
                </c:pt>
                <c:pt idx="9">
                  <c:v>3476</c:v>
                </c:pt>
                <c:pt idx="10">
                  <c:v>3476</c:v>
                </c:pt>
              </c:numCache>
            </c:numRef>
          </c:val>
          <c:smooth val="0"/>
          <c:extLst>
            <c:ext xmlns:c16="http://schemas.microsoft.com/office/drawing/2014/chart" uri="{C3380CC4-5D6E-409C-BE32-E72D297353CC}">
              <c16:uniqueId val="{00000002-6243-438B-B511-923F5B1E9FF2}"/>
            </c:ext>
          </c:extLst>
        </c:ser>
        <c:dLbls>
          <c:showLegendKey val="0"/>
          <c:showVal val="0"/>
          <c:showCatName val="0"/>
          <c:showSerName val="0"/>
          <c:showPercent val="0"/>
          <c:showBubbleSize val="0"/>
        </c:dLbls>
        <c:marker val="1"/>
        <c:smooth val="0"/>
        <c:axId val="146234880"/>
        <c:axId val="146236544"/>
      </c:lineChart>
      <c:lineChart>
        <c:grouping val="standard"/>
        <c:varyColors val="0"/>
        <c:ser>
          <c:idx val="1"/>
          <c:order val="1"/>
          <c:tx>
            <c:strRef>
              <c:f>Valuation_Senario!$A$157</c:f>
              <c:strCache>
                <c:ptCount val="1"/>
                <c:pt idx="0">
                  <c:v>%DT_MoM_RHS</c:v>
                </c:pt>
              </c:strCache>
            </c:strRef>
          </c:tx>
          <c:spPr>
            <a:ln w="28575" cap="rnd">
              <a:solidFill>
                <a:srgbClr val="C00000"/>
              </a:solidFill>
              <a:round/>
            </a:ln>
            <a:effectLst/>
          </c:spPr>
          <c:marker>
            <c:symbol val="none"/>
          </c:marker>
          <c:cat>
            <c:numRef>
              <c:f>Valuation_Senario!$C$155:$N$155</c:f>
              <c:numCache>
                <c:formatCode>mmm\-yy</c:formatCode>
                <c:ptCount val="11"/>
                <c:pt idx="0">
                  <c:v>44713</c:v>
                </c:pt>
                <c:pt idx="1">
                  <c:v>44743</c:v>
                </c:pt>
                <c:pt idx="2">
                  <c:v>44774</c:v>
                </c:pt>
                <c:pt idx="3">
                  <c:v>44805</c:v>
                </c:pt>
                <c:pt idx="4">
                  <c:v>44835</c:v>
                </c:pt>
                <c:pt idx="5">
                  <c:v>44866</c:v>
                </c:pt>
                <c:pt idx="6">
                  <c:v>44896</c:v>
                </c:pt>
                <c:pt idx="7">
                  <c:v>44927</c:v>
                </c:pt>
                <c:pt idx="8">
                  <c:v>44958</c:v>
                </c:pt>
                <c:pt idx="9">
                  <c:v>44986</c:v>
                </c:pt>
                <c:pt idx="10">
                  <c:v>45017</c:v>
                </c:pt>
              </c:numCache>
            </c:numRef>
          </c:cat>
          <c:val>
            <c:numRef>
              <c:f>Valuation_Senario!$C$157:$N$157</c:f>
              <c:numCache>
                <c:formatCode>0%</c:formatCode>
                <c:ptCount val="11"/>
                <c:pt idx="0">
                  <c:v>0</c:v>
                </c:pt>
                <c:pt idx="1">
                  <c:v>-0.12713155448524682</c:v>
                </c:pt>
                <c:pt idx="2">
                  <c:v>-2.7571628826944972E-2</c:v>
                </c:pt>
                <c:pt idx="3">
                  <c:v>-1.2820512820513108E-2</c:v>
                </c:pt>
                <c:pt idx="4">
                  <c:v>0.11688311688311726</c:v>
                </c:pt>
                <c:pt idx="5">
                  <c:v>-0.17441860465116299</c:v>
                </c:pt>
                <c:pt idx="6">
                  <c:v>-2.0350460704224194E-2</c:v>
                </c:pt>
                <c:pt idx="7">
                  <c:v>4.540474997450672E-2</c:v>
                </c:pt>
                <c:pt idx="8">
                  <c:v>0</c:v>
                </c:pt>
                <c:pt idx="9">
                  <c:v>-0.2569497306199352</c:v>
                </c:pt>
                <c:pt idx="10">
                  <c:v>0.36184924559870879</c:v>
                </c:pt>
              </c:numCache>
            </c:numRef>
          </c:val>
          <c:smooth val="0"/>
          <c:extLst>
            <c:ext xmlns:c16="http://schemas.microsoft.com/office/drawing/2014/chart" uri="{C3380CC4-5D6E-409C-BE32-E72D297353CC}">
              <c16:uniqueId val="{00000001-6243-438B-B511-923F5B1E9FF2}"/>
            </c:ext>
          </c:extLst>
        </c:ser>
        <c:dLbls>
          <c:showLegendKey val="0"/>
          <c:showVal val="0"/>
          <c:showCatName val="0"/>
          <c:showSerName val="0"/>
          <c:showPercent val="0"/>
          <c:showBubbleSize val="0"/>
        </c:dLbls>
        <c:marker val="1"/>
        <c:smooth val="0"/>
        <c:axId val="146239040"/>
        <c:axId val="146235296"/>
      </c:lineChart>
      <c:dateAx>
        <c:axId val="1462348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vi-VN"/>
          </a:p>
        </c:txPr>
        <c:crossAx val="146236544"/>
        <c:crosses val="autoZero"/>
        <c:auto val="1"/>
        <c:lblOffset val="100"/>
        <c:baseTimeUnit val="months"/>
      </c:dateAx>
      <c:valAx>
        <c:axId val="146236544"/>
        <c:scaling>
          <c:orientation val="minMax"/>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vi-VN"/>
          </a:p>
        </c:txPr>
        <c:crossAx val="146234880"/>
        <c:crosses val="autoZero"/>
        <c:crossBetween val="between"/>
      </c:valAx>
      <c:valAx>
        <c:axId val="146235296"/>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vi-VN"/>
          </a:p>
        </c:txPr>
        <c:crossAx val="146239040"/>
        <c:crosses val="max"/>
        <c:crossBetween val="between"/>
      </c:valAx>
      <c:dateAx>
        <c:axId val="146239040"/>
        <c:scaling>
          <c:orientation val="minMax"/>
        </c:scaling>
        <c:delete val="1"/>
        <c:axPos val="b"/>
        <c:numFmt formatCode="mmm\-yy" sourceLinked="1"/>
        <c:majorTickMark val="out"/>
        <c:minorTickMark val="none"/>
        <c:tickLblPos val="nextTo"/>
        <c:crossAx val="146235296"/>
        <c:crosses val="autoZero"/>
        <c:auto val="1"/>
        <c:lblOffset val="100"/>
        <c:baseTimeUnit val="months"/>
        <c:majorUnit val="1"/>
        <c:minorUnit val="1"/>
      </c:date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vi-VN"/>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vi-VN"/>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5555843292447666E-2"/>
          <c:y val="0.30819141497139152"/>
          <c:w val="0.87785974304936565"/>
          <c:h val="0.43768868899538366"/>
        </c:manualLayout>
      </c:layout>
      <c:barChart>
        <c:barDir val="col"/>
        <c:grouping val="clustered"/>
        <c:varyColors val="0"/>
        <c:ser>
          <c:idx val="3"/>
          <c:order val="3"/>
          <c:tx>
            <c:strRef>
              <c:f>Valuation_Senario!$A$164</c:f>
              <c:strCache>
                <c:ptCount val="1"/>
                <c:pt idx="0">
                  <c:v> SLCH_RHS </c:v>
                </c:pt>
              </c:strCache>
            </c:strRef>
          </c:tx>
          <c:spPr>
            <a:solidFill>
              <a:schemeClr val="accent4"/>
            </a:solidFill>
            <a:ln>
              <a:noFill/>
            </a:ln>
            <a:effectLst/>
          </c:spPr>
          <c:invertIfNegative val="0"/>
          <c:dPt>
            <c:idx val="29"/>
            <c:invertIfNegative val="0"/>
            <c:bubble3D val="0"/>
            <c:spPr>
              <a:solidFill>
                <a:schemeClr val="accent4"/>
              </a:solidFill>
              <a:ln w="12700">
                <a:solidFill>
                  <a:schemeClr val="accent2"/>
                </a:solidFill>
                <a:prstDash val="sysDot"/>
              </a:ln>
              <a:effectLst/>
            </c:spPr>
            <c:extLst>
              <c:ext xmlns:c16="http://schemas.microsoft.com/office/drawing/2014/chart" uri="{C3380CC4-5D6E-409C-BE32-E72D297353CC}">
                <c16:uniqueId val="{00000001-0969-4D42-BDB9-DE498703FC45}"/>
              </c:ext>
            </c:extLst>
          </c:dPt>
          <c:dPt>
            <c:idx val="30"/>
            <c:invertIfNegative val="0"/>
            <c:bubble3D val="0"/>
            <c:spPr>
              <a:solidFill>
                <a:schemeClr val="accent4"/>
              </a:solidFill>
              <a:ln w="12700">
                <a:solidFill>
                  <a:schemeClr val="accent2"/>
                </a:solidFill>
                <a:prstDash val="sysDot"/>
              </a:ln>
              <a:effectLst/>
            </c:spPr>
            <c:extLst>
              <c:ext xmlns:c16="http://schemas.microsoft.com/office/drawing/2014/chart" uri="{C3380CC4-5D6E-409C-BE32-E72D297353CC}">
                <c16:uniqueId val="{00000003-0969-4D42-BDB9-DE498703FC45}"/>
              </c:ext>
            </c:extLst>
          </c:dPt>
          <c:cat>
            <c:strRef>
              <c:f>Valuation_Senario!$S$161:$AW$161</c:f>
              <c:strCache>
                <c:ptCount val="31"/>
                <c:pt idx="0">
                  <c:v>Jun-21</c:v>
                </c:pt>
                <c:pt idx="1">
                  <c:v>Jul-21</c:v>
                </c:pt>
                <c:pt idx="2">
                  <c:v>Aug-21</c:v>
                </c:pt>
                <c:pt idx="3">
                  <c:v>Sep-21</c:v>
                </c:pt>
                <c:pt idx="4">
                  <c:v>Oct-21</c:v>
                </c:pt>
                <c:pt idx="5">
                  <c:v>Nov-21</c:v>
                </c:pt>
                <c:pt idx="6">
                  <c:v>Dec-21</c:v>
                </c:pt>
                <c:pt idx="7">
                  <c:v>Thg1&amp;2-22</c:v>
                </c:pt>
                <c:pt idx="8">
                  <c:v>Mar-22</c:v>
                </c:pt>
                <c:pt idx="9">
                  <c:v>Apr-22</c:v>
                </c:pt>
                <c:pt idx="10">
                  <c:v>May-22</c:v>
                </c:pt>
                <c:pt idx="11">
                  <c:v>Jun-22</c:v>
                </c:pt>
                <c:pt idx="12">
                  <c:v>Jul-22</c:v>
                </c:pt>
                <c:pt idx="13">
                  <c:v>Aug-22</c:v>
                </c:pt>
                <c:pt idx="14">
                  <c:v>Sep-22</c:v>
                </c:pt>
                <c:pt idx="15">
                  <c:v>Oct-22</c:v>
                </c:pt>
                <c:pt idx="16">
                  <c:v>Nov-22</c:v>
                </c:pt>
                <c:pt idx="17">
                  <c:v>Dec-22</c:v>
                </c:pt>
                <c:pt idx="18">
                  <c:v>Thg1&amp;2-23</c:v>
                </c:pt>
                <c:pt idx="19">
                  <c:v>Mar-23</c:v>
                </c:pt>
                <c:pt idx="20">
                  <c:v>Apr-23</c:v>
                </c:pt>
                <c:pt idx="21">
                  <c:v>May-23</c:v>
                </c:pt>
                <c:pt idx="22">
                  <c:v>Jun-23</c:v>
                </c:pt>
                <c:pt idx="23">
                  <c:v>Jul-23</c:v>
                </c:pt>
                <c:pt idx="24">
                  <c:v>Aug-23</c:v>
                </c:pt>
                <c:pt idx="25">
                  <c:v>Sep-23</c:v>
                </c:pt>
                <c:pt idx="26">
                  <c:v>Oct-23</c:v>
                </c:pt>
                <c:pt idx="28">
                  <c:v>2022</c:v>
                </c:pt>
                <c:pt idx="29">
                  <c:v>2023e</c:v>
                </c:pt>
                <c:pt idx="30">
                  <c:v>2024f</c:v>
                </c:pt>
              </c:strCache>
            </c:strRef>
          </c:cat>
          <c:val>
            <c:numRef>
              <c:f>Valuation_Senario!$S$164:$AW$164</c:f>
              <c:numCache>
                <c:formatCode>_(* #,##0_);_(* \(#,##0\);_(* "-"??_);_(@_)</c:formatCode>
                <c:ptCount val="31"/>
                <c:pt idx="0">
                  <c:v>1888</c:v>
                </c:pt>
                <c:pt idx="1">
                  <c:v>1919</c:v>
                </c:pt>
                <c:pt idx="2">
                  <c:v>1928</c:v>
                </c:pt>
                <c:pt idx="3">
                  <c:v>1934</c:v>
                </c:pt>
                <c:pt idx="4">
                  <c:v>1934</c:v>
                </c:pt>
                <c:pt idx="5">
                  <c:v>2026</c:v>
                </c:pt>
                <c:pt idx="6">
                  <c:v>2106</c:v>
                </c:pt>
                <c:pt idx="7">
                  <c:v>2122</c:v>
                </c:pt>
                <c:pt idx="8">
                  <c:v>2127</c:v>
                </c:pt>
                <c:pt idx="9">
                  <c:v>2140</c:v>
                </c:pt>
                <c:pt idx="10">
                  <c:v>2140</c:v>
                </c:pt>
                <c:pt idx="11">
                  <c:v>1889</c:v>
                </c:pt>
                <c:pt idx="12">
                  <c:v>1735</c:v>
                </c:pt>
                <c:pt idx="13">
                  <c:v>1726</c:v>
                </c:pt>
                <c:pt idx="14">
                  <c:v>1728</c:v>
                </c:pt>
                <c:pt idx="15">
                  <c:v>1728</c:v>
                </c:pt>
                <c:pt idx="16">
                  <c:v>1728</c:v>
                </c:pt>
                <c:pt idx="17">
                  <c:v>1728</c:v>
                </c:pt>
                <c:pt idx="18">
                  <c:v>1729</c:v>
                </c:pt>
                <c:pt idx="19">
                  <c:v>1710</c:v>
                </c:pt>
                <c:pt idx="20">
                  <c:v>1708</c:v>
                </c:pt>
                <c:pt idx="21">
                  <c:v>1704</c:v>
                </c:pt>
                <c:pt idx="22">
                  <c:v>1706</c:v>
                </c:pt>
                <c:pt idx="23">
                  <c:v>1706</c:v>
                </c:pt>
                <c:pt idx="24">
                  <c:v>1706</c:v>
                </c:pt>
                <c:pt idx="25">
                  <c:v>1706</c:v>
                </c:pt>
                <c:pt idx="26">
                  <c:v>1706</c:v>
                </c:pt>
                <c:pt idx="28">
                  <c:v>1728</c:v>
                </c:pt>
                <c:pt idx="29">
                  <c:v>1698</c:v>
                </c:pt>
                <c:pt idx="30">
                  <c:v>1770</c:v>
                </c:pt>
              </c:numCache>
            </c:numRef>
          </c:val>
          <c:extLst>
            <c:ext xmlns:c16="http://schemas.microsoft.com/office/drawing/2014/chart" uri="{C3380CC4-5D6E-409C-BE32-E72D297353CC}">
              <c16:uniqueId val="{00000003-C202-462D-839A-4FB0D27CF233}"/>
            </c:ext>
          </c:extLst>
        </c:ser>
        <c:dLbls>
          <c:showLegendKey val="0"/>
          <c:showVal val="0"/>
          <c:showCatName val="0"/>
          <c:showSerName val="0"/>
          <c:showPercent val="0"/>
          <c:showBubbleSize val="0"/>
        </c:dLbls>
        <c:gapWidth val="219"/>
        <c:axId val="2129578960"/>
        <c:axId val="2129579376"/>
      </c:barChart>
      <c:lineChart>
        <c:grouping val="standard"/>
        <c:varyColors val="0"/>
        <c:ser>
          <c:idx val="0"/>
          <c:order val="0"/>
          <c:tx>
            <c:strRef>
              <c:f>Valuation_Senario!$A$162</c:f>
              <c:strCache>
                <c:ptCount val="1"/>
                <c:pt idx="0">
                  <c:v> DT/CH (tỷ VND/tháng)_LHS </c:v>
                </c:pt>
              </c:strCache>
            </c:strRef>
          </c:tx>
          <c:spPr>
            <a:ln w="28575" cap="rnd">
              <a:solidFill>
                <a:schemeClr val="bg1">
                  <a:lumMod val="50000"/>
                </a:schemeClr>
              </a:solidFill>
              <a:round/>
            </a:ln>
            <a:effectLst/>
          </c:spPr>
          <c:marker>
            <c:symbol val="none"/>
          </c:marker>
          <c:dPt>
            <c:idx val="28"/>
            <c:marker>
              <c:symbol val="none"/>
            </c:marker>
            <c:bubble3D val="0"/>
            <c:spPr>
              <a:ln w="28575" cap="rnd">
                <a:noFill/>
                <a:round/>
              </a:ln>
              <a:effectLst/>
            </c:spPr>
            <c:extLst>
              <c:ext xmlns:c16="http://schemas.microsoft.com/office/drawing/2014/chart" uri="{C3380CC4-5D6E-409C-BE32-E72D297353CC}">
                <c16:uniqueId val="{00000005-0969-4D42-BDB9-DE498703FC45}"/>
              </c:ext>
            </c:extLst>
          </c:dPt>
          <c:dPt>
            <c:idx val="29"/>
            <c:marker>
              <c:symbol val="none"/>
            </c:marker>
            <c:bubble3D val="0"/>
            <c:spPr>
              <a:ln w="28575" cap="rnd">
                <a:solidFill>
                  <a:schemeClr val="bg1">
                    <a:lumMod val="50000"/>
                  </a:schemeClr>
                </a:solidFill>
                <a:prstDash val="sysDot"/>
                <a:round/>
              </a:ln>
              <a:effectLst/>
            </c:spPr>
            <c:extLst>
              <c:ext xmlns:c16="http://schemas.microsoft.com/office/drawing/2014/chart" uri="{C3380CC4-5D6E-409C-BE32-E72D297353CC}">
                <c16:uniqueId val="{00000007-0969-4D42-BDB9-DE498703FC45}"/>
              </c:ext>
            </c:extLst>
          </c:dPt>
          <c:dPt>
            <c:idx val="30"/>
            <c:marker>
              <c:symbol val="none"/>
            </c:marker>
            <c:bubble3D val="0"/>
            <c:spPr>
              <a:ln w="28575" cap="rnd">
                <a:solidFill>
                  <a:schemeClr val="bg1">
                    <a:lumMod val="50000"/>
                  </a:schemeClr>
                </a:solidFill>
                <a:prstDash val="sysDot"/>
                <a:round/>
              </a:ln>
              <a:effectLst/>
            </c:spPr>
            <c:extLst>
              <c:ext xmlns:c16="http://schemas.microsoft.com/office/drawing/2014/chart" uri="{C3380CC4-5D6E-409C-BE32-E72D297353CC}">
                <c16:uniqueId val="{00000009-0969-4D42-BDB9-DE498703FC45}"/>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800" b="0" i="0" u="none" strike="noStrike" kern="1200" baseline="0">
                    <a:solidFill>
                      <a:schemeClr val="dk1">
                        <a:lumMod val="65000"/>
                        <a:lumOff val="35000"/>
                      </a:schemeClr>
                    </a:solidFill>
                    <a:latin typeface="+mn-lt"/>
                    <a:ea typeface="+mn-ea"/>
                    <a:cs typeface="+mn-cs"/>
                  </a:defRPr>
                </a:pPr>
                <a:endParaRPr lang="vi-VN"/>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Valuation_Senario!$S$161:$AW$161</c:f>
              <c:strCache>
                <c:ptCount val="31"/>
                <c:pt idx="0">
                  <c:v>Jun-21</c:v>
                </c:pt>
                <c:pt idx="1">
                  <c:v>Jul-21</c:v>
                </c:pt>
                <c:pt idx="2">
                  <c:v>Aug-21</c:v>
                </c:pt>
                <c:pt idx="3">
                  <c:v>Sep-21</c:v>
                </c:pt>
                <c:pt idx="4">
                  <c:v>Oct-21</c:v>
                </c:pt>
                <c:pt idx="5">
                  <c:v>Nov-21</c:v>
                </c:pt>
                <c:pt idx="6">
                  <c:v>Dec-21</c:v>
                </c:pt>
                <c:pt idx="7">
                  <c:v>Thg1&amp;2-22</c:v>
                </c:pt>
                <c:pt idx="8">
                  <c:v>Mar-22</c:v>
                </c:pt>
                <c:pt idx="9">
                  <c:v>Apr-22</c:v>
                </c:pt>
                <c:pt idx="10">
                  <c:v>May-22</c:v>
                </c:pt>
                <c:pt idx="11">
                  <c:v>Jun-22</c:v>
                </c:pt>
                <c:pt idx="12">
                  <c:v>Jul-22</c:v>
                </c:pt>
                <c:pt idx="13">
                  <c:v>Aug-22</c:v>
                </c:pt>
                <c:pt idx="14">
                  <c:v>Sep-22</c:v>
                </c:pt>
                <c:pt idx="15">
                  <c:v>Oct-22</c:v>
                </c:pt>
                <c:pt idx="16">
                  <c:v>Nov-22</c:v>
                </c:pt>
                <c:pt idx="17">
                  <c:v>Dec-22</c:v>
                </c:pt>
                <c:pt idx="18">
                  <c:v>Thg1&amp;2-23</c:v>
                </c:pt>
                <c:pt idx="19">
                  <c:v>Mar-23</c:v>
                </c:pt>
                <c:pt idx="20">
                  <c:v>Apr-23</c:v>
                </c:pt>
                <c:pt idx="21">
                  <c:v>May-23</c:v>
                </c:pt>
                <c:pt idx="22">
                  <c:v>Jun-23</c:v>
                </c:pt>
                <c:pt idx="23">
                  <c:v>Jul-23</c:v>
                </c:pt>
                <c:pt idx="24">
                  <c:v>Aug-23</c:v>
                </c:pt>
                <c:pt idx="25">
                  <c:v>Sep-23</c:v>
                </c:pt>
                <c:pt idx="26">
                  <c:v>Oct-23</c:v>
                </c:pt>
                <c:pt idx="28">
                  <c:v>2022</c:v>
                </c:pt>
                <c:pt idx="29">
                  <c:v>2023e</c:v>
                </c:pt>
                <c:pt idx="30">
                  <c:v>2024f</c:v>
                </c:pt>
              </c:strCache>
            </c:strRef>
          </c:cat>
          <c:val>
            <c:numRef>
              <c:f>Valuation_Senario!$S$162:$AW$162</c:f>
              <c:numCache>
                <c:formatCode>_(* #,##0.0_);_(* \(#,##0.0\);_(* "-"??_);_(@_)</c:formatCode>
                <c:ptCount val="31"/>
                <c:pt idx="0">
                  <c:v>1.4694132120887935</c:v>
                </c:pt>
                <c:pt idx="1">
                  <c:v>2.2024512739690043</c:v>
                </c:pt>
                <c:pt idx="2">
                  <c:v>1.6010402911359514</c:v>
                </c:pt>
                <c:pt idx="3">
                  <c:v>0.99897203521491429</c:v>
                </c:pt>
                <c:pt idx="4">
                  <c:v>1.0341261633919339</c:v>
                </c:pt>
                <c:pt idx="5">
                  <c:v>0.9074747474747471</c:v>
                </c:pt>
                <c:pt idx="6">
                  <c:v>0.86514133591481013</c:v>
                </c:pt>
                <c:pt idx="7">
                  <c:v>0.92242194891201512</c:v>
                </c:pt>
                <c:pt idx="8">
                  <c:v>1.0072958343139562</c:v>
                </c:pt>
                <c:pt idx="9">
                  <c:v>1.0124209046168269</c:v>
                </c:pt>
                <c:pt idx="10">
                  <c:v>1.0747663551401869</c:v>
                </c:pt>
                <c:pt idx="11">
                  <c:v>1.1494286423430138</c:v>
                </c:pt>
                <c:pt idx="12">
                  <c:v>1.3159359823399552</c:v>
                </c:pt>
                <c:pt idx="13">
                  <c:v>1.36</c:v>
                </c:pt>
                <c:pt idx="14">
                  <c:v>1.37</c:v>
                </c:pt>
                <c:pt idx="15">
                  <c:v>1.37</c:v>
                </c:pt>
                <c:pt idx="16">
                  <c:v>1.3286255787037025</c:v>
                </c:pt>
                <c:pt idx="17">
                  <c:v>1.4358621128472233</c:v>
                </c:pt>
                <c:pt idx="18">
                  <c:v>1.1929352226720649</c:v>
                </c:pt>
                <c:pt idx="19">
                  <c:v>1.3053038674033151</c:v>
                </c:pt>
                <c:pt idx="20">
                  <c:v>1.3527232884727913</c:v>
                </c:pt>
                <c:pt idx="21">
                  <c:v>1.4329073270808907</c:v>
                </c:pt>
                <c:pt idx="22">
                  <c:v>1.5037865102639287</c:v>
                </c:pt>
                <c:pt idx="23">
                  <c:v>1.6410199296600245</c:v>
                </c:pt>
                <c:pt idx="24">
                  <c:v>1.7174970691676432</c:v>
                </c:pt>
                <c:pt idx="25">
                  <c:v>1.701603751465417</c:v>
                </c:pt>
                <c:pt idx="26">
                  <c:v>1.8003563892145367</c:v>
                </c:pt>
                <c:pt idx="28">
                  <c:v>1.1772374252738655</c:v>
                </c:pt>
                <c:pt idx="29">
                  <c:v>1.5363280793928782</c:v>
                </c:pt>
                <c:pt idx="30">
                  <c:v>1.9744048943702903</c:v>
                </c:pt>
              </c:numCache>
            </c:numRef>
          </c:val>
          <c:smooth val="0"/>
          <c:extLst>
            <c:ext xmlns:c16="http://schemas.microsoft.com/office/drawing/2014/chart" uri="{C3380CC4-5D6E-409C-BE32-E72D297353CC}">
              <c16:uniqueId val="{00000000-C202-462D-839A-4FB0D27CF233}"/>
            </c:ext>
          </c:extLst>
        </c:ser>
        <c:ser>
          <c:idx val="4"/>
          <c:order val="4"/>
          <c:tx>
            <c:strRef>
              <c:f>Valuation_Senario!$A$165</c:f>
              <c:strCache>
                <c:ptCount val="1"/>
                <c:pt idx="0">
                  <c:v>Biên LNHĐ (%)</c:v>
                </c:pt>
              </c:strCache>
            </c:strRef>
          </c:tx>
          <c:spPr>
            <a:ln w="28575" cap="rnd">
              <a:solidFill>
                <a:schemeClr val="accent5"/>
              </a:solidFill>
              <a:round/>
            </a:ln>
            <a:effectLst/>
          </c:spPr>
          <c:marker>
            <c:symbol val="none"/>
          </c:marker>
          <c:dPt>
            <c:idx val="28"/>
            <c:marker>
              <c:symbol val="circle"/>
              <c:size val="5"/>
              <c:spPr>
                <a:solidFill>
                  <a:schemeClr val="accent5"/>
                </a:solidFill>
                <a:ln w="9525">
                  <a:solidFill>
                    <a:schemeClr val="accent5"/>
                  </a:solidFill>
                  <a:prstDash val="sysDot"/>
                </a:ln>
                <a:effectLst/>
              </c:spPr>
            </c:marker>
            <c:bubble3D val="0"/>
            <c:spPr>
              <a:ln w="28575" cap="rnd">
                <a:solidFill>
                  <a:schemeClr val="accent5"/>
                </a:solidFill>
                <a:prstDash val="sysDot"/>
                <a:round/>
              </a:ln>
              <a:effectLst/>
            </c:spPr>
            <c:extLst>
              <c:ext xmlns:c16="http://schemas.microsoft.com/office/drawing/2014/chart" uri="{C3380CC4-5D6E-409C-BE32-E72D297353CC}">
                <c16:uniqueId val="{0000000B-0969-4D42-BDB9-DE498703FC45}"/>
              </c:ext>
            </c:extLst>
          </c:dPt>
          <c:dPt>
            <c:idx val="29"/>
            <c:marker>
              <c:symbol val="circle"/>
              <c:size val="5"/>
              <c:spPr>
                <a:solidFill>
                  <a:schemeClr val="accent5"/>
                </a:solidFill>
                <a:ln w="9525">
                  <a:solidFill>
                    <a:schemeClr val="accent5"/>
                  </a:solidFill>
                  <a:prstDash val="sysDot"/>
                </a:ln>
                <a:effectLst/>
              </c:spPr>
            </c:marker>
            <c:bubble3D val="0"/>
            <c:spPr>
              <a:ln w="28575" cap="rnd">
                <a:solidFill>
                  <a:schemeClr val="accent5"/>
                </a:solidFill>
                <a:prstDash val="sysDot"/>
                <a:round/>
              </a:ln>
              <a:effectLst/>
            </c:spPr>
            <c:extLst>
              <c:ext xmlns:c16="http://schemas.microsoft.com/office/drawing/2014/chart" uri="{C3380CC4-5D6E-409C-BE32-E72D297353CC}">
                <c16:uniqueId val="{0000000D-0969-4D42-BDB9-DE498703FC45}"/>
              </c:ext>
            </c:extLst>
          </c:dPt>
          <c:dPt>
            <c:idx val="30"/>
            <c:marker>
              <c:symbol val="circle"/>
              <c:size val="5"/>
              <c:spPr>
                <a:solidFill>
                  <a:schemeClr val="accent5"/>
                </a:solidFill>
                <a:ln w="9525">
                  <a:solidFill>
                    <a:schemeClr val="accent5"/>
                  </a:solidFill>
                  <a:prstDash val="sysDot"/>
                </a:ln>
                <a:effectLst/>
              </c:spPr>
            </c:marker>
            <c:bubble3D val="0"/>
            <c:spPr>
              <a:ln w="28575" cap="rnd">
                <a:solidFill>
                  <a:schemeClr val="accent5"/>
                </a:solidFill>
                <a:prstDash val="sysDot"/>
                <a:round/>
              </a:ln>
              <a:effectLst/>
            </c:spPr>
            <c:extLst>
              <c:ext xmlns:c16="http://schemas.microsoft.com/office/drawing/2014/chart" uri="{C3380CC4-5D6E-409C-BE32-E72D297353CC}">
                <c16:uniqueId val="{0000000F-0969-4D42-BDB9-DE498703FC45}"/>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dk1">
                        <a:lumMod val="65000"/>
                        <a:lumOff val="35000"/>
                      </a:schemeClr>
                    </a:solidFill>
                    <a:latin typeface="+mn-lt"/>
                    <a:ea typeface="+mn-ea"/>
                    <a:cs typeface="+mn-cs"/>
                  </a:defRPr>
                </a:pPr>
                <a:endParaRPr lang="vi-VN"/>
              </a:p>
            </c:txPr>
            <c:dLblPos val="t"/>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Valuation_Senario!$S$161:$AW$161</c:f>
              <c:strCache>
                <c:ptCount val="31"/>
                <c:pt idx="0">
                  <c:v>Jun-21</c:v>
                </c:pt>
                <c:pt idx="1">
                  <c:v>Jul-21</c:v>
                </c:pt>
                <c:pt idx="2">
                  <c:v>Aug-21</c:v>
                </c:pt>
                <c:pt idx="3">
                  <c:v>Sep-21</c:v>
                </c:pt>
                <c:pt idx="4">
                  <c:v>Oct-21</c:v>
                </c:pt>
                <c:pt idx="5">
                  <c:v>Nov-21</c:v>
                </c:pt>
                <c:pt idx="6">
                  <c:v>Dec-21</c:v>
                </c:pt>
                <c:pt idx="7">
                  <c:v>Thg1&amp;2-22</c:v>
                </c:pt>
                <c:pt idx="8">
                  <c:v>Mar-22</c:v>
                </c:pt>
                <c:pt idx="9">
                  <c:v>Apr-22</c:v>
                </c:pt>
                <c:pt idx="10">
                  <c:v>May-22</c:v>
                </c:pt>
                <c:pt idx="11">
                  <c:v>Jun-22</c:v>
                </c:pt>
                <c:pt idx="12">
                  <c:v>Jul-22</c:v>
                </c:pt>
                <c:pt idx="13">
                  <c:v>Aug-22</c:v>
                </c:pt>
                <c:pt idx="14">
                  <c:v>Sep-22</c:v>
                </c:pt>
                <c:pt idx="15">
                  <c:v>Oct-22</c:v>
                </c:pt>
                <c:pt idx="16">
                  <c:v>Nov-22</c:v>
                </c:pt>
                <c:pt idx="17">
                  <c:v>Dec-22</c:v>
                </c:pt>
                <c:pt idx="18">
                  <c:v>Thg1&amp;2-23</c:v>
                </c:pt>
                <c:pt idx="19">
                  <c:v>Mar-23</c:v>
                </c:pt>
                <c:pt idx="20">
                  <c:v>Apr-23</c:v>
                </c:pt>
                <c:pt idx="21">
                  <c:v>May-23</c:v>
                </c:pt>
                <c:pt idx="22">
                  <c:v>Jun-23</c:v>
                </c:pt>
                <c:pt idx="23">
                  <c:v>Jul-23</c:v>
                </c:pt>
                <c:pt idx="24">
                  <c:v>Aug-23</c:v>
                </c:pt>
                <c:pt idx="25">
                  <c:v>Sep-23</c:v>
                </c:pt>
                <c:pt idx="26">
                  <c:v>Oct-23</c:v>
                </c:pt>
                <c:pt idx="28">
                  <c:v>2022</c:v>
                </c:pt>
                <c:pt idx="29">
                  <c:v>2023e</c:v>
                </c:pt>
                <c:pt idx="30">
                  <c:v>2024f</c:v>
                </c:pt>
              </c:strCache>
            </c:strRef>
          </c:cat>
          <c:val>
            <c:numRef>
              <c:f>Valuation_Senario!$S$165:$AW$165</c:f>
              <c:numCache>
                <c:formatCode>General</c:formatCode>
                <c:ptCount val="31"/>
                <c:pt idx="28" formatCode="0.0%">
                  <c:v>-0.10857925440491747</c:v>
                </c:pt>
                <c:pt idx="29" formatCode="0.0%">
                  <c:v>-3.1233097601197655E-2</c:v>
                </c:pt>
                <c:pt idx="30" formatCode="0.0%">
                  <c:v>2.5007340188092425E-3</c:v>
                </c:pt>
              </c:numCache>
            </c:numRef>
          </c:val>
          <c:smooth val="0"/>
          <c:extLst>
            <c:ext xmlns:c16="http://schemas.microsoft.com/office/drawing/2014/chart" uri="{C3380CC4-5D6E-409C-BE32-E72D297353CC}">
              <c16:uniqueId val="{0000000D-9B5D-4007-9387-D2079ABA7E78}"/>
            </c:ext>
          </c:extLst>
        </c:ser>
        <c:dLbls>
          <c:showLegendKey val="0"/>
          <c:showVal val="0"/>
          <c:showCatName val="0"/>
          <c:showSerName val="0"/>
          <c:showPercent val="0"/>
          <c:showBubbleSize val="0"/>
        </c:dLbls>
        <c:marker val="1"/>
        <c:smooth val="0"/>
        <c:axId val="996762224"/>
        <c:axId val="996763184"/>
        <c:extLst>
          <c:ext xmlns:c15="http://schemas.microsoft.com/office/drawing/2012/chart" uri="{02D57815-91ED-43cb-92C2-25804820EDAC}">
            <c15:filteredLineSeries>
              <c15:ser>
                <c:idx val="1"/>
                <c:order val="1"/>
                <c:tx>
                  <c:strRef>
                    <c:extLst>
                      <c:ext uri="{02D57815-91ED-43cb-92C2-25804820EDAC}">
                        <c15:formulaRef>
                          <c15:sqref>Valuation_Senario!$A$166</c15:sqref>
                        </c15:formulaRef>
                      </c:ext>
                    </c:extLst>
                    <c:strCache>
                      <c:ptCount val="1"/>
                      <c:pt idx="0">
                        <c:v>%YoY</c:v>
                      </c:pt>
                    </c:strCache>
                  </c:strRef>
                </c:tx>
                <c:spPr>
                  <a:ln w="28575" cap="rnd">
                    <a:solidFill>
                      <a:schemeClr val="accent2"/>
                    </a:solidFill>
                    <a:round/>
                  </a:ln>
                  <a:effectLst/>
                </c:spPr>
                <c:marker>
                  <c:symbol val="none"/>
                </c:marker>
                <c:cat>
                  <c:strRef>
                    <c:extLst>
                      <c:ext uri="{02D57815-91ED-43cb-92C2-25804820EDAC}">
                        <c15:formulaRef>
                          <c15:sqref>Valuation_Senario!$S$161:$AW$161</c15:sqref>
                        </c15:formulaRef>
                      </c:ext>
                    </c:extLst>
                    <c:strCache>
                      <c:ptCount val="31"/>
                      <c:pt idx="0">
                        <c:v>Jun-21</c:v>
                      </c:pt>
                      <c:pt idx="1">
                        <c:v>Jul-21</c:v>
                      </c:pt>
                      <c:pt idx="2">
                        <c:v>Aug-21</c:v>
                      </c:pt>
                      <c:pt idx="3">
                        <c:v>Sep-21</c:v>
                      </c:pt>
                      <c:pt idx="4">
                        <c:v>Oct-21</c:v>
                      </c:pt>
                      <c:pt idx="5">
                        <c:v>Nov-21</c:v>
                      </c:pt>
                      <c:pt idx="6">
                        <c:v>Dec-21</c:v>
                      </c:pt>
                      <c:pt idx="7">
                        <c:v>Thg1&amp;2-22</c:v>
                      </c:pt>
                      <c:pt idx="8">
                        <c:v>Mar-22</c:v>
                      </c:pt>
                      <c:pt idx="9">
                        <c:v>Apr-22</c:v>
                      </c:pt>
                      <c:pt idx="10">
                        <c:v>May-22</c:v>
                      </c:pt>
                      <c:pt idx="11">
                        <c:v>Jun-22</c:v>
                      </c:pt>
                      <c:pt idx="12">
                        <c:v>Jul-22</c:v>
                      </c:pt>
                      <c:pt idx="13">
                        <c:v>Aug-22</c:v>
                      </c:pt>
                      <c:pt idx="14">
                        <c:v>Sep-22</c:v>
                      </c:pt>
                      <c:pt idx="15">
                        <c:v>Oct-22</c:v>
                      </c:pt>
                      <c:pt idx="16">
                        <c:v>Nov-22</c:v>
                      </c:pt>
                      <c:pt idx="17">
                        <c:v>Dec-22</c:v>
                      </c:pt>
                      <c:pt idx="18">
                        <c:v>Thg1&amp;2-23</c:v>
                      </c:pt>
                      <c:pt idx="19">
                        <c:v>Mar-23</c:v>
                      </c:pt>
                      <c:pt idx="20">
                        <c:v>Apr-23</c:v>
                      </c:pt>
                      <c:pt idx="21">
                        <c:v>May-23</c:v>
                      </c:pt>
                      <c:pt idx="22">
                        <c:v>Jun-23</c:v>
                      </c:pt>
                      <c:pt idx="23">
                        <c:v>Jul-23</c:v>
                      </c:pt>
                      <c:pt idx="24">
                        <c:v>Aug-23</c:v>
                      </c:pt>
                      <c:pt idx="25">
                        <c:v>Sep-23</c:v>
                      </c:pt>
                      <c:pt idx="26">
                        <c:v>Oct-23</c:v>
                      </c:pt>
                      <c:pt idx="28">
                        <c:v>2022</c:v>
                      </c:pt>
                      <c:pt idx="29">
                        <c:v>2023e</c:v>
                      </c:pt>
                      <c:pt idx="30">
                        <c:v>2024f</c:v>
                      </c:pt>
                    </c:strCache>
                  </c:strRef>
                </c:cat>
                <c:val>
                  <c:numRef>
                    <c:extLst>
                      <c:ext uri="{02D57815-91ED-43cb-92C2-25804820EDAC}">
                        <c15:formulaRef>
                          <c15:sqref>Valuation_Senario!$B$166:$AM$166</c15:sqref>
                        </c15:formulaRef>
                      </c:ext>
                    </c:extLst>
                    <c:numCache>
                      <c:formatCode>0%</c:formatCode>
                      <c:ptCount val="37"/>
                      <c:pt idx="0">
                        <c:v>-0.15344070278184496</c:v>
                      </c:pt>
                      <c:pt idx="1">
                        <c:v>0.24774780411366959</c:v>
                      </c:pt>
                      <c:pt idx="2">
                        <c:v>-6.2815226717385375E-3</c:v>
                      </c:pt>
                      <c:pt idx="3">
                        <c:v>-0.15760444950026842</c:v>
                      </c:pt>
                      <c:pt idx="4">
                        <c:v>-0.32350799811116304</c:v>
                      </c:pt>
                      <c:pt idx="5">
                        <c:v>-0.23579539117152637</c:v>
                      </c:pt>
                      <c:pt idx="6">
                        <c:v>-0.19395227538692816</c:v>
                      </c:pt>
                      <c:pt idx="7">
                        <c:v>-0.11227362192827639</c:v>
                      </c:pt>
                      <c:pt idx="8">
                        <c:v>-7.5846269390152932E-2</c:v>
                      </c:pt>
                      <c:pt idx="9">
                        <c:v>-7.7484625913172067E-2</c:v>
                      </c:pt>
                      <c:pt idx="10">
                        <c:v>-7.8107441441766512E-2</c:v>
                      </c:pt>
                      <c:pt idx="11">
                        <c:v>3.9504082824587394E-2</c:v>
                      </c:pt>
                      <c:pt idx="12">
                        <c:v>-0.21582579410850533</c:v>
                      </c:pt>
                      <c:pt idx="13">
                        <c:v>-0.34418078617949599</c:v>
                      </c:pt>
                      <c:pt idx="14">
                        <c:v>-0.1474682248970689</c:v>
                      </c:pt>
                      <c:pt idx="15">
                        <c:v>8.4294790440994749E-2</c:v>
                      </c:pt>
                      <c:pt idx="16">
                        <c:v>0.29104042271415098</c:v>
                      </c:pt>
                      <c:pt idx="17">
                        <c:v>0.86904171288540488</c:v>
                      </c:pt>
                      <c:pt idx="18">
                        <c:v>0.29317724048203053</c:v>
                      </c:pt>
                      <c:pt idx="19">
                        <c:v>-0.16453852396806223</c:v>
                      </c:pt>
                      <c:pt idx="20">
                        <c:v>-0.14711855635116111</c:v>
                      </c:pt>
                      <c:pt idx="21">
                        <c:v>-0.25873529271284901</c:v>
                      </c:pt>
                      <c:pt idx="22">
                        <c:v>-0.30151947948607549</c:v>
                      </c:pt>
                      <c:pt idx="23">
                        <c:v>-0.19159278598881824</c:v>
                      </c:pt>
                      <c:pt idx="24">
                        <c:v>-0.10160958639495132</c:v>
                      </c:pt>
                      <c:pt idx="25">
                        <c:v>-0.15560199835573596</c:v>
                      </c:pt>
                      <c:pt idx="26">
                        <c:v>-0.22551200787223769</c:v>
                      </c:pt>
                      <c:pt idx="27">
                        <c:v>-0.21776350390297416</c:v>
                      </c:pt>
                      <c:pt idx="28">
                        <c:v>-0.40251300998431316</c:v>
                      </c:pt>
                      <c:pt idx="30">
                        <c:v>0.37140976094016942</c:v>
                      </c:pt>
                      <c:pt idx="31">
                        <c:v>0.32479000000000013</c:v>
                      </c:pt>
                      <c:pt idx="32">
                        <c:v>0.46409096495621771</c:v>
                      </c:pt>
                      <c:pt idx="33">
                        <c:v>0.65968501704860349</c:v>
                      </c:pt>
                      <c:pt idx="34">
                        <c:v>0.29326413370704874</c:v>
                      </c:pt>
                      <c:pt idx="35">
                        <c:v>0.2958495636908145</c:v>
                      </c:pt>
                      <c:pt idx="36">
                        <c:v>0.3361273777577316</c:v>
                      </c:pt>
                    </c:numCache>
                  </c:numRef>
                </c:val>
                <c:smooth val="0"/>
                <c:extLst>
                  <c:ext xmlns:c16="http://schemas.microsoft.com/office/drawing/2014/chart" uri="{C3380CC4-5D6E-409C-BE32-E72D297353CC}">
                    <c16:uniqueId val="{00000001-C202-462D-839A-4FB0D27CF233}"/>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Valuation_Senario!$A$163</c15:sqref>
                        </c15:formulaRef>
                      </c:ext>
                    </c:extLst>
                    <c:strCache>
                      <c:ptCount val="1"/>
                      <c:pt idx="0">
                        <c:v>%MoM</c:v>
                      </c:pt>
                    </c:strCache>
                  </c:strRef>
                </c:tx>
                <c:spPr>
                  <a:ln w="28575" cap="rnd">
                    <a:solidFill>
                      <a:srgbClr val="FFC000"/>
                    </a:solidFill>
                    <a:round/>
                  </a:ln>
                  <a:effectLst/>
                </c:spPr>
                <c:marker>
                  <c:symbol val="none"/>
                </c:marker>
                <c:cat>
                  <c:strRef>
                    <c:extLst xmlns:c15="http://schemas.microsoft.com/office/drawing/2012/chart">
                      <c:ext xmlns:c15="http://schemas.microsoft.com/office/drawing/2012/chart" uri="{02D57815-91ED-43cb-92C2-25804820EDAC}">
                        <c15:formulaRef>
                          <c15:sqref>Valuation_Senario!$S$161:$AW$161</c15:sqref>
                        </c15:formulaRef>
                      </c:ext>
                    </c:extLst>
                    <c:strCache>
                      <c:ptCount val="31"/>
                      <c:pt idx="0">
                        <c:v>Jun-21</c:v>
                      </c:pt>
                      <c:pt idx="1">
                        <c:v>Jul-21</c:v>
                      </c:pt>
                      <c:pt idx="2">
                        <c:v>Aug-21</c:v>
                      </c:pt>
                      <c:pt idx="3">
                        <c:v>Sep-21</c:v>
                      </c:pt>
                      <c:pt idx="4">
                        <c:v>Oct-21</c:v>
                      </c:pt>
                      <c:pt idx="5">
                        <c:v>Nov-21</c:v>
                      </c:pt>
                      <c:pt idx="6">
                        <c:v>Dec-21</c:v>
                      </c:pt>
                      <c:pt idx="7">
                        <c:v>Thg1&amp;2-22</c:v>
                      </c:pt>
                      <c:pt idx="8">
                        <c:v>Mar-22</c:v>
                      </c:pt>
                      <c:pt idx="9">
                        <c:v>Apr-22</c:v>
                      </c:pt>
                      <c:pt idx="10">
                        <c:v>May-22</c:v>
                      </c:pt>
                      <c:pt idx="11">
                        <c:v>Jun-22</c:v>
                      </c:pt>
                      <c:pt idx="12">
                        <c:v>Jul-22</c:v>
                      </c:pt>
                      <c:pt idx="13">
                        <c:v>Aug-22</c:v>
                      </c:pt>
                      <c:pt idx="14">
                        <c:v>Sep-22</c:v>
                      </c:pt>
                      <c:pt idx="15">
                        <c:v>Oct-22</c:v>
                      </c:pt>
                      <c:pt idx="16">
                        <c:v>Nov-22</c:v>
                      </c:pt>
                      <c:pt idx="17">
                        <c:v>Dec-22</c:v>
                      </c:pt>
                      <c:pt idx="18">
                        <c:v>Thg1&amp;2-23</c:v>
                      </c:pt>
                      <c:pt idx="19">
                        <c:v>Mar-23</c:v>
                      </c:pt>
                      <c:pt idx="20">
                        <c:v>Apr-23</c:v>
                      </c:pt>
                      <c:pt idx="21">
                        <c:v>May-23</c:v>
                      </c:pt>
                      <c:pt idx="22">
                        <c:v>Jun-23</c:v>
                      </c:pt>
                      <c:pt idx="23">
                        <c:v>Jul-23</c:v>
                      </c:pt>
                      <c:pt idx="24">
                        <c:v>Aug-23</c:v>
                      </c:pt>
                      <c:pt idx="25">
                        <c:v>Sep-23</c:v>
                      </c:pt>
                      <c:pt idx="26">
                        <c:v>Oct-23</c:v>
                      </c:pt>
                      <c:pt idx="28">
                        <c:v>2022</c:v>
                      </c:pt>
                      <c:pt idx="29">
                        <c:v>2023e</c:v>
                      </c:pt>
                      <c:pt idx="30">
                        <c:v>2024f</c:v>
                      </c:pt>
                    </c:strCache>
                  </c:strRef>
                </c:cat>
                <c:val>
                  <c:numRef>
                    <c:extLst xmlns:c15="http://schemas.microsoft.com/office/drawing/2012/chart">
                      <c:ext xmlns:c15="http://schemas.microsoft.com/office/drawing/2012/chart" uri="{02D57815-91ED-43cb-92C2-25804820EDAC}">
                        <c15:formulaRef>
                          <c15:sqref>Valuation_Senario!$B$163:$AM$163</c15:sqref>
                        </c15:formulaRef>
                      </c:ext>
                    </c:extLst>
                    <c:numCache>
                      <c:formatCode>0%</c:formatCode>
                      <c:ptCount val="37"/>
                      <c:pt idx="0">
                        <c:v>-6.4867175254369025E-2</c:v>
                      </c:pt>
                      <c:pt idx="1">
                        <c:v>0.420258885908674</c:v>
                      </c:pt>
                      <c:pt idx="2">
                        <c:v>-0.17738705446689118</c:v>
                      </c:pt>
                      <c:pt idx="3">
                        <c:v>-8.9984749754654758E-2</c:v>
                      </c:pt>
                      <c:pt idx="4">
                        <c:v>-0.11069220840297789</c:v>
                      </c:pt>
                      <c:pt idx="5">
                        <c:v>3.5340528763708745E-2</c:v>
                      </c:pt>
                      <c:pt idx="6">
                        <c:v>5.0647166741915495E-2</c:v>
                      </c:pt>
                      <c:pt idx="7">
                        <c:v>-3.4210024630129121E-2</c:v>
                      </c:pt>
                      <c:pt idx="8">
                        <c:v>1.4046705551495675E-2</c:v>
                      </c:pt>
                      <c:pt idx="9">
                        <c:v>9.6628222609618231E-3</c:v>
                      </c:pt>
                      <c:pt idx="10">
                        <c:v>1.1746098956785467E-2</c:v>
                      </c:pt>
                      <c:pt idx="11">
                        <c:v>8.033988776018286E-2</c:v>
                      </c:pt>
                      <c:pt idx="12">
                        <c:v>-0.29456069258006146</c:v>
                      </c:pt>
                      <c:pt idx="13">
                        <c:v>0.18778845182659931</c:v>
                      </c:pt>
                      <c:pt idx="14">
                        <c:v>6.9355181883916428E-2</c:v>
                      </c:pt>
                      <c:pt idx="15">
                        <c:v>0.15740530016462184</c:v>
                      </c:pt>
                      <c:pt idx="16">
                        <c:v>5.8874687315844554E-2</c:v>
                      </c:pt>
                      <c:pt idx="17">
                        <c:v>0.49886448267209049</c:v>
                      </c:pt>
                      <c:pt idx="18">
                        <c:v>-0.27306437601648248</c:v>
                      </c:pt>
                      <c:pt idx="19">
                        <c:v>-0.3760481602207929</c:v>
                      </c:pt>
                      <c:pt idx="20">
                        <c:v>3.5190302568836929E-2</c:v>
                      </c:pt>
                      <c:pt idx="21">
                        <c:v>-0.12247191919191958</c:v>
                      </c:pt>
                      <c:pt idx="22">
                        <c:v>-4.6649685490135373E-2</c:v>
                      </c:pt>
                      <c:pt idx="23">
                        <c:v>6.6209543596290832E-2</c:v>
                      </c:pt>
                      <c:pt idx="24">
                        <c:v>9.2011996789591599E-2</c:v>
                      </c:pt>
                      <c:pt idx="25">
                        <c:v>5.0879494665647673E-3</c:v>
                      </c:pt>
                      <c:pt idx="26">
                        <c:v>6.1580564209068767E-2</c:v>
                      </c:pt>
                      <c:pt idx="27">
                        <c:v>6.946838896263019E-2</c:v>
                      </c:pt>
                      <c:pt idx="28">
                        <c:v>0.14486096297159445</c:v>
                      </c:pt>
                      <c:pt idx="29">
                        <c:v>3.3484924989809706E-2</c:v>
                      </c:pt>
                      <c:pt idx="30">
                        <c:v>7.3529411764705621E-3</c:v>
                      </c:pt>
                      <c:pt idx="31">
                        <c:v>0</c:v>
                      </c:pt>
                      <c:pt idx="32">
                        <c:v>-3.0200307515545699E-2</c:v>
                      </c:pt>
                      <c:pt idx="33">
                        <c:v>8.0712381172239667E-2</c:v>
                      </c:pt>
                      <c:pt idx="34">
                        <c:v>-0.1691853890436944</c:v>
                      </c:pt>
                      <c:pt idx="35">
                        <c:v>9.4195093409644493E-2</c:v>
                      </c:pt>
                      <c:pt idx="36">
                        <c:v>3.6328262141603229E-2</c:v>
                      </c:pt>
                    </c:numCache>
                  </c:numRef>
                </c:val>
                <c:smooth val="0"/>
                <c:extLst xmlns:c15="http://schemas.microsoft.com/office/drawing/2012/chart">
                  <c:ext xmlns:c16="http://schemas.microsoft.com/office/drawing/2014/chart" uri="{C3380CC4-5D6E-409C-BE32-E72D297353CC}">
                    <c16:uniqueId val="{00000002-C202-462D-839A-4FB0D27CF233}"/>
                  </c:ext>
                </c:extLst>
              </c15:ser>
            </c15:filteredLineSeries>
          </c:ext>
        </c:extLst>
      </c:lineChart>
      <c:catAx>
        <c:axId val="2129578960"/>
        <c:scaling>
          <c:orientation val="minMax"/>
        </c:scaling>
        <c:delete val="0"/>
        <c:axPos val="b"/>
        <c:numFmt formatCode="General" sourceLinked="1"/>
        <c:majorTickMark val="none"/>
        <c:minorTickMark val="none"/>
        <c:tickLblPos val="low"/>
        <c:spPr>
          <a:noFill/>
          <a:ln w="25400" cap="flat" cmpd="sng" algn="ctr">
            <a:solidFill>
              <a:schemeClr val="tx1"/>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vi-VN"/>
          </a:p>
        </c:txPr>
        <c:crossAx val="2129579376"/>
        <c:crosses val="autoZero"/>
        <c:auto val="1"/>
        <c:lblAlgn val="ctr"/>
        <c:lblOffset val="100"/>
        <c:noMultiLvlLbl val="0"/>
      </c:catAx>
      <c:valAx>
        <c:axId val="2129579376"/>
        <c:scaling>
          <c:orientation val="minMax"/>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vi-VN"/>
          </a:p>
        </c:txPr>
        <c:crossAx val="2129578960"/>
        <c:crosses val="autoZero"/>
        <c:crossBetween val="between"/>
      </c:valAx>
      <c:valAx>
        <c:axId val="996763184"/>
        <c:scaling>
          <c:orientation val="minMax"/>
        </c:scaling>
        <c:delete val="0"/>
        <c:axPos val="r"/>
        <c:numFmt formatCode="_(* #,##0.0_);_(* \(#,##0.0\);_(* &quot;-&quot;?_);_(@_)" sourceLinked="0"/>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vi-VN"/>
          </a:p>
        </c:txPr>
        <c:crossAx val="996762224"/>
        <c:crosses val="max"/>
        <c:crossBetween val="between"/>
      </c:valAx>
      <c:catAx>
        <c:axId val="996762224"/>
        <c:scaling>
          <c:orientation val="minMax"/>
        </c:scaling>
        <c:delete val="1"/>
        <c:axPos val="b"/>
        <c:numFmt formatCode="General" sourceLinked="1"/>
        <c:majorTickMark val="out"/>
        <c:minorTickMark val="none"/>
        <c:tickLblPos val="nextTo"/>
        <c:crossAx val="996763184"/>
        <c:crosses val="autoZero"/>
        <c:auto val="1"/>
        <c:lblAlgn val="ctr"/>
        <c:lblOffset val="100"/>
        <c:noMultiLvlLbl val="0"/>
      </c:catAx>
      <c:spPr>
        <a:noFill/>
        <a:ln>
          <a:noFill/>
        </a:ln>
        <a:effectLst/>
      </c:spPr>
    </c:plotArea>
    <c:legend>
      <c:legendPos val="b"/>
      <c:layout>
        <c:manualLayout>
          <c:xMode val="edge"/>
          <c:yMode val="edge"/>
          <c:x val="0.29692348853479772"/>
          <c:y val="0.93442328401806218"/>
          <c:w val="0.45906763007121454"/>
          <c:h val="5.7319479289368092E-2"/>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vi-VN"/>
        </a:p>
      </c:txPr>
    </c:legend>
    <c:plotVisOnly val="1"/>
    <c:dispBlanksAs val="span"/>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sz="800"/>
      </a:pPr>
      <a:endParaRPr lang="vi-VN"/>
    </a:p>
  </c:txPr>
  <c:printSettings>
    <c:headerFooter/>
    <c:pageMargins b="0.75" l="0.7" r="0.7" t="0.75" header="0.3" footer="0.3"/>
    <c:pageSetup/>
  </c:printSettings>
  <c:userShapes r:id="rId3"/>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vi-VN"/>
        </a:p>
      </c:txPr>
    </c:title>
    <c:autoTitleDeleted val="0"/>
    <c:plotArea>
      <c:layout/>
      <c:barChart>
        <c:barDir val="col"/>
        <c:grouping val="clustered"/>
        <c:varyColors val="0"/>
        <c:dLbls>
          <c:showLegendKey val="0"/>
          <c:showVal val="0"/>
          <c:showCatName val="0"/>
          <c:showSerName val="0"/>
          <c:showPercent val="0"/>
          <c:showBubbleSize val="0"/>
        </c:dLbls>
        <c:gapWidth val="219"/>
        <c:overlap val="-27"/>
        <c:axId val="277240736"/>
        <c:axId val="277241152"/>
        <c:extLst>
          <c:ext xmlns:c15="http://schemas.microsoft.com/office/drawing/2012/chart" uri="{02D57815-91ED-43cb-92C2-25804820EDAC}">
            <c15:filteredBarSeries>
              <c15:ser>
                <c:idx val="0"/>
                <c:order val="0"/>
                <c:tx>
                  <c:strRef>
                    <c:extLst>
                      <c:ext uri="{02D57815-91ED-43cb-92C2-25804820EDAC}">
                        <c15:formulaRef>
                          <c15:sqref>Valuation_Senario!$X$1</c15:sqref>
                        </c15:formulaRef>
                      </c:ext>
                    </c:extLst>
                    <c:strCache>
                      <c:ptCount val="1"/>
                      <c:pt idx="0">
                        <c:v> Traffic BHX online (ngàn lượt truy cập)_RHS </c:v>
                      </c:pt>
                    </c:strCache>
                  </c:strRef>
                </c:tx>
                <c:spPr>
                  <a:solidFill>
                    <a:schemeClr val="accent1"/>
                  </a:solidFill>
                  <a:ln>
                    <a:noFill/>
                  </a:ln>
                  <a:effectLst/>
                </c:spPr>
                <c:invertIfNegative val="0"/>
                <c:cat>
                  <c:strRef>
                    <c:extLst>
                      <c:ext uri="{02D57815-91ED-43cb-92C2-25804820EDAC}">
                        <c15:formulaRef>
                          <c15:sqref>Valuation_Senario!$W$2:$W$49</c15:sqref>
                        </c15:formulaRef>
                      </c:ext>
                    </c:extLst>
                    <c:strCache>
                      <c:ptCount val="48"/>
                      <c:pt idx="0">
                        <c:v>2/2019</c:v>
                      </c:pt>
                      <c:pt idx="1">
                        <c:v>3/2019</c:v>
                      </c:pt>
                      <c:pt idx="2">
                        <c:v>4/2019</c:v>
                      </c:pt>
                      <c:pt idx="3">
                        <c:v>5/2019</c:v>
                      </c:pt>
                      <c:pt idx="4">
                        <c:v>6/2019</c:v>
                      </c:pt>
                      <c:pt idx="5">
                        <c:v>8/2019</c:v>
                      </c:pt>
                      <c:pt idx="6">
                        <c:v>9/2019</c:v>
                      </c:pt>
                      <c:pt idx="7">
                        <c:v>12/2019</c:v>
                      </c:pt>
                      <c:pt idx="8">
                        <c:v>1/2020</c:v>
                      </c:pt>
                      <c:pt idx="9">
                        <c:v>2/2020</c:v>
                      </c:pt>
                      <c:pt idx="10">
                        <c:v>3/2020</c:v>
                      </c:pt>
                      <c:pt idx="11">
                        <c:v>4/2020</c:v>
                      </c:pt>
                      <c:pt idx="12">
                        <c:v>5/2020</c:v>
                      </c:pt>
                      <c:pt idx="13">
                        <c:v>6/2020</c:v>
                      </c:pt>
                      <c:pt idx="14">
                        <c:v>7/2020</c:v>
                      </c:pt>
                      <c:pt idx="15">
                        <c:v>8/2020</c:v>
                      </c:pt>
                      <c:pt idx="16">
                        <c:v>9/2020</c:v>
                      </c:pt>
                      <c:pt idx="17">
                        <c:v>10/2020</c:v>
                      </c:pt>
                      <c:pt idx="18">
                        <c:v>11/2020</c:v>
                      </c:pt>
                      <c:pt idx="19">
                        <c:v>12/2020</c:v>
                      </c:pt>
                      <c:pt idx="20">
                        <c:v>1/2021</c:v>
                      </c:pt>
                      <c:pt idx="21">
                        <c:v>2/2021</c:v>
                      </c:pt>
                      <c:pt idx="22">
                        <c:v>3/2021</c:v>
                      </c:pt>
                      <c:pt idx="23">
                        <c:v>4/2021</c:v>
                      </c:pt>
                      <c:pt idx="24">
                        <c:v>5/2021</c:v>
                      </c:pt>
                      <c:pt idx="25">
                        <c:v>6/2021</c:v>
                      </c:pt>
                      <c:pt idx="26">
                        <c:v>7/2021</c:v>
                      </c:pt>
                      <c:pt idx="27">
                        <c:v>8/2021</c:v>
                      </c:pt>
                      <c:pt idx="28">
                        <c:v>9/2021</c:v>
                      </c:pt>
                      <c:pt idx="29">
                        <c:v>10/2021</c:v>
                      </c:pt>
                      <c:pt idx="30">
                        <c:v>11/2021</c:v>
                      </c:pt>
                      <c:pt idx="31">
                        <c:v>12/2021</c:v>
                      </c:pt>
                      <c:pt idx="32">
                        <c:v>1/2022</c:v>
                      </c:pt>
                      <c:pt idx="33">
                        <c:v>2/2022</c:v>
                      </c:pt>
                      <c:pt idx="34">
                        <c:v>3/2022</c:v>
                      </c:pt>
                      <c:pt idx="35">
                        <c:v>4/2022</c:v>
                      </c:pt>
                      <c:pt idx="36">
                        <c:v>5/2022</c:v>
                      </c:pt>
                      <c:pt idx="37">
                        <c:v>6/2022</c:v>
                      </c:pt>
                      <c:pt idx="38">
                        <c:v>7/2022</c:v>
                      </c:pt>
                      <c:pt idx="39">
                        <c:v>8/2022</c:v>
                      </c:pt>
                      <c:pt idx="40">
                        <c:v>9/2022</c:v>
                      </c:pt>
                      <c:pt idx="41">
                        <c:v>10/2022</c:v>
                      </c:pt>
                      <c:pt idx="42">
                        <c:v>11/2022</c:v>
                      </c:pt>
                      <c:pt idx="43">
                        <c:v>12/2022</c:v>
                      </c:pt>
                      <c:pt idx="44">
                        <c:v>1/2023</c:v>
                      </c:pt>
                      <c:pt idx="45">
                        <c:v>2/2023</c:v>
                      </c:pt>
                      <c:pt idx="46">
                        <c:v>3/2023</c:v>
                      </c:pt>
                      <c:pt idx="47">
                        <c:v>4/2023</c:v>
                      </c:pt>
                    </c:strCache>
                  </c:strRef>
                </c:cat>
                <c:val>
                  <c:numRef>
                    <c:extLst>
                      <c:ext uri="{02D57815-91ED-43cb-92C2-25804820EDAC}">
                        <c15:formulaRef>
                          <c15:sqref>Valuation_Senario!$X$2:$X$49</c15:sqref>
                        </c15:formulaRef>
                      </c:ext>
                    </c:extLst>
                    <c:numCache>
                      <c:formatCode>_(* #,##0_);_(* \(#,##0\);_(* "-"??_);_(@_)</c:formatCode>
                      <c:ptCount val="48"/>
                      <c:pt idx="0">
                        <c:v>290.46749999999997</c:v>
                      </c:pt>
                      <c:pt idx="1">
                        <c:v>298.55599999999998</c:v>
                      </c:pt>
                      <c:pt idx="2">
                        <c:v>312.98200000000003</c:v>
                      </c:pt>
                      <c:pt idx="3">
                        <c:v>320.67599999999999</c:v>
                      </c:pt>
                      <c:pt idx="4">
                        <c:v>326.41399999999999</c:v>
                      </c:pt>
                      <c:pt idx="5">
                        <c:v>338.06599999999997</c:v>
                      </c:pt>
                      <c:pt idx="6">
                        <c:v>335.80599999999998</c:v>
                      </c:pt>
                      <c:pt idx="7">
                        <c:v>339.13200000000001</c:v>
                      </c:pt>
                      <c:pt idx="8">
                        <c:v>386.99950000000001</c:v>
                      </c:pt>
                      <c:pt idx="9">
                        <c:v>522.50300000000004</c:v>
                      </c:pt>
                      <c:pt idx="10">
                        <c:v>525.86099999999999</c:v>
                      </c:pt>
                      <c:pt idx="11">
                        <c:v>556.70000000000005</c:v>
                      </c:pt>
                      <c:pt idx="12">
                        <c:v>603.93399999999997</c:v>
                      </c:pt>
                      <c:pt idx="13">
                        <c:v>570.31200000000001</c:v>
                      </c:pt>
                      <c:pt idx="14">
                        <c:v>639.97249999999997</c:v>
                      </c:pt>
                      <c:pt idx="15">
                        <c:v>679.90250000000003</c:v>
                      </c:pt>
                      <c:pt idx="16">
                        <c:v>673.43600000000004</c:v>
                      </c:pt>
                      <c:pt idx="17">
                        <c:v>721.976</c:v>
                      </c:pt>
                      <c:pt idx="18">
                        <c:v>815.00549999999998</c:v>
                      </c:pt>
                      <c:pt idx="19">
                        <c:v>819.02549999999997</c:v>
                      </c:pt>
                      <c:pt idx="20">
                        <c:v>834.11500000000001</c:v>
                      </c:pt>
                      <c:pt idx="21">
                        <c:v>869.20399999999995</c:v>
                      </c:pt>
                      <c:pt idx="22">
                        <c:v>909.66150000000005</c:v>
                      </c:pt>
                      <c:pt idx="23">
                        <c:v>1095.7139999999999</c:v>
                      </c:pt>
                      <c:pt idx="24">
                        <c:v>1681.4835</c:v>
                      </c:pt>
                      <c:pt idx="25">
                        <c:v>2509.3969999999999</c:v>
                      </c:pt>
                      <c:pt idx="26">
                        <c:v>3252.4805000000001</c:v>
                      </c:pt>
                      <c:pt idx="27">
                        <c:v>3279.297</c:v>
                      </c:pt>
                      <c:pt idx="28">
                        <c:v>3638.7645000000002</c:v>
                      </c:pt>
                      <c:pt idx="29">
                        <c:v>3823.9839999999999</c:v>
                      </c:pt>
                      <c:pt idx="30">
                        <c:v>3951.3784999999998</c:v>
                      </c:pt>
                      <c:pt idx="31">
                        <c:v>4751.0195000000003</c:v>
                      </c:pt>
                      <c:pt idx="32">
                        <c:v>5725.4369999999999</c:v>
                      </c:pt>
                      <c:pt idx="33">
                        <c:v>6450.8440000000001</c:v>
                      </c:pt>
                      <c:pt idx="34">
                        <c:v>7813.8976666666667</c:v>
                      </c:pt>
                      <c:pt idx="35">
                        <c:v>9423.6124999999993</c:v>
                      </c:pt>
                      <c:pt idx="36">
                        <c:v>13189.494000000001</c:v>
                      </c:pt>
                      <c:pt idx="37">
                        <c:v>13776.852000000001</c:v>
                      </c:pt>
                      <c:pt idx="38">
                        <c:v>10836.933999999999</c:v>
                      </c:pt>
                      <c:pt idx="39">
                        <c:v>11584.7315</c:v>
                      </c:pt>
                      <c:pt idx="40">
                        <c:v>14773.541999999999</c:v>
                      </c:pt>
                      <c:pt idx="41">
                        <c:v>18274.670666666669</c:v>
                      </c:pt>
                      <c:pt idx="42">
                        <c:v>19993.720499999999</c:v>
                      </c:pt>
                      <c:pt idx="43">
                        <c:v>20733.902999999998</c:v>
                      </c:pt>
                      <c:pt idx="44">
                        <c:v>21315.223000000002</c:v>
                      </c:pt>
                      <c:pt idx="45">
                        <c:v>22189.214499999998</c:v>
                      </c:pt>
                      <c:pt idx="46">
                        <c:v>22668.784</c:v>
                      </c:pt>
                      <c:pt idx="47">
                        <c:v>22565.806</c:v>
                      </c:pt>
                    </c:numCache>
                  </c:numRef>
                </c:val>
                <c:extLst>
                  <c:ext xmlns:c16="http://schemas.microsoft.com/office/drawing/2014/chart" uri="{C3380CC4-5D6E-409C-BE32-E72D297353CC}">
                    <c16:uniqueId val="{00000000-4863-46E2-A5ED-205ED38328FB}"/>
                  </c:ext>
                </c:extLst>
              </c15:ser>
            </c15:filteredBarSeries>
            <c15:filteredBarSeries>
              <c15:ser>
                <c:idx val="1"/>
                <c:order val="1"/>
                <c:tx>
                  <c:strRef>
                    <c:extLst xmlns:c15="http://schemas.microsoft.com/office/drawing/2012/chart">
                      <c:ext xmlns:c15="http://schemas.microsoft.com/office/drawing/2012/chart" uri="{02D57815-91ED-43cb-92C2-25804820EDAC}">
                        <c15:formulaRef>
                          <c15:sqref>Valuation_Senario!$Y$1</c15:sqref>
                        </c15:formulaRef>
                      </c:ext>
                    </c:extLst>
                    <c:strCache>
                      <c:ptCount val="1"/>
                      <c:pt idx="0">
                        <c:v> Traffic Winmart online (Lượt truy cập)_RHS </c:v>
                      </c:pt>
                    </c:strCache>
                  </c:strRef>
                </c:tx>
                <c:spPr>
                  <a:solidFill>
                    <a:schemeClr val="accent2"/>
                  </a:solidFill>
                  <a:ln>
                    <a:noFill/>
                  </a:ln>
                  <a:effectLst/>
                </c:spPr>
                <c:invertIfNegative val="0"/>
                <c:cat>
                  <c:strRef>
                    <c:extLst xmlns:c15="http://schemas.microsoft.com/office/drawing/2012/chart">
                      <c:ext xmlns:c15="http://schemas.microsoft.com/office/drawing/2012/chart" uri="{02D57815-91ED-43cb-92C2-25804820EDAC}">
                        <c15:formulaRef>
                          <c15:sqref>Valuation_Senario!$W$2:$W$49</c15:sqref>
                        </c15:formulaRef>
                      </c:ext>
                    </c:extLst>
                    <c:strCache>
                      <c:ptCount val="48"/>
                      <c:pt idx="0">
                        <c:v>2/2019</c:v>
                      </c:pt>
                      <c:pt idx="1">
                        <c:v>3/2019</c:v>
                      </c:pt>
                      <c:pt idx="2">
                        <c:v>4/2019</c:v>
                      </c:pt>
                      <c:pt idx="3">
                        <c:v>5/2019</c:v>
                      </c:pt>
                      <c:pt idx="4">
                        <c:v>6/2019</c:v>
                      </c:pt>
                      <c:pt idx="5">
                        <c:v>8/2019</c:v>
                      </c:pt>
                      <c:pt idx="6">
                        <c:v>9/2019</c:v>
                      </c:pt>
                      <c:pt idx="7">
                        <c:v>12/2019</c:v>
                      </c:pt>
                      <c:pt idx="8">
                        <c:v>1/2020</c:v>
                      </c:pt>
                      <c:pt idx="9">
                        <c:v>2/2020</c:v>
                      </c:pt>
                      <c:pt idx="10">
                        <c:v>3/2020</c:v>
                      </c:pt>
                      <c:pt idx="11">
                        <c:v>4/2020</c:v>
                      </c:pt>
                      <c:pt idx="12">
                        <c:v>5/2020</c:v>
                      </c:pt>
                      <c:pt idx="13">
                        <c:v>6/2020</c:v>
                      </c:pt>
                      <c:pt idx="14">
                        <c:v>7/2020</c:v>
                      </c:pt>
                      <c:pt idx="15">
                        <c:v>8/2020</c:v>
                      </c:pt>
                      <c:pt idx="16">
                        <c:v>9/2020</c:v>
                      </c:pt>
                      <c:pt idx="17">
                        <c:v>10/2020</c:v>
                      </c:pt>
                      <c:pt idx="18">
                        <c:v>11/2020</c:v>
                      </c:pt>
                      <c:pt idx="19">
                        <c:v>12/2020</c:v>
                      </c:pt>
                      <c:pt idx="20">
                        <c:v>1/2021</c:v>
                      </c:pt>
                      <c:pt idx="21">
                        <c:v>2/2021</c:v>
                      </c:pt>
                      <c:pt idx="22">
                        <c:v>3/2021</c:v>
                      </c:pt>
                      <c:pt idx="23">
                        <c:v>4/2021</c:v>
                      </c:pt>
                      <c:pt idx="24">
                        <c:v>5/2021</c:v>
                      </c:pt>
                      <c:pt idx="25">
                        <c:v>6/2021</c:v>
                      </c:pt>
                      <c:pt idx="26">
                        <c:v>7/2021</c:v>
                      </c:pt>
                      <c:pt idx="27">
                        <c:v>8/2021</c:v>
                      </c:pt>
                      <c:pt idx="28">
                        <c:v>9/2021</c:v>
                      </c:pt>
                      <c:pt idx="29">
                        <c:v>10/2021</c:v>
                      </c:pt>
                      <c:pt idx="30">
                        <c:v>11/2021</c:v>
                      </c:pt>
                      <c:pt idx="31">
                        <c:v>12/2021</c:v>
                      </c:pt>
                      <c:pt idx="32">
                        <c:v>1/2022</c:v>
                      </c:pt>
                      <c:pt idx="33">
                        <c:v>2/2022</c:v>
                      </c:pt>
                      <c:pt idx="34">
                        <c:v>3/2022</c:v>
                      </c:pt>
                      <c:pt idx="35">
                        <c:v>4/2022</c:v>
                      </c:pt>
                      <c:pt idx="36">
                        <c:v>5/2022</c:v>
                      </c:pt>
                      <c:pt idx="37">
                        <c:v>6/2022</c:v>
                      </c:pt>
                      <c:pt idx="38">
                        <c:v>7/2022</c:v>
                      </c:pt>
                      <c:pt idx="39">
                        <c:v>8/2022</c:v>
                      </c:pt>
                      <c:pt idx="40">
                        <c:v>9/2022</c:v>
                      </c:pt>
                      <c:pt idx="41">
                        <c:v>10/2022</c:v>
                      </c:pt>
                      <c:pt idx="42">
                        <c:v>11/2022</c:v>
                      </c:pt>
                      <c:pt idx="43">
                        <c:v>12/2022</c:v>
                      </c:pt>
                      <c:pt idx="44">
                        <c:v>1/2023</c:v>
                      </c:pt>
                      <c:pt idx="45">
                        <c:v>2/2023</c:v>
                      </c:pt>
                      <c:pt idx="46">
                        <c:v>3/2023</c:v>
                      </c:pt>
                      <c:pt idx="47">
                        <c:v>4/2023</c:v>
                      </c:pt>
                    </c:strCache>
                  </c:strRef>
                </c:cat>
                <c:val>
                  <c:numRef>
                    <c:extLst xmlns:c15="http://schemas.microsoft.com/office/drawing/2012/chart">
                      <c:ext xmlns:c15="http://schemas.microsoft.com/office/drawing/2012/chart" uri="{02D57815-91ED-43cb-92C2-25804820EDAC}">
                        <c15:formulaRef>
                          <c15:sqref>Valuation_Senario!$Y$2:$Y$49</c15:sqref>
                        </c15:formulaRef>
                      </c:ext>
                    </c:extLst>
                    <c:numCache>
                      <c:formatCode>_(* #,##0_);_(* \(#,##0\);_(* "-"??_);_(@_)</c:formatCode>
                      <c:ptCount val="4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42192.333333333336</c:v>
                      </c:pt>
                      <c:pt idx="32">
                        <c:v>36804</c:v>
                      </c:pt>
                      <c:pt idx="33">
                        <c:v>35107</c:v>
                      </c:pt>
                      <c:pt idx="34">
                        <c:v>41906</c:v>
                      </c:pt>
                      <c:pt idx="35">
                        <c:v>42162.5</c:v>
                      </c:pt>
                      <c:pt idx="36">
                        <c:v>44739.5</c:v>
                      </c:pt>
                      <c:pt idx="37">
                        <c:v>52723</c:v>
                      </c:pt>
                      <c:pt idx="38">
                        <c:v>61630</c:v>
                      </c:pt>
                      <c:pt idx="39">
                        <c:v>58268.333333333336</c:v>
                      </c:pt>
                      <c:pt idx="40">
                        <c:v>52072</c:v>
                      </c:pt>
                      <c:pt idx="41">
                        <c:v>53642</c:v>
                      </c:pt>
                      <c:pt idx="42">
                        <c:v>53981</c:v>
                      </c:pt>
                      <c:pt idx="43">
                        <c:v>45032.5</c:v>
                      </c:pt>
                      <c:pt idx="44">
                        <c:v>50604.5</c:v>
                      </c:pt>
                      <c:pt idx="45">
                        <c:v>42893</c:v>
                      </c:pt>
                      <c:pt idx="46">
                        <c:v>31582</c:v>
                      </c:pt>
                      <c:pt idx="47">
                        <c:v>29726.5</c:v>
                      </c:pt>
                    </c:numCache>
                  </c:numRef>
                </c:val>
                <c:extLst xmlns:c15="http://schemas.microsoft.com/office/drawing/2012/chart">
                  <c:ext xmlns:c16="http://schemas.microsoft.com/office/drawing/2014/chart" uri="{C3380CC4-5D6E-409C-BE32-E72D297353CC}">
                    <c16:uniqueId val="{00000001-4863-46E2-A5ED-205ED38328FB}"/>
                  </c:ext>
                </c:extLst>
              </c15:ser>
            </c15:filteredBarSeries>
          </c:ext>
        </c:extLst>
      </c:barChart>
      <c:lineChart>
        <c:grouping val="standard"/>
        <c:varyColors val="0"/>
        <c:dLbls>
          <c:showLegendKey val="0"/>
          <c:showVal val="0"/>
          <c:showCatName val="0"/>
          <c:showSerName val="0"/>
          <c:showPercent val="0"/>
          <c:showBubbleSize val="0"/>
        </c:dLbls>
        <c:marker val="1"/>
        <c:smooth val="0"/>
        <c:axId val="277240736"/>
        <c:axId val="277241152"/>
        <c:extLst>
          <c:ext xmlns:c15="http://schemas.microsoft.com/office/drawing/2012/chart" uri="{02D57815-91ED-43cb-92C2-25804820EDAC}">
            <c15:filteredLineSeries>
              <c15:ser>
                <c:idx val="2"/>
                <c:order val="2"/>
                <c:tx>
                  <c:strRef>
                    <c:extLst>
                      <c:ext uri="{02D57815-91ED-43cb-92C2-25804820EDAC}">
                        <c15:formulaRef>
                          <c15:sqref>Valuation_Senario!$Z$1</c15:sqref>
                        </c15:formulaRef>
                      </c:ext>
                    </c:extLst>
                    <c:strCache>
                      <c:ptCount val="1"/>
                      <c:pt idx="0">
                        <c:v>DT BHX online_LHS</c:v>
                      </c:pt>
                    </c:strCache>
                  </c:strRef>
                </c:tx>
                <c:spPr>
                  <a:ln w="28575" cap="rnd">
                    <a:solidFill>
                      <a:schemeClr val="accent3"/>
                    </a:solidFill>
                    <a:round/>
                  </a:ln>
                  <a:effectLst/>
                </c:spPr>
                <c:marker>
                  <c:symbol val="none"/>
                </c:marker>
                <c:cat>
                  <c:strRef>
                    <c:extLst>
                      <c:ext uri="{02D57815-91ED-43cb-92C2-25804820EDAC}">
                        <c15:formulaRef>
                          <c15:sqref>Valuation_Senario!$W$2:$W$49</c15:sqref>
                        </c15:formulaRef>
                      </c:ext>
                    </c:extLst>
                    <c:strCache>
                      <c:ptCount val="48"/>
                      <c:pt idx="0">
                        <c:v>2/2019</c:v>
                      </c:pt>
                      <c:pt idx="1">
                        <c:v>3/2019</c:v>
                      </c:pt>
                      <c:pt idx="2">
                        <c:v>4/2019</c:v>
                      </c:pt>
                      <c:pt idx="3">
                        <c:v>5/2019</c:v>
                      </c:pt>
                      <c:pt idx="4">
                        <c:v>6/2019</c:v>
                      </c:pt>
                      <c:pt idx="5">
                        <c:v>8/2019</c:v>
                      </c:pt>
                      <c:pt idx="6">
                        <c:v>9/2019</c:v>
                      </c:pt>
                      <c:pt idx="7">
                        <c:v>12/2019</c:v>
                      </c:pt>
                      <c:pt idx="8">
                        <c:v>1/2020</c:v>
                      </c:pt>
                      <c:pt idx="9">
                        <c:v>2/2020</c:v>
                      </c:pt>
                      <c:pt idx="10">
                        <c:v>3/2020</c:v>
                      </c:pt>
                      <c:pt idx="11">
                        <c:v>4/2020</c:v>
                      </c:pt>
                      <c:pt idx="12">
                        <c:v>5/2020</c:v>
                      </c:pt>
                      <c:pt idx="13">
                        <c:v>6/2020</c:v>
                      </c:pt>
                      <c:pt idx="14">
                        <c:v>7/2020</c:v>
                      </c:pt>
                      <c:pt idx="15">
                        <c:v>8/2020</c:v>
                      </c:pt>
                      <c:pt idx="16">
                        <c:v>9/2020</c:v>
                      </c:pt>
                      <c:pt idx="17">
                        <c:v>10/2020</c:v>
                      </c:pt>
                      <c:pt idx="18">
                        <c:v>11/2020</c:v>
                      </c:pt>
                      <c:pt idx="19">
                        <c:v>12/2020</c:v>
                      </c:pt>
                      <c:pt idx="20">
                        <c:v>1/2021</c:v>
                      </c:pt>
                      <c:pt idx="21">
                        <c:v>2/2021</c:v>
                      </c:pt>
                      <c:pt idx="22">
                        <c:v>3/2021</c:v>
                      </c:pt>
                      <c:pt idx="23">
                        <c:v>4/2021</c:v>
                      </c:pt>
                      <c:pt idx="24">
                        <c:v>5/2021</c:v>
                      </c:pt>
                      <c:pt idx="25">
                        <c:v>6/2021</c:v>
                      </c:pt>
                      <c:pt idx="26">
                        <c:v>7/2021</c:v>
                      </c:pt>
                      <c:pt idx="27">
                        <c:v>8/2021</c:v>
                      </c:pt>
                      <c:pt idx="28">
                        <c:v>9/2021</c:v>
                      </c:pt>
                      <c:pt idx="29">
                        <c:v>10/2021</c:v>
                      </c:pt>
                      <c:pt idx="30">
                        <c:v>11/2021</c:v>
                      </c:pt>
                      <c:pt idx="31">
                        <c:v>12/2021</c:v>
                      </c:pt>
                      <c:pt idx="32">
                        <c:v>1/2022</c:v>
                      </c:pt>
                      <c:pt idx="33">
                        <c:v>2/2022</c:v>
                      </c:pt>
                      <c:pt idx="34">
                        <c:v>3/2022</c:v>
                      </c:pt>
                      <c:pt idx="35">
                        <c:v>4/2022</c:v>
                      </c:pt>
                      <c:pt idx="36">
                        <c:v>5/2022</c:v>
                      </c:pt>
                      <c:pt idx="37">
                        <c:v>6/2022</c:v>
                      </c:pt>
                      <c:pt idx="38">
                        <c:v>7/2022</c:v>
                      </c:pt>
                      <c:pt idx="39">
                        <c:v>8/2022</c:v>
                      </c:pt>
                      <c:pt idx="40">
                        <c:v>9/2022</c:v>
                      </c:pt>
                      <c:pt idx="41">
                        <c:v>10/2022</c:v>
                      </c:pt>
                      <c:pt idx="42">
                        <c:v>11/2022</c:v>
                      </c:pt>
                      <c:pt idx="43">
                        <c:v>12/2022</c:v>
                      </c:pt>
                      <c:pt idx="44">
                        <c:v>1/2023</c:v>
                      </c:pt>
                      <c:pt idx="45">
                        <c:v>2/2023</c:v>
                      </c:pt>
                      <c:pt idx="46">
                        <c:v>3/2023</c:v>
                      </c:pt>
                      <c:pt idx="47">
                        <c:v>4/2023</c:v>
                      </c:pt>
                    </c:strCache>
                  </c:strRef>
                </c:cat>
                <c:val>
                  <c:numRef>
                    <c:extLst>
                      <c:ext uri="{02D57815-91ED-43cb-92C2-25804820EDAC}">
                        <c15:formulaRef>
                          <c15:sqref>Valuation_Senario!$Z$2:$Z$49</c15:sqref>
                        </c15:formulaRef>
                      </c:ext>
                    </c:extLst>
                    <c:numCache>
                      <c:formatCode>General</c:formatCode>
                      <c:ptCount val="48"/>
                      <c:pt idx="8" formatCode="_(* #,##0_);_(* \(#,##0\);_(* &quot;-&quot;??_);_(@_)">
                        <c:v>13.188000000000001</c:v>
                      </c:pt>
                      <c:pt idx="9" formatCode="_(* #,##0_);_(* \(#,##0\);_(* &quot;-&quot;??_);_(@_)">
                        <c:v>12.693660000000003</c:v>
                      </c:pt>
                      <c:pt idx="10" formatCode="_(* #,##0_);_(* \(#,##0\);_(* &quot;-&quot;??_);_(@_)">
                        <c:v>19.02843</c:v>
                      </c:pt>
                      <c:pt idx="11" formatCode="_(* #,##0_);_(* \(#,##0\);_(* &quot;-&quot;??_);_(@_)">
                        <c:v>16.820330000000006</c:v>
                      </c:pt>
                      <c:pt idx="12" formatCode="_(* #,##0_);_(* \(#,##0\);_(* &quot;-&quot;??_);_(@_)">
                        <c:v>16.63138</c:v>
                      </c:pt>
                      <c:pt idx="13" formatCode="_(* #,##0_);_(* \(#,##0\);_(* &quot;-&quot;??_);_(@_)">
                        <c:v>16.224500000000006</c:v>
                      </c:pt>
                      <c:pt idx="14" formatCode="_(* #,##0_);_(* \(#,##0\);_(* &quot;-&quot;??_);_(@_)">
                        <c:v>17.952699999999986</c:v>
                      </c:pt>
                      <c:pt idx="15" formatCode="_(* #,##0_);_(* \(#,##0\);_(* &quot;-&quot;??_);_(@_)">
                        <c:v>19.536700000000021</c:v>
                      </c:pt>
                      <c:pt idx="16" formatCode="_(* #,##0_);_(* \(#,##0\);_(* &quot;-&quot;??_);_(@_)">
                        <c:v>19.23902</c:v>
                      </c:pt>
                      <c:pt idx="17" formatCode="_(* #,##0_);_(* \(#,##0\);_(* &quot;-&quot;??_);_(@_)">
                        <c:v>19.879079999999995</c:v>
                      </c:pt>
                      <c:pt idx="18" formatCode="_(* #,##0_);_(* \(#,##0\);_(* &quot;-&quot;??_);_(@_)">
                        <c:v>20.462920000000015</c:v>
                      </c:pt>
                      <c:pt idx="19" formatCode="_(* #,##0_);_(* \(#,##0\);_(* &quot;-&quot;??_);_(@_)">
                        <c:v>63.280319999999918</c:v>
                      </c:pt>
                      <c:pt idx="20" formatCode="_(* #,##0_);_(* \(#,##0\);_(* &quot;-&quot;??_);_(@_)">
                        <c:v>69.608699999999999</c:v>
                      </c:pt>
                      <c:pt idx="21" formatCode="_(* #,##0_);_(* \(#,##0\);_(* &quot;-&quot;??_);_(@_)">
                        <c:v>49.628609999999995</c:v>
                      </c:pt>
                      <c:pt idx="22" formatCode="_(* #,##0_);_(* \(#,##0\);_(* &quot;-&quot;??_);_(@_)">
                        <c:v>59.251020000000004</c:v>
                      </c:pt>
                      <c:pt idx="23" formatCode="_(* #,##0_);_(* \(#,##0\);_(* &quot;-&quot;??_);_(@_)">
                        <c:v>64.205670000000012</c:v>
                      </c:pt>
                      <c:pt idx="24" formatCode="_(* #,##0_);_(* \(#,##0\);_(* &quot;-&quot;??_);_(@_)">
                        <c:v>76.060499999999976</c:v>
                      </c:pt>
                      <c:pt idx="25" formatCode="_(* #,##0_);_(* \(#,##0\);_(* &quot;-&quot;??_);_(@_)">
                        <c:v>82.412039999999976</c:v>
                      </c:pt>
                      <c:pt idx="26" formatCode="_(* #,##0_);_(* \(#,##0\);_(* &quot;-&quot;??_);_(@_)">
                        <c:v>125.77097999999999</c:v>
                      </c:pt>
                      <c:pt idx="27" formatCode="_(* #,##0_);_(* \(#,##0\);_(* &quot;-&quot;??_);_(@_)">
                        <c:v>92.388030000000072</c:v>
                      </c:pt>
                      <c:pt idx="28" formatCode="_(* #,##0_);_(* \(#,##0\);_(* &quot;-&quot;??_);_(@_)">
                        <c:v>57.870449999999977</c:v>
                      </c:pt>
                      <c:pt idx="29" formatCode="_(* #,##0_);_(* \(#,##0\);_(* &quot;-&quot;??_);_(@_)">
                        <c:v>60</c:v>
                      </c:pt>
                      <c:pt idx="30" formatCode="_(* #,##0_);_(* \(#,##0\);_(* &quot;-&quot;??_);_(@_)">
                        <c:v>53.903999999999975</c:v>
                      </c:pt>
                      <c:pt idx="31" formatCode="_(* #,##0_);_(* \(#,##0\);_(* &quot;-&quot;??_);_(@_)">
                        <c:v>53.621459999999935</c:v>
                      </c:pt>
                      <c:pt idx="32" formatCode="_(* #,##0_);_(* \(#,##0\);_(* &quot;-&quot;??_);_(@_)">
                        <c:v>58.5</c:v>
                      </c:pt>
                      <c:pt idx="33" formatCode="_(* #,##0_);_(* \(#,##0\);_(* &quot;-&quot;??_);_(@_)">
                        <c:v>58.5</c:v>
                      </c:pt>
                      <c:pt idx="34" formatCode="_(* #,##0_);_(* \(#,##0\);_(* &quot;-&quot;??_);_(@_)">
                        <c:v>64.2</c:v>
                      </c:pt>
                      <c:pt idx="35" formatCode="_(* #,##0_);_(* \(#,##0\);_(* &quot;-&quot;??_);_(@_)">
                        <c:v>64.8</c:v>
                      </c:pt>
                      <c:pt idx="36" formatCode="_(* #,##0_);_(* \(#,##0\);_(* &quot;-&quot;??_);_(@_)">
                        <c:v>69</c:v>
                      </c:pt>
                      <c:pt idx="37" formatCode="_(* #,##0_);_(* \(#,##0\);_(* &quot;-&quot;??_);_(@_)">
                        <c:v>69.465720000000033</c:v>
                      </c:pt>
                      <c:pt idx="38" formatCode="_(* #,##0_);_(* \(#,##0\);_(* &quot;-&quot;??_);_(@_)">
                        <c:v>83.456659999999971</c:v>
                      </c:pt>
                      <c:pt idx="39" formatCode="_(* #,##0_);_(* \(#,##0\);_(* &quot;-&quot;??_);_(@_)">
                        <c:v>82.977475000000013</c:v>
                      </c:pt>
                      <c:pt idx="40" formatCode="_(* #,##0_);_(* \(#,##0\);_(* &quot;-&quot;??_);_(@_)">
                        <c:v>82.809650000000019</c:v>
                      </c:pt>
                      <c:pt idx="41" formatCode="_(* #,##0_);_(* \(#,##0\);_(* &quot;-&quot;??_);_(@_)">
                        <c:v>82.857600000000019</c:v>
                      </c:pt>
                      <c:pt idx="42" formatCode="_(* #,##0_);_(* \(#,##0\);_(* &quot;-&quot;??_);_(@_)">
                        <c:v>80.355274999999935</c:v>
                      </c:pt>
                      <c:pt idx="43" formatCode="_(* #,##0_);_(* \(#,##0\);_(* &quot;-&quot;??_);_(@_)">
                        <c:v>86.84094058500007</c:v>
                      </c:pt>
                      <c:pt idx="44" formatCode="_(* #,##0_);_(* \(#,##0\);_(* &quot;-&quot;??_);_(@_)">
                        <c:v>72.190475000000006</c:v>
                      </c:pt>
                      <c:pt idx="45" formatCode="_(* #,##0_);_(* \(#,##0\);_(* &quot;-&quot;??_);_(@_)">
                        <c:v>72.190475000000006</c:v>
                      </c:pt>
                      <c:pt idx="46" formatCode="_(* #,##0_);_(* \(#,##0\);_(* &quot;-&quot;??_);_(@_)">
                        <c:v>78.556450000000012</c:v>
                      </c:pt>
                      <c:pt idx="47" formatCode="_(* #,##0_);_(* \(#,##0\);_(* &quot;-&quot;??_);_(@_)">
                        <c:v>80.913143500000018</c:v>
                      </c:pt>
                    </c:numCache>
                  </c:numRef>
                </c:val>
                <c:smooth val="0"/>
                <c:extLst>
                  <c:ext xmlns:c16="http://schemas.microsoft.com/office/drawing/2014/chart" uri="{C3380CC4-5D6E-409C-BE32-E72D297353CC}">
                    <c16:uniqueId val="{00000002-4863-46E2-A5ED-205ED38328FB}"/>
                  </c:ext>
                </c:extLst>
              </c15:ser>
            </c15:filteredLineSeries>
          </c:ext>
        </c:extLst>
      </c:lineChart>
      <c:lineChart>
        <c:grouping val="standard"/>
        <c:varyColors val="0"/>
        <c:ser>
          <c:idx val="3"/>
          <c:order val="3"/>
          <c:tx>
            <c:strRef>
              <c:f>Valuation_Senario!$AA$1</c:f>
              <c:strCache>
                <c:ptCount val="1"/>
                <c:pt idx="0">
                  <c:v>Tần suất quay trở lại của khách hàng (%)</c:v>
                </c:pt>
              </c:strCache>
            </c:strRef>
          </c:tx>
          <c:spPr>
            <a:ln w="28575" cap="rnd">
              <a:solidFill>
                <a:schemeClr val="accent4"/>
              </a:solidFill>
              <a:round/>
            </a:ln>
            <a:effectLst/>
          </c:spPr>
          <c:marker>
            <c:symbol val="none"/>
          </c:marker>
          <c:cat>
            <c:strRef>
              <c:f>Valuation_Senario!$W$2:$W$49</c:f>
              <c:strCache>
                <c:ptCount val="48"/>
                <c:pt idx="0">
                  <c:v>2/2019</c:v>
                </c:pt>
                <c:pt idx="1">
                  <c:v>3/2019</c:v>
                </c:pt>
                <c:pt idx="2">
                  <c:v>4/2019</c:v>
                </c:pt>
                <c:pt idx="3">
                  <c:v>5/2019</c:v>
                </c:pt>
                <c:pt idx="4">
                  <c:v>6/2019</c:v>
                </c:pt>
                <c:pt idx="5">
                  <c:v>8/2019</c:v>
                </c:pt>
                <c:pt idx="6">
                  <c:v>9/2019</c:v>
                </c:pt>
                <c:pt idx="7">
                  <c:v>12/2019</c:v>
                </c:pt>
                <c:pt idx="8">
                  <c:v>1/2020</c:v>
                </c:pt>
                <c:pt idx="9">
                  <c:v>2/2020</c:v>
                </c:pt>
                <c:pt idx="10">
                  <c:v>3/2020</c:v>
                </c:pt>
                <c:pt idx="11">
                  <c:v>4/2020</c:v>
                </c:pt>
                <c:pt idx="12">
                  <c:v>5/2020</c:v>
                </c:pt>
                <c:pt idx="13">
                  <c:v>6/2020</c:v>
                </c:pt>
                <c:pt idx="14">
                  <c:v>7/2020</c:v>
                </c:pt>
                <c:pt idx="15">
                  <c:v>8/2020</c:v>
                </c:pt>
                <c:pt idx="16">
                  <c:v>9/2020</c:v>
                </c:pt>
                <c:pt idx="17">
                  <c:v>10/2020</c:v>
                </c:pt>
                <c:pt idx="18">
                  <c:v>11/2020</c:v>
                </c:pt>
                <c:pt idx="19">
                  <c:v>12/2020</c:v>
                </c:pt>
                <c:pt idx="20">
                  <c:v>1/2021</c:v>
                </c:pt>
                <c:pt idx="21">
                  <c:v>2/2021</c:v>
                </c:pt>
                <c:pt idx="22">
                  <c:v>3/2021</c:v>
                </c:pt>
                <c:pt idx="23">
                  <c:v>4/2021</c:v>
                </c:pt>
                <c:pt idx="24">
                  <c:v>5/2021</c:v>
                </c:pt>
                <c:pt idx="25">
                  <c:v>6/2021</c:v>
                </c:pt>
                <c:pt idx="26">
                  <c:v>7/2021</c:v>
                </c:pt>
                <c:pt idx="27">
                  <c:v>8/2021</c:v>
                </c:pt>
                <c:pt idx="28">
                  <c:v>9/2021</c:v>
                </c:pt>
                <c:pt idx="29">
                  <c:v>10/2021</c:v>
                </c:pt>
                <c:pt idx="30">
                  <c:v>11/2021</c:v>
                </c:pt>
                <c:pt idx="31">
                  <c:v>12/2021</c:v>
                </c:pt>
                <c:pt idx="32">
                  <c:v>1/2022</c:v>
                </c:pt>
                <c:pt idx="33">
                  <c:v>2/2022</c:v>
                </c:pt>
                <c:pt idx="34">
                  <c:v>3/2022</c:v>
                </c:pt>
                <c:pt idx="35">
                  <c:v>4/2022</c:v>
                </c:pt>
                <c:pt idx="36">
                  <c:v>5/2022</c:v>
                </c:pt>
                <c:pt idx="37">
                  <c:v>6/2022</c:v>
                </c:pt>
                <c:pt idx="38">
                  <c:v>7/2022</c:v>
                </c:pt>
                <c:pt idx="39">
                  <c:v>8/2022</c:v>
                </c:pt>
                <c:pt idx="40">
                  <c:v>9/2022</c:v>
                </c:pt>
                <c:pt idx="41">
                  <c:v>10/2022</c:v>
                </c:pt>
                <c:pt idx="42">
                  <c:v>11/2022</c:v>
                </c:pt>
                <c:pt idx="43">
                  <c:v>12/2022</c:v>
                </c:pt>
                <c:pt idx="44">
                  <c:v>1/2023</c:v>
                </c:pt>
                <c:pt idx="45">
                  <c:v>2/2023</c:v>
                </c:pt>
                <c:pt idx="46">
                  <c:v>3/2023</c:v>
                </c:pt>
                <c:pt idx="47">
                  <c:v>4/2023</c:v>
                </c:pt>
              </c:strCache>
            </c:strRef>
          </c:cat>
          <c:val>
            <c:numRef>
              <c:f>Valuation_Senario!$AA$2:$AA$49</c:f>
              <c:numCache>
                <c:formatCode>General</c:formatCode>
                <c:ptCount val="48"/>
                <c:pt idx="11" formatCode="0.0%">
                  <c:v>0.54039999999999999</c:v>
                </c:pt>
                <c:pt idx="12" formatCode="0.0%">
                  <c:v>0.54069999999999996</c:v>
                </c:pt>
                <c:pt idx="13" formatCode="0.0%">
                  <c:v>0.54100000000000004</c:v>
                </c:pt>
                <c:pt idx="14" formatCode="0.0%">
                  <c:v>0.5413</c:v>
                </c:pt>
                <c:pt idx="15" formatCode="0.0%">
                  <c:v>0.54159999999999997</c:v>
                </c:pt>
                <c:pt idx="16" formatCode="0.0%">
                  <c:v>0.54190000000000005</c:v>
                </c:pt>
                <c:pt idx="17" formatCode="0.0%">
                  <c:v>0.54220000000000002</c:v>
                </c:pt>
                <c:pt idx="18" formatCode="0.0%">
                  <c:v>0.54249999999999998</c:v>
                </c:pt>
                <c:pt idx="19" formatCode="0.0%">
                  <c:v>0.54279999999999995</c:v>
                </c:pt>
                <c:pt idx="20" formatCode="0.0%">
                  <c:v>0.54310000000000003</c:v>
                </c:pt>
                <c:pt idx="21" formatCode="0.0%">
                  <c:v>0.54339999999999999</c:v>
                </c:pt>
                <c:pt idx="22" formatCode="0.0%">
                  <c:v>0.54369999999999996</c:v>
                </c:pt>
                <c:pt idx="23" formatCode="0.0%">
                  <c:v>0.54400000000000004</c:v>
                </c:pt>
                <c:pt idx="24" formatCode="0.0%">
                  <c:v>0.54430000000000001</c:v>
                </c:pt>
                <c:pt idx="25" formatCode="0.0%">
                  <c:v>0.54459999999999997</c:v>
                </c:pt>
                <c:pt idx="26" formatCode="0.0%">
                  <c:v>0.54490000000000005</c:v>
                </c:pt>
                <c:pt idx="27" formatCode="0.0%">
                  <c:v>0.54520000000000002</c:v>
                </c:pt>
                <c:pt idx="28" formatCode="0.0%">
                  <c:v>0.54549999999999998</c:v>
                </c:pt>
                <c:pt idx="29" formatCode="0.0%">
                  <c:v>0.54579999999999995</c:v>
                </c:pt>
                <c:pt idx="30" formatCode="0.0%">
                  <c:v>0.54610000000000003</c:v>
                </c:pt>
                <c:pt idx="31" formatCode="0.0%">
                  <c:v>0.5464</c:v>
                </c:pt>
                <c:pt idx="32" formatCode="0.0%">
                  <c:v>0.54669999999999996</c:v>
                </c:pt>
                <c:pt idx="33" formatCode="0.0%">
                  <c:v>0.54700000000000004</c:v>
                </c:pt>
                <c:pt idx="34" formatCode="0.0%">
                  <c:v>0.54730000000000001</c:v>
                </c:pt>
                <c:pt idx="35" formatCode="0.0%">
                  <c:v>0.54759999999999998</c:v>
                </c:pt>
                <c:pt idx="36" formatCode="0.0%">
                  <c:v>0.54790000000000005</c:v>
                </c:pt>
                <c:pt idx="37" formatCode="0.0%">
                  <c:v>0.54820000000000002</c:v>
                </c:pt>
                <c:pt idx="38" formatCode="0.0%">
                  <c:v>0.54849999999999999</c:v>
                </c:pt>
                <c:pt idx="39" formatCode="0.0%">
                  <c:v>0.54879999999999995</c:v>
                </c:pt>
                <c:pt idx="40" formatCode="0.0%">
                  <c:v>0.54910000000000003</c:v>
                </c:pt>
                <c:pt idx="41" formatCode="0.0%">
                  <c:v>0.5494</c:v>
                </c:pt>
                <c:pt idx="42" formatCode="0.0%">
                  <c:v>0.54969999999999997</c:v>
                </c:pt>
                <c:pt idx="43" formatCode="0.0%">
                  <c:v>0.55000000000000004</c:v>
                </c:pt>
                <c:pt idx="44" formatCode="0.0%">
                  <c:v>0.55030000000000001</c:v>
                </c:pt>
                <c:pt idx="45" formatCode="0.0%">
                  <c:v>0.55059999999999998</c:v>
                </c:pt>
                <c:pt idx="46" formatCode="0.0%">
                  <c:v>0.55089999999999995</c:v>
                </c:pt>
                <c:pt idx="47" formatCode="0.0%">
                  <c:v>0.55120000000000002</c:v>
                </c:pt>
              </c:numCache>
            </c:numRef>
          </c:val>
          <c:smooth val="0"/>
          <c:extLst>
            <c:ext xmlns:c16="http://schemas.microsoft.com/office/drawing/2014/chart" uri="{C3380CC4-5D6E-409C-BE32-E72D297353CC}">
              <c16:uniqueId val="{00000003-4863-46E2-A5ED-205ED38328FB}"/>
            </c:ext>
          </c:extLst>
        </c:ser>
        <c:dLbls>
          <c:showLegendKey val="0"/>
          <c:showVal val="0"/>
          <c:showCatName val="0"/>
          <c:showSerName val="0"/>
          <c:showPercent val="0"/>
          <c:showBubbleSize val="0"/>
        </c:dLbls>
        <c:marker val="1"/>
        <c:smooth val="0"/>
        <c:axId val="277241568"/>
        <c:axId val="277242816"/>
      </c:lineChart>
      <c:catAx>
        <c:axId val="2772407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vi-VN"/>
          </a:p>
        </c:txPr>
        <c:crossAx val="277241152"/>
        <c:crosses val="autoZero"/>
        <c:auto val="1"/>
        <c:lblAlgn val="ctr"/>
        <c:lblOffset val="100"/>
        <c:noMultiLvlLbl val="0"/>
      </c:catAx>
      <c:valAx>
        <c:axId val="277241152"/>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vi-VN"/>
          </a:p>
        </c:txPr>
        <c:crossAx val="277240736"/>
        <c:crosses val="autoZero"/>
        <c:crossBetween val="between"/>
      </c:valAx>
      <c:valAx>
        <c:axId val="277242816"/>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vi-VN"/>
          </a:p>
        </c:txPr>
        <c:crossAx val="277241568"/>
        <c:crosses val="max"/>
        <c:crossBetween val="between"/>
      </c:valAx>
      <c:catAx>
        <c:axId val="277241568"/>
        <c:scaling>
          <c:orientation val="minMax"/>
        </c:scaling>
        <c:delete val="1"/>
        <c:axPos val="b"/>
        <c:numFmt formatCode="General" sourceLinked="1"/>
        <c:majorTickMark val="out"/>
        <c:minorTickMark val="none"/>
        <c:tickLblPos val="nextTo"/>
        <c:crossAx val="277242816"/>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vi-VN"/>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vi-VN"/>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5555843292447666E-2"/>
          <c:y val="0.30819141497139152"/>
          <c:w val="0.87785974304936565"/>
          <c:h val="0.43768868899538366"/>
        </c:manualLayout>
      </c:layout>
      <c:barChart>
        <c:barDir val="col"/>
        <c:grouping val="clustered"/>
        <c:varyColors val="0"/>
        <c:ser>
          <c:idx val="3"/>
          <c:order val="3"/>
          <c:tx>
            <c:strRef>
              <c:f>Valuation_Senario!$A$164</c:f>
              <c:strCache>
                <c:ptCount val="1"/>
                <c:pt idx="0">
                  <c:v> SLCH_RHS </c:v>
                </c:pt>
              </c:strCache>
            </c:strRef>
          </c:tx>
          <c:spPr>
            <a:solidFill>
              <a:schemeClr val="accent4"/>
            </a:solidFill>
            <a:ln>
              <a:noFill/>
            </a:ln>
            <a:effectLst/>
          </c:spPr>
          <c:invertIfNegative val="0"/>
          <c:cat>
            <c:strRef>
              <c:extLst>
                <c:ext xmlns:c15="http://schemas.microsoft.com/office/drawing/2012/chart" uri="{02D57815-91ED-43cb-92C2-25804820EDAC}">
                  <c15:fullRef>
                    <c15:sqref>Valuation_Senario!$B$161:$AP$161</c15:sqref>
                  </c15:fullRef>
                </c:ext>
              </c:extLst>
              <c:f>(Valuation_Senario!$B$161:$M$161,Valuation_Senario!$AD$161:$AP$161)</c:f>
              <c:strCache>
                <c:ptCount val="24"/>
                <c:pt idx="0">
                  <c:v>Jan-20</c:v>
                </c:pt>
                <c:pt idx="1">
                  <c:v>Mar-20</c:v>
                </c:pt>
                <c:pt idx="2">
                  <c:v>Apr-20</c:v>
                </c:pt>
                <c:pt idx="3">
                  <c:v>May-20</c:v>
                </c:pt>
                <c:pt idx="4">
                  <c:v>Jun-20</c:v>
                </c:pt>
                <c:pt idx="5">
                  <c:v>Jul-20</c:v>
                </c:pt>
                <c:pt idx="6">
                  <c:v>Aug-20</c:v>
                </c:pt>
                <c:pt idx="7">
                  <c:v>Sep-20</c:v>
                </c:pt>
                <c:pt idx="8">
                  <c:v>Oct-20</c:v>
                </c:pt>
                <c:pt idx="9">
                  <c:v>Nov-20</c:v>
                </c:pt>
                <c:pt idx="10">
                  <c:v>Dec-20</c:v>
                </c:pt>
                <c:pt idx="11">
                  <c:v>Jun-22</c:v>
                </c:pt>
                <c:pt idx="12">
                  <c:v>Jul-22</c:v>
                </c:pt>
                <c:pt idx="13">
                  <c:v>Aug-22</c:v>
                </c:pt>
                <c:pt idx="14">
                  <c:v>Sep-22</c:v>
                </c:pt>
                <c:pt idx="15">
                  <c:v>Oct-22</c:v>
                </c:pt>
                <c:pt idx="16">
                  <c:v>Nov-22</c:v>
                </c:pt>
                <c:pt idx="17">
                  <c:v>Dec-22</c:v>
                </c:pt>
                <c:pt idx="18">
                  <c:v>Thg1&amp;2-23</c:v>
                </c:pt>
                <c:pt idx="19">
                  <c:v>Mar-23</c:v>
                </c:pt>
                <c:pt idx="20">
                  <c:v>Apr-23</c:v>
                </c:pt>
                <c:pt idx="21">
                  <c:v>May-23</c:v>
                </c:pt>
                <c:pt idx="22">
                  <c:v>Jun-23</c:v>
                </c:pt>
                <c:pt idx="23">
                  <c:v>Jul-23</c:v>
                </c:pt>
              </c:strCache>
            </c:strRef>
          </c:cat>
          <c:val>
            <c:numRef>
              <c:extLst>
                <c:ext xmlns:c15="http://schemas.microsoft.com/office/drawing/2012/chart" uri="{02D57815-91ED-43cb-92C2-25804820EDAC}">
                  <c15:fullRef>
                    <c15:sqref>Valuation_Senario!$B$164:$AP$164</c15:sqref>
                  </c15:fullRef>
                </c:ext>
              </c:extLst>
              <c:f>(Valuation_Senario!$B$164:$M$164,Valuation_Senario!$AD$164:$AP$164)</c:f>
              <c:numCache>
                <c:formatCode>_(* #,##0_);_(* \(#,##0\);_(* "-"??_);_(@_)</c:formatCode>
                <c:ptCount val="24"/>
                <c:pt idx="0">
                  <c:v>1041</c:v>
                </c:pt>
                <c:pt idx="1">
                  <c:v>1158</c:v>
                </c:pt>
                <c:pt idx="2">
                  <c:v>1234</c:v>
                </c:pt>
                <c:pt idx="3">
                  <c:v>1365</c:v>
                </c:pt>
                <c:pt idx="4">
                  <c:v>1486</c:v>
                </c:pt>
                <c:pt idx="5">
                  <c:v>1561</c:v>
                </c:pt>
                <c:pt idx="6">
                  <c:v>1595</c:v>
                </c:pt>
                <c:pt idx="7">
                  <c:v>1623</c:v>
                </c:pt>
                <c:pt idx="8">
                  <c:v>1656</c:v>
                </c:pt>
                <c:pt idx="9">
                  <c:v>1687</c:v>
                </c:pt>
                <c:pt idx="10">
                  <c:v>1719</c:v>
                </c:pt>
                <c:pt idx="11">
                  <c:v>1889</c:v>
                </c:pt>
                <c:pt idx="12">
                  <c:v>1735</c:v>
                </c:pt>
                <c:pt idx="13">
                  <c:v>1726</c:v>
                </c:pt>
                <c:pt idx="14">
                  <c:v>1728</c:v>
                </c:pt>
                <c:pt idx="15">
                  <c:v>1728</c:v>
                </c:pt>
                <c:pt idx="16">
                  <c:v>1728</c:v>
                </c:pt>
                <c:pt idx="17">
                  <c:v>1728</c:v>
                </c:pt>
                <c:pt idx="18">
                  <c:v>1729</c:v>
                </c:pt>
                <c:pt idx="19">
                  <c:v>1710</c:v>
                </c:pt>
                <c:pt idx="20">
                  <c:v>1708</c:v>
                </c:pt>
                <c:pt idx="21">
                  <c:v>1704</c:v>
                </c:pt>
                <c:pt idx="22">
                  <c:v>1706</c:v>
                </c:pt>
                <c:pt idx="23">
                  <c:v>1706</c:v>
                </c:pt>
              </c:numCache>
            </c:numRef>
          </c:val>
          <c:extLst>
            <c:ext xmlns:c16="http://schemas.microsoft.com/office/drawing/2014/chart" uri="{C3380CC4-5D6E-409C-BE32-E72D297353CC}">
              <c16:uniqueId val="{00000000-6661-46F0-90EF-B99CDB5E4D25}"/>
            </c:ext>
          </c:extLst>
        </c:ser>
        <c:dLbls>
          <c:showLegendKey val="0"/>
          <c:showVal val="0"/>
          <c:showCatName val="0"/>
          <c:showSerName val="0"/>
          <c:showPercent val="0"/>
          <c:showBubbleSize val="0"/>
        </c:dLbls>
        <c:gapWidth val="219"/>
        <c:axId val="2129578960"/>
        <c:axId val="2129579376"/>
      </c:barChart>
      <c:lineChart>
        <c:grouping val="standard"/>
        <c:varyColors val="0"/>
        <c:ser>
          <c:idx val="0"/>
          <c:order val="0"/>
          <c:tx>
            <c:strRef>
              <c:f>Valuation_Senario!$A$162</c:f>
              <c:strCache>
                <c:ptCount val="1"/>
                <c:pt idx="0">
                  <c:v> DT/CH (tỷ VND/tháng)_LHS </c:v>
                </c:pt>
              </c:strCache>
            </c:strRef>
          </c:tx>
          <c:spPr>
            <a:ln w="28575" cap="rnd">
              <a:solidFill>
                <a:schemeClr val="bg1">
                  <a:lumMod val="50000"/>
                </a:schemeClr>
              </a:solidFill>
              <a:round/>
            </a:ln>
            <a:effectLst/>
          </c:spPr>
          <c:marker>
            <c:symbol val="none"/>
          </c:marker>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800" b="0" i="0" u="none" strike="noStrike" kern="1200" baseline="0">
                    <a:solidFill>
                      <a:schemeClr val="dk1">
                        <a:lumMod val="65000"/>
                        <a:lumOff val="35000"/>
                      </a:schemeClr>
                    </a:solidFill>
                    <a:latin typeface="+mn-lt"/>
                    <a:ea typeface="+mn-ea"/>
                    <a:cs typeface="+mn-cs"/>
                  </a:defRPr>
                </a:pPr>
                <a:endParaRPr lang="vi-VN"/>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extLst>
                <c:ext xmlns:c15="http://schemas.microsoft.com/office/drawing/2012/chart" uri="{02D57815-91ED-43cb-92C2-25804820EDAC}">
                  <c15:fullRef>
                    <c15:sqref>Valuation_Senario!$B$161:$AP$161</c15:sqref>
                  </c15:fullRef>
                </c:ext>
              </c:extLst>
              <c:f>(Valuation_Senario!$B$161:$M$161,Valuation_Senario!$AD$161:$AP$161)</c:f>
              <c:strCache>
                <c:ptCount val="24"/>
                <c:pt idx="0">
                  <c:v>Jan-20</c:v>
                </c:pt>
                <c:pt idx="1">
                  <c:v>Mar-20</c:v>
                </c:pt>
                <c:pt idx="2">
                  <c:v>Apr-20</c:v>
                </c:pt>
                <c:pt idx="3">
                  <c:v>May-20</c:v>
                </c:pt>
                <c:pt idx="4">
                  <c:v>Jun-20</c:v>
                </c:pt>
                <c:pt idx="5">
                  <c:v>Jul-20</c:v>
                </c:pt>
                <c:pt idx="6">
                  <c:v>Aug-20</c:v>
                </c:pt>
                <c:pt idx="7">
                  <c:v>Sep-20</c:v>
                </c:pt>
                <c:pt idx="8">
                  <c:v>Oct-20</c:v>
                </c:pt>
                <c:pt idx="9">
                  <c:v>Nov-20</c:v>
                </c:pt>
                <c:pt idx="10">
                  <c:v>Dec-20</c:v>
                </c:pt>
                <c:pt idx="11">
                  <c:v>Jun-22</c:v>
                </c:pt>
                <c:pt idx="12">
                  <c:v>Jul-22</c:v>
                </c:pt>
                <c:pt idx="13">
                  <c:v>Aug-22</c:v>
                </c:pt>
                <c:pt idx="14">
                  <c:v>Sep-22</c:v>
                </c:pt>
                <c:pt idx="15">
                  <c:v>Oct-22</c:v>
                </c:pt>
                <c:pt idx="16">
                  <c:v>Nov-22</c:v>
                </c:pt>
                <c:pt idx="17">
                  <c:v>Dec-22</c:v>
                </c:pt>
                <c:pt idx="18">
                  <c:v>Thg1&amp;2-23</c:v>
                </c:pt>
                <c:pt idx="19">
                  <c:v>Mar-23</c:v>
                </c:pt>
                <c:pt idx="20">
                  <c:v>Apr-23</c:v>
                </c:pt>
                <c:pt idx="21">
                  <c:v>May-23</c:v>
                </c:pt>
                <c:pt idx="22">
                  <c:v>Jun-23</c:v>
                </c:pt>
                <c:pt idx="23">
                  <c:v>Jul-23</c:v>
                </c:pt>
              </c:strCache>
            </c:strRef>
          </c:cat>
          <c:val>
            <c:numRef>
              <c:extLst>
                <c:ext xmlns:c15="http://schemas.microsoft.com/office/drawing/2012/chart" uri="{02D57815-91ED-43cb-92C2-25804820EDAC}">
                  <c15:fullRef>
                    <c15:sqref>Valuation_Senario!$B$162:$AP$162</c15:sqref>
                  </c15:fullRef>
                </c:ext>
              </c:extLst>
              <c:f>(Valuation_Senario!$B$162:$M$162,Valuation_Senario!$AD$162:$AP$162)</c:f>
              <c:numCache>
                <c:formatCode>_(* #,##0.0_);_(* \(#,##0.0\);_(* "-"??_);_(@_)</c:formatCode>
                <c:ptCount val="24"/>
                <c:pt idx="0">
                  <c:v>1.2872620790629574</c:v>
                </c:pt>
                <c:pt idx="1">
                  <c:v>1.7096522911051211</c:v>
                </c:pt>
                <c:pt idx="2">
                  <c:v>1.4063821070234117</c:v>
                </c:pt>
                <c:pt idx="3">
                  <c:v>1.2798291650634859</c:v>
                </c:pt>
                <c:pt idx="4">
                  <c:v>1.1381620484040693</c:v>
                </c:pt>
                <c:pt idx="5">
                  <c:v>1.178385297013455</c:v>
                </c:pt>
                <c:pt idx="6">
                  <c:v>1.2380671736375171</c:v>
                </c:pt>
                <c:pt idx="7">
                  <c:v>1.1957128651336233</c:v>
                </c:pt>
                <c:pt idx="8">
                  <c:v>1.2125086916742907</c:v>
                </c:pt>
                <c:pt idx="9">
                  <c:v>1.2242249476518106</c:v>
                </c:pt>
                <c:pt idx="10">
                  <c:v>1.2386048150322944</c:v>
                </c:pt>
                <c:pt idx="11">
                  <c:v>1.1494286423430138</c:v>
                </c:pt>
                <c:pt idx="12">
                  <c:v>1.3159359823399552</c:v>
                </c:pt>
                <c:pt idx="13">
                  <c:v>1.36</c:v>
                </c:pt>
                <c:pt idx="14">
                  <c:v>1.37</c:v>
                </c:pt>
                <c:pt idx="15">
                  <c:v>1.37</c:v>
                </c:pt>
                <c:pt idx="16">
                  <c:v>1.3286255787037025</c:v>
                </c:pt>
                <c:pt idx="17">
                  <c:v>1.4358621128472233</c:v>
                </c:pt>
                <c:pt idx="18">
                  <c:v>1.1929352226720649</c:v>
                </c:pt>
                <c:pt idx="19">
                  <c:v>1.3053038674033151</c:v>
                </c:pt>
                <c:pt idx="20">
                  <c:v>1.3527232884727913</c:v>
                </c:pt>
                <c:pt idx="21">
                  <c:v>1.4329073270808907</c:v>
                </c:pt>
                <c:pt idx="22">
                  <c:v>1.5037865102639287</c:v>
                </c:pt>
                <c:pt idx="23">
                  <c:v>1.6410199296600245</c:v>
                </c:pt>
              </c:numCache>
            </c:numRef>
          </c:val>
          <c:smooth val="0"/>
          <c:extLst>
            <c:ext xmlns:c16="http://schemas.microsoft.com/office/drawing/2014/chart" uri="{C3380CC4-5D6E-409C-BE32-E72D297353CC}">
              <c16:uniqueId val="{00000001-6661-46F0-90EF-B99CDB5E4D25}"/>
            </c:ext>
          </c:extLst>
        </c:ser>
        <c:dLbls>
          <c:showLegendKey val="0"/>
          <c:showVal val="0"/>
          <c:showCatName val="0"/>
          <c:showSerName val="0"/>
          <c:showPercent val="0"/>
          <c:showBubbleSize val="0"/>
        </c:dLbls>
        <c:marker val="1"/>
        <c:smooth val="0"/>
        <c:axId val="996762224"/>
        <c:axId val="996763184"/>
        <c:extLst>
          <c:ext xmlns:c15="http://schemas.microsoft.com/office/drawing/2012/chart" uri="{02D57815-91ED-43cb-92C2-25804820EDAC}">
            <c15:filteredLineSeries>
              <c15:ser>
                <c:idx val="1"/>
                <c:order val="1"/>
                <c:tx>
                  <c:strRef>
                    <c:extLst>
                      <c:ext uri="{02D57815-91ED-43cb-92C2-25804820EDAC}">
                        <c15:formulaRef>
                          <c15:sqref>Valuation_Senario!$A$166</c15:sqref>
                        </c15:formulaRef>
                      </c:ext>
                    </c:extLst>
                    <c:strCache>
                      <c:ptCount val="1"/>
                      <c:pt idx="0">
                        <c:v>%YoY</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extLst>
                      <c:ext uri="{02D57815-91ED-43cb-92C2-25804820EDAC}">
                        <c15:fullRef>
                          <c15:sqref>Valuation_Senario!$B$161:$AP$161</c15:sqref>
                        </c15:fullRef>
                        <c15:formulaRef>
                          <c15:sqref>(Valuation_Senario!$B$161:$M$161,Valuation_Senario!$AD$161:$AP$161)</c15:sqref>
                        </c15:formulaRef>
                      </c:ext>
                    </c:extLst>
                    <c:strCache>
                      <c:ptCount val="24"/>
                      <c:pt idx="0">
                        <c:v>Jan-20</c:v>
                      </c:pt>
                      <c:pt idx="1">
                        <c:v>Mar-20</c:v>
                      </c:pt>
                      <c:pt idx="2">
                        <c:v>Apr-20</c:v>
                      </c:pt>
                      <c:pt idx="3">
                        <c:v>May-20</c:v>
                      </c:pt>
                      <c:pt idx="4">
                        <c:v>Jun-20</c:v>
                      </c:pt>
                      <c:pt idx="5">
                        <c:v>Jul-20</c:v>
                      </c:pt>
                      <c:pt idx="6">
                        <c:v>Aug-20</c:v>
                      </c:pt>
                      <c:pt idx="7">
                        <c:v>Sep-20</c:v>
                      </c:pt>
                      <c:pt idx="8">
                        <c:v>Oct-20</c:v>
                      </c:pt>
                      <c:pt idx="9">
                        <c:v>Nov-20</c:v>
                      </c:pt>
                      <c:pt idx="10">
                        <c:v>Dec-20</c:v>
                      </c:pt>
                      <c:pt idx="11">
                        <c:v>Jun-22</c:v>
                      </c:pt>
                      <c:pt idx="12">
                        <c:v>Jul-22</c:v>
                      </c:pt>
                      <c:pt idx="13">
                        <c:v>Aug-22</c:v>
                      </c:pt>
                      <c:pt idx="14">
                        <c:v>Sep-22</c:v>
                      </c:pt>
                      <c:pt idx="15">
                        <c:v>Oct-22</c:v>
                      </c:pt>
                      <c:pt idx="16">
                        <c:v>Nov-22</c:v>
                      </c:pt>
                      <c:pt idx="17">
                        <c:v>Dec-22</c:v>
                      </c:pt>
                      <c:pt idx="18">
                        <c:v>Thg1&amp;2-23</c:v>
                      </c:pt>
                      <c:pt idx="19">
                        <c:v>Mar-23</c:v>
                      </c:pt>
                      <c:pt idx="20">
                        <c:v>Apr-23</c:v>
                      </c:pt>
                      <c:pt idx="21">
                        <c:v>May-23</c:v>
                      </c:pt>
                      <c:pt idx="22">
                        <c:v>Jun-23</c:v>
                      </c:pt>
                      <c:pt idx="23">
                        <c:v>Jul-23</c:v>
                      </c:pt>
                    </c:strCache>
                  </c:strRef>
                </c:cat>
                <c:val>
                  <c:numRef>
                    <c:extLst>
                      <c:ext uri="{02D57815-91ED-43cb-92C2-25804820EDAC}">
                        <c15:fullRef>
                          <c15:sqref>Valuation_Senario!$B$166:$AM$166</c15:sqref>
                        </c15:fullRef>
                        <c15:formulaRef>
                          <c15:sqref>(Valuation_Senario!$B$166:$M$166,Valuation_Senario!$AD$166:$AM$166)</c15:sqref>
                        </c15:formulaRef>
                      </c:ext>
                    </c:extLst>
                    <c:numCache>
                      <c:formatCode>0%</c:formatCode>
                      <c:ptCount val="21"/>
                      <c:pt idx="0">
                        <c:v>-0.15344070278184496</c:v>
                      </c:pt>
                      <c:pt idx="1">
                        <c:v>0.24774780411366959</c:v>
                      </c:pt>
                      <c:pt idx="2">
                        <c:v>-6.2815226717385375E-3</c:v>
                      </c:pt>
                      <c:pt idx="3">
                        <c:v>-0.15760444950026842</c:v>
                      </c:pt>
                      <c:pt idx="4">
                        <c:v>-0.32350799811116304</c:v>
                      </c:pt>
                      <c:pt idx="5">
                        <c:v>-0.23579539117152637</c:v>
                      </c:pt>
                      <c:pt idx="6">
                        <c:v>-0.19395227538692816</c:v>
                      </c:pt>
                      <c:pt idx="7">
                        <c:v>-0.11227362192827639</c:v>
                      </c:pt>
                      <c:pt idx="8">
                        <c:v>-7.5846269390152932E-2</c:v>
                      </c:pt>
                      <c:pt idx="9">
                        <c:v>-7.7484625913172067E-2</c:v>
                      </c:pt>
                      <c:pt idx="10">
                        <c:v>-7.8107441441766512E-2</c:v>
                      </c:pt>
                      <c:pt idx="11">
                        <c:v>-0.21776350390297416</c:v>
                      </c:pt>
                      <c:pt idx="12">
                        <c:v>-0.40251300998431316</c:v>
                      </c:pt>
                      <c:pt idx="14">
                        <c:v>0.37140976094016942</c:v>
                      </c:pt>
                      <c:pt idx="15">
                        <c:v>0.32479000000000013</c:v>
                      </c:pt>
                      <c:pt idx="16">
                        <c:v>0.46409096495621771</c:v>
                      </c:pt>
                      <c:pt idx="17">
                        <c:v>0.65968501704860349</c:v>
                      </c:pt>
                      <c:pt idx="18">
                        <c:v>0.29326413370704874</c:v>
                      </c:pt>
                      <c:pt idx="19">
                        <c:v>0.2958495636908145</c:v>
                      </c:pt>
                      <c:pt idx="20">
                        <c:v>0.3361273777577316</c:v>
                      </c:pt>
                    </c:numCache>
                  </c:numRef>
                </c:val>
                <c:smooth val="0"/>
                <c:extLst>
                  <c:ext xmlns:c16="http://schemas.microsoft.com/office/drawing/2014/chart" uri="{C3380CC4-5D6E-409C-BE32-E72D297353CC}">
                    <c16:uniqueId val="{00000002-6661-46F0-90EF-B99CDB5E4D25}"/>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Valuation_Senario!$A$163</c15:sqref>
                        </c15:formulaRef>
                      </c:ext>
                    </c:extLst>
                    <c:strCache>
                      <c:ptCount val="1"/>
                      <c:pt idx="0">
                        <c:v>%MoM</c:v>
                      </c:pt>
                    </c:strCache>
                  </c:strRef>
                </c:tx>
                <c:spPr>
                  <a:ln w="28575" cap="rnd">
                    <a:solidFill>
                      <a:srgbClr val="FFC000"/>
                    </a:solidFill>
                    <a:round/>
                  </a:ln>
                  <a:effectLst/>
                </c:spPr>
                <c:marker>
                  <c:symbol val="circle"/>
                  <c:size val="5"/>
                  <c:spPr>
                    <a:solidFill>
                      <a:schemeClr val="accent3"/>
                    </a:solidFill>
                    <a:ln w="9525">
                      <a:solidFill>
                        <a:srgbClr val="FFC000"/>
                      </a:solidFill>
                    </a:ln>
                    <a:effectLst/>
                  </c:spPr>
                </c:marker>
                <c:cat>
                  <c:strRef>
                    <c:extLst>
                      <c:ext xmlns:c15="http://schemas.microsoft.com/office/drawing/2012/chart" uri="{02D57815-91ED-43cb-92C2-25804820EDAC}">
                        <c15:fullRef>
                          <c15:sqref>Valuation_Senario!$B$161:$AP$161</c15:sqref>
                        </c15:fullRef>
                        <c15:formulaRef>
                          <c15:sqref>(Valuation_Senario!$B$161:$M$161,Valuation_Senario!$AD$161:$AP$161)</c15:sqref>
                        </c15:formulaRef>
                      </c:ext>
                    </c:extLst>
                    <c:strCache>
                      <c:ptCount val="24"/>
                      <c:pt idx="0">
                        <c:v>Jan-20</c:v>
                      </c:pt>
                      <c:pt idx="1">
                        <c:v>Mar-20</c:v>
                      </c:pt>
                      <c:pt idx="2">
                        <c:v>Apr-20</c:v>
                      </c:pt>
                      <c:pt idx="3">
                        <c:v>May-20</c:v>
                      </c:pt>
                      <c:pt idx="4">
                        <c:v>Jun-20</c:v>
                      </c:pt>
                      <c:pt idx="5">
                        <c:v>Jul-20</c:v>
                      </c:pt>
                      <c:pt idx="6">
                        <c:v>Aug-20</c:v>
                      </c:pt>
                      <c:pt idx="7">
                        <c:v>Sep-20</c:v>
                      </c:pt>
                      <c:pt idx="8">
                        <c:v>Oct-20</c:v>
                      </c:pt>
                      <c:pt idx="9">
                        <c:v>Nov-20</c:v>
                      </c:pt>
                      <c:pt idx="10">
                        <c:v>Dec-20</c:v>
                      </c:pt>
                      <c:pt idx="11">
                        <c:v>Jun-22</c:v>
                      </c:pt>
                      <c:pt idx="12">
                        <c:v>Jul-22</c:v>
                      </c:pt>
                      <c:pt idx="13">
                        <c:v>Aug-22</c:v>
                      </c:pt>
                      <c:pt idx="14">
                        <c:v>Sep-22</c:v>
                      </c:pt>
                      <c:pt idx="15">
                        <c:v>Oct-22</c:v>
                      </c:pt>
                      <c:pt idx="16">
                        <c:v>Nov-22</c:v>
                      </c:pt>
                      <c:pt idx="17">
                        <c:v>Dec-22</c:v>
                      </c:pt>
                      <c:pt idx="18">
                        <c:v>Thg1&amp;2-23</c:v>
                      </c:pt>
                      <c:pt idx="19">
                        <c:v>Mar-23</c:v>
                      </c:pt>
                      <c:pt idx="20">
                        <c:v>Apr-23</c:v>
                      </c:pt>
                      <c:pt idx="21">
                        <c:v>May-23</c:v>
                      </c:pt>
                      <c:pt idx="22">
                        <c:v>Jun-23</c:v>
                      </c:pt>
                      <c:pt idx="23">
                        <c:v>Jul-23</c:v>
                      </c:pt>
                    </c:strCache>
                  </c:strRef>
                </c:cat>
                <c:val>
                  <c:numRef>
                    <c:extLst>
                      <c:ext xmlns:c15="http://schemas.microsoft.com/office/drawing/2012/chart" uri="{02D57815-91ED-43cb-92C2-25804820EDAC}">
                        <c15:fullRef>
                          <c15:sqref>Valuation_Senario!$B$163:$AM$163</c15:sqref>
                        </c15:fullRef>
                        <c15:formulaRef>
                          <c15:sqref>(Valuation_Senario!$B$163:$M$163,Valuation_Senario!$AD$163:$AM$163)</c15:sqref>
                        </c15:formulaRef>
                      </c:ext>
                    </c:extLst>
                    <c:numCache>
                      <c:formatCode>0%</c:formatCode>
                      <c:ptCount val="21"/>
                      <c:pt idx="0">
                        <c:v>-6.4867175254369025E-2</c:v>
                      </c:pt>
                      <c:pt idx="1">
                        <c:v>0.420258885908674</c:v>
                      </c:pt>
                      <c:pt idx="2">
                        <c:v>-0.17738705446689118</c:v>
                      </c:pt>
                      <c:pt idx="3">
                        <c:v>-8.9984749754654758E-2</c:v>
                      </c:pt>
                      <c:pt idx="4">
                        <c:v>-0.11069220840297789</c:v>
                      </c:pt>
                      <c:pt idx="5">
                        <c:v>3.5340528763708745E-2</c:v>
                      </c:pt>
                      <c:pt idx="6">
                        <c:v>5.0647166741915495E-2</c:v>
                      </c:pt>
                      <c:pt idx="7">
                        <c:v>-3.4210024630129121E-2</c:v>
                      </c:pt>
                      <c:pt idx="8">
                        <c:v>1.4046705551495675E-2</c:v>
                      </c:pt>
                      <c:pt idx="9">
                        <c:v>9.6628222609618231E-3</c:v>
                      </c:pt>
                      <c:pt idx="10">
                        <c:v>1.1746098956785467E-2</c:v>
                      </c:pt>
                      <c:pt idx="11">
                        <c:v>6.946838896263019E-2</c:v>
                      </c:pt>
                      <c:pt idx="12">
                        <c:v>0.14486096297159445</c:v>
                      </c:pt>
                      <c:pt idx="13">
                        <c:v>3.3484924989809706E-2</c:v>
                      </c:pt>
                      <c:pt idx="14">
                        <c:v>7.3529411764705621E-3</c:v>
                      </c:pt>
                      <c:pt idx="15">
                        <c:v>0</c:v>
                      </c:pt>
                      <c:pt idx="16">
                        <c:v>-3.0200307515545699E-2</c:v>
                      </c:pt>
                      <c:pt idx="17">
                        <c:v>8.0712381172239667E-2</c:v>
                      </c:pt>
                      <c:pt idx="18">
                        <c:v>-0.1691853890436944</c:v>
                      </c:pt>
                      <c:pt idx="19">
                        <c:v>9.4195093409644493E-2</c:v>
                      </c:pt>
                      <c:pt idx="20">
                        <c:v>3.6328262141603229E-2</c:v>
                      </c:pt>
                    </c:numCache>
                  </c:numRef>
                </c:val>
                <c:smooth val="0"/>
                <c:extLst xmlns:c15="http://schemas.microsoft.com/office/drawing/2012/chart">
                  <c:ext xmlns:c16="http://schemas.microsoft.com/office/drawing/2014/chart" uri="{C3380CC4-5D6E-409C-BE32-E72D297353CC}">
                    <c16:uniqueId val="{00000003-6661-46F0-90EF-B99CDB5E4D25}"/>
                  </c:ext>
                </c:extLst>
              </c15:ser>
            </c15:filteredLineSeries>
          </c:ext>
        </c:extLst>
      </c:lineChart>
      <c:catAx>
        <c:axId val="2129578960"/>
        <c:scaling>
          <c:orientation val="minMax"/>
        </c:scaling>
        <c:delete val="0"/>
        <c:axPos val="b"/>
        <c:numFmt formatCode="General" sourceLinked="1"/>
        <c:majorTickMark val="none"/>
        <c:minorTickMark val="none"/>
        <c:tickLblPos val="low"/>
        <c:spPr>
          <a:noFill/>
          <a:ln w="25400" cap="flat" cmpd="sng" algn="ctr">
            <a:solidFill>
              <a:schemeClr val="tx1"/>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vi-VN"/>
          </a:p>
        </c:txPr>
        <c:crossAx val="2129579376"/>
        <c:crosses val="autoZero"/>
        <c:auto val="1"/>
        <c:lblAlgn val="ctr"/>
        <c:lblOffset val="100"/>
        <c:noMultiLvlLbl val="0"/>
      </c:catAx>
      <c:valAx>
        <c:axId val="2129579376"/>
        <c:scaling>
          <c:orientation val="minMax"/>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vi-VN"/>
          </a:p>
        </c:txPr>
        <c:crossAx val="2129578960"/>
        <c:crosses val="autoZero"/>
        <c:crossBetween val="between"/>
      </c:valAx>
      <c:valAx>
        <c:axId val="996763184"/>
        <c:scaling>
          <c:orientation val="minMax"/>
        </c:scaling>
        <c:delete val="0"/>
        <c:axPos val="r"/>
        <c:numFmt formatCode="_(* #,##0.0_);_(* \(#,##0.0\);_(* &quot;-&quot;?_);_(@_)" sourceLinked="0"/>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vi-VN"/>
          </a:p>
        </c:txPr>
        <c:crossAx val="996762224"/>
        <c:crosses val="max"/>
        <c:crossBetween val="between"/>
      </c:valAx>
      <c:catAx>
        <c:axId val="996762224"/>
        <c:scaling>
          <c:orientation val="minMax"/>
        </c:scaling>
        <c:delete val="1"/>
        <c:axPos val="b"/>
        <c:numFmt formatCode="General" sourceLinked="1"/>
        <c:majorTickMark val="out"/>
        <c:minorTickMark val="none"/>
        <c:tickLblPos val="nextTo"/>
        <c:crossAx val="996763184"/>
        <c:crosses val="autoZero"/>
        <c:auto val="1"/>
        <c:lblAlgn val="ctr"/>
        <c:lblOffset val="100"/>
        <c:noMultiLvlLbl val="0"/>
      </c:catAx>
      <c:spPr>
        <a:noFill/>
        <a:ln>
          <a:noFill/>
        </a:ln>
        <a:effectLst/>
      </c:spPr>
    </c:plotArea>
    <c:legend>
      <c:legendPos val="b"/>
      <c:layout>
        <c:manualLayout>
          <c:xMode val="edge"/>
          <c:yMode val="edge"/>
          <c:x val="0.29692348853479772"/>
          <c:y val="0.93442328401806218"/>
          <c:w val="0.40615302293040467"/>
          <c:h val="6.190811275495349E-2"/>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vi-VN"/>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sz="800"/>
      </a:pPr>
      <a:endParaRPr lang="vi-VN"/>
    </a:p>
  </c:txPr>
  <c:printSettings>
    <c:headerFooter/>
    <c:pageMargins b="0.75" l="0.7" r="0.7" t="0.75" header="0.3" footer="0.3"/>
    <c:pageSetup/>
  </c:printSettings>
  <c:userShapes r:id="rId3"/>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Valuation_Senario!$A$225</c:f>
              <c:strCache>
                <c:ptCount val="1"/>
                <c:pt idx="0">
                  <c:v>FPT Shop</c:v>
                </c:pt>
              </c:strCache>
            </c:strRef>
          </c:tx>
          <c:spPr>
            <a:solidFill>
              <a:schemeClr val="bg1">
                <a:lumMod val="50000"/>
              </a:schemeClr>
            </a:solidFill>
            <a:ln>
              <a:noFill/>
            </a:ln>
            <a:effectLst/>
          </c:spPr>
          <c:invertIfNegative val="0"/>
          <c:cat>
            <c:strRef>
              <c:f>Valuation_Senario!$B$224:$M$224</c:f>
              <c:strCache>
                <c:ptCount val="11"/>
                <c:pt idx="0">
                  <c:v>Q4/2020</c:v>
                </c:pt>
                <c:pt idx="1">
                  <c:v>Q2/2021</c:v>
                </c:pt>
                <c:pt idx="2">
                  <c:v>Q3/2021</c:v>
                </c:pt>
                <c:pt idx="3">
                  <c:v>Q4/2021</c:v>
                </c:pt>
                <c:pt idx="4">
                  <c:v>Q1/2022</c:v>
                </c:pt>
                <c:pt idx="5">
                  <c:v>Q2/2022</c:v>
                </c:pt>
                <c:pt idx="6">
                  <c:v>Q3/2022</c:v>
                </c:pt>
                <c:pt idx="7">
                  <c:v>Q4/2022</c:v>
                </c:pt>
                <c:pt idx="8">
                  <c:v>Q1/2023</c:v>
                </c:pt>
                <c:pt idx="9">
                  <c:v>Q2/2023</c:v>
                </c:pt>
                <c:pt idx="10">
                  <c:v>Q3/2023</c:v>
                </c:pt>
              </c:strCache>
            </c:strRef>
          </c:cat>
          <c:val>
            <c:numRef>
              <c:f>Valuation_Senario!$B$225:$M$225</c:f>
              <c:numCache>
                <c:formatCode>_(* #,##0_);_(* \(#,##0\);_(* "-"??_);_(@_)</c:formatCode>
                <c:ptCount val="11"/>
                <c:pt idx="0">
                  <c:v>41.752107743857437</c:v>
                </c:pt>
                <c:pt idx="1">
                  <c:v>47.732428752293977</c:v>
                </c:pt>
                <c:pt idx="2">
                  <c:v>44.109242998346566</c:v>
                </c:pt>
                <c:pt idx="3">
                  <c:v>63.38017246283836</c:v>
                </c:pt>
                <c:pt idx="4">
                  <c:v>56.263568018223175</c:v>
                </c:pt>
                <c:pt idx="5">
                  <c:v>48.685046859926231</c:v>
                </c:pt>
                <c:pt idx="6">
                  <c:v>46.601414452492058</c:v>
                </c:pt>
                <c:pt idx="7">
                  <c:v>52.491948972179969</c:v>
                </c:pt>
                <c:pt idx="8">
                  <c:v>50.862196186322187</c:v>
                </c:pt>
                <c:pt idx="9">
                  <c:v>42.297474539625902</c:v>
                </c:pt>
                <c:pt idx="10">
                  <c:v>53.639939252735829</c:v>
                </c:pt>
              </c:numCache>
            </c:numRef>
          </c:val>
          <c:extLst>
            <c:ext xmlns:c16="http://schemas.microsoft.com/office/drawing/2014/chart" uri="{C3380CC4-5D6E-409C-BE32-E72D297353CC}">
              <c16:uniqueId val="{00000000-0E62-4617-8AD5-63C753FF21CC}"/>
            </c:ext>
          </c:extLst>
        </c:ser>
        <c:ser>
          <c:idx val="1"/>
          <c:order val="1"/>
          <c:tx>
            <c:strRef>
              <c:f>Valuation_Senario!$A$226</c:f>
              <c:strCache>
                <c:ptCount val="1"/>
                <c:pt idx="0">
                  <c:v>TGDĐ+ĐMX</c:v>
                </c:pt>
              </c:strCache>
            </c:strRef>
          </c:tx>
          <c:spPr>
            <a:solidFill>
              <a:schemeClr val="accent2"/>
            </a:solidFill>
            <a:ln>
              <a:noFill/>
            </a:ln>
            <a:effectLst/>
          </c:spPr>
          <c:invertIfNegative val="0"/>
          <c:cat>
            <c:strRef>
              <c:f>Valuation_Senario!$B$224:$M$224</c:f>
              <c:strCache>
                <c:ptCount val="11"/>
                <c:pt idx="0">
                  <c:v>Q4/2020</c:v>
                </c:pt>
                <c:pt idx="1">
                  <c:v>Q2/2021</c:v>
                </c:pt>
                <c:pt idx="2">
                  <c:v>Q3/2021</c:v>
                </c:pt>
                <c:pt idx="3">
                  <c:v>Q4/2021</c:v>
                </c:pt>
                <c:pt idx="4">
                  <c:v>Q1/2022</c:v>
                </c:pt>
                <c:pt idx="5">
                  <c:v>Q2/2022</c:v>
                </c:pt>
                <c:pt idx="6">
                  <c:v>Q3/2022</c:v>
                </c:pt>
                <c:pt idx="7">
                  <c:v>Q4/2022</c:v>
                </c:pt>
                <c:pt idx="8">
                  <c:v>Q1/2023</c:v>
                </c:pt>
                <c:pt idx="9">
                  <c:v>Q2/2023</c:v>
                </c:pt>
                <c:pt idx="10">
                  <c:v>Q3/2023</c:v>
                </c:pt>
              </c:strCache>
            </c:strRef>
          </c:cat>
          <c:val>
            <c:numRef>
              <c:f>Valuation_Senario!$B$226:$M$226</c:f>
              <c:numCache>
                <c:formatCode>_(* #,##0_);_(* \(#,##0\);_(* "-"??_);_(@_)</c:formatCode>
                <c:ptCount val="11"/>
                <c:pt idx="0">
                  <c:v>87.84502325402147</c:v>
                </c:pt>
                <c:pt idx="1">
                  <c:v>99.991198732998399</c:v>
                </c:pt>
                <c:pt idx="2">
                  <c:v>102.01973205650452</c:v>
                </c:pt>
                <c:pt idx="3">
                  <c:v>120.98819077279971</c:v>
                </c:pt>
                <c:pt idx="4">
                  <c:v>164.32301344034005</c:v>
                </c:pt>
                <c:pt idx="5">
                  <c:v>112.3755102590505</c:v>
                </c:pt>
                <c:pt idx="6">
                  <c:v>105.98205838194741</c:v>
                </c:pt>
                <c:pt idx="7">
                  <c:v>99.544029318368118</c:v>
                </c:pt>
                <c:pt idx="8">
                  <c:v>88.520984229752074</c:v>
                </c:pt>
                <c:pt idx="9">
                  <c:v>96.82797798910002</c:v>
                </c:pt>
                <c:pt idx="10">
                  <c:v>101.42178942214014</c:v>
                </c:pt>
              </c:numCache>
            </c:numRef>
          </c:val>
          <c:extLst>
            <c:ext xmlns:c16="http://schemas.microsoft.com/office/drawing/2014/chart" uri="{C3380CC4-5D6E-409C-BE32-E72D297353CC}">
              <c16:uniqueId val="{00000001-0E62-4617-8AD5-63C753FF21CC}"/>
            </c:ext>
          </c:extLst>
        </c:ser>
        <c:dLbls>
          <c:showLegendKey val="0"/>
          <c:showVal val="0"/>
          <c:showCatName val="0"/>
          <c:showSerName val="0"/>
          <c:showPercent val="0"/>
          <c:showBubbleSize val="0"/>
        </c:dLbls>
        <c:gapWidth val="219"/>
        <c:overlap val="-27"/>
        <c:axId val="1996622432"/>
        <c:axId val="1998939456"/>
      </c:barChart>
      <c:catAx>
        <c:axId val="1996622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vi-VN"/>
          </a:p>
        </c:txPr>
        <c:crossAx val="1998939456"/>
        <c:crosses val="autoZero"/>
        <c:auto val="1"/>
        <c:lblAlgn val="ctr"/>
        <c:lblOffset val="100"/>
        <c:noMultiLvlLbl val="0"/>
      </c:catAx>
      <c:valAx>
        <c:axId val="1998939456"/>
        <c:scaling>
          <c:orientation val="minMax"/>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vi-VN"/>
          </a:p>
        </c:txPr>
        <c:crossAx val="19966224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vi-V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vi-VN"/>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Valuation_Senario!$A$228:$B$228</c:f>
              <c:strCache>
                <c:ptCount val="2"/>
                <c:pt idx="0">
                  <c:v>DTT (%YoY)</c:v>
                </c:pt>
                <c:pt idx="1">
                  <c:v>TGDĐ+ĐMX</c:v>
                </c:pt>
              </c:strCache>
            </c:strRef>
          </c:tx>
          <c:spPr>
            <a:solidFill>
              <a:schemeClr val="accent1"/>
            </a:solidFill>
            <a:ln>
              <a:noFill/>
            </a:ln>
            <a:effectLst/>
          </c:spPr>
          <c:invertIfNegative val="0"/>
          <c:cat>
            <c:strRef>
              <c:f>Valuation_Senario!$C$227:$N$227</c:f>
              <c:strCache>
                <c:ptCount val="11"/>
                <c:pt idx="0">
                  <c:v> Q1/2021 </c:v>
                </c:pt>
                <c:pt idx="1">
                  <c:v> Q2/2021 </c:v>
                </c:pt>
                <c:pt idx="2">
                  <c:v> Q3/2021 </c:v>
                </c:pt>
                <c:pt idx="3">
                  <c:v> Q4/2021 </c:v>
                </c:pt>
                <c:pt idx="4">
                  <c:v> Q1/2022 </c:v>
                </c:pt>
                <c:pt idx="5">
                  <c:v> Q2/2022 </c:v>
                </c:pt>
                <c:pt idx="6">
                  <c:v> Q3/2022 </c:v>
                </c:pt>
                <c:pt idx="7">
                  <c:v> Q4/2022 </c:v>
                </c:pt>
                <c:pt idx="8">
                  <c:v> Q1/2023 </c:v>
                </c:pt>
                <c:pt idx="9">
                  <c:v> Q2/2023 </c:v>
                </c:pt>
                <c:pt idx="10">
                  <c:v> Q3/2023 </c:v>
                </c:pt>
              </c:strCache>
            </c:strRef>
          </c:cat>
          <c:val>
            <c:numRef>
              <c:f>Valuation_Senario!$C$228:$N$228</c:f>
              <c:numCache>
                <c:formatCode>0%</c:formatCode>
                <c:ptCount val="11"/>
                <c:pt idx="0">
                  <c:v>6.193389740991595E-4</c:v>
                </c:pt>
                <c:pt idx="1">
                  <c:v>0.12813136495978417</c:v>
                </c:pt>
                <c:pt idx="2">
                  <c:v>-0.25289017182399476</c:v>
                </c:pt>
                <c:pt idx="3">
                  <c:v>0.44458941887054637</c:v>
                </c:pt>
                <c:pt idx="4">
                  <c:v>0.19860229155096731</c:v>
                </c:pt>
                <c:pt idx="5">
                  <c:v>0.10855815273297065</c:v>
                </c:pt>
                <c:pt idx="6">
                  <c:v>0.53956898506432993</c:v>
                </c:pt>
                <c:pt idx="7">
                  <c:v>-0.29223098832605809</c:v>
                </c:pt>
                <c:pt idx="8">
                  <c:v>-0.33109041036465114</c:v>
                </c:pt>
                <c:pt idx="9">
                  <c:v>-0.18856965885597676</c:v>
                </c:pt>
                <c:pt idx="10">
                  <c:v>-0.10440874700284175</c:v>
                </c:pt>
              </c:numCache>
            </c:numRef>
          </c:val>
          <c:extLst>
            <c:ext xmlns:c16="http://schemas.microsoft.com/office/drawing/2014/chart" uri="{C3380CC4-5D6E-409C-BE32-E72D297353CC}">
              <c16:uniqueId val="{00000000-AE3A-4B43-9F94-40C938A8ABFC}"/>
            </c:ext>
          </c:extLst>
        </c:ser>
        <c:ser>
          <c:idx val="1"/>
          <c:order val="1"/>
          <c:tx>
            <c:strRef>
              <c:f>Valuation_Senario!$A$229:$B$229</c:f>
              <c:strCache>
                <c:ptCount val="2"/>
                <c:pt idx="0">
                  <c:v>DTT (%YoY)</c:v>
                </c:pt>
                <c:pt idx="1">
                  <c:v>FPT Shop</c:v>
                </c:pt>
              </c:strCache>
            </c:strRef>
          </c:tx>
          <c:spPr>
            <a:solidFill>
              <a:schemeClr val="bg1">
                <a:lumMod val="65000"/>
              </a:schemeClr>
            </a:solidFill>
            <a:ln>
              <a:noFill/>
            </a:ln>
            <a:effectLst/>
          </c:spPr>
          <c:invertIfNegative val="0"/>
          <c:cat>
            <c:strRef>
              <c:f>Valuation_Senario!$C$227:$N$227</c:f>
              <c:strCache>
                <c:ptCount val="11"/>
                <c:pt idx="0">
                  <c:v> Q1/2021 </c:v>
                </c:pt>
                <c:pt idx="1">
                  <c:v> Q2/2021 </c:v>
                </c:pt>
                <c:pt idx="2">
                  <c:v> Q3/2021 </c:v>
                </c:pt>
                <c:pt idx="3">
                  <c:v> Q4/2021 </c:v>
                </c:pt>
                <c:pt idx="4">
                  <c:v> Q1/2022 </c:v>
                </c:pt>
                <c:pt idx="5">
                  <c:v> Q2/2022 </c:v>
                </c:pt>
                <c:pt idx="6">
                  <c:v> Q3/2022 </c:v>
                </c:pt>
                <c:pt idx="7">
                  <c:v> Q4/2022 </c:v>
                </c:pt>
                <c:pt idx="8">
                  <c:v> Q1/2023 </c:v>
                </c:pt>
                <c:pt idx="9">
                  <c:v> Q2/2023 </c:v>
                </c:pt>
                <c:pt idx="10">
                  <c:v> Q3/2023 </c:v>
                </c:pt>
              </c:strCache>
            </c:strRef>
          </c:cat>
          <c:val>
            <c:numRef>
              <c:f>Valuation_Senario!$C$229:$N$229</c:f>
              <c:numCache>
                <c:formatCode>0%</c:formatCode>
                <c:ptCount val="11"/>
                <c:pt idx="0">
                  <c:v>5.9417364961038333E-2</c:v>
                </c:pt>
                <c:pt idx="1">
                  <c:v>0.21338261101257561</c:v>
                </c:pt>
                <c:pt idx="2">
                  <c:v>0.22425275607897222</c:v>
                </c:pt>
                <c:pt idx="3">
                  <c:v>0.99810183648798145</c:v>
                </c:pt>
                <c:pt idx="4">
                  <c:v>0.38259978738963007</c:v>
                </c:pt>
                <c:pt idx="5">
                  <c:v>0.2213346037201056</c:v>
                </c:pt>
                <c:pt idx="6">
                  <c:v>0.35494764527273537</c:v>
                </c:pt>
                <c:pt idx="7">
                  <c:v>-0.22537869027817414</c:v>
                </c:pt>
                <c:pt idx="8">
                  <c:v>-0.20062683870793718</c:v>
                </c:pt>
                <c:pt idx="9">
                  <c:v>-0.18112517567074204</c:v>
                </c:pt>
                <c:pt idx="10">
                  <c:v>-0.2084865490884571</c:v>
                </c:pt>
              </c:numCache>
            </c:numRef>
          </c:val>
          <c:extLst>
            <c:ext xmlns:c16="http://schemas.microsoft.com/office/drawing/2014/chart" uri="{C3380CC4-5D6E-409C-BE32-E72D297353CC}">
              <c16:uniqueId val="{00000001-AE3A-4B43-9F94-40C938A8ABFC}"/>
            </c:ext>
          </c:extLst>
        </c:ser>
        <c:dLbls>
          <c:showLegendKey val="0"/>
          <c:showVal val="0"/>
          <c:showCatName val="0"/>
          <c:showSerName val="0"/>
          <c:showPercent val="0"/>
          <c:showBubbleSize val="0"/>
        </c:dLbls>
        <c:gapWidth val="219"/>
        <c:axId val="516825360"/>
        <c:axId val="20276752"/>
      </c:barChart>
      <c:lineChart>
        <c:grouping val="standard"/>
        <c:varyColors val="0"/>
        <c:ser>
          <c:idx val="2"/>
          <c:order val="2"/>
          <c:tx>
            <c:strRef>
              <c:f>Valuation_Senario!$A$230:$B$230</c:f>
              <c:strCache>
                <c:ptCount val="2"/>
                <c:pt idx="0">
                  <c:v>BLNHĐ (%)</c:v>
                </c:pt>
                <c:pt idx="1">
                  <c:v>TGDĐ+ĐMX</c:v>
                </c:pt>
              </c:strCache>
            </c:strRef>
          </c:tx>
          <c:spPr>
            <a:ln w="28575" cap="rnd">
              <a:solidFill>
                <a:schemeClr val="accent1"/>
              </a:solidFill>
              <a:round/>
            </a:ln>
            <a:effectLst/>
          </c:spPr>
          <c:marker>
            <c:symbol val="none"/>
          </c:marker>
          <c:cat>
            <c:strRef>
              <c:f>Valuation_Senario!$C$227:$N$227</c:f>
              <c:strCache>
                <c:ptCount val="11"/>
                <c:pt idx="0">
                  <c:v> Q1/2021 </c:v>
                </c:pt>
                <c:pt idx="1">
                  <c:v> Q2/2021 </c:v>
                </c:pt>
                <c:pt idx="2">
                  <c:v> Q3/2021 </c:v>
                </c:pt>
                <c:pt idx="3">
                  <c:v> Q4/2021 </c:v>
                </c:pt>
                <c:pt idx="4">
                  <c:v> Q1/2022 </c:v>
                </c:pt>
                <c:pt idx="5">
                  <c:v> Q2/2022 </c:v>
                </c:pt>
                <c:pt idx="6">
                  <c:v> Q3/2022 </c:v>
                </c:pt>
                <c:pt idx="7">
                  <c:v> Q4/2022 </c:v>
                </c:pt>
                <c:pt idx="8">
                  <c:v> Q1/2023 </c:v>
                </c:pt>
                <c:pt idx="9">
                  <c:v> Q2/2023 </c:v>
                </c:pt>
                <c:pt idx="10">
                  <c:v> Q3/2023 </c:v>
                </c:pt>
              </c:strCache>
            </c:strRef>
          </c:cat>
          <c:val>
            <c:numRef>
              <c:f>Valuation_Senario!$C$230:$N$230</c:f>
              <c:numCache>
                <c:formatCode>0.0%</c:formatCode>
                <c:ptCount val="11"/>
                <c:pt idx="0">
                  <c:v>7.889166565501414E-2</c:v>
                </c:pt>
                <c:pt idx="1">
                  <c:v>7.033936144404572E-2</c:v>
                </c:pt>
                <c:pt idx="2">
                  <c:v>4.8483924286100467E-2</c:v>
                </c:pt>
                <c:pt idx="3">
                  <c:v>5.4220179427037538E-2</c:v>
                </c:pt>
                <c:pt idx="4">
                  <c:v>6.9991667787158152E-2</c:v>
                </c:pt>
                <c:pt idx="5">
                  <c:v>9.4553056068048091E-2</c:v>
                </c:pt>
                <c:pt idx="6">
                  <c:v>9.779761072873254E-2</c:v>
                </c:pt>
                <c:pt idx="7">
                  <c:v>6.10978994488105E-2</c:v>
                </c:pt>
                <c:pt idx="8">
                  <c:v>2.5092371304837876E-2</c:v>
                </c:pt>
                <c:pt idx="9">
                  <c:v>1.2541239863235139E-2</c:v>
                </c:pt>
                <c:pt idx="10">
                  <c:v>1.6954626688868785E-2</c:v>
                </c:pt>
              </c:numCache>
            </c:numRef>
          </c:val>
          <c:smooth val="0"/>
          <c:extLst>
            <c:ext xmlns:c16="http://schemas.microsoft.com/office/drawing/2014/chart" uri="{C3380CC4-5D6E-409C-BE32-E72D297353CC}">
              <c16:uniqueId val="{00000002-AE3A-4B43-9F94-40C938A8ABFC}"/>
            </c:ext>
          </c:extLst>
        </c:ser>
        <c:ser>
          <c:idx val="3"/>
          <c:order val="3"/>
          <c:tx>
            <c:strRef>
              <c:f>Valuation_Senario!$A$231:$B$231</c:f>
              <c:strCache>
                <c:ptCount val="2"/>
                <c:pt idx="0">
                  <c:v>BLNHĐ (%)</c:v>
                </c:pt>
                <c:pt idx="1">
                  <c:v>FPT Shop</c:v>
                </c:pt>
              </c:strCache>
            </c:strRef>
          </c:tx>
          <c:spPr>
            <a:ln w="28575" cap="rnd">
              <a:solidFill>
                <a:schemeClr val="bg1">
                  <a:lumMod val="65000"/>
                </a:schemeClr>
              </a:solidFill>
              <a:round/>
            </a:ln>
            <a:effectLst/>
          </c:spPr>
          <c:marker>
            <c:symbol val="none"/>
          </c:marker>
          <c:cat>
            <c:strRef>
              <c:f>Valuation_Senario!$C$227:$N$227</c:f>
              <c:strCache>
                <c:ptCount val="11"/>
                <c:pt idx="0">
                  <c:v> Q1/2021 </c:v>
                </c:pt>
                <c:pt idx="1">
                  <c:v> Q2/2021 </c:v>
                </c:pt>
                <c:pt idx="2">
                  <c:v> Q3/2021 </c:v>
                </c:pt>
                <c:pt idx="3">
                  <c:v> Q4/2021 </c:v>
                </c:pt>
                <c:pt idx="4">
                  <c:v> Q1/2022 </c:v>
                </c:pt>
                <c:pt idx="5">
                  <c:v> Q2/2022 </c:v>
                </c:pt>
                <c:pt idx="6">
                  <c:v> Q3/2022 </c:v>
                </c:pt>
                <c:pt idx="7">
                  <c:v> Q4/2022 </c:v>
                </c:pt>
                <c:pt idx="8">
                  <c:v> Q1/2023 </c:v>
                </c:pt>
                <c:pt idx="9">
                  <c:v> Q2/2023 </c:v>
                </c:pt>
                <c:pt idx="10">
                  <c:v> Q3/2023 </c:v>
                </c:pt>
              </c:strCache>
            </c:strRef>
          </c:cat>
          <c:val>
            <c:numRef>
              <c:f>Valuation_Senario!$C$231:$N$231</c:f>
              <c:numCache>
                <c:formatCode>0.0%</c:formatCode>
                <c:ptCount val="11"/>
                <c:pt idx="0">
                  <c:v>7.3759602232860702E-3</c:v>
                </c:pt>
                <c:pt idx="1">
                  <c:v>4.1671551796168957E-3</c:v>
                </c:pt>
                <c:pt idx="2">
                  <c:v>1.0125596886221732E-2</c:v>
                </c:pt>
                <c:pt idx="3">
                  <c:v>5.4655318135617796E-2</c:v>
                </c:pt>
                <c:pt idx="4">
                  <c:v>2.8356067275638289E-2</c:v>
                </c:pt>
                <c:pt idx="5">
                  <c:v>1.1685653675396035E-2</c:v>
                </c:pt>
                <c:pt idx="6">
                  <c:v>1.8415952850667033E-2</c:v>
                </c:pt>
                <c:pt idx="7">
                  <c:v>1.9067260072091669E-2</c:v>
                </c:pt>
                <c:pt idx="8">
                  <c:v>-9.0734072251221383E-3</c:v>
                </c:pt>
                <c:pt idx="9">
                  <c:v>-6.2238845171723088E-2</c:v>
                </c:pt>
                <c:pt idx="10">
                  <c:v>-1.440332466277236E-2</c:v>
                </c:pt>
              </c:numCache>
            </c:numRef>
          </c:val>
          <c:smooth val="0"/>
          <c:extLst>
            <c:ext xmlns:c16="http://schemas.microsoft.com/office/drawing/2014/chart" uri="{C3380CC4-5D6E-409C-BE32-E72D297353CC}">
              <c16:uniqueId val="{00000003-AE3A-4B43-9F94-40C938A8ABFC}"/>
            </c:ext>
          </c:extLst>
        </c:ser>
        <c:dLbls>
          <c:showLegendKey val="0"/>
          <c:showVal val="0"/>
          <c:showCatName val="0"/>
          <c:showSerName val="0"/>
          <c:showPercent val="0"/>
          <c:showBubbleSize val="0"/>
        </c:dLbls>
        <c:marker val="1"/>
        <c:smooth val="0"/>
        <c:axId val="23418336"/>
        <c:axId val="519318448"/>
      </c:lineChart>
      <c:catAx>
        <c:axId val="516825360"/>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vi-VN"/>
          </a:p>
        </c:txPr>
        <c:crossAx val="20276752"/>
        <c:crosses val="autoZero"/>
        <c:auto val="1"/>
        <c:lblAlgn val="ctr"/>
        <c:lblOffset val="100"/>
        <c:noMultiLvlLbl val="0"/>
      </c:catAx>
      <c:valAx>
        <c:axId val="2027675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vi-VN"/>
          </a:p>
        </c:txPr>
        <c:crossAx val="516825360"/>
        <c:crosses val="autoZero"/>
        <c:crossBetween val="between"/>
      </c:valAx>
      <c:valAx>
        <c:axId val="519318448"/>
        <c:scaling>
          <c:orientation val="minMax"/>
        </c:scaling>
        <c:delete val="0"/>
        <c:axPos val="r"/>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vi-VN"/>
          </a:p>
        </c:txPr>
        <c:crossAx val="23418336"/>
        <c:crosses val="max"/>
        <c:crossBetween val="between"/>
      </c:valAx>
      <c:catAx>
        <c:axId val="23418336"/>
        <c:scaling>
          <c:orientation val="minMax"/>
        </c:scaling>
        <c:delete val="1"/>
        <c:axPos val="b"/>
        <c:numFmt formatCode="General" sourceLinked="1"/>
        <c:majorTickMark val="out"/>
        <c:minorTickMark val="none"/>
        <c:tickLblPos val="nextTo"/>
        <c:crossAx val="519318448"/>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vi-VN"/>
        </a:p>
      </c:txPr>
    </c:legend>
    <c:plotVisOnly val="1"/>
    <c:dispBlanksAs val="gap"/>
    <c:showDLblsOverMax val="0"/>
  </c:chart>
  <c:spPr>
    <a:solidFill>
      <a:schemeClr val="bg1"/>
    </a:solidFill>
    <a:ln w="9525" cap="flat" cmpd="sng" algn="ctr">
      <a:noFill/>
      <a:round/>
    </a:ln>
    <a:effectLst/>
  </c:spPr>
  <c:txPr>
    <a:bodyPr/>
    <a:lstStyle/>
    <a:p>
      <a:pPr>
        <a:defRPr/>
      </a:pPr>
      <a:endParaRPr lang="vi-VN"/>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5555843292447666E-2"/>
          <c:y val="0.30819141497139152"/>
          <c:w val="0.87785974304936565"/>
          <c:h val="0.43768868899538366"/>
        </c:manualLayout>
      </c:layout>
      <c:barChart>
        <c:barDir val="col"/>
        <c:grouping val="clustered"/>
        <c:varyColors val="0"/>
        <c:ser>
          <c:idx val="3"/>
          <c:order val="3"/>
          <c:tx>
            <c:strRef>
              <c:f>Valuation_Senario!$A$164</c:f>
              <c:strCache>
                <c:ptCount val="1"/>
                <c:pt idx="0">
                  <c:v> SLCH_RHS </c:v>
                </c:pt>
              </c:strCache>
            </c:strRef>
          </c:tx>
          <c:spPr>
            <a:solidFill>
              <a:schemeClr val="accent4"/>
            </a:solidFill>
            <a:ln>
              <a:noFill/>
            </a:ln>
            <a:effectLst/>
          </c:spPr>
          <c:invertIfNegative val="0"/>
          <c:dPt>
            <c:idx val="29"/>
            <c:invertIfNegative val="0"/>
            <c:bubble3D val="0"/>
            <c:spPr>
              <a:solidFill>
                <a:schemeClr val="accent4"/>
              </a:solidFill>
              <a:ln w="12700">
                <a:solidFill>
                  <a:schemeClr val="accent2"/>
                </a:solidFill>
                <a:prstDash val="sysDot"/>
              </a:ln>
              <a:effectLst/>
            </c:spPr>
            <c:extLst>
              <c:ext xmlns:c16="http://schemas.microsoft.com/office/drawing/2014/chart" uri="{C3380CC4-5D6E-409C-BE32-E72D297353CC}">
                <c16:uniqueId val="{00000001-4394-43F4-A2B5-0663DB1D9719}"/>
              </c:ext>
            </c:extLst>
          </c:dPt>
          <c:dPt>
            <c:idx val="30"/>
            <c:invertIfNegative val="0"/>
            <c:bubble3D val="0"/>
            <c:spPr>
              <a:solidFill>
                <a:schemeClr val="accent4"/>
              </a:solidFill>
              <a:ln w="12700">
                <a:solidFill>
                  <a:schemeClr val="accent2"/>
                </a:solidFill>
                <a:prstDash val="sysDot"/>
              </a:ln>
              <a:effectLst/>
            </c:spPr>
            <c:extLst>
              <c:ext xmlns:c16="http://schemas.microsoft.com/office/drawing/2014/chart" uri="{C3380CC4-5D6E-409C-BE32-E72D297353CC}">
                <c16:uniqueId val="{00000003-4394-43F4-A2B5-0663DB1D9719}"/>
              </c:ext>
            </c:extLst>
          </c:dPt>
          <c:cat>
            <c:strRef>
              <c:f>Valuation_Senario!$S$161:$AW$161</c:f>
              <c:strCache>
                <c:ptCount val="31"/>
                <c:pt idx="0">
                  <c:v>Jun-21</c:v>
                </c:pt>
                <c:pt idx="1">
                  <c:v>Jul-21</c:v>
                </c:pt>
                <c:pt idx="2">
                  <c:v>Aug-21</c:v>
                </c:pt>
                <c:pt idx="3">
                  <c:v>Sep-21</c:v>
                </c:pt>
                <c:pt idx="4">
                  <c:v>Oct-21</c:v>
                </c:pt>
                <c:pt idx="5">
                  <c:v>Nov-21</c:v>
                </c:pt>
                <c:pt idx="6">
                  <c:v>Dec-21</c:v>
                </c:pt>
                <c:pt idx="7">
                  <c:v>Thg1&amp;2-22</c:v>
                </c:pt>
                <c:pt idx="8">
                  <c:v>Mar-22</c:v>
                </c:pt>
                <c:pt idx="9">
                  <c:v>Apr-22</c:v>
                </c:pt>
                <c:pt idx="10">
                  <c:v>May-22</c:v>
                </c:pt>
                <c:pt idx="11">
                  <c:v>Jun-22</c:v>
                </c:pt>
                <c:pt idx="12">
                  <c:v>Jul-22</c:v>
                </c:pt>
                <c:pt idx="13">
                  <c:v>Aug-22</c:v>
                </c:pt>
                <c:pt idx="14">
                  <c:v>Sep-22</c:v>
                </c:pt>
                <c:pt idx="15">
                  <c:v>Oct-22</c:v>
                </c:pt>
                <c:pt idx="16">
                  <c:v>Nov-22</c:v>
                </c:pt>
                <c:pt idx="17">
                  <c:v>Dec-22</c:v>
                </c:pt>
                <c:pt idx="18">
                  <c:v>Thg1&amp;2-23</c:v>
                </c:pt>
                <c:pt idx="19">
                  <c:v>Mar-23</c:v>
                </c:pt>
                <c:pt idx="20">
                  <c:v>Apr-23</c:v>
                </c:pt>
                <c:pt idx="21">
                  <c:v>May-23</c:v>
                </c:pt>
                <c:pt idx="22">
                  <c:v>Jun-23</c:v>
                </c:pt>
                <c:pt idx="23">
                  <c:v>Jul-23</c:v>
                </c:pt>
                <c:pt idx="24">
                  <c:v>Aug-23</c:v>
                </c:pt>
                <c:pt idx="25">
                  <c:v>Sep-23</c:v>
                </c:pt>
                <c:pt idx="26">
                  <c:v>Oct-23</c:v>
                </c:pt>
                <c:pt idx="28">
                  <c:v>2022</c:v>
                </c:pt>
                <c:pt idx="29">
                  <c:v>2023e</c:v>
                </c:pt>
                <c:pt idx="30">
                  <c:v>2024f</c:v>
                </c:pt>
              </c:strCache>
            </c:strRef>
          </c:cat>
          <c:val>
            <c:numRef>
              <c:f>Valuation_Senario!$S$164:$AW$164</c:f>
              <c:numCache>
                <c:formatCode>_(* #,##0_);_(* \(#,##0\);_(* "-"??_);_(@_)</c:formatCode>
                <c:ptCount val="31"/>
                <c:pt idx="0">
                  <c:v>1888</c:v>
                </c:pt>
                <c:pt idx="1">
                  <c:v>1919</c:v>
                </c:pt>
                <c:pt idx="2">
                  <c:v>1928</c:v>
                </c:pt>
                <c:pt idx="3">
                  <c:v>1934</c:v>
                </c:pt>
                <c:pt idx="4">
                  <c:v>1934</c:v>
                </c:pt>
                <c:pt idx="5">
                  <c:v>2026</c:v>
                </c:pt>
                <c:pt idx="6">
                  <c:v>2106</c:v>
                </c:pt>
                <c:pt idx="7">
                  <c:v>2122</c:v>
                </c:pt>
                <c:pt idx="8">
                  <c:v>2127</c:v>
                </c:pt>
                <c:pt idx="9">
                  <c:v>2140</c:v>
                </c:pt>
                <c:pt idx="10">
                  <c:v>2140</c:v>
                </c:pt>
                <c:pt idx="11">
                  <c:v>1889</c:v>
                </c:pt>
                <c:pt idx="12">
                  <c:v>1735</c:v>
                </c:pt>
                <c:pt idx="13">
                  <c:v>1726</c:v>
                </c:pt>
                <c:pt idx="14">
                  <c:v>1728</c:v>
                </c:pt>
                <c:pt idx="15">
                  <c:v>1728</c:v>
                </c:pt>
                <c:pt idx="16">
                  <c:v>1728</c:v>
                </c:pt>
                <c:pt idx="17">
                  <c:v>1728</c:v>
                </c:pt>
                <c:pt idx="18">
                  <c:v>1729</c:v>
                </c:pt>
                <c:pt idx="19">
                  <c:v>1710</c:v>
                </c:pt>
                <c:pt idx="20">
                  <c:v>1708</c:v>
                </c:pt>
                <c:pt idx="21">
                  <c:v>1704</c:v>
                </c:pt>
                <c:pt idx="22">
                  <c:v>1706</c:v>
                </c:pt>
                <c:pt idx="23">
                  <c:v>1706</c:v>
                </c:pt>
                <c:pt idx="24">
                  <c:v>1706</c:v>
                </c:pt>
                <c:pt idx="25">
                  <c:v>1706</c:v>
                </c:pt>
                <c:pt idx="26">
                  <c:v>1706</c:v>
                </c:pt>
                <c:pt idx="28">
                  <c:v>1728</c:v>
                </c:pt>
                <c:pt idx="29">
                  <c:v>1698</c:v>
                </c:pt>
                <c:pt idx="30">
                  <c:v>1770</c:v>
                </c:pt>
              </c:numCache>
            </c:numRef>
          </c:val>
          <c:extLst>
            <c:ext xmlns:c16="http://schemas.microsoft.com/office/drawing/2014/chart" uri="{C3380CC4-5D6E-409C-BE32-E72D297353CC}">
              <c16:uniqueId val="{00000004-4394-43F4-A2B5-0663DB1D9719}"/>
            </c:ext>
          </c:extLst>
        </c:ser>
        <c:dLbls>
          <c:showLegendKey val="0"/>
          <c:showVal val="0"/>
          <c:showCatName val="0"/>
          <c:showSerName val="0"/>
          <c:showPercent val="0"/>
          <c:showBubbleSize val="0"/>
        </c:dLbls>
        <c:gapWidth val="219"/>
        <c:axId val="2129578960"/>
        <c:axId val="2129579376"/>
      </c:barChart>
      <c:lineChart>
        <c:grouping val="standard"/>
        <c:varyColors val="0"/>
        <c:ser>
          <c:idx val="0"/>
          <c:order val="0"/>
          <c:tx>
            <c:strRef>
              <c:f>Valuation_Senario!$A$162</c:f>
              <c:strCache>
                <c:ptCount val="1"/>
                <c:pt idx="0">
                  <c:v> DT/CH (tỷ VND/tháng)_LHS </c:v>
                </c:pt>
              </c:strCache>
            </c:strRef>
          </c:tx>
          <c:spPr>
            <a:ln w="28575" cap="rnd">
              <a:solidFill>
                <a:schemeClr val="bg1">
                  <a:lumMod val="50000"/>
                </a:schemeClr>
              </a:solidFill>
              <a:round/>
            </a:ln>
            <a:effectLst/>
          </c:spPr>
          <c:marker>
            <c:symbol val="none"/>
          </c:marker>
          <c:dPt>
            <c:idx val="28"/>
            <c:marker>
              <c:symbol val="none"/>
            </c:marker>
            <c:bubble3D val="0"/>
            <c:spPr>
              <a:ln w="28575" cap="rnd">
                <a:noFill/>
                <a:round/>
              </a:ln>
              <a:effectLst/>
            </c:spPr>
            <c:extLst>
              <c:ext xmlns:c16="http://schemas.microsoft.com/office/drawing/2014/chart" uri="{C3380CC4-5D6E-409C-BE32-E72D297353CC}">
                <c16:uniqueId val="{00000006-4394-43F4-A2B5-0663DB1D9719}"/>
              </c:ext>
            </c:extLst>
          </c:dPt>
          <c:dPt>
            <c:idx val="29"/>
            <c:marker>
              <c:symbol val="none"/>
            </c:marker>
            <c:bubble3D val="0"/>
            <c:spPr>
              <a:ln w="28575" cap="rnd">
                <a:solidFill>
                  <a:schemeClr val="bg1">
                    <a:lumMod val="50000"/>
                  </a:schemeClr>
                </a:solidFill>
                <a:prstDash val="sysDot"/>
                <a:round/>
              </a:ln>
              <a:effectLst/>
            </c:spPr>
            <c:extLst>
              <c:ext xmlns:c16="http://schemas.microsoft.com/office/drawing/2014/chart" uri="{C3380CC4-5D6E-409C-BE32-E72D297353CC}">
                <c16:uniqueId val="{00000008-4394-43F4-A2B5-0663DB1D9719}"/>
              </c:ext>
            </c:extLst>
          </c:dPt>
          <c:dPt>
            <c:idx val="30"/>
            <c:marker>
              <c:symbol val="none"/>
            </c:marker>
            <c:bubble3D val="0"/>
            <c:spPr>
              <a:ln w="28575" cap="rnd">
                <a:solidFill>
                  <a:schemeClr val="bg1">
                    <a:lumMod val="50000"/>
                  </a:schemeClr>
                </a:solidFill>
                <a:prstDash val="sysDot"/>
                <a:round/>
              </a:ln>
              <a:effectLst/>
            </c:spPr>
            <c:extLst>
              <c:ext xmlns:c16="http://schemas.microsoft.com/office/drawing/2014/chart" uri="{C3380CC4-5D6E-409C-BE32-E72D297353CC}">
                <c16:uniqueId val="{0000000A-4394-43F4-A2B5-0663DB1D9719}"/>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800" b="0" i="0" u="none" strike="noStrike" kern="1200" baseline="0">
                    <a:solidFill>
                      <a:schemeClr val="dk1">
                        <a:lumMod val="65000"/>
                        <a:lumOff val="35000"/>
                      </a:schemeClr>
                    </a:solidFill>
                    <a:latin typeface="+mn-lt"/>
                    <a:ea typeface="+mn-ea"/>
                    <a:cs typeface="+mn-cs"/>
                  </a:defRPr>
                </a:pPr>
                <a:endParaRPr lang="vi-VN"/>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Valuation_Senario!$S$161:$AW$161</c:f>
              <c:strCache>
                <c:ptCount val="31"/>
                <c:pt idx="0">
                  <c:v>Jun-21</c:v>
                </c:pt>
                <c:pt idx="1">
                  <c:v>Jul-21</c:v>
                </c:pt>
                <c:pt idx="2">
                  <c:v>Aug-21</c:v>
                </c:pt>
                <c:pt idx="3">
                  <c:v>Sep-21</c:v>
                </c:pt>
                <c:pt idx="4">
                  <c:v>Oct-21</c:v>
                </c:pt>
                <c:pt idx="5">
                  <c:v>Nov-21</c:v>
                </c:pt>
                <c:pt idx="6">
                  <c:v>Dec-21</c:v>
                </c:pt>
                <c:pt idx="7">
                  <c:v>Thg1&amp;2-22</c:v>
                </c:pt>
                <c:pt idx="8">
                  <c:v>Mar-22</c:v>
                </c:pt>
                <c:pt idx="9">
                  <c:v>Apr-22</c:v>
                </c:pt>
                <c:pt idx="10">
                  <c:v>May-22</c:v>
                </c:pt>
                <c:pt idx="11">
                  <c:v>Jun-22</c:v>
                </c:pt>
                <c:pt idx="12">
                  <c:v>Jul-22</c:v>
                </c:pt>
                <c:pt idx="13">
                  <c:v>Aug-22</c:v>
                </c:pt>
                <c:pt idx="14">
                  <c:v>Sep-22</c:v>
                </c:pt>
                <c:pt idx="15">
                  <c:v>Oct-22</c:v>
                </c:pt>
                <c:pt idx="16">
                  <c:v>Nov-22</c:v>
                </c:pt>
                <c:pt idx="17">
                  <c:v>Dec-22</c:v>
                </c:pt>
                <c:pt idx="18">
                  <c:v>Thg1&amp;2-23</c:v>
                </c:pt>
                <c:pt idx="19">
                  <c:v>Mar-23</c:v>
                </c:pt>
                <c:pt idx="20">
                  <c:v>Apr-23</c:v>
                </c:pt>
                <c:pt idx="21">
                  <c:v>May-23</c:v>
                </c:pt>
                <c:pt idx="22">
                  <c:v>Jun-23</c:v>
                </c:pt>
                <c:pt idx="23">
                  <c:v>Jul-23</c:v>
                </c:pt>
                <c:pt idx="24">
                  <c:v>Aug-23</c:v>
                </c:pt>
                <c:pt idx="25">
                  <c:v>Sep-23</c:v>
                </c:pt>
                <c:pt idx="26">
                  <c:v>Oct-23</c:v>
                </c:pt>
                <c:pt idx="28">
                  <c:v>2022</c:v>
                </c:pt>
                <c:pt idx="29">
                  <c:v>2023e</c:v>
                </c:pt>
                <c:pt idx="30">
                  <c:v>2024f</c:v>
                </c:pt>
              </c:strCache>
            </c:strRef>
          </c:cat>
          <c:val>
            <c:numRef>
              <c:f>Valuation_Senario!$S$162:$AW$162</c:f>
              <c:numCache>
                <c:formatCode>_(* #,##0.0_);_(* \(#,##0.0\);_(* "-"??_);_(@_)</c:formatCode>
                <c:ptCount val="31"/>
                <c:pt idx="0">
                  <c:v>1.4694132120887935</c:v>
                </c:pt>
                <c:pt idx="1">
                  <c:v>2.2024512739690043</c:v>
                </c:pt>
                <c:pt idx="2">
                  <c:v>1.6010402911359514</c:v>
                </c:pt>
                <c:pt idx="3">
                  <c:v>0.99897203521491429</c:v>
                </c:pt>
                <c:pt idx="4">
                  <c:v>1.0341261633919339</c:v>
                </c:pt>
                <c:pt idx="5">
                  <c:v>0.9074747474747471</c:v>
                </c:pt>
                <c:pt idx="6">
                  <c:v>0.86514133591481013</c:v>
                </c:pt>
                <c:pt idx="7">
                  <c:v>0.92242194891201512</c:v>
                </c:pt>
                <c:pt idx="8">
                  <c:v>1.0072958343139562</c:v>
                </c:pt>
                <c:pt idx="9">
                  <c:v>1.0124209046168269</c:v>
                </c:pt>
                <c:pt idx="10">
                  <c:v>1.0747663551401869</c:v>
                </c:pt>
                <c:pt idx="11">
                  <c:v>1.1494286423430138</c:v>
                </c:pt>
                <c:pt idx="12">
                  <c:v>1.3159359823399552</c:v>
                </c:pt>
                <c:pt idx="13">
                  <c:v>1.36</c:v>
                </c:pt>
                <c:pt idx="14">
                  <c:v>1.37</c:v>
                </c:pt>
                <c:pt idx="15">
                  <c:v>1.37</c:v>
                </c:pt>
                <c:pt idx="16">
                  <c:v>1.3286255787037025</c:v>
                </c:pt>
                <c:pt idx="17">
                  <c:v>1.4358621128472233</c:v>
                </c:pt>
                <c:pt idx="18">
                  <c:v>1.1929352226720649</c:v>
                </c:pt>
                <c:pt idx="19">
                  <c:v>1.3053038674033151</c:v>
                </c:pt>
                <c:pt idx="20">
                  <c:v>1.3527232884727913</c:v>
                </c:pt>
                <c:pt idx="21">
                  <c:v>1.4329073270808907</c:v>
                </c:pt>
                <c:pt idx="22">
                  <c:v>1.5037865102639287</c:v>
                </c:pt>
                <c:pt idx="23">
                  <c:v>1.6410199296600245</c:v>
                </c:pt>
                <c:pt idx="24">
                  <c:v>1.7174970691676432</c:v>
                </c:pt>
                <c:pt idx="25">
                  <c:v>1.701603751465417</c:v>
                </c:pt>
                <c:pt idx="26">
                  <c:v>1.8003563892145367</c:v>
                </c:pt>
                <c:pt idx="28">
                  <c:v>1.1772374252738655</c:v>
                </c:pt>
                <c:pt idx="29">
                  <c:v>1.5363280793928782</c:v>
                </c:pt>
                <c:pt idx="30">
                  <c:v>1.9744048943702903</c:v>
                </c:pt>
              </c:numCache>
            </c:numRef>
          </c:val>
          <c:smooth val="0"/>
          <c:extLst>
            <c:ext xmlns:c16="http://schemas.microsoft.com/office/drawing/2014/chart" uri="{C3380CC4-5D6E-409C-BE32-E72D297353CC}">
              <c16:uniqueId val="{0000000B-4394-43F4-A2B5-0663DB1D9719}"/>
            </c:ext>
          </c:extLst>
        </c:ser>
        <c:ser>
          <c:idx val="4"/>
          <c:order val="4"/>
          <c:tx>
            <c:strRef>
              <c:f>Valuation_Senario!$A$165</c:f>
              <c:strCache>
                <c:ptCount val="1"/>
                <c:pt idx="0">
                  <c:v>Biên LNHĐ (%)</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dPt>
            <c:idx val="28"/>
            <c:marker>
              <c:symbol val="circle"/>
              <c:size val="5"/>
              <c:spPr>
                <a:solidFill>
                  <a:schemeClr val="accent5"/>
                </a:solidFill>
                <a:ln w="9525">
                  <a:solidFill>
                    <a:schemeClr val="accent5"/>
                  </a:solidFill>
                  <a:prstDash val="sysDot"/>
                </a:ln>
                <a:effectLst/>
              </c:spPr>
            </c:marker>
            <c:bubble3D val="0"/>
            <c:spPr>
              <a:ln w="28575" cap="rnd">
                <a:solidFill>
                  <a:schemeClr val="accent5"/>
                </a:solidFill>
                <a:prstDash val="sysDot"/>
                <a:round/>
              </a:ln>
              <a:effectLst/>
            </c:spPr>
            <c:extLst>
              <c:ext xmlns:c16="http://schemas.microsoft.com/office/drawing/2014/chart" uri="{C3380CC4-5D6E-409C-BE32-E72D297353CC}">
                <c16:uniqueId val="{0000000D-4394-43F4-A2B5-0663DB1D9719}"/>
              </c:ext>
            </c:extLst>
          </c:dPt>
          <c:dPt>
            <c:idx val="29"/>
            <c:marker>
              <c:symbol val="circle"/>
              <c:size val="5"/>
              <c:spPr>
                <a:solidFill>
                  <a:schemeClr val="accent5"/>
                </a:solidFill>
                <a:ln w="9525">
                  <a:solidFill>
                    <a:schemeClr val="accent5"/>
                  </a:solidFill>
                  <a:prstDash val="sysDot"/>
                </a:ln>
                <a:effectLst/>
              </c:spPr>
            </c:marker>
            <c:bubble3D val="0"/>
            <c:spPr>
              <a:ln w="28575" cap="rnd">
                <a:solidFill>
                  <a:schemeClr val="accent5"/>
                </a:solidFill>
                <a:prstDash val="sysDot"/>
                <a:round/>
              </a:ln>
              <a:effectLst/>
            </c:spPr>
            <c:extLst>
              <c:ext xmlns:c16="http://schemas.microsoft.com/office/drawing/2014/chart" uri="{C3380CC4-5D6E-409C-BE32-E72D297353CC}">
                <c16:uniqueId val="{0000000F-4394-43F4-A2B5-0663DB1D9719}"/>
              </c:ext>
            </c:extLst>
          </c:dPt>
          <c:dPt>
            <c:idx val="30"/>
            <c:marker>
              <c:symbol val="circle"/>
              <c:size val="5"/>
              <c:spPr>
                <a:solidFill>
                  <a:schemeClr val="accent5"/>
                </a:solidFill>
                <a:ln w="9525">
                  <a:solidFill>
                    <a:schemeClr val="accent5"/>
                  </a:solidFill>
                  <a:prstDash val="sysDot"/>
                </a:ln>
                <a:effectLst/>
              </c:spPr>
            </c:marker>
            <c:bubble3D val="0"/>
            <c:spPr>
              <a:ln w="28575" cap="rnd">
                <a:solidFill>
                  <a:schemeClr val="accent5"/>
                </a:solidFill>
                <a:prstDash val="sysDot"/>
                <a:round/>
              </a:ln>
              <a:effectLst/>
            </c:spPr>
            <c:extLst>
              <c:ext xmlns:c16="http://schemas.microsoft.com/office/drawing/2014/chart" uri="{C3380CC4-5D6E-409C-BE32-E72D297353CC}">
                <c16:uniqueId val="{00000011-4394-43F4-A2B5-0663DB1D9719}"/>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dk1">
                        <a:lumMod val="65000"/>
                        <a:lumOff val="35000"/>
                      </a:schemeClr>
                    </a:solidFill>
                    <a:latin typeface="+mn-lt"/>
                    <a:ea typeface="+mn-ea"/>
                    <a:cs typeface="+mn-cs"/>
                  </a:defRPr>
                </a:pPr>
                <a:endParaRPr lang="vi-VN"/>
              </a:p>
            </c:txPr>
            <c:dLblPos val="t"/>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Valuation_Senario!$S$161:$AW$161</c:f>
              <c:strCache>
                <c:ptCount val="31"/>
                <c:pt idx="0">
                  <c:v>Jun-21</c:v>
                </c:pt>
                <c:pt idx="1">
                  <c:v>Jul-21</c:v>
                </c:pt>
                <c:pt idx="2">
                  <c:v>Aug-21</c:v>
                </c:pt>
                <c:pt idx="3">
                  <c:v>Sep-21</c:v>
                </c:pt>
                <c:pt idx="4">
                  <c:v>Oct-21</c:v>
                </c:pt>
                <c:pt idx="5">
                  <c:v>Nov-21</c:v>
                </c:pt>
                <c:pt idx="6">
                  <c:v>Dec-21</c:v>
                </c:pt>
                <c:pt idx="7">
                  <c:v>Thg1&amp;2-22</c:v>
                </c:pt>
                <c:pt idx="8">
                  <c:v>Mar-22</c:v>
                </c:pt>
                <c:pt idx="9">
                  <c:v>Apr-22</c:v>
                </c:pt>
                <c:pt idx="10">
                  <c:v>May-22</c:v>
                </c:pt>
                <c:pt idx="11">
                  <c:v>Jun-22</c:v>
                </c:pt>
                <c:pt idx="12">
                  <c:v>Jul-22</c:v>
                </c:pt>
                <c:pt idx="13">
                  <c:v>Aug-22</c:v>
                </c:pt>
                <c:pt idx="14">
                  <c:v>Sep-22</c:v>
                </c:pt>
                <c:pt idx="15">
                  <c:v>Oct-22</c:v>
                </c:pt>
                <c:pt idx="16">
                  <c:v>Nov-22</c:v>
                </c:pt>
                <c:pt idx="17">
                  <c:v>Dec-22</c:v>
                </c:pt>
                <c:pt idx="18">
                  <c:v>Thg1&amp;2-23</c:v>
                </c:pt>
                <c:pt idx="19">
                  <c:v>Mar-23</c:v>
                </c:pt>
                <c:pt idx="20">
                  <c:v>Apr-23</c:v>
                </c:pt>
                <c:pt idx="21">
                  <c:v>May-23</c:v>
                </c:pt>
                <c:pt idx="22">
                  <c:v>Jun-23</c:v>
                </c:pt>
                <c:pt idx="23">
                  <c:v>Jul-23</c:v>
                </c:pt>
                <c:pt idx="24">
                  <c:v>Aug-23</c:v>
                </c:pt>
                <c:pt idx="25">
                  <c:v>Sep-23</c:v>
                </c:pt>
                <c:pt idx="26">
                  <c:v>Oct-23</c:v>
                </c:pt>
                <c:pt idx="28">
                  <c:v>2022</c:v>
                </c:pt>
                <c:pt idx="29">
                  <c:v>2023e</c:v>
                </c:pt>
                <c:pt idx="30">
                  <c:v>2024f</c:v>
                </c:pt>
              </c:strCache>
            </c:strRef>
          </c:cat>
          <c:val>
            <c:numRef>
              <c:f>Valuation_Senario!$S$165:$AW$165</c:f>
              <c:numCache>
                <c:formatCode>General</c:formatCode>
                <c:ptCount val="31"/>
                <c:pt idx="28" formatCode="0.0%">
                  <c:v>-0.10857925440491747</c:v>
                </c:pt>
                <c:pt idx="29" formatCode="0.0%">
                  <c:v>-3.1233097601197655E-2</c:v>
                </c:pt>
                <c:pt idx="30" formatCode="0.0%">
                  <c:v>2.5007340188092425E-3</c:v>
                </c:pt>
              </c:numCache>
            </c:numRef>
          </c:val>
          <c:smooth val="0"/>
          <c:extLst>
            <c:ext xmlns:c16="http://schemas.microsoft.com/office/drawing/2014/chart" uri="{C3380CC4-5D6E-409C-BE32-E72D297353CC}">
              <c16:uniqueId val="{00000012-4394-43F4-A2B5-0663DB1D9719}"/>
            </c:ext>
          </c:extLst>
        </c:ser>
        <c:dLbls>
          <c:showLegendKey val="0"/>
          <c:showVal val="0"/>
          <c:showCatName val="0"/>
          <c:showSerName val="0"/>
          <c:showPercent val="0"/>
          <c:showBubbleSize val="0"/>
        </c:dLbls>
        <c:marker val="1"/>
        <c:smooth val="0"/>
        <c:axId val="996762224"/>
        <c:axId val="996763184"/>
        <c:extLst>
          <c:ext xmlns:c15="http://schemas.microsoft.com/office/drawing/2012/chart" uri="{02D57815-91ED-43cb-92C2-25804820EDAC}">
            <c15:filteredLineSeries>
              <c15:ser>
                <c:idx val="1"/>
                <c:order val="1"/>
                <c:tx>
                  <c:strRef>
                    <c:extLst>
                      <c:ext uri="{02D57815-91ED-43cb-92C2-25804820EDAC}">
                        <c15:formulaRef>
                          <c15:sqref>Valuation_Senario!$A$166</c15:sqref>
                        </c15:formulaRef>
                      </c:ext>
                    </c:extLst>
                    <c:strCache>
                      <c:ptCount val="1"/>
                      <c:pt idx="0">
                        <c:v>%YoY</c:v>
                      </c:pt>
                    </c:strCache>
                  </c:strRef>
                </c:tx>
                <c:spPr>
                  <a:ln w="28575" cap="rnd">
                    <a:solidFill>
                      <a:schemeClr val="accent2"/>
                    </a:solidFill>
                    <a:round/>
                  </a:ln>
                  <a:effectLst/>
                </c:spPr>
                <c:marker>
                  <c:symbol val="none"/>
                </c:marker>
                <c:cat>
                  <c:strRef>
                    <c:extLst>
                      <c:ext uri="{02D57815-91ED-43cb-92C2-25804820EDAC}">
                        <c15:formulaRef>
                          <c15:sqref>Valuation_Senario!$S$161:$AW$161</c15:sqref>
                        </c15:formulaRef>
                      </c:ext>
                    </c:extLst>
                    <c:strCache>
                      <c:ptCount val="31"/>
                      <c:pt idx="0">
                        <c:v>Jun-21</c:v>
                      </c:pt>
                      <c:pt idx="1">
                        <c:v>Jul-21</c:v>
                      </c:pt>
                      <c:pt idx="2">
                        <c:v>Aug-21</c:v>
                      </c:pt>
                      <c:pt idx="3">
                        <c:v>Sep-21</c:v>
                      </c:pt>
                      <c:pt idx="4">
                        <c:v>Oct-21</c:v>
                      </c:pt>
                      <c:pt idx="5">
                        <c:v>Nov-21</c:v>
                      </c:pt>
                      <c:pt idx="6">
                        <c:v>Dec-21</c:v>
                      </c:pt>
                      <c:pt idx="7">
                        <c:v>Thg1&amp;2-22</c:v>
                      </c:pt>
                      <c:pt idx="8">
                        <c:v>Mar-22</c:v>
                      </c:pt>
                      <c:pt idx="9">
                        <c:v>Apr-22</c:v>
                      </c:pt>
                      <c:pt idx="10">
                        <c:v>May-22</c:v>
                      </c:pt>
                      <c:pt idx="11">
                        <c:v>Jun-22</c:v>
                      </c:pt>
                      <c:pt idx="12">
                        <c:v>Jul-22</c:v>
                      </c:pt>
                      <c:pt idx="13">
                        <c:v>Aug-22</c:v>
                      </c:pt>
                      <c:pt idx="14">
                        <c:v>Sep-22</c:v>
                      </c:pt>
                      <c:pt idx="15">
                        <c:v>Oct-22</c:v>
                      </c:pt>
                      <c:pt idx="16">
                        <c:v>Nov-22</c:v>
                      </c:pt>
                      <c:pt idx="17">
                        <c:v>Dec-22</c:v>
                      </c:pt>
                      <c:pt idx="18">
                        <c:v>Thg1&amp;2-23</c:v>
                      </c:pt>
                      <c:pt idx="19">
                        <c:v>Mar-23</c:v>
                      </c:pt>
                      <c:pt idx="20">
                        <c:v>Apr-23</c:v>
                      </c:pt>
                      <c:pt idx="21">
                        <c:v>May-23</c:v>
                      </c:pt>
                      <c:pt idx="22">
                        <c:v>Jun-23</c:v>
                      </c:pt>
                      <c:pt idx="23">
                        <c:v>Jul-23</c:v>
                      </c:pt>
                      <c:pt idx="24">
                        <c:v>Aug-23</c:v>
                      </c:pt>
                      <c:pt idx="25">
                        <c:v>Sep-23</c:v>
                      </c:pt>
                      <c:pt idx="26">
                        <c:v>Oct-23</c:v>
                      </c:pt>
                      <c:pt idx="28">
                        <c:v>2022</c:v>
                      </c:pt>
                      <c:pt idx="29">
                        <c:v>2023e</c:v>
                      </c:pt>
                      <c:pt idx="30">
                        <c:v>2024f</c:v>
                      </c:pt>
                    </c:strCache>
                  </c:strRef>
                </c:cat>
                <c:val>
                  <c:numRef>
                    <c:extLst>
                      <c:ext uri="{02D57815-91ED-43cb-92C2-25804820EDAC}">
                        <c15:formulaRef>
                          <c15:sqref>Valuation_Senario!$B$166:$AM$166</c15:sqref>
                        </c15:formulaRef>
                      </c:ext>
                    </c:extLst>
                    <c:numCache>
                      <c:formatCode>0%</c:formatCode>
                      <c:ptCount val="37"/>
                      <c:pt idx="0">
                        <c:v>-0.15344070278184496</c:v>
                      </c:pt>
                      <c:pt idx="1">
                        <c:v>0.24774780411366959</c:v>
                      </c:pt>
                      <c:pt idx="2">
                        <c:v>-6.2815226717385375E-3</c:v>
                      </c:pt>
                      <c:pt idx="3">
                        <c:v>-0.15760444950026842</c:v>
                      </c:pt>
                      <c:pt idx="4">
                        <c:v>-0.32350799811116304</c:v>
                      </c:pt>
                      <c:pt idx="5">
                        <c:v>-0.23579539117152637</c:v>
                      </c:pt>
                      <c:pt idx="6">
                        <c:v>-0.19395227538692816</c:v>
                      </c:pt>
                      <c:pt idx="7">
                        <c:v>-0.11227362192827639</c:v>
                      </c:pt>
                      <c:pt idx="8">
                        <c:v>-7.5846269390152932E-2</c:v>
                      </c:pt>
                      <c:pt idx="9">
                        <c:v>-7.7484625913172067E-2</c:v>
                      </c:pt>
                      <c:pt idx="10">
                        <c:v>-7.8107441441766512E-2</c:v>
                      </c:pt>
                      <c:pt idx="11">
                        <c:v>3.9504082824587394E-2</c:v>
                      </c:pt>
                      <c:pt idx="12">
                        <c:v>-0.21582579410850533</c:v>
                      </c:pt>
                      <c:pt idx="13">
                        <c:v>-0.34418078617949599</c:v>
                      </c:pt>
                      <c:pt idx="14">
                        <c:v>-0.1474682248970689</c:v>
                      </c:pt>
                      <c:pt idx="15">
                        <c:v>8.4294790440994749E-2</c:v>
                      </c:pt>
                      <c:pt idx="16">
                        <c:v>0.29104042271415098</c:v>
                      </c:pt>
                      <c:pt idx="17">
                        <c:v>0.86904171288540488</c:v>
                      </c:pt>
                      <c:pt idx="18">
                        <c:v>0.29317724048203053</c:v>
                      </c:pt>
                      <c:pt idx="19">
                        <c:v>-0.16453852396806223</c:v>
                      </c:pt>
                      <c:pt idx="20">
                        <c:v>-0.14711855635116111</c:v>
                      </c:pt>
                      <c:pt idx="21">
                        <c:v>-0.25873529271284901</c:v>
                      </c:pt>
                      <c:pt idx="22">
                        <c:v>-0.30151947948607549</c:v>
                      </c:pt>
                      <c:pt idx="23">
                        <c:v>-0.19159278598881824</c:v>
                      </c:pt>
                      <c:pt idx="24">
                        <c:v>-0.10160958639495132</c:v>
                      </c:pt>
                      <c:pt idx="25">
                        <c:v>-0.15560199835573596</c:v>
                      </c:pt>
                      <c:pt idx="26">
                        <c:v>-0.22551200787223769</c:v>
                      </c:pt>
                      <c:pt idx="27">
                        <c:v>-0.21776350390297416</c:v>
                      </c:pt>
                      <c:pt idx="28">
                        <c:v>-0.40251300998431316</c:v>
                      </c:pt>
                      <c:pt idx="30">
                        <c:v>0.37140976094016942</c:v>
                      </c:pt>
                      <c:pt idx="31">
                        <c:v>0.32479000000000013</c:v>
                      </c:pt>
                      <c:pt idx="32">
                        <c:v>0.46409096495621771</c:v>
                      </c:pt>
                      <c:pt idx="33">
                        <c:v>0.65968501704860349</c:v>
                      </c:pt>
                      <c:pt idx="34">
                        <c:v>0.29326413370704874</c:v>
                      </c:pt>
                      <c:pt idx="35">
                        <c:v>0.2958495636908145</c:v>
                      </c:pt>
                      <c:pt idx="36">
                        <c:v>0.3361273777577316</c:v>
                      </c:pt>
                    </c:numCache>
                  </c:numRef>
                </c:val>
                <c:smooth val="0"/>
                <c:extLst>
                  <c:ext xmlns:c16="http://schemas.microsoft.com/office/drawing/2014/chart" uri="{C3380CC4-5D6E-409C-BE32-E72D297353CC}">
                    <c16:uniqueId val="{00000013-4394-43F4-A2B5-0663DB1D9719}"/>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Valuation_Senario!$A$163</c15:sqref>
                        </c15:formulaRef>
                      </c:ext>
                    </c:extLst>
                    <c:strCache>
                      <c:ptCount val="1"/>
                      <c:pt idx="0">
                        <c:v>%MoM</c:v>
                      </c:pt>
                    </c:strCache>
                  </c:strRef>
                </c:tx>
                <c:spPr>
                  <a:ln w="28575" cap="rnd">
                    <a:solidFill>
                      <a:srgbClr val="FFC000"/>
                    </a:solidFill>
                    <a:round/>
                  </a:ln>
                  <a:effectLst/>
                </c:spPr>
                <c:marker>
                  <c:symbol val="none"/>
                </c:marker>
                <c:cat>
                  <c:strRef>
                    <c:extLst xmlns:c15="http://schemas.microsoft.com/office/drawing/2012/chart">
                      <c:ext xmlns:c15="http://schemas.microsoft.com/office/drawing/2012/chart" uri="{02D57815-91ED-43cb-92C2-25804820EDAC}">
                        <c15:formulaRef>
                          <c15:sqref>Valuation_Senario!$S$161:$AW$161</c15:sqref>
                        </c15:formulaRef>
                      </c:ext>
                    </c:extLst>
                    <c:strCache>
                      <c:ptCount val="31"/>
                      <c:pt idx="0">
                        <c:v>Jun-21</c:v>
                      </c:pt>
                      <c:pt idx="1">
                        <c:v>Jul-21</c:v>
                      </c:pt>
                      <c:pt idx="2">
                        <c:v>Aug-21</c:v>
                      </c:pt>
                      <c:pt idx="3">
                        <c:v>Sep-21</c:v>
                      </c:pt>
                      <c:pt idx="4">
                        <c:v>Oct-21</c:v>
                      </c:pt>
                      <c:pt idx="5">
                        <c:v>Nov-21</c:v>
                      </c:pt>
                      <c:pt idx="6">
                        <c:v>Dec-21</c:v>
                      </c:pt>
                      <c:pt idx="7">
                        <c:v>Thg1&amp;2-22</c:v>
                      </c:pt>
                      <c:pt idx="8">
                        <c:v>Mar-22</c:v>
                      </c:pt>
                      <c:pt idx="9">
                        <c:v>Apr-22</c:v>
                      </c:pt>
                      <c:pt idx="10">
                        <c:v>May-22</c:v>
                      </c:pt>
                      <c:pt idx="11">
                        <c:v>Jun-22</c:v>
                      </c:pt>
                      <c:pt idx="12">
                        <c:v>Jul-22</c:v>
                      </c:pt>
                      <c:pt idx="13">
                        <c:v>Aug-22</c:v>
                      </c:pt>
                      <c:pt idx="14">
                        <c:v>Sep-22</c:v>
                      </c:pt>
                      <c:pt idx="15">
                        <c:v>Oct-22</c:v>
                      </c:pt>
                      <c:pt idx="16">
                        <c:v>Nov-22</c:v>
                      </c:pt>
                      <c:pt idx="17">
                        <c:v>Dec-22</c:v>
                      </c:pt>
                      <c:pt idx="18">
                        <c:v>Thg1&amp;2-23</c:v>
                      </c:pt>
                      <c:pt idx="19">
                        <c:v>Mar-23</c:v>
                      </c:pt>
                      <c:pt idx="20">
                        <c:v>Apr-23</c:v>
                      </c:pt>
                      <c:pt idx="21">
                        <c:v>May-23</c:v>
                      </c:pt>
                      <c:pt idx="22">
                        <c:v>Jun-23</c:v>
                      </c:pt>
                      <c:pt idx="23">
                        <c:v>Jul-23</c:v>
                      </c:pt>
                      <c:pt idx="24">
                        <c:v>Aug-23</c:v>
                      </c:pt>
                      <c:pt idx="25">
                        <c:v>Sep-23</c:v>
                      </c:pt>
                      <c:pt idx="26">
                        <c:v>Oct-23</c:v>
                      </c:pt>
                      <c:pt idx="28">
                        <c:v>2022</c:v>
                      </c:pt>
                      <c:pt idx="29">
                        <c:v>2023e</c:v>
                      </c:pt>
                      <c:pt idx="30">
                        <c:v>2024f</c:v>
                      </c:pt>
                    </c:strCache>
                  </c:strRef>
                </c:cat>
                <c:val>
                  <c:numRef>
                    <c:extLst xmlns:c15="http://schemas.microsoft.com/office/drawing/2012/chart">
                      <c:ext xmlns:c15="http://schemas.microsoft.com/office/drawing/2012/chart" uri="{02D57815-91ED-43cb-92C2-25804820EDAC}">
                        <c15:formulaRef>
                          <c15:sqref>Valuation_Senario!$B$163:$AM$163</c15:sqref>
                        </c15:formulaRef>
                      </c:ext>
                    </c:extLst>
                    <c:numCache>
                      <c:formatCode>0%</c:formatCode>
                      <c:ptCount val="37"/>
                      <c:pt idx="0">
                        <c:v>-6.4867175254369025E-2</c:v>
                      </c:pt>
                      <c:pt idx="1">
                        <c:v>0.420258885908674</c:v>
                      </c:pt>
                      <c:pt idx="2">
                        <c:v>-0.17738705446689118</c:v>
                      </c:pt>
                      <c:pt idx="3">
                        <c:v>-8.9984749754654758E-2</c:v>
                      </c:pt>
                      <c:pt idx="4">
                        <c:v>-0.11069220840297789</c:v>
                      </c:pt>
                      <c:pt idx="5">
                        <c:v>3.5340528763708745E-2</c:v>
                      </c:pt>
                      <c:pt idx="6">
                        <c:v>5.0647166741915495E-2</c:v>
                      </c:pt>
                      <c:pt idx="7">
                        <c:v>-3.4210024630129121E-2</c:v>
                      </c:pt>
                      <c:pt idx="8">
                        <c:v>1.4046705551495675E-2</c:v>
                      </c:pt>
                      <c:pt idx="9">
                        <c:v>9.6628222609618231E-3</c:v>
                      </c:pt>
                      <c:pt idx="10">
                        <c:v>1.1746098956785467E-2</c:v>
                      </c:pt>
                      <c:pt idx="11">
                        <c:v>8.033988776018286E-2</c:v>
                      </c:pt>
                      <c:pt idx="12">
                        <c:v>-0.29456069258006146</c:v>
                      </c:pt>
                      <c:pt idx="13">
                        <c:v>0.18778845182659931</c:v>
                      </c:pt>
                      <c:pt idx="14">
                        <c:v>6.9355181883916428E-2</c:v>
                      </c:pt>
                      <c:pt idx="15">
                        <c:v>0.15740530016462184</c:v>
                      </c:pt>
                      <c:pt idx="16">
                        <c:v>5.8874687315844554E-2</c:v>
                      </c:pt>
                      <c:pt idx="17">
                        <c:v>0.49886448267209049</c:v>
                      </c:pt>
                      <c:pt idx="18">
                        <c:v>-0.27306437601648248</c:v>
                      </c:pt>
                      <c:pt idx="19">
                        <c:v>-0.3760481602207929</c:v>
                      </c:pt>
                      <c:pt idx="20">
                        <c:v>3.5190302568836929E-2</c:v>
                      </c:pt>
                      <c:pt idx="21">
                        <c:v>-0.12247191919191958</c:v>
                      </c:pt>
                      <c:pt idx="22">
                        <c:v>-4.6649685490135373E-2</c:v>
                      </c:pt>
                      <c:pt idx="23">
                        <c:v>6.6209543596290832E-2</c:v>
                      </c:pt>
                      <c:pt idx="24">
                        <c:v>9.2011996789591599E-2</c:v>
                      </c:pt>
                      <c:pt idx="25">
                        <c:v>5.0879494665647673E-3</c:v>
                      </c:pt>
                      <c:pt idx="26">
                        <c:v>6.1580564209068767E-2</c:v>
                      </c:pt>
                      <c:pt idx="27">
                        <c:v>6.946838896263019E-2</c:v>
                      </c:pt>
                      <c:pt idx="28">
                        <c:v>0.14486096297159445</c:v>
                      </c:pt>
                      <c:pt idx="29">
                        <c:v>3.3484924989809706E-2</c:v>
                      </c:pt>
                      <c:pt idx="30">
                        <c:v>7.3529411764705621E-3</c:v>
                      </c:pt>
                      <c:pt idx="31">
                        <c:v>0</c:v>
                      </c:pt>
                      <c:pt idx="32">
                        <c:v>-3.0200307515545699E-2</c:v>
                      </c:pt>
                      <c:pt idx="33">
                        <c:v>8.0712381172239667E-2</c:v>
                      </c:pt>
                      <c:pt idx="34">
                        <c:v>-0.1691853890436944</c:v>
                      </c:pt>
                      <c:pt idx="35">
                        <c:v>9.4195093409644493E-2</c:v>
                      </c:pt>
                      <c:pt idx="36">
                        <c:v>3.6328262141603229E-2</c:v>
                      </c:pt>
                    </c:numCache>
                  </c:numRef>
                </c:val>
                <c:smooth val="0"/>
                <c:extLst xmlns:c15="http://schemas.microsoft.com/office/drawing/2012/chart">
                  <c:ext xmlns:c16="http://schemas.microsoft.com/office/drawing/2014/chart" uri="{C3380CC4-5D6E-409C-BE32-E72D297353CC}">
                    <c16:uniqueId val="{00000014-4394-43F4-A2B5-0663DB1D9719}"/>
                  </c:ext>
                </c:extLst>
              </c15:ser>
            </c15:filteredLineSeries>
          </c:ext>
        </c:extLst>
      </c:lineChart>
      <c:catAx>
        <c:axId val="2129578960"/>
        <c:scaling>
          <c:orientation val="minMax"/>
        </c:scaling>
        <c:delete val="0"/>
        <c:axPos val="b"/>
        <c:numFmt formatCode="General" sourceLinked="1"/>
        <c:majorTickMark val="none"/>
        <c:minorTickMark val="none"/>
        <c:tickLblPos val="low"/>
        <c:spPr>
          <a:noFill/>
          <a:ln w="25400" cap="flat" cmpd="sng" algn="ctr">
            <a:solidFill>
              <a:schemeClr val="tx1"/>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vi-VN"/>
          </a:p>
        </c:txPr>
        <c:crossAx val="2129579376"/>
        <c:crosses val="autoZero"/>
        <c:auto val="1"/>
        <c:lblAlgn val="ctr"/>
        <c:lblOffset val="100"/>
        <c:noMultiLvlLbl val="0"/>
      </c:catAx>
      <c:valAx>
        <c:axId val="2129579376"/>
        <c:scaling>
          <c:orientation val="minMax"/>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vi-VN"/>
          </a:p>
        </c:txPr>
        <c:crossAx val="2129578960"/>
        <c:crosses val="autoZero"/>
        <c:crossBetween val="between"/>
      </c:valAx>
      <c:valAx>
        <c:axId val="996763184"/>
        <c:scaling>
          <c:orientation val="minMax"/>
        </c:scaling>
        <c:delete val="0"/>
        <c:axPos val="r"/>
        <c:numFmt formatCode="_(* #,##0.0_);_(* \(#,##0.0\);_(* &quot;-&quot;?_);_(@_)" sourceLinked="0"/>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vi-VN"/>
          </a:p>
        </c:txPr>
        <c:crossAx val="996762224"/>
        <c:crosses val="max"/>
        <c:crossBetween val="between"/>
      </c:valAx>
      <c:catAx>
        <c:axId val="996762224"/>
        <c:scaling>
          <c:orientation val="minMax"/>
        </c:scaling>
        <c:delete val="1"/>
        <c:axPos val="b"/>
        <c:numFmt formatCode="General" sourceLinked="1"/>
        <c:majorTickMark val="out"/>
        <c:minorTickMark val="none"/>
        <c:tickLblPos val="nextTo"/>
        <c:crossAx val="996763184"/>
        <c:crosses val="autoZero"/>
        <c:auto val="1"/>
        <c:lblAlgn val="ctr"/>
        <c:lblOffset val="100"/>
        <c:noMultiLvlLbl val="0"/>
      </c:catAx>
      <c:spPr>
        <a:noFill/>
        <a:ln>
          <a:noFill/>
        </a:ln>
        <a:effectLst/>
      </c:spPr>
    </c:plotArea>
    <c:legend>
      <c:legendPos val="b"/>
      <c:layout>
        <c:manualLayout>
          <c:xMode val="edge"/>
          <c:yMode val="edge"/>
          <c:x val="0.29692348853479772"/>
          <c:y val="0.93442328401806218"/>
          <c:w val="0.45906763007121454"/>
          <c:h val="5.7319479289368092E-2"/>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vi-VN"/>
        </a:p>
      </c:txPr>
    </c:legend>
    <c:plotVisOnly val="1"/>
    <c:dispBlanksAs val="span"/>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sz="800"/>
      </a:pPr>
      <a:endParaRPr lang="vi-VN"/>
    </a:p>
  </c:txPr>
  <c:printSettings>
    <c:headerFooter/>
    <c:pageMargins b="0.75" l="0.7" r="0.7" t="0.75" header="0.3" footer="0.3"/>
    <c:pageSetup/>
  </c:printSettings>
  <c:userShapes r:id="rId3"/>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Valuation_Senario!$B$234</c:f>
              <c:strCache>
                <c:ptCount val="1"/>
                <c:pt idx="0">
                  <c:v>DT/CH/tháng (tỷ VND)</c:v>
                </c:pt>
              </c:strCache>
            </c:strRef>
          </c:tx>
          <c:spPr>
            <a:solidFill>
              <a:schemeClr val="bg1">
                <a:lumMod val="65000"/>
              </a:schemeClr>
            </a:solidFill>
            <a:ln>
              <a:noFill/>
            </a:ln>
            <a:effectLst/>
          </c:spPr>
          <c:invertIfNegative val="0"/>
          <c:cat>
            <c:strRef>
              <c:f>Valuation_Senario!$C$233:$M$233</c:f>
              <c:strCache>
                <c:ptCount val="10"/>
                <c:pt idx="0">
                  <c:v> Q2/2021 </c:v>
                </c:pt>
                <c:pt idx="1">
                  <c:v> Q3/2021 </c:v>
                </c:pt>
                <c:pt idx="2">
                  <c:v> Q4/2021 </c:v>
                </c:pt>
                <c:pt idx="3">
                  <c:v> Q1/2022 </c:v>
                </c:pt>
                <c:pt idx="4">
                  <c:v> Q2/2022 </c:v>
                </c:pt>
                <c:pt idx="5">
                  <c:v> Q3/2022 </c:v>
                </c:pt>
                <c:pt idx="6">
                  <c:v> Q4/2022 </c:v>
                </c:pt>
                <c:pt idx="7">
                  <c:v> Q1/2023 </c:v>
                </c:pt>
                <c:pt idx="8">
                  <c:v> Q2/2023 </c:v>
                </c:pt>
                <c:pt idx="9">
                  <c:v> Q3/2023 </c:v>
                </c:pt>
              </c:strCache>
            </c:strRef>
          </c:cat>
          <c:val>
            <c:numRef>
              <c:f>Valuation_Senario!$C$234:$M$234</c:f>
              <c:numCache>
                <c:formatCode>_(* #,##0.00_);_(* \(#,##0.00\);_(* "-"??_);_(@_)</c:formatCode>
                <c:ptCount val="10"/>
                <c:pt idx="0">
                  <c:v>1.3538726858185133</c:v>
                </c:pt>
                <c:pt idx="1">
                  <c:v>1.6049157509157512</c:v>
                </c:pt>
                <c:pt idx="2">
                  <c:v>0.92148217821782119</c:v>
                </c:pt>
                <c:pt idx="3">
                  <c:v>0.9483435390171141</c:v>
                </c:pt>
                <c:pt idx="4">
                  <c:v>1.1211258376768432</c:v>
                </c:pt>
                <c:pt idx="5">
                  <c:v>1.312552022855036</c:v>
                </c:pt>
                <c:pt idx="6">
                  <c:v>1.3781625638503086</c:v>
                </c:pt>
                <c:pt idx="7">
                  <c:v>1.2351444638355633</c:v>
                </c:pt>
                <c:pt idx="8">
                  <c:v>1.4286299765807959</c:v>
                </c:pt>
                <c:pt idx="9">
                  <c:v>1.6867069167643616</c:v>
                </c:pt>
              </c:numCache>
            </c:numRef>
          </c:val>
          <c:extLst>
            <c:ext xmlns:c16="http://schemas.microsoft.com/office/drawing/2014/chart" uri="{C3380CC4-5D6E-409C-BE32-E72D297353CC}">
              <c16:uniqueId val="{00000000-5F55-4C80-B90A-D7B9B20E4D28}"/>
            </c:ext>
          </c:extLst>
        </c:ser>
        <c:dLbls>
          <c:showLegendKey val="0"/>
          <c:showVal val="0"/>
          <c:showCatName val="0"/>
          <c:showSerName val="0"/>
          <c:showPercent val="0"/>
          <c:showBubbleSize val="0"/>
        </c:dLbls>
        <c:gapWidth val="219"/>
        <c:overlap val="-27"/>
        <c:axId val="400801680"/>
        <c:axId val="815571872"/>
      </c:barChart>
      <c:lineChart>
        <c:grouping val="standard"/>
        <c:varyColors val="0"/>
        <c:ser>
          <c:idx val="1"/>
          <c:order val="1"/>
          <c:tx>
            <c:strRef>
              <c:f>Valuation_Senario!$B$235</c:f>
              <c:strCache>
                <c:ptCount val="1"/>
                <c:pt idx="0">
                  <c:v>Biên EBITDA cốt lõi (%)*</c:v>
                </c:pt>
              </c:strCache>
            </c:strRef>
          </c:tx>
          <c:spPr>
            <a:ln w="28575" cap="rnd">
              <a:solidFill>
                <a:schemeClr val="accent2"/>
              </a:solidFill>
              <a:prstDash val="dash"/>
              <a:round/>
            </a:ln>
            <a:effectLst/>
          </c:spPr>
          <c:marker>
            <c:symbol val="none"/>
          </c:marker>
          <c:dPt>
            <c:idx val="9"/>
            <c:marker>
              <c:symbol val="circle"/>
              <c:size val="5"/>
              <c:spPr>
                <a:solidFill>
                  <a:schemeClr val="accent2"/>
                </a:solidFill>
                <a:ln w="9525">
                  <a:solidFill>
                    <a:schemeClr val="accent2"/>
                  </a:solidFill>
                </a:ln>
                <a:effectLst/>
              </c:spPr>
            </c:marker>
            <c:bubble3D val="0"/>
            <c:extLst>
              <c:ext xmlns:c16="http://schemas.microsoft.com/office/drawing/2014/chart" uri="{C3380CC4-5D6E-409C-BE32-E72D297353CC}">
                <c16:uniqueId val="{00000000-F50A-4CCF-9FF0-98609AD30BA9}"/>
              </c:ext>
            </c:extLst>
          </c:dPt>
          <c:cat>
            <c:strRef>
              <c:f>Valuation_Senario!$C$233:$M$233</c:f>
              <c:strCache>
                <c:ptCount val="10"/>
                <c:pt idx="0">
                  <c:v> Q2/2021 </c:v>
                </c:pt>
                <c:pt idx="1">
                  <c:v> Q3/2021 </c:v>
                </c:pt>
                <c:pt idx="2">
                  <c:v> Q4/2021 </c:v>
                </c:pt>
                <c:pt idx="3">
                  <c:v> Q1/2022 </c:v>
                </c:pt>
                <c:pt idx="4">
                  <c:v> Q2/2022 </c:v>
                </c:pt>
                <c:pt idx="5">
                  <c:v> Q3/2022 </c:v>
                </c:pt>
                <c:pt idx="6">
                  <c:v> Q4/2022 </c:v>
                </c:pt>
                <c:pt idx="7">
                  <c:v> Q1/2023 </c:v>
                </c:pt>
                <c:pt idx="8">
                  <c:v> Q2/2023 </c:v>
                </c:pt>
                <c:pt idx="9">
                  <c:v> Q3/2023 </c:v>
                </c:pt>
              </c:strCache>
            </c:strRef>
          </c:cat>
          <c:val>
            <c:numRef>
              <c:f>Valuation_Senario!$C$235:$M$235</c:f>
              <c:numCache>
                <c:formatCode>0%</c:formatCode>
                <c:ptCount val="10"/>
                <c:pt idx="0">
                  <c:v>-1.8015980311784113E-2</c:v>
                </c:pt>
                <c:pt idx="1">
                  <c:v>3.8135708400026135E-2</c:v>
                </c:pt>
                <c:pt idx="2">
                  <c:v>4.9341945276119119E-2</c:v>
                </c:pt>
                <c:pt idx="3">
                  <c:v>-7.3563929528429536E-2</c:v>
                </c:pt>
                <c:pt idx="4">
                  <c:v>-0.10077015066166309</c:v>
                </c:pt>
                <c:pt idx="5">
                  <c:v>-7.4924686242166499E-2</c:v>
                </c:pt>
                <c:pt idx="6" formatCode="0.0%">
                  <c:v>-2.3986594227997583E-3</c:v>
                </c:pt>
                <c:pt idx="7" formatCode="0.0%">
                  <c:v>8.8784618307762679E-3</c:v>
                </c:pt>
                <c:pt idx="8" formatCode="0.0%">
                  <c:v>8.0427083371290477E-3</c:v>
                </c:pt>
                <c:pt idx="9" formatCode="0.0%">
                  <c:v>2.9210159014050469E-2</c:v>
                </c:pt>
              </c:numCache>
            </c:numRef>
          </c:val>
          <c:smooth val="0"/>
          <c:extLst>
            <c:ext xmlns:c16="http://schemas.microsoft.com/office/drawing/2014/chart" uri="{C3380CC4-5D6E-409C-BE32-E72D297353CC}">
              <c16:uniqueId val="{00000001-5F55-4C80-B90A-D7B9B20E4D28}"/>
            </c:ext>
          </c:extLst>
        </c:ser>
        <c:ser>
          <c:idx val="2"/>
          <c:order val="2"/>
          <c:tx>
            <c:strRef>
              <c:f>Valuation_Senario!$B$236</c:f>
              <c:strCache>
                <c:ptCount val="1"/>
                <c:pt idx="0">
                  <c:v>Biên EBITDA thực tế (%)</c:v>
                </c:pt>
              </c:strCache>
            </c:strRef>
          </c:tx>
          <c:spPr>
            <a:ln w="28575" cap="rnd">
              <a:solidFill>
                <a:schemeClr val="accent1"/>
              </a:solidFill>
              <a:round/>
            </a:ln>
            <a:effectLst/>
          </c:spPr>
          <c:marker>
            <c:symbol val="none"/>
          </c:marker>
          <c:cat>
            <c:strRef>
              <c:f>Valuation_Senario!$C$233:$M$233</c:f>
              <c:strCache>
                <c:ptCount val="10"/>
                <c:pt idx="0">
                  <c:v> Q2/2021 </c:v>
                </c:pt>
                <c:pt idx="1">
                  <c:v> Q3/2021 </c:v>
                </c:pt>
                <c:pt idx="2">
                  <c:v> Q4/2021 </c:v>
                </c:pt>
                <c:pt idx="3">
                  <c:v> Q1/2022 </c:v>
                </c:pt>
                <c:pt idx="4">
                  <c:v> Q2/2022 </c:v>
                </c:pt>
                <c:pt idx="5">
                  <c:v> Q3/2022 </c:v>
                </c:pt>
                <c:pt idx="6">
                  <c:v> Q4/2022 </c:v>
                </c:pt>
                <c:pt idx="7">
                  <c:v> Q1/2023 </c:v>
                </c:pt>
                <c:pt idx="8">
                  <c:v> Q2/2023 </c:v>
                </c:pt>
                <c:pt idx="9">
                  <c:v> Q3/2023 </c:v>
                </c:pt>
              </c:strCache>
            </c:strRef>
          </c:cat>
          <c:val>
            <c:numRef>
              <c:f>Valuation_Senario!$C$236:$M$236</c:f>
              <c:numCache>
                <c:formatCode>0%</c:formatCode>
                <c:ptCount val="10"/>
                <c:pt idx="0">
                  <c:v>-1.8015980311784113E-2</c:v>
                </c:pt>
                <c:pt idx="1">
                  <c:v>3.8135708400026135E-2</c:v>
                </c:pt>
                <c:pt idx="2">
                  <c:v>4.9341945276119119E-2</c:v>
                </c:pt>
                <c:pt idx="3">
                  <c:v>-7.0059552641604628E-2</c:v>
                </c:pt>
                <c:pt idx="4">
                  <c:v>-9.7646195024221255E-2</c:v>
                </c:pt>
                <c:pt idx="5">
                  <c:v>-7.1952394379904874E-2</c:v>
                </c:pt>
                <c:pt idx="6" formatCode="0.0%">
                  <c:v>5.6400392285495921E-4</c:v>
                </c:pt>
                <c:pt idx="7" formatCode="0.0%">
                  <c:v>-2.7764215782795547E-3</c:v>
                </c:pt>
                <c:pt idx="8" formatCode="0.0%">
                  <c:v>1.7846752944725526E-3</c:v>
                </c:pt>
                <c:pt idx="9" formatCode="0.0%">
                  <c:v>3.4515610563016323E-2</c:v>
                </c:pt>
              </c:numCache>
            </c:numRef>
          </c:val>
          <c:smooth val="0"/>
          <c:extLst>
            <c:ext xmlns:c16="http://schemas.microsoft.com/office/drawing/2014/chart" uri="{C3380CC4-5D6E-409C-BE32-E72D297353CC}">
              <c16:uniqueId val="{00000002-5F55-4C80-B90A-D7B9B20E4D28}"/>
            </c:ext>
          </c:extLst>
        </c:ser>
        <c:dLbls>
          <c:showLegendKey val="0"/>
          <c:showVal val="0"/>
          <c:showCatName val="0"/>
          <c:showSerName val="0"/>
          <c:showPercent val="0"/>
          <c:showBubbleSize val="0"/>
        </c:dLbls>
        <c:marker val="1"/>
        <c:smooth val="0"/>
        <c:axId val="400791008"/>
        <c:axId val="815572352"/>
      </c:lineChart>
      <c:catAx>
        <c:axId val="400801680"/>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vi-VN"/>
          </a:p>
        </c:txPr>
        <c:crossAx val="815571872"/>
        <c:crosses val="autoZero"/>
        <c:auto val="1"/>
        <c:lblAlgn val="ctr"/>
        <c:lblOffset val="100"/>
        <c:noMultiLvlLbl val="0"/>
      </c:catAx>
      <c:valAx>
        <c:axId val="815571872"/>
        <c:scaling>
          <c:orientation val="minMax"/>
          <c:max val="1.8"/>
          <c:min val="-3.6"/>
        </c:scaling>
        <c:delete val="0"/>
        <c:axPos val="l"/>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vi-VN"/>
          </a:p>
        </c:txPr>
        <c:crossAx val="400801680"/>
        <c:crosses val="autoZero"/>
        <c:crossBetween val="between"/>
      </c:valAx>
      <c:valAx>
        <c:axId val="815572352"/>
        <c:scaling>
          <c:orientation val="minMax"/>
        </c:scaling>
        <c:delete val="0"/>
        <c:axPos val="r"/>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vi-VN"/>
          </a:p>
        </c:txPr>
        <c:crossAx val="400791008"/>
        <c:crosses val="max"/>
        <c:crossBetween val="between"/>
      </c:valAx>
      <c:catAx>
        <c:axId val="400791008"/>
        <c:scaling>
          <c:orientation val="minMax"/>
        </c:scaling>
        <c:delete val="1"/>
        <c:axPos val="b"/>
        <c:numFmt formatCode="General" sourceLinked="1"/>
        <c:majorTickMark val="none"/>
        <c:minorTickMark val="none"/>
        <c:tickLblPos val="nextTo"/>
        <c:crossAx val="815572352"/>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vi-VN"/>
        </a:p>
      </c:txPr>
    </c:legend>
    <c:plotVisOnly val="1"/>
    <c:dispBlanksAs val="gap"/>
    <c:showDLblsOverMax val="0"/>
  </c:chart>
  <c:spPr>
    <a:solidFill>
      <a:schemeClr val="bg1"/>
    </a:solidFill>
    <a:ln w="9525" cap="flat" cmpd="sng" algn="ctr">
      <a:noFill/>
      <a:round/>
    </a:ln>
    <a:effectLst/>
  </c:spPr>
  <c:txPr>
    <a:bodyPr/>
    <a:lstStyle/>
    <a:p>
      <a:pPr>
        <a:defRPr/>
      </a:pPr>
      <a:endParaRPr lang="vi-VN"/>
    </a:p>
  </c:txPr>
  <c:printSettings>
    <c:headerFooter/>
    <c:pageMargins b="0.75" l="0.7" r="0.7" t="0.75" header="0.3" footer="0.3"/>
    <c:pageSetup/>
  </c:printSettings>
  <c:userShapes r:id="rId3"/>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557927786899903"/>
          <c:y val="0.25554005375085226"/>
          <c:w val="0.76884144426200196"/>
          <c:h val="0.55867588503715659"/>
        </c:manualLayout>
      </c:layout>
      <c:barChart>
        <c:barDir val="col"/>
        <c:grouping val="clustered"/>
        <c:varyColors val="0"/>
        <c:ser>
          <c:idx val="2"/>
          <c:order val="2"/>
          <c:tx>
            <c:strRef>
              <c:f>Valuation_Senario!$A$283:$B$283</c:f>
              <c:strCache>
                <c:ptCount val="2"/>
                <c:pt idx="0">
                  <c:v>Depreciation</c:v>
                </c:pt>
                <c:pt idx="1">
                  <c:v>WCM</c:v>
                </c:pt>
              </c:strCache>
            </c:strRef>
          </c:tx>
          <c:spPr>
            <a:solidFill>
              <a:schemeClr val="bg1">
                <a:lumMod val="50000"/>
              </a:schemeClr>
            </a:solidFill>
            <a:ln>
              <a:noFill/>
            </a:ln>
            <a:effectLst/>
          </c:spPr>
          <c:invertIfNegative val="0"/>
          <c:cat>
            <c:numRef>
              <c:f>Valuation_Senario!$C$280:$J$280</c:f>
              <c:numCache>
                <c:formatCode>@</c:formatCode>
                <c:ptCount val="7"/>
                <c:pt idx="0">
                  <c:v>2020</c:v>
                </c:pt>
                <c:pt idx="1">
                  <c:v>2021</c:v>
                </c:pt>
                <c:pt idx="2">
                  <c:v>2022</c:v>
                </c:pt>
                <c:pt idx="3">
                  <c:v>2023</c:v>
                </c:pt>
                <c:pt idx="4">
                  <c:v>2024</c:v>
                </c:pt>
                <c:pt idx="5">
                  <c:v>2025</c:v>
                </c:pt>
                <c:pt idx="6">
                  <c:v>2026</c:v>
                </c:pt>
              </c:numCache>
            </c:numRef>
          </c:cat>
          <c:val>
            <c:numRef>
              <c:f>Valuation_Senario!$C$283:$J$283</c:f>
              <c:numCache>
                <c:formatCode>General</c:formatCode>
                <c:ptCount val="7"/>
                <c:pt idx="2" formatCode="_(* #,##0_);_(* \(#,##0\);_(* &quot;-&quot;??_);_(@_)">
                  <c:v>-1275</c:v>
                </c:pt>
                <c:pt idx="3" formatCode="_(* #,##0_);_(* \(#,##0\);_(* &quot;-&quot;??_);_(@_)">
                  <c:v>-998.15881464264965</c:v>
                </c:pt>
                <c:pt idx="4" formatCode="_(* #,##0_);_(* \(#,##0\);_(* &quot;-&quot;??_);_(@_)">
                  <c:v>-1031.6126013724265</c:v>
                </c:pt>
                <c:pt idx="5" formatCode="_(* #,##0_);_(* \(#,##0\);_(* &quot;-&quot;??_);_(@_)">
                  <c:v>-1031.6126013724265</c:v>
                </c:pt>
                <c:pt idx="6" formatCode="_(* #,##0_);_(* \(#,##0\);_(* &quot;-&quot;??_);_(@_)">
                  <c:v>-723.79912663755454</c:v>
                </c:pt>
              </c:numCache>
            </c:numRef>
          </c:val>
          <c:extLst>
            <c:ext xmlns:c16="http://schemas.microsoft.com/office/drawing/2014/chart" uri="{C3380CC4-5D6E-409C-BE32-E72D297353CC}">
              <c16:uniqueId val="{00000002-DFD4-491D-B035-72DCD4ECA97E}"/>
            </c:ext>
          </c:extLst>
        </c:ser>
        <c:ser>
          <c:idx val="3"/>
          <c:order val="3"/>
          <c:tx>
            <c:strRef>
              <c:f>Valuation_Senario!$A$284:$B$284</c:f>
              <c:strCache>
                <c:ptCount val="2"/>
                <c:pt idx="0">
                  <c:v>Depreciation</c:v>
                </c:pt>
                <c:pt idx="1">
                  <c:v>BHX</c:v>
                </c:pt>
              </c:strCache>
            </c:strRef>
          </c:tx>
          <c:spPr>
            <a:solidFill>
              <a:schemeClr val="accent1"/>
            </a:solidFill>
            <a:ln>
              <a:noFill/>
            </a:ln>
            <a:effectLst/>
          </c:spPr>
          <c:invertIfNegative val="0"/>
          <c:cat>
            <c:numRef>
              <c:f>Valuation_Senario!$C$280:$J$280</c:f>
              <c:numCache>
                <c:formatCode>@</c:formatCode>
                <c:ptCount val="7"/>
                <c:pt idx="0">
                  <c:v>2020</c:v>
                </c:pt>
                <c:pt idx="1">
                  <c:v>2021</c:v>
                </c:pt>
                <c:pt idx="2">
                  <c:v>2022</c:v>
                </c:pt>
                <c:pt idx="3">
                  <c:v>2023</c:v>
                </c:pt>
                <c:pt idx="4">
                  <c:v>2024</c:v>
                </c:pt>
                <c:pt idx="5">
                  <c:v>2025</c:v>
                </c:pt>
                <c:pt idx="6">
                  <c:v>2026</c:v>
                </c:pt>
              </c:numCache>
            </c:numRef>
          </c:cat>
          <c:val>
            <c:numRef>
              <c:f>Valuation_Senario!$C$284:$J$284</c:f>
              <c:numCache>
                <c:formatCode>General</c:formatCode>
                <c:ptCount val="7"/>
                <c:pt idx="2" formatCode="_(* #,##0_);_(* \(#,##0\);_(* &quot;-&quot;??_);_(@_)">
                  <c:v>-1187.3913066298342</c:v>
                </c:pt>
                <c:pt idx="3" formatCode="_(* #,##0_);_(* \(#,##0\);_(* &quot;-&quot;??_);_(@_)">
                  <c:v>-1187.3913066298342</c:v>
                </c:pt>
                <c:pt idx="4" formatCode="_(* #,##0_);_(* \(#,##0\);_(* &quot;-&quot;??_);_(@_)">
                  <c:v>-778.71675760314156</c:v>
                </c:pt>
                <c:pt idx="5" formatCode="_(* #,##0_);_(* \(#,##0\);_(* &quot;-&quot;??_);_(@_)">
                  <c:v>-284.59423903298733</c:v>
                </c:pt>
                <c:pt idx="6" formatCode="_(* #,##0_);_(* \(#,##0\);_(* &quot;-&quot;??_);_(@_)">
                  <c:v>-7.8635626992515339</c:v>
                </c:pt>
              </c:numCache>
            </c:numRef>
          </c:val>
          <c:extLst>
            <c:ext xmlns:c16="http://schemas.microsoft.com/office/drawing/2014/chart" uri="{C3380CC4-5D6E-409C-BE32-E72D297353CC}">
              <c16:uniqueId val="{00000003-DFD4-491D-B035-72DCD4ECA97E}"/>
            </c:ext>
          </c:extLst>
        </c:ser>
        <c:dLbls>
          <c:showLegendKey val="0"/>
          <c:showVal val="0"/>
          <c:showCatName val="0"/>
          <c:showSerName val="0"/>
          <c:showPercent val="0"/>
          <c:showBubbleSize val="0"/>
        </c:dLbls>
        <c:gapWidth val="219"/>
        <c:axId val="551030912"/>
        <c:axId val="551025512"/>
      </c:barChart>
      <c:lineChart>
        <c:grouping val="standard"/>
        <c:varyColors val="0"/>
        <c:ser>
          <c:idx val="0"/>
          <c:order val="0"/>
          <c:tx>
            <c:strRef>
              <c:f>Valuation_Senario!$A$281:$B$281</c:f>
              <c:strCache>
                <c:ptCount val="2"/>
                <c:pt idx="0">
                  <c:v>SLCH mở mới</c:v>
                </c:pt>
                <c:pt idx="1">
                  <c:v>WCM</c:v>
                </c:pt>
              </c:strCache>
            </c:strRef>
          </c:tx>
          <c:spPr>
            <a:ln w="28575" cap="rnd">
              <a:solidFill>
                <a:schemeClr val="bg1">
                  <a:lumMod val="50000"/>
                </a:schemeClr>
              </a:solidFill>
              <a:round/>
            </a:ln>
            <a:effectLst/>
          </c:spPr>
          <c:marker>
            <c:symbol val="none"/>
          </c:marker>
          <c:cat>
            <c:numRef>
              <c:f>Valuation_Senario!$C$280:$J$280</c:f>
              <c:numCache>
                <c:formatCode>@</c:formatCode>
                <c:ptCount val="7"/>
                <c:pt idx="0">
                  <c:v>2020</c:v>
                </c:pt>
                <c:pt idx="1">
                  <c:v>2021</c:v>
                </c:pt>
                <c:pt idx="2">
                  <c:v>2022</c:v>
                </c:pt>
                <c:pt idx="3">
                  <c:v>2023</c:v>
                </c:pt>
                <c:pt idx="4">
                  <c:v>2024</c:v>
                </c:pt>
                <c:pt idx="5">
                  <c:v>2025</c:v>
                </c:pt>
                <c:pt idx="6">
                  <c:v>2026</c:v>
                </c:pt>
              </c:numCache>
            </c:numRef>
          </c:cat>
          <c:val>
            <c:numRef>
              <c:f>Valuation_Senario!$C$281:$J$281</c:f>
              <c:numCache>
                <c:formatCode>General</c:formatCode>
                <c:ptCount val="7"/>
                <c:pt idx="0">
                  <c:v>-14</c:v>
                </c:pt>
                <c:pt idx="1">
                  <c:v>-654</c:v>
                </c:pt>
                <c:pt idx="2">
                  <c:v>387</c:v>
                </c:pt>
                <c:pt idx="3">
                  <c:v>910</c:v>
                </c:pt>
              </c:numCache>
            </c:numRef>
          </c:val>
          <c:smooth val="0"/>
          <c:extLst>
            <c:ext xmlns:c16="http://schemas.microsoft.com/office/drawing/2014/chart" uri="{C3380CC4-5D6E-409C-BE32-E72D297353CC}">
              <c16:uniqueId val="{00000000-DFD4-491D-B035-72DCD4ECA97E}"/>
            </c:ext>
          </c:extLst>
        </c:ser>
        <c:ser>
          <c:idx val="1"/>
          <c:order val="1"/>
          <c:tx>
            <c:strRef>
              <c:f>Valuation_Senario!$A$282:$B$282</c:f>
              <c:strCache>
                <c:ptCount val="2"/>
                <c:pt idx="0">
                  <c:v>SLCH mở mới</c:v>
                </c:pt>
                <c:pt idx="1">
                  <c:v>BHX</c:v>
                </c:pt>
              </c:strCache>
            </c:strRef>
          </c:tx>
          <c:spPr>
            <a:ln w="28575" cap="rnd">
              <a:solidFill>
                <a:schemeClr val="accent1"/>
              </a:solidFill>
              <a:round/>
            </a:ln>
            <a:effectLst/>
          </c:spPr>
          <c:marker>
            <c:symbol val="none"/>
          </c:marker>
          <c:cat>
            <c:numRef>
              <c:f>Valuation_Senario!$C$280:$J$280</c:f>
              <c:numCache>
                <c:formatCode>@</c:formatCode>
                <c:ptCount val="7"/>
                <c:pt idx="0">
                  <c:v>2020</c:v>
                </c:pt>
                <c:pt idx="1">
                  <c:v>2021</c:v>
                </c:pt>
                <c:pt idx="2">
                  <c:v>2022</c:v>
                </c:pt>
                <c:pt idx="3">
                  <c:v>2023</c:v>
                </c:pt>
                <c:pt idx="4">
                  <c:v>2024</c:v>
                </c:pt>
                <c:pt idx="5">
                  <c:v>2025</c:v>
                </c:pt>
                <c:pt idx="6">
                  <c:v>2026</c:v>
                </c:pt>
              </c:numCache>
            </c:numRef>
          </c:cat>
          <c:val>
            <c:numRef>
              <c:f>Valuation_Senario!$C$282:$J$282</c:f>
              <c:numCache>
                <c:formatCode>General</c:formatCode>
                <c:ptCount val="7"/>
                <c:pt idx="0">
                  <c:v>603</c:v>
                </c:pt>
                <c:pt idx="1">
                  <c:v>711</c:v>
                </c:pt>
                <c:pt idx="2">
                  <c:v>387</c:v>
                </c:pt>
                <c:pt idx="3">
                  <c:v>-378</c:v>
                </c:pt>
              </c:numCache>
            </c:numRef>
          </c:val>
          <c:smooth val="0"/>
          <c:extLst>
            <c:ext xmlns:c16="http://schemas.microsoft.com/office/drawing/2014/chart" uri="{C3380CC4-5D6E-409C-BE32-E72D297353CC}">
              <c16:uniqueId val="{00000001-DFD4-491D-B035-72DCD4ECA97E}"/>
            </c:ext>
          </c:extLst>
        </c:ser>
        <c:dLbls>
          <c:showLegendKey val="0"/>
          <c:showVal val="0"/>
          <c:showCatName val="0"/>
          <c:showSerName val="0"/>
          <c:showPercent val="0"/>
          <c:showBubbleSize val="0"/>
        </c:dLbls>
        <c:marker val="1"/>
        <c:smooth val="0"/>
        <c:axId val="551055032"/>
        <c:axId val="551055752"/>
      </c:lineChart>
      <c:catAx>
        <c:axId val="551055032"/>
        <c:scaling>
          <c:orientation val="minMax"/>
        </c:scaling>
        <c:delete val="0"/>
        <c:axPos val="b"/>
        <c:numFmt formatCode="@"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vi-VN"/>
          </a:p>
        </c:txPr>
        <c:crossAx val="551055752"/>
        <c:crosses val="autoZero"/>
        <c:auto val="1"/>
        <c:lblAlgn val="ctr"/>
        <c:lblOffset val="100"/>
        <c:noMultiLvlLbl val="0"/>
      </c:catAx>
      <c:valAx>
        <c:axId val="55105575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SLCH (đóng/mở)</a:t>
                </a:r>
                <a:r>
                  <a:rPr lang="en-US" baseline="0"/>
                  <a:t> trong nănm</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vi-VN"/>
          </a:p>
        </c:txPr>
        <c:crossAx val="551055032"/>
        <c:crosses val="autoZero"/>
        <c:crossBetween val="between"/>
      </c:valAx>
      <c:valAx>
        <c:axId val="551025512"/>
        <c:scaling>
          <c:orientation val="minMax"/>
          <c:max val="2000"/>
          <c:min val="-1350"/>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Khấu</a:t>
                </a:r>
                <a:r>
                  <a:rPr lang="en-US" baseline="0"/>
                  <a:t> hao</a:t>
                </a:r>
                <a:endParaRPr lang="en-US"/>
              </a:p>
            </c:rich>
          </c:tx>
          <c:layout>
            <c:manualLayout>
              <c:xMode val="edge"/>
              <c:yMode val="edge"/>
              <c:x val="0.94690970499028415"/>
              <c:y val="0.42012921952976501"/>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vi-VN"/>
          </a:p>
        </c:txPr>
        <c:crossAx val="551030912"/>
        <c:crosses val="max"/>
        <c:crossBetween val="between"/>
      </c:valAx>
      <c:catAx>
        <c:axId val="551030912"/>
        <c:scaling>
          <c:orientation val="minMax"/>
        </c:scaling>
        <c:delete val="1"/>
        <c:axPos val="b"/>
        <c:numFmt formatCode="@" sourceLinked="1"/>
        <c:majorTickMark val="out"/>
        <c:minorTickMark val="none"/>
        <c:tickLblPos val="nextTo"/>
        <c:crossAx val="551025512"/>
        <c:crosses val="autoZero"/>
        <c:auto val="1"/>
        <c:lblAlgn val="ctr"/>
        <c:lblOffset val="100"/>
        <c:noMultiLvlLbl val="0"/>
      </c:catAx>
      <c:spPr>
        <a:noFill/>
        <a:ln>
          <a:noFill/>
        </a:ln>
        <a:effectLst/>
      </c:spPr>
    </c:plotArea>
    <c:legend>
      <c:legendPos val="b"/>
      <c:layout>
        <c:manualLayout>
          <c:xMode val="edge"/>
          <c:yMode val="edge"/>
          <c:x val="7.5549708461530973E-2"/>
          <c:y val="0.93295342380754565"/>
          <c:w val="0.83269292339440082"/>
          <c:h val="5.6926398417321077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vi-VN"/>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vi-VN"/>
    </a:p>
  </c:txPr>
  <c:printSettings>
    <c:headerFooter/>
    <c:pageMargins b="0.75" l="0.7" r="0.7" t="0.75" header="0.3" footer="0.3"/>
    <c:pageSetup/>
  </c:printSettings>
  <c:userShapes r:id="rId3"/>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Valuation_Senario!$A$350</c:f>
              <c:strCache>
                <c:ptCount val="1"/>
                <c:pt idx="0">
                  <c:v>(1)  LNHĐ TGDĐ+ĐMX</c:v>
                </c:pt>
              </c:strCache>
            </c:strRef>
          </c:tx>
          <c:spPr>
            <a:solidFill>
              <a:schemeClr val="accent1"/>
            </a:solidFill>
            <a:ln>
              <a:noFill/>
            </a:ln>
            <a:effectLst/>
          </c:spPr>
          <c:invertIfNegative val="0"/>
          <c:cat>
            <c:strRef>
              <c:extLst>
                <c:ext xmlns:c15="http://schemas.microsoft.com/office/drawing/2012/chart" uri="{02D57815-91ED-43cb-92C2-25804820EDAC}">
                  <c15:fullRef>
                    <c15:sqref>Valuation_Senario!$B$349:$G$349</c15:sqref>
                  </c15:fullRef>
                </c:ext>
              </c:extLst>
              <c:f>Valuation_Senario!$C$349:$G$349</c:f>
              <c:strCache>
                <c:ptCount val="4"/>
                <c:pt idx="0">
                  <c:v>2022</c:v>
                </c:pt>
                <c:pt idx="1">
                  <c:v>2023</c:v>
                </c:pt>
                <c:pt idx="2">
                  <c:v>2024</c:v>
                </c:pt>
                <c:pt idx="3">
                  <c:v>2025e</c:v>
                </c:pt>
              </c:strCache>
            </c:strRef>
          </c:cat>
          <c:val>
            <c:numRef>
              <c:extLst>
                <c:ext xmlns:c15="http://schemas.microsoft.com/office/drawing/2012/chart" uri="{02D57815-91ED-43cb-92C2-25804820EDAC}">
                  <c15:fullRef>
                    <c15:sqref>Valuation_Senario!$B$350:$G$350</c15:sqref>
                  </c15:fullRef>
                </c:ext>
              </c:extLst>
              <c:f>Valuation_Senario!$C$350:$G$350</c:f>
              <c:numCache>
                <c:formatCode>_(* #,##0_);_(* \(#,##0\);_(* "-"??_);_(@_)</c:formatCode>
                <c:ptCount val="4"/>
                <c:pt idx="0">
                  <c:v>10221.467566597996</c:v>
                </c:pt>
                <c:pt idx="1">
                  <c:v>2087.4460145259982</c:v>
                </c:pt>
                <c:pt idx="2">
                  <c:v>4468.6229806810024</c:v>
                </c:pt>
                <c:pt idx="3">
                  <c:v>6616.7088803241168</c:v>
                </c:pt>
              </c:numCache>
            </c:numRef>
          </c:val>
          <c:extLst>
            <c:ext xmlns:c16="http://schemas.microsoft.com/office/drawing/2014/chart" uri="{C3380CC4-5D6E-409C-BE32-E72D297353CC}">
              <c16:uniqueId val="{00000000-630A-4C9F-B6C0-1F08BC281FC9}"/>
            </c:ext>
          </c:extLst>
        </c:ser>
        <c:ser>
          <c:idx val="1"/>
          <c:order val="1"/>
          <c:tx>
            <c:strRef>
              <c:f>Valuation_Senario!$A$351</c:f>
              <c:strCache>
                <c:ptCount val="1"/>
                <c:pt idx="0">
                  <c:v>(2) LNHĐ BHX</c:v>
                </c:pt>
              </c:strCache>
            </c:strRef>
          </c:tx>
          <c:spPr>
            <a:solidFill>
              <a:schemeClr val="accent3"/>
            </a:solidFill>
            <a:ln>
              <a:noFill/>
            </a:ln>
            <a:effectLst/>
          </c:spPr>
          <c:invertIfNegative val="0"/>
          <c:cat>
            <c:strRef>
              <c:extLst>
                <c:ext xmlns:c15="http://schemas.microsoft.com/office/drawing/2012/chart" uri="{02D57815-91ED-43cb-92C2-25804820EDAC}">
                  <c15:fullRef>
                    <c15:sqref>Valuation_Senario!$B$349:$G$349</c15:sqref>
                  </c15:fullRef>
                </c:ext>
              </c:extLst>
              <c:f>Valuation_Senario!$C$349:$G$349</c:f>
              <c:strCache>
                <c:ptCount val="4"/>
                <c:pt idx="0">
                  <c:v>2022</c:v>
                </c:pt>
                <c:pt idx="1">
                  <c:v>2023</c:v>
                </c:pt>
                <c:pt idx="2">
                  <c:v>2024</c:v>
                </c:pt>
                <c:pt idx="3">
                  <c:v>2025e</c:v>
                </c:pt>
              </c:strCache>
            </c:strRef>
          </c:cat>
          <c:val>
            <c:numRef>
              <c:extLst>
                <c:ext xmlns:c15="http://schemas.microsoft.com/office/drawing/2012/chart" uri="{02D57815-91ED-43cb-92C2-25804820EDAC}">
                  <c15:fullRef>
                    <c15:sqref>Valuation_Senario!$B$351:$G$351</c15:sqref>
                  </c15:fullRef>
                </c:ext>
              </c:extLst>
              <c:f>Valuation_Senario!$C$351:$G$351</c:f>
              <c:numCache>
                <c:formatCode>_(* #,##0_);_(* \(#,##0\);_(* "-"??_);_(@_)</c:formatCode>
                <c:ptCount val="4"/>
                <c:pt idx="0">
                  <c:v>-2940.4532178049976</c:v>
                </c:pt>
                <c:pt idx="1">
                  <c:v>-800.27435277499899</c:v>
                </c:pt>
                <c:pt idx="2">
                  <c:v>296.93615321537436</c:v>
                </c:pt>
                <c:pt idx="3">
                  <c:v>935.96335933347473</c:v>
                </c:pt>
              </c:numCache>
            </c:numRef>
          </c:val>
          <c:extLst>
            <c:ext xmlns:c16="http://schemas.microsoft.com/office/drawing/2014/chart" uri="{C3380CC4-5D6E-409C-BE32-E72D297353CC}">
              <c16:uniqueId val="{00000001-630A-4C9F-B6C0-1F08BC281FC9}"/>
            </c:ext>
          </c:extLst>
        </c:ser>
        <c:ser>
          <c:idx val="2"/>
          <c:order val="2"/>
          <c:tx>
            <c:strRef>
              <c:f>Valuation_Senario!$A$352</c:f>
              <c:strCache>
                <c:ptCount val="1"/>
                <c:pt idx="0">
                  <c:v>LNTT-(1)-(2)</c:v>
                </c:pt>
              </c:strCache>
            </c:strRef>
          </c:tx>
          <c:spPr>
            <a:solidFill>
              <a:schemeClr val="bg1">
                <a:lumMod val="65000"/>
              </a:schemeClr>
            </a:solidFill>
            <a:ln>
              <a:noFill/>
            </a:ln>
            <a:effectLst/>
          </c:spPr>
          <c:invertIfNegative val="0"/>
          <c:cat>
            <c:strRef>
              <c:extLst>
                <c:ext xmlns:c15="http://schemas.microsoft.com/office/drawing/2012/chart" uri="{02D57815-91ED-43cb-92C2-25804820EDAC}">
                  <c15:fullRef>
                    <c15:sqref>Valuation_Senario!$B$349:$G$349</c15:sqref>
                  </c15:fullRef>
                </c:ext>
              </c:extLst>
              <c:f>Valuation_Senario!$C$349:$G$349</c:f>
              <c:strCache>
                <c:ptCount val="4"/>
                <c:pt idx="0">
                  <c:v>2022</c:v>
                </c:pt>
                <c:pt idx="1">
                  <c:v>2023</c:v>
                </c:pt>
                <c:pt idx="2">
                  <c:v>2024</c:v>
                </c:pt>
                <c:pt idx="3">
                  <c:v>2025e</c:v>
                </c:pt>
              </c:strCache>
            </c:strRef>
          </c:cat>
          <c:val>
            <c:numRef>
              <c:extLst>
                <c:ext xmlns:c15="http://schemas.microsoft.com/office/drawing/2012/chart" uri="{02D57815-91ED-43cb-92C2-25804820EDAC}">
                  <c15:fullRef>
                    <c15:sqref>Valuation_Senario!$B$352:$G$352</c15:sqref>
                  </c15:fullRef>
                </c:ext>
              </c:extLst>
              <c:f>Valuation_Senario!$C$352:$G$352</c:f>
              <c:numCache>
                <c:formatCode>_(* #,##0_);_(* \(#,##0\);_(* "-"??_);_(@_)</c:formatCode>
                <c:ptCount val="4"/>
                <c:pt idx="0">
                  <c:v>-1224.6589752349964</c:v>
                </c:pt>
                <c:pt idx="1">
                  <c:v>-597.47929385500129</c:v>
                </c:pt>
                <c:pt idx="2">
                  <c:v>60.20387918162578</c:v>
                </c:pt>
                <c:pt idx="3">
                  <c:v>1126.2611527492427</c:v>
                </c:pt>
              </c:numCache>
            </c:numRef>
          </c:val>
          <c:extLst>
            <c:ext xmlns:c16="http://schemas.microsoft.com/office/drawing/2014/chart" uri="{C3380CC4-5D6E-409C-BE32-E72D297353CC}">
              <c16:uniqueId val="{00000002-630A-4C9F-B6C0-1F08BC281FC9}"/>
            </c:ext>
          </c:extLst>
        </c:ser>
        <c:dLbls>
          <c:showLegendKey val="0"/>
          <c:showVal val="0"/>
          <c:showCatName val="0"/>
          <c:showSerName val="0"/>
          <c:showPercent val="0"/>
          <c:showBubbleSize val="0"/>
        </c:dLbls>
        <c:gapWidth val="150"/>
        <c:overlap val="100"/>
        <c:axId val="1780988328"/>
        <c:axId val="1780985448"/>
      </c:barChart>
      <c:catAx>
        <c:axId val="1780988328"/>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vi-VN"/>
          </a:p>
        </c:txPr>
        <c:crossAx val="1780985448"/>
        <c:crosses val="autoZero"/>
        <c:auto val="1"/>
        <c:lblAlgn val="ctr"/>
        <c:lblOffset val="100"/>
        <c:noMultiLvlLbl val="0"/>
      </c:catAx>
      <c:valAx>
        <c:axId val="1780985448"/>
        <c:scaling>
          <c:orientation val="minMax"/>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vi-VN"/>
          </a:p>
        </c:txPr>
        <c:crossAx val="17809883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vi-VN"/>
        </a:p>
      </c:txPr>
    </c:legend>
    <c:plotVisOnly val="1"/>
    <c:dispBlanksAs val="gap"/>
    <c:showDLblsOverMax val="0"/>
  </c:chart>
  <c:spPr>
    <a:solidFill>
      <a:schemeClr val="bg1"/>
    </a:solidFill>
    <a:ln w="9525" cap="flat" cmpd="sng" algn="ctr">
      <a:noFill/>
      <a:round/>
    </a:ln>
    <a:effectLst/>
  </c:spPr>
  <c:txPr>
    <a:bodyPr/>
    <a:lstStyle/>
    <a:p>
      <a:pPr>
        <a:defRPr/>
      </a:pPr>
      <a:endParaRPr lang="vi-VN"/>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Valuation!$AH$114</c:f>
              <c:strCache>
                <c:ptCount val="1"/>
                <c:pt idx="0">
                  <c:v>MWG</c:v>
                </c:pt>
              </c:strCache>
            </c:strRef>
          </c:tx>
          <c:spPr>
            <a:solidFill>
              <a:schemeClr val="accent1"/>
            </a:solidFill>
            <a:ln>
              <a:noFill/>
            </a:ln>
            <a:effectLst/>
          </c:spPr>
          <c:invertIfNegative val="0"/>
          <c:cat>
            <c:strRef>
              <c:f>Valuation!$AG$115:$AG$120</c:f>
              <c:strCache>
                <c:ptCount val="6"/>
                <c:pt idx="0">
                  <c:v>Q1/2022</c:v>
                </c:pt>
                <c:pt idx="1">
                  <c:v>Q1/2021</c:v>
                </c:pt>
                <c:pt idx="2">
                  <c:v>Q1/2020</c:v>
                </c:pt>
                <c:pt idx="3">
                  <c:v>Q1/2019</c:v>
                </c:pt>
                <c:pt idx="4">
                  <c:v>Trung vị</c:v>
                </c:pt>
                <c:pt idx="5">
                  <c:v>23/5/23</c:v>
                </c:pt>
              </c:strCache>
            </c:strRef>
          </c:cat>
          <c:val>
            <c:numRef>
              <c:f>Valuation!$AH$115:$AH$120</c:f>
              <c:numCache>
                <c:formatCode>_(* #,##0.0_);_(* \(#,##0.0\);_(* "-"??_);_(@_)</c:formatCode>
                <c:ptCount val="6"/>
                <c:pt idx="0">
                  <c:v>17.575036714757708</c:v>
                </c:pt>
                <c:pt idx="1">
                  <c:v>15.942341470372071</c:v>
                </c:pt>
                <c:pt idx="2">
                  <c:v>11.777687028763768</c:v>
                </c:pt>
                <c:pt idx="3">
                  <c:v>16.69021981807229</c:v>
                </c:pt>
                <c:pt idx="4">
                  <c:v>16.316280644222182</c:v>
                </c:pt>
                <c:pt idx="5">
                  <c:v>0</c:v>
                </c:pt>
              </c:numCache>
            </c:numRef>
          </c:val>
          <c:extLst>
            <c:ext xmlns:c16="http://schemas.microsoft.com/office/drawing/2014/chart" uri="{C3380CC4-5D6E-409C-BE32-E72D297353CC}">
              <c16:uniqueId val="{00000000-1857-4BEC-9971-CDE5F48948A7}"/>
            </c:ext>
          </c:extLst>
        </c:ser>
        <c:dLbls>
          <c:showLegendKey val="0"/>
          <c:showVal val="0"/>
          <c:showCatName val="0"/>
          <c:showSerName val="0"/>
          <c:showPercent val="0"/>
          <c:showBubbleSize val="0"/>
        </c:dLbls>
        <c:gapWidth val="219"/>
        <c:overlap val="-27"/>
        <c:axId val="721439840"/>
        <c:axId val="721436928"/>
      </c:barChart>
      <c:catAx>
        <c:axId val="721439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vi-VN"/>
          </a:p>
        </c:txPr>
        <c:crossAx val="721436928"/>
        <c:crosses val="autoZero"/>
        <c:auto val="1"/>
        <c:lblAlgn val="ctr"/>
        <c:lblOffset val="100"/>
        <c:noMultiLvlLbl val="0"/>
      </c:catAx>
      <c:valAx>
        <c:axId val="721436928"/>
        <c:scaling>
          <c:orientation val="minMax"/>
        </c:scaling>
        <c:delete val="0"/>
        <c:axPos val="l"/>
        <c:numFmt formatCode="_(* #,##0.0_);_(* \(#,##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vi-VN"/>
          </a:p>
        </c:txPr>
        <c:crossAx val="721439840"/>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vi-VN"/>
    </a:p>
  </c:txPr>
  <c:printSettings>
    <c:headerFooter/>
    <c:pageMargins b="0.75" l="0.7" r="0.7" t="0.75" header="0.3" footer="0.3"/>
    <c:pageSetup/>
  </c:printSettings>
  <c:userShapes r:id="rId3"/>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2"/>
          <c:order val="2"/>
          <c:tx>
            <c:strRef>
              <c:f>'Report''s chart'!$B$8</c:f>
              <c:strCache>
                <c:ptCount val="1"/>
                <c:pt idx="0">
                  <c:v>Số ngày tồn kho</c:v>
                </c:pt>
              </c:strCache>
            </c:strRef>
          </c:tx>
          <c:spPr>
            <a:solidFill>
              <a:schemeClr val="accent3"/>
            </a:solidFill>
            <a:ln>
              <a:noFill/>
            </a:ln>
            <a:effectLst/>
          </c:spPr>
          <c:invertIfNegative val="0"/>
          <c:cat>
            <c:numRef>
              <c:f>'Report''s chart'!$C$2:$G$2</c:f>
              <c:numCache>
                <c:formatCode>@</c:formatCode>
                <c:ptCount val="5"/>
                <c:pt idx="0">
                  <c:v>2021</c:v>
                </c:pt>
                <c:pt idx="1">
                  <c:v>2022</c:v>
                </c:pt>
                <c:pt idx="2">
                  <c:v>2023</c:v>
                </c:pt>
                <c:pt idx="3">
                  <c:v>2024</c:v>
                </c:pt>
              </c:numCache>
            </c:numRef>
          </c:cat>
          <c:val>
            <c:numRef>
              <c:f>'Report''s chart'!$C$8:$G$8</c:f>
              <c:numCache>
                <c:formatCode>_(* #,##0.00_);_(* \(#,##0.00\);_(* "-"??_);_(@_)</c:formatCode>
                <c:ptCount val="5"/>
                <c:pt idx="0">
                  <c:v>88.520984229752074</c:v>
                </c:pt>
                <c:pt idx="1">
                  <c:v>96.82797798910002</c:v>
                </c:pt>
                <c:pt idx="2">
                  <c:v>101.42178942214014</c:v>
                </c:pt>
                <c:pt idx="3">
                  <c:v>92.959949610727662</c:v>
                </c:pt>
              </c:numCache>
            </c:numRef>
          </c:val>
          <c:extLst>
            <c:ext xmlns:c16="http://schemas.microsoft.com/office/drawing/2014/chart" uri="{C3380CC4-5D6E-409C-BE32-E72D297353CC}">
              <c16:uniqueId val="{00000002-C258-4D29-B83E-D6EA9E1465DC}"/>
            </c:ext>
          </c:extLst>
        </c:ser>
        <c:dLbls>
          <c:showLegendKey val="0"/>
          <c:showVal val="0"/>
          <c:showCatName val="0"/>
          <c:showSerName val="0"/>
          <c:showPercent val="0"/>
          <c:showBubbleSize val="0"/>
        </c:dLbls>
        <c:gapWidth val="219"/>
        <c:axId val="111642063"/>
        <c:axId val="1086431423"/>
      </c:barChart>
      <c:lineChart>
        <c:grouping val="standard"/>
        <c:varyColors val="0"/>
        <c:ser>
          <c:idx val="0"/>
          <c:order val="0"/>
          <c:tx>
            <c:strRef>
              <c:f>'Report''s chart'!$B$3</c:f>
              <c:strCache>
                <c:ptCount val="1"/>
                <c:pt idx="0">
                  <c:v>- DT/CH (%YoY)</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'Report''s chart'!$C$2:$G$2</c:f>
              <c:numCache>
                <c:formatCode>@</c:formatCode>
                <c:ptCount val="5"/>
                <c:pt idx="0">
                  <c:v>2021</c:v>
                </c:pt>
                <c:pt idx="1">
                  <c:v>2022</c:v>
                </c:pt>
                <c:pt idx="2">
                  <c:v>2023</c:v>
                </c:pt>
                <c:pt idx="3">
                  <c:v>2024</c:v>
                </c:pt>
              </c:numCache>
            </c:numRef>
          </c:cat>
          <c:val>
            <c:numRef>
              <c:f>'Report''s chart'!$C$3:$G$3</c:f>
              <c:numCache>
                <c:formatCode>0%</c:formatCode>
                <c:ptCount val="5"/>
                <c:pt idx="0">
                  <c:v>-0.11257638193418351</c:v>
                </c:pt>
                <c:pt idx="1">
                  <c:v>-9.4551124729756797E-2</c:v>
                </c:pt>
                <c:pt idx="2">
                  <c:v>-0.23095650300018167</c:v>
                </c:pt>
                <c:pt idx="3">
                  <c:v>0.1608601351726362</c:v>
                </c:pt>
              </c:numCache>
            </c:numRef>
          </c:val>
          <c:smooth val="0"/>
          <c:extLst>
            <c:ext xmlns:c16="http://schemas.microsoft.com/office/drawing/2014/chart" uri="{C3380CC4-5D6E-409C-BE32-E72D297353CC}">
              <c16:uniqueId val="{00000000-C258-4D29-B83E-D6EA9E1465DC}"/>
            </c:ext>
          </c:extLst>
        </c:ser>
        <c:ser>
          <c:idx val="1"/>
          <c:order val="1"/>
          <c:tx>
            <c:strRef>
              <c:f>'Report''s chart'!$B$4</c:f>
              <c:strCache>
                <c:ptCount val="1"/>
                <c:pt idx="0">
                  <c:v>- Biên LNHĐ</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'Report''s chart'!$C$2:$G$2</c:f>
              <c:numCache>
                <c:formatCode>@</c:formatCode>
                <c:ptCount val="5"/>
                <c:pt idx="0">
                  <c:v>2021</c:v>
                </c:pt>
                <c:pt idx="1">
                  <c:v>2022</c:v>
                </c:pt>
                <c:pt idx="2">
                  <c:v>2023</c:v>
                </c:pt>
                <c:pt idx="3">
                  <c:v>2024</c:v>
                </c:pt>
              </c:numCache>
            </c:numRef>
          </c:cat>
          <c:val>
            <c:numRef>
              <c:f>'Report''s chart'!$C$4:$G$4</c:f>
              <c:numCache>
                <c:formatCode>0.00%</c:formatCode>
                <c:ptCount val="5"/>
                <c:pt idx="0">
                  <c:v>7.522418984338318E-2</c:v>
                </c:pt>
                <c:pt idx="1">
                  <c:v>9.860997641226546E-2</c:v>
                </c:pt>
                <c:pt idx="2">
                  <c:v>2.4997653028225125E-2</c:v>
                </c:pt>
                <c:pt idx="3">
                  <c:v>4.9214513186483143E-2</c:v>
                </c:pt>
              </c:numCache>
            </c:numRef>
          </c:val>
          <c:smooth val="0"/>
          <c:extLst>
            <c:ext xmlns:c16="http://schemas.microsoft.com/office/drawing/2014/chart" uri="{C3380CC4-5D6E-409C-BE32-E72D297353CC}">
              <c16:uniqueId val="{00000001-C258-4D29-B83E-D6EA9E1465DC}"/>
            </c:ext>
          </c:extLst>
        </c:ser>
        <c:dLbls>
          <c:showLegendKey val="0"/>
          <c:showVal val="0"/>
          <c:showCatName val="0"/>
          <c:showSerName val="0"/>
          <c:showPercent val="0"/>
          <c:showBubbleSize val="0"/>
        </c:dLbls>
        <c:marker val="1"/>
        <c:smooth val="0"/>
        <c:axId val="111680575"/>
        <c:axId val="1086432863"/>
      </c:lineChart>
      <c:catAx>
        <c:axId val="111642063"/>
        <c:scaling>
          <c:orientation val="minMax"/>
        </c:scaling>
        <c:delete val="0"/>
        <c:axPos val="b"/>
        <c:numFmt formatCode="@"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vi-VN"/>
          </a:p>
        </c:txPr>
        <c:crossAx val="1086431423"/>
        <c:crosses val="autoZero"/>
        <c:auto val="1"/>
        <c:lblAlgn val="ctr"/>
        <c:lblOffset val="100"/>
        <c:noMultiLvlLbl val="0"/>
      </c:catAx>
      <c:valAx>
        <c:axId val="1086431423"/>
        <c:scaling>
          <c:orientation val="minMax"/>
          <c:min val="80"/>
        </c:scaling>
        <c:delete val="0"/>
        <c:axPos val="l"/>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vi-VN"/>
          </a:p>
        </c:txPr>
        <c:crossAx val="111642063"/>
        <c:crosses val="autoZero"/>
        <c:crossBetween val="between"/>
      </c:valAx>
      <c:valAx>
        <c:axId val="1086432863"/>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vi-VN"/>
          </a:p>
        </c:txPr>
        <c:crossAx val="111680575"/>
        <c:crosses val="max"/>
        <c:crossBetween val="between"/>
      </c:valAx>
      <c:catAx>
        <c:axId val="111680575"/>
        <c:scaling>
          <c:orientation val="minMax"/>
        </c:scaling>
        <c:delete val="1"/>
        <c:axPos val="b"/>
        <c:numFmt formatCode="@" sourceLinked="1"/>
        <c:majorTickMark val="out"/>
        <c:minorTickMark val="none"/>
        <c:tickLblPos val="nextTo"/>
        <c:crossAx val="1086432863"/>
        <c:crosses val="autoZero"/>
        <c:auto val="1"/>
        <c:lblAlgn val="ctr"/>
        <c:lblOffset val="100"/>
        <c:noMultiLvlLbl val="0"/>
      </c:catAx>
      <c:spPr>
        <a:noFill/>
        <a:ln>
          <a:noFill/>
        </a:ln>
        <a:effectLst/>
      </c:spPr>
    </c:plotArea>
    <c:legend>
      <c:legendPos val="b"/>
      <c:layout>
        <c:manualLayout>
          <c:xMode val="edge"/>
          <c:yMode val="edge"/>
          <c:x val="9.4444807361196009E-2"/>
          <c:y val="0.50609789823008844"/>
          <c:w val="0.89999906678549602"/>
          <c:h val="0.4939021017699115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vi-VN"/>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vi-VN"/>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7851062674003124"/>
          <c:y val="2.7777777777777776E-2"/>
          <c:w val="0.72946281714785666"/>
          <c:h val="0.49552347623213766"/>
        </c:manualLayout>
      </c:layout>
      <c:lineChart>
        <c:grouping val="standard"/>
        <c:varyColors val="0"/>
        <c:ser>
          <c:idx val="0"/>
          <c:order val="0"/>
          <c:tx>
            <c:strRef>
              <c:f>'Report''s chart'!$B$19</c:f>
              <c:strCache>
                <c:ptCount val="1"/>
                <c:pt idx="0">
                  <c:v>Tăng trưởng hiệu suất tạo doanh thu/ nhân viên (%)</c:v>
                </c:pt>
              </c:strCache>
            </c:strRef>
          </c:tx>
          <c:spPr>
            <a:ln w="28575" cap="rnd">
              <a:solidFill>
                <a:srgbClr val="FFC000"/>
              </a:solidFill>
              <a:round/>
            </a:ln>
            <a:effectLst/>
          </c:spPr>
          <c:marker>
            <c:symbol val="none"/>
          </c:marker>
          <c:cat>
            <c:strRef>
              <c:f>'Report''s chart'!$C$18:$K$18</c:f>
              <c:strCache>
                <c:ptCount val="9"/>
                <c:pt idx="0">
                  <c:v>Q1/2022</c:v>
                </c:pt>
                <c:pt idx="1">
                  <c:v>Q2/2022</c:v>
                </c:pt>
                <c:pt idx="2">
                  <c:v>Q3/2022</c:v>
                </c:pt>
                <c:pt idx="3">
                  <c:v>Q4/2022</c:v>
                </c:pt>
                <c:pt idx="4">
                  <c:v>Q1/2023</c:v>
                </c:pt>
                <c:pt idx="5">
                  <c:v>Q2/2023</c:v>
                </c:pt>
                <c:pt idx="6">
                  <c:v>Q3/2023</c:v>
                </c:pt>
                <c:pt idx="7">
                  <c:v>Q4/2023</c:v>
                </c:pt>
                <c:pt idx="8">
                  <c:v>Q1/2024</c:v>
                </c:pt>
              </c:strCache>
            </c:strRef>
          </c:cat>
          <c:val>
            <c:numRef>
              <c:f>'Report''s chart'!$C$19:$K$19</c:f>
              <c:numCache>
                <c:formatCode>0%</c:formatCode>
                <c:ptCount val="9"/>
                <c:pt idx="0">
                  <c:v>4.9196815926560333E-2</c:v>
                </c:pt>
                <c:pt idx="1">
                  <c:v>-9.2830771569470505E-2</c:v>
                </c:pt>
                <c:pt idx="2">
                  <c:v>7.4822954816559983E-2</c:v>
                </c:pt>
                <c:pt idx="3">
                  <c:v>-0.19401614211424922</c:v>
                </c:pt>
                <c:pt idx="4">
                  <c:v>-0.16136941695889306</c:v>
                </c:pt>
                <c:pt idx="5">
                  <c:v>-7.6968459381543397E-3</c:v>
                </c:pt>
                <c:pt idx="6">
                  <c:v>0.11020803282996083</c:v>
                </c:pt>
                <c:pt idx="7">
                  <c:v>0.16219292041796218</c:v>
                </c:pt>
                <c:pt idx="8">
                  <c:v>0.3052213082311741</c:v>
                </c:pt>
              </c:numCache>
            </c:numRef>
          </c:val>
          <c:smooth val="1"/>
          <c:extLst>
            <c:ext xmlns:c16="http://schemas.microsoft.com/office/drawing/2014/chart" uri="{C3380CC4-5D6E-409C-BE32-E72D297353CC}">
              <c16:uniqueId val="{00000000-4920-4369-8B60-AFAEEBC34F89}"/>
            </c:ext>
          </c:extLst>
        </c:ser>
        <c:ser>
          <c:idx val="1"/>
          <c:order val="1"/>
          <c:tx>
            <c:strRef>
              <c:f>'Report''s chart'!$B$20</c:f>
              <c:strCache>
                <c:ptCount val="1"/>
                <c:pt idx="0">
                  <c:v>Tăng trưởng thu nhập của nhân viên (%)</c:v>
                </c:pt>
              </c:strCache>
            </c:strRef>
          </c:tx>
          <c:spPr>
            <a:ln w="28575" cap="rnd">
              <a:solidFill>
                <a:schemeClr val="accent2"/>
              </a:solidFill>
              <a:round/>
            </a:ln>
            <a:effectLst/>
          </c:spPr>
          <c:marker>
            <c:symbol val="none"/>
          </c:marker>
          <c:cat>
            <c:strRef>
              <c:f>'Report''s chart'!$C$18:$K$18</c:f>
              <c:strCache>
                <c:ptCount val="9"/>
                <c:pt idx="0">
                  <c:v>Q1/2022</c:v>
                </c:pt>
                <c:pt idx="1">
                  <c:v>Q2/2022</c:v>
                </c:pt>
                <c:pt idx="2">
                  <c:v>Q3/2022</c:v>
                </c:pt>
                <c:pt idx="3">
                  <c:v>Q4/2022</c:v>
                </c:pt>
                <c:pt idx="4">
                  <c:v>Q1/2023</c:v>
                </c:pt>
                <c:pt idx="5">
                  <c:v>Q2/2023</c:v>
                </c:pt>
                <c:pt idx="6">
                  <c:v>Q3/2023</c:v>
                </c:pt>
                <c:pt idx="7">
                  <c:v>Q4/2023</c:v>
                </c:pt>
                <c:pt idx="8">
                  <c:v>Q1/2024</c:v>
                </c:pt>
              </c:strCache>
            </c:strRef>
          </c:cat>
          <c:val>
            <c:numRef>
              <c:f>'Report''s chart'!$C$20:$K$20</c:f>
              <c:numCache>
                <c:formatCode>0%</c:formatCode>
                <c:ptCount val="9"/>
                <c:pt idx="0">
                  <c:v>-4.8600772941356118E-2</c:v>
                </c:pt>
                <c:pt idx="1">
                  <c:v>-0.22405370372255373</c:v>
                </c:pt>
                <c:pt idx="2">
                  <c:v>-0.1902194572709508</c:v>
                </c:pt>
                <c:pt idx="3">
                  <c:v>-0.14507710373514771</c:v>
                </c:pt>
                <c:pt idx="4">
                  <c:v>-0.20089294284592674</c:v>
                </c:pt>
                <c:pt idx="5">
                  <c:v>-0.10441675864324063</c:v>
                </c:pt>
                <c:pt idx="6">
                  <c:v>0.52012438039074471</c:v>
                </c:pt>
                <c:pt idx="7">
                  <c:v>-0.33929300492297865</c:v>
                </c:pt>
                <c:pt idx="8">
                  <c:v>0.18814669631334735</c:v>
                </c:pt>
              </c:numCache>
            </c:numRef>
          </c:val>
          <c:smooth val="1"/>
          <c:extLst>
            <c:ext xmlns:c16="http://schemas.microsoft.com/office/drawing/2014/chart" uri="{C3380CC4-5D6E-409C-BE32-E72D297353CC}">
              <c16:uniqueId val="{00000001-4920-4369-8B60-AFAEEBC34F89}"/>
            </c:ext>
          </c:extLst>
        </c:ser>
        <c:dLbls>
          <c:showLegendKey val="0"/>
          <c:showVal val="0"/>
          <c:showCatName val="0"/>
          <c:showSerName val="0"/>
          <c:showPercent val="0"/>
          <c:showBubbleSize val="0"/>
        </c:dLbls>
        <c:marker val="1"/>
        <c:smooth val="0"/>
        <c:axId val="1014719296"/>
        <c:axId val="1014718576"/>
      </c:lineChart>
      <c:lineChart>
        <c:grouping val="standard"/>
        <c:varyColors val="0"/>
        <c:ser>
          <c:idx val="2"/>
          <c:order val="2"/>
          <c:tx>
            <c:strRef>
              <c:f>'Report''s chart'!$B$21</c:f>
              <c:strCache>
                <c:ptCount val="1"/>
                <c:pt idx="0">
                  <c:v>CP lương/ doanh thu (%)</c:v>
                </c:pt>
              </c:strCache>
            </c:strRef>
          </c:tx>
          <c:spPr>
            <a:ln w="28575" cap="rnd">
              <a:solidFill>
                <a:schemeClr val="bg1">
                  <a:lumMod val="50000"/>
                </a:schemeClr>
              </a:solidFill>
              <a:prstDash val="dash"/>
              <a:round/>
            </a:ln>
            <a:effectLst/>
          </c:spPr>
          <c:marker>
            <c:symbol val="circle"/>
            <c:size val="5"/>
            <c:spPr>
              <a:solidFill>
                <a:schemeClr val="accent3"/>
              </a:solidFill>
              <a:ln w="9525">
                <a:solidFill>
                  <a:schemeClr val="bg1">
                    <a:lumMod val="50000"/>
                  </a:schemeClr>
                </a:solidFill>
              </a:ln>
              <a:effectLst/>
            </c:spPr>
          </c:marker>
          <c:cat>
            <c:strRef>
              <c:f>'Report''s chart'!$C$18:$K$18</c:f>
              <c:strCache>
                <c:ptCount val="9"/>
                <c:pt idx="0">
                  <c:v>Q1/2022</c:v>
                </c:pt>
                <c:pt idx="1">
                  <c:v>Q2/2022</c:v>
                </c:pt>
                <c:pt idx="2">
                  <c:v>Q3/2022</c:v>
                </c:pt>
                <c:pt idx="3">
                  <c:v>Q4/2022</c:v>
                </c:pt>
                <c:pt idx="4">
                  <c:v>Q1/2023</c:v>
                </c:pt>
                <c:pt idx="5">
                  <c:v>Q2/2023</c:v>
                </c:pt>
                <c:pt idx="6">
                  <c:v>Q3/2023</c:v>
                </c:pt>
                <c:pt idx="7">
                  <c:v>Q4/2023</c:v>
                </c:pt>
                <c:pt idx="8">
                  <c:v>Q1/2024</c:v>
                </c:pt>
              </c:strCache>
            </c:strRef>
          </c:cat>
          <c:val>
            <c:numRef>
              <c:f>'Report''s chart'!$C$21:$K$21</c:f>
              <c:numCache>
                <c:formatCode>0.0%</c:formatCode>
                <c:ptCount val="9"/>
                <c:pt idx="0">
                  <c:v>9.1418850070931854E-2</c:v>
                </c:pt>
                <c:pt idx="1">
                  <c:v>6.8628404814535096E-2</c:v>
                </c:pt>
                <c:pt idx="2">
                  <c:v>9.9541033399739492E-2</c:v>
                </c:pt>
                <c:pt idx="3">
                  <c:v>6.3264567418866713E-2</c:v>
                </c:pt>
                <c:pt idx="4">
                  <c:v>8.2897528829483771E-2</c:v>
                </c:pt>
                <c:pt idx="5">
                  <c:v>5.8701237725399515E-2</c:v>
                </c:pt>
                <c:pt idx="6">
                  <c:v>7.4995041452206937E-2</c:v>
                </c:pt>
                <c:pt idx="7">
                  <c:v>6.7105968288942275E-2</c:v>
                </c:pt>
                <c:pt idx="8">
                  <c:v>7.8990680339911537E-2</c:v>
                </c:pt>
              </c:numCache>
            </c:numRef>
          </c:val>
          <c:smooth val="1"/>
          <c:extLst>
            <c:ext xmlns:c16="http://schemas.microsoft.com/office/drawing/2014/chart" uri="{C3380CC4-5D6E-409C-BE32-E72D297353CC}">
              <c16:uniqueId val="{00000002-4920-4369-8B60-AFAEEBC34F89}"/>
            </c:ext>
          </c:extLst>
        </c:ser>
        <c:dLbls>
          <c:showLegendKey val="0"/>
          <c:showVal val="0"/>
          <c:showCatName val="0"/>
          <c:showSerName val="0"/>
          <c:showPercent val="0"/>
          <c:showBubbleSize val="0"/>
        </c:dLbls>
        <c:marker val="1"/>
        <c:smooth val="0"/>
        <c:axId val="1014740896"/>
        <c:axId val="1014733336"/>
      </c:lineChart>
      <c:catAx>
        <c:axId val="1014719296"/>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vi-VN"/>
          </a:p>
        </c:txPr>
        <c:crossAx val="1014718576"/>
        <c:crosses val="autoZero"/>
        <c:auto val="1"/>
        <c:lblAlgn val="ctr"/>
        <c:lblOffset val="100"/>
        <c:noMultiLvlLbl val="0"/>
      </c:catAx>
      <c:valAx>
        <c:axId val="101471857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Tăng</a:t>
                </a:r>
                <a:r>
                  <a:rPr lang="en-US" baseline="0"/>
                  <a:t> trưởng</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vi-VN"/>
          </a:p>
        </c:txPr>
        <c:crossAx val="1014719296"/>
        <c:crosses val="autoZero"/>
        <c:crossBetween val="between"/>
      </c:valAx>
      <c:valAx>
        <c:axId val="1014733336"/>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Tỷ</a:t>
                </a:r>
                <a:r>
                  <a:rPr lang="en-US" baseline="0"/>
                  <a:t> rọng chi phí/DT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vi-VN"/>
            </a:p>
          </c:txPr>
        </c:title>
        <c:numFmt formatCode="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vi-VN"/>
          </a:p>
        </c:txPr>
        <c:crossAx val="1014740896"/>
        <c:crosses val="max"/>
        <c:crossBetween val="between"/>
      </c:valAx>
      <c:catAx>
        <c:axId val="1014740896"/>
        <c:scaling>
          <c:orientation val="minMax"/>
        </c:scaling>
        <c:delete val="1"/>
        <c:axPos val="b"/>
        <c:numFmt formatCode="General" sourceLinked="1"/>
        <c:majorTickMark val="out"/>
        <c:minorTickMark val="none"/>
        <c:tickLblPos val="nextTo"/>
        <c:crossAx val="1014733336"/>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vi-VN"/>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vi-VN"/>
    </a:p>
  </c:txPr>
  <c:printSettings>
    <c:headerFooter/>
    <c:pageMargins b="0.75" l="0.7" r="0.7" t="0.75" header="0.3" footer="0.3"/>
    <c:pageSetup/>
  </c:printSettings>
  <c:userShapes r:id="rId3"/>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46104398264214"/>
          <c:y val="4.6296296296296294E-2"/>
          <c:w val="0.86029434051150422"/>
          <c:h val="0.74995807815689708"/>
        </c:manualLayout>
      </c:layout>
      <c:barChart>
        <c:barDir val="col"/>
        <c:grouping val="stacked"/>
        <c:varyColors val="0"/>
        <c:ser>
          <c:idx val="0"/>
          <c:order val="0"/>
          <c:tx>
            <c:strRef>
              <c:f>'Report''s chart'!$B$24</c:f>
              <c:strCache>
                <c:ptCount val="1"/>
                <c:pt idx="0">
                  <c:v>TGDĐ+ĐMX</c:v>
                </c:pt>
              </c:strCache>
            </c:strRef>
          </c:tx>
          <c:spPr>
            <a:solidFill>
              <a:schemeClr val="accent1"/>
            </a:solidFill>
            <a:ln>
              <a:noFill/>
            </a:ln>
            <a:effectLst/>
          </c:spPr>
          <c:invertIfNegative val="0"/>
          <c:cat>
            <c:strRef>
              <c:extLst>
                <c:ext xmlns:c15="http://schemas.microsoft.com/office/drawing/2012/chart" uri="{02D57815-91ED-43cb-92C2-25804820EDAC}">
                  <c15:fullRef>
                    <c15:sqref>'Report''s chart'!$C$23:$H$23</c15:sqref>
                  </c15:fullRef>
                </c:ext>
              </c:extLst>
              <c:f>'Report''s chart'!$E$23:$H$23</c:f>
              <c:strCache>
                <c:ptCount val="4"/>
                <c:pt idx="0">
                  <c:v>2023</c:v>
                </c:pt>
                <c:pt idx="1">
                  <c:v>2024</c:v>
                </c:pt>
                <c:pt idx="2">
                  <c:v>2025E</c:v>
                </c:pt>
                <c:pt idx="3">
                  <c:v>2026F</c:v>
                </c:pt>
              </c:strCache>
            </c:strRef>
          </c:cat>
          <c:val>
            <c:numRef>
              <c:extLst>
                <c:ext xmlns:c15="http://schemas.microsoft.com/office/drawing/2012/chart" uri="{02D57815-91ED-43cb-92C2-25804820EDAC}">
                  <c15:fullRef>
                    <c15:sqref>'Report''s chart'!$C$24:$H$24</c15:sqref>
                  </c15:fullRef>
                </c:ext>
              </c:extLst>
              <c:f>'Report''s chart'!$E$24:$H$24</c:f>
              <c:numCache>
                <c:formatCode>_(* #,##0_);_(* \(#,##0\);_(* "-"??_);_(@_)</c:formatCode>
                <c:ptCount val="4"/>
                <c:pt idx="0">
                  <c:v>2087.4460145259982</c:v>
                </c:pt>
                <c:pt idx="1">
                  <c:v>4468.6229806810024</c:v>
                </c:pt>
                <c:pt idx="2">
                  <c:v>5263.9950834085575</c:v>
                </c:pt>
                <c:pt idx="3">
                  <c:v>6099.4368968141589</c:v>
                </c:pt>
              </c:numCache>
            </c:numRef>
          </c:val>
          <c:extLst>
            <c:ext xmlns:c16="http://schemas.microsoft.com/office/drawing/2014/chart" uri="{C3380CC4-5D6E-409C-BE32-E72D297353CC}">
              <c16:uniqueId val="{00000000-DC07-457D-95B0-DF56AE531587}"/>
            </c:ext>
          </c:extLst>
        </c:ser>
        <c:ser>
          <c:idx val="1"/>
          <c:order val="1"/>
          <c:tx>
            <c:strRef>
              <c:f>'Report''s chart'!$B$25</c:f>
              <c:strCache>
                <c:ptCount val="1"/>
                <c:pt idx="0">
                  <c:v>BHX</c:v>
                </c:pt>
              </c:strCache>
            </c:strRef>
          </c:tx>
          <c:spPr>
            <a:solidFill>
              <a:schemeClr val="accent3"/>
            </a:solidFill>
            <a:ln>
              <a:noFill/>
            </a:ln>
            <a:effectLst/>
          </c:spPr>
          <c:invertIfNegative val="0"/>
          <c:cat>
            <c:strRef>
              <c:extLst>
                <c:ext xmlns:c15="http://schemas.microsoft.com/office/drawing/2012/chart" uri="{02D57815-91ED-43cb-92C2-25804820EDAC}">
                  <c15:fullRef>
                    <c15:sqref>'Report''s chart'!$C$23:$H$23</c15:sqref>
                  </c15:fullRef>
                </c:ext>
              </c:extLst>
              <c:f>'Report''s chart'!$E$23:$H$23</c:f>
              <c:strCache>
                <c:ptCount val="4"/>
                <c:pt idx="0">
                  <c:v>2023</c:v>
                </c:pt>
                <c:pt idx="1">
                  <c:v>2024</c:v>
                </c:pt>
                <c:pt idx="2">
                  <c:v>2025E</c:v>
                </c:pt>
                <c:pt idx="3">
                  <c:v>2026F</c:v>
                </c:pt>
              </c:strCache>
            </c:strRef>
          </c:cat>
          <c:val>
            <c:numRef>
              <c:extLst>
                <c:ext xmlns:c15="http://schemas.microsoft.com/office/drawing/2012/chart" uri="{02D57815-91ED-43cb-92C2-25804820EDAC}">
                  <c15:fullRef>
                    <c15:sqref>'Report''s chart'!$C$25:$H$25</c15:sqref>
                  </c15:fullRef>
                </c:ext>
              </c:extLst>
              <c:f>'Report''s chart'!$E$25:$H$25</c:f>
              <c:numCache>
                <c:formatCode>_(* #,##0_);_(* \(#,##0\);_(* "-"??_);_(@_)</c:formatCode>
                <c:ptCount val="4"/>
                <c:pt idx="0">
                  <c:v>-986.36495939999895</c:v>
                </c:pt>
                <c:pt idx="1">
                  <c:v>102.73869860599933</c:v>
                </c:pt>
                <c:pt idx="2">
                  <c:v>720.5086663896243</c:v>
                </c:pt>
                <c:pt idx="3">
                  <c:v>1666.8605919733013</c:v>
                </c:pt>
              </c:numCache>
            </c:numRef>
          </c:val>
          <c:extLst>
            <c:ext xmlns:c16="http://schemas.microsoft.com/office/drawing/2014/chart" uri="{C3380CC4-5D6E-409C-BE32-E72D297353CC}">
              <c16:uniqueId val="{00000001-DC07-457D-95B0-DF56AE531587}"/>
            </c:ext>
          </c:extLst>
        </c:ser>
        <c:ser>
          <c:idx val="2"/>
          <c:order val="2"/>
          <c:tx>
            <c:strRef>
              <c:f>'Report''s chart'!$B$26</c:f>
              <c:strCache>
                <c:ptCount val="1"/>
                <c:pt idx="0">
                  <c:v>Khác</c:v>
                </c:pt>
              </c:strCache>
            </c:strRef>
          </c:tx>
          <c:spPr>
            <a:solidFill>
              <a:schemeClr val="bg1">
                <a:lumMod val="50000"/>
              </a:schemeClr>
            </a:solidFill>
            <a:ln>
              <a:noFill/>
            </a:ln>
            <a:effectLst/>
          </c:spPr>
          <c:invertIfNegative val="0"/>
          <c:cat>
            <c:strRef>
              <c:extLst>
                <c:ext xmlns:c15="http://schemas.microsoft.com/office/drawing/2012/chart" uri="{02D57815-91ED-43cb-92C2-25804820EDAC}">
                  <c15:fullRef>
                    <c15:sqref>'Report''s chart'!$C$23:$H$23</c15:sqref>
                  </c15:fullRef>
                </c:ext>
              </c:extLst>
              <c:f>'Report''s chart'!$E$23:$H$23</c:f>
              <c:strCache>
                <c:ptCount val="4"/>
                <c:pt idx="0">
                  <c:v>2023</c:v>
                </c:pt>
                <c:pt idx="1">
                  <c:v>2024</c:v>
                </c:pt>
                <c:pt idx="2">
                  <c:v>2025E</c:v>
                </c:pt>
                <c:pt idx="3">
                  <c:v>2026F</c:v>
                </c:pt>
              </c:strCache>
            </c:strRef>
          </c:cat>
          <c:val>
            <c:numRef>
              <c:extLst>
                <c:ext xmlns:c15="http://schemas.microsoft.com/office/drawing/2012/chart" uri="{02D57815-91ED-43cb-92C2-25804820EDAC}">
                  <c15:fullRef>
                    <c15:sqref>'Report''s chart'!$C$26:$H$26</c15:sqref>
                  </c15:fullRef>
                </c:ext>
              </c:extLst>
              <c:f>'Report''s chart'!$E$26:$H$26</c:f>
              <c:numCache>
                <c:formatCode>_(* #,##0.00_);_(* \(#,##0.00\);_(* "-"??_);_(@_)</c:formatCode>
                <c:ptCount val="4"/>
                <c:pt idx="0">
                  <c:v>-933.2519001870013</c:v>
                </c:pt>
                <c:pt idx="1">
                  <c:v>-838.07345056699887</c:v>
                </c:pt>
                <c:pt idx="2">
                  <c:v>812.55249913464377</c:v>
                </c:pt>
                <c:pt idx="3">
                  <c:v>920.60951657909027</c:v>
                </c:pt>
              </c:numCache>
            </c:numRef>
          </c:val>
          <c:extLst>
            <c:ext xmlns:c16="http://schemas.microsoft.com/office/drawing/2014/chart" uri="{C3380CC4-5D6E-409C-BE32-E72D297353CC}">
              <c16:uniqueId val="{00000002-DC07-457D-95B0-DF56AE531587}"/>
            </c:ext>
          </c:extLst>
        </c:ser>
        <c:dLbls>
          <c:showLegendKey val="0"/>
          <c:showVal val="0"/>
          <c:showCatName val="0"/>
          <c:showSerName val="0"/>
          <c:showPercent val="0"/>
          <c:showBubbleSize val="0"/>
        </c:dLbls>
        <c:gapWidth val="150"/>
        <c:overlap val="100"/>
        <c:axId val="1014713896"/>
        <c:axId val="1014711016"/>
      </c:barChart>
      <c:catAx>
        <c:axId val="1014713896"/>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vi-VN"/>
          </a:p>
        </c:txPr>
        <c:crossAx val="1014711016"/>
        <c:crosses val="autoZero"/>
        <c:auto val="1"/>
        <c:lblAlgn val="ctr"/>
        <c:lblOffset val="100"/>
        <c:noMultiLvlLbl val="0"/>
      </c:catAx>
      <c:valAx>
        <c:axId val="1014711016"/>
        <c:scaling>
          <c:orientation val="minMax"/>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vi-VN"/>
          </a:p>
        </c:txPr>
        <c:crossAx val="10147138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vi-VN"/>
        </a:p>
      </c:txPr>
    </c:legend>
    <c:plotVisOnly val="1"/>
    <c:dispBlanksAs val="gap"/>
    <c:showDLblsOverMax val="0"/>
  </c:chart>
  <c:spPr>
    <a:solidFill>
      <a:schemeClr val="bg1"/>
    </a:solidFill>
    <a:ln w="9525" cap="flat" cmpd="sng" algn="ctr">
      <a:noFill/>
      <a:round/>
    </a:ln>
    <a:effectLst/>
  </c:spPr>
  <c:txPr>
    <a:bodyPr/>
    <a:lstStyle/>
    <a:p>
      <a:pPr>
        <a:defRPr sz="800"/>
      </a:pPr>
      <a:endParaRPr lang="vi-VN"/>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279445309955612E-2"/>
          <c:y val="3.2930024993346817E-2"/>
          <c:w val="0.95441109380088773"/>
          <c:h val="0.79003090047942992"/>
        </c:manualLayout>
      </c:layout>
      <c:barChart>
        <c:barDir val="col"/>
        <c:grouping val="clustered"/>
        <c:varyColors val="0"/>
        <c:ser>
          <c:idx val="0"/>
          <c:order val="0"/>
          <c:tx>
            <c:strRef>
              <c:f>'Report''s chart'!$C$50</c:f>
              <c:strCache>
                <c:ptCount val="1"/>
                <c:pt idx="0">
                  <c:v> Số lượt đơn hàng trung bình/ tháng </c:v>
                </c:pt>
              </c:strCache>
            </c:strRef>
          </c:tx>
          <c:spPr>
            <a:solidFill>
              <a:schemeClr val="bg1">
                <a:lumMod val="65000"/>
              </a:schemeClr>
            </a:solidFill>
            <a:ln>
              <a:noFill/>
            </a:ln>
            <a:effectLst/>
          </c:spPr>
          <c:invertIfNegative val="0"/>
          <c:cat>
            <c:strRef>
              <c:f>'Report''s chart'!$B$51:$B$59</c:f>
              <c:strCache>
                <c:ptCount val="9"/>
                <c:pt idx="0">
                  <c:v>Q1/2022</c:v>
                </c:pt>
                <c:pt idx="1">
                  <c:v>Q2/2022</c:v>
                </c:pt>
                <c:pt idx="2">
                  <c:v>Q3/2022</c:v>
                </c:pt>
                <c:pt idx="3">
                  <c:v>Q4/2022</c:v>
                </c:pt>
                <c:pt idx="4">
                  <c:v>Q1/2023</c:v>
                </c:pt>
                <c:pt idx="5">
                  <c:v>Q2/2023</c:v>
                </c:pt>
                <c:pt idx="6">
                  <c:v>Q3/2023</c:v>
                </c:pt>
                <c:pt idx="7">
                  <c:v>Q4/2023</c:v>
                </c:pt>
                <c:pt idx="8">
                  <c:v>Q1/2024</c:v>
                </c:pt>
              </c:strCache>
            </c:strRef>
          </c:cat>
          <c:val>
            <c:numRef>
              <c:f>'Report''s chart'!$C$51:$C$59</c:f>
              <c:numCache>
                <c:formatCode>_-* #,##0_-;\-* #,##0_-;_-* "-"??_-;_-@_-</c:formatCode>
                <c:ptCount val="9"/>
                <c:pt idx="0">
                  <c:v>219.65071770334899</c:v>
                </c:pt>
                <c:pt idx="1">
                  <c:v>276.45693779904298</c:v>
                </c:pt>
                <c:pt idx="2">
                  <c:v>314.32775119617202</c:v>
                </c:pt>
                <c:pt idx="3">
                  <c:v>316.22129186602803</c:v>
                </c:pt>
                <c:pt idx="4">
                  <c:v>276.46342245131098</c:v>
                </c:pt>
                <c:pt idx="5">
                  <c:v>397.64804907446501</c:v>
                </c:pt>
                <c:pt idx="6">
                  <c:v>335.16204750685301</c:v>
                </c:pt>
                <c:pt idx="7">
                  <c:v>418.47248803827699</c:v>
                </c:pt>
                <c:pt idx="8">
                  <c:v>409.00478468899502</c:v>
                </c:pt>
              </c:numCache>
            </c:numRef>
          </c:val>
          <c:extLst>
            <c:ext xmlns:c16="http://schemas.microsoft.com/office/drawing/2014/chart" uri="{C3380CC4-5D6E-409C-BE32-E72D297353CC}">
              <c16:uniqueId val="{00000000-AB19-4F0A-826A-1B33F1009440}"/>
            </c:ext>
          </c:extLst>
        </c:ser>
        <c:dLbls>
          <c:showLegendKey val="0"/>
          <c:showVal val="0"/>
          <c:showCatName val="0"/>
          <c:showSerName val="0"/>
          <c:showPercent val="0"/>
          <c:showBubbleSize val="0"/>
        </c:dLbls>
        <c:gapWidth val="219"/>
        <c:overlap val="-27"/>
        <c:axId val="147164959"/>
        <c:axId val="1381058288"/>
      </c:barChart>
      <c:lineChart>
        <c:grouping val="standard"/>
        <c:varyColors val="0"/>
        <c:ser>
          <c:idx val="1"/>
          <c:order val="1"/>
          <c:tx>
            <c:strRef>
              <c:f>'Report''s chart'!$D$50</c:f>
              <c:strCache>
                <c:ptCount val="1"/>
                <c:pt idx="0">
                  <c:v> Gía trị đơn hàng trung bình (ngàn VND) </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'Report''s chart'!$B$51:$B$59</c:f>
              <c:strCache>
                <c:ptCount val="9"/>
                <c:pt idx="0">
                  <c:v>Q1/2022</c:v>
                </c:pt>
                <c:pt idx="1">
                  <c:v>Q2/2022</c:v>
                </c:pt>
                <c:pt idx="2">
                  <c:v>Q3/2022</c:v>
                </c:pt>
                <c:pt idx="3">
                  <c:v>Q4/2022</c:v>
                </c:pt>
                <c:pt idx="4">
                  <c:v>Q1/2023</c:v>
                </c:pt>
                <c:pt idx="5">
                  <c:v>Q2/2023</c:v>
                </c:pt>
                <c:pt idx="6">
                  <c:v>Q3/2023</c:v>
                </c:pt>
                <c:pt idx="7">
                  <c:v>Q4/2023</c:v>
                </c:pt>
                <c:pt idx="8">
                  <c:v>Q1/2024</c:v>
                </c:pt>
              </c:strCache>
            </c:strRef>
          </c:cat>
          <c:val>
            <c:numRef>
              <c:f>'Report''s chart'!$D$51:$D$59</c:f>
              <c:numCache>
                <c:formatCode>_-* #,##0_-;\-* #,##0_-;_-* "-"??_-;_-@_-</c:formatCode>
                <c:ptCount val="9"/>
                <c:pt idx="0">
                  <c:v>503.68537745621501</c:v>
                </c:pt>
                <c:pt idx="1">
                  <c:v>310.54644279264699</c:v>
                </c:pt>
                <c:pt idx="2">
                  <c:v>213.970095693779</c:v>
                </c:pt>
                <c:pt idx="3">
                  <c:v>185.576646316249</c:v>
                </c:pt>
                <c:pt idx="4">
                  <c:v>208.28947368421001</c:v>
                </c:pt>
                <c:pt idx="5">
                  <c:v>147.69617224880301</c:v>
                </c:pt>
                <c:pt idx="6">
                  <c:v>134.44138755980799</c:v>
                </c:pt>
                <c:pt idx="7">
                  <c:v>160.95095693779899</c:v>
                </c:pt>
                <c:pt idx="8">
                  <c:v>176.09928229664999</c:v>
                </c:pt>
              </c:numCache>
            </c:numRef>
          </c:val>
          <c:smooth val="0"/>
          <c:extLst>
            <c:ext xmlns:c16="http://schemas.microsoft.com/office/drawing/2014/chart" uri="{C3380CC4-5D6E-409C-BE32-E72D297353CC}">
              <c16:uniqueId val="{00000001-AB19-4F0A-826A-1B33F1009440}"/>
            </c:ext>
          </c:extLst>
        </c:ser>
        <c:dLbls>
          <c:showLegendKey val="0"/>
          <c:showVal val="0"/>
          <c:showCatName val="0"/>
          <c:showSerName val="0"/>
          <c:showPercent val="0"/>
          <c:showBubbleSize val="0"/>
        </c:dLbls>
        <c:marker val="1"/>
        <c:smooth val="0"/>
        <c:axId val="147164959"/>
        <c:axId val="1381058288"/>
      </c:lineChart>
      <c:catAx>
        <c:axId val="1471649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vi-VN"/>
          </a:p>
        </c:txPr>
        <c:crossAx val="1381058288"/>
        <c:crosses val="autoZero"/>
        <c:auto val="1"/>
        <c:lblAlgn val="ctr"/>
        <c:lblOffset val="100"/>
        <c:noMultiLvlLbl val="0"/>
      </c:catAx>
      <c:valAx>
        <c:axId val="1381058288"/>
        <c:scaling>
          <c:orientation val="minMax"/>
        </c:scaling>
        <c:delete val="1"/>
        <c:axPos val="l"/>
        <c:numFmt formatCode="_-* #,##0_-;\-* #,##0_-;_-* &quot;-&quot;??_-;_-@_-" sourceLinked="1"/>
        <c:majorTickMark val="none"/>
        <c:minorTickMark val="none"/>
        <c:tickLblPos val="nextTo"/>
        <c:crossAx val="1471649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vi-VN"/>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vi-VN"/>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417977388180332"/>
          <c:y val="0.28018760440100277"/>
          <c:w val="0.75617236266536303"/>
          <c:h val="0.49448787961552448"/>
        </c:manualLayout>
      </c:layout>
      <c:barChart>
        <c:barDir val="col"/>
        <c:grouping val="clustered"/>
        <c:varyColors val="0"/>
        <c:ser>
          <c:idx val="0"/>
          <c:order val="0"/>
          <c:tx>
            <c:strRef>
              <c:f>'Report''s chart'!$B$3</c:f>
              <c:strCache>
                <c:ptCount val="1"/>
                <c:pt idx="0">
                  <c:v>- DT/CH (%YoY)</c:v>
                </c:pt>
              </c:strCache>
            </c:strRef>
          </c:tx>
          <c:spPr>
            <a:solidFill>
              <a:schemeClr val="bg1">
                <a:lumMod val="75000"/>
              </a:schemeClr>
            </a:solidFill>
            <a:ln>
              <a:noFill/>
            </a:ln>
            <a:effectLst/>
          </c:spPr>
          <c:invertIfNegative val="0"/>
          <c:dPt>
            <c:idx val="3"/>
            <c:invertIfNegative val="0"/>
            <c:bubble3D val="0"/>
            <c:spPr>
              <a:gradFill>
                <a:gsLst>
                  <a:gs pos="0">
                    <a:schemeClr val="accent3"/>
                  </a:gs>
                  <a:gs pos="100000">
                    <a:schemeClr val="accent1"/>
                  </a:gs>
                </a:gsLst>
                <a:lin ang="5400000" scaled="1"/>
              </a:gradFill>
              <a:ln>
                <a:gradFill>
                  <a:gsLst>
                    <a:gs pos="0">
                      <a:schemeClr val="accent3"/>
                    </a:gs>
                    <a:gs pos="100000">
                      <a:schemeClr val="accent1"/>
                    </a:gs>
                  </a:gsLst>
                  <a:lin ang="5400000" scaled="1"/>
                </a:gradFill>
              </a:ln>
              <a:effectLst/>
            </c:spPr>
            <c:extLst>
              <c:ext xmlns:c16="http://schemas.microsoft.com/office/drawing/2014/chart" uri="{C3380CC4-5D6E-409C-BE32-E72D297353CC}">
                <c16:uniqueId val="{00000000-F74C-42F5-968F-75FCA9DBA753}"/>
              </c:ext>
            </c:extLst>
          </c:dPt>
          <c:cat>
            <c:numRef>
              <c:extLst>
                <c:ext xmlns:c15="http://schemas.microsoft.com/office/drawing/2012/chart" uri="{02D57815-91ED-43cb-92C2-25804820EDAC}">
                  <c15:fullRef>
                    <c15:sqref>'Report''s chart'!$C$2:$J$2</c15:sqref>
                  </c15:fullRef>
                </c:ext>
              </c:extLst>
              <c:f>'Report''s chart'!$C$2:$F$2</c:f>
              <c:numCache>
                <c:formatCode>@</c:formatCode>
                <c:ptCount val="4"/>
                <c:pt idx="0">
                  <c:v>2021</c:v>
                </c:pt>
                <c:pt idx="1">
                  <c:v>2022</c:v>
                </c:pt>
                <c:pt idx="2">
                  <c:v>2023</c:v>
                </c:pt>
                <c:pt idx="3">
                  <c:v>2024</c:v>
                </c:pt>
              </c:numCache>
            </c:numRef>
          </c:cat>
          <c:val>
            <c:numRef>
              <c:extLst>
                <c:ext xmlns:c15="http://schemas.microsoft.com/office/drawing/2012/chart" uri="{02D57815-91ED-43cb-92C2-25804820EDAC}">
                  <c15:fullRef>
                    <c15:sqref>'Report''s chart'!$C$3:$J$3</c15:sqref>
                  </c15:fullRef>
                </c:ext>
              </c:extLst>
              <c:f>'Report''s chart'!$C$3:$F$3</c:f>
              <c:numCache>
                <c:formatCode>0%</c:formatCode>
                <c:ptCount val="4"/>
                <c:pt idx="0">
                  <c:v>-0.11257638193418351</c:v>
                </c:pt>
                <c:pt idx="1">
                  <c:v>-9.4551124729756797E-2</c:v>
                </c:pt>
                <c:pt idx="2">
                  <c:v>-0.23095650300018167</c:v>
                </c:pt>
                <c:pt idx="3">
                  <c:v>0.1608601351726362</c:v>
                </c:pt>
              </c:numCache>
            </c:numRef>
          </c:val>
          <c:extLst>
            <c:ext xmlns:c16="http://schemas.microsoft.com/office/drawing/2014/chart" uri="{C3380CC4-5D6E-409C-BE32-E72D297353CC}">
              <c16:uniqueId val="{00000000-0D05-42A4-B65E-234543D17685}"/>
            </c:ext>
          </c:extLst>
        </c:ser>
        <c:dLbls>
          <c:showLegendKey val="0"/>
          <c:showVal val="0"/>
          <c:showCatName val="0"/>
          <c:showSerName val="0"/>
          <c:showPercent val="0"/>
          <c:showBubbleSize val="0"/>
        </c:dLbls>
        <c:gapWidth val="219"/>
        <c:axId val="967842712"/>
        <c:axId val="967843792"/>
      </c:barChart>
      <c:lineChart>
        <c:grouping val="standard"/>
        <c:varyColors val="0"/>
        <c:ser>
          <c:idx val="1"/>
          <c:order val="1"/>
          <c:tx>
            <c:strRef>
              <c:f>'Report''s chart'!$B$4</c:f>
              <c:strCache>
                <c:ptCount val="1"/>
                <c:pt idx="0">
                  <c:v>- Biên LNHĐ</c:v>
                </c:pt>
              </c:strCache>
            </c:strRef>
          </c:tx>
          <c:spPr>
            <a:ln w="22225" cap="rnd">
              <a:solidFill>
                <a:schemeClr val="accent2"/>
              </a:solidFill>
              <a:round/>
            </a:ln>
            <a:effectLst/>
          </c:spPr>
          <c:marker>
            <c:symbol val="circle"/>
            <c:size val="5"/>
            <c:spPr>
              <a:solidFill>
                <a:schemeClr val="accent2"/>
              </a:solidFill>
              <a:ln w="9525">
                <a:solidFill>
                  <a:schemeClr val="accent2"/>
                </a:solidFill>
              </a:ln>
              <a:effectLst/>
            </c:spPr>
          </c:marker>
          <c:cat>
            <c:numRef>
              <c:extLst>
                <c:ext xmlns:c15="http://schemas.microsoft.com/office/drawing/2012/chart" uri="{02D57815-91ED-43cb-92C2-25804820EDAC}">
                  <c15:fullRef>
                    <c15:sqref>'Report''s chart'!$C$2:$J$2</c15:sqref>
                  </c15:fullRef>
                </c:ext>
              </c:extLst>
              <c:f>'Report''s chart'!$C$2:$F$2</c:f>
              <c:numCache>
                <c:formatCode>@</c:formatCode>
                <c:ptCount val="4"/>
                <c:pt idx="0">
                  <c:v>2021</c:v>
                </c:pt>
                <c:pt idx="1">
                  <c:v>2022</c:v>
                </c:pt>
                <c:pt idx="2">
                  <c:v>2023</c:v>
                </c:pt>
                <c:pt idx="3">
                  <c:v>2024</c:v>
                </c:pt>
              </c:numCache>
            </c:numRef>
          </c:cat>
          <c:val>
            <c:numRef>
              <c:extLst>
                <c:ext xmlns:c15="http://schemas.microsoft.com/office/drawing/2012/chart" uri="{02D57815-91ED-43cb-92C2-25804820EDAC}">
                  <c15:fullRef>
                    <c15:sqref>'Report''s chart'!$C$4:$J$4</c15:sqref>
                  </c15:fullRef>
                </c:ext>
              </c:extLst>
              <c:f>'Report''s chart'!$C$4:$F$4</c:f>
              <c:numCache>
                <c:formatCode>0.00%</c:formatCode>
                <c:ptCount val="4"/>
                <c:pt idx="0">
                  <c:v>7.522418984338318E-2</c:v>
                </c:pt>
                <c:pt idx="1">
                  <c:v>9.860997641226546E-2</c:v>
                </c:pt>
                <c:pt idx="2">
                  <c:v>2.4997653028225125E-2</c:v>
                </c:pt>
                <c:pt idx="3">
                  <c:v>4.9214513186483143E-2</c:v>
                </c:pt>
              </c:numCache>
            </c:numRef>
          </c:val>
          <c:smooth val="0"/>
          <c:extLst>
            <c:ext xmlns:c16="http://schemas.microsoft.com/office/drawing/2014/chart" uri="{C3380CC4-5D6E-409C-BE32-E72D297353CC}">
              <c16:uniqueId val="{00000001-0D05-42A4-B65E-234543D17685}"/>
            </c:ext>
          </c:extLst>
        </c:ser>
        <c:dLbls>
          <c:showLegendKey val="0"/>
          <c:showVal val="0"/>
          <c:showCatName val="0"/>
          <c:showSerName val="0"/>
          <c:showPercent val="0"/>
          <c:showBubbleSize val="0"/>
        </c:dLbls>
        <c:marker val="1"/>
        <c:smooth val="0"/>
        <c:axId val="1044568992"/>
        <c:axId val="568054224"/>
      </c:lineChart>
      <c:catAx>
        <c:axId val="967842712"/>
        <c:scaling>
          <c:orientation val="minMax"/>
        </c:scaling>
        <c:delete val="0"/>
        <c:axPos val="b"/>
        <c:numFmt formatCode="@"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vi-VN"/>
          </a:p>
        </c:txPr>
        <c:crossAx val="967843792"/>
        <c:crosses val="autoZero"/>
        <c:auto val="1"/>
        <c:lblAlgn val="ctr"/>
        <c:lblOffset val="100"/>
        <c:noMultiLvlLbl val="0"/>
      </c:catAx>
      <c:valAx>
        <c:axId val="967843792"/>
        <c:scaling>
          <c:orientation val="minMax"/>
        </c:scaling>
        <c:delete val="0"/>
        <c:axPos val="l"/>
        <c:title>
          <c:tx>
            <c:rich>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r>
                  <a:rPr lang="en-US"/>
                  <a:t>Tang trưởng doanh thu</a:t>
                </a:r>
              </a:p>
            </c:rich>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vi-VN"/>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vi-VN"/>
          </a:p>
        </c:txPr>
        <c:crossAx val="967842712"/>
        <c:crosses val="autoZero"/>
        <c:crossBetween val="between"/>
      </c:valAx>
      <c:valAx>
        <c:axId val="568054224"/>
        <c:scaling>
          <c:orientation val="minMax"/>
        </c:scaling>
        <c:delete val="0"/>
        <c:axPos val="r"/>
        <c:title>
          <c:tx>
            <c:rich>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r>
                  <a:rPr lang="en-US"/>
                  <a:t>% Biên lợi nhuận</a:t>
                </a:r>
              </a:p>
            </c:rich>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vi-VN"/>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vi-VN"/>
          </a:p>
        </c:txPr>
        <c:crossAx val="1044568992"/>
        <c:crosses val="max"/>
        <c:crossBetween val="between"/>
      </c:valAx>
      <c:catAx>
        <c:axId val="1044568992"/>
        <c:scaling>
          <c:orientation val="minMax"/>
        </c:scaling>
        <c:delete val="1"/>
        <c:axPos val="b"/>
        <c:numFmt formatCode="@" sourceLinked="1"/>
        <c:majorTickMark val="out"/>
        <c:minorTickMark val="none"/>
        <c:tickLblPos val="nextTo"/>
        <c:crossAx val="568054224"/>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vi-VN"/>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sz="800"/>
      </a:pPr>
      <a:endParaRPr lang="vi-VN"/>
    </a:p>
  </c:txPr>
  <c:printSettings>
    <c:headerFooter/>
    <c:pageMargins b="0.75" l="0.7" r="0.7" t="0.75" header="0.3" footer="0.3"/>
    <c:pageSetup/>
  </c:printSettings>
  <c:userShapes r:id="rId3"/>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'Report''s chart'!$AM$1</c:f>
              <c:strCache>
                <c:ptCount val="1"/>
                <c:pt idx="0">
                  <c:v>MWG VN Equity  (L)</c:v>
                </c:pt>
              </c:strCache>
            </c:strRef>
          </c:tx>
          <c:spPr>
            <a:ln w="28575" cap="rnd">
              <a:solidFill>
                <a:schemeClr val="accent1"/>
              </a:solidFill>
              <a:round/>
            </a:ln>
            <a:effectLst/>
          </c:spPr>
          <c:marker>
            <c:symbol val="none"/>
          </c:marker>
          <c:cat>
            <c:numRef>
              <c:f>'Report''s chart'!$AL$2:$AL$255</c:f>
              <c:numCache>
                <c:formatCode>m/d/yy</c:formatCode>
                <c:ptCount val="254"/>
                <c:pt idx="0">
                  <c:v>45419</c:v>
                </c:pt>
                <c:pt idx="1">
                  <c:v>45418</c:v>
                </c:pt>
                <c:pt idx="2">
                  <c:v>45415</c:v>
                </c:pt>
                <c:pt idx="6">
                  <c:v>45414</c:v>
                </c:pt>
                <c:pt idx="7">
                  <c:v>45408</c:v>
                </c:pt>
                <c:pt idx="8">
                  <c:v>45407</c:v>
                </c:pt>
                <c:pt idx="9">
                  <c:v>45406</c:v>
                </c:pt>
                <c:pt idx="10">
                  <c:v>45405</c:v>
                </c:pt>
                <c:pt idx="11">
                  <c:v>45404</c:v>
                </c:pt>
                <c:pt idx="12">
                  <c:v>45401</c:v>
                </c:pt>
                <c:pt idx="13">
                  <c:v>45399</c:v>
                </c:pt>
                <c:pt idx="14">
                  <c:v>45398</c:v>
                </c:pt>
                <c:pt idx="15">
                  <c:v>45397</c:v>
                </c:pt>
                <c:pt idx="16">
                  <c:v>45394</c:v>
                </c:pt>
                <c:pt idx="17">
                  <c:v>45393</c:v>
                </c:pt>
                <c:pt idx="18">
                  <c:v>45392</c:v>
                </c:pt>
                <c:pt idx="19">
                  <c:v>45391</c:v>
                </c:pt>
                <c:pt idx="20">
                  <c:v>45390</c:v>
                </c:pt>
                <c:pt idx="21">
                  <c:v>45387</c:v>
                </c:pt>
                <c:pt idx="22">
                  <c:v>45386</c:v>
                </c:pt>
                <c:pt idx="23">
                  <c:v>45385</c:v>
                </c:pt>
                <c:pt idx="24">
                  <c:v>45384</c:v>
                </c:pt>
                <c:pt idx="25">
                  <c:v>45383</c:v>
                </c:pt>
                <c:pt idx="26">
                  <c:v>45380</c:v>
                </c:pt>
                <c:pt idx="27">
                  <c:v>45379</c:v>
                </c:pt>
                <c:pt idx="28">
                  <c:v>45378</c:v>
                </c:pt>
                <c:pt idx="29">
                  <c:v>45377</c:v>
                </c:pt>
                <c:pt idx="30">
                  <c:v>45376</c:v>
                </c:pt>
                <c:pt idx="31">
                  <c:v>45373</c:v>
                </c:pt>
                <c:pt idx="32">
                  <c:v>45372</c:v>
                </c:pt>
                <c:pt idx="33">
                  <c:v>45371</c:v>
                </c:pt>
                <c:pt idx="34">
                  <c:v>45370</c:v>
                </c:pt>
                <c:pt idx="35">
                  <c:v>45369</c:v>
                </c:pt>
                <c:pt idx="36">
                  <c:v>45366</c:v>
                </c:pt>
                <c:pt idx="37">
                  <c:v>45365</c:v>
                </c:pt>
                <c:pt idx="38">
                  <c:v>45364</c:v>
                </c:pt>
                <c:pt idx="39">
                  <c:v>45363</c:v>
                </c:pt>
                <c:pt idx="40">
                  <c:v>45362</c:v>
                </c:pt>
                <c:pt idx="41">
                  <c:v>45359</c:v>
                </c:pt>
                <c:pt idx="42">
                  <c:v>45358</c:v>
                </c:pt>
                <c:pt idx="43">
                  <c:v>45357</c:v>
                </c:pt>
                <c:pt idx="44">
                  <c:v>45356</c:v>
                </c:pt>
                <c:pt idx="45">
                  <c:v>45355</c:v>
                </c:pt>
                <c:pt idx="46">
                  <c:v>45352</c:v>
                </c:pt>
                <c:pt idx="47">
                  <c:v>45351</c:v>
                </c:pt>
                <c:pt idx="48">
                  <c:v>45350</c:v>
                </c:pt>
                <c:pt idx="49">
                  <c:v>45349</c:v>
                </c:pt>
                <c:pt idx="50">
                  <c:v>45348</c:v>
                </c:pt>
                <c:pt idx="51">
                  <c:v>45345</c:v>
                </c:pt>
                <c:pt idx="52">
                  <c:v>45344</c:v>
                </c:pt>
                <c:pt idx="53">
                  <c:v>45343</c:v>
                </c:pt>
                <c:pt idx="54">
                  <c:v>45342</c:v>
                </c:pt>
                <c:pt idx="55">
                  <c:v>45341</c:v>
                </c:pt>
                <c:pt idx="56">
                  <c:v>45338</c:v>
                </c:pt>
                <c:pt idx="57">
                  <c:v>45337</c:v>
                </c:pt>
                <c:pt idx="58">
                  <c:v>45329</c:v>
                </c:pt>
                <c:pt idx="59">
                  <c:v>45328</c:v>
                </c:pt>
                <c:pt idx="60">
                  <c:v>45327</c:v>
                </c:pt>
                <c:pt idx="61">
                  <c:v>45324</c:v>
                </c:pt>
                <c:pt idx="62">
                  <c:v>45323</c:v>
                </c:pt>
                <c:pt idx="63">
                  <c:v>45322</c:v>
                </c:pt>
                <c:pt idx="64">
                  <c:v>45321</c:v>
                </c:pt>
                <c:pt idx="65">
                  <c:v>45320</c:v>
                </c:pt>
                <c:pt idx="66">
                  <c:v>45317</c:v>
                </c:pt>
                <c:pt idx="67">
                  <c:v>45316</c:v>
                </c:pt>
                <c:pt idx="68">
                  <c:v>45315</c:v>
                </c:pt>
                <c:pt idx="69">
                  <c:v>45314</c:v>
                </c:pt>
                <c:pt idx="70">
                  <c:v>45313</c:v>
                </c:pt>
                <c:pt idx="71">
                  <c:v>45310</c:v>
                </c:pt>
                <c:pt idx="73">
                  <c:v>45309</c:v>
                </c:pt>
                <c:pt idx="74">
                  <c:v>45308</c:v>
                </c:pt>
                <c:pt idx="75">
                  <c:v>45307</c:v>
                </c:pt>
                <c:pt idx="76">
                  <c:v>45306</c:v>
                </c:pt>
                <c:pt idx="77">
                  <c:v>45303</c:v>
                </c:pt>
                <c:pt idx="78">
                  <c:v>45302</c:v>
                </c:pt>
                <c:pt idx="79">
                  <c:v>45301</c:v>
                </c:pt>
                <c:pt idx="80">
                  <c:v>45300</c:v>
                </c:pt>
                <c:pt idx="81">
                  <c:v>45299</c:v>
                </c:pt>
                <c:pt idx="82">
                  <c:v>45296</c:v>
                </c:pt>
                <c:pt idx="83">
                  <c:v>45295</c:v>
                </c:pt>
                <c:pt idx="84">
                  <c:v>45294</c:v>
                </c:pt>
                <c:pt idx="85">
                  <c:v>45293</c:v>
                </c:pt>
                <c:pt idx="86">
                  <c:v>45289</c:v>
                </c:pt>
                <c:pt idx="87">
                  <c:v>45288</c:v>
                </c:pt>
                <c:pt idx="88">
                  <c:v>45287</c:v>
                </c:pt>
                <c:pt idx="89">
                  <c:v>45286</c:v>
                </c:pt>
                <c:pt idx="90">
                  <c:v>45285</c:v>
                </c:pt>
                <c:pt idx="91">
                  <c:v>45282</c:v>
                </c:pt>
                <c:pt idx="92">
                  <c:v>45281</c:v>
                </c:pt>
                <c:pt idx="93">
                  <c:v>45280</c:v>
                </c:pt>
                <c:pt idx="94">
                  <c:v>45279</c:v>
                </c:pt>
                <c:pt idx="95">
                  <c:v>45278</c:v>
                </c:pt>
                <c:pt idx="96">
                  <c:v>45275</c:v>
                </c:pt>
                <c:pt idx="97">
                  <c:v>45274</c:v>
                </c:pt>
                <c:pt idx="98">
                  <c:v>45273</c:v>
                </c:pt>
                <c:pt idx="99">
                  <c:v>45272</c:v>
                </c:pt>
                <c:pt idx="100">
                  <c:v>45271</c:v>
                </c:pt>
                <c:pt idx="101">
                  <c:v>45268</c:v>
                </c:pt>
                <c:pt idx="102">
                  <c:v>45267</c:v>
                </c:pt>
                <c:pt idx="103">
                  <c:v>45266</c:v>
                </c:pt>
                <c:pt idx="104">
                  <c:v>45265</c:v>
                </c:pt>
                <c:pt idx="105">
                  <c:v>45264</c:v>
                </c:pt>
                <c:pt idx="106">
                  <c:v>45261</c:v>
                </c:pt>
                <c:pt idx="107">
                  <c:v>45260</c:v>
                </c:pt>
                <c:pt idx="108">
                  <c:v>45259</c:v>
                </c:pt>
                <c:pt idx="109">
                  <c:v>45258</c:v>
                </c:pt>
                <c:pt idx="110">
                  <c:v>45257</c:v>
                </c:pt>
                <c:pt idx="111">
                  <c:v>45254</c:v>
                </c:pt>
                <c:pt idx="112">
                  <c:v>45253</c:v>
                </c:pt>
                <c:pt idx="113">
                  <c:v>45252</c:v>
                </c:pt>
                <c:pt idx="114">
                  <c:v>45251</c:v>
                </c:pt>
                <c:pt idx="115">
                  <c:v>45250</c:v>
                </c:pt>
                <c:pt idx="116">
                  <c:v>45247</c:v>
                </c:pt>
                <c:pt idx="117">
                  <c:v>45246</c:v>
                </c:pt>
                <c:pt idx="118">
                  <c:v>45245</c:v>
                </c:pt>
                <c:pt idx="119">
                  <c:v>45244</c:v>
                </c:pt>
                <c:pt idx="120">
                  <c:v>45243</c:v>
                </c:pt>
                <c:pt idx="121">
                  <c:v>45240</c:v>
                </c:pt>
                <c:pt idx="122">
                  <c:v>45239</c:v>
                </c:pt>
                <c:pt idx="123">
                  <c:v>45238</c:v>
                </c:pt>
                <c:pt idx="124">
                  <c:v>45237</c:v>
                </c:pt>
                <c:pt idx="125">
                  <c:v>45236</c:v>
                </c:pt>
                <c:pt idx="126">
                  <c:v>45233</c:v>
                </c:pt>
                <c:pt idx="127">
                  <c:v>45232</c:v>
                </c:pt>
                <c:pt idx="128">
                  <c:v>45231</c:v>
                </c:pt>
                <c:pt idx="129">
                  <c:v>45230</c:v>
                </c:pt>
                <c:pt idx="130">
                  <c:v>45229</c:v>
                </c:pt>
                <c:pt idx="131">
                  <c:v>45226</c:v>
                </c:pt>
                <c:pt idx="132">
                  <c:v>45225</c:v>
                </c:pt>
                <c:pt idx="133">
                  <c:v>45224</c:v>
                </c:pt>
                <c:pt idx="134">
                  <c:v>45223</c:v>
                </c:pt>
                <c:pt idx="135">
                  <c:v>45222</c:v>
                </c:pt>
                <c:pt idx="136">
                  <c:v>45219</c:v>
                </c:pt>
                <c:pt idx="137">
                  <c:v>45218</c:v>
                </c:pt>
                <c:pt idx="138">
                  <c:v>45217</c:v>
                </c:pt>
                <c:pt idx="139">
                  <c:v>45216</c:v>
                </c:pt>
                <c:pt idx="140">
                  <c:v>45215</c:v>
                </c:pt>
                <c:pt idx="141">
                  <c:v>45212</c:v>
                </c:pt>
                <c:pt idx="142">
                  <c:v>45211</c:v>
                </c:pt>
                <c:pt idx="143">
                  <c:v>45210</c:v>
                </c:pt>
                <c:pt idx="144">
                  <c:v>45209</c:v>
                </c:pt>
                <c:pt idx="145">
                  <c:v>45208</c:v>
                </c:pt>
                <c:pt idx="146">
                  <c:v>45205</c:v>
                </c:pt>
                <c:pt idx="147">
                  <c:v>45204</c:v>
                </c:pt>
                <c:pt idx="148">
                  <c:v>45203</c:v>
                </c:pt>
                <c:pt idx="149">
                  <c:v>45202</c:v>
                </c:pt>
                <c:pt idx="150">
                  <c:v>45201</c:v>
                </c:pt>
                <c:pt idx="151">
                  <c:v>45198</c:v>
                </c:pt>
                <c:pt idx="152">
                  <c:v>45197</c:v>
                </c:pt>
                <c:pt idx="153">
                  <c:v>45196</c:v>
                </c:pt>
                <c:pt idx="154">
                  <c:v>45195</c:v>
                </c:pt>
                <c:pt idx="155">
                  <c:v>45194</c:v>
                </c:pt>
                <c:pt idx="156">
                  <c:v>45191</c:v>
                </c:pt>
                <c:pt idx="157">
                  <c:v>45190</c:v>
                </c:pt>
                <c:pt idx="158">
                  <c:v>45189</c:v>
                </c:pt>
                <c:pt idx="159">
                  <c:v>45188</c:v>
                </c:pt>
                <c:pt idx="160">
                  <c:v>45187</c:v>
                </c:pt>
                <c:pt idx="161">
                  <c:v>45184</c:v>
                </c:pt>
                <c:pt idx="162">
                  <c:v>45183</c:v>
                </c:pt>
                <c:pt idx="163">
                  <c:v>45182</c:v>
                </c:pt>
                <c:pt idx="164">
                  <c:v>45181</c:v>
                </c:pt>
                <c:pt idx="165">
                  <c:v>45180</c:v>
                </c:pt>
                <c:pt idx="166">
                  <c:v>45177</c:v>
                </c:pt>
                <c:pt idx="167">
                  <c:v>45176</c:v>
                </c:pt>
                <c:pt idx="168">
                  <c:v>45175</c:v>
                </c:pt>
                <c:pt idx="169">
                  <c:v>45174</c:v>
                </c:pt>
                <c:pt idx="170">
                  <c:v>45169</c:v>
                </c:pt>
                <c:pt idx="171">
                  <c:v>45168</c:v>
                </c:pt>
                <c:pt idx="172">
                  <c:v>45167</c:v>
                </c:pt>
                <c:pt idx="173">
                  <c:v>45166</c:v>
                </c:pt>
                <c:pt idx="174">
                  <c:v>45163</c:v>
                </c:pt>
                <c:pt idx="175">
                  <c:v>45162</c:v>
                </c:pt>
                <c:pt idx="176">
                  <c:v>45161</c:v>
                </c:pt>
                <c:pt idx="177">
                  <c:v>45160</c:v>
                </c:pt>
                <c:pt idx="178">
                  <c:v>45159</c:v>
                </c:pt>
                <c:pt idx="179">
                  <c:v>45156</c:v>
                </c:pt>
                <c:pt idx="180">
                  <c:v>45155</c:v>
                </c:pt>
                <c:pt idx="181">
                  <c:v>45154</c:v>
                </c:pt>
                <c:pt idx="182">
                  <c:v>45153</c:v>
                </c:pt>
                <c:pt idx="183">
                  <c:v>45152</c:v>
                </c:pt>
                <c:pt idx="184">
                  <c:v>45149</c:v>
                </c:pt>
                <c:pt idx="185">
                  <c:v>45148</c:v>
                </c:pt>
                <c:pt idx="186">
                  <c:v>45147</c:v>
                </c:pt>
                <c:pt idx="187">
                  <c:v>45146</c:v>
                </c:pt>
                <c:pt idx="188">
                  <c:v>45145</c:v>
                </c:pt>
                <c:pt idx="189">
                  <c:v>45142</c:v>
                </c:pt>
                <c:pt idx="190">
                  <c:v>45141</c:v>
                </c:pt>
                <c:pt idx="191">
                  <c:v>45140</c:v>
                </c:pt>
                <c:pt idx="192">
                  <c:v>45139</c:v>
                </c:pt>
                <c:pt idx="193">
                  <c:v>45138</c:v>
                </c:pt>
                <c:pt idx="194">
                  <c:v>45135</c:v>
                </c:pt>
                <c:pt idx="195">
                  <c:v>45134</c:v>
                </c:pt>
                <c:pt idx="196">
                  <c:v>45133</c:v>
                </c:pt>
                <c:pt idx="197">
                  <c:v>45132</c:v>
                </c:pt>
                <c:pt idx="198">
                  <c:v>45131</c:v>
                </c:pt>
                <c:pt idx="199">
                  <c:v>45128</c:v>
                </c:pt>
                <c:pt idx="200">
                  <c:v>45127</c:v>
                </c:pt>
                <c:pt idx="201">
                  <c:v>45126</c:v>
                </c:pt>
                <c:pt idx="202">
                  <c:v>45125</c:v>
                </c:pt>
                <c:pt idx="203">
                  <c:v>45124</c:v>
                </c:pt>
                <c:pt idx="204">
                  <c:v>45121</c:v>
                </c:pt>
                <c:pt idx="205">
                  <c:v>45120</c:v>
                </c:pt>
                <c:pt idx="206">
                  <c:v>45119</c:v>
                </c:pt>
                <c:pt idx="207">
                  <c:v>45118</c:v>
                </c:pt>
                <c:pt idx="208">
                  <c:v>45117</c:v>
                </c:pt>
                <c:pt idx="209">
                  <c:v>45114</c:v>
                </c:pt>
                <c:pt idx="210">
                  <c:v>45113</c:v>
                </c:pt>
                <c:pt idx="211">
                  <c:v>45112</c:v>
                </c:pt>
                <c:pt idx="212">
                  <c:v>45111</c:v>
                </c:pt>
                <c:pt idx="213">
                  <c:v>45110</c:v>
                </c:pt>
                <c:pt idx="214">
                  <c:v>45107</c:v>
                </c:pt>
                <c:pt idx="215">
                  <c:v>45106</c:v>
                </c:pt>
                <c:pt idx="216">
                  <c:v>45105</c:v>
                </c:pt>
                <c:pt idx="217">
                  <c:v>45104</c:v>
                </c:pt>
                <c:pt idx="218">
                  <c:v>45103</c:v>
                </c:pt>
                <c:pt idx="219">
                  <c:v>45100</c:v>
                </c:pt>
                <c:pt idx="220">
                  <c:v>45099</c:v>
                </c:pt>
                <c:pt idx="221">
                  <c:v>45098</c:v>
                </c:pt>
                <c:pt idx="222">
                  <c:v>45097</c:v>
                </c:pt>
                <c:pt idx="223">
                  <c:v>45096</c:v>
                </c:pt>
                <c:pt idx="224">
                  <c:v>45093</c:v>
                </c:pt>
                <c:pt idx="225">
                  <c:v>45092</c:v>
                </c:pt>
                <c:pt idx="226">
                  <c:v>45091</c:v>
                </c:pt>
                <c:pt idx="227">
                  <c:v>45090</c:v>
                </c:pt>
                <c:pt idx="228">
                  <c:v>45089</c:v>
                </c:pt>
                <c:pt idx="229">
                  <c:v>45086</c:v>
                </c:pt>
                <c:pt idx="230">
                  <c:v>45085</c:v>
                </c:pt>
                <c:pt idx="231">
                  <c:v>45084</c:v>
                </c:pt>
                <c:pt idx="232">
                  <c:v>45083</c:v>
                </c:pt>
                <c:pt idx="233">
                  <c:v>45082</c:v>
                </c:pt>
                <c:pt idx="234">
                  <c:v>45079</c:v>
                </c:pt>
                <c:pt idx="235">
                  <c:v>45078</c:v>
                </c:pt>
                <c:pt idx="236">
                  <c:v>45077</c:v>
                </c:pt>
                <c:pt idx="237">
                  <c:v>45076</c:v>
                </c:pt>
                <c:pt idx="238">
                  <c:v>45075</c:v>
                </c:pt>
                <c:pt idx="239">
                  <c:v>45072</c:v>
                </c:pt>
                <c:pt idx="240">
                  <c:v>45071</c:v>
                </c:pt>
                <c:pt idx="241">
                  <c:v>45070</c:v>
                </c:pt>
                <c:pt idx="242">
                  <c:v>45069</c:v>
                </c:pt>
                <c:pt idx="243">
                  <c:v>45068</c:v>
                </c:pt>
                <c:pt idx="244">
                  <c:v>45065</c:v>
                </c:pt>
                <c:pt idx="245">
                  <c:v>45064</c:v>
                </c:pt>
                <c:pt idx="246">
                  <c:v>45063</c:v>
                </c:pt>
                <c:pt idx="247">
                  <c:v>45062</c:v>
                </c:pt>
                <c:pt idx="248">
                  <c:v>45061</c:v>
                </c:pt>
                <c:pt idx="249">
                  <c:v>45058</c:v>
                </c:pt>
                <c:pt idx="250">
                  <c:v>45057</c:v>
                </c:pt>
                <c:pt idx="251">
                  <c:v>45056</c:v>
                </c:pt>
                <c:pt idx="252">
                  <c:v>45055</c:v>
                </c:pt>
                <c:pt idx="253">
                  <c:v>45054</c:v>
                </c:pt>
              </c:numCache>
            </c:numRef>
          </c:cat>
          <c:val>
            <c:numRef>
              <c:f>'Report''s chart'!$AM$2:$AM$255</c:f>
              <c:numCache>
                <c:formatCode>General</c:formatCode>
                <c:ptCount val="254"/>
                <c:pt idx="0">
                  <c:v>58200</c:v>
                </c:pt>
                <c:pt idx="1">
                  <c:v>58300</c:v>
                </c:pt>
                <c:pt idx="2">
                  <c:v>55700</c:v>
                </c:pt>
                <c:pt idx="6">
                  <c:v>55600</c:v>
                </c:pt>
                <c:pt idx="7">
                  <c:v>54900</c:v>
                </c:pt>
                <c:pt idx="8">
                  <c:v>53800</c:v>
                </c:pt>
                <c:pt idx="9">
                  <c:v>52300</c:v>
                </c:pt>
                <c:pt idx="10">
                  <c:v>49800</c:v>
                </c:pt>
                <c:pt idx="11">
                  <c:v>48600</c:v>
                </c:pt>
                <c:pt idx="12">
                  <c:v>48200</c:v>
                </c:pt>
                <c:pt idx="13">
                  <c:v>49400</c:v>
                </c:pt>
                <c:pt idx="14">
                  <c:v>49900</c:v>
                </c:pt>
                <c:pt idx="15">
                  <c:v>49900</c:v>
                </c:pt>
                <c:pt idx="16">
                  <c:v>52000</c:v>
                </c:pt>
                <c:pt idx="17">
                  <c:v>52300</c:v>
                </c:pt>
                <c:pt idx="18">
                  <c:v>52000</c:v>
                </c:pt>
                <c:pt idx="19">
                  <c:v>52800</c:v>
                </c:pt>
                <c:pt idx="20">
                  <c:v>50000</c:v>
                </c:pt>
                <c:pt idx="21">
                  <c:v>51000</c:v>
                </c:pt>
                <c:pt idx="22">
                  <c:v>50700</c:v>
                </c:pt>
                <c:pt idx="23">
                  <c:v>50200</c:v>
                </c:pt>
                <c:pt idx="24">
                  <c:v>51600</c:v>
                </c:pt>
                <c:pt idx="25">
                  <c:v>51400</c:v>
                </c:pt>
                <c:pt idx="26">
                  <c:v>51100</c:v>
                </c:pt>
                <c:pt idx="27">
                  <c:v>51000</c:v>
                </c:pt>
                <c:pt idx="28">
                  <c:v>50700</c:v>
                </c:pt>
                <c:pt idx="29">
                  <c:v>48650</c:v>
                </c:pt>
                <c:pt idx="30">
                  <c:v>48300</c:v>
                </c:pt>
                <c:pt idx="31">
                  <c:v>49100</c:v>
                </c:pt>
                <c:pt idx="32">
                  <c:v>48500</c:v>
                </c:pt>
                <c:pt idx="33">
                  <c:v>48000</c:v>
                </c:pt>
                <c:pt idx="34">
                  <c:v>45500</c:v>
                </c:pt>
                <c:pt idx="35">
                  <c:v>45900</c:v>
                </c:pt>
                <c:pt idx="36">
                  <c:v>47350</c:v>
                </c:pt>
                <c:pt idx="37">
                  <c:v>47250</c:v>
                </c:pt>
                <c:pt idx="38">
                  <c:v>48550</c:v>
                </c:pt>
                <c:pt idx="39">
                  <c:v>46750</c:v>
                </c:pt>
                <c:pt idx="40">
                  <c:v>46400</c:v>
                </c:pt>
                <c:pt idx="41">
                  <c:v>47750</c:v>
                </c:pt>
                <c:pt idx="42">
                  <c:v>49000</c:v>
                </c:pt>
                <c:pt idx="43">
                  <c:v>48700</c:v>
                </c:pt>
                <c:pt idx="44">
                  <c:v>50000</c:v>
                </c:pt>
                <c:pt idx="45">
                  <c:v>47400</c:v>
                </c:pt>
                <c:pt idx="46">
                  <c:v>46600</c:v>
                </c:pt>
                <c:pt idx="47">
                  <c:v>46200</c:v>
                </c:pt>
                <c:pt idx="48">
                  <c:v>45300</c:v>
                </c:pt>
                <c:pt idx="49">
                  <c:v>44750</c:v>
                </c:pt>
                <c:pt idx="50">
                  <c:v>44350</c:v>
                </c:pt>
                <c:pt idx="51">
                  <c:v>44000</c:v>
                </c:pt>
                <c:pt idx="52">
                  <c:v>45300</c:v>
                </c:pt>
                <c:pt idx="53">
                  <c:v>46100</c:v>
                </c:pt>
                <c:pt idx="54">
                  <c:v>46800</c:v>
                </c:pt>
                <c:pt idx="55">
                  <c:v>46800</c:v>
                </c:pt>
                <c:pt idx="56">
                  <c:v>46300</c:v>
                </c:pt>
                <c:pt idx="57">
                  <c:v>45850</c:v>
                </c:pt>
                <c:pt idx="58">
                  <c:v>46600</c:v>
                </c:pt>
                <c:pt idx="59">
                  <c:v>47000</c:v>
                </c:pt>
                <c:pt idx="60">
                  <c:v>47400</c:v>
                </c:pt>
                <c:pt idx="61">
                  <c:v>47400</c:v>
                </c:pt>
                <c:pt idx="62">
                  <c:v>46200</c:v>
                </c:pt>
                <c:pt idx="63">
                  <c:v>45000</c:v>
                </c:pt>
                <c:pt idx="64">
                  <c:v>45400</c:v>
                </c:pt>
                <c:pt idx="65">
                  <c:v>44600</c:v>
                </c:pt>
                <c:pt idx="66">
                  <c:v>44900</c:v>
                </c:pt>
                <c:pt idx="67">
                  <c:v>45200</c:v>
                </c:pt>
                <c:pt idx="68">
                  <c:v>44400</c:v>
                </c:pt>
                <c:pt idx="69">
                  <c:v>45400</c:v>
                </c:pt>
                <c:pt idx="70">
                  <c:v>46150</c:v>
                </c:pt>
                <c:pt idx="71">
                  <c:v>46050</c:v>
                </c:pt>
                <c:pt idx="73">
                  <c:v>45850</c:v>
                </c:pt>
                <c:pt idx="74">
                  <c:v>44900</c:v>
                </c:pt>
                <c:pt idx="75">
                  <c:v>44300</c:v>
                </c:pt>
                <c:pt idx="76">
                  <c:v>42900</c:v>
                </c:pt>
                <c:pt idx="77">
                  <c:v>41900</c:v>
                </c:pt>
                <c:pt idx="78">
                  <c:v>42450</c:v>
                </c:pt>
                <c:pt idx="79">
                  <c:v>42250</c:v>
                </c:pt>
                <c:pt idx="80">
                  <c:v>42700</c:v>
                </c:pt>
                <c:pt idx="81">
                  <c:v>43200</c:v>
                </c:pt>
                <c:pt idx="82">
                  <c:v>43850</c:v>
                </c:pt>
                <c:pt idx="83">
                  <c:v>43200</c:v>
                </c:pt>
                <c:pt idx="84">
                  <c:v>43200</c:v>
                </c:pt>
                <c:pt idx="85">
                  <c:v>42450</c:v>
                </c:pt>
                <c:pt idx="86">
                  <c:v>42800</c:v>
                </c:pt>
                <c:pt idx="87">
                  <c:v>43050</c:v>
                </c:pt>
                <c:pt idx="88">
                  <c:v>42850</c:v>
                </c:pt>
                <c:pt idx="89">
                  <c:v>42700</c:v>
                </c:pt>
                <c:pt idx="90">
                  <c:v>42650</c:v>
                </c:pt>
                <c:pt idx="91">
                  <c:v>42350</c:v>
                </c:pt>
                <c:pt idx="92">
                  <c:v>42650</c:v>
                </c:pt>
                <c:pt idx="93">
                  <c:v>42400</c:v>
                </c:pt>
                <c:pt idx="94">
                  <c:v>40650</c:v>
                </c:pt>
                <c:pt idx="95">
                  <c:v>39600</c:v>
                </c:pt>
                <c:pt idx="96">
                  <c:v>40750</c:v>
                </c:pt>
                <c:pt idx="97">
                  <c:v>41600</c:v>
                </c:pt>
                <c:pt idx="98">
                  <c:v>41700</c:v>
                </c:pt>
                <c:pt idx="99">
                  <c:v>42500</c:v>
                </c:pt>
                <c:pt idx="100">
                  <c:v>42500</c:v>
                </c:pt>
                <c:pt idx="101">
                  <c:v>42600</c:v>
                </c:pt>
                <c:pt idx="102">
                  <c:v>40850</c:v>
                </c:pt>
                <c:pt idx="103">
                  <c:v>40950</c:v>
                </c:pt>
                <c:pt idx="104">
                  <c:v>40000</c:v>
                </c:pt>
                <c:pt idx="105">
                  <c:v>39950</c:v>
                </c:pt>
                <c:pt idx="106">
                  <c:v>38750</c:v>
                </c:pt>
                <c:pt idx="107">
                  <c:v>38500</c:v>
                </c:pt>
                <c:pt idx="108">
                  <c:v>38800</c:v>
                </c:pt>
                <c:pt idx="109">
                  <c:v>38000</c:v>
                </c:pt>
                <c:pt idx="110">
                  <c:v>38000</c:v>
                </c:pt>
                <c:pt idx="111">
                  <c:v>38550</c:v>
                </c:pt>
                <c:pt idx="112">
                  <c:v>37300</c:v>
                </c:pt>
                <c:pt idx="113">
                  <c:v>39800</c:v>
                </c:pt>
                <c:pt idx="114">
                  <c:v>40900</c:v>
                </c:pt>
                <c:pt idx="115">
                  <c:v>40550</c:v>
                </c:pt>
                <c:pt idx="116">
                  <c:v>41400</c:v>
                </c:pt>
                <c:pt idx="117">
                  <c:v>41500</c:v>
                </c:pt>
                <c:pt idx="118">
                  <c:v>41900</c:v>
                </c:pt>
                <c:pt idx="119">
                  <c:v>41500</c:v>
                </c:pt>
                <c:pt idx="120">
                  <c:v>40000</c:v>
                </c:pt>
                <c:pt idx="121">
                  <c:v>39400</c:v>
                </c:pt>
                <c:pt idx="122">
                  <c:v>40300</c:v>
                </c:pt>
                <c:pt idx="123">
                  <c:v>39600</c:v>
                </c:pt>
                <c:pt idx="124">
                  <c:v>38200</c:v>
                </c:pt>
                <c:pt idx="125">
                  <c:v>38050</c:v>
                </c:pt>
                <c:pt idx="126">
                  <c:v>38950</c:v>
                </c:pt>
                <c:pt idx="127">
                  <c:v>37000</c:v>
                </c:pt>
                <c:pt idx="128">
                  <c:v>35100</c:v>
                </c:pt>
                <c:pt idx="129">
                  <c:v>37700</c:v>
                </c:pt>
                <c:pt idx="130">
                  <c:v>40500</c:v>
                </c:pt>
                <c:pt idx="131">
                  <c:v>42000</c:v>
                </c:pt>
                <c:pt idx="132">
                  <c:v>42000</c:v>
                </c:pt>
                <c:pt idx="133">
                  <c:v>43500</c:v>
                </c:pt>
                <c:pt idx="134">
                  <c:v>43000</c:v>
                </c:pt>
                <c:pt idx="135">
                  <c:v>43000</c:v>
                </c:pt>
                <c:pt idx="136">
                  <c:v>44700</c:v>
                </c:pt>
                <c:pt idx="137">
                  <c:v>43000</c:v>
                </c:pt>
                <c:pt idx="138">
                  <c:v>44700</c:v>
                </c:pt>
                <c:pt idx="139">
                  <c:v>46300</c:v>
                </c:pt>
                <c:pt idx="140">
                  <c:v>48600</c:v>
                </c:pt>
                <c:pt idx="141">
                  <c:v>49500</c:v>
                </c:pt>
                <c:pt idx="142">
                  <c:v>48400</c:v>
                </c:pt>
                <c:pt idx="143">
                  <c:v>49300</c:v>
                </c:pt>
                <c:pt idx="144">
                  <c:v>48850</c:v>
                </c:pt>
                <c:pt idx="145">
                  <c:v>47950</c:v>
                </c:pt>
                <c:pt idx="146">
                  <c:v>48300</c:v>
                </c:pt>
                <c:pt idx="147">
                  <c:v>47000</c:v>
                </c:pt>
                <c:pt idx="148">
                  <c:v>49200</c:v>
                </c:pt>
                <c:pt idx="149">
                  <c:v>49000</c:v>
                </c:pt>
                <c:pt idx="150">
                  <c:v>51900</c:v>
                </c:pt>
                <c:pt idx="151">
                  <c:v>52600</c:v>
                </c:pt>
                <c:pt idx="152">
                  <c:v>53000</c:v>
                </c:pt>
                <c:pt idx="153">
                  <c:v>52000</c:v>
                </c:pt>
                <c:pt idx="154">
                  <c:v>51500</c:v>
                </c:pt>
                <c:pt idx="155">
                  <c:v>51000</c:v>
                </c:pt>
                <c:pt idx="156">
                  <c:v>52100</c:v>
                </c:pt>
                <c:pt idx="157">
                  <c:v>54200</c:v>
                </c:pt>
                <c:pt idx="158">
                  <c:v>55800</c:v>
                </c:pt>
                <c:pt idx="159">
                  <c:v>55500</c:v>
                </c:pt>
                <c:pt idx="160">
                  <c:v>55000</c:v>
                </c:pt>
                <c:pt idx="161">
                  <c:v>55900</c:v>
                </c:pt>
                <c:pt idx="162">
                  <c:v>57300</c:v>
                </c:pt>
                <c:pt idx="163">
                  <c:v>57500</c:v>
                </c:pt>
                <c:pt idx="164">
                  <c:v>55800</c:v>
                </c:pt>
                <c:pt idx="165">
                  <c:v>54500</c:v>
                </c:pt>
                <c:pt idx="166">
                  <c:v>55500</c:v>
                </c:pt>
                <c:pt idx="167">
                  <c:v>55000</c:v>
                </c:pt>
                <c:pt idx="168">
                  <c:v>55000</c:v>
                </c:pt>
                <c:pt idx="169">
                  <c:v>54300</c:v>
                </c:pt>
                <c:pt idx="170">
                  <c:v>53800</c:v>
                </c:pt>
                <c:pt idx="171">
                  <c:v>53800</c:v>
                </c:pt>
                <c:pt idx="172">
                  <c:v>52900</c:v>
                </c:pt>
                <c:pt idx="173">
                  <c:v>51700</c:v>
                </c:pt>
                <c:pt idx="174">
                  <c:v>50500</c:v>
                </c:pt>
                <c:pt idx="175">
                  <c:v>50300</c:v>
                </c:pt>
                <c:pt idx="176">
                  <c:v>49700</c:v>
                </c:pt>
                <c:pt idx="177">
                  <c:v>50000</c:v>
                </c:pt>
                <c:pt idx="178">
                  <c:v>49000</c:v>
                </c:pt>
                <c:pt idx="179">
                  <c:v>50200</c:v>
                </c:pt>
                <c:pt idx="180">
                  <c:v>53900</c:v>
                </c:pt>
                <c:pt idx="181">
                  <c:v>53800</c:v>
                </c:pt>
                <c:pt idx="182">
                  <c:v>54000</c:v>
                </c:pt>
                <c:pt idx="183">
                  <c:v>54200</c:v>
                </c:pt>
                <c:pt idx="184">
                  <c:v>53300</c:v>
                </c:pt>
                <c:pt idx="185">
                  <c:v>52000</c:v>
                </c:pt>
                <c:pt idx="186">
                  <c:v>52600</c:v>
                </c:pt>
                <c:pt idx="187">
                  <c:v>53600</c:v>
                </c:pt>
                <c:pt idx="188">
                  <c:v>53800</c:v>
                </c:pt>
                <c:pt idx="189">
                  <c:v>53000</c:v>
                </c:pt>
                <c:pt idx="190">
                  <c:v>52700</c:v>
                </c:pt>
                <c:pt idx="191">
                  <c:v>51700</c:v>
                </c:pt>
                <c:pt idx="192">
                  <c:v>51700</c:v>
                </c:pt>
                <c:pt idx="193">
                  <c:v>53700</c:v>
                </c:pt>
                <c:pt idx="194">
                  <c:v>54500</c:v>
                </c:pt>
                <c:pt idx="195">
                  <c:v>54100</c:v>
                </c:pt>
                <c:pt idx="196">
                  <c:v>52099.983999999997</c:v>
                </c:pt>
                <c:pt idx="197">
                  <c:v>53090.476999999999</c:v>
                </c:pt>
                <c:pt idx="198">
                  <c:v>53981.921999999999</c:v>
                </c:pt>
                <c:pt idx="199">
                  <c:v>52000.934000000001</c:v>
                </c:pt>
                <c:pt idx="200">
                  <c:v>48633.254000000001</c:v>
                </c:pt>
                <c:pt idx="201">
                  <c:v>48038.961000000003</c:v>
                </c:pt>
                <c:pt idx="202">
                  <c:v>47593.237999999998</c:v>
                </c:pt>
                <c:pt idx="203">
                  <c:v>48187.531000000003</c:v>
                </c:pt>
                <c:pt idx="204">
                  <c:v>48979.93</c:v>
                </c:pt>
                <c:pt idx="205">
                  <c:v>48880.879000000001</c:v>
                </c:pt>
                <c:pt idx="206">
                  <c:v>48682.781000000003</c:v>
                </c:pt>
                <c:pt idx="207">
                  <c:v>48336.105000000003</c:v>
                </c:pt>
                <c:pt idx="208">
                  <c:v>47296.09</c:v>
                </c:pt>
                <c:pt idx="209">
                  <c:v>45067.476999999999</c:v>
                </c:pt>
                <c:pt idx="210">
                  <c:v>42789.34</c:v>
                </c:pt>
                <c:pt idx="211">
                  <c:v>42937.913999999997</c:v>
                </c:pt>
                <c:pt idx="212">
                  <c:v>42838.866999999998</c:v>
                </c:pt>
                <c:pt idx="213">
                  <c:v>42591.241999999998</c:v>
                </c:pt>
                <c:pt idx="214">
                  <c:v>42888.391000000003</c:v>
                </c:pt>
                <c:pt idx="215">
                  <c:v>42294.093999999997</c:v>
                </c:pt>
                <c:pt idx="216">
                  <c:v>43482.688000000002</c:v>
                </c:pt>
                <c:pt idx="217">
                  <c:v>43779.836000000003</c:v>
                </c:pt>
                <c:pt idx="218">
                  <c:v>43928.41</c:v>
                </c:pt>
                <c:pt idx="219">
                  <c:v>42492.190999999999</c:v>
                </c:pt>
                <c:pt idx="220">
                  <c:v>42640.766000000003</c:v>
                </c:pt>
                <c:pt idx="221">
                  <c:v>42294.093999999997</c:v>
                </c:pt>
                <c:pt idx="222">
                  <c:v>42095.995999999999</c:v>
                </c:pt>
                <c:pt idx="223">
                  <c:v>41105.5</c:v>
                </c:pt>
                <c:pt idx="224">
                  <c:v>40956.925999999999</c:v>
                </c:pt>
                <c:pt idx="225">
                  <c:v>41303.601999999999</c:v>
                </c:pt>
                <c:pt idx="226">
                  <c:v>41650.273000000001</c:v>
                </c:pt>
                <c:pt idx="227">
                  <c:v>42591.241999999998</c:v>
                </c:pt>
                <c:pt idx="228">
                  <c:v>42591.241999999998</c:v>
                </c:pt>
                <c:pt idx="229">
                  <c:v>41006.453000000001</c:v>
                </c:pt>
                <c:pt idx="230">
                  <c:v>40263.582000000002</c:v>
                </c:pt>
                <c:pt idx="231">
                  <c:v>41402.648000000001</c:v>
                </c:pt>
                <c:pt idx="232">
                  <c:v>41402.648000000001</c:v>
                </c:pt>
                <c:pt idx="233">
                  <c:v>40808.351999999999</c:v>
                </c:pt>
                <c:pt idx="234">
                  <c:v>40412.156000000003</c:v>
                </c:pt>
                <c:pt idx="235">
                  <c:v>38926.413999999997</c:v>
                </c:pt>
                <c:pt idx="236">
                  <c:v>38827.362999999998</c:v>
                </c:pt>
                <c:pt idx="237">
                  <c:v>39025.464999999997</c:v>
                </c:pt>
                <c:pt idx="238">
                  <c:v>38332.116999999998</c:v>
                </c:pt>
                <c:pt idx="239">
                  <c:v>37836.870999999999</c:v>
                </c:pt>
                <c:pt idx="240">
                  <c:v>37638.773000000001</c:v>
                </c:pt>
                <c:pt idx="241">
                  <c:v>37589.245999999999</c:v>
                </c:pt>
                <c:pt idx="242">
                  <c:v>37886.394999999997</c:v>
                </c:pt>
                <c:pt idx="243">
                  <c:v>38183.542999999998</c:v>
                </c:pt>
                <c:pt idx="244">
                  <c:v>37935.921999999999</c:v>
                </c:pt>
                <c:pt idx="245">
                  <c:v>37737.82</c:v>
                </c:pt>
                <c:pt idx="246">
                  <c:v>37787.347999999998</c:v>
                </c:pt>
                <c:pt idx="247">
                  <c:v>38084.495999999999</c:v>
                </c:pt>
                <c:pt idx="248">
                  <c:v>38530.214999999997</c:v>
                </c:pt>
                <c:pt idx="249">
                  <c:v>38629.266000000003</c:v>
                </c:pt>
                <c:pt idx="250">
                  <c:v>38332.116999999998</c:v>
                </c:pt>
                <c:pt idx="251">
                  <c:v>38629.266000000003</c:v>
                </c:pt>
                <c:pt idx="252">
                  <c:v>37589.245999999999</c:v>
                </c:pt>
                <c:pt idx="253">
                  <c:v>37490.199000000001</c:v>
                </c:pt>
              </c:numCache>
            </c:numRef>
          </c:val>
          <c:smooth val="0"/>
          <c:extLst>
            <c:ext xmlns:c16="http://schemas.microsoft.com/office/drawing/2014/chart" uri="{C3380CC4-5D6E-409C-BE32-E72D297353CC}">
              <c16:uniqueId val="{00000000-F9B4-471E-B603-C547EB19E5B8}"/>
            </c:ext>
          </c:extLst>
        </c:ser>
        <c:dLbls>
          <c:showLegendKey val="0"/>
          <c:showVal val="0"/>
          <c:showCatName val="0"/>
          <c:showSerName val="0"/>
          <c:showPercent val="0"/>
          <c:showBubbleSize val="0"/>
        </c:dLbls>
        <c:marker val="1"/>
        <c:smooth val="0"/>
        <c:axId val="514147832"/>
        <c:axId val="514150352"/>
      </c:lineChart>
      <c:lineChart>
        <c:grouping val="standard"/>
        <c:varyColors val="0"/>
        <c:ser>
          <c:idx val="1"/>
          <c:order val="1"/>
          <c:tx>
            <c:strRef>
              <c:f>'Report''s chart'!$AN$1</c:f>
              <c:strCache>
                <c:ptCount val="1"/>
                <c:pt idx="0">
                  <c:v>VNINDEX Index  (R)</c:v>
                </c:pt>
              </c:strCache>
            </c:strRef>
          </c:tx>
          <c:spPr>
            <a:ln w="28575" cap="rnd">
              <a:solidFill>
                <a:schemeClr val="bg1">
                  <a:lumMod val="65000"/>
                </a:schemeClr>
              </a:solidFill>
              <a:round/>
            </a:ln>
            <a:effectLst/>
          </c:spPr>
          <c:marker>
            <c:symbol val="none"/>
          </c:marker>
          <c:cat>
            <c:numRef>
              <c:f>'Report''s chart'!$AL$2:$AL$255</c:f>
              <c:numCache>
                <c:formatCode>m/d/yy</c:formatCode>
                <c:ptCount val="254"/>
                <c:pt idx="0">
                  <c:v>45419</c:v>
                </c:pt>
                <c:pt idx="1">
                  <c:v>45418</c:v>
                </c:pt>
                <c:pt idx="2">
                  <c:v>45415</c:v>
                </c:pt>
                <c:pt idx="6">
                  <c:v>45414</c:v>
                </c:pt>
                <c:pt idx="7">
                  <c:v>45408</c:v>
                </c:pt>
                <c:pt idx="8">
                  <c:v>45407</c:v>
                </c:pt>
                <c:pt idx="9">
                  <c:v>45406</c:v>
                </c:pt>
                <c:pt idx="10">
                  <c:v>45405</c:v>
                </c:pt>
                <c:pt idx="11">
                  <c:v>45404</c:v>
                </c:pt>
                <c:pt idx="12">
                  <c:v>45401</c:v>
                </c:pt>
                <c:pt idx="13">
                  <c:v>45399</c:v>
                </c:pt>
                <c:pt idx="14">
                  <c:v>45398</c:v>
                </c:pt>
                <c:pt idx="15">
                  <c:v>45397</c:v>
                </c:pt>
                <c:pt idx="16">
                  <c:v>45394</c:v>
                </c:pt>
                <c:pt idx="17">
                  <c:v>45393</c:v>
                </c:pt>
                <c:pt idx="18">
                  <c:v>45392</c:v>
                </c:pt>
                <c:pt idx="19">
                  <c:v>45391</c:v>
                </c:pt>
                <c:pt idx="20">
                  <c:v>45390</c:v>
                </c:pt>
                <c:pt idx="21">
                  <c:v>45387</c:v>
                </c:pt>
                <c:pt idx="22">
                  <c:v>45386</c:v>
                </c:pt>
                <c:pt idx="23">
                  <c:v>45385</c:v>
                </c:pt>
                <c:pt idx="24">
                  <c:v>45384</c:v>
                </c:pt>
                <c:pt idx="25">
                  <c:v>45383</c:v>
                </c:pt>
                <c:pt idx="26">
                  <c:v>45380</c:v>
                </c:pt>
                <c:pt idx="27">
                  <c:v>45379</c:v>
                </c:pt>
                <c:pt idx="28">
                  <c:v>45378</c:v>
                </c:pt>
                <c:pt idx="29">
                  <c:v>45377</c:v>
                </c:pt>
                <c:pt idx="30">
                  <c:v>45376</c:v>
                </c:pt>
                <c:pt idx="31">
                  <c:v>45373</c:v>
                </c:pt>
                <c:pt idx="32">
                  <c:v>45372</c:v>
                </c:pt>
                <c:pt idx="33">
                  <c:v>45371</c:v>
                </c:pt>
                <c:pt idx="34">
                  <c:v>45370</c:v>
                </c:pt>
                <c:pt idx="35">
                  <c:v>45369</c:v>
                </c:pt>
                <c:pt idx="36">
                  <c:v>45366</c:v>
                </c:pt>
                <c:pt idx="37">
                  <c:v>45365</c:v>
                </c:pt>
                <c:pt idx="38">
                  <c:v>45364</c:v>
                </c:pt>
                <c:pt idx="39">
                  <c:v>45363</c:v>
                </c:pt>
                <c:pt idx="40">
                  <c:v>45362</c:v>
                </c:pt>
                <c:pt idx="41">
                  <c:v>45359</c:v>
                </c:pt>
                <c:pt idx="42">
                  <c:v>45358</c:v>
                </c:pt>
                <c:pt idx="43">
                  <c:v>45357</c:v>
                </c:pt>
                <c:pt idx="44">
                  <c:v>45356</c:v>
                </c:pt>
                <c:pt idx="45">
                  <c:v>45355</c:v>
                </c:pt>
                <c:pt idx="46">
                  <c:v>45352</c:v>
                </c:pt>
                <c:pt idx="47">
                  <c:v>45351</c:v>
                </c:pt>
                <c:pt idx="48">
                  <c:v>45350</c:v>
                </c:pt>
                <c:pt idx="49">
                  <c:v>45349</c:v>
                </c:pt>
                <c:pt idx="50">
                  <c:v>45348</c:v>
                </c:pt>
                <c:pt idx="51">
                  <c:v>45345</c:v>
                </c:pt>
                <c:pt idx="52">
                  <c:v>45344</c:v>
                </c:pt>
                <c:pt idx="53">
                  <c:v>45343</c:v>
                </c:pt>
                <c:pt idx="54">
                  <c:v>45342</c:v>
                </c:pt>
                <c:pt idx="55">
                  <c:v>45341</c:v>
                </c:pt>
                <c:pt idx="56">
                  <c:v>45338</c:v>
                </c:pt>
                <c:pt idx="57">
                  <c:v>45337</c:v>
                </c:pt>
                <c:pt idx="58">
                  <c:v>45329</c:v>
                </c:pt>
                <c:pt idx="59">
                  <c:v>45328</c:v>
                </c:pt>
                <c:pt idx="60">
                  <c:v>45327</c:v>
                </c:pt>
                <c:pt idx="61">
                  <c:v>45324</c:v>
                </c:pt>
                <c:pt idx="62">
                  <c:v>45323</c:v>
                </c:pt>
                <c:pt idx="63">
                  <c:v>45322</c:v>
                </c:pt>
                <c:pt idx="64">
                  <c:v>45321</c:v>
                </c:pt>
                <c:pt idx="65">
                  <c:v>45320</c:v>
                </c:pt>
                <c:pt idx="66">
                  <c:v>45317</c:v>
                </c:pt>
                <c:pt idx="67">
                  <c:v>45316</c:v>
                </c:pt>
                <c:pt idx="68">
                  <c:v>45315</c:v>
                </c:pt>
                <c:pt idx="69">
                  <c:v>45314</c:v>
                </c:pt>
                <c:pt idx="70">
                  <c:v>45313</c:v>
                </c:pt>
                <c:pt idx="71">
                  <c:v>45310</c:v>
                </c:pt>
                <c:pt idx="73">
                  <c:v>45309</c:v>
                </c:pt>
                <c:pt idx="74">
                  <c:v>45308</c:v>
                </c:pt>
                <c:pt idx="75">
                  <c:v>45307</c:v>
                </c:pt>
                <c:pt idx="76">
                  <c:v>45306</c:v>
                </c:pt>
                <c:pt idx="77">
                  <c:v>45303</c:v>
                </c:pt>
                <c:pt idx="78">
                  <c:v>45302</c:v>
                </c:pt>
                <c:pt idx="79">
                  <c:v>45301</c:v>
                </c:pt>
                <c:pt idx="80">
                  <c:v>45300</c:v>
                </c:pt>
                <c:pt idx="81">
                  <c:v>45299</c:v>
                </c:pt>
                <c:pt idx="82">
                  <c:v>45296</c:v>
                </c:pt>
                <c:pt idx="83">
                  <c:v>45295</c:v>
                </c:pt>
                <c:pt idx="84">
                  <c:v>45294</c:v>
                </c:pt>
                <c:pt idx="85">
                  <c:v>45293</c:v>
                </c:pt>
                <c:pt idx="86">
                  <c:v>45289</c:v>
                </c:pt>
                <c:pt idx="87">
                  <c:v>45288</c:v>
                </c:pt>
                <c:pt idx="88">
                  <c:v>45287</c:v>
                </c:pt>
                <c:pt idx="89">
                  <c:v>45286</c:v>
                </c:pt>
                <c:pt idx="90">
                  <c:v>45285</c:v>
                </c:pt>
                <c:pt idx="91">
                  <c:v>45282</c:v>
                </c:pt>
                <c:pt idx="92">
                  <c:v>45281</c:v>
                </c:pt>
                <c:pt idx="93">
                  <c:v>45280</c:v>
                </c:pt>
                <c:pt idx="94">
                  <c:v>45279</c:v>
                </c:pt>
                <c:pt idx="95">
                  <c:v>45278</c:v>
                </c:pt>
                <c:pt idx="96">
                  <c:v>45275</c:v>
                </c:pt>
                <c:pt idx="97">
                  <c:v>45274</c:v>
                </c:pt>
                <c:pt idx="98">
                  <c:v>45273</c:v>
                </c:pt>
                <c:pt idx="99">
                  <c:v>45272</c:v>
                </c:pt>
                <c:pt idx="100">
                  <c:v>45271</c:v>
                </c:pt>
                <c:pt idx="101">
                  <c:v>45268</c:v>
                </c:pt>
                <c:pt idx="102">
                  <c:v>45267</c:v>
                </c:pt>
                <c:pt idx="103">
                  <c:v>45266</c:v>
                </c:pt>
                <c:pt idx="104">
                  <c:v>45265</c:v>
                </c:pt>
                <c:pt idx="105">
                  <c:v>45264</c:v>
                </c:pt>
                <c:pt idx="106">
                  <c:v>45261</c:v>
                </c:pt>
                <c:pt idx="107">
                  <c:v>45260</c:v>
                </c:pt>
                <c:pt idx="108">
                  <c:v>45259</c:v>
                </c:pt>
                <c:pt idx="109">
                  <c:v>45258</c:v>
                </c:pt>
                <c:pt idx="110">
                  <c:v>45257</c:v>
                </c:pt>
                <c:pt idx="111">
                  <c:v>45254</c:v>
                </c:pt>
                <c:pt idx="112">
                  <c:v>45253</c:v>
                </c:pt>
                <c:pt idx="113">
                  <c:v>45252</c:v>
                </c:pt>
                <c:pt idx="114">
                  <c:v>45251</c:v>
                </c:pt>
                <c:pt idx="115">
                  <c:v>45250</c:v>
                </c:pt>
                <c:pt idx="116">
                  <c:v>45247</c:v>
                </c:pt>
                <c:pt idx="117">
                  <c:v>45246</c:v>
                </c:pt>
                <c:pt idx="118">
                  <c:v>45245</c:v>
                </c:pt>
                <c:pt idx="119">
                  <c:v>45244</c:v>
                </c:pt>
                <c:pt idx="120">
                  <c:v>45243</c:v>
                </c:pt>
                <c:pt idx="121">
                  <c:v>45240</c:v>
                </c:pt>
                <c:pt idx="122">
                  <c:v>45239</c:v>
                </c:pt>
                <c:pt idx="123">
                  <c:v>45238</c:v>
                </c:pt>
                <c:pt idx="124">
                  <c:v>45237</c:v>
                </c:pt>
                <c:pt idx="125">
                  <c:v>45236</c:v>
                </c:pt>
                <c:pt idx="126">
                  <c:v>45233</c:v>
                </c:pt>
                <c:pt idx="127">
                  <c:v>45232</c:v>
                </c:pt>
                <c:pt idx="128">
                  <c:v>45231</c:v>
                </c:pt>
                <c:pt idx="129">
                  <c:v>45230</c:v>
                </c:pt>
                <c:pt idx="130">
                  <c:v>45229</c:v>
                </c:pt>
                <c:pt idx="131">
                  <c:v>45226</c:v>
                </c:pt>
                <c:pt idx="132">
                  <c:v>45225</c:v>
                </c:pt>
                <c:pt idx="133">
                  <c:v>45224</c:v>
                </c:pt>
                <c:pt idx="134">
                  <c:v>45223</c:v>
                </c:pt>
                <c:pt idx="135">
                  <c:v>45222</c:v>
                </c:pt>
                <c:pt idx="136">
                  <c:v>45219</c:v>
                </c:pt>
                <c:pt idx="137">
                  <c:v>45218</c:v>
                </c:pt>
                <c:pt idx="138">
                  <c:v>45217</c:v>
                </c:pt>
                <c:pt idx="139">
                  <c:v>45216</c:v>
                </c:pt>
                <c:pt idx="140">
                  <c:v>45215</c:v>
                </c:pt>
                <c:pt idx="141">
                  <c:v>45212</c:v>
                </c:pt>
                <c:pt idx="142">
                  <c:v>45211</c:v>
                </c:pt>
                <c:pt idx="143">
                  <c:v>45210</c:v>
                </c:pt>
                <c:pt idx="144">
                  <c:v>45209</c:v>
                </c:pt>
                <c:pt idx="145">
                  <c:v>45208</c:v>
                </c:pt>
                <c:pt idx="146">
                  <c:v>45205</c:v>
                </c:pt>
                <c:pt idx="147">
                  <c:v>45204</c:v>
                </c:pt>
                <c:pt idx="148">
                  <c:v>45203</c:v>
                </c:pt>
                <c:pt idx="149">
                  <c:v>45202</c:v>
                </c:pt>
                <c:pt idx="150">
                  <c:v>45201</c:v>
                </c:pt>
                <c:pt idx="151">
                  <c:v>45198</c:v>
                </c:pt>
                <c:pt idx="152">
                  <c:v>45197</c:v>
                </c:pt>
                <c:pt idx="153">
                  <c:v>45196</c:v>
                </c:pt>
                <c:pt idx="154">
                  <c:v>45195</c:v>
                </c:pt>
                <c:pt idx="155">
                  <c:v>45194</c:v>
                </c:pt>
                <c:pt idx="156">
                  <c:v>45191</c:v>
                </c:pt>
                <c:pt idx="157">
                  <c:v>45190</c:v>
                </c:pt>
                <c:pt idx="158">
                  <c:v>45189</c:v>
                </c:pt>
                <c:pt idx="159">
                  <c:v>45188</c:v>
                </c:pt>
                <c:pt idx="160">
                  <c:v>45187</c:v>
                </c:pt>
                <c:pt idx="161">
                  <c:v>45184</c:v>
                </c:pt>
                <c:pt idx="162">
                  <c:v>45183</c:v>
                </c:pt>
                <c:pt idx="163">
                  <c:v>45182</c:v>
                </c:pt>
                <c:pt idx="164">
                  <c:v>45181</c:v>
                </c:pt>
                <c:pt idx="165">
                  <c:v>45180</c:v>
                </c:pt>
                <c:pt idx="166">
                  <c:v>45177</c:v>
                </c:pt>
                <c:pt idx="167">
                  <c:v>45176</c:v>
                </c:pt>
                <c:pt idx="168">
                  <c:v>45175</c:v>
                </c:pt>
                <c:pt idx="169">
                  <c:v>45174</c:v>
                </c:pt>
                <c:pt idx="170">
                  <c:v>45169</c:v>
                </c:pt>
                <c:pt idx="171">
                  <c:v>45168</c:v>
                </c:pt>
                <c:pt idx="172">
                  <c:v>45167</c:v>
                </c:pt>
                <c:pt idx="173">
                  <c:v>45166</c:v>
                </c:pt>
                <c:pt idx="174">
                  <c:v>45163</c:v>
                </c:pt>
                <c:pt idx="175">
                  <c:v>45162</c:v>
                </c:pt>
                <c:pt idx="176">
                  <c:v>45161</c:v>
                </c:pt>
                <c:pt idx="177">
                  <c:v>45160</c:v>
                </c:pt>
                <c:pt idx="178">
                  <c:v>45159</c:v>
                </c:pt>
                <c:pt idx="179">
                  <c:v>45156</c:v>
                </c:pt>
                <c:pt idx="180">
                  <c:v>45155</c:v>
                </c:pt>
                <c:pt idx="181">
                  <c:v>45154</c:v>
                </c:pt>
                <c:pt idx="182">
                  <c:v>45153</c:v>
                </c:pt>
                <c:pt idx="183">
                  <c:v>45152</c:v>
                </c:pt>
                <c:pt idx="184">
                  <c:v>45149</c:v>
                </c:pt>
                <c:pt idx="185">
                  <c:v>45148</c:v>
                </c:pt>
                <c:pt idx="186">
                  <c:v>45147</c:v>
                </c:pt>
                <c:pt idx="187">
                  <c:v>45146</c:v>
                </c:pt>
                <c:pt idx="188">
                  <c:v>45145</c:v>
                </c:pt>
                <c:pt idx="189">
                  <c:v>45142</c:v>
                </c:pt>
                <c:pt idx="190">
                  <c:v>45141</c:v>
                </c:pt>
                <c:pt idx="191">
                  <c:v>45140</c:v>
                </c:pt>
                <c:pt idx="192">
                  <c:v>45139</c:v>
                </c:pt>
                <c:pt idx="193">
                  <c:v>45138</c:v>
                </c:pt>
                <c:pt idx="194">
                  <c:v>45135</c:v>
                </c:pt>
                <c:pt idx="195">
                  <c:v>45134</c:v>
                </c:pt>
                <c:pt idx="196">
                  <c:v>45133</c:v>
                </c:pt>
                <c:pt idx="197">
                  <c:v>45132</c:v>
                </c:pt>
                <c:pt idx="198">
                  <c:v>45131</c:v>
                </c:pt>
                <c:pt idx="199">
                  <c:v>45128</c:v>
                </c:pt>
                <c:pt idx="200">
                  <c:v>45127</c:v>
                </c:pt>
                <c:pt idx="201">
                  <c:v>45126</c:v>
                </c:pt>
                <c:pt idx="202">
                  <c:v>45125</c:v>
                </c:pt>
                <c:pt idx="203">
                  <c:v>45124</c:v>
                </c:pt>
                <c:pt idx="204">
                  <c:v>45121</c:v>
                </c:pt>
                <c:pt idx="205">
                  <c:v>45120</c:v>
                </c:pt>
                <c:pt idx="206">
                  <c:v>45119</c:v>
                </c:pt>
                <c:pt idx="207">
                  <c:v>45118</c:v>
                </c:pt>
                <c:pt idx="208">
                  <c:v>45117</c:v>
                </c:pt>
                <c:pt idx="209">
                  <c:v>45114</c:v>
                </c:pt>
                <c:pt idx="210">
                  <c:v>45113</c:v>
                </c:pt>
                <c:pt idx="211">
                  <c:v>45112</c:v>
                </c:pt>
                <c:pt idx="212">
                  <c:v>45111</c:v>
                </c:pt>
                <c:pt idx="213">
                  <c:v>45110</c:v>
                </c:pt>
                <c:pt idx="214">
                  <c:v>45107</c:v>
                </c:pt>
                <c:pt idx="215">
                  <c:v>45106</c:v>
                </c:pt>
                <c:pt idx="216">
                  <c:v>45105</c:v>
                </c:pt>
                <c:pt idx="217">
                  <c:v>45104</c:v>
                </c:pt>
                <c:pt idx="218">
                  <c:v>45103</c:v>
                </c:pt>
                <c:pt idx="219">
                  <c:v>45100</c:v>
                </c:pt>
                <c:pt idx="220">
                  <c:v>45099</c:v>
                </c:pt>
                <c:pt idx="221">
                  <c:v>45098</c:v>
                </c:pt>
                <c:pt idx="222">
                  <c:v>45097</c:v>
                </c:pt>
                <c:pt idx="223">
                  <c:v>45096</c:v>
                </c:pt>
                <c:pt idx="224">
                  <c:v>45093</c:v>
                </c:pt>
                <c:pt idx="225">
                  <c:v>45092</c:v>
                </c:pt>
                <c:pt idx="226">
                  <c:v>45091</c:v>
                </c:pt>
                <c:pt idx="227">
                  <c:v>45090</c:v>
                </c:pt>
                <c:pt idx="228">
                  <c:v>45089</c:v>
                </c:pt>
                <c:pt idx="229">
                  <c:v>45086</c:v>
                </c:pt>
                <c:pt idx="230">
                  <c:v>45085</c:v>
                </c:pt>
                <c:pt idx="231">
                  <c:v>45084</c:v>
                </c:pt>
                <c:pt idx="232">
                  <c:v>45083</c:v>
                </c:pt>
                <c:pt idx="233">
                  <c:v>45082</c:v>
                </c:pt>
                <c:pt idx="234">
                  <c:v>45079</c:v>
                </c:pt>
                <c:pt idx="235">
                  <c:v>45078</c:v>
                </c:pt>
                <c:pt idx="236">
                  <c:v>45077</c:v>
                </c:pt>
                <c:pt idx="237">
                  <c:v>45076</c:v>
                </c:pt>
                <c:pt idx="238">
                  <c:v>45075</c:v>
                </c:pt>
                <c:pt idx="239">
                  <c:v>45072</c:v>
                </c:pt>
                <c:pt idx="240">
                  <c:v>45071</c:v>
                </c:pt>
                <c:pt idx="241">
                  <c:v>45070</c:v>
                </c:pt>
                <c:pt idx="242">
                  <c:v>45069</c:v>
                </c:pt>
                <c:pt idx="243">
                  <c:v>45068</c:v>
                </c:pt>
                <c:pt idx="244">
                  <c:v>45065</c:v>
                </c:pt>
                <c:pt idx="245">
                  <c:v>45064</c:v>
                </c:pt>
                <c:pt idx="246">
                  <c:v>45063</c:v>
                </c:pt>
                <c:pt idx="247">
                  <c:v>45062</c:v>
                </c:pt>
                <c:pt idx="248">
                  <c:v>45061</c:v>
                </c:pt>
                <c:pt idx="249">
                  <c:v>45058</c:v>
                </c:pt>
                <c:pt idx="250">
                  <c:v>45057</c:v>
                </c:pt>
                <c:pt idx="251">
                  <c:v>45056</c:v>
                </c:pt>
                <c:pt idx="252">
                  <c:v>45055</c:v>
                </c:pt>
                <c:pt idx="253">
                  <c:v>45054</c:v>
                </c:pt>
              </c:numCache>
            </c:numRef>
          </c:cat>
          <c:val>
            <c:numRef>
              <c:f>'Report''s chart'!$AN$2:$AN$255</c:f>
              <c:numCache>
                <c:formatCode>General</c:formatCode>
                <c:ptCount val="254"/>
                <c:pt idx="0">
                  <c:v>1243.81</c:v>
                </c:pt>
                <c:pt idx="1">
                  <c:v>1241.58</c:v>
                </c:pt>
                <c:pt idx="2">
                  <c:v>1221.03</c:v>
                </c:pt>
                <c:pt idx="6">
                  <c:v>1216.3599999999999</c:v>
                </c:pt>
                <c:pt idx="7">
                  <c:v>1209.52</c:v>
                </c:pt>
                <c:pt idx="8">
                  <c:v>1204.97</c:v>
                </c:pt>
                <c:pt idx="9">
                  <c:v>1205.6099999999999</c:v>
                </c:pt>
                <c:pt idx="10">
                  <c:v>1177.4000000000001</c:v>
                </c:pt>
                <c:pt idx="11">
                  <c:v>1190.22</c:v>
                </c:pt>
                <c:pt idx="12">
                  <c:v>1174.8499999999999</c:v>
                </c:pt>
                <c:pt idx="13">
                  <c:v>1193.01</c:v>
                </c:pt>
                <c:pt idx="14">
                  <c:v>1215.68</c:v>
                </c:pt>
                <c:pt idx="15">
                  <c:v>1216.6099999999999</c:v>
                </c:pt>
                <c:pt idx="16">
                  <c:v>1276.5999999999999</c:v>
                </c:pt>
                <c:pt idx="17">
                  <c:v>1258.2</c:v>
                </c:pt>
                <c:pt idx="18">
                  <c:v>1258.56</c:v>
                </c:pt>
                <c:pt idx="19">
                  <c:v>1262.82</c:v>
                </c:pt>
                <c:pt idx="20">
                  <c:v>1250.3499999999999</c:v>
                </c:pt>
                <c:pt idx="21">
                  <c:v>1255.1099999999999</c:v>
                </c:pt>
                <c:pt idx="22">
                  <c:v>1268.25</c:v>
                </c:pt>
                <c:pt idx="23">
                  <c:v>1271.47</c:v>
                </c:pt>
                <c:pt idx="24">
                  <c:v>1287.04</c:v>
                </c:pt>
                <c:pt idx="25">
                  <c:v>1281.52</c:v>
                </c:pt>
                <c:pt idx="26">
                  <c:v>1284.0899999999999</c:v>
                </c:pt>
                <c:pt idx="27">
                  <c:v>1290.18</c:v>
                </c:pt>
                <c:pt idx="28">
                  <c:v>1283.0899999999999</c:v>
                </c:pt>
                <c:pt idx="29">
                  <c:v>1282.21</c:v>
                </c:pt>
                <c:pt idx="30">
                  <c:v>1267.8599999999999</c:v>
                </c:pt>
                <c:pt idx="31">
                  <c:v>1281.8</c:v>
                </c:pt>
                <c:pt idx="32">
                  <c:v>1276.42</c:v>
                </c:pt>
                <c:pt idx="33">
                  <c:v>1260.08</c:v>
                </c:pt>
                <c:pt idx="34">
                  <c:v>1242.46</c:v>
                </c:pt>
                <c:pt idx="35">
                  <c:v>1243.56</c:v>
                </c:pt>
                <c:pt idx="36">
                  <c:v>1263.78</c:v>
                </c:pt>
                <c:pt idx="37">
                  <c:v>1264.26</c:v>
                </c:pt>
                <c:pt idx="38">
                  <c:v>1270.51</c:v>
                </c:pt>
                <c:pt idx="39">
                  <c:v>1245</c:v>
                </c:pt>
                <c:pt idx="40">
                  <c:v>1235.49</c:v>
                </c:pt>
                <c:pt idx="41">
                  <c:v>1247.3499999999999</c:v>
                </c:pt>
                <c:pt idx="42">
                  <c:v>1268.46</c:v>
                </c:pt>
                <c:pt idx="43">
                  <c:v>1262.73</c:v>
                </c:pt>
                <c:pt idx="44">
                  <c:v>1269.98</c:v>
                </c:pt>
                <c:pt idx="45">
                  <c:v>1261.4100000000001</c:v>
                </c:pt>
                <c:pt idx="46">
                  <c:v>1258.28</c:v>
                </c:pt>
                <c:pt idx="47">
                  <c:v>1252.73</c:v>
                </c:pt>
                <c:pt idx="48">
                  <c:v>1254.55</c:v>
                </c:pt>
                <c:pt idx="49">
                  <c:v>1237.46</c:v>
                </c:pt>
                <c:pt idx="50">
                  <c:v>1224.17</c:v>
                </c:pt>
                <c:pt idx="51">
                  <c:v>1212</c:v>
                </c:pt>
                <c:pt idx="52">
                  <c:v>1227.31</c:v>
                </c:pt>
                <c:pt idx="53">
                  <c:v>1230.04</c:v>
                </c:pt>
                <c:pt idx="54">
                  <c:v>1230.06</c:v>
                </c:pt>
                <c:pt idx="55">
                  <c:v>1224.97</c:v>
                </c:pt>
                <c:pt idx="56">
                  <c:v>1209.7</c:v>
                </c:pt>
                <c:pt idx="57">
                  <c:v>1202.5</c:v>
                </c:pt>
                <c:pt idx="58">
                  <c:v>1198.53</c:v>
                </c:pt>
                <c:pt idx="59">
                  <c:v>1188.48</c:v>
                </c:pt>
                <c:pt idx="60">
                  <c:v>1186.06</c:v>
                </c:pt>
                <c:pt idx="61">
                  <c:v>1172.55</c:v>
                </c:pt>
                <c:pt idx="62">
                  <c:v>1173.02</c:v>
                </c:pt>
                <c:pt idx="63">
                  <c:v>1164.31</c:v>
                </c:pt>
                <c:pt idx="64">
                  <c:v>1179.6500000000001</c:v>
                </c:pt>
                <c:pt idx="65">
                  <c:v>1175.69</c:v>
                </c:pt>
                <c:pt idx="66">
                  <c:v>1175.67</c:v>
                </c:pt>
                <c:pt idx="67">
                  <c:v>1170.3699999999999</c:v>
                </c:pt>
                <c:pt idx="68">
                  <c:v>1172.97</c:v>
                </c:pt>
                <c:pt idx="69">
                  <c:v>1177.5</c:v>
                </c:pt>
                <c:pt idx="70">
                  <c:v>1182.8599999999999</c:v>
                </c:pt>
                <c:pt idx="71">
                  <c:v>1181.5</c:v>
                </c:pt>
                <c:pt idx="73">
                  <c:v>1169.06</c:v>
                </c:pt>
                <c:pt idx="74">
                  <c:v>1162.53</c:v>
                </c:pt>
                <c:pt idx="75">
                  <c:v>1163.1199999999999</c:v>
                </c:pt>
                <c:pt idx="76">
                  <c:v>1154.1199999999999</c:v>
                </c:pt>
                <c:pt idx="77">
                  <c:v>1154.7</c:v>
                </c:pt>
                <c:pt idx="78">
                  <c:v>1162.22</c:v>
                </c:pt>
                <c:pt idx="79">
                  <c:v>1161.54</c:v>
                </c:pt>
                <c:pt idx="80">
                  <c:v>1158.5899999999999</c:v>
                </c:pt>
                <c:pt idx="81">
                  <c:v>1160.19</c:v>
                </c:pt>
                <c:pt idx="82">
                  <c:v>1154.68</c:v>
                </c:pt>
                <c:pt idx="83">
                  <c:v>1150.72</c:v>
                </c:pt>
                <c:pt idx="84">
                  <c:v>1144.17</c:v>
                </c:pt>
                <c:pt idx="85">
                  <c:v>1131.72</c:v>
                </c:pt>
                <c:pt idx="86">
                  <c:v>1129.93</c:v>
                </c:pt>
                <c:pt idx="87">
                  <c:v>1128.93</c:v>
                </c:pt>
                <c:pt idx="88">
                  <c:v>1121.99</c:v>
                </c:pt>
                <c:pt idx="89">
                  <c:v>1122.25</c:v>
                </c:pt>
                <c:pt idx="90">
                  <c:v>1117.6600000000001</c:v>
                </c:pt>
                <c:pt idx="91">
                  <c:v>1103.06</c:v>
                </c:pt>
                <c:pt idx="92">
                  <c:v>1102.43</c:v>
                </c:pt>
                <c:pt idx="93">
                  <c:v>1100.76</c:v>
                </c:pt>
                <c:pt idx="94">
                  <c:v>1096.3</c:v>
                </c:pt>
                <c:pt idx="95">
                  <c:v>1091.8800000000001</c:v>
                </c:pt>
                <c:pt idx="96">
                  <c:v>1102.3</c:v>
                </c:pt>
                <c:pt idx="97">
                  <c:v>1110.1300000000001</c:v>
                </c:pt>
                <c:pt idx="98">
                  <c:v>1114.2</c:v>
                </c:pt>
                <c:pt idx="99">
                  <c:v>1127.6300000000001</c:v>
                </c:pt>
                <c:pt idx="100">
                  <c:v>1125.5</c:v>
                </c:pt>
                <c:pt idx="101">
                  <c:v>1124.44</c:v>
                </c:pt>
                <c:pt idx="102">
                  <c:v>1121.49</c:v>
                </c:pt>
                <c:pt idx="103">
                  <c:v>1126.43</c:v>
                </c:pt>
                <c:pt idx="104">
                  <c:v>1115.97</c:v>
                </c:pt>
                <c:pt idx="105">
                  <c:v>1120.49</c:v>
                </c:pt>
                <c:pt idx="106">
                  <c:v>1102.1600000000001</c:v>
                </c:pt>
                <c:pt idx="107">
                  <c:v>1094.1300000000001</c:v>
                </c:pt>
                <c:pt idx="108">
                  <c:v>1102.8</c:v>
                </c:pt>
                <c:pt idx="109">
                  <c:v>1095.43</c:v>
                </c:pt>
                <c:pt idx="110">
                  <c:v>1088.06</c:v>
                </c:pt>
                <c:pt idx="111">
                  <c:v>1095.6099999999999</c:v>
                </c:pt>
                <c:pt idx="112">
                  <c:v>1088.49</c:v>
                </c:pt>
                <c:pt idx="113">
                  <c:v>1113.82</c:v>
                </c:pt>
                <c:pt idx="114">
                  <c:v>1110.46</c:v>
                </c:pt>
                <c:pt idx="115">
                  <c:v>1103.6600000000001</c:v>
                </c:pt>
                <c:pt idx="116">
                  <c:v>1101.19</c:v>
                </c:pt>
                <c:pt idx="117">
                  <c:v>1125.53</c:v>
                </c:pt>
                <c:pt idx="118">
                  <c:v>1122.5</c:v>
                </c:pt>
                <c:pt idx="119">
                  <c:v>1109.73</c:v>
                </c:pt>
                <c:pt idx="120">
                  <c:v>1100.07</c:v>
                </c:pt>
                <c:pt idx="121">
                  <c:v>1101.68</c:v>
                </c:pt>
                <c:pt idx="122">
                  <c:v>1113.8900000000001</c:v>
                </c:pt>
                <c:pt idx="123">
                  <c:v>1113.43</c:v>
                </c:pt>
                <c:pt idx="124">
                  <c:v>1080.29</c:v>
                </c:pt>
                <c:pt idx="125">
                  <c:v>1089.6600000000001</c:v>
                </c:pt>
                <c:pt idx="126">
                  <c:v>1076.78</c:v>
                </c:pt>
                <c:pt idx="127">
                  <c:v>1075.47</c:v>
                </c:pt>
                <c:pt idx="128">
                  <c:v>1039.6600000000001</c:v>
                </c:pt>
                <c:pt idx="129">
                  <c:v>1028.19</c:v>
                </c:pt>
                <c:pt idx="130">
                  <c:v>1042.4000000000001</c:v>
                </c:pt>
                <c:pt idx="131">
                  <c:v>1060.6199999999999</c:v>
                </c:pt>
                <c:pt idx="132">
                  <c:v>1055.45</c:v>
                </c:pt>
                <c:pt idx="133">
                  <c:v>1101.6600000000001</c:v>
                </c:pt>
                <c:pt idx="134">
                  <c:v>1105.9000000000001</c:v>
                </c:pt>
                <c:pt idx="135">
                  <c:v>1093.53</c:v>
                </c:pt>
                <c:pt idx="136">
                  <c:v>1108.03</c:v>
                </c:pt>
                <c:pt idx="137">
                  <c:v>1087.8499999999999</c:v>
                </c:pt>
                <c:pt idx="138">
                  <c:v>1103.4000000000001</c:v>
                </c:pt>
                <c:pt idx="139">
                  <c:v>1121.6500000000001</c:v>
                </c:pt>
                <c:pt idx="140">
                  <c:v>1141.42</c:v>
                </c:pt>
                <c:pt idx="141">
                  <c:v>1154.73</c:v>
                </c:pt>
                <c:pt idx="142">
                  <c:v>1151.6099999999999</c:v>
                </c:pt>
                <c:pt idx="143">
                  <c:v>1150.81</c:v>
                </c:pt>
                <c:pt idx="144">
                  <c:v>1143.69</c:v>
                </c:pt>
                <c:pt idx="145">
                  <c:v>1137.3599999999999</c:v>
                </c:pt>
                <c:pt idx="146">
                  <c:v>1128.54</c:v>
                </c:pt>
                <c:pt idx="147">
                  <c:v>1113.8900000000001</c:v>
                </c:pt>
                <c:pt idx="148">
                  <c:v>1128.67</c:v>
                </c:pt>
                <c:pt idx="149">
                  <c:v>1118.0999999999999</c:v>
                </c:pt>
                <c:pt idx="150">
                  <c:v>1155.25</c:v>
                </c:pt>
                <c:pt idx="151">
                  <c:v>1154.1500000000001</c:v>
                </c:pt>
                <c:pt idx="152">
                  <c:v>1152.43</c:v>
                </c:pt>
                <c:pt idx="153">
                  <c:v>1153.8499999999999</c:v>
                </c:pt>
                <c:pt idx="154">
                  <c:v>1137.96</c:v>
                </c:pt>
                <c:pt idx="155">
                  <c:v>1153.2</c:v>
                </c:pt>
                <c:pt idx="156">
                  <c:v>1193.05</c:v>
                </c:pt>
                <c:pt idx="157">
                  <c:v>1212.74</c:v>
                </c:pt>
                <c:pt idx="158">
                  <c:v>1226.1099999999999</c:v>
                </c:pt>
                <c:pt idx="159">
                  <c:v>1211.5</c:v>
                </c:pt>
                <c:pt idx="160">
                  <c:v>1211.81</c:v>
                </c:pt>
                <c:pt idx="161">
                  <c:v>1227.3599999999999</c:v>
                </c:pt>
                <c:pt idx="162">
                  <c:v>1223.81</c:v>
                </c:pt>
                <c:pt idx="163">
                  <c:v>1238.3900000000001</c:v>
                </c:pt>
                <c:pt idx="164">
                  <c:v>1245.44</c:v>
                </c:pt>
                <c:pt idx="165">
                  <c:v>1223.6300000000001</c:v>
                </c:pt>
                <c:pt idx="166">
                  <c:v>1241.48</c:v>
                </c:pt>
                <c:pt idx="167">
                  <c:v>1243.1400000000001</c:v>
                </c:pt>
                <c:pt idx="168">
                  <c:v>1245.5</c:v>
                </c:pt>
                <c:pt idx="169">
                  <c:v>1234.98</c:v>
                </c:pt>
                <c:pt idx="170">
                  <c:v>1224.05</c:v>
                </c:pt>
                <c:pt idx="171">
                  <c:v>1213.1600000000001</c:v>
                </c:pt>
                <c:pt idx="172">
                  <c:v>1204.43</c:v>
                </c:pt>
                <c:pt idx="173">
                  <c:v>1201.72</c:v>
                </c:pt>
                <c:pt idx="174">
                  <c:v>1183.3699999999999</c:v>
                </c:pt>
                <c:pt idx="175">
                  <c:v>1189.3900000000001</c:v>
                </c:pt>
                <c:pt idx="176">
                  <c:v>1172.56</c:v>
                </c:pt>
                <c:pt idx="177">
                  <c:v>1180.49</c:v>
                </c:pt>
                <c:pt idx="178">
                  <c:v>1179.76</c:v>
                </c:pt>
                <c:pt idx="179">
                  <c:v>1177.99</c:v>
                </c:pt>
                <c:pt idx="180">
                  <c:v>1233.48</c:v>
                </c:pt>
                <c:pt idx="181">
                  <c:v>1243.26</c:v>
                </c:pt>
                <c:pt idx="182">
                  <c:v>1234.05</c:v>
                </c:pt>
                <c:pt idx="183">
                  <c:v>1236.8399999999999</c:v>
                </c:pt>
                <c:pt idx="184">
                  <c:v>1232.21</c:v>
                </c:pt>
                <c:pt idx="185">
                  <c:v>1220.6099999999999</c:v>
                </c:pt>
                <c:pt idx="186">
                  <c:v>1233.99</c:v>
                </c:pt>
                <c:pt idx="187">
                  <c:v>1242.23</c:v>
                </c:pt>
                <c:pt idx="188">
                  <c:v>1241.42</c:v>
                </c:pt>
                <c:pt idx="189">
                  <c:v>1225.98</c:v>
                </c:pt>
                <c:pt idx="190">
                  <c:v>1210.95</c:v>
                </c:pt>
                <c:pt idx="191">
                  <c:v>1220.43</c:v>
                </c:pt>
                <c:pt idx="192">
                  <c:v>1217.56</c:v>
                </c:pt>
                <c:pt idx="193">
                  <c:v>1222.9000000000001</c:v>
                </c:pt>
                <c:pt idx="194">
                  <c:v>1207.67</c:v>
                </c:pt>
                <c:pt idx="195">
                  <c:v>1197.33</c:v>
                </c:pt>
                <c:pt idx="196">
                  <c:v>1200.8399999999999</c:v>
                </c:pt>
                <c:pt idx="197">
                  <c:v>1195.9000000000001</c:v>
                </c:pt>
                <c:pt idx="198">
                  <c:v>1190.72</c:v>
                </c:pt>
                <c:pt idx="199">
                  <c:v>1185.9000000000001</c:v>
                </c:pt>
                <c:pt idx="200">
                  <c:v>1172.81</c:v>
                </c:pt>
                <c:pt idx="201">
                  <c:v>1172.98</c:v>
                </c:pt>
                <c:pt idx="202">
                  <c:v>1174.0899999999999</c:v>
                </c:pt>
                <c:pt idx="203">
                  <c:v>1173.1300000000001</c:v>
                </c:pt>
                <c:pt idx="204">
                  <c:v>1168.4000000000001</c:v>
                </c:pt>
                <c:pt idx="205">
                  <c:v>1165.42</c:v>
                </c:pt>
                <c:pt idx="206">
                  <c:v>1154.2</c:v>
                </c:pt>
                <c:pt idx="207">
                  <c:v>1151.77</c:v>
                </c:pt>
                <c:pt idx="208">
                  <c:v>1149.02</c:v>
                </c:pt>
                <c:pt idx="209">
                  <c:v>1138.07</c:v>
                </c:pt>
                <c:pt idx="210">
                  <c:v>1126.22</c:v>
                </c:pt>
                <c:pt idx="211">
                  <c:v>1134.6199999999999</c:v>
                </c:pt>
                <c:pt idx="212">
                  <c:v>1132</c:v>
                </c:pt>
                <c:pt idx="213">
                  <c:v>1125.5</c:v>
                </c:pt>
                <c:pt idx="214">
                  <c:v>1120.18</c:v>
                </c:pt>
                <c:pt idx="215">
                  <c:v>1125.3900000000001</c:v>
                </c:pt>
                <c:pt idx="216">
                  <c:v>1138.3499999999999</c:v>
                </c:pt>
                <c:pt idx="217">
                  <c:v>1134.33</c:v>
                </c:pt>
                <c:pt idx="218">
                  <c:v>1132.03</c:v>
                </c:pt>
                <c:pt idx="219">
                  <c:v>1129.3800000000001</c:v>
                </c:pt>
                <c:pt idx="220">
                  <c:v>1125.3</c:v>
                </c:pt>
                <c:pt idx="221">
                  <c:v>1118.46</c:v>
                </c:pt>
                <c:pt idx="222">
                  <c:v>1111.72</c:v>
                </c:pt>
                <c:pt idx="223">
                  <c:v>1105.4000000000001</c:v>
                </c:pt>
                <c:pt idx="224">
                  <c:v>1115.22</c:v>
                </c:pt>
                <c:pt idx="225">
                  <c:v>1116.97</c:v>
                </c:pt>
                <c:pt idx="226">
                  <c:v>1117.42</c:v>
                </c:pt>
                <c:pt idx="227">
                  <c:v>1122.46</c:v>
                </c:pt>
                <c:pt idx="228">
                  <c:v>1116.02</c:v>
                </c:pt>
                <c:pt idx="229">
                  <c:v>1107.53</c:v>
                </c:pt>
                <c:pt idx="230">
                  <c:v>1101.32</c:v>
                </c:pt>
                <c:pt idx="231">
                  <c:v>1109.54</c:v>
                </c:pt>
                <c:pt idx="232">
                  <c:v>1108.31</c:v>
                </c:pt>
                <c:pt idx="233">
                  <c:v>1097.82</c:v>
                </c:pt>
                <c:pt idx="234">
                  <c:v>1090.8399999999999</c:v>
                </c:pt>
                <c:pt idx="235">
                  <c:v>1078.3900000000001</c:v>
                </c:pt>
                <c:pt idx="236">
                  <c:v>1075.17</c:v>
                </c:pt>
                <c:pt idx="237">
                  <c:v>1078.05</c:v>
                </c:pt>
                <c:pt idx="238">
                  <c:v>1074.98</c:v>
                </c:pt>
                <c:pt idx="239">
                  <c:v>1063.76</c:v>
                </c:pt>
                <c:pt idx="240">
                  <c:v>1064.6300000000001</c:v>
                </c:pt>
                <c:pt idx="241">
                  <c:v>1061.79</c:v>
                </c:pt>
                <c:pt idx="242">
                  <c:v>1065.8499999999999</c:v>
                </c:pt>
                <c:pt idx="243">
                  <c:v>1070.6400000000001</c:v>
                </c:pt>
                <c:pt idx="244">
                  <c:v>1067.07</c:v>
                </c:pt>
                <c:pt idx="245">
                  <c:v>1068.31</c:v>
                </c:pt>
                <c:pt idx="246">
                  <c:v>1060.44</c:v>
                </c:pt>
                <c:pt idx="247">
                  <c:v>1065.9100000000001</c:v>
                </c:pt>
                <c:pt idx="248">
                  <c:v>1065.71</c:v>
                </c:pt>
                <c:pt idx="249">
                  <c:v>1066.9000000000001</c:v>
                </c:pt>
                <c:pt idx="250">
                  <c:v>1057.1199999999999</c:v>
                </c:pt>
                <c:pt idx="251">
                  <c:v>1058.26</c:v>
                </c:pt>
                <c:pt idx="252">
                  <c:v>1053.77</c:v>
                </c:pt>
                <c:pt idx="253">
                  <c:v>1053.44</c:v>
                </c:pt>
              </c:numCache>
            </c:numRef>
          </c:val>
          <c:smooth val="0"/>
          <c:extLst>
            <c:ext xmlns:c16="http://schemas.microsoft.com/office/drawing/2014/chart" uri="{C3380CC4-5D6E-409C-BE32-E72D297353CC}">
              <c16:uniqueId val="{00000001-F9B4-471E-B603-C547EB19E5B8}"/>
            </c:ext>
          </c:extLst>
        </c:ser>
        <c:dLbls>
          <c:showLegendKey val="0"/>
          <c:showVal val="0"/>
          <c:showCatName val="0"/>
          <c:showSerName val="0"/>
          <c:showPercent val="0"/>
          <c:showBubbleSize val="0"/>
        </c:dLbls>
        <c:marker val="1"/>
        <c:smooth val="0"/>
        <c:axId val="865408712"/>
        <c:axId val="865406192"/>
      </c:lineChart>
      <c:dateAx>
        <c:axId val="514147832"/>
        <c:scaling>
          <c:orientation val="minMax"/>
        </c:scaling>
        <c:delete val="0"/>
        <c:axPos val="b"/>
        <c:numFmt formatCode="m/d/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vi-VN"/>
          </a:p>
        </c:txPr>
        <c:crossAx val="514150352"/>
        <c:crosses val="autoZero"/>
        <c:auto val="1"/>
        <c:lblOffset val="100"/>
        <c:baseTimeUnit val="days"/>
      </c:dateAx>
      <c:valAx>
        <c:axId val="51415035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vi-VN"/>
          </a:p>
        </c:txPr>
        <c:crossAx val="514147832"/>
        <c:crosses val="autoZero"/>
        <c:crossBetween val="between"/>
      </c:valAx>
      <c:valAx>
        <c:axId val="865406192"/>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vi-VN"/>
          </a:p>
        </c:txPr>
        <c:crossAx val="865408712"/>
        <c:crosses val="max"/>
        <c:crossBetween val="between"/>
      </c:valAx>
      <c:dateAx>
        <c:axId val="865408712"/>
        <c:scaling>
          <c:orientation val="minMax"/>
        </c:scaling>
        <c:delete val="1"/>
        <c:axPos val="b"/>
        <c:numFmt formatCode="m/d/yy" sourceLinked="1"/>
        <c:majorTickMark val="out"/>
        <c:minorTickMark val="none"/>
        <c:tickLblPos val="nextTo"/>
        <c:crossAx val="865406192"/>
        <c:crosses val="autoZero"/>
        <c:auto val="1"/>
        <c:lblOffset val="100"/>
        <c:baseTimeUnit val="days"/>
        <c:majorUnit val="1"/>
        <c:minorUnit val="1"/>
      </c:date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vi-VN"/>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sz="700"/>
      </a:pPr>
      <a:endParaRPr lang="vi-VN"/>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'Report''s chart'!$AQ$1</c:f>
              <c:strCache>
                <c:ptCount val="1"/>
                <c:pt idx="0">
                  <c:v>MWG VN Equity  (L)</c:v>
                </c:pt>
              </c:strCache>
            </c:strRef>
          </c:tx>
          <c:spPr>
            <a:ln w="28575" cap="rnd">
              <a:solidFill>
                <a:schemeClr val="accent1"/>
              </a:solidFill>
              <a:round/>
            </a:ln>
            <a:effectLst/>
          </c:spPr>
          <c:marker>
            <c:symbol val="none"/>
          </c:marker>
          <c:cat>
            <c:numRef>
              <c:f>'Report''s chart'!$AP$2:$AP$267</c:f>
              <c:numCache>
                <c:formatCode>m/d/yy</c:formatCode>
                <c:ptCount val="266"/>
                <c:pt idx="0">
                  <c:v>45419</c:v>
                </c:pt>
                <c:pt idx="1">
                  <c:v>45418</c:v>
                </c:pt>
                <c:pt idx="2">
                  <c:v>45415</c:v>
                </c:pt>
                <c:pt idx="6">
                  <c:v>45414</c:v>
                </c:pt>
                <c:pt idx="7">
                  <c:v>45413</c:v>
                </c:pt>
                <c:pt idx="8">
                  <c:v>45412</c:v>
                </c:pt>
                <c:pt idx="9">
                  <c:v>45411</c:v>
                </c:pt>
                <c:pt idx="10">
                  <c:v>45408</c:v>
                </c:pt>
                <c:pt idx="11">
                  <c:v>45407</c:v>
                </c:pt>
                <c:pt idx="12">
                  <c:v>45406</c:v>
                </c:pt>
                <c:pt idx="13">
                  <c:v>45405</c:v>
                </c:pt>
                <c:pt idx="14">
                  <c:v>45404</c:v>
                </c:pt>
                <c:pt idx="15">
                  <c:v>45401</c:v>
                </c:pt>
                <c:pt idx="16">
                  <c:v>45400</c:v>
                </c:pt>
                <c:pt idx="17">
                  <c:v>45399</c:v>
                </c:pt>
                <c:pt idx="18">
                  <c:v>45398</c:v>
                </c:pt>
                <c:pt idx="19">
                  <c:v>45397</c:v>
                </c:pt>
                <c:pt idx="20">
                  <c:v>45394</c:v>
                </c:pt>
                <c:pt idx="21">
                  <c:v>45393</c:v>
                </c:pt>
                <c:pt idx="22">
                  <c:v>45392</c:v>
                </c:pt>
                <c:pt idx="23">
                  <c:v>45391</c:v>
                </c:pt>
                <c:pt idx="24">
                  <c:v>45390</c:v>
                </c:pt>
                <c:pt idx="25">
                  <c:v>45387</c:v>
                </c:pt>
                <c:pt idx="26">
                  <c:v>45386</c:v>
                </c:pt>
                <c:pt idx="27">
                  <c:v>45385</c:v>
                </c:pt>
                <c:pt idx="28">
                  <c:v>45384</c:v>
                </c:pt>
                <c:pt idx="29">
                  <c:v>45383</c:v>
                </c:pt>
                <c:pt idx="30">
                  <c:v>45380</c:v>
                </c:pt>
                <c:pt idx="31">
                  <c:v>45379</c:v>
                </c:pt>
                <c:pt idx="32">
                  <c:v>45378</c:v>
                </c:pt>
                <c:pt idx="33">
                  <c:v>45377</c:v>
                </c:pt>
                <c:pt idx="34">
                  <c:v>45376</c:v>
                </c:pt>
                <c:pt idx="35">
                  <c:v>45373</c:v>
                </c:pt>
                <c:pt idx="36">
                  <c:v>45372</c:v>
                </c:pt>
                <c:pt idx="37">
                  <c:v>45371</c:v>
                </c:pt>
                <c:pt idx="38">
                  <c:v>45370</c:v>
                </c:pt>
                <c:pt idx="39">
                  <c:v>45369</c:v>
                </c:pt>
                <c:pt idx="40">
                  <c:v>45366</c:v>
                </c:pt>
                <c:pt idx="41">
                  <c:v>45365</c:v>
                </c:pt>
                <c:pt idx="42">
                  <c:v>45364</c:v>
                </c:pt>
                <c:pt idx="43">
                  <c:v>45363</c:v>
                </c:pt>
                <c:pt idx="44">
                  <c:v>45362</c:v>
                </c:pt>
                <c:pt idx="45">
                  <c:v>45359</c:v>
                </c:pt>
                <c:pt idx="46">
                  <c:v>45358</c:v>
                </c:pt>
                <c:pt idx="47">
                  <c:v>45357</c:v>
                </c:pt>
                <c:pt idx="48">
                  <c:v>45356</c:v>
                </c:pt>
                <c:pt idx="49">
                  <c:v>45355</c:v>
                </c:pt>
                <c:pt idx="50">
                  <c:v>45352</c:v>
                </c:pt>
                <c:pt idx="51">
                  <c:v>45351</c:v>
                </c:pt>
                <c:pt idx="52">
                  <c:v>45350</c:v>
                </c:pt>
                <c:pt idx="53">
                  <c:v>45349</c:v>
                </c:pt>
                <c:pt idx="54">
                  <c:v>45348</c:v>
                </c:pt>
                <c:pt idx="55">
                  <c:v>45345</c:v>
                </c:pt>
                <c:pt idx="56">
                  <c:v>45344</c:v>
                </c:pt>
                <c:pt idx="57">
                  <c:v>45343</c:v>
                </c:pt>
                <c:pt idx="58">
                  <c:v>45342</c:v>
                </c:pt>
                <c:pt idx="59">
                  <c:v>45341</c:v>
                </c:pt>
                <c:pt idx="60">
                  <c:v>45338</c:v>
                </c:pt>
                <c:pt idx="61">
                  <c:v>45337</c:v>
                </c:pt>
                <c:pt idx="62">
                  <c:v>45336</c:v>
                </c:pt>
                <c:pt idx="63">
                  <c:v>45335</c:v>
                </c:pt>
                <c:pt idx="64">
                  <c:v>45334</c:v>
                </c:pt>
                <c:pt idx="65">
                  <c:v>45331</c:v>
                </c:pt>
                <c:pt idx="66">
                  <c:v>45330</c:v>
                </c:pt>
                <c:pt idx="67">
                  <c:v>45329</c:v>
                </c:pt>
                <c:pt idx="68">
                  <c:v>45328</c:v>
                </c:pt>
                <c:pt idx="69">
                  <c:v>45327</c:v>
                </c:pt>
                <c:pt idx="70">
                  <c:v>45324</c:v>
                </c:pt>
                <c:pt idx="71">
                  <c:v>45323</c:v>
                </c:pt>
                <c:pt idx="73">
                  <c:v>45322</c:v>
                </c:pt>
                <c:pt idx="74">
                  <c:v>45321</c:v>
                </c:pt>
                <c:pt idx="75">
                  <c:v>45320</c:v>
                </c:pt>
                <c:pt idx="76">
                  <c:v>45317</c:v>
                </c:pt>
                <c:pt idx="77">
                  <c:v>45316</c:v>
                </c:pt>
                <c:pt idx="78">
                  <c:v>45315</c:v>
                </c:pt>
                <c:pt idx="79">
                  <c:v>45314</c:v>
                </c:pt>
                <c:pt idx="80">
                  <c:v>45313</c:v>
                </c:pt>
                <c:pt idx="81">
                  <c:v>45310</c:v>
                </c:pt>
                <c:pt idx="82">
                  <c:v>45309</c:v>
                </c:pt>
                <c:pt idx="83">
                  <c:v>45308</c:v>
                </c:pt>
                <c:pt idx="84">
                  <c:v>45307</c:v>
                </c:pt>
                <c:pt idx="85">
                  <c:v>45306</c:v>
                </c:pt>
                <c:pt idx="86">
                  <c:v>45303</c:v>
                </c:pt>
                <c:pt idx="87">
                  <c:v>45302</c:v>
                </c:pt>
                <c:pt idx="88">
                  <c:v>45301</c:v>
                </c:pt>
                <c:pt idx="89">
                  <c:v>45300</c:v>
                </c:pt>
                <c:pt idx="90">
                  <c:v>45299</c:v>
                </c:pt>
                <c:pt idx="91">
                  <c:v>45296</c:v>
                </c:pt>
                <c:pt idx="92">
                  <c:v>45295</c:v>
                </c:pt>
                <c:pt idx="93">
                  <c:v>45294</c:v>
                </c:pt>
                <c:pt idx="94">
                  <c:v>45293</c:v>
                </c:pt>
                <c:pt idx="95">
                  <c:v>45292</c:v>
                </c:pt>
                <c:pt idx="96">
                  <c:v>45289</c:v>
                </c:pt>
                <c:pt idx="97">
                  <c:v>45288</c:v>
                </c:pt>
                <c:pt idx="98">
                  <c:v>45287</c:v>
                </c:pt>
                <c:pt idx="99">
                  <c:v>45286</c:v>
                </c:pt>
                <c:pt idx="100">
                  <c:v>45285</c:v>
                </c:pt>
                <c:pt idx="101">
                  <c:v>45282</c:v>
                </c:pt>
                <c:pt idx="102">
                  <c:v>45281</c:v>
                </c:pt>
                <c:pt idx="103">
                  <c:v>45280</c:v>
                </c:pt>
                <c:pt idx="104">
                  <c:v>45279</c:v>
                </c:pt>
                <c:pt idx="105">
                  <c:v>45278</c:v>
                </c:pt>
                <c:pt idx="106">
                  <c:v>45275</c:v>
                </c:pt>
                <c:pt idx="107">
                  <c:v>45274</c:v>
                </c:pt>
                <c:pt idx="108">
                  <c:v>45273</c:v>
                </c:pt>
                <c:pt idx="109">
                  <c:v>45272</c:v>
                </c:pt>
                <c:pt idx="110">
                  <c:v>45271</c:v>
                </c:pt>
                <c:pt idx="111">
                  <c:v>45268</c:v>
                </c:pt>
                <c:pt idx="112">
                  <c:v>45267</c:v>
                </c:pt>
                <c:pt idx="113">
                  <c:v>45266</c:v>
                </c:pt>
                <c:pt idx="114">
                  <c:v>45265</c:v>
                </c:pt>
                <c:pt idx="115">
                  <c:v>45264</c:v>
                </c:pt>
                <c:pt idx="116">
                  <c:v>45261</c:v>
                </c:pt>
                <c:pt idx="117">
                  <c:v>45260</c:v>
                </c:pt>
                <c:pt idx="118">
                  <c:v>45259</c:v>
                </c:pt>
                <c:pt idx="119">
                  <c:v>45258</c:v>
                </c:pt>
                <c:pt idx="120">
                  <c:v>45257</c:v>
                </c:pt>
                <c:pt idx="121">
                  <c:v>45254</c:v>
                </c:pt>
                <c:pt idx="122">
                  <c:v>45253</c:v>
                </c:pt>
                <c:pt idx="123">
                  <c:v>45252</c:v>
                </c:pt>
                <c:pt idx="124">
                  <c:v>45251</c:v>
                </c:pt>
                <c:pt idx="125">
                  <c:v>45250</c:v>
                </c:pt>
                <c:pt idx="126">
                  <c:v>45247</c:v>
                </c:pt>
                <c:pt idx="127">
                  <c:v>45246</c:v>
                </c:pt>
                <c:pt idx="128">
                  <c:v>45245</c:v>
                </c:pt>
                <c:pt idx="129">
                  <c:v>45244</c:v>
                </c:pt>
                <c:pt idx="130">
                  <c:v>45243</c:v>
                </c:pt>
                <c:pt idx="131">
                  <c:v>45240</c:v>
                </c:pt>
                <c:pt idx="132">
                  <c:v>45239</c:v>
                </c:pt>
                <c:pt idx="133">
                  <c:v>45238</c:v>
                </c:pt>
                <c:pt idx="134">
                  <c:v>45237</c:v>
                </c:pt>
                <c:pt idx="135">
                  <c:v>45236</c:v>
                </c:pt>
                <c:pt idx="136">
                  <c:v>45233</c:v>
                </c:pt>
                <c:pt idx="137">
                  <c:v>45232</c:v>
                </c:pt>
                <c:pt idx="138">
                  <c:v>45231</c:v>
                </c:pt>
                <c:pt idx="139">
                  <c:v>45230</c:v>
                </c:pt>
                <c:pt idx="140">
                  <c:v>45229</c:v>
                </c:pt>
                <c:pt idx="141">
                  <c:v>45226</c:v>
                </c:pt>
                <c:pt idx="142">
                  <c:v>45225</c:v>
                </c:pt>
                <c:pt idx="143">
                  <c:v>45224</c:v>
                </c:pt>
                <c:pt idx="144">
                  <c:v>45223</c:v>
                </c:pt>
                <c:pt idx="145">
                  <c:v>45222</c:v>
                </c:pt>
                <c:pt idx="146">
                  <c:v>45219</c:v>
                </c:pt>
                <c:pt idx="147">
                  <c:v>45218</c:v>
                </c:pt>
                <c:pt idx="148">
                  <c:v>45217</c:v>
                </c:pt>
                <c:pt idx="149">
                  <c:v>45216</c:v>
                </c:pt>
                <c:pt idx="150">
                  <c:v>45215</c:v>
                </c:pt>
                <c:pt idx="151">
                  <c:v>45212</c:v>
                </c:pt>
                <c:pt idx="152">
                  <c:v>45211</c:v>
                </c:pt>
                <c:pt idx="153">
                  <c:v>45210</c:v>
                </c:pt>
                <c:pt idx="154">
                  <c:v>45209</c:v>
                </c:pt>
                <c:pt idx="155">
                  <c:v>45208</c:v>
                </c:pt>
                <c:pt idx="156">
                  <c:v>45205</c:v>
                </c:pt>
                <c:pt idx="157">
                  <c:v>45204</c:v>
                </c:pt>
                <c:pt idx="158">
                  <c:v>45203</c:v>
                </c:pt>
                <c:pt idx="159">
                  <c:v>45202</c:v>
                </c:pt>
                <c:pt idx="160">
                  <c:v>45201</c:v>
                </c:pt>
                <c:pt idx="161">
                  <c:v>45198</c:v>
                </c:pt>
                <c:pt idx="162">
                  <c:v>45197</c:v>
                </c:pt>
                <c:pt idx="163">
                  <c:v>45196</c:v>
                </c:pt>
                <c:pt idx="164">
                  <c:v>45195</c:v>
                </c:pt>
                <c:pt idx="165">
                  <c:v>45194</c:v>
                </c:pt>
                <c:pt idx="166">
                  <c:v>45191</c:v>
                </c:pt>
                <c:pt idx="167">
                  <c:v>45190</c:v>
                </c:pt>
                <c:pt idx="168">
                  <c:v>45189</c:v>
                </c:pt>
                <c:pt idx="169">
                  <c:v>45188</c:v>
                </c:pt>
                <c:pt idx="170">
                  <c:v>45187</c:v>
                </c:pt>
                <c:pt idx="171">
                  <c:v>45184</c:v>
                </c:pt>
                <c:pt idx="172">
                  <c:v>45183</c:v>
                </c:pt>
                <c:pt idx="173">
                  <c:v>45182</c:v>
                </c:pt>
                <c:pt idx="174">
                  <c:v>45181</c:v>
                </c:pt>
                <c:pt idx="175">
                  <c:v>45180</c:v>
                </c:pt>
                <c:pt idx="176">
                  <c:v>45177</c:v>
                </c:pt>
                <c:pt idx="177">
                  <c:v>45176</c:v>
                </c:pt>
                <c:pt idx="178">
                  <c:v>45175</c:v>
                </c:pt>
                <c:pt idx="179">
                  <c:v>45174</c:v>
                </c:pt>
                <c:pt idx="180">
                  <c:v>45173</c:v>
                </c:pt>
                <c:pt idx="181">
                  <c:v>45170</c:v>
                </c:pt>
                <c:pt idx="182">
                  <c:v>45169</c:v>
                </c:pt>
                <c:pt idx="183">
                  <c:v>45168</c:v>
                </c:pt>
                <c:pt idx="184">
                  <c:v>45167</c:v>
                </c:pt>
                <c:pt idx="185">
                  <c:v>45166</c:v>
                </c:pt>
                <c:pt idx="186">
                  <c:v>45163</c:v>
                </c:pt>
                <c:pt idx="187">
                  <c:v>45162</c:v>
                </c:pt>
                <c:pt idx="188">
                  <c:v>45161</c:v>
                </c:pt>
                <c:pt idx="189">
                  <c:v>45160</c:v>
                </c:pt>
                <c:pt idx="190">
                  <c:v>45159</c:v>
                </c:pt>
                <c:pt idx="191">
                  <c:v>45156</c:v>
                </c:pt>
                <c:pt idx="192">
                  <c:v>45155</c:v>
                </c:pt>
                <c:pt idx="193">
                  <c:v>45154</c:v>
                </c:pt>
                <c:pt idx="194">
                  <c:v>45153</c:v>
                </c:pt>
                <c:pt idx="195">
                  <c:v>45152</c:v>
                </c:pt>
                <c:pt idx="196">
                  <c:v>45149</c:v>
                </c:pt>
                <c:pt idx="197">
                  <c:v>45148</c:v>
                </c:pt>
                <c:pt idx="198">
                  <c:v>45147</c:v>
                </c:pt>
                <c:pt idx="199">
                  <c:v>45146</c:v>
                </c:pt>
                <c:pt idx="200">
                  <c:v>45145</c:v>
                </c:pt>
                <c:pt idx="201">
                  <c:v>45142</c:v>
                </c:pt>
                <c:pt idx="202">
                  <c:v>45141</c:v>
                </c:pt>
                <c:pt idx="203">
                  <c:v>45140</c:v>
                </c:pt>
                <c:pt idx="204">
                  <c:v>45139</c:v>
                </c:pt>
                <c:pt idx="205">
                  <c:v>45138</c:v>
                </c:pt>
                <c:pt idx="206">
                  <c:v>45135</c:v>
                </c:pt>
                <c:pt idx="207">
                  <c:v>45134</c:v>
                </c:pt>
                <c:pt idx="208">
                  <c:v>45133</c:v>
                </c:pt>
                <c:pt idx="209">
                  <c:v>45132</c:v>
                </c:pt>
                <c:pt idx="210">
                  <c:v>45131</c:v>
                </c:pt>
                <c:pt idx="211">
                  <c:v>45128</c:v>
                </c:pt>
                <c:pt idx="212">
                  <c:v>45127</c:v>
                </c:pt>
                <c:pt idx="213">
                  <c:v>45126</c:v>
                </c:pt>
                <c:pt idx="214">
                  <c:v>45125</c:v>
                </c:pt>
                <c:pt idx="215">
                  <c:v>45124</c:v>
                </c:pt>
                <c:pt idx="216">
                  <c:v>45121</c:v>
                </c:pt>
                <c:pt idx="217">
                  <c:v>45120</c:v>
                </c:pt>
                <c:pt idx="218">
                  <c:v>45119</c:v>
                </c:pt>
                <c:pt idx="219">
                  <c:v>45118</c:v>
                </c:pt>
                <c:pt idx="220">
                  <c:v>45117</c:v>
                </c:pt>
                <c:pt idx="221">
                  <c:v>45114</c:v>
                </c:pt>
                <c:pt idx="222">
                  <c:v>45113</c:v>
                </c:pt>
                <c:pt idx="223">
                  <c:v>45112</c:v>
                </c:pt>
                <c:pt idx="224">
                  <c:v>45111</c:v>
                </c:pt>
                <c:pt idx="225">
                  <c:v>45110</c:v>
                </c:pt>
                <c:pt idx="226">
                  <c:v>45107</c:v>
                </c:pt>
                <c:pt idx="227">
                  <c:v>45106</c:v>
                </c:pt>
                <c:pt idx="228">
                  <c:v>45105</c:v>
                </c:pt>
                <c:pt idx="229">
                  <c:v>45104</c:v>
                </c:pt>
                <c:pt idx="230">
                  <c:v>45103</c:v>
                </c:pt>
                <c:pt idx="231">
                  <c:v>45100</c:v>
                </c:pt>
                <c:pt idx="232">
                  <c:v>45099</c:v>
                </c:pt>
                <c:pt idx="233">
                  <c:v>45098</c:v>
                </c:pt>
                <c:pt idx="234">
                  <c:v>45097</c:v>
                </c:pt>
                <c:pt idx="235">
                  <c:v>45096</c:v>
                </c:pt>
                <c:pt idx="236">
                  <c:v>45093</c:v>
                </c:pt>
                <c:pt idx="237">
                  <c:v>45092</c:v>
                </c:pt>
                <c:pt idx="238">
                  <c:v>45091</c:v>
                </c:pt>
                <c:pt idx="239">
                  <c:v>45090</c:v>
                </c:pt>
                <c:pt idx="240">
                  <c:v>45089</c:v>
                </c:pt>
                <c:pt idx="241">
                  <c:v>45086</c:v>
                </c:pt>
                <c:pt idx="242">
                  <c:v>45085</c:v>
                </c:pt>
                <c:pt idx="243">
                  <c:v>45084</c:v>
                </c:pt>
                <c:pt idx="244">
                  <c:v>45083</c:v>
                </c:pt>
                <c:pt idx="245">
                  <c:v>45082</c:v>
                </c:pt>
                <c:pt idx="246">
                  <c:v>45079</c:v>
                </c:pt>
                <c:pt idx="247">
                  <c:v>45078</c:v>
                </c:pt>
                <c:pt idx="248">
                  <c:v>45077</c:v>
                </c:pt>
                <c:pt idx="249">
                  <c:v>45076</c:v>
                </c:pt>
                <c:pt idx="250">
                  <c:v>45075</c:v>
                </c:pt>
                <c:pt idx="251">
                  <c:v>45072</c:v>
                </c:pt>
                <c:pt idx="252">
                  <c:v>45071</c:v>
                </c:pt>
                <c:pt idx="253">
                  <c:v>45070</c:v>
                </c:pt>
                <c:pt idx="254">
                  <c:v>45069</c:v>
                </c:pt>
                <c:pt idx="255">
                  <c:v>45068</c:v>
                </c:pt>
                <c:pt idx="256">
                  <c:v>45065</c:v>
                </c:pt>
                <c:pt idx="257">
                  <c:v>45064</c:v>
                </c:pt>
                <c:pt idx="258">
                  <c:v>45063</c:v>
                </c:pt>
                <c:pt idx="259">
                  <c:v>45062</c:v>
                </c:pt>
                <c:pt idx="260">
                  <c:v>45061</c:v>
                </c:pt>
                <c:pt idx="261">
                  <c:v>45058</c:v>
                </c:pt>
                <c:pt idx="262">
                  <c:v>45057</c:v>
                </c:pt>
                <c:pt idx="263">
                  <c:v>45056</c:v>
                </c:pt>
                <c:pt idx="264">
                  <c:v>45055</c:v>
                </c:pt>
                <c:pt idx="265">
                  <c:v>45054</c:v>
                </c:pt>
              </c:numCache>
            </c:numRef>
          </c:cat>
          <c:val>
            <c:numRef>
              <c:f>'Report''s chart'!$AQ$2:$AQ$267</c:f>
              <c:numCache>
                <c:formatCode>General</c:formatCode>
                <c:ptCount val="266"/>
                <c:pt idx="0">
                  <c:v>81.177099999999996</c:v>
                </c:pt>
                <c:pt idx="1">
                  <c:v>81.456599999999995</c:v>
                </c:pt>
                <c:pt idx="2">
                  <c:v>77.823899999999995</c:v>
                </c:pt>
                <c:pt idx="6">
                  <c:v>77.684100000000001</c:v>
                </c:pt>
                <c:pt idx="10">
                  <c:v>76.706100000000006</c:v>
                </c:pt>
                <c:pt idx="11">
                  <c:v>75.169200000000004</c:v>
                </c:pt>
                <c:pt idx="12">
                  <c:v>73.073400000000007</c:v>
                </c:pt>
                <c:pt idx="13">
                  <c:v>69.580399999999997</c:v>
                </c:pt>
                <c:pt idx="14">
                  <c:v>67.903800000000004</c:v>
                </c:pt>
                <c:pt idx="15">
                  <c:v>67.344899999999996</c:v>
                </c:pt>
                <c:pt idx="17">
                  <c:v>69.021500000000003</c:v>
                </c:pt>
                <c:pt idx="18">
                  <c:v>69.720100000000002</c:v>
                </c:pt>
                <c:pt idx="19">
                  <c:v>69.720100000000002</c:v>
                </c:pt>
                <c:pt idx="20">
                  <c:v>72.654200000000003</c:v>
                </c:pt>
                <c:pt idx="21">
                  <c:v>73.073400000000007</c:v>
                </c:pt>
                <c:pt idx="22">
                  <c:v>72.654200000000003</c:v>
                </c:pt>
                <c:pt idx="23">
                  <c:v>73.772000000000006</c:v>
                </c:pt>
                <c:pt idx="24">
                  <c:v>69.859800000000007</c:v>
                </c:pt>
                <c:pt idx="25">
                  <c:v>71.257000000000005</c:v>
                </c:pt>
                <c:pt idx="26">
                  <c:v>70.837900000000005</c:v>
                </c:pt>
                <c:pt idx="27">
                  <c:v>70.139300000000006</c:v>
                </c:pt>
                <c:pt idx="28">
                  <c:v>72.095299999999995</c:v>
                </c:pt>
                <c:pt idx="29">
                  <c:v>71.815899999999999</c:v>
                </c:pt>
                <c:pt idx="30">
                  <c:v>71.396799999999999</c:v>
                </c:pt>
                <c:pt idx="31">
                  <c:v>448.4744</c:v>
                </c:pt>
                <c:pt idx="32">
                  <c:v>445.83629999999999</c:v>
                </c:pt>
                <c:pt idx="33">
                  <c:v>427.80939999999998</c:v>
                </c:pt>
                <c:pt idx="34">
                  <c:v>424.73169999999999</c:v>
                </c:pt>
                <c:pt idx="35">
                  <c:v>431.76659999999998</c:v>
                </c:pt>
                <c:pt idx="36">
                  <c:v>426.49040000000002</c:v>
                </c:pt>
                <c:pt idx="37">
                  <c:v>422.09359999999998</c:v>
                </c:pt>
                <c:pt idx="38">
                  <c:v>400.1096</c:v>
                </c:pt>
                <c:pt idx="39">
                  <c:v>403.62700000000001</c:v>
                </c:pt>
                <c:pt idx="40">
                  <c:v>416.3777</c:v>
                </c:pt>
                <c:pt idx="41">
                  <c:v>415.4984</c:v>
                </c:pt>
                <c:pt idx="42">
                  <c:v>426.93009999999998</c:v>
                </c:pt>
                <c:pt idx="43">
                  <c:v>411.10160000000002</c:v>
                </c:pt>
                <c:pt idx="44">
                  <c:v>408.02379999999999</c:v>
                </c:pt>
                <c:pt idx="45">
                  <c:v>419.89519999999999</c:v>
                </c:pt>
                <c:pt idx="46">
                  <c:v>430.88720000000001</c:v>
                </c:pt>
                <c:pt idx="47">
                  <c:v>428.2491</c:v>
                </c:pt>
                <c:pt idx="48">
                  <c:v>439.68079999999998</c:v>
                </c:pt>
                <c:pt idx="49">
                  <c:v>416.81740000000002</c:v>
                </c:pt>
                <c:pt idx="50">
                  <c:v>409.78250000000003</c:v>
                </c:pt>
                <c:pt idx="51">
                  <c:v>406.26510000000002</c:v>
                </c:pt>
                <c:pt idx="52">
                  <c:v>398.35079999999999</c:v>
                </c:pt>
                <c:pt idx="53">
                  <c:v>393.51429999999999</c:v>
                </c:pt>
                <c:pt idx="54">
                  <c:v>389.99689999999998</c:v>
                </c:pt>
                <c:pt idx="55">
                  <c:v>386.91910000000001</c:v>
                </c:pt>
                <c:pt idx="56">
                  <c:v>398.35079999999999</c:v>
                </c:pt>
                <c:pt idx="57">
                  <c:v>405.38569999999999</c:v>
                </c:pt>
                <c:pt idx="58">
                  <c:v>411.54129999999998</c:v>
                </c:pt>
                <c:pt idx="59">
                  <c:v>411.54129999999998</c:v>
                </c:pt>
                <c:pt idx="60">
                  <c:v>407.14440000000002</c:v>
                </c:pt>
                <c:pt idx="61">
                  <c:v>403.18729999999999</c:v>
                </c:pt>
                <c:pt idx="67">
                  <c:v>409.78250000000003</c:v>
                </c:pt>
                <c:pt idx="68">
                  <c:v>413.3</c:v>
                </c:pt>
                <c:pt idx="69">
                  <c:v>416.81740000000002</c:v>
                </c:pt>
                <c:pt idx="70">
                  <c:v>416.81740000000002</c:v>
                </c:pt>
                <c:pt idx="71">
                  <c:v>406.26510000000002</c:v>
                </c:pt>
                <c:pt idx="73">
                  <c:v>395.71269999999998</c:v>
                </c:pt>
                <c:pt idx="74">
                  <c:v>399.23020000000002</c:v>
                </c:pt>
                <c:pt idx="75">
                  <c:v>392.19529999999997</c:v>
                </c:pt>
                <c:pt idx="76">
                  <c:v>394.83339999999998</c:v>
                </c:pt>
                <c:pt idx="77">
                  <c:v>397.47149999999999</c:v>
                </c:pt>
                <c:pt idx="78">
                  <c:v>390.4366</c:v>
                </c:pt>
                <c:pt idx="79">
                  <c:v>399.23020000000002</c:v>
                </c:pt>
                <c:pt idx="80">
                  <c:v>405.8254</c:v>
                </c:pt>
                <c:pt idx="81">
                  <c:v>404.94600000000003</c:v>
                </c:pt>
                <c:pt idx="82">
                  <c:v>403.18729999999999</c:v>
                </c:pt>
                <c:pt idx="83">
                  <c:v>394.83339999999998</c:v>
                </c:pt>
                <c:pt idx="84">
                  <c:v>389.55720000000002</c:v>
                </c:pt>
                <c:pt idx="85">
                  <c:v>377.24619999999999</c:v>
                </c:pt>
                <c:pt idx="86">
                  <c:v>368.45249999999999</c:v>
                </c:pt>
                <c:pt idx="87">
                  <c:v>373.28899999999999</c:v>
                </c:pt>
                <c:pt idx="88">
                  <c:v>371.53030000000001</c:v>
                </c:pt>
                <c:pt idx="89">
                  <c:v>375.48739999999998</c:v>
                </c:pt>
                <c:pt idx="90">
                  <c:v>379.88420000000002</c:v>
                </c:pt>
                <c:pt idx="91">
                  <c:v>385.6001</c:v>
                </c:pt>
                <c:pt idx="92">
                  <c:v>379.88420000000002</c:v>
                </c:pt>
                <c:pt idx="93">
                  <c:v>379.88420000000002</c:v>
                </c:pt>
                <c:pt idx="94">
                  <c:v>373.28899999999999</c:v>
                </c:pt>
                <c:pt idx="96">
                  <c:v>376.36680000000001</c:v>
                </c:pt>
                <c:pt idx="97">
                  <c:v>90.630700000000004</c:v>
                </c:pt>
                <c:pt idx="98">
                  <c:v>90.209599999999995</c:v>
                </c:pt>
                <c:pt idx="99">
                  <c:v>89.893799999999999</c:v>
                </c:pt>
                <c:pt idx="100">
                  <c:v>89.788600000000002</c:v>
                </c:pt>
                <c:pt idx="101">
                  <c:v>89.156999999999996</c:v>
                </c:pt>
                <c:pt idx="102">
                  <c:v>89.788600000000002</c:v>
                </c:pt>
                <c:pt idx="103">
                  <c:v>89.262299999999996</c:v>
                </c:pt>
                <c:pt idx="104">
                  <c:v>85.578100000000006</c:v>
                </c:pt>
                <c:pt idx="105">
                  <c:v>83.367599999999996</c:v>
                </c:pt>
                <c:pt idx="106">
                  <c:v>85.788600000000002</c:v>
                </c:pt>
                <c:pt idx="107">
                  <c:v>87.578100000000006</c:v>
                </c:pt>
                <c:pt idx="108">
                  <c:v>87.788600000000002</c:v>
                </c:pt>
                <c:pt idx="109">
                  <c:v>89.472800000000007</c:v>
                </c:pt>
                <c:pt idx="110">
                  <c:v>89.472800000000007</c:v>
                </c:pt>
                <c:pt idx="111">
                  <c:v>89.683300000000003</c:v>
                </c:pt>
                <c:pt idx="112">
                  <c:v>85.999099999999999</c:v>
                </c:pt>
                <c:pt idx="113">
                  <c:v>86.209599999999995</c:v>
                </c:pt>
                <c:pt idx="114">
                  <c:v>84.209699999999998</c:v>
                </c:pt>
                <c:pt idx="115">
                  <c:v>84.104399999999998</c:v>
                </c:pt>
                <c:pt idx="116">
                  <c:v>81.578100000000006</c:v>
                </c:pt>
                <c:pt idx="117">
                  <c:v>81.0518</c:v>
                </c:pt>
                <c:pt idx="118">
                  <c:v>81.683400000000006</c:v>
                </c:pt>
                <c:pt idx="119">
                  <c:v>79.999200000000002</c:v>
                </c:pt>
                <c:pt idx="120">
                  <c:v>79.999200000000002</c:v>
                </c:pt>
                <c:pt idx="121">
                  <c:v>81.1571</c:v>
                </c:pt>
                <c:pt idx="122">
                  <c:v>78.525499999999994</c:v>
                </c:pt>
                <c:pt idx="123">
                  <c:v>83.788600000000002</c:v>
                </c:pt>
                <c:pt idx="124">
                  <c:v>86.104399999999998</c:v>
                </c:pt>
                <c:pt idx="125">
                  <c:v>85.367599999999996</c:v>
                </c:pt>
                <c:pt idx="126">
                  <c:v>87.156999999999996</c:v>
                </c:pt>
                <c:pt idx="127">
                  <c:v>87.367500000000007</c:v>
                </c:pt>
                <c:pt idx="128">
                  <c:v>88.209599999999995</c:v>
                </c:pt>
                <c:pt idx="129">
                  <c:v>87.367500000000007</c:v>
                </c:pt>
                <c:pt idx="130">
                  <c:v>84.209699999999998</c:v>
                </c:pt>
                <c:pt idx="131">
                  <c:v>82.9465</c:v>
                </c:pt>
                <c:pt idx="132">
                  <c:v>84.841200000000001</c:v>
                </c:pt>
                <c:pt idx="133">
                  <c:v>83.367599999999996</c:v>
                </c:pt>
                <c:pt idx="134">
                  <c:v>80.420199999999994</c:v>
                </c:pt>
                <c:pt idx="135">
                  <c:v>80.104399999999998</c:v>
                </c:pt>
                <c:pt idx="136">
                  <c:v>81.999200000000002</c:v>
                </c:pt>
                <c:pt idx="137">
                  <c:v>77.893900000000002</c:v>
                </c:pt>
                <c:pt idx="138">
                  <c:v>73.894000000000005</c:v>
                </c:pt>
                <c:pt idx="139">
                  <c:v>79.367599999999996</c:v>
                </c:pt>
                <c:pt idx="140">
                  <c:v>85.262299999999996</c:v>
                </c:pt>
                <c:pt idx="141">
                  <c:v>88.420199999999994</c:v>
                </c:pt>
                <c:pt idx="142">
                  <c:v>88.420199999999994</c:v>
                </c:pt>
                <c:pt idx="143">
                  <c:v>91.578000000000003</c:v>
                </c:pt>
                <c:pt idx="144">
                  <c:v>90.525400000000005</c:v>
                </c:pt>
                <c:pt idx="145">
                  <c:v>90.525400000000005</c:v>
                </c:pt>
                <c:pt idx="146">
                  <c:v>94.104299999999995</c:v>
                </c:pt>
                <c:pt idx="147">
                  <c:v>90.525400000000005</c:v>
                </c:pt>
                <c:pt idx="148">
                  <c:v>94.104299999999995</c:v>
                </c:pt>
                <c:pt idx="149">
                  <c:v>97.472700000000003</c:v>
                </c:pt>
                <c:pt idx="150">
                  <c:v>102.31480000000001</c:v>
                </c:pt>
                <c:pt idx="151">
                  <c:v>104.20950000000001</c:v>
                </c:pt>
                <c:pt idx="152">
                  <c:v>101.8937</c:v>
                </c:pt>
                <c:pt idx="153">
                  <c:v>103.7884</c:v>
                </c:pt>
                <c:pt idx="154">
                  <c:v>102.8411</c:v>
                </c:pt>
                <c:pt idx="155">
                  <c:v>100.94629999999999</c:v>
                </c:pt>
                <c:pt idx="156">
                  <c:v>101.6832</c:v>
                </c:pt>
                <c:pt idx="157">
                  <c:v>98.946399999999997</c:v>
                </c:pt>
                <c:pt idx="158">
                  <c:v>103.5779</c:v>
                </c:pt>
                <c:pt idx="159">
                  <c:v>103.1568</c:v>
                </c:pt>
                <c:pt idx="160">
                  <c:v>109.262</c:v>
                </c:pt>
                <c:pt idx="161">
                  <c:v>110.73569999999999</c:v>
                </c:pt>
                <c:pt idx="162">
                  <c:v>49.618600000000001</c:v>
                </c:pt>
                <c:pt idx="163">
                  <c:v>48.682400000000001</c:v>
                </c:pt>
                <c:pt idx="164">
                  <c:v>48.214300000000001</c:v>
                </c:pt>
                <c:pt idx="165">
                  <c:v>47.746200000000002</c:v>
                </c:pt>
                <c:pt idx="166">
                  <c:v>48.776000000000003</c:v>
                </c:pt>
                <c:pt idx="167">
                  <c:v>50.741999999999997</c:v>
                </c:pt>
                <c:pt idx="168">
                  <c:v>52.239899999999999</c:v>
                </c:pt>
                <c:pt idx="169">
                  <c:v>51.959099999999999</c:v>
                </c:pt>
                <c:pt idx="170">
                  <c:v>51.491</c:v>
                </c:pt>
                <c:pt idx="171">
                  <c:v>52.333599999999997</c:v>
                </c:pt>
                <c:pt idx="172">
                  <c:v>53.644199999999998</c:v>
                </c:pt>
                <c:pt idx="173">
                  <c:v>53.831499999999998</c:v>
                </c:pt>
                <c:pt idx="174">
                  <c:v>52.239899999999999</c:v>
                </c:pt>
                <c:pt idx="175">
                  <c:v>51.0229</c:v>
                </c:pt>
                <c:pt idx="176">
                  <c:v>51.959099999999999</c:v>
                </c:pt>
                <c:pt idx="177">
                  <c:v>51.491</c:v>
                </c:pt>
                <c:pt idx="178">
                  <c:v>51.491</c:v>
                </c:pt>
                <c:pt idx="179">
                  <c:v>50.835599999999999</c:v>
                </c:pt>
                <c:pt idx="182">
                  <c:v>50.3675</c:v>
                </c:pt>
                <c:pt idx="183">
                  <c:v>50.3675</c:v>
                </c:pt>
                <c:pt idx="184">
                  <c:v>49.524999999999999</c:v>
                </c:pt>
                <c:pt idx="185">
                  <c:v>48.401499999999999</c:v>
                </c:pt>
                <c:pt idx="186">
                  <c:v>47.278100000000002</c:v>
                </c:pt>
                <c:pt idx="187">
                  <c:v>47.090800000000002</c:v>
                </c:pt>
                <c:pt idx="188">
                  <c:v>46.5291</c:v>
                </c:pt>
                <c:pt idx="189">
                  <c:v>46.81</c:v>
                </c:pt>
                <c:pt idx="190">
                  <c:v>45.873800000000003</c:v>
                </c:pt>
                <c:pt idx="191">
                  <c:v>46.997199999999999</c:v>
                </c:pt>
                <c:pt idx="192">
                  <c:v>50.461199999999998</c:v>
                </c:pt>
                <c:pt idx="193">
                  <c:v>50.3675</c:v>
                </c:pt>
                <c:pt idx="194">
                  <c:v>50.5548</c:v>
                </c:pt>
                <c:pt idx="195">
                  <c:v>50.741999999999997</c:v>
                </c:pt>
                <c:pt idx="196">
                  <c:v>49.8994</c:v>
                </c:pt>
                <c:pt idx="197">
                  <c:v>48.682400000000001</c:v>
                </c:pt>
                <c:pt idx="198">
                  <c:v>49.244100000000003</c:v>
                </c:pt>
                <c:pt idx="199">
                  <c:v>50.180300000000003</c:v>
                </c:pt>
                <c:pt idx="200">
                  <c:v>50.3675</c:v>
                </c:pt>
                <c:pt idx="201">
                  <c:v>49.618600000000001</c:v>
                </c:pt>
                <c:pt idx="202">
                  <c:v>49.337699999999998</c:v>
                </c:pt>
                <c:pt idx="203">
                  <c:v>48.401499999999999</c:v>
                </c:pt>
                <c:pt idx="204">
                  <c:v>48.401499999999999</c:v>
                </c:pt>
                <c:pt idx="205">
                  <c:v>50.273899999999998</c:v>
                </c:pt>
                <c:pt idx="206">
                  <c:v>51.0229</c:v>
                </c:pt>
                <c:pt idx="207">
                  <c:v>50.648400000000002</c:v>
                </c:pt>
                <c:pt idx="208">
                  <c:v>48.776000000000003</c:v>
                </c:pt>
                <c:pt idx="209">
                  <c:v>49.703299999999999</c:v>
                </c:pt>
                <c:pt idx="210">
                  <c:v>50.5379</c:v>
                </c:pt>
                <c:pt idx="211">
                  <c:v>48.683300000000003</c:v>
                </c:pt>
                <c:pt idx="212">
                  <c:v>45.5304</c:v>
                </c:pt>
                <c:pt idx="213">
                  <c:v>44.9741</c:v>
                </c:pt>
                <c:pt idx="214">
                  <c:v>44.556800000000003</c:v>
                </c:pt>
                <c:pt idx="215">
                  <c:v>45.113199999999999</c:v>
                </c:pt>
                <c:pt idx="216">
                  <c:v>45.854999999999997</c:v>
                </c:pt>
                <c:pt idx="217">
                  <c:v>45.762300000000003</c:v>
                </c:pt>
                <c:pt idx="218">
                  <c:v>45.576799999999999</c:v>
                </c:pt>
                <c:pt idx="219">
                  <c:v>45.252299999999998</c:v>
                </c:pt>
                <c:pt idx="220">
                  <c:v>44.278599999999997</c:v>
                </c:pt>
                <c:pt idx="221">
                  <c:v>42.1922</c:v>
                </c:pt>
                <c:pt idx="222">
                  <c:v>40.059399999999997</c:v>
                </c:pt>
                <c:pt idx="223">
                  <c:v>40.198500000000003</c:v>
                </c:pt>
                <c:pt idx="224">
                  <c:v>40.105699999999999</c:v>
                </c:pt>
                <c:pt idx="225">
                  <c:v>39.873899999999999</c:v>
                </c:pt>
                <c:pt idx="226">
                  <c:v>40.152099999999997</c:v>
                </c:pt>
                <c:pt idx="227">
                  <c:v>23.062899999999999</c:v>
                </c:pt>
                <c:pt idx="228">
                  <c:v>23.710999999999999</c:v>
                </c:pt>
                <c:pt idx="229">
                  <c:v>23.873000000000001</c:v>
                </c:pt>
                <c:pt idx="230">
                  <c:v>23.9541</c:v>
                </c:pt>
                <c:pt idx="231">
                  <c:v>23.1709</c:v>
                </c:pt>
                <c:pt idx="232">
                  <c:v>23.251899999999999</c:v>
                </c:pt>
                <c:pt idx="233">
                  <c:v>23.062899999999999</c:v>
                </c:pt>
                <c:pt idx="234">
                  <c:v>22.954899999999999</c:v>
                </c:pt>
                <c:pt idx="235">
                  <c:v>22.4147</c:v>
                </c:pt>
                <c:pt idx="236">
                  <c:v>22.3337</c:v>
                </c:pt>
                <c:pt idx="237">
                  <c:v>22.5228</c:v>
                </c:pt>
                <c:pt idx="238">
                  <c:v>22.7118</c:v>
                </c:pt>
                <c:pt idx="239">
                  <c:v>23.224900000000002</c:v>
                </c:pt>
                <c:pt idx="240">
                  <c:v>23.224900000000002</c:v>
                </c:pt>
                <c:pt idx="241">
                  <c:v>22.360700000000001</c:v>
                </c:pt>
                <c:pt idx="242">
                  <c:v>21.9556</c:v>
                </c:pt>
                <c:pt idx="243">
                  <c:v>22.576799999999999</c:v>
                </c:pt>
                <c:pt idx="244">
                  <c:v>22.576799999999999</c:v>
                </c:pt>
                <c:pt idx="245">
                  <c:v>22.252700000000001</c:v>
                </c:pt>
                <c:pt idx="246">
                  <c:v>22.0367</c:v>
                </c:pt>
                <c:pt idx="247">
                  <c:v>21.226500000000001</c:v>
                </c:pt>
                <c:pt idx="248">
                  <c:v>21.172499999999999</c:v>
                </c:pt>
                <c:pt idx="249">
                  <c:v>21.2805</c:v>
                </c:pt>
                <c:pt idx="250">
                  <c:v>20.9024</c:v>
                </c:pt>
                <c:pt idx="251">
                  <c:v>20.632400000000001</c:v>
                </c:pt>
                <c:pt idx="252">
                  <c:v>20.5243</c:v>
                </c:pt>
                <c:pt idx="253">
                  <c:v>20.497299999999999</c:v>
                </c:pt>
                <c:pt idx="254">
                  <c:v>20.659400000000002</c:v>
                </c:pt>
                <c:pt idx="255">
                  <c:v>20.821400000000001</c:v>
                </c:pt>
                <c:pt idx="256">
                  <c:v>20.686399999999999</c:v>
                </c:pt>
                <c:pt idx="257">
                  <c:v>20.578299999999999</c:v>
                </c:pt>
                <c:pt idx="258">
                  <c:v>20.605399999999999</c:v>
                </c:pt>
                <c:pt idx="259">
                  <c:v>20.767399999999999</c:v>
                </c:pt>
                <c:pt idx="260">
                  <c:v>21.010400000000001</c:v>
                </c:pt>
                <c:pt idx="261">
                  <c:v>21.064499999999999</c:v>
                </c:pt>
                <c:pt idx="262">
                  <c:v>20.9024</c:v>
                </c:pt>
                <c:pt idx="263">
                  <c:v>21.064499999999999</c:v>
                </c:pt>
                <c:pt idx="264">
                  <c:v>20.497299999999999</c:v>
                </c:pt>
                <c:pt idx="265">
                  <c:v>20.443300000000001</c:v>
                </c:pt>
              </c:numCache>
            </c:numRef>
          </c:val>
          <c:smooth val="0"/>
          <c:extLst>
            <c:ext xmlns:c16="http://schemas.microsoft.com/office/drawing/2014/chart" uri="{C3380CC4-5D6E-409C-BE32-E72D297353CC}">
              <c16:uniqueId val="{00000000-DBDC-458F-BC3F-47C04377C58B}"/>
            </c:ext>
          </c:extLst>
        </c:ser>
        <c:dLbls>
          <c:showLegendKey val="0"/>
          <c:showVal val="0"/>
          <c:showCatName val="0"/>
          <c:showSerName val="0"/>
          <c:showPercent val="0"/>
          <c:showBubbleSize val="0"/>
        </c:dLbls>
        <c:marker val="1"/>
        <c:smooth val="0"/>
        <c:axId val="1106579608"/>
        <c:axId val="1106582488"/>
      </c:lineChart>
      <c:lineChart>
        <c:grouping val="standard"/>
        <c:varyColors val="0"/>
        <c:ser>
          <c:idx val="1"/>
          <c:order val="1"/>
          <c:tx>
            <c:strRef>
              <c:f>'Report''s chart'!$AR$1</c:f>
              <c:strCache>
                <c:ptCount val="1"/>
                <c:pt idx="0">
                  <c:v>VNINDEX Index  (R)</c:v>
                </c:pt>
              </c:strCache>
            </c:strRef>
          </c:tx>
          <c:spPr>
            <a:ln w="28575" cap="rnd">
              <a:solidFill>
                <a:schemeClr val="bg1">
                  <a:lumMod val="65000"/>
                </a:schemeClr>
              </a:solidFill>
              <a:round/>
            </a:ln>
            <a:effectLst/>
          </c:spPr>
          <c:marker>
            <c:symbol val="none"/>
          </c:marker>
          <c:cat>
            <c:numRef>
              <c:f>'Report''s chart'!$AP$2:$AP$267</c:f>
              <c:numCache>
                <c:formatCode>m/d/yy</c:formatCode>
                <c:ptCount val="266"/>
                <c:pt idx="0">
                  <c:v>45419</c:v>
                </c:pt>
                <c:pt idx="1">
                  <c:v>45418</c:v>
                </c:pt>
                <c:pt idx="2">
                  <c:v>45415</c:v>
                </c:pt>
                <c:pt idx="6">
                  <c:v>45414</c:v>
                </c:pt>
                <c:pt idx="7">
                  <c:v>45413</c:v>
                </c:pt>
                <c:pt idx="8">
                  <c:v>45412</c:v>
                </c:pt>
                <c:pt idx="9">
                  <c:v>45411</c:v>
                </c:pt>
                <c:pt idx="10">
                  <c:v>45408</c:v>
                </c:pt>
                <c:pt idx="11">
                  <c:v>45407</c:v>
                </c:pt>
                <c:pt idx="12">
                  <c:v>45406</c:v>
                </c:pt>
                <c:pt idx="13">
                  <c:v>45405</c:v>
                </c:pt>
                <c:pt idx="14">
                  <c:v>45404</c:v>
                </c:pt>
                <c:pt idx="15">
                  <c:v>45401</c:v>
                </c:pt>
                <c:pt idx="16">
                  <c:v>45400</c:v>
                </c:pt>
                <c:pt idx="17">
                  <c:v>45399</c:v>
                </c:pt>
                <c:pt idx="18">
                  <c:v>45398</c:v>
                </c:pt>
                <c:pt idx="19">
                  <c:v>45397</c:v>
                </c:pt>
                <c:pt idx="20">
                  <c:v>45394</c:v>
                </c:pt>
                <c:pt idx="21">
                  <c:v>45393</c:v>
                </c:pt>
                <c:pt idx="22">
                  <c:v>45392</c:v>
                </c:pt>
                <c:pt idx="23">
                  <c:v>45391</c:v>
                </c:pt>
                <c:pt idx="24">
                  <c:v>45390</c:v>
                </c:pt>
                <c:pt idx="25">
                  <c:v>45387</c:v>
                </c:pt>
                <c:pt idx="26">
                  <c:v>45386</c:v>
                </c:pt>
                <c:pt idx="27">
                  <c:v>45385</c:v>
                </c:pt>
                <c:pt idx="28">
                  <c:v>45384</c:v>
                </c:pt>
                <c:pt idx="29">
                  <c:v>45383</c:v>
                </c:pt>
                <c:pt idx="30">
                  <c:v>45380</c:v>
                </c:pt>
                <c:pt idx="31">
                  <c:v>45379</c:v>
                </c:pt>
                <c:pt idx="32">
                  <c:v>45378</c:v>
                </c:pt>
                <c:pt idx="33">
                  <c:v>45377</c:v>
                </c:pt>
                <c:pt idx="34">
                  <c:v>45376</c:v>
                </c:pt>
                <c:pt idx="35">
                  <c:v>45373</c:v>
                </c:pt>
                <c:pt idx="36">
                  <c:v>45372</c:v>
                </c:pt>
                <c:pt idx="37">
                  <c:v>45371</c:v>
                </c:pt>
                <c:pt idx="38">
                  <c:v>45370</c:v>
                </c:pt>
                <c:pt idx="39">
                  <c:v>45369</c:v>
                </c:pt>
                <c:pt idx="40">
                  <c:v>45366</c:v>
                </c:pt>
                <c:pt idx="41">
                  <c:v>45365</c:v>
                </c:pt>
                <c:pt idx="42">
                  <c:v>45364</c:v>
                </c:pt>
                <c:pt idx="43">
                  <c:v>45363</c:v>
                </c:pt>
                <c:pt idx="44">
                  <c:v>45362</c:v>
                </c:pt>
                <c:pt idx="45">
                  <c:v>45359</c:v>
                </c:pt>
                <c:pt idx="46">
                  <c:v>45358</c:v>
                </c:pt>
                <c:pt idx="47">
                  <c:v>45357</c:v>
                </c:pt>
                <c:pt idx="48">
                  <c:v>45356</c:v>
                </c:pt>
                <c:pt idx="49">
                  <c:v>45355</c:v>
                </c:pt>
                <c:pt idx="50">
                  <c:v>45352</c:v>
                </c:pt>
                <c:pt idx="51">
                  <c:v>45351</c:v>
                </c:pt>
                <c:pt idx="52">
                  <c:v>45350</c:v>
                </c:pt>
                <c:pt idx="53">
                  <c:v>45349</c:v>
                </c:pt>
                <c:pt idx="54">
                  <c:v>45348</c:v>
                </c:pt>
                <c:pt idx="55">
                  <c:v>45345</c:v>
                </c:pt>
                <c:pt idx="56">
                  <c:v>45344</c:v>
                </c:pt>
                <c:pt idx="57">
                  <c:v>45343</c:v>
                </c:pt>
                <c:pt idx="58">
                  <c:v>45342</c:v>
                </c:pt>
                <c:pt idx="59">
                  <c:v>45341</c:v>
                </c:pt>
                <c:pt idx="60">
                  <c:v>45338</c:v>
                </c:pt>
                <c:pt idx="61">
                  <c:v>45337</c:v>
                </c:pt>
                <c:pt idx="62">
                  <c:v>45336</c:v>
                </c:pt>
                <c:pt idx="63">
                  <c:v>45335</c:v>
                </c:pt>
                <c:pt idx="64">
                  <c:v>45334</c:v>
                </c:pt>
                <c:pt idx="65">
                  <c:v>45331</c:v>
                </c:pt>
                <c:pt idx="66">
                  <c:v>45330</c:v>
                </c:pt>
                <c:pt idx="67">
                  <c:v>45329</c:v>
                </c:pt>
                <c:pt idx="68">
                  <c:v>45328</c:v>
                </c:pt>
                <c:pt idx="69">
                  <c:v>45327</c:v>
                </c:pt>
                <c:pt idx="70">
                  <c:v>45324</c:v>
                </c:pt>
                <c:pt idx="71">
                  <c:v>45323</c:v>
                </c:pt>
                <c:pt idx="73">
                  <c:v>45322</c:v>
                </c:pt>
                <c:pt idx="74">
                  <c:v>45321</c:v>
                </c:pt>
                <c:pt idx="75">
                  <c:v>45320</c:v>
                </c:pt>
                <c:pt idx="76">
                  <c:v>45317</c:v>
                </c:pt>
                <c:pt idx="77">
                  <c:v>45316</c:v>
                </c:pt>
                <c:pt idx="78">
                  <c:v>45315</c:v>
                </c:pt>
                <c:pt idx="79">
                  <c:v>45314</c:v>
                </c:pt>
                <c:pt idx="80">
                  <c:v>45313</c:v>
                </c:pt>
                <c:pt idx="81">
                  <c:v>45310</c:v>
                </c:pt>
                <c:pt idx="82">
                  <c:v>45309</c:v>
                </c:pt>
                <c:pt idx="83">
                  <c:v>45308</c:v>
                </c:pt>
                <c:pt idx="84">
                  <c:v>45307</c:v>
                </c:pt>
                <c:pt idx="85">
                  <c:v>45306</c:v>
                </c:pt>
                <c:pt idx="86">
                  <c:v>45303</c:v>
                </c:pt>
                <c:pt idx="87">
                  <c:v>45302</c:v>
                </c:pt>
                <c:pt idx="88">
                  <c:v>45301</c:v>
                </c:pt>
                <c:pt idx="89">
                  <c:v>45300</c:v>
                </c:pt>
                <c:pt idx="90">
                  <c:v>45299</c:v>
                </c:pt>
                <c:pt idx="91">
                  <c:v>45296</c:v>
                </c:pt>
                <c:pt idx="92">
                  <c:v>45295</c:v>
                </c:pt>
                <c:pt idx="93">
                  <c:v>45294</c:v>
                </c:pt>
                <c:pt idx="94">
                  <c:v>45293</c:v>
                </c:pt>
                <c:pt idx="95">
                  <c:v>45292</c:v>
                </c:pt>
                <c:pt idx="96">
                  <c:v>45289</c:v>
                </c:pt>
                <c:pt idx="97">
                  <c:v>45288</c:v>
                </c:pt>
                <c:pt idx="98">
                  <c:v>45287</c:v>
                </c:pt>
                <c:pt idx="99">
                  <c:v>45286</c:v>
                </c:pt>
                <c:pt idx="100">
                  <c:v>45285</c:v>
                </c:pt>
                <c:pt idx="101">
                  <c:v>45282</c:v>
                </c:pt>
                <c:pt idx="102">
                  <c:v>45281</c:v>
                </c:pt>
                <c:pt idx="103">
                  <c:v>45280</c:v>
                </c:pt>
                <c:pt idx="104">
                  <c:v>45279</c:v>
                </c:pt>
                <c:pt idx="105">
                  <c:v>45278</c:v>
                </c:pt>
                <c:pt idx="106">
                  <c:v>45275</c:v>
                </c:pt>
                <c:pt idx="107">
                  <c:v>45274</c:v>
                </c:pt>
                <c:pt idx="108">
                  <c:v>45273</c:v>
                </c:pt>
                <c:pt idx="109">
                  <c:v>45272</c:v>
                </c:pt>
                <c:pt idx="110">
                  <c:v>45271</c:v>
                </c:pt>
                <c:pt idx="111">
                  <c:v>45268</c:v>
                </c:pt>
                <c:pt idx="112">
                  <c:v>45267</c:v>
                </c:pt>
                <c:pt idx="113">
                  <c:v>45266</c:v>
                </c:pt>
                <c:pt idx="114">
                  <c:v>45265</c:v>
                </c:pt>
                <c:pt idx="115">
                  <c:v>45264</c:v>
                </c:pt>
                <c:pt idx="116">
                  <c:v>45261</c:v>
                </c:pt>
                <c:pt idx="117">
                  <c:v>45260</c:v>
                </c:pt>
                <c:pt idx="118">
                  <c:v>45259</c:v>
                </c:pt>
                <c:pt idx="119">
                  <c:v>45258</c:v>
                </c:pt>
                <c:pt idx="120">
                  <c:v>45257</c:v>
                </c:pt>
                <c:pt idx="121">
                  <c:v>45254</c:v>
                </c:pt>
                <c:pt idx="122">
                  <c:v>45253</c:v>
                </c:pt>
                <c:pt idx="123">
                  <c:v>45252</c:v>
                </c:pt>
                <c:pt idx="124">
                  <c:v>45251</c:v>
                </c:pt>
                <c:pt idx="125">
                  <c:v>45250</c:v>
                </c:pt>
                <c:pt idx="126">
                  <c:v>45247</c:v>
                </c:pt>
                <c:pt idx="127">
                  <c:v>45246</c:v>
                </c:pt>
                <c:pt idx="128">
                  <c:v>45245</c:v>
                </c:pt>
                <c:pt idx="129">
                  <c:v>45244</c:v>
                </c:pt>
                <c:pt idx="130">
                  <c:v>45243</c:v>
                </c:pt>
                <c:pt idx="131">
                  <c:v>45240</c:v>
                </c:pt>
                <c:pt idx="132">
                  <c:v>45239</c:v>
                </c:pt>
                <c:pt idx="133">
                  <c:v>45238</c:v>
                </c:pt>
                <c:pt idx="134">
                  <c:v>45237</c:v>
                </c:pt>
                <c:pt idx="135">
                  <c:v>45236</c:v>
                </c:pt>
                <c:pt idx="136">
                  <c:v>45233</c:v>
                </c:pt>
                <c:pt idx="137">
                  <c:v>45232</c:v>
                </c:pt>
                <c:pt idx="138">
                  <c:v>45231</c:v>
                </c:pt>
                <c:pt idx="139">
                  <c:v>45230</c:v>
                </c:pt>
                <c:pt idx="140">
                  <c:v>45229</c:v>
                </c:pt>
                <c:pt idx="141">
                  <c:v>45226</c:v>
                </c:pt>
                <c:pt idx="142">
                  <c:v>45225</c:v>
                </c:pt>
                <c:pt idx="143">
                  <c:v>45224</c:v>
                </c:pt>
                <c:pt idx="144">
                  <c:v>45223</c:v>
                </c:pt>
                <c:pt idx="145">
                  <c:v>45222</c:v>
                </c:pt>
                <c:pt idx="146">
                  <c:v>45219</c:v>
                </c:pt>
                <c:pt idx="147">
                  <c:v>45218</c:v>
                </c:pt>
                <c:pt idx="148">
                  <c:v>45217</c:v>
                </c:pt>
                <c:pt idx="149">
                  <c:v>45216</c:v>
                </c:pt>
                <c:pt idx="150">
                  <c:v>45215</c:v>
                </c:pt>
                <c:pt idx="151">
                  <c:v>45212</c:v>
                </c:pt>
                <c:pt idx="152">
                  <c:v>45211</c:v>
                </c:pt>
                <c:pt idx="153">
                  <c:v>45210</c:v>
                </c:pt>
                <c:pt idx="154">
                  <c:v>45209</c:v>
                </c:pt>
                <c:pt idx="155">
                  <c:v>45208</c:v>
                </c:pt>
                <c:pt idx="156">
                  <c:v>45205</c:v>
                </c:pt>
                <c:pt idx="157">
                  <c:v>45204</c:v>
                </c:pt>
                <c:pt idx="158">
                  <c:v>45203</c:v>
                </c:pt>
                <c:pt idx="159">
                  <c:v>45202</c:v>
                </c:pt>
                <c:pt idx="160">
                  <c:v>45201</c:v>
                </c:pt>
                <c:pt idx="161">
                  <c:v>45198</c:v>
                </c:pt>
                <c:pt idx="162">
                  <c:v>45197</c:v>
                </c:pt>
                <c:pt idx="163">
                  <c:v>45196</c:v>
                </c:pt>
                <c:pt idx="164">
                  <c:v>45195</c:v>
                </c:pt>
                <c:pt idx="165">
                  <c:v>45194</c:v>
                </c:pt>
                <c:pt idx="166">
                  <c:v>45191</c:v>
                </c:pt>
                <c:pt idx="167">
                  <c:v>45190</c:v>
                </c:pt>
                <c:pt idx="168">
                  <c:v>45189</c:v>
                </c:pt>
                <c:pt idx="169">
                  <c:v>45188</c:v>
                </c:pt>
                <c:pt idx="170">
                  <c:v>45187</c:v>
                </c:pt>
                <c:pt idx="171">
                  <c:v>45184</c:v>
                </c:pt>
                <c:pt idx="172">
                  <c:v>45183</c:v>
                </c:pt>
                <c:pt idx="173">
                  <c:v>45182</c:v>
                </c:pt>
                <c:pt idx="174">
                  <c:v>45181</c:v>
                </c:pt>
                <c:pt idx="175">
                  <c:v>45180</c:v>
                </c:pt>
                <c:pt idx="176">
                  <c:v>45177</c:v>
                </c:pt>
                <c:pt idx="177">
                  <c:v>45176</c:v>
                </c:pt>
                <c:pt idx="178">
                  <c:v>45175</c:v>
                </c:pt>
                <c:pt idx="179">
                  <c:v>45174</c:v>
                </c:pt>
                <c:pt idx="180">
                  <c:v>45173</c:v>
                </c:pt>
                <c:pt idx="181">
                  <c:v>45170</c:v>
                </c:pt>
                <c:pt idx="182">
                  <c:v>45169</c:v>
                </c:pt>
                <c:pt idx="183">
                  <c:v>45168</c:v>
                </c:pt>
                <c:pt idx="184">
                  <c:v>45167</c:v>
                </c:pt>
                <c:pt idx="185">
                  <c:v>45166</c:v>
                </c:pt>
                <c:pt idx="186">
                  <c:v>45163</c:v>
                </c:pt>
                <c:pt idx="187">
                  <c:v>45162</c:v>
                </c:pt>
                <c:pt idx="188">
                  <c:v>45161</c:v>
                </c:pt>
                <c:pt idx="189">
                  <c:v>45160</c:v>
                </c:pt>
                <c:pt idx="190">
                  <c:v>45159</c:v>
                </c:pt>
                <c:pt idx="191">
                  <c:v>45156</c:v>
                </c:pt>
                <c:pt idx="192">
                  <c:v>45155</c:v>
                </c:pt>
                <c:pt idx="193">
                  <c:v>45154</c:v>
                </c:pt>
                <c:pt idx="194">
                  <c:v>45153</c:v>
                </c:pt>
                <c:pt idx="195">
                  <c:v>45152</c:v>
                </c:pt>
                <c:pt idx="196">
                  <c:v>45149</c:v>
                </c:pt>
                <c:pt idx="197">
                  <c:v>45148</c:v>
                </c:pt>
                <c:pt idx="198">
                  <c:v>45147</c:v>
                </c:pt>
                <c:pt idx="199">
                  <c:v>45146</c:v>
                </c:pt>
                <c:pt idx="200">
                  <c:v>45145</c:v>
                </c:pt>
                <c:pt idx="201">
                  <c:v>45142</c:v>
                </c:pt>
                <c:pt idx="202">
                  <c:v>45141</c:v>
                </c:pt>
                <c:pt idx="203">
                  <c:v>45140</c:v>
                </c:pt>
                <c:pt idx="204">
                  <c:v>45139</c:v>
                </c:pt>
                <c:pt idx="205">
                  <c:v>45138</c:v>
                </c:pt>
                <c:pt idx="206">
                  <c:v>45135</c:v>
                </c:pt>
                <c:pt idx="207">
                  <c:v>45134</c:v>
                </c:pt>
                <c:pt idx="208">
                  <c:v>45133</c:v>
                </c:pt>
                <c:pt idx="209">
                  <c:v>45132</c:v>
                </c:pt>
                <c:pt idx="210">
                  <c:v>45131</c:v>
                </c:pt>
                <c:pt idx="211">
                  <c:v>45128</c:v>
                </c:pt>
                <c:pt idx="212">
                  <c:v>45127</c:v>
                </c:pt>
                <c:pt idx="213">
                  <c:v>45126</c:v>
                </c:pt>
                <c:pt idx="214">
                  <c:v>45125</c:v>
                </c:pt>
                <c:pt idx="215">
                  <c:v>45124</c:v>
                </c:pt>
                <c:pt idx="216">
                  <c:v>45121</c:v>
                </c:pt>
                <c:pt idx="217">
                  <c:v>45120</c:v>
                </c:pt>
                <c:pt idx="218">
                  <c:v>45119</c:v>
                </c:pt>
                <c:pt idx="219">
                  <c:v>45118</c:v>
                </c:pt>
                <c:pt idx="220">
                  <c:v>45117</c:v>
                </c:pt>
                <c:pt idx="221">
                  <c:v>45114</c:v>
                </c:pt>
                <c:pt idx="222">
                  <c:v>45113</c:v>
                </c:pt>
                <c:pt idx="223">
                  <c:v>45112</c:v>
                </c:pt>
                <c:pt idx="224">
                  <c:v>45111</c:v>
                </c:pt>
                <c:pt idx="225">
                  <c:v>45110</c:v>
                </c:pt>
                <c:pt idx="226">
                  <c:v>45107</c:v>
                </c:pt>
                <c:pt idx="227">
                  <c:v>45106</c:v>
                </c:pt>
                <c:pt idx="228">
                  <c:v>45105</c:v>
                </c:pt>
                <c:pt idx="229">
                  <c:v>45104</c:v>
                </c:pt>
                <c:pt idx="230">
                  <c:v>45103</c:v>
                </c:pt>
                <c:pt idx="231">
                  <c:v>45100</c:v>
                </c:pt>
                <c:pt idx="232">
                  <c:v>45099</c:v>
                </c:pt>
                <c:pt idx="233">
                  <c:v>45098</c:v>
                </c:pt>
                <c:pt idx="234">
                  <c:v>45097</c:v>
                </c:pt>
                <c:pt idx="235">
                  <c:v>45096</c:v>
                </c:pt>
                <c:pt idx="236">
                  <c:v>45093</c:v>
                </c:pt>
                <c:pt idx="237">
                  <c:v>45092</c:v>
                </c:pt>
                <c:pt idx="238">
                  <c:v>45091</c:v>
                </c:pt>
                <c:pt idx="239">
                  <c:v>45090</c:v>
                </c:pt>
                <c:pt idx="240">
                  <c:v>45089</c:v>
                </c:pt>
                <c:pt idx="241">
                  <c:v>45086</c:v>
                </c:pt>
                <c:pt idx="242">
                  <c:v>45085</c:v>
                </c:pt>
                <c:pt idx="243">
                  <c:v>45084</c:v>
                </c:pt>
                <c:pt idx="244">
                  <c:v>45083</c:v>
                </c:pt>
                <c:pt idx="245">
                  <c:v>45082</c:v>
                </c:pt>
                <c:pt idx="246">
                  <c:v>45079</c:v>
                </c:pt>
                <c:pt idx="247">
                  <c:v>45078</c:v>
                </c:pt>
                <c:pt idx="248">
                  <c:v>45077</c:v>
                </c:pt>
                <c:pt idx="249">
                  <c:v>45076</c:v>
                </c:pt>
                <c:pt idx="250">
                  <c:v>45075</c:v>
                </c:pt>
                <c:pt idx="251">
                  <c:v>45072</c:v>
                </c:pt>
                <c:pt idx="252">
                  <c:v>45071</c:v>
                </c:pt>
                <c:pt idx="253">
                  <c:v>45070</c:v>
                </c:pt>
                <c:pt idx="254">
                  <c:v>45069</c:v>
                </c:pt>
                <c:pt idx="255">
                  <c:v>45068</c:v>
                </c:pt>
                <c:pt idx="256">
                  <c:v>45065</c:v>
                </c:pt>
                <c:pt idx="257">
                  <c:v>45064</c:v>
                </c:pt>
                <c:pt idx="258">
                  <c:v>45063</c:v>
                </c:pt>
                <c:pt idx="259">
                  <c:v>45062</c:v>
                </c:pt>
                <c:pt idx="260">
                  <c:v>45061</c:v>
                </c:pt>
                <c:pt idx="261">
                  <c:v>45058</c:v>
                </c:pt>
                <c:pt idx="262">
                  <c:v>45057</c:v>
                </c:pt>
                <c:pt idx="263">
                  <c:v>45056</c:v>
                </c:pt>
                <c:pt idx="264">
                  <c:v>45055</c:v>
                </c:pt>
                <c:pt idx="265">
                  <c:v>45054</c:v>
                </c:pt>
              </c:numCache>
            </c:numRef>
          </c:cat>
          <c:val>
            <c:numRef>
              <c:f>'Report''s chart'!$AR$2:$AR$267</c:f>
              <c:numCache>
                <c:formatCode>General</c:formatCode>
                <c:ptCount val="266"/>
                <c:pt idx="0">
                  <c:v>15.459099999999999</c:v>
                </c:pt>
                <c:pt idx="1">
                  <c:v>15.459099999999999</c:v>
                </c:pt>
                <c:pt idx="2">
                  <c:v>15.166</c:v>
                </c:pt>
                <c:pt idx="6">
                  <c:v>15.0205</c:v>
                </c:pt>
                <c:pt idx="7">
                  <c:v>15.0501</c:v>
                </c:pt>
                <c:pt idx="8">
                  <c:v>15.0829</c:v>
                </c:pt>
                <c:pt idx="9">
                  <c:v>15.056699999999999</c:v>
                </c:pt>
                <c:pt idx="10">
                  <c:v>16.081099999999999</c:v>
                </c:pt>
                <c:pt idx="11">
                  <c:v>16.020600000000002</c:v>
                </c:pt>
                <c:pt idx="12">
                  <c:v>16.0291</c:v>
                </c:pt>
                <c:pt idx="13">
                  <c:v>15.654</c:v>
                </c:pt>
                <c:pt idx="14">
                  <c:v>15.8245</c:v>
                </c:pt>
                <c:pt idx="15">
                  <c:v>15.620100000000001</c:v>
                </c:pt>
                <c:pt idx="16">
                  <c:v>15.861499999999999</c:v>
                </c:pt>
                <c:pt idx="17">
                  <c:v>15.861499999999999</c:v>
                </c:pt>
                <c:pt idx="18">
                  <c:v>16.163</c:v>
                </c:pt>
                <c:pt idx="19">
                  <c:v>16.1753</c:v>
                </c:pt>
                <c:pt idx="20">
                  <c:v>16.972899999999999</c:v>
                </c:pt>
                <c:pt idx="21">
                  <c:v>16.728300000000001</c:v>
                </c:pt>
                <c:pt idx="22">
                  <c:v>16.7331</c:v>
                </c:pt>
                <c:pt idx="23">
                  <c:v>16.7897</c:v>
                </c:pt>
                <c:pt idx="24">
                  <c:v>16.623899999999999</c:v>
                </c:pt>
                <c:pt idx="25">
                  <c:v>16.686900000000001</c:v>
                </c:pt>
                <c:pt idx="26">
                  <c:v>16.861599999999999</c:v>
                </c:pt>
                <c:pt idx="27">
                  <c:v>16.904399999999999</c:v>
                </c:pt>
                <c:pt idx="28">
                  <c:v>17.111499999999999</c:v>
                </c:pt>
                <c:pt idx="29">
                  <c:v>16.923300000000001</c:v>
                </c:pt>
                <c:pt idx="30">
                  <c:v>16.959800000000001</c:v>
                </c:pt>
                <c:pt idx="31">
                  <c:v>16.705500000000001</c:v>
                </c:pt>
                <c:pt idx="32">
                  <c:v>16.615400000000001</c:v>
                </c:pt>
                <c:pt idx="33">
                  <c:v>16.604199999999999</c:v>
                </c:pt>
                <c:pt idx="34">
                  <c:v>16.3626</c:v>
                </c:pt>
                <c:pt idx="35">
                  <c:v>16.5412</c:v>
                </c:pt>
                <c:pt idx="36">
                  <c:v>16.4513</c:v>
                </c:pt>
                <c:pt idx="37">
                  <c:v>16.239699999999999</c:v>
                </c:pt>
                <c:pt idx="38">
                  <c:v>16.0122</c:v>
                </c:pt>
                <c:pt idx="39">
                  <c:v>16.026499999999999</c:v>
                </c:pt>
                <c:pt idx="40">
                  <c:v>16.2806</c:v>
                </c:pt>
                <c:pt idx="41">
                  <c:v>16.2791</c:v>
                </c:pt>
                <c:pt idx="42">
                  <c:v>16.3598</c:v>
                </c:pt>
                <c:pt idx="43">
                  <c:v>16.030200000000001</c:v>
                </c:pt>
                <c:pt idx="44">
                  <c:v>15.902100000000001</c:v>
                </c:pt>
                <c:pt idx="45">
                  <c:v>16.055900000000001</c:v>
                </c:pt>
                <c:pt idx="46">
                  <c:v>16.318200000000001</c:v>
                </c:pt>
                <c:pt idx="47">
                  <c:v>16.244499999999999</c:v>
                </c:pt>
                <c:pt idx="48">
                  <c:v>16.334900000000001</c:v>
                </c:pt>
                <c:pt idx="49">
                  <c:v>16.224699999999999</c:v>
                </c:pt>
                <c:pt idx="50">
                  <c:v>16.1846</c:v>
                </c:pt>
                <c:pt idx="51">
                  <c:v>16.109300000000001</c:v>
                </c:pt>
                <c:pt idx="52">
                  <c:v>16.1327</c:v>
                </c:pt>
                <c:pt idx="53">
                  <c:v>15.913</c:v>
                </c:pt>
                <c:pt idx="54">
                  <c:v>15.742100000000001</c:v>
                </c:pt>
                <c:pt idx="55">
                  <c:v>15.585599999999999</c:v>
                </c:pt>
                <c:pt idx="56">
                  <c:v>15.782400000000001</c:v>
                </c:pt>
                <c:pt idx="57">
                  <c:v>15.817600000000001</c:v>
                </c:pt>
                <c:pt idx="58">
                  <c:v>15.8178</c:v>
                </c:pt>
                <c:pt idx="59">
                  <c:v>15.7524</c:v>
                </c:pt>
                <c:pt idx="60">
                  <c:v>15.555999999999999</c:v>
                </c:pt>
                <c:pt idx="61">
                  <c:v>15.449400000000001</c:v>
                </c:pt>
                <c:pt idx="62">
                  <c:v>15.398400000000001</c:v>
                </c:pt>
                <c:pt idx="63">
                  <c:v>15.398400000000001</c:v>
                </c:pt>
                <c:pt idx="64">
                  <c:v>15.398400000000001</c:v>
                </c:pt>
                <c:pt idx="65">
                  <c:v>15.398400000000001</c:v>
                </c:pt>
                <c:pt idx="66">
                  <c:v>15.398400000000001</c:v>
                </c:pt>
                <c:pt idx="67">
                  <c:v>15.398400000000001</c:v>
                </c:pt>
                <c:pt idx="68">
                  <c:v>15.269</c:v>
                </c:pt>
                <c:pt idx="69">
                  <c:v>15.2379</c:v>
                </c:pt>
                <c:pt idx="70">
                  <c:v>15.064299999999999</c:v>
                </c:pt>
                <c:pt idx="71">
                  <c:v>15.071</c:v>
                </c:pt>
                <c:pt idx="73">
                  <c:v>14.8232</c:v>
                </c:pt>
                <c:pt idx="74">
                  <c:v>14.319599999999999</c:v>
                </c:pt>
                <c:pt idx="75">
                  <c:v>15.6602</c:v>
                </c:pt>
                <c:pt idx="76">
                  <c:v>15.66</c:v>
                </c:pt>
                <c:pt idx="77">
                  <c:v>15.589399999999999</c:v>
                </c:pt>
                <c:pt idx="78">
                  <c:v>15.624000000000001</c:v>
                </c:pt>
                <c:pt idx="79">
                  <c:v>15.6844</c:v>
                </c:pt>
                <c:pt idx="80">
                  <c:v>15.755699999999999</c:v>
                </c:pt>
                <c:pt idx="81">
                  <c:v>15.7376</c:v>
                </c:pt>
                <c:pt idx="82">
                  <c:v>15.571899999999999</c:v>
                </c:pt>
                <c:pt idx="83">
                  <c:v>15.4849</c:v>
                </c:pt>
                <c:pt idx="84">
                  <c:v>15.492800000000001</c:v>
                </c:pt>
                <c:pt idx="85">
                  <c:v>15.3729</c:v>
                </c:pt>
                <c:pt idx="86">
                  <c:v>15.380699999999999</c:v>
                </c:pt>
                <c:pt idx="87">
                  <c:v>15.4808</c:v>
                </c:pt>
                <c:pt idx="88">
                  <c:v>15.4718</c:v>
                </c:pt>
                <c:pt idx="89">
                  <c:v>15.432499999999999</c:v>
                </c:pt>
                <c:pt idx="90">
                  <c:v>15.453799999999999</c:v>
                </c:pt>
                <c:pt idx="91">
                  <c:v>15.3804</c:v>
                </c:pt>
                <c:pt idx="92">
                  <c:v>15.3276</c:v>
                </c:pt>
                <c:pt idx="93">
                  <c:v>15.240399999999999</c:v>
                </c:pt>
                <c:pt idx="94">
                  <c:v>15.074299999999999</c:v>
                </c:pt>
                <c:pt idx="95">
                  <c:v>15.0505</c:v>
                </c:pt>
                <c:pt idx="96">
                  <c:v>14.6568</c:v>
                </c:pt>
                <c:pt idx="97">
                  <c:v>14.643800000000001</c:v>
                </c:pt>
                <c:pt idx="98">
                  <c:v>14.553800000000001</c:v>
                </c:pt>
                <c:pt idx="99">
                  <c:v>14.5572</c:v>
                </c:pt>
                <c:pt idx="100">
                  <c:v>14.4976</c:v>
                </c:pt>
                <c:pt idx="101">
                  <c:v>14.308299999999999</c:v>
                </c:pt>
                <c:pt idx="102">
                  <c:v>14.3001</c:v>
                </c:pt>
                <c:pt idx="103">
                  <c:v>14.278499999999999</c:v>
                </c:pt>
                <c:pt idx="104">
                  <c:v>14.220599999999999</c:v>
                </c:pt>
                <c:pt idx="105">
                  <c:v>14.1633</c:v>
                </c:pt>
                <c:pt idx="106">
                  <c:v>14.298500000000001</c:v>
                </c:pt>
                <c:pt idx="107">
                  <c:v>14.4001</c:v>
                </c:pt>
                <c:pt idx="108">
                  <c:v>14.4529</c:v>
                </c:pt>
                <c:pt idx="109">
                  <c:v>14.6271</c:v>
                </c:pt>
                <c:pt idx="110">
                  <c:v>14.599399999999999</c:v>
                </c:pt>
                <c:pt idx="111">
                  <c:v>14.585699999999999</c:v>
                </c:pt>
                <c:pt idx="112">
                  <c:v>14.5474</c:v>
                </c:pt>
                <c:pt idx="113">
                  <c:v>14.611499999999999</c:v>
                </c:pt>
                <c:pt idx="114">
                  <c:v>14.4758</c:v>
                </c:pt>
                <c:pt idx="115">
                  <c:v>14.5345</c:v>
                </c:pt>
                <c:pt idx="116">
                  <c:v>14.2967</c:v>
                </c:pt>
                <c:pt idx="117">
                  <c:v>14.192399999999999</c:v>
                </c:pt>
                <c:pt idx="118">
                  <c:v>14.3033</c:v>
                </c:pt>
                <c:pt idx="119">
                  <c:v>14.207700000000001</c:v>
                </c:pt>
                <c:pt idx="120">
                  <c:v>14.1121</c:v>
                </c:pt>
                <c:pt idx="121">
                  <c:v>14.2094</c:v>
                </c:pt>
                <c:pt idx="122">
                  <c:v>14.117100000000001</c:v>
                </c:pt>
                <c:pt idx="123">
                  <c:v>14.445600000000001</c:v>
                </c:pt>
                <c:pt idx="124">
                  <c:v>14.401999999999999</c:v>
                </c:pt>
                <c:pt idx="125">
                  <c:v>14.313800000000001</c:v>
                </c:pt>
                <c:pt idx="126">
                  <c:v>14.2818</c:v>
                </c:pt>
                <c:pt idx="127">
                  <c:v>14.5975</c:v>
                </c:pt>
                <c:pt idx="128">
                  <c:v>14.534800000000001</c:v>
                </c:pt>
                <c:pt idx="129">
                  <c:v>14.370699999999999</c:v>
                </c:pt>
                <c:pt idx="130">
                  <c:v>14.2456</c:v>
                </c:pt>
                <c:pt idx="131">
                  <c:v>14.266400000000001</c:v>
                </c:pt>
                <c:pt idx="132">
                  <c:v>14.4246</c:v>
                </c:pt>
                <c:pt idx="133">
                  <c:v>14.4186</c:v>
                </c:pt>
                <c:pt idx="134">
                  <c:v>13.9894</c:v>
                </c:pt>
                <c:pt idx="135">
                  <c:v>14.110799999999999</c:v>
                </c:pt>
                <c:pt idx="136">
                  <c:v>13.944900000000001</c:v>
                </c:pt>
                <c:pt idx="137">
                  <c:v>13.914999999999999</c:v>
                </c:pt>
                <c:pt idx="138">
                  <c:v>13.4579</c:v>
                </c:pt>
                <c:pt idx="139">
                  <c:v>13.202400000000001</c:v>
                </c:pt>
                <c:pt idx="140">
                  <c:v>13.203099999999999</c:v>
                </c:pt>
                <c:pt idx="141">
                  <c:v>14.727</c:v>
                </c:pt>
                <c:pt idx="142">
                  <c:v>14.655200000000001</c:v>
                </c:pt>
                <c:pt idx="143">
                  <c:v>15.296900000000001</c:v>
                </c:pt>
                <c:pt idx="144">
                  <c:v>15.3558</c:v>
                </c:pt>
                <c:pt idx="145">
                  <c:v>15.183999999999999</c:v>
                </c:pt>
                <c:pt idx="146">
                  <c:v>15.385300000000001</c:v>
                </c:pt>
                <c:pt idx="147">
                  <c:v>15.1051</c:v>
                </c:pt>
                <c:pt idx="148">
                  <c:v>15.321</c:v>
                </c:pt>
                <c:pt idx="149">
                  <c:v>15.574400000000001</c:v>
                </c:pt>
                <c:pt idx="150">
                  <c:v>15.849</c:v>
                </c:pt>
                <c:pt idx="151">
                  <c:v>16.0334</c:v>
                </c:pt>
                <c:pt idx="152">
                  <c:v>16.021100000000001</c:v>
                </c:pt>
                <c:pt idx="153">
                  <c:v>16.010000000000002</c:v>
                </c:pt>
                <c:pt idx="154">
                  <c:v>15.911</c:v>
                </c:pt>
                <c:pt idx="155">
                  <c:v>15.822900000000001</c:v>
                </c:pt>
                <c:pt idx="156">
                  <c:v>15.700200000000001</c:v>
                </c:pt>
                <c:pt idx="157">
                  <c:v>15.4964</c:v>
                </c:pt>
                <c:pt idx="158">
                  <c:v>15.702</c:v>
                </c:pt>
                <c:pt idx="159">
                  <c:v>15.555</c:v>
                </c:pt>
                <c:pt idx="160">
                  <c:v>16.0718</c:v>
                </c:pt>
                <c:pt idx="161">
                  <c:v>16.0565</c:v>
                </c:pt>
                <c:pt idx="162">
                  <c:v>16.0335</c:v>
                </c:pt>
                <c:pt idx="163">
                  <c:v>16.0532</c:v>
                </c:pt>
                <c:pt idx="164">
                  <c:v>15.8322</c:v>
                </c:pt>
                <c:pt idx="165">
                  <c:v>16.0442</c:v>
                </c:pt>
                <c:pt idx="166">
                  <c:v>16.598600000000001</c:v>
                </c:pt>
                <c:pt idx="167">
                  <c:v>16.872599999999998</c:v>
                </c:pt>
                <c:pt idx="168">
                  <c:v>17.058599999999998</c:v>
                </c:pt>
                <c:pt idx="169">
                  <c:v>16.8553</c:v>
                </c:pt>
                <c:pt idx="170">
                  <c:v>16.8596</c:v>
                </c:pt>
                <c:pt idx="171">
                  <c:v>17.076000000000001</c:v>
                </c:pt>
                <c:pt idx="172">
                  <c:v>17.026900000000001</c:v>
                </c:pt>
                <c:pt idx="173">
                  <c:v>17.229500000000002</c:v>
                </c:pt>
                <c:pt idx="174">
                  <c:v>17.3276</c:v>
                </c:pt>
                <c:pt idx="175">
                  <c:v>17.019400000000001</c:v>
                </c:pt>
                <c:pt idx="176">
                  <c:v>17.267700000000001</c:v>
                </c:pt>
                <c:pt idx="177">
                  <c:v>17.290800000000001</c:v>
                </c:pt>
                <c:pt idx="178">
                  <c:v>17.323599999999999</c:v>
                </c:pt>
                <c:pt idx="179">
                  <c:v>17.163799999999998</c:v>
                </c:pt>
                <c:pt idx="180">
                  <c:v>16.997</c:v>
                </c:pt>
                <c:pt idx="181">
                  <c:v>16.997199999999999</c:v>
                </c:pt>
                <c:pt idx="182">
                  <c:v>16.997199999999999</c:v>
                </c:pt>
                <c:pt idx="183">
                  <c:v>16.845600000000001</c:v>
                </c:pt>
                <c:pt idx="184">
                  <c:v>16.728899999999999</c:v>
                </c:pt>
                <c:pt idx="185">
                  <c:v>16.672499999999999</c:v>
                </c:pt>
                <c:pt idx="186">
                  <c:v>16.411000000000001</c:v>
                </c:pt>
                <c:pt idx="187">
                  <c:v>16.4861</c:v>
                </c:pt>
                <c:pt idx="188">
                  <c:v>16.252099999999999</c:v>
                </c:pt>
                <c:pt idx="189">
                  <c:v>16.362200000000001</c:v>
                </c:pt>
                <c:pt idx="190">
                  <c:v>16.3522</c:v>
                </c:pt>
                <c:pt idx="191">
                  <c:v>16.342700000000001</c:v>
                </c:pt>
                <c:pt idx="192">
                  <c:v>17.113</c:v>
                </c:pt>
                <c:pt idx="193">
                  <c:v>17.271899999999999</c:v>
                </c:pt>
                <c:pt idx="194">
                  <c:v>17.144100000000002</c:v>
                </c:pt>
                <c:pt idx="195">
                  <c:v>17.181000000000001</c:v>
                </c:pt>
                <c:pt idx="196">
                  <c:v>17.113600000000002</c:v>
                </c:pt>
                <c:pt idx="197">
                  <c:v>16.952300000000001</c:v>
                </c:pt>
                <c:pt idx="198">
                  <c:v>17.127700000000001</c:v>
                </c:pt>
                <c:pt idx="199">
                  <c:v>17.2376</c:v>
                </c:pt>
                <c:pt idx="200">
                  <c:v>17.226400000000002</c:v>
                </c:pt>
                <c:pt idx="201">
                  <c:v>17.012699999999999</c:v>
                </c:pt>
                <c:pt idx="202">
                  <c:v>16.785299999999999</c:v>
                </c:pt>
                <c:pt idx="203">
                  <c:v>16.916699999999999</c:v>
                </c:pt>
                <c:pt idx="204">
                  <c:v>16.521599999999999</c:v>
                </c:pt>
                <c:pt idx="205">
                  <c:v>16.458200000000001</c:v>
                </c:pt>
                <c:pt idx="206">
                  <c:v>16.651900000000001</c:v>
                </c:pt>
                <c:pt idx="207">
                  <c:v>16.509399999999999</c:v>
                </c:pt>
                <c:pt idx="208">
                  <c:v>16.5578</c:v>
                </c:pt>
                <c:pt idx="209">
                  <c:v>16.489599999999999</c:v>
                </c:pt>
                <c:pt idx="210">
                  <c:v>16.418199999999999</c:v>
                </c:pt>
                <c:pt idx="211">
                  <c:v>16.351800000000001</c:v>
                </c:pt>
                <c:pt idx="212">
                  <c:v>16.171299999999999</c:v>
                </c:pt>
                <c:pt idx="213">
                  <c:v>16.1736</c:v>
                </c:pt>
                <c:pt idx="214">
                  <c:v>16.1889</c:v>
                </c:pt>
                <c:pt idx="215">
                  <c:v>16.175699999999999</c:v>
                </c:pt>
                <c:pt idx="216">
                  <c:v>16.110499999999998</c:v>
                </c:pt>
                <c:pt idx="217">
                  <c:v>16.069400000000002</c:v>
                </c:pt>
                <c:pt idx="218">
                  <c:v>15.9147</c:v>
                </c:pt>
                <c:pt idx="219">
                  <c:v>15.8812</c:v>
                </c:pt>
                <c:pt idx="220">
                  <c:v>15.8432</c:v>
                </c:pt>
                <c:pt idx="221">
                  <c:v>15.692299999999999</c:v>
                </c:pt>
                <c:pt idx="222">
                  <c:v>15.5289</c:v>
                </c:pt>
                <c:pt idx="223">
                  <c:v>15.6447</c:v>
                </c:pt>
                <c:pt idx="224">
                  <c:v>15.608599999999999</c:v>
                </c:pt>
                <c:pt idx="225">
                  <c:v>15.5189</c:v>
                </c:pt>
                <c:pt idx="226">
                  <c:v>15.445600000000001</c:v>
                </c:pt>
                <c:pt idx="227">
                  <c:v>15.517099999999999</c:v>
                </c:pt>
                <c:pt idx="228">
                  <c:v>15.6958</c:v>
                </c:pt>
                <c:pt idx="229">
                  <c:v>15.6404</c:v>
                </c:pt>
                <c:pt idx="230">
                  <c:v>15.608700000000001</c:v>
                </c:pt>
                <c:pt idx="231">
                  <c:v>15.572100000000001</c:v>
                </c:pt>
                <c:pt idx="232">
                  <c:v>15.5159</c:v>
                </c:pt>
                <c:pt idx="233">
                  <c:v>15.4216</c:v>
                </c:pt>
                <c:pt idx="234">
                  <c:v>15.3286</c:v>
                </c:pt>
                <c:pt idx="235">
                  <c:v>15.2415</c:v>
                </c:pt>
                <c:pt idx="236">
                  <c:v>15.376899999999999</c:v>
                </c:pt>
                <c:pt idx="237">
                  <c:v>15.401</c:v>
                </c:pt>
                <c:pt idx="238">
                  <c:v>15.4072</c:v>
                </c:pt>
                <c:pt idx="239">
                  <c:v>15.476699999999999</c:v>
                </c:pt>
                <c:pt idx="240">
                  <c:v>15.3879</c:v>
                </c:pt>
                <c:pt idx="241">
                  <c:v>15.270300000000001</c:v>
                </c:pt>
                <c:pt idx="242">
                  <c:v>15.184699999999999</c:v>
                </c:pt>
                <c:pt idx="243">
                  <c:v>15.298</c:v>
                </c:pt>
                <c:pt idx="244">
                  <c:v>15.2811</c:v>
                </c:pt>
                <c:pt idx="245">
                  <c:v>15.1364</c:v>
                </c:pt>
                <c:pt idx="246">
                  <c:v>15.0402</c:v>
                </c:pt>
                <c:pt idx="247">
                  <c:v>14.868499999999999</c:v>
                </c:pt>
                <c:pt idx="248">
                  <c:v>14.824</c:v>
                </c:pt>
                <c:pt idx="249">
                  <c:v>14.8637</c:v>
                </c:pt>
                <c:pt idx="250">
                  <c:v>14.821400000000001</c:v>
                </c:pt>
                <c:pt idx="251">
                  <c:v>14.667</c:v>
                </c:pt>
                <c:pt idx="252">
                  <c:v>14.679</c:v>
                </c:pt>
                <c:pt idx="253">
                  <c:v>14.639799999999999</c:v>
                </c:pt>
                <c:pt idx="254">
                  <c:v>14.6958</c:v>
                </c:pt>
                <c:pt idx="255">
                  <c:v>14.761799999999999</c:v>
                </c:pt>
                <c:pt idx="256">
                  <c:v>14.7126</c:v>
                </c:pt>
                <c:pt idx="257">
                  <c:v>14.728899999999999</c:v>
                </c:pt>
                <c:pt idx="258">
                  <c:v>14.6204</c:v>
                </c:pt>
                <c:pt idx="259">
                  <c:v>14.6958</c:v>
                </c:pt>
                <c:pt idx="260">
                  <c:v>14.693099999999999</c:v>
                </c:pt>
                <c:pt idx="261">
                  <c:v>14.7095</c:v>
                </c:pt>
                <c:pt idx="262">
                  <c:v>14.5747</c:v>
                </c:pt>
                <c:pt idx="263">
                  <c:v>14.590400000000001</c:v>
                </c:pt>
                <c:pt idx="264">
                  <c:v>14.528499999999999</c:v>
                </c:pt>
                <c:pt idx="265">
                  <c:v>14.523899999999999</c:v>
                </c:pt>
              </c:numCache>
            </c:numRef>
          </c:val>
          <c:smooth val="0"/>
          <c:extLst>
            <c:ext xmlns:c16="http://schemas.microsoft.com/office/drawing/2014/chart" uri="{C3380CC4-5D6E-409C-BE32-E72D297353CC}">
              <c16:uniqueId val="{00000001-DBDC-458F-BC3F-47C04377C58B}"/>
            </c:ext>
          </c:extLst>
        </c:ser>
        <c:dLbls>
          <c:showLegendKey val="0"/>
          <c:showVal val="0"/>
          <c:showCatName val="0"/>
          <c:showSerName val="0"/>
          <c:showPercent val="0"/>
          <c:showBubbleSize val="0"/>
        </c:dLbls>
        <c:marker val="1"/>
        <c:smooth val="0"/>
        <c:axId val="1106574928"/>
        <c:axId val="1106574568"/>
      </c:lineChart>
      <c:dateAx>
        <c:axId val="1106579608"/>
        <c:scaling>
          <c:orientation val="minMax"/>
        </c:scaling>
        <c:delete val="0"/>
        <c:axPos val="b"/>
        <c:numFmt formatCode="m/d/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vi-VN"/>
          </a:p>
        </c:txPr>
        <c:crossAx val="1106582488"/>
        <c:crosses val="autoZero"/>
        <c:auto val="1"/>
        <c:lblOffset val="100"/>
        <c:baseTimeUnit val="days"/>
      </c:dateAx>
      <c:valAx>
        <c:axId val="110658248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vi-VN"/>
          </a:p>
        </c:txPr>
        <c:crossAx val="1106579608"/>
        <c:crosses val="autoZero"/>
        <c:crossBetween val="between"/>
      </c:valAx>
      <c:valAx>
        <c:axId val="1106574568"/>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vi-VN"/>
          </a:p>
        </c:txPr>
        <c:crossAx val="1106574928"/>
        <c:crosses val="max"/>
        <c:crossBetween val="between"/>
      </c:valAx>
      <c:dateAx>
        <c:axId val="1106574928"/>
        <c:scaling>
          <c:orientation val="minMax"/>
        </c:scaling>
        <c:delete val="1"/>
        <c:axPos val="b"/>
        <c:numFmt formatCode="m/d/yy" sourceLinked="1"/>
        <c:majorTickMark val="out"/>
        <c:minorTickMark val="none"/>
        <c:tickLblPos val="nextTo"/>
        <c:crossAx val="1106574568"/>
        <c:crosses val="autoZero"/>
        <c:auto val="1"/>
        <c:lblOffset val="100"/>
        <c:baseTimeUnit val="days"/>
      </c:date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vi-VN"/>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sz="700"/>
      </a:pPr>
      <a:endParaRPr lang="vi-VN"/>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065001475503457"/>
          <c:y val="2.3326815294602982E-2"/>
          <c:w val="0.79249938859443514"/>
          <c:h val="0.60043149098023685"/>
        </c:manualLayout>
      </c:layout>
      <c:barChart>
        <c:barDir val="col"/>
        <c:grouping val="clustered"/>
        <c:varyColors val="0"/>
        <c:ser>
          <c:idx val="0"/>
          <c:order val="0"/>
          <c:tx>
            <c:strRef>
              <c:f>'Report''s chart'!$B$62</c:f>
              <c:strCache>
                <c:ptCount val="1"/>
                <c:pt idx="0">
                  <c:v>Số lượng hóa đơn (triệu HĐ/tháng)</c:v>
                </c:pt>
              </c:strCache>
            </c:strRef>
          </c:tx>
          <c:spPr>
            <a:solidFill>
              <a:schemeClr val="bg1">
                <a:lumMod val="65000"/>
              </a:schemeClr>
            </a:solidFill>
            <a:ln>
              <a:noFill/>
            </a:ln>
            <a:effectLst/>
          </c:spPr>
          <c:invertIfNegative val="0"/>
          <c:cat>
            <c:strRef>
              <c:f>'Report''s chart'!$C$61:$M$61</c:f>
              <c:strCache>
                <c:ptCount val="11"/>
                <c:pt idx="0">
                  <c:v>Q1/2022</c:v>
                </c:pt>
                <c:pt idx="1">
                  <c:v>Q2/2022</c:v>
                </c:pt>
                <c:pt idx="2">
                  <c:v>Q3/2022</c:v>
                </c:pt>
                <c:pt idx="3">
                  <c:v>Q4/2022</c:v>
                </c:pt>
                <c:pt idx="4">
                  <c:v>Q1/2023</c:v>
                </c:pt>
                <c:pt idx="5">
                  <c:v>Q2/2023</c:v>
                </c:pt>
                <c:pt idx="6">
                  <c:v>Q3/2023</c:v>
                </c:pt>
                <c:pt idx="7">
                  <c:v>Q4/2023</c:v>
                </c:pt>
                <c:pt idx="8">
                  <c:v>Q1/2024</c:v>
                </c:pt>
                <c:pt idx="9">
                  <c:v>Q2/2024</c:v>
                </c:pt>
                <c:pt idx="10">
                  <c:v>Q3/2024</c:v>
                </c:pt>
              </c:strCache>
            </c:strRef>
          </c:cat>
          <c:val>
            <c:numRef>
              <c:f>'Report''s chart'!$C$62:$M$62</c:f>
              <c:numCache>
                <c:formatCode>_-* #,##0_-;\-* #,##0_-;_-* "-"??_-;_-@_-</c:formatCode>
                <c:ptCount val="11"/>
                <c:pt idx="0">
                  <c:v>12</c:v>
                </c:pt>
                <c:pt idx="1">
                  <c:v>19.7</c:v>
                </c:pt>
                <c:pt idx="2" formatCode="General">
                  <c:v>22.7</c:v>
                </c:pt>
                <c:pt idx="3" formatCode="General">
                  <c:v>22</c:v>
                </c:pt>
                <c:pt idx="4" formatCode="General">
                  <c:v>19.8</c:v>
                </c:pt>
                <c:pt idx="5" formatCode="General">
                  <c:v>24.2</c:v>
                </c:pt>
                <c:pt idx="6" formatCode="General">
                  <c:v>28.3</c:v>
                </c:pt>
                <c:pt idx="7" formatCode="General">
                  <c:v>28.8</c:v>
                </c:pt>
                <c:pt idx="8" formatCode="General">
                  <c:v>27.7</c:v>
                </c:pt>
                <c:pt idx="9" formatCode="General">
                  <c:v>33</c:v>
                </c:pt>
                <c:pt idx="10" formatCode="General">
                  <c:v>33.32</c:v>
                </c:pt>
              </c:numCache>
            </c:numRef>
          </c:val>
          <c:extLst>
            <c:ext xmlns:c16="http://schemas.microsoft.com/office/drawing/2014/chart" uri="{C3380CC4-5D6E-409C-BE32-E72D297353CC}">
              <c16:uniqueId val="{00000000-A405-4924-BF55-4C22D3765110}"/>
            </c:ext>
          </c:extLst>
        </c:ser>
        <c:dLbls>
          <c:showLegendKey val="0"/>
          <c:showVal val="0"/>
          <c:showCatName val="0"/>
          <c:showSerName val="0"/>
          <c:showPercent val="0"/>
          <c:showBubbleSize val="0"/>
        </c:dLbls>
        <c:gapWidth val="219"/>
        <c:overlap val="-27"/>
        <c:axId val="832326568"/>
        <c:axId val="832326928"/>
      </c:barChart>
      <c:lineChart>
        <c:grouping val="standard"/>
        <c:varyColors val="0"/>
        <c:ser>
          <c:idx val="1"/>
          <c:order val="1"/>
          <c:tx>
            <c:strRef>
              <c:f>'Report''s chart'!$B$63</c:f>
              <c:strCache>
                <c:ptCount val="1"/>
                <c:pt idx="0">
                  <c:v>Gía trị đơn hàng (ngàn VND/ hóa đơn)</c:v>
                </c:pt>
              </c:strCache>
            </c:strRef>
          </c:tx>
          <c:spPr>
            <a:ln w="28575" cap="rnd">
              <a:solidFill>
                <a:schemeClr val="accent2"/>
              </a:solidFill>
              <a:round/>
            </a:ln>
            <a:effectLst/>
          </c:spPr>
          <c:marker>
            <c:symbol val="none"/>
          </c:marker>
          <c:cat>
            <c:strRef>
              <c:f>'Report''s chart'!$C$61:$M$61</c:f>
              <c:strCache>
                <c:ptCount val="11"/>
                <c:pt idx="0">
                  <c:v>Q1/2022</c:v>
                </c:pt>
                <c:pt idx="1">
                  <c:v>Q2/2022</c:v>
                </c:pt>
                <c:pt idx="2">
                  <c:v>Q3/2022</c:v>
                </c:pt>
                <c:pt idx="3">
                  <c:v>Q4/2022</c:v>
                </c:pt>
                <c:pt idx="4">
                  <c:v>Q1/2023</c:v>
                </c:pt>
                <c:pt idx="5">
                  <c:v>Q2/2023</c:v>
                </c:pt>
                <c:pt idx="6">
                  <c:v>Q3/2023</c:v>
                </c:pt>
                <c:pt idx="7">
                  <c:v>Q4/2023</c:v>
                </c:pt>
                <c:pt idx="8">
                  <c:v>Q1/2024</c:v>
                </c:pt>
                <c:pt idx="9">
                  <c:v>Q2/2024</c:v>
                </c:pt>
                <c:pt idx="10">
                  <c:v>Q3/2024</c:v>
                </c:pt>
              </c:strCache>
            </c:strRef>
          </c:cat>
          <c:val>
            <c:numRef>
              <c:f>'Report''s chart'!$C$63:$M$63</c:f>
              <c:numCache>
                <c:formatCode>_-* #,##0_-;\-* #,##0_-;_-* "-"??_-;_-@_-</c:formatCode>
                <c:ptCount val="11"/>
                <c:pt idx="0">
                  <c:v>125</c:v>
                </c:pt>
                <c:pt idx="1">
                  <c:v>112</c:v>
                </c:pt>
                <c:pt idx="2" formatCode="General">
                  <c:v>104</c:v>
                </c:pt>
                <c:pt idx="3" formatCode="General">
                  <c:v>102</c:v>
                </c:pt>
                <c:pt idx="4" formatCode="General">
                  <c:v>105</c:v>
                </c:pt>
                <c:pt idx="5" formatCode="General">
                  <c:v>100</c:v>
                </c:pt>
                <c:pt idx="6" formatCode="General">
                  <c:v>98</c:v>
                </c:pt>
                <c:pt idx="7" formatCode="General">
                  <c:v>101</c:v>
                </c:pt>
                <c:pt idx="8" formatCode="General">
                  <c:v>109</c:v>
                </c:pt>
                <c:pt idx="9" formatCode="General">
                  <c:v>92</c:v>
                </c:pt>
                <c:pt idx="10" formatCode="General">
                  <c:v>91</c:v>
                </c:pt>
              </c:numCache>
            </c:numRef>
          </c:val>
          <c:smooth val="0"/>
          <c:extLst>
            <c:ext xmlns:c16="http://schemas.microsoft.com/office/drawing/2014/chart" uri="{C3380CC4-5D6E-409C-BE32-E72D297353CC}">
              <c16:uniqueId val="{00000001-A405-4924-BF55-4C22D3765110}"/>
            </c:ext>
          </c:extLst>
        </c:ser>
        <c:ser>
          <c:idx val="2"/>
          <c:order val="2"/>
          <c:tx>
            <c:strRef>
              <c:f>'Report''s chart'!$B$64</c:f>
              <c:strCache>
                <c:ptCount val="1"/>
                <c:pt idx="0">
                  <c:v>Gía trị đơn hàng trung bình 2022-2023</c:v>
                </c:pt>
              </c:strCache>
            </c:strRef>
          </c:tx>
          <c:spPr>
            <a:ln w="19050" cap="rnd">
              <a:solidFill>
                <a:schemeClr val="tx1"/>
              </a:solidFill>
              <a:prstDash val="sysDash"/>
              <a:round/>
            </a:ln>
            <a:effectLst/>
          </c:spPr>
          <c:marker>
            <c:symbol val="none"/>
          </c:marker>
          <c:dLbls>
            <c:dLbl>
              <c:idx val="0"/>
              <c:tx>
                <c:rich>
                  <a:bodyPr/>
                  <a:lstStyle/>
                  <a:p>
                    <a:fld id="{234CB8EC-5A42-8444-A893-FDF289945E80}"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A405-4924-BF55-4C22D3765110}"/>
                </c:ext>
              </c:extLst>
            </c:dLbl>
            <c:dLbl>
              <c:idx val="1"/>
              <c:tx>
                <c:rich>
                  <a:bodyPr/>
                  <a:lstStyle/>
                  <a:p>
                    <a:fld id="{01DC216C-82CC-5C45-938E-786CC2A144B9}"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A405-4924-BF55-4C22D3765110}"/>
                </c:ext>
              </c:extLst>
            </c:dLbl>
            <c:dLbl>
              <c:idx val="2"/>
              <c:tx>
                <c:rich>
                  <a:bodyPr/>
                  <a:lstStyle/>
                  <a:p>
                    <a:fld id="{7DE30871-9DD1-254A-9073-953655C982E0}"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A405-4924-BF55-4C22D3765110}"/>
                </c:ext>
              </c:extLst>
            </c:dLbl>
            <c:dLbl>
              <c:idx val="3"/>
              <c:tx>
                <c:rich>
                  <a:bodyPr/>
                  <a:lstStyle/>
                  <a:p>
                    <a:fld id="{D1D5AE57-D7E2-7E4A-9292-95FD5A84648F}"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A405-4924-BF55-4C22D3765110}"/>
                </c:ext>
              </c:extLst>
            </c:dLbl>
            <c:dLbl>
              <c:idx val="4"/>
              <c:tx>
                <c:rich>
                  <a:bodyPr/>
                  <a:lstStyle/>
                  <a:p>
                    <a:fld id="{97D2E91F-F8D0-984F-AFDC-5F10D3617E46}"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A405-4924-BF55-4C22D3765110}"/>
                </c:ext>
              </c:extLst>
            </c:dLbl>
            <c:dLbl>
              <c:idx val="5"/>
              <c:tx>
                <c:rich>
                  <a:bodyPr/>
                  <a:lstStyle/>
                  <a:p>
                    <a:fld id="{9E9EDF47-0E4C-D742-A22B-8725BF16EA26}"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A405-4924-BF55-4C22D3765110}"/>
                </c:ext>
              </c:extLst>
            </c:dLbl>
            <c:dLbl>
              <c:idx val="6"/>
              <c:tx>
                <c:rich>
                  <a:bodyPr/>
                  <a:lstStyle/>
                  <a:p>
                    <a:fld id="{7463A2A6-350F-8049-B578-0430D0497720}"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A405-4924-BF55-4C22D3765110}"/>
                </c:ext>
              </c:extLst>
            </c:dLbl>
            <c:dLbl>
              <c:idx val="7"/>
              <c:tx>
                <c:rich>
                  <a:bodyPr/>
                  <a:lstStyle/>
                  <a:p>
                    <a:fld id="{91F07CF6-7D60-8043-9F6F-A2C36B863FFE}"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A405-4924-BF55-4C22D3765110}"/>
                </c:ext>
              </c:extLst>
            </c:dLbl>
            <c:dLbl>
              <c:idx val="8"/>
              <c:tx>
                <c:rich>
                  <a:bodyPr/>
                  <a:lstStyle/>
                  <a:p>
                    <a:fld id="{85E9D2F1-5CF0-0140-8D50-C611E095AE8C}"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C-A405-4924-BF55-4C22D3765110}"/>
                </c:ext>
              </c:extLst>
            </c:dLbl>
            <c:dLbl>
              <c:idx val="9"/>
              <c:tx>
                <c:rich>
                  <a:bodyPr/>
                  <a:lstStyle/>
                  <a:p>
                    <a:fld id="{F7982AB9-D10B-CD44-9D26-89413A9EAA0E}"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D-A405-4924-BF55-4C22D3765110}"/>
                </c:ext>
              </c:extLst>
            </c:dLbl>
            <c:dLbl>
              <c:idx val="10"/>
              <c:layout>
                <c:manualLayout>
                  <c:x val="-1.953421552985516E-2"/>
                  <c:y val="2.7992178353523581E-2"/>
                </c:manualLayout>
              </c:layout>
              <c:tx>
                <c:rich>
                  <a:bodyPr/>
                  <a:lstStyle/>
                  <a:p>
                    <a:fld id="{D6BDA250-6982-F546-BD82-15B413035104}"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E-A405-4924-BF55-4C22D3765110}"/>
                </c:ext>
              </c:extLst>
            </c:dLbl>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accent5"/>
                    </a:solidFill>
                    <a:latin typeface="Calibri (Body)"/>
                    <a:ea typeface="+mn-ea"/>
                    <a:cs typeface="+mn-cs"/>
                  </a:defRPr>
                </a:pPr>
                <a:endParaRPr lang="vi-VN"/>
              </a:p>
            </c:txPr>
            <c:dLblPos val="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'Report''s chart'!$C$61:$M$61</c:f>
              <c:strCache>
                <c:ptCount val="11"/>
                <c:pt idx="0">
                  <c:v>Q1/2022</c:v>
                </c:pt>
                <c:pt idx="1">
                  <c:v>Q2/2022</c:v>
                </c:pt>
                <c:pt idx="2">
                  <c:v>Q3/2022</c:v>
                </c:pt>
                <c:pt idx="3">
                  <c:v>Q4/2022</c:v>
                </c:pt>
                <c:pt idx="4">
                  <c:v>Q1/2023</c:v>
                </c:pt>
                <c:pt idx="5">
                  <c:v>Q2/2023</c:v>
                </c:pt>
                <c:pt idx="6">
                  <c:v>Q3/2023</c:v>
                </c:pt>
                <c:pt idx="7">
                  <c:v>Q4/2023</c:v>
                </c:pt>
                <c:pt idx="8">
                  <c:v>Q1/2024</c:v>
                </c:pt>
                <c:pt idx="9">
                  <c:v>Q2/2024</c:v>
                </c:pt>
                <c:pt idx="10">
                  <c:v>Q3/2024</c:v>
                </c:pt>
              </c:strCache>
            </c:strRef>
          </c:cat>
          <c:val>
            <c:numRef>
              <c:f>'Report''s chart'!$C$64:$M$64</c:f>
              <c:numCache>
                <c:formatCode>_-* #,##0_-;\-* #,##0_-;_-* "-"??_-;_-@_-</c:formatCode>
                <c:ptCount val="11"/>
                <c:pt idx="0">
                  <c:v>105.875</c:v>
                </c:pt>
                <c:pt idx="1">
                  <c:v>105.875</c:v>
                </c:pt>
                <c:pt idx="2">
                  <c:v>105.875</c:v>
                </c:pt>
                <c:pt idx="3">
                  <c:v>105.875</c:v>
                </c:pt>
                <c:pt idx="4">
                  <c:v>105.875</c:v>
                </c:pt>
                <c:pt idx="5">
                  <c:v>105.875</c:v>
                </c:pt>
                <c:pt idx="6">
                  <c:v>105.875</c:v>
                </c:pt>
                <c:pt idx="7">
                  <c:v>105.875</c:v>
                </c:pt>
                <c:pt idx="8">
                  <c:v>105.875</c:v>
                </c:pt>
                <c:pt idx="9">
                  <c:v>105.875</c:v>
                </c:pt>
                <c:pt idx="10">
                  <c:v>105.875</c:v>
                </c:pt>
              </c:numCache>
            </c:numRef>
          </c:val>
          <c:smooth val="0"/>
          <c:extLst>
            <c:ext xmlns:c15="http://schemas.microsoft.com/office/drawing/2012/chart" uri="{02D57815-91ED-43cb-92C2-25804820EDAC}">
              <c15:datalabelsRange>
                <c15:f>'Report''s chart'!$C$65:$M$65</c15:f>
                <c15:dlblRangeCache>
                  <c:ptCount val="11"/>
                  <c:pt idx="10">
                    <c:v>16%</c:v>
                  </c:pt>
                </c15:dlblRangeCache>
              </c15:datalabelsRange>
            </c:ext>
            <c:ext xmlns:c16="http://schemas.microsoft.com/office/drawing/2014/chart" uri="{C3380CC4-5D6E-409C-BE32-E72D297353CC}">
              <c16:uniqueId val="{00000002-A405-4924-BF55-4C22D3765110}"/>
            </c:ext>
          </c:extLst>
        </c:ser>
        <c:dLbls>
          <c:showLegendKey val="0"/>
          <c:showVal val="0"/>
          <c:showCatName val="0"/>
          <c:showSerName val="0"/>
          <c:showPercent val="0"/>
          <c:showBubbleSize val="0"/>
        </c:dLbls>
        <c:marker val="1"/>
        <c:smooth val="0"/>
        <c:axId val="1077400880"/>
        <c:axId val="1077400520"/>
      </c:lineChart>
      <c:catAx>
        <c:axId val="8323265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Calibri (Body)"/>
                <a:ea typeface="+mn-ea"/>
                <a:cs typeface="+mn-cs"/>
              </a:defRPr>
            </a:pPr>
            <a:endParaRPr lang="vi-VN"/>
          </a:p>
        </c:txPr>
        <c:crossAx val="832326928"/>
        <c:crosses val="autoZero"/>
        <c:auto val="1"/>
        <c:lblAlgn val="ctr"/>
        <c:lblOffset val="100"/>
        <c:noMultiLvlLbl val="0"/>
      </c:catAx>
      <c:valAx>
        <c:axId val="832326928"/>
        <c:scaling>
          <c:orientation val="minMax"/>
          <c:max val="50"/>
          <c:min val="0"/>
        </c:scaling>
        <c:delete val="0"/>
        <c:axPos val="l"/>
        <c:title>
          <c:tx>
            <c:rich>
              <a:bodyPr rot="-5400000" spcFirstLastPara="1" vertOverflow="ellipsis" vert="horz" wrap="square" anchor="ctr" anchorCtr="1"/>
              <a:lstStyle/>
              <a:p>
                <a:pPr>
                  <a:defRPr sz="800" b="0" i="0" u="none" strike="noStrike" kern="1200" baseline="0">
                    <a:solidFill>
                      <a:schemeClr val="tx1">
                        <a:lumMod val="65000"/>
                        <a:lumOff val="35000"/>
                      </a:schemeClr>
                    </a:solidFill>
                    <a:latin typeface="Calibri (Body)"/>
                    <a:ea typeface="+mn-ea"/>
                    <a:cs typeface="+mn-cs"/>
                  </a:defRPr>
                </a:pPr>
                <a:r>
                  <a:rPr lang="vi-VN"/>
                  <a:t>Số lượng hóa đơn (triệu HĐ/tháng)</a:t>
                </a:r>
                <a:endParaRPr lang="en-US"/>
              </a:p>
            </c:rich>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Calibri (Body)"/>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Calibri (Body)"/>
                <a:ea typeface="+mn-ea"/>
                <a:cs typeface="+mn-cs"/>
              </a:defRPr>
            </a:pPr>
            <a:endParaRPr lang="vi-VN"/>
          </a:p>
        </c:txPr>
        <c:crossAx val="832326568"/>
        <c:crosses val="autoZero"/>
        <c:crossBetween val="between"/>
        <c:majorUnit val="20"/>
      </c:valAx>
      <c:valAx>
        <c:axId val="1077400520"/>
        <c:scaling>
          <c:orientation val="minMax"/>
          <c:max val="130"/>
          <c:min val="0"/>
        </c:scaling>
        <c:delete val="0"/>
        <c:axPos val="r"/>
        <c:title>
          <c:tx>
            <c:rich>
              <a:bodyPr rot="-5400000" spcFirstLastPara="1" vertOverflow="ellipsis" vert="horz" wrap="square" anchor="ctr" anchorCtr="1"/>
              <a:lstStyle/>
              <a:p>
                <a:pPr>
                  <a:defRPr sz="800" b="0" i="0" u="none" strike="noStrike" kern="1200" baseline="0">
                    <a:solidFill>
                      <a:schemeClr val="tx1">
                        <a:lumMod val="65000"/>
                        <a:lumOff val="35000"/>
                      </a:schemeClr>
                    </a:solidFill>
                    <a:latin typeface="Calibri (Body)"/>
                    <a:ea typeface="+mn-ea"/>
                    <a:cs typeface="+mn-cs"/>
                  </a:defRPr>
                </a:pPr>
                <a:r>
                  <a:rPr lang="vi-VN"/>
                  <a:t>Gía trị đơn hàng (ngàn/ hóa đơn)</a:t>
                </a:r>
                <a:endParaRPr lang="en-US"/>
              </a:p>
            </c:rich>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Calibri (Body)"/>
                  <a:ea typeface="+mn-ea"/>
                  <a:cs typeface="+mn-cs"/>
                </a:defRPr>
              </a:pPr>
              <a:endParaRPr lang="en-US"/>
            </a:p>
          </c:txPr>
        </c:title>
        <c:numFmt formatCode="_-* #,##0_-;\-* #,##0_-;_-* &quot;-&quot;??_-;_-@_-" sourceLinked="1"/>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Calibri (Body)"/>
                <a:ea typeface="+mn-ea"/>
                <a:cs typeface="+mn-cs"/>
              </a:defRPr>
            </a:pPr>
            <a:endParaRPr lang="vi-VN"/>
          </a:p>
        </c:txPr>
        <c:crossAx val="1077400880"/>
        <c:crosses val="max"/>
        <c:crossBetween val="between"/>
      </c:valAx>
      <c:catAx>
        <c:axId val="1077400880"/>
        <c:scaling>
          <c:orientation val="minMax"/>
        </c:scaling>
        <c:delete val="1"/>
        <c:axPos val="b"/>
        <c:numFmt formatCode="General" sourceLinked="1"/>
        <c:majorTickMark val="out"/>
        <c:minorTickMark val="none"/>
        <c:tickLblPos val="nextTo"/>
        <c:crossAx val="1077400520"/>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Calibri (Body)"/>
              <a:ea typeface="+mn-ea"/>
              <a:cs typeface="+mn-cs"/>
            </a:defRPr>
          </a:pPr>
          <a:endParaRPr lang="vi-VN"/>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sz="800">
          <a:latin typeface="Calibri (Body)"/>
        </a:defRPr>
      </a:pPr>
      <a:endParaRPr lang="vi-VN"/>
    </a:p>
  </c:txPr>
  <c:printSettings>
    <c:headerFooter/>
    <c:pageMargins b="0.75" l="0.7" r="0.7" t="0.75" header="0.3" footer="0.3"/>
    <c:pageSetup/>
  </c:printSettings>
  <c:userShapes r:id="rId3"/>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4726840315786524"/>
          <c:y val="0.14876414064653834"/>
          <c:w val="0.85273159684213473"/>
          <c:h val="0.608050834162706"/>
        </c:manualLayout>
      </c:layout>
      <c:barChart>
        <c:barDir val="col"/>
        <c:grouping val="stacked"/>
        <c:varyColors val="0"/>
        <c:ser>
          <c:idx val="0"/>
          <c:order val="0"/>
          <c:tx>
            <c:strRef>
              <c:f>'Report''s chart'!$B$69</c:f>
              <c:strCache>
                <c:ptCount val="1"/>
                <c:pt idx="0">
                  <c:v>Trung tâm thương mại</c:v>
                </c:pt>
              </c:strCache>
            </c:strRef>
          </c:tx>
          <c:spPr>
            <a:solidFill>
              <a:schemeClr val="bg1">
                <a:lumMod val="85000"/>
              </a:schemeClr>
            </a:solidFill>
            <a:ln>
              <a:noFill/>
            </a:ln>
            <a:effectLst/>
          </c:spPr>
          <c:invertIfNegative val="0"/>
          <c:cat>
            <c:multiLvlStrRef>
              <c:f>'Report''s chart'!$C$67:$F$68</c:f>
              <c:multiLvlStrCache>
                <c:ptCount val="4"/>
                <c:lvl>
                  <c:pt idx="0">
                    <c:v>2022</c:v>
                  </c:pt>
                  <c:pt idx="1">
                    <c:v>2023</c:v>
                  </c:pt>
                  <c:pt idx="2">
                    <c:v>9M2023</c:v>
                  </c:pt>
                  <c:pt idx="3">
                    <c:v>9M2024</c:v>
                  </c:pt>
                </c:lvl>
                <c:lvl>
                  <c:pt idx="0">
                    <c:v>Năm</c:v>
                  </c:pt>
                  <c:pt idx="2">
                    <c:v>9M</c:v>
                  </c:pt>
                </c:lvl>
              </c:multiLvlStrCache>
            </c:multiLvlStrRef>
          </c:cat>
          <c:val>
            <c:numRef>
              <c:f>'Report''s chart'!$C$69:$F$69</c:f>
              <c:numCache>
                <c:formatCode>0%</c:formatCode>
                <c:ptCount val="4"/>
                <c:pt idx="0">
                  <c:v>0.54</c:v>
                </c:pt>
                <c:pt idx="1">
                  <c:v>0.41</c:v>
                </c:pt>
                <c:pt idx="2">
                  <c:v>0.43</c:v>
                </c:pt>
                <c:pt idx="3">
                  <c:v>0.4</c:v>
                </c:pt>
              </c:numCache>
            </c:numRef>
          </c:val>
          <c:extLst>
            <c:ext xmlns:c16="http://schemas.microsoft.com/office/drawing/2014/chart" uri="{C3380CC4-5D6E-409C-BE32-E72D297353CC}">
              <c16:uniqueId val="{00000000-3024-4043-B605-9B41E115171C}"/>
            </c:ext>
          </c:extLst>
        </c:ser>
        <c:ser>
          <c:idx val="1"/>
          <c:order val="1"/>
          <c:tx>
            <c:strRef>
              <c:f>'Report''s chart'!$B$70</c:f>
              <c:strCache>
                <c:ptCount val="1"/>
                <c:pt idx="0">
                  <c:v>Cửa hàng mặt tiền đường</c:v>
                </c:pt>
              </c:strCache>
            </c:strRef>
          </c:tx>
          <c:spPr>
            <a:solidFill>
              <a:schemeClr val="accent2"/>
            </a:solidFill>
            <a:ln>
              <a:noFill/>
            </a:ln>
            <a:effectLst/>
          </c:spPr>
          <c:invertIfNegative val="0"/>
          <c:cat>
            <c:multiLvlStrRef>
              <c:f>'Report''s chart'!$C$67:$F$68</c:f>
              <c:multiLvlStrCache>
                <c:ptCount val="4"/>
                <c:lvl>
                  <c:pt idx="0">
                    <c:v>2022</c:v>
                  </c:pt>
                  <c:pt idx="1">
                    <c:v>2023</c:v>
                  </c:pt>
                  <c:pt idx="2">
                    <c:v>9M2023</c:v>
                  </c:pt>
                  <c:pt idx="3">
                    <c:v>9M2024</c:v>
                  </c:pt>
                </c:lvl>
                <c:lvl>
                  <c:pt idx="0">
                    <c:v>Năm</c:v>
                  </c:pt>
                  <c:pt idx="2">
                    <c:v>9M</c:v>
                  </c:pt>
                </c:lvl>
              </c:multiLvlStrCache>
            </c:multiLvlStrRef>
          </c:cat>
          <c:val>
            <c:numRef>
              <c:f>'Report''s chart'!$C$70:$F$70</c:f>
              <c:numCache>
                <c:formatCode>0%</c:formatCode>
                <c:ptCount val="4"/>
                <c:pt idx="0">
                  <c:v>0.46</c:v>
                </c:pt>
                <c:pt idx="1">
                  <c:v>0.59</c:v>
                </c:pt>
                <c:pt idx="2">
                  <c:v>0.56999999999999995</c:v>
                </c:pt>
                <c:pt idx="3">
                  <c:v>0.6</c:v>
                </c:pt>
              </c:numCache>
            </c:numRef>
          </c:val>
          <c:extLst>
            <c:ext xmlns:c16="http://schemas.microsoft.com/office/drawing/2014/chart" uri="{C3380CC4-5D6E-409C-BE32-E72D297353CC}">
              <c16:uniqueId val="{00000001-3024-4043-B605-9B41E115171C}"/>
            </c:ext>
          </c:extLst>
        </c:ser>
        <c:dLbls>
          <c:showLegendKey val="0"/>
          <c:showVal val="0"/>
          <c:showCatName val="0"/>
          <c:showSerName val="0"/>
          <c:showPercent val="0"/>
          <c:showBubbleSize val="0"/>
        </c:dLbls>
        <c:gapWidth val="150"/>
        <c:overlap val="100"/>
        <c:axId val="643561840"/>
        <c:axId val="643560040"/>
      </c:barChart>
      <c:catAx>
        <c:axId val="643561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alibri (Body)"/>
                <a:ea typeface="+mn-ea"/>
                <a:cs typeface="+mn-cs"/>
              </a:defRPr>
            </a:pPr>
            <a:endParaRPr lang="vi-VN"/>
          </a:p>
        </c:txPr>
        <c:crossAx val="643560040"/>
        <c:crosses val="autoZero"/>
        <c:auto val="1"/>
        <c:lblAlgn val="ctr"/>
        <c:lblOffset val="100"/>
        <c:noMultiLvlLbl val="0"/>
      </c:catAx>
      <c:valAx>
        <c:axId val="643560040"/>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alibri (Body)"/>
                <a:ea typeface="+mn-ea"/>
                <a:cs typeface="+mn-cs"/>
              </a:defRPr>
            </a:pPr>
            <a:endParaRPr lang="vi-VN"/>
          </a:p>
        </c:txPr>
        <c:crossAx val="64356184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Calibri (Body)"/>
              <a:ea typeface="+mn-ea"/>
              <a:cs typeface="+mn-cs"/>
            </a:defRPr>
          </a:pPr>
          <a:endParaRPr lang="vi-V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Calibri (Body)"/>
        </a:defRPr>
      </a:pPr>
      <a:endParaRPr lang="vi-VN"/>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'Report''s chart'!$B$99</c:f>
              <c:strCache>
                <c:ptCount val="1"/>
                <c:pt idx="0">
                  <c:v>Thành thị</c:v>
                </c:pt>
              </c:strCache>
            </c:strRef>
          </c:tx>
          <c:spPr>
            <a:solidFill>
              <a:schemeClr val="bg1">
                <a:lumMod val="75000"/>
              </a:schemeClr>
            </a:solidFill>
            <a:ln>
              <a:noFill/>
            </a:ln>
            <a:effectLst/>
          </c:spPr>
          <c:invertIfNegative val="0"/>
          <c:dPt>
            <c:idx val="5"/>
            <c:invertIfNegative val="0"/>
            <c:bubble3D val="0"/>
            <c:spPr>
              <a:gradFill>
                <a:gsLst>
                  <a:gs pos="0">
                    <a:schemeClr val="accent3">
                      <a:alpha val="34000"/>
                    </a:schemeClr>
                  </a:gs>
                  <a:gs pos="100000">
                    <a:schemeClr val="accent1"/>
                  </a:gs>
                </a:gsLst>
                <a:lin ang="5400000" scaled="1"/>
              </a:gradFill>
              <a:ln>
                <a:noFill/>
              </a:ln>
              <a:effectLst/>
            </c:spPr>
            <c:extLst>
              <c:ext xmlns:c16="http://schemas.microsoft.com/office/drawing/2014/chart" uri="{C3380CC4-5D6E-409C-BE32-E72D297353CC}">
                <c16:uniqueId val="{00000002-3FBD-4556-B536-0F2B4707B5B7}"/>
              </c:ext>
            </c:extLst>
          </c:dPt>
          <c:dLbls>
            <c:dLbl>
              <c:idx val="0"/>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3FBD-4556-B536-0F2B4707B5B7}"/>
                </c:ext>
              </c:extLst>
            </c:dLbl>
            <c:dLbl>
              <c:idx val="5"/>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3FBD-4556-B536-0F2B4707B5B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vi-VN"/>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'Report''s chart'!$C$98:$H$98</c:f>
              <c:strCache>
                <c:ptCount val="6"/>
                <c:pt idx="0">
                  <c:v>Q3/2019</c:v>
                </c:pt>
                <c:pt idx="1">
                  <c:v>Q3/2020</c:v>
                </c:pt>
                <c:pt idx="2">
                  <c:v>Q3/2021</c:v>
                </c:pt>
                <c:pt idx="3">
                  <c:v>Q3/2022</c:v>
                </c:pt>
                <c:pt idx="4">
                  <c:v>Q3/2023</c:v>
                </c:pt>
                <c:pt idx="5">
                  <c:v>Q3/2024</c:v>
                </c:pt>
              </c:strCache>
            </c:strRef>
          </c:cat>
          <c:val>
            <c:numRef>
              <c:f>'Report''s chart'!$C$99:$H$99</c:f>
              <c:numCache>
                <c:formatCode>0%</c:formatCode>
                <c:ptCount val="6"/>
                <c:pt idx="0">
                  <c:v>0.23</c:v>
                </c:pt>
                <c:pt idx="1">
                  <c:v>0.27</c:v>
                </c:pt>
                <c:pt idx="2">
                  <c:v>0.28000000000000003</c:v>
                </c:pt>
                <c:pt idx="3">
                  <c:v>0.30000000000000004</c:v>
                </c:pt>
                <c:pt idx="4">
                  <c:v>0.3</c:v>
                </c:pt>
                <c:pt idx="5">
                  <c:v>0.32999999999999996</c:v>
                </c:pt>
              </c:numCache>
            </c:numRef>
          </c:val>
          <c:extLst>
            <c:ext xmlns:c16="http://schemas.microsoft.com/office/drawing/2014/chart" uri="{C3380CC4-5D6E-409C-BE32-E72D297353CC}">
              <c16:uniqueId val="{00000000-3FBD-4556-B536-0F2B4707B5B7}"/>
            </c:ext>
          </c:extLst>
        </c:ser>
        <c:ser>
          <c:idx val="1"/>
          <c:order val="1"/>
          <c:tx>
            <c:strRef>
              <c:f>'Report''s chart'!$B$100</c:f>
              <c:strCache>
                <c:ptCount val="1"/>
                <c:pt idx="0">
                  <c:v>Nông thôn</c:v>
                </c:pt>
              </c:strCache>
            </c:strRef>
          </c:tx>
          <c:spPr>
            <a:solidFill>
              <a:schemeClr val="bg1">
                <a:lumMod val="65000"/>
              </a:schemeClr>
            </a:solidFill>
            <a:ln>
              <a:noFill/>
            </a:ln>
            <a:effectLst/>
          </c:spPr>
          <c:invertIfNegative val="0"/>
          <c:dPt>
            <c:idx val="5"/>
            <c:invertIfNegative val="0"/>
            <c:bubble3D val="0"/>
            <c:spPr>
              <a:gradFill>
                <a:gsLst>
                  <a:gs pos="0">
                    <a:schemeClr val="accent3"/>
                  </a:gs>
                  <a:gs pos="100000">
                    <a:schemeClr val="accent1"/>
                  </a:gs>
                </a:gsLst>
                <a:lin ang="5400000" scaled="1"/>
              </a:gradFill>
              <a:ln>
                <a:noFill/>
              </a:ln>
              <a:effectLst/>
            </c:spPr>
            <c:extLst>
              <c:ext xmlns:c16="http://schemas.microsoft.com/office/drawing/2014/chart" uri="{C3380CC4-5D6E-409C-BE32-E72D297353CC}">
                <c16:uniqueId val="{00000003-3FBD-4556-B536-0F2B4707B5B7}"/>
              </c:ext>
            </c:extLst>
          </c:dPt>
          <c:dLbls>
            <c:dLbl>
              <c:idx val="0"/>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3FBD-4556-B536-0F2B4707B5B7}"/>
                </c:ext>
              </c:extLst>
            </c:dLbl>
            <c:dLbl>
              <c:idx val="5"/>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FBD-4556-B536-0F2B4707B5B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vi-VN"/>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'Report''s chart'!$C$98:$H$98</c:f>
              <c:strCache>
                <c:ptCount val="6"/>
                <c:pt idx="0">
                  <c:v>Q3/2019</c:v>
                </c:pt>
                <c:pt idx="1">
                  <c:v>Q3/2020</c:v>
                </c:pt>
                <c:pt idx="2">
                  <c:v>Q3/2021</c:v>
                </c:pt>
                <c:pt idx="3">
                  <c:v>Q3/2022</c:v>
                </c:pt>
                <c:pt idx="4">
                  <c:v>Q3/2023</c:v>
                </c:pt>
                <c:pt idx="5">
                  <c:v>Q3/2024</c:v>
                </c:pt>
              </c:strCache>
            </c:strRef>
          </c:cat>
          <c:val>
            <c:numRef>
              <c:f>'Report''s chart'!$C$100:$H$100</c:f>
              <c:numCache>
                <c:formatCode>0%</c:formatCode>
                <c:ptCount val="6"/>
                <c:pt idx="0">
                  <c:v>0.03</c:v>
                </c:pt>
                <c:pt idx="1">
                  <c:v>0.05</c:v>
                </c:pt>
                <c:pt idx="2">
                  <c:v>0.05</c:v>
                </c:pt>
                <c:pt idx="3">
                  <c:v>0.06</c:v>
                </c:pt>
                <c:pt idx="4">
                  <c:v>7.0000000000000007E-2</c:v>
                </c:pt>
                <c:pt idx="5">
                  <c:v>0.08</c:v>
                </c:pt>
              </c:numCache>
            </c:numRef>
          </c:val>
          <c:extLst>
            <c:ext xmlns:c16="http://schemas.microsoft.com/office/drawing/2014/chart" uri="{C3380CC4-5D6E-409C-BE32-E72D297353CC}">
              <c16:uniqueId val="{00000001-3FBD-4556-B536-0F2B4707B5B7}"/>
            </c:ext>
          </c:extLst>
        </c:ser>
        <c:dLbls>
          <c:showLegendKey val="0"/>
          <c:showVal val="0"/>
          <c:showCatName val="0"/>
          <c:showSerName val="0"/>
          <c:showPercent val="0"/>
          <c:showBubbleSize val="0"/>
        </c:dLbls>
        <c:gapWidth val="219"/>
        <c:overlap val="-27"/>
        <c:axId val="986141384"/>
        <c:axId val="986133824"/>
      </c:barChart>
      <c:catAx>
        <c:axId val="9861413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vi-VN"/>
          </a:p>
        </c:txPr>
        <c:crossAx val="986133824"/>
        <c:crosses val="autoZero"/>
        <c:auto val="1"/>
        <c:lblAlgn val="ctr"/>
        <c:lblOffset val="100"/>
        <c:noMultiLvlLbl val="0"/>
      </c:catAx>
      <c:valAx>
        <c:axId val="986133824"/>
        <c:scaling>
          <c:orientation val="minMax"/>
          <c:max val="1"/>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vi-VN"/>
          </a:p>
        </c:txPr>
        <c:crossAx val="9861413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vi-VN"/>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vi-VN"/>
    </a:p>
  </c:txPr>
  <c:printSettings>
    <c:headerFooter/>
    <c:pageMargins b="0.75" l="0.7" r="0.7" t="0.75" header="0.3" footer="0.3"/>
    <c:pageSetup/>
  </c:printSettings>
  <c:userShapes r:id="rId3"/>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7302493438320208E-2"/>
          <c:y val="0.13194444444444445"/>
          <c:w val="0.46388888888888891"/>
          <c:h val="0.77314814814814814"/>
        </c:manualLayout>
      </c:layout>
      <c:doughnutChart>
        <c:varyColors val="1"/>
        <c:ser>
          <c:idx val="0"/>
          <c:order val="0"/>
          <c:tx>
            <c:strRef>
              <c:f>'Report''s chart'!$C$103</c:f>
              <c:strCache>
                <c:ptCount val="1"/>
                <c:pt idx="0">
                  <c:v>2023</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7-0B01-459E-8102-0E722403F7B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5-0B01-459E-8102-0E722403F7BC}"/>
              </c:ext>
            </c:extLst>
          </c:dPt>
          <c:dPt>
            <c:idx val="2"/>
            <c:bubble3D val="0"/>
            <c:spPr>
              <a:solidFill>
                <a:schemeClr val="bg1">
                  <a:lumMod val="75000"/>
                </a:schemeClr>
              </a:solidFill>
              <a:ln w="19050">
                <a:solidFill>
                  <a:schemeClr val="lt1"/>
                </a:solidFill>
              </a:ln>
              <a:effectLst/>
            </c:spPr>
            <c:extLst>
              <c:ext xmlns:c16="http://schemas.microsoft.com/office/drawing/2014/chart" uri="{C3380CC4-5D6E-409C-BE32-E72D297353CC}">
                <c16:uniqueId val="{00000006-0B01-459E-8102-0E722403F7BC}"/>
              </c:ext>
            </c:extLst>
          </c:dPt>
          <c:dLbls>
            <c:dLbl>
              <c:idx val="0"/>
              <c:layout>
                <c:manualLayout>
                  <c:x val="-3.8888888888888994E-2"/>
                  <c:y val="-5.5555555555555552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0B01-459E-8102-0E722403F7BC}"/>
                </c:ext>
              </c:extLst>
            </c:dLbl>
            <c:dLbl>
              <c:idx val="1"/>
              <c:layout>
                <c:manualLayout>
                  <c:x val="3.3333333333333333E-2"/>
                  <c:y val="4.6296296296296252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0B01-459E-8102-0E722403F7BC}"/>
                </c:ext>
              </c:extLst>
            </c:dLbl>
            <c:dLbl>
              <c:idx val="2"/>
              <c:layout>
                <c:manualLayout>
                  <c:x val="0"/>
                  <c:y val="5.0925925925925881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6-0B01-459E-8102-0E722403F7BC}"/>
                </c:ext>
              </c:extLst>
            </c:dLbl>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Nunito" pitchFamily="2" charset="0"/>
                    <a:ea typeface="+mn-ea"/>
                    <a:cs typeface="+mn-cs"/>
                  </a:defRPr>
                </a:pPr>
                <a:endParaRPr lang="vi-VN"/>
              </a:p>
            </c:txPr>
            <c:showLegendKey val="0"/>
            <c:showVal val="0"/>
            <c:showCatName val="0"/>
            <c:showSerName val="0"/>
            <c:showPercent val="0"/>
            <c:showBubbleSize val="0"/>
            <c:extLst>
              <c:ext xmlns:c15="http://schemas.microsoft.com/office/drawing/2012/chart" uri="{CE6537A1-D6FC-4f65-9D91-7224C49458BB}"/>
            </c:extLst>
          </c:dLbls>
          <c:cat>
            <c:strRef>
              <c:f>'Report''s chart'!$B$104:$B$106</c:f>
              <c:strCache>
                <c:ptCount val="3"/>
                <c:pt idx="0">
                  <c:v>TGDĐ+ĐMX</c:v>
                </c:pt>
                <c:pt idx="1">
                  <c:v>BHX</c:v>
                </c:pt>
                <c:pt idx="2">
                  <c:v>Khác (An Khang, Avakids)</c:v>
                </c:pt>
              </c:strCache>
            </c:strRef>
          </c:cat>
          <c:val>
            <c:numRef>
              <c:f>'Report''s chart'!$C$104:$C$106</c:f>
              <c:numCache>
                <c:formatCode>_(* #,##0_);_(* \(#,##0\);_(* "-"??_);_(@_)</c:formatCode>
                <c:ptCount val="3"/>
                <c:pt idx="0">
                  <c:v>83505.679999999993</c:v>
                </c:pt>
                <c:pt idx="1">
                  <c:v>31580.760000000002</c:v>
                </c:pt>
                <c:pt idx="2">
                  <c:v>3193.3484554420065</c:v>
                </c:pt>
              </c:numCache>
            </c:numRef>
          </c:val>
          <c:extLst>
            <c:ext xmlns:c16="http://schemas.microsoft.com/office/drawing/2014/chart" uri="{C3380CC4-5D6E-409C-BE32-E72D297353CC}">
              <c16:uniqueId val="{00000000-0B01-459E-8102-0E722403F7BC}"/>
            </c:ext>
          </c:extLst>
        </c:ser>
        <c:ser>
          <c:idx val="1"/>
          <c:order val="1"/>
          <c:tx>
            <c:strRef>
              <c:f>'Report''s chart'!$D$103</c:f>
              <c:strCache>
                <c:ptCount val="1"/>
                <c:pt idx="0">
                  <c:v>2024</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3-0B01-459E-8102-0E722403F7B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2-0B01-459E-8102-0E722403F7BC}"/>
              </c:ext>
            </c:extLst>
          </c:dPt>
          <c:dPt>
            <c:idx val="2"/>
            <c:bubble3D val="0"/>
            <c:spPr>
              <a:solidFill>
                <a:schemeClr val="bg1">
                  <a:lumMod val="75000"/>
                </a:schemeClr>
              </a:solidFill>
              <a:ln w="19050">
                <a:solidFill>
                  <a:schemeClr val="lt1"/>
                </a:solidFill>
              </a:ln>
              <a:effectLst/>
            </c:spPr>
            <c:extLst>
              <c:ext xmlns:c16="http://schemas.microsoft.com/office/drawing/2014/chart" uri="{C3380CC4-5D6E-409C-BE32-E72D297353CC}">
                <c16:uniqueId val="{00000004-0B01-459E-8102-0E722403F7BC}"/>
              </c:ext>
            </c:extLst>
          </c:dPt>
          <c:dLbls>
            <c:dLbl>
              <c:idx val="0"/>
              <c:layout>
                <c:manualLayout>
                  <c:x val="5.2777777777777778E-2"/>
                  <c:y val="3.7037037037037035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0B01-459E-8102-0E722403F7BC}"/>
                </c:ext>
              </c:extLst>
            </c:dLbl>
            <c:dLbl>
              <c:idx val="1"/>
              <c:layout>
                <c:manualLayout>
                  <c:x val="-5.0000000000000051E-2"/>
                  <c:y val="-3.2407407407407447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0B01-459E-8102-0E722403F7BC}"/>
                </c:ext>
              </c:extLst>
            </c:dLbl>
            <c:dLbl>
              <c:idx val="2"/>
              <c:layout>
                <c:manualLayout>
                  <c:x val="0"/>
                  <c:y val="-6.9444444444444461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4-0B01-459E-8102-0E722403F7BC}"/>
                </c:ext>
              </c:extLst>
            </c:dLbl>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Nunito" pitchFamily="2" charset="0"/>
                    <a:ea typeface="+mn-ea"/>
                    <a:cs typeface="+mn-cs"/>
                  </a:defRPr>
                </a:pPr>
                <a:endParaRPr lang="vi-VN"/>
              </a:p>
            </c:txPr>
            <c:showLegendKey val="0"/>
            <c:showVal val="0"/>
            <c:showCatName val="0"/>
            <c:showSerName val="0"/>
            <c:showPercent val="0"/>
            <c:showBubbleSize val="0"/>
            <c:extLst>
              <c:ext xmlns:c15="http://schemas.microsoft.com/office/drawing/2012/chart" uri="{CE6537A1-D6FC-4f65-9D91-7224C49458BB}"/>
            </c:extLst>
          </c:dLbls>
          <c:cat>
            <c:strRef>
              <c:f>'Report''s chart'!$B$104:$B$106</c:f>
              <c:strCache>
                <c:ptCount val="3"/>
                <c:pt idx="0">
                  <c:v>TGDĐ+ĐMX</c:v>
                </c:pt>
                <c:pt idx="1">
                  <c:v>BHX</c:v>
                </c:pt>
                <c:pt idx="2">
                  <c:v>Khác (An Khang, Avakids)</c:v>
                </c:pt>
              </c:strCache>
            </c:strRef>
          </c:cat>
          <c:val>
            <c:numRef>
              <c:f>'Report''s chart'!$D$104:$D$106</c:f>
              <c:numCache>
                <c:formatCode>_(* #,##0_);_(* \(#,##0\);_(* "-"??_);_(@_)</c:formatCode>
                <c:ptCount val="3"/>
                <c:pt idx="0">
                  <c:v>90798.886168975005</c:v>
                </c:pt>
                <c:pt idx="1">
                  <c:v>41083.417042057001</c:v>
                </c:pt>
                <c:pt idx="2">
                  <c:v>2458.8496377700067</c:v>
                </c:pt>
              </c:numCache>
            </c:numRef>
          </c:val>
          <c:extLst>
            <c:ext xmlns:c16="http://schemas.microsoft.com/office/drawing/2014/chart" uri="{C3380CC4-5D6E-409C-BE32-E72D297353CC}">
              <c16:uniqueId val="{00000001-0B01-459E-8102-0E722403F7BC}"/>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73502971295685982"/>
          <c:y val="0.17428724671821666"/>
          <c:w val="0.23032078571248205"/>
          <c:h val="0.7094649505953196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Nunito" pitchFamily="2" charset="0"/>
              <a:ea typeface="+mn-ea"/>
              <a:cs typeface="+mn-cs"/>
            </a:defRPr>
          </a:pPr>
          <a:endParaRPr lang="vi-VN"/>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sz="900">
          <a:latin typeface="Nunito" pitchFamily="2" charset="0"/>
        </a:defRPr>
      </a:pPr>
      <a:endParaRPr lang="vi-VN"/>
    </a:p>
  </c:txPr>
  <c:printSettings>
    <c:headerFooter/>
    <c:pageMargins b="0.75" l="0.7" r="0.7" t="0.75" header="0.3" footer="0.3"/>
    <c:pageSetup/>
  </c:printSettings>
  <c:userShapes r:id="rId3"/>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8679405515540734"/>
          <c:y val="0.10075642595457533"/>
          <c:w val="0.65925750491388302"/>
          <c:h val="0.67391906853292471"/>
        </c:manualLayout>
      </c:layout>
      <c:barChart>
        <c:barDir val="col"/>
        <c:grouping val="clustered"/>
        <c:varyColors val="0"/>
        <c:ser>
          <c:idx val="0"/>
          <c:order val="0"/>
          <c:tx>
            <c:strRef>
              <c:f>'Report''s chart'!$B$3</c:f>
              <c:strCache>
                <c:ptCount val="1"/>
                <c:pt idx="0">
                  <c:v>- DT/CH (%YoY)</c:v>
                </c:pt>
              </c:strCache>
            </c:strRef>
          </c:tx>
          <c:spPr>
            <a:solidFill>
              <a:schemeClr val="bg1">
                <a:lumMod val="75000"/>
              </a:schemeClr>
            </a:solidFill>
            <a:ln>
              <a:noFill/>
            </a:ln>
            <a:effectLst/>
          </c:spPr>
          <c:invertIfNegative val="0"/>
          <c:dPt>
            <c:idx val="3"/>
            <c:invertIfNegative val="0"/>
            <c:bubble3D val="0"/>
            <c:spPr>
              <a:gradFill>
                <a:gsLst>
                  <a:gs pos="0">
                    <a:schemeClr val="accent3"/>
                  </a:gs>
                  <a:gs pos="100000">
                    <a:schemeClr val="accent1"/>
                  </a:gs>
                </a:gsLst>
                <a:lin ang="5400000" scaled="1"/>
              </a:gradFill>
              <a:ln>
                <a:gradFill>
                  <a:gsLst>
                    <a:gs pos="0">
                      <a:schemeClr val="accent3"/>
                    </a:gs>
                    <a:gs pos="100000">
                      <a:schemeClr val="accent1"/>
                    </a:gs>
                  </a:gsLst>
                  <a:lin ang="5400000" scaled="1"/>
                </a:gradFill>
              </a:ln>
              <a:effectLst/>
            </c:spPr>
            <c:extLst>
              <c:ext xmlns:c16="http://schemas.microsoft.com/office/drawing/2014/chart" uri="{C3380CC4-5D6E-409C-BE32-E72D297353CC}">
                <c16:uniqueId val="{00000001-5BBE-4ADE-82A5-A4D82565B74B}"/>
              </c:ext>
            </c:extLst>
          </c:dPt>
          <c:cat>
            <c:numRef>
              <c:extLst>
                <c:ext xmlns:c15="http://schemas.microsoft.com/office/drawing/2012/chart" uri="{02D57815-91ED-43cb-92C2-25804820EDAC}">
                  <c15:fullRef>
                    <c15:sqref>'Report''s chart'!$C$2:$J$2</c15:sqref>
                  </c15:fullRef>
                </c:ext>
              </c:extLst>
              <c:f>'Report''s chart'!$C$2:$F$2</c:f>
              <c:numCache>
                <c:formatCode>@</c:formatCode>
                <c:ptCount val="4"/>
                <c:pt idx="0">
                  <c:v>2021</c:v>
                </c:pt>
                <c:pt idx="1">
                  <c:v>2022</c:v>
                </c:pt>
                <c:pt idx="2">
                  <c:v>2023</c:v>
                </c:pt>
                <c:pt idx="3">
                  <c:v>2024</c:v>
                </c:pt>
              </c:numCache>
            </c:numRef>
          </c:cat>
          <c:val>
            <c:numRef>
              <c:extLst>
                <c:ext xmlns:c15="http://schemas.microsoft.com/office/drawing/2012/chart" uri="{02D57815-91ED-43cb-92C2-25804820EDAC}">
                  <c15:fullRef>
                    <c15:sqref>'Report''s chart'!$C$3:$J$3</c15:sqref>
                  </c15:fullRef>
                </c:ext>
              </c:extLst>
              <c:f>'Report''s chart'!$C$3:$F$3</c:f>
              <c:numCache>
                <c:formatCode>0%</c:formatCode>
                <c:ptCount val="4"/>
                <c:pt idx="0">
                  <c:v>-0.11257638193418351</c:v>
                </c:pt>
                <c:pt idx="1">
                  <c:v>-9.4551124729756797E-2</c:v>
                </c:pt>
                <c:pt idx="2">
                  <c:v>-0.23095650300018167</c:v>
                </c:pt>
                <c:pt idx="3">
                  <c:v>0.1608601351726362</c:v>
                </c:pt>
              </c:numCache>
            </c:numRef>
          </c:val>
          <c:extLst>
            <c:ext xmlns:c16="http://schemas.microsoft.com/office/drawing/2014/chart" uri="{C3380CC4-5D6E-409C-BE32-E72D297353CC}">
              <c16:uniqueId val="{00000002-5BBE-4ADE-82A5-A4D82565B74B}"/>
            </c:ext>
          </c:extLst>
        </c:ser>
        <c:dLbls>
          <c:showLegendKey val="0"/>
          <c:showVal val="0"/>
          <c:showCatName val="0"/>
          <c:showSerName val="0"/>
          <c:showPercent val="0"/>
          <c:showBubbleSize val="0"/>
        </c:dLbls>
        <c:gapWidth val="219"/>
        <c:axId val="967842712"/>
        <c:axId val="967843792"/>
      </c:barChart>
      <c:lineChart>
        <c:grouping val="standard"/>
        <c:varyColors val="0"/>
        <c:ser>
          <c:idx val="1"/>
          <c:order val="1"/>
          <c:tx>
            <c:strRef>
              <c:f>'Report''s chart'!$B$4</c:f>
              <c:strCache>
                <c:ptCount val="1"/>
                <c:pt idx="0">
                  <c:v>- Biên LNHĐ</c:v>
                </c:pt>
              </c:strCache>
            </c:strRef>
          </c:tx>
          <c:spPr>
            <a:ln w="22225" cap="rnd">
              <a:solidFill>
                <a:schemeClr val="accent2"/>
              </a:solidFill>
              <a:round/>
            </a:ln>
            <a:effectLst/>
          </c:spPr>
          <c:marker>
            <c:symbol val="none"/>
          </c:marker>
          <c:cat>
            <c:numRef>
              <c:extLst>
                <c:ext xmlns:c15="http://schemas.microsoft.com/office/drawing/2012/chart" uri="{02D57815-91ED-43cb-92C2-25804820EDAC}">
                  <c15:fullRef>
                    <c15:sqref>'Report''s chart'!$C$2:$J$2</c15:sqref>
                  </c15:fullRef>
                </c:ext>
              </c:extLst>
              <c:f>'Report''s chart'!$C$2:$F$2</c:f>
              <c:numCache>
                <c:formatCode>@</c:formatCode>
                <c:ptCount val="4"/>
                <c:pt idx="0">
                  <c:v>2021</c:v>
                </c:pt>
                <c:pt idx="1">
                  <c:v>2022</c:v>
                </c:pt>
                <c:pt idx="2">
                  <c:v>2023</c:v>
                </c:pt>
                <c:pt idx="3">
                  <c:v>2024</c:v>
                </c:pt>
              </c:numCache>
            </c:numRef>
          </c:cat>
          <c:val>
            <c:numRef>
              <c:extLst>
                <c:ext xmlns:c15="http://schemas.microsoft.com/office/drawing/2012/chart" uri="{02D57815-91ED-43cb-92C2-25804820EDAC}">
                  <c15:fullRef>
                    <c15:sqref>'Report''s chart'!$C$4:$J$4</c15:sqref>
                  </c15:fullRef>
                </c:ext>
              </c:extLst>
              <c:f>'Report''s chart'!$C$4:$F$4</c:f>
              <c:numCache>
                <c:formatCode>0.00%</c:formatCode>
                <c:ptCount val="4"/>
                <c:pt idx="0">
                  <c:v>7.522418984338318E-2</c:v>
                </c:pt>
                <c:pt idx="1">
                  <c:v>9.860997641226546E-2</c:v>
                </c:pt>
                <c:pt idx="2">
                  <c:v>2.4997653028225125E-2</c:v>
                </c:pt>
                <c:pt idx="3">
                  <c:v>4.9214513186483143E-2</c:v>
                </c:pt>
              </c:numCache>
            </c:numRef>
          </c:val>
          <c:smooth val="0"/>
          <c:extLst>
            <c:ext xmlns:c16="http://schemas.microsoft.com/office/drawing/2014/chart" uri="{C3380CC4-5D6E-409C-BE32-E72D297353CC}">
              <c16:uniqueId val="{00000003-5BBE-4ADE-82A5-A4D82565B74B}"/>
            </c:ext>
          </c:extLst>
        </c:ser>
        <c:dLbls>
          <c:showLegendKey val="0"/>
          <c:showVal val="0"/>
          <c:showCatName val="0"/>
          <c:showSerName val="0"/>
          <c:showPercent val="0"/>
          <c:showBubbleSize val="0"/>
        </c:dLbls>
        <c:marker val="1"/>
        <c:smooth val="0"/>
        <c:axId val="1044568992"/>
        <c:axId val="568054224"/>
      </c:lineChart>
      <c:catAx>
        <c:axId val="967842712"/>
        <c:scaling>
          <c:orientation val="minMax"/>
        </c:scaling>
        <c:delete val="0"/>
        <c:axPos val="b"/>
        <c:numFmt formatCode="@"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Nunito" pitchFamily="2" charset="0"/>
                <a:ea typeface="+mn-ea"/>
                <a:cs typeface="+mn-cs"/>
              </a:defRPr>
            </a:pPr>
            <a:endParaRPr lang="vi-VN"/>
          </a:p>
        </c:txPr>
        <c:crossAx val="967843792"/>
        <c:crosses val="autoZero"/>
        <c:auto val="1"/>
        <c:lblAlgn val="ctr"/>
        <c:lblOffset val="100"/>
        <c:noMultiLvlLbl val="0"/>
      </c:catAx>
      <c:valAx>
        <c:axId val="967843792"/>
        <c:scaling>
          <c:orientation val="minMax"/>
          <c:min val="-0.25"/>
        </c:scaling>
        <c:delete val="0"/>
        <c:axPos val="l"/>
        <c:title>
          <c:tx>
            <c:rich>
              <a:bodyPr rot="-5400000" spcFirstLastPara="1" vertOverflow="ellipsis" vert="horz" wrap="square" anchor="ctr" anchorCtr="1"/>
              <a:lstStyle/>
              <a:p>
                <a:pPr>
                  <a:defRPr sz="800" b="0" i="0" u="none" strike="noStrike" kern="1200" baseline="0">
                    <a:solidFill>
                      <a:schemeClr val="tx1">
                        <a:lumMod val="65000"/>
                        <a:lumOff val="35000"/>
                      </a:schemeClr>
                    </a:solidFill>
                    <a:latin typeface="Nunito" pitchFamily="2" charset="0"/>
                    <a:ea typeface="+mn-ea"/>
                    <a:cs typeface="+mn-cs"/>
                  </a:defRPr>
                </a:pPr>
                <a:r>
                  <a:rPr lang="en-US"/>
                  <a:t>Tang trưởng doanh thu</a:t>
                </a:r>
              </a:p>
            </c:rich>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Nunito" pitchFamily="2" charset="0"/>
                  <a:ea typeface="+mn-ea"/>
                  <a:cs typeface="+mn-cs"/>
                </a:defRPr>
              </a:pPr>
              <a:endParaRPr lang="vi-VN"/>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Nunito" pitchFamily="2" charset="0"/>
                <a:ea typeface="+mn-ea"/>
                <a:cs typeface="+mn-cs"/>
              </a:defRPr>
            </a:pPr>
            <a:endParaRPr lang="vi-VN"/>
          </a:p>
        </c:txPr>
        <c:crossAx val="967842712"/>
        <c:crosses val="autoZero"/>
        <c:crossBetween val="between"/>
      </c:valAx>
      <c:valAx>
        <c:axId val="568054224"/>
        <c:scaling>
          <c:orientation val="minMax"/>
          <c:min val="-0.13"/>
        </c:scaling>
        <c:delete val="0"/>
        <c:axPos val="r"/>
        <c:title>
          <c:tx>
            <c:rich>
              <a:bodyPr rot="-5400000" spcFirstLastPara="1" vertOverflow="ellipsis" vert="horz" wrap="square" anchor="ctr" anchorCtr="1"/>
              <a:lstStyle/>
              <a:p>
                <a:pPr>
                  <a:defRPr sz="800" b="0" i="0" u="none" strike="noStrike" kern="1200" baseline="0">
                    <a:solidFill>
                      <a:schemeClr val="tx1">
                        <a:lumMod val="65000"/>
                        <a:lumOff val="35000"/>
                      </a:schemeClr>
                    </a:solidFill>
                    <a:latin typeface="Nunito" pitchFamily="2" charset="0"/>
                    <a:ea typeface="+mn-ea"/>
                    <a:cs typeface="+mn-cs"/>
                  </a:defRPr>
                </a:pPr>
                <a:r>
                  <a:rPr lang="en-US"/>
                  <a:t>% Biên lợi nhuận</a:t>
                </a:r>
              </a:p>
            </c:rich>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Nunito" pitchFamily="2" charset="0"/>
                  <a:ea typeface="+mn-ea"/>
                  <a:cs typeface="+mn-cs"/>
                </a:defRPr>
              </a:pPr>
              <a:endParaRPr lang="vi-VN"/>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Nunito" pitchFamily="2" charset="0"/>
                <a:ea typeface="+mn-ea"/>
                <a:cs typeface="+mn-cs"/>
              </a:defRPr>
            </a:pPr>
            <a:endParaRPr lang="vi-VN"/>
          </a:p>
        </c:txPr>
        <c:crossAx val="1044568992"/>
        <c:crosses val="max"/>
        <c:crossBetween val="between"/>
      </c:valAx>
      <c:catAx>
        <c:axId val="1044568992"/>
        <c:scaling>
          <c:orientation val="minMax"/>
        </c:scaling>
        <c:delete val="1"/>
        <c:axPos val="b"/>
        <c:numFmt formatCode="@" sourceLinked="1"/>
        <c:majorTickMark val="out"/>
        <c:minorTickMark val="none"/>
        <c:tickLblPos val="nextTo"/>
        <c:crossAx val="568054224"/>
        <c:crosses val="autoZero"/>
        <c:auto val="1"/>
        <c:lblAlgn val="ctr"/>
        <c:lblOffset val="100"/>
        <c:noMultiLvlLbl val="0"/>
      </c:catAx>
      <c:spPr>
        <a:noFill/>
        <a:ln>
          <a:noFill/>
        </a:ln>
        <a:effectLst/>
      </c:spPr>
    </c:plotArea>
    <c:legend>
      <c:legendPos val="b"/>
      <c:layout>
        <c:manualLayout>
          <c:xMode val="edge"/>
          <c:yMode val="edge"/>
          <c:x val="7.0015338510125924E-2"/>
          <c:y val="0.89567285249571682"/>
          <c:w val="0.85304682551708877"/>
          <c:h val="0.10432714750428315"/>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Nunito" pitchFamily="2" charset="0"/>
              <a:ea typeface="+mn-ea"/>
              <a:cs typeface="+mn-cs"/>
            </a:defRPr>
          </a:pPr>
          <a:endParaRPr lang="vi-VN"/>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sz="800">
          <a:latin typeface="Nunito" pitchFamily="2" charset="0"/>
        </a:defRPr>
      </a:pPr>
      <a:endParaRPr lang="vi-VN"/>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348159402980481"/>
          <c:y val="2.7777777777777776E-2"/>
          <c:w val="0.7807543744531934"/>
          <c:h val="0.66574657334499865"/>
        </c:manualLayout>
      </c:layout>
      <c:barChart>
        <c:barDir val="col"/>
        <c:grouping val="stacked"/>
        <c:varyColors val="0"/>
        <c:ser>
          <c:idx val="0"/>
          <c:order val="0"/>
          <c:tx>
            <c:strRef>
              <c:f>'Report''s chart'!$B$129</c:f>
              <c:strCache>
                <c:ptCount val="1"/>
                <c:pt idx="0">
                  <c:v>GT Khấu hao TSCĐHH</c:v>
                </c:pt>
              </c:strCache>
            </c:strRef>
          </c:tx>
          <c:spPr>
            <a:solidFill>
              <a:schemeClr val="bg1">
                <a:lumMod val="85000"/>
              </a:schemeClr>
            </a:solidFill>
            <a:ln>
              <a:noFill/>
            </a:ln>
            <a:effectLst/>
          </c:spPr>
          <c:invertIfNegative val="0"/>
          <c:cat>
            <c:numRef>
              <c:extLst>
                <c:ext xmlns:c15="http://schemas.microsoft.com/office/drawing/2012/chart" uri="{02D57815-91ED-43cb-92C2-25804820EDAC}">
                  <c15:fullRef>
                    <c15:sqref>'Report''s chart'!$C$128:$G$128</c15:sqref>
                  </c15:fullRef>
                </c:ext>
              </c:extLst>
              <c:f>'Report''s chart'!$D$128:$G$128</c:f>
              <c:numCache>
                <c:formatCode>General</c:formatCode>
                <c:ptCount val="4"/>
                <c:pt idx="0">
                  <c:v>2021</c:v>
                </c:pt>
                <c:pt idx="1">
                  <c:v>2022</c:v>
                </c:pt>
                <c:pt idx="2">
                  <c:v>2023</c:v>
                </c:pt>
                <c:pt idx="3">
                  <c:v>2024</c:v>
                </c:pt>
              </c:numCache>
            </c:numRef>
          </c:cat>
          <c:val>
            <c:numRef>
              <c:extLst>
                <c:ext xmlns:c15="http://schemas.microsoft.com/office/drawing/2012/chart" uri="{02D57815-91ED-43cb-92C2-25804820EDAC}">
                  <c15:fullRef>
                    <c15:sqref>'Report''s chart'!$C$129:$G$129</c15:sqref>
                  </c15:fullRef>
                </c:ext>
              </c:extLst>
              <c:f>'Report''s chart'!$D$129:$G$129</c:f>
              <c:numCache>
                <c:formatCode>_(* #,##0_);_(* \(#,##0\);_(* "-"??_);_(@_)</c:formatCode>
                <c:ptCount val="4"/>
                <c:pt idx="0">
                  <c:v>8420.1329161350004</c:v>
                </c:pt>
                <c:pt idx="1">
                  <c:v>11187.963413617999</c:v>
                </c:pt>
                <c:pt idx="2">
                  <c:v>13707.967349864</c:v>
                </c:pt>
                <c:pt idx="3">
                  <c:v>15651.465285845999</c:v>
                </c:pt>
              </c:numCache>
            </c:numRef>
          </c:val>
          <c:extLst>
            <c:ext xmlns:c16="http://schemas.microsoft.com/office/drawing/2014/chart" uri="{C3380CC4-5D6E-409C-BE32-E72D297353CC}">
              <c16:uniqueId val="{00000000-338D-4BE5-91CE-313CD006F963}"/>
            </c:ext>
          </c:extLst>
        </c:ser>
        <c:ser>
          <c:idx val="1"/>
          <c:order val="1"/>
          <c:tx>
            <c:strRef>
              <c:f>'Report''s chart'!$B$130</c:f>
              <c:strCache>
                <c:ptCount val="1"/>
                <c:pt idx="0">
                  <c:v>GT TSCĐHH còn lại</c:v>
                </c:pt>
              </c:strCache>
            </c:strRef>
          </c:tx>
          <c:spPr>
            <a:solidFill>
              <a:schemeClr val="bg1">
                <a:lumMod val="65000"/>
              </a:schemeClr>
            </a:solidFill>
            <a:ln>
              <a:noFill/>
            </a:ln>
            <a:effectLst/>
          </c:spPr>
          <c:invertIfNegative val="0"/>
          <c:dPt>
            <c:idx val="3"/>
            <c:invertIfNegative val="0"/>
            <c:bubble3D val="0"/>
            <c:spPr>
              <a:gradFill>
                <a:gsLst>
                  <a:gs pos="0">
                    <a:schemeClr val="accent3"/>
                  </a:gs>
                  <a:gs pos="100000">
                    <a:schemeClr val="accent1"/>
                  </a:gs>
                </a:gsLst>
                <a:lin ang="5400000" scaled="1"/>
              </a:gradFill>
              <a:ln>
                <a:noFill/>
              </a:ln>
              <a:effectLst/>
            </c:spPr>
            <c:extLst>
              <c:ext xmlns:c16="http://schemas.microsoft.com/office/drawing/2014/chart" uri="{C3380CC4-5D6E-409C-BE32-E72D297353CC}">
                <c16:uniqueId val="{00000004-338D-4BE5-91CE-313CD006F963}"/>
              </c:ext>
            </c:extLst>
          </c:dPt>
          <c:cat>
            <c:numRef>
              <c:extLst>
                <c:ext xmlns:c15="http://schemas.microsoft.com/office/drawing/2012/chart" uri="{02D57815-91ED-43cb-92C2-25804820EDAC}">
                  <c15:fullRef>
                    <c15:sqref>'Report''s chart'!$C$128:$G$128</c15:sqref>
                  </c15:fullRef>
                </c:ext>
              </c:extLst>
              <c:f>'Report''s chart'!$D$128:$G$128</c:f>
              <c:numCache>
                <c:formatCode>General</c:formatCode>
                <c:ptCount val="4"/>
                <c:pt idx="0">
                  <c:v>2021</c:v>
                </c:pt>
                <c:pt idx="1">
                  <c:v>2022</c:v>
                </c:pt>
                <c:pt idx="2">
                  <c:v>2023</c:v>
                </c:pt>
                <c:pt idx="3">
                  <c:v>2024</c:v>
                </c:pt>
              </c:numCache>
            </c:numRef>
          </c:cat>
          <c:val>
            <c:numRef>
              <c:extLst>
                <c:ext xmlns:c15="http://schemas.microsoft.com/office/drawing/2012/chart" uri="{02D57815-91ED-43cb-92C2-25804820EDAC}">
                  <c15:fullRef>
                    <c15:sqref>'Report''s chart'!$C$130:$G$130</c15:sqref>
                  </c15:fullRef>
                </c:ext>
              </c:extLst>
              <c:f>'Report''s chart'!$D$130:$G$130</c:f>
              <c:numCache>
                <c:formatCode>_(* #,##0_);_(* \(#,##0\);_(* "-"??_);_(@_)</c:formatCode>
                <c:ptCount val="4"/>
                <c:pt idx="0">
                  <c:v>9647.1688732319999</c:v>
                </c:pt>
                <c:pt idx="1">
                  <c:v>9727.5029114400004</c:v>
                </c:pt>
                <c:pt idx="2">
                  <c:v>6500.1356089139999</c:v>
                </c:pt>
                <c:pt idx="3">
                  <c:v>3586.6286640449998</c:v>
                </c:pt>
              </c:numCache>
            </c:numRef>
          </c:val>
          <c:extLst>
            <c:ext xmlns:c16="http://schemas.microsoft.com/office/drawing/2014/chart" uri="{C3380CC4-5D6E-409C-BE32-E72D297353CC}">
              <c16:uniqueId val="{00000001-338D-4BE5-91CE-313CD006F963}"/>
            </c:ext>
          </c:extLst>
        </c:ser>
        <c:dLbls>
          <c:showLegendKey val="0"/>
          <c:showVal val="0"/>
          <c:showCatName val="0"/>
          <c:showSerName val="0"/>
          <c:showPercent val="0"/>
          <c:showBubbleSize val="0"/>
        </c:dLbls>
        <c:gapWidth val="219"/>
        <c:overlap val="100"/>
        <c:axId val="832957584"/>
        <c:axId val="832957944"/>
      </c:barChart>
      <c:lineChart>
        <c:grouping val="standard"/>
        <c:varyColors val="0"/>
        <c:ser>
          <c:idx val="2"/>
          <c:order val="2"/>
          <c:tx>
            <c:strRef>
              <c:f>'Report''s chart'!$B$131</c:f>
              <c:strCache>
                <c:ptCount val="1"/>
                <c:pt idx="0">
                  <c:v>% TSCĐHH hết KH/ nguyên giá</c:v>
                </c:pt>
              </c:strCache>
            </c:strRef>
          </c:tx>
          <c:spPr>
            <a:ln w="28575" cap="rnd">
              <a:noFill/>
              <a:round/>
            </a:ln>
            <a:effectLst/>
          </c:spPr>
          <c:marker>
            <c:symbol val="triangle"/>
            <c:size val="6"/>
            <c:spPr>
              <a:solidFill>
                <a:schemeClr val="accent1"/>
              </a:solidFill>
              <a:ln w="9525">
                <a:noFill/>
              </a:ln>
              <a:effectLst/>
            </c:spPr>
          </c:marker>
          <c:dLbls>
            <c:spPr>
              <a:noFill/>
              <a:ln>
                <a:noFill/>
              </a:ln>
              <a:effectLst/>
            </c:spPr>
            <c:txPr>
              <a:bodyPr rot="0" spcFirstLastPara="1" vertOverflow="ellipsis" vert="horz" wrap="square" anchor="ctr" anchorCtr="1"/>
              <a:lstStyle/>
              <a:p>
                <a:pPr>
                  <a:defRPr sz="800" b="0" i="0" u="none" strike="noStrike" kern="1200" baseline="0">
                    <a:solidFill>
                      <a:schemeClr val="tx1">
                        <a:lumMod val="75000"/>
                        <a:lumOff val="25000"/>
                      </a:schemeClr>
                    </a:solidFill>
                    <a:latin typeface="Nunito" pitchFamily="2" charset="0"/>
                    <a:ea typeface="+mn-ea"/>
                    <a:cs typeface="+mn-cs"/>
                  </a:defRPr>
                </a:pPr>
                <a:endParaRPr lang="vi-VN"/>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c:ext xmlns:c15="http://schemas.microsoft.com/office/drawing/2012/chart" uri="{02D57815-91ED-43cb-92C2-25804820EDAC}">
                  <c15:fullRef>
                    <c15:sqref>'Report''s chart'!$C$128:$G$128</c15:sqref>
                  </c15:fullRef>
                </c:ext>
              </c:extLst>
              <c:f>'Report''s chart'!$D$128:$G$128</c:f>
              <c:numCache>
                <c:formatCode>General</c:formatCode>
                <c:ptCount val="4"/>
                <c:pt idx="0">
                  <c:v>2021</c:v>
                </c:pt>
                <c:pt idx="1">
                  <c:v>2022</c:v>
                </c:pt>
                <c:pt idx="2">
                  <c:v>2023</c:v>
                </c:pt>
                <c:pt idx="3">
                  <c:v>2024</c:v>
                </c:pt>
              </c:numCache>
            </c:numRef>
          </c:cat>
          <c:val>
            <c:numRef>
              <c:extLst>
                <c:ext xmlns:c15="http://schemas.microsoft.com/office/drawing/2012/chart" uri="{02D57815-91ED-43cb-92C2-25804820EDAC}">
                  <c15:fullRef>
                    <c15:sqref>'Report''s chart'!$C$131:$G$131</c15:sqref>
                  </c15:fullRef>
                </c:ext>
              </c:extLst>
              <c:f>'Report''s chart'!$D$131:$G$131</c:f>
              <c:numCache>
                <c:formatCode>0%</c:formatCode>
                <c:ptCount val="4"/>
                <c:pt idx="0">
                  <c:v>0.15354987369047846</c:v>
                </c:pt>
                <c:pt idx="1">
                  <c:v>0.22252055907623911</c:v>
                </c:pt>
                <c:pt idx="2">
                  <c:v>0.28845365826312175</c:v>
                </c:pt>
                <c:pt idx="3">
                  <c:v>0.44672009327703555</c:v>
                </c:pt>
              </c:numCache>
            </c:numRef>
          </c:val>
          <c:smooth val="0"/>
          <c:extLst>
            <c:ext xmlns:c16="http://schemas.microsoft.com/office/drawing/2014/chart" uri="{C3380CC4-5D6E-409C-BE32-E72D297353CC}">
              <c16:uniqueId val="{00000002-338D-4BE5-91CE-313CD006F963}"/>
            </c:ext>
          </c:extLst>
        </c:ser>
        <c:ser>
          <c:idx val="3"/>
          <c:order val="3"/>
          <c:tx>
            <c:strRef>
              <c:f>'Report''s chart'!$B$132</c:f>
              <c:strCache>
                <c:ptCount val="1"/>
                <c:pt idx="0">
                  <c:v>%LNHĐ/ GT TSCĐHH còn lại (ROFA)</c:v>
                </c:pt>
              </c:strCache>
            </c:strRef>
          </c:tx>
          <c:spPr>
            <a:ln w="28575" cap="rnd">
              <a:solidFill>
                <a:schemeClr val="accent1"/>
              </a:solidFill>
              <a:round/>
            </a:ln>
            <a:effectLst/>
          </c:spPr>
          <c:marker>
            <c:symbol val="none"/>
          </c:marker>
          <c:cat>
            <c:numRef>
              <c:extLst>
                <c:ext xmlns:c15="http://schemas.microsoft.com/office/drawing/2012/chart" uri="{02D57815-91ED-43cb-92C2-25804820EDAC}">
                  <c15:fullRef>
                    <c15:sqref>'Report''s chart'!$C$128:$G$128</c15:sqref>
                  </c15:fullRef>
                </c:ext>
              </c:extLst>
              <c:f>'Report''s chart'!$D$128:$G$128</c:f>
              <c:numCache>
                <c:formatCode>General</c:formatCode>
                <c:ptCount val="4"/>
                <c:pt idx="0">
                  <c:v>2021</c:v>
                </c:pt>
                <c:pt idx="1">
                  <c:v>2022</c:v>
                </c:pt>
                <c:pt idx="2">
                  <c:v>2023</c:v>
                </c:pt>
                <c:pt idx="3">
                  <c:v>2024</c:v>
                </c:pt>
              </c:numCache>
            </c:numRef>
          </c:cat>
          <c:val>
            <c:numRef>
              <c:extLst>
                <c:ext xmlns:c15="http://schemas.microsoft.com/office/drawing/2012/chart" uri="{02D57815-91ED-43cb-92C2-25804820EDAC}">
                  <c15:fullRef>
                    <c15:sqref>'Report''s chart'!$C$132:$G$132</c15:sqref>
                  </c15:fullRef>
                </c:ext>
              </c:extLst>
              <c:f>'Report''s chart'!$D$132:$G$132</c:f>
              <c:numCache>
                <c:formatCode>0%</c:formatCode>
                <c:ptCount val="4"/>
                <c:pt idx="0">
                  <c:v>0.61101538657415444</c:v>
                </c:pt>
                <c:pt idx="1">
                  <c:v>0.6830300550184506</c:v>
                </c:pt>
                <c:pt idx="2">
                  <c:v>6.261935304208259E-2</c:v>
                </c:pt>
                <c:pt idx="3">
                  <c:v>1.1385636112748601</c:v>
                </c:pt>
              </c:numCache>
            </c:numRef>
          </c:val>
          <c:smooth val="0"/>
          <c:extLst>
            <c:ext xmlns:c16="http://schemas.microsoft.com/office/drawing/2014/chart" uri="{C3380CC4-5D6E-409C-BE32-E72D297353CC}">
              <c16:uniqueId val="{00000003-338D-4BE5-91CE-313CD006F963}"/>
            </c:ext>
          </c:extLst>
        </c:ser>
        <c:dLbls>
          <c:showLegendKey val="0"/>
          <c:showVal val="0"/>
          <c:showCatName val="0"/>
          <c:showSerName val="0"/>
          <c:showPercent val="0"/>
          <c:showBubbleSize val="0"/>
        </c:dLbls>
        <c:marker val="1"/>
        <c:smooth val="0"/>
        <c:axId val="861390536"/>
        <c:axId val="956490160"/>
      </c:lineChart>
      <c:catAx>
        <c:axId val="8329575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Nunito" pitchFamily="2" charset="0"/>
                <a:ea typeface="+mn-ea"/>
                <a:cs typeface="+mn-cs"/>
              </a:defRPr>
            </a:pPr>
            <a:endParaRPr lang="vi-VN"/>
          </a:p>
        </c:txPr>
        <c:crossAx val="832957944"/>
        <c:crosses val="autoZero"/>
        <c:auto val="1"/>
        <c:lblAlgn val="ctr"/>
        <c:lblOffset val="100"/>
        <c:noMultiLvlLbl val="0"/>
      </c:catAx>
      <c:valAx>
        <c:axId val="832957944"/>
        <c:scaling>
          <c:orientation val="minMax"/>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Nunito" pitchFamily="2" charset="0"/>
                <a:ea typeface="+mn-ea"/>
                <a:cs typeface="+mn-cs"/>
              </a:defRPr>
            </a:pPr>
            <a:endParaRPr lang="vi-VN"/>
          </a:p>
        </c:txPr>
        <c:crossAx val="832957584"/>
        <c:crosses val="autoZero"/>
        <c:crossBetween val="between"/>
      </c:valAx>
      <c:valAx>
        <c:axId val="956490160"/>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Nunito" pitchFamily="2" charset="0"/>
                <a:ea typeface="+mn-ea"/>
                <a:cs typeface="+mn-cs"/>
              </a:defRPr>
            </a:pPr>
            <a:endParaRPr lang="vi-VN"/>
          </a:p>
        </c:txPr>
        <c:crossAx val="861390536"/>
        <c:crosses val="max"/>
        <c:crossBetween val="between"/>
      </c:valAx>
      <c:catAx>
        <c:axId val="861390536"/>
        <c:scaling>
          <c:orientation val="minMax"/>
        </c:scaling>
        <c:delete val="1"/>
        <c:axPos val="b"/>
        <c:numFmt formatCode="General" sourceLinked="1"/>
        <c:majorTickMark val="out"/>
        <c:minorTickMark val="none"/>
        <c:tickLblPos val="nextTo"/>
        <c:crossAx val="956490160"/>
        <c:crosses val="autoZero"/>
        <c:auto val="1"/>
        <c:lblAlgn val="ctr"/>
        <c:lblOffset val="100"/>
        <c:noMultiLvlLbl val="0"/>
      </c:catAx>
      <c:spPr>
        <a:noFill/>
        <a:ln>
          <a:noFill/>
        </a:ln>
        <a:effectLst/>
      </c:spPr>
    </c:plotArea>
    <c:legend>
      <c:legendPos val="b"/>
      <c:layout>
        <c:manualLayout>
          <c:xMode val="edge"/>
          <c:yMode val="edge"/>
          <c:x val="0"/>
          <c:y val="0.79166447944007001"/>
          <c:w val="0.99493066491688542"/>
          <c:h val="0.20833552055993002"/>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Nunito" pitchFamily="2" charset="0"/>
              <a:ea typeface="+mn-ea"/>
              <a:cs typeface="+mn-cs"/>
            </a:defRPr>
          </a:pPr>
          <a:endParaRPr lang="vi-VN"/>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sz="800">
          <a:latin typeface="Nunito" pitchFamily="2" charset="0"/>
        </a:defRPr>
      </a:pPr>
      <a:endParaRPr lang="vi-VN"/>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2108923884514429E-2"/>
          <c:y val="5.0925925925925923E-2"/>
          <c:w val="0.87733552055993003"/>
          <c:h val="0.57315398075240598"/>
        </c:manualLayout>
      </c:layout>
      <c:barChart>
        <c:barDir val="col"/>
        <c:grouping val="clustered"/>
        <c:varyColors val="0"/>
        <c:ser>
          <c:idx val="0"/>
          <c:order val="0"/>
          <c:tx>
            <c:strRef>
              <c:f>'Report''s chart'!$A$3:$B$3</c:f>
              <c:strCache>
                <c:ptCount val="2"/>
                <c:pt idx="0">
                  <c:v>TGDĐ+ĐMX</c:v>
                </c:pt>
                <c:pt idx="1">
                  <c:v>- DT/CH (%YoY)</c:v>
                </c:pt>
              </c:strCache>
            </c:strRef>
          </c:tx>
          <c:spPr>
            <a:solidFill>
              <a:schemeClr val="bg1">
                <a:lumMod val="85000"/>
              </a:schemeClr>
            </a:solidFill>
            <a:ln>
              <a:noFill/>
            </a:ln>
            <a:effectLst/>
          </c:spPr>
          <c:invertIfNegative val="0"/>
          <c:cat>
            <c:numRef>
              <c:f>'Report''s chart'!$C$2:$F$2</c:f>
              <c:numCache>
                <c:formatCode>@</c:formatCode>
                <c:ptCount val="4"/>
                <c:pt idx="0">
                  <c:v>2021</c:v>
                </c:pt>
                <c:pt idx="1">
                  <c:v>2022</c:v>
                </c:pt>
                <c:pt idx="2">
                  <c:v>2023</c:v>
                </c:pt>
                <c:pt idx="3">
                  <c:v>2024</c:v>
                </c:pt>
              </c:numCache>
            </c:numRef>
          </c:cat>
          <c:val>
            <c:numRef>
              <c:f>'Report''s chart'!$C$3:$F$3</c:f>
              <c:numCache>
                <c:formatCode>0%</c:formatCode>
                <c:ptCount val="4"/>
                <c:pt idx="0">
                  <c:v>-0.11257638193418351</c:v>
                </c:pt>
                <c:pt idx="1">
                  <c:v>-9.4551124729756797E-2</c:v>
                </c:pt>
                <c:pt idx="2">
                  <c:v>-0.23095650300018167</c:v>
                </c:pt>
                <c:pt idx="3">
                  <c:v>0.1608601351726362</c:v>
                </c:pt>
              </c:numCache>
            </c:numRef>
          </c:val>
          <c:extLst>
            <c:ext xmlns:c16="http://schemas.microsoft.com/office/drawing/2014/chart" uri="{C3380CC4-5D6E-409C-BE32-E72D297353CC}">
              <c16:uniqueId val="{00000000-E988-46DC-955A-059C6B4C9F1A}"/>
            </c:ext>
          </c:extLst>
        </c:ser>
        <c:ser>
          <c:idx val="2"/>
          <c:order val="2"/>
          <c:tx>
            <c:strRef>
              <c:f>'Report''s chart'!$A$5:$B$5</c:f>
              <c:strCache>
                <c:ptCount val="2"/>
                <c:pt idx="0">
                  <c:v>BHX</c:v>
                </c:pt>
                <c:pt idx="1">
                  <c:v>- DT/CH (%YoY)</c:v>
                </c:pt>
              </c:strCache>
            </c:strRef>
          </c:tx>
          <c:spPr>
            <a:solidFill>
              <a:schemeClr val="bg1">
                <a:lumMod val="65000"/>
              </a:schemeClr>
            </a:solidFill>
            <a:ln>
              <a:noFill/>
            </a:ln>
            <a:effectLst/>
          </c:spPr>
          <c:invertIfNegative val="0"/>
          <c:cat>
            <c:numRef>
              <c:f>'Report''s chart'!$C$2:$F$2</c:f>
              <c:numCache>
                <c:formatCode>@</c:formatCode>
                <c:ptCount val="4"/>
                <c:pt idx="0">
                  <c:v>2021</c:v>
                </c:pt>
                <c:pt idx="1">
                  <c:v>2022</c:v>
                </c:pt>
                <c:pt idx="2">
                  <c:v>2023</c:v>
                </c:pt>
                <c:pt idx="3">
                  <c:v>2024</c:v>
                </c:pt>
              </c:numCache>
            </c:numRef>
          </c:cat>
          <c:val>
            <c:numRef>
              <c:f>'Report''s chart'!$C$5:$F$5</c:f>
              <c:numCache>
                <c:formatCode>0.00%</c:formatCode>
                <c:ptCount val="4"/>
                <c:pt idx="0">
                  <c:v>-5.6425760177488682E-2</c:v>
                </c:pt>
                <c:pt idx="1">
                  <c:v>-4.0479015057748757E-2</c:v>
                </c:pt>
                <c:pt idx="2">
                  <c:v>0.30502823509495203</c:v>
                </c:pt>
                <c:pt idx="3">
                  <c:v>0.28514535459804269</c:v>
                </c:pt>
              </c:numCache>
            </c:numRef>
          </c:val>
          <c:extLst>
            <c:ext xmlns:c16="http://schemas.microsoft.com/office/drawing/2014/chart" uri="{C3380CC4-5D6E-409C-BE32-E72D297353CC}">
              <c16:uniqueId val="{00000002-E988-46DC-955A-059C6B4C9F1A}"/>
            </c:ext>
          </c:extLst>
        </c:ser>
        <c:dLbls>
          <c:showLegendKey val="0"/>
          <c:showVal val="0"/>
          <c:showCatName val="0"/>
          <c:showSerName val="0"/>
          <c:showPercent val="0"/>
          <c:showBubbleSize val="0"/>
        </c:dLbls>
        <c:gapWidth val="219"/>
        <c:axId val="1276952640"/>
        <c:axId val="1276955160"/>
      </c:barChart>
      <c:lineChart>
        <c:grouping val="standard"/>
        <c:varyColors val="0"/>
        <c:ser>
          <c:idx val="1"/>
          <c:order val="1"/>
          <c:tx>
            <c:strRef>
              <c:f>'Report''s chart'!$A$4:$B$4</c:f>
              <c:strCache>
                <c:ptCount val="2"/>
                <c:pt idx="0">
                  <c:v>TGDĐ+ĐMX</c:v>
                </c:pt>
                <c:pt idx="1">
                  <c:v>- Biên LNHĐ</c:v>
                </c:pt>
              </c:strCache>
            </c:strRef>
          </c:tx>
          <c:spPr>
            <a:ln w="28575" cap="rnd">
              <a:solidFill>
                <a:schemeClr val="accent1"/>
              </a:solidFill>
              <a:round/>
            </a:ln>
            <a:effectLst/>
          </c:spPr>
          <c:marker>
            <c:symbol val="triangle"/>
            <c:size val="5"/>
            <c:spPr>
              <a:solidFill>
                <a:schemeClr val="accent2"/>
              </a:solidFill>
              <a:ln w="9525">
                <a:solidFill>
                  <a:schemeClr val="accent1"/>
                </a:solidFill>
              </a:ln>
              <a:effectLst/>
            </c:spPr>
          </c:marker>
          <c:cat>
            <c:numRef>
              <c:f>'Report''s chart'!$C$2:$F$2</c:f>
              <c:numCache>
                <c:formatCode>@</c:formatCode>
                <c:ptCount val="4"/>
                <c:pt idx="0">
                  <c:v>2021</c:v>
                </c:pt>
                <c:pt idx="1">
                  <c:v>2022</c:v>
                </c:pt>
                <c:pt idx="2">
                  <c:v>2023</c:v>
                </c:pt>
                <c:pt idx="3">
                  <c:v>2024</c:v>
                </c:pt>
              </c:numCache>
            </c:numRef>
          </c:cat>
          <c:val>
            <c:numRef>
              <c:f>'Report''s chart'!$C$4:$F$4</c:f>
              <c:numCache>
                <c:formatCode>0.00%</c:formatCode>
                <c:ptCount val="4"/>
                <c:pt idx="0">
                  <c:v>7.522418984338318E-2</c:v>
                </c:pt>
                <c:pt idx="1">
                  <c:v>9.860997641226546E-2</c:v>
                </c:pt>
                <c:pt idx="2">
                  <c:v>2.4997653028225125E-2</c:v>
                </c:pt>
                <c:pt idx="3">
                  <c:v>4.9214513186483143E-2</c:v>
                </c:pt>
              </c:numCache>
            </c:numRef>
          </c:val>
          <c:smooth val="0"/>
          <c:extLst>
            <c:ext xmlns:c16="http://schemas.microsoft.com/office/drawing/2014/chart" uri="{C3380CC4-5D6E-409C-BE32-E72D297353CC}">
              <c16:uniqueId val="{00000001-E988-46DC-955A-059C6B4C9F1A}"/>
            </c:ext>
          </c:extLst>
        </c:ser>
        <c:ser>
          <c:idx val="3"/>
          <c:order val="3"/>
          <c:tx>
            <c:strRef>
              <c:f>'Report''s chart'!$A$6:$B$6</c:f>
              <c:strCache>
                <c:ptCount val="2"/>
                <c:pt idx="0">
                  <c:v>BHX</c:v>
                </c:pt>
                <c:pt idx="1">
                  <c:v>- Biên LNHĐ</c:v>
                </c:pt>
              </c:strCache>
            </c:strRef>
          </c:tx>
          <c:spPr>
            <a:ln w="28575" cap="rnd">
              <a:solidFill>
                <a:schemeClr val="accent4"/>
              </a:solidFill>
              <a:round/>
            </a:ln>
            <a:effectLst/>
          </c:spPr>
          <c:marker>
            <c:symbol val="triangle"/>
            <c:size val="5"/>
            <c:spPr>
              <a:solidFill>
                <a:schemeClr val="accent4"/>
              </a:solidFill>
              <a:ln w="9525">
                <a:solidFill>
                  <a:schemeClr val="accent4"/>
                </a:solidFill>
              </a:ln>
              <a:effectLst/>
            </c:spPr>
          </c:marker>
          <c:cat>
            <c:numRef>
              <c:f>'Report''s chart'!$C$2:$F$2</c:f>
              <c:numCache>
                <c:formatCode>@</c:formatCode>
                <c:ptCount val="4"/>
                <c:pt idx="0">
                  <c:v>2021</c:v>
                </c:pt>
                <c:pt idx="1">
                  <c:v>2022</c:v>
                </c:pt>
                <c:pt idx="2">
                  <c:v>2023</c:v>
                </c:pt>
                <c:pt idx="3">
                  <c:v>2024</c:v>
                </c:pt>
              </c:numCache>
            </c:numRef>
          </c:cat>
          <c:val>
            <c:numRef>
              <c:f>'Report''s chart'!$C$6:$F$6</c:f>
              <c:numCache>
                <c:formatCode>0.00%</c:formatCode>
                <c:ptCount val="4"/>
                <c:pt idx="0">
                  <c:v>-3.595480040118787E-2</c:v>
                </c:pt>
                <c:pt idx="1">
                  <c:v>-0.10857925440491747</c:v>
                </c:pt>
                <c:pt idx="2">
                  <c:v>-3.1233097601197655E-2</c:v>
                </c:pt>
                <c:pt idx="3">
                  <c:v>2.5007340188092425E-3</c:v>
                </c:pt>
              </c:numCache>
            </c:numRef>
          </c:val>
          <c:smooth val="0"/>
          <c:extLst>
            <c:ext xmlns:c16="http://schemas.microsoft.com/office/drawing/2014/chart" uri="{C3380CC4-5D6E-409C-BE32-E72D297353CC}">
              <c16:uniqueId val="{00000003-E988-46DC-955A-059C6B4C9F1A}"/>
            </c:ext>
          </c:extLst>
        </c:ser>
        <c:dLbls>
          <c:showLegendKey val="0"/>
          <c:showVal val="0"/>
          <c:showCatName val="0"/>
          <c:showSerName val="0"/>
          <c:showPercent val="0"/>
          <c:showBubbleSize val="0"/>
        </c:dLbls>
        <c:marker val="1"/>
        <c:smooth val="0"/>
        <c:axId val="1276952640"/>
        <c:axId val="1276955160"/>
      </c:lineChart>
      <c:catAx>
        <c:axId val="1276952640"/>
        <c:scaling>
          <c:orientation val="minMax"/>
        </c:scaling>
        <c:delete val="0"/>
        <c:axPos val="b"/>
        <c:numFmt formatCode="@"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vi-VN"/>
          </a:p>
        </c:txPr>
        <c:crossAx val="1276955160"/>
        <c:crosses val="autoZero"/>
        <c:auto val="1"/>
        <c:lblAlgn val="ctr"/>
        <c:lblOffset val="100"/>
        <c:noMultiLvlLbl val="0"/>
      </c:catAx>
      <c:valAx>
        <c:axId val="1276955160"/>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vi-VN"/>
          </a:p>
        </c:txPr>
        <c:crossAx val="1276952640"/>
        <c:crosses val="autoZero"/>
        <c:crossBetween val="between"/>
      </c:valAx>
      <c:spPr>
        <a:noFill/>
        <a:ln>
          <a:noFill/>
        </a:ln>
        <a:effectLst/>
      </c:spPr>
    </c:plotArea>
    <c:legend>
      <c:legendPos val="b"/>
      <c:layout>
        <c:manualLayout>
          <c:xMode val="edge"/>
          <c:yMode val="edge"/>
          <c:x val="0"/>
          <c:y val="0.78703484981044036"/>
          <c:w val="1"/>
          <c:h val="0.2037058909303003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vi-VN"/>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vi-VN"/>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6969267396638822E-2"/>
          <c:y val="0.23406266694539285"/>
          <c:w val="0.83243210716328853"/>
          <c:h val="0.53568044038742946"/>
        </c:manualLayout>
      </c:layout>
      <c:lineChart>
        <c:grouping val="standard"/>
        <c:varyColors val="0"/>
        <c:ser>
          <c:idx val="0"/>
          <c:order val="0"/>
          <c:tx>
            <c:strRef>
              <c:f>Diamond!$M$2</c:f>
              <c:strCache>
                <c:ptCount val="1"/>
                <c:pt idx="0">
                  <c:v> Vốn hóa thị trường (tỷ VND) </c:v>
                </c:pt>
              </c:strCache>
            </c:strRef>
          </c:tx>
          <c:spPr>
            <a:ln w="22225" cap="rnd">
              <a:solidFill>
                <a:schemeClr val="bg1">
                  <a:lumMod val="50000"/>
                </a:schemeClr>
              </a:solidFill>
              <a:round/>
            </a:ln>
            <a:effectLst/>
          </c:spPr>
          <c:marker>
            <c:symbol val="none"/>
          </c:marker>
          <c:cat>
            <c:numRef>
              <c:f>Diamond!$L$19:$L$366</c:f>
              <c:numCache>
                <c:formatCode>m/d/yy</c:formatCode>
                <c:ptCount val="348"/>
                <c:pt idx="0">
                  <c:v>44958</c:v>
                </c:pt>
                <c:pt idx="1">
                  <c:v>44959</c:v>
                </c:pt>
                <c:pt idx="2">
                  <c:v>44960</c:v>
                </c:pt>
                <c:pt idx="3">
                  <c:v>44963</c:v>
                </c:pt>
                <c:pt idx="4">
                  <c:v>44964</c:v>
                </c:pt>
                <c:pt idx="5">
                  <c:v>44965</c:v>
                </c:pt>
                <c:pt idx="6">
                  <c:v>44966</c:v>
                </c:pt>
                <c:pt idx="7">
                  <c:v>44967</c:v>
                </c:pt>
                <c:pt idx="8">
                  <c:v>44970</c:v>
                </c:pt>
                <c:pt idx="9">
                  <c:v>44971</c:v>
                </c:pt>
                <c:pt idx="10">
                  <c:v>44972</c:v>
                </c:pt>
                <c:pt idx="11">
                  <c:v>44973</c:v>
                </c:pt>
                <c:pt idx="12">
                  <c:v>44974</c:v>
                </c:pt>
                <c:pt idx="13">
                  <c:v>44977</c:v>
                </c:pt>
                <c:pt idx="14">
                  <c:v>44978</c:v>
                </c:pt>
                <c:pt idx="15">
                  <c:v>44979</c:v>
                </c:pt>
                <c:pt idx="16">
                  <c:v>44980</c:v>
                </c:pt>
                <c:pt idx="17">
                  <c:v>44981</c:v>
                </c:pt>
                <c:pt idx="18">
                  <c:v>44984</c:v>
                </c:pt>
                <c:pt idx="19">
                  <c:v>44985</c:v>
                </c:pt>
                <c:pt idx="20">
                  <c:v>44986</c:v>
                </c:pt>
                <c:pt idx="21">
                  <c:v>44987</c:v>
                </c:pt>
                <c:pt idx="22">
                  <c:v>44988</c:v>
                </c:pt>
                <c:pt idx="23">
                  <c:v>44991</c:v>
                </c:pt>
                <c:pt idx="24">
                  <c:v>44992</c:v>
                </c:pt>
                <c:pt idx="25">
                  <c:v>44993</c:v>
                </c:pt>
                <c:pt idx="26">
                  <c:v>44994</c:v>
                </c:pt>
                <c:pt idx="27">
                  <c:v>44995</c:v>
                </c:pt>
                <c:pt idx="28">
                  <c:v>44998</c:v>
                </c:pt>
                <c:pt idx="29">
                  <c:v>44999</c:v>
                </c:pt>
                <c:pt idx="30">
                  <c:v>45000</c:v>
                </c:pt>
                <c:pt idx="31">
                  <c:v>45001</c:v>
                </c:pt>
                <c:pt idx="32">
                  <c:v>45002</c:v>
                </c:pt>
                <c:pt idx="33">
                  <c:v>45005</c:v>
                </c:pt>
                <c:pt idx="34">
                  <c:v>45006</c:v>
                </c:pt>
                <c:pt idx="35">
                  <c:v>45007</c:v>
                </c:pt>
                <c:pt idx="36">
                  <c:v>45008</c:v>
                </c:pt>
                <c:pt idx="37">
                  <c:v>45009</c:v>
                </c:pt>
                <c:pt idx="38">
                  <c:v>45012</c:v>
                </c:pt>
                <c:pt idx="39">
                  <c:v>45013</c:v>
                </c:pt>
                <c:pt idx="40">
                  <c:v>45014</c:v>
                </c:pt>
                <c:pt idx="41">
                  <c:v>45015</c:v>
                </c:pt>
                <c:pt idx="42">
                  <c:v>45016</c:v>
                </c:pt>
                <c:pt idx="43">
                  <c:v>45019</c:v>
                </c:pt>
                <c:pt idx="44">
                  <c:v>45020</c:v>
                </c:pt>
                <c:pt idx="45">
                  <c:v>45021</c:v>
                </c:pt>
                <c:pt idx="46">
                  <c:v>45022</c:v>
                </c:pt>
                <c:pt idx="47">
                  <c:v>45023</c:v>
                </c:pt>
                <c:pt idx="48">
                  <c:v>45026</c:v>
                </c:pt>
                <c:pt idx="49">
                  <c:v>45027</c:v>
                </c:pt>
                <c:pt idx="50">
                  <c:v>45028</c:v>
                </c:pt>
                <c:pt idx="51">
                  <c:v>45029</c:v>
                </c:pt>
                <c:pt idx="52">
                  <c:v>45030</c:v>
                </c:pt>
                <c:pt idx="53">
                  <c:v>45033</c:v>
                </c:pt>
                <c:pt idx="54">
                  <c:v>45034</c:v>
                </c:pt>
                <c:pt idx="55">
                  <c:v>45035</c:v>
                </c:pt>
                <c:pt idx="56">
                  <c:v>45036</c:v>
                </c:pt>
                <c:pt idx="57">
                  <c:v>45037</c:v>
                </c:pt>
                <c:pt idx="58">
                  <c:v>45040</c:v>
                </c:pt>
                <c:pt idx="59">
                  <c:v>45041</c:v>
                </c:pt>
                <c:pt idx="60">
                  <c:v>45042</c:v>
                </c:pt>
                <c:pt idx="61">
                  <c:v>45043</c:v>
                </c:pt>
                <c:pt idx="62">
                  <c:v>45044</c:v>
                </c:pt>
                <c:pt idx="63">
                  <c:v>45050</c:v>
                </c:pt>
                <c:pt idx="64">
                  <c:v>45051</c:v>
                </c:pt>
                <c:pt idx="65">
                  <c:v>45054</c:v>
                </c:pt>
                <c:pt idx="66">
                  <c:v>45055</c:v>
                </c:pt>
                <c:pt idx="67">
                  <c:v>45056</c:v>
                </c:pt>
                <c:pt idx="68">
                  <c:v>45057</c:v>
                </c:pt>
                <c:pt idx="69">
                  <c:v>45058</c:v>
                </c:pt>
                <c:pt idx="70">
                  <c:v>45061</c:v>
                </c:pt>
                <c:pt idx="71">
                  <c:v>45062</c:v>
                </c:pt>
                <c:pt idx="72">
                  <c:v>45063</c:v>
                </c:pt>
                <c:pt idx="73">
                  <c:v>45064</c:v>
                </c:pt>
                <c:pt idx="74">
                  <c:v>45065</c:v>
                </c:pt>
                <c:pt idx="75">
                  <c:v>45068</c:v>
                </c:pt>
                <c:pt idx="76">
                  <c:v>45069</c:v>
                </c:pt>
                <c:pt idx="77">
                  <c:v>45070</c:v>
                </c:pt>
                <c:pt idx="78">
                  <c:v>45071</c:v>
                </c:pt>
                <c:pt idx="79">
                  <c:v>45072</c:v>
                </c:pt>
                <c:pt idx="80">
                  <c:v>45075</c:v>
                </c:pt>
                <c:pt idx="81">
                  <c:v>45076</c:v>
                </c:pt>
                <c:pt idx="82">
                  <c:v>45077</c:v>
                </c:pt>
                <c:pt idx="83">
                  <c:v>45078</c:v>
                </c:pt>
                <c:pt idx="84">
                  <c:v>45079</c:v>
                </c:pt>
                <c:pt idx="85">
                  <c:v>45082</c:v>
                </c:pt>
                <c:pt idx="86">
                  <c:v>45083</c:v>
                </c:pt>
                <c:pt idx="87">
                  <c:v>45084</c:v>
                </c:pt>
                <c:pt idx="88">
                  <c:v>45085</c:v>
                </c:pt>
                <c:pt idx="89">
                  <c:v>45086</c:v>
                </c:pt>
                <c:pt idx="90">
                  <c:v>45089</c:v>
                </c:pt>
                <c:pt idx="91">
                  <c:v>45090</c:v>
                </c:pt>
                <c:pt idx="92">
                  <c:v>45091</c:v>
                </c:pt>
                <c:pt idx="93">
                  <c:v>45092</c:v>
                </c:pt>
                <c:pt idx="94">
                  <c:v>45093</c:v>
                </c:pt>
                <c:pt idx="95">
                  <c:v>45096</c:v>
                </c:pt>
                <c:pt idx="96">
                  <c:v>45097</c:v>
                </c:pt>
                <c:pt idx="97">
                  <c:v>45098</c:v>
                </c:pt>
                <c:pt idx="98">
                  <c:v>45099</c:v>
                </c:pt>
                <c:pt idx="99">
                  <c:v>45100</c:v>
                </c:pt>
                <c:pt idx="100">
                  <c:v>45103</c:v>
                </c:pt>
                <c:pt idx="101">
                  <c:v>45104</c:v>
                </c:pt>
                <c:pt idx="102">
                  <c:v>45105</c:v>
                </c:pt>
                <c:pt idx="103">
                  <c:v>45106</c:v>
                </c:pt>
                <c:pt idx="104">
                  <c:v>45107</c:v>
                </c:pt>
                <c:pt idx="105">
                  <c:v>45110</c:v>
                </c:pt>
                <c:pt idx="106">
                  <c:v>45111</c:v>
                </c:pt>
                <c:pt idx="107">
                  <c:v>45112</c:v>
                </c:pt>
                <c:pt idx="108">
                  <c:v>45113</c:v>
                </c:pt>
                <c:pt idx="109">
                  <c:v>45114</c:v>
                </c:pt>
                <c:pt idx="110">
                  <c:v>45117</c:v>
                </c:pt>
                <c:pt idx="111">
                  <c:v>45118</c:v>
                </c:pt>
                <c:pt idx="112">
                  <c:v>45119</c:v>
                </c:pt>
                <c:pt idx="113">
                  <c:v>45120</c:v>
                </c:pt>
                <c:pt idx="114">
                  <c:v>45121</c:v>
                </c:pt>
                <c:pt idx="115">
                  <c:v>45124</c:v>
                </c:pt>
                <c:pt idx="116">
                  <c:v>45125</c:v>
                </c:pt>
                <c:pt idx="117">
                  <c:v>45126</c:v>
                </c:pt>
                <c:pt idx="118">
                  <c:v>45127</c:v>
                </c:pt>
                <c:pt idx="119">
                  <c:v>45128</c:v>
                </c:pt>
                <c:pt idx="120">
                  <c:v>45131</c:v>
                </c:pt>
                <c:pt idx="121">
                  <c:v>45132</c:v>
                </c:pt>
                <c:pt idx="122">
                  <c:v>45133</c:v>
                </c:pt>
                <c:pt idx="123">
                  <c:v>45134</c:v>
                </c:pt>
                <c:pt idx="124">
                  <c:v>45135</c:v>
                </c:pt>
                <c:pt idx="125">
                  <c:v>45138</c:v>
                </c:pt>
                <c:pt idx="126">
                  <c:v>45139</c:v>
                </c:pt>
                <c:pt idx="127">
                  <c:v>45140</c:v>
                </c:pt>
                <c:pt idx="128">
                  <c:v>45141</c:v>
                </c:pt>
                <c:pt idx="129">
                  <c:v>45142</c:v>
                </c:pt>
                <c:pt idx="130">
                  <c:v>45145</c:v>
                </c:pt>
                <c:pt idx="131">
                  <c:v>45146</c:v>
                </c:pt>
                <c:pt idx="132">
                  <c:v>45147</c:v>
                </c:pt>
                <c:pt idx="133">
                  <c:v>45148</c:v>
                </c:pt>
                <c:pt idx="134">
                  <c:v>45149</c:v>
                </c:pt>
                <c:pt idx="135">
                  <c:v>45152</c:v>
                </c:pt>
                <c:pt idx="136">
                  <c:v>45153</c:v>
                </c:pt>
                <c:pt idx="137">
                  <c:v>45154</c:v>
                </c:pt>
                <c:pt idx="138">
                  <c:v>45155</c:v>
                </c:pt>
                <c:pt idx="139">
                  <c:v>45156</c:v>
                </c:pt>
                <c:pt idx="140">
                  <c:v>45159</c:v>
                </c:pt>
                <c:pt idx="141">
                  <c:v>45160</c:v>
                </c:pt>
                <c:pt idx="142">
                  <c:v>45161</c:v>
                </c:pt>
                <c:pt idx="143">
                  <c:v>45162</c:v>
                </c:pt>
                <c:pt idx="144">
                  <c:v>45163</c:v>
                </c:pt>
                <c:pt idx="145">
                  <c:v>45166</c:v>
                </c:pt>
                <c:pt idx="146">
                  <c:v>45167</c:v>
                </c:pt>
                <c:pt idx="147">
                  <c:v>45168</c:v>
                </c:pt>
                <c:pt idx="148">
                  <c:v>45169</c:v>
                </c:pt>
                <c:pt idx="149">
                  <c:v>45174</c:v>
                </c:pt>
                <c:pt idx="150">
                  <c:v>45175</c:v>
                </c:pt>
                <c:pt idx="151">
                  <c:v>45176</c:v>
                </c:pt>
                <c:pt idx="152">
                  <c:v>45177</c:v>
                </c:pt>
                <c:pt idx="153">
                  <c:v>45180</c:v>
                </c:pt>
                <c:pt idx="154">
                  <c:v>45181</c:v>
                </c:pt>
                <c:pt idx="155">
                  <c:v>45182</c:v>
                </c:pt>
                <c:pt idx="156">
                  <c:v>45183</c:v>
                </c:pt>
                <c:pt idx="157">
                  <c:v>45184</c:v>
                </c:pt>
                <c:pt idx="158">
                  <c:v>45187</c:v>
                </c:pt>
                <c:pt idx="159">
                  <c:v>45188</c:v>
                </c:pt>
                <c:pt idx="160">
                  <c:v>45189</c:v>
                </c:pt>
                <c:pt idx="161">
                  <c:v>45190</c:v>
                </c:pt>
                <c:pt idx="162">
                  <c:v>45191</c:v>
                </c:pt>
                <c:pt idx="163">
                  <c:v>45194</c:v>
                </c:pt>
                <c:pt idx="164">
                  <c:v>45195</c:v>
                </c:pt>
                <c:pt idx="165">
                  <c:v>45196</c:v>
                </c:pt>
                <c:pt idx="166">
                  <c:v>45197</c:v>
                </c:pt>
                <c:pt idx="167">
                  <c:v>45198</c:v>
                </c:pt>
                <c:pt idx="168">
                  <c:v>45201</c:v>
                </c:pt>
                <c:pt idx="169">
                  <c:v>45202</c:v>
                </c:pt>
                <c:pt idx="170">
                  <c:v>45203</c:v>
                </c:pt>
                <c:pt idx="171">
                  <c:v>45204</c:v>
                </c:pt>
                <c:pt idx="172">
                  <c:v>45205</c:v>
                </c:pt>
                <c:pt idx="173">
                  <c:v>45208</c:v>
                </c:pt>
                <c:pt idx="174">
                  <c:v>45209</c:v>
                </c:pt>
                <c:pt idx="175">
                  <c:v>45210</c:v>
                </c:pt>
                <c:pt idx="176">
                  <c:v>45211</c:v>
                </c:pt>
                <c:pt idx="177">
                  <c:v>45212</c:v>
                </c:pt>
                <c:pt idx="178">
                  <c:v>45215</c:v>
                </c:pt>
                <c:pt idx="179">
                  <c:v>45216</c:v>
                </c:pt>
                <c:pt idx="180">
                  <c:v>45217</c:v>
                </c:pt>
                <c:pt idx="181">
                  <c:v>45218</c:v>
                </c:pt>
                <c:pt idx="182">
                  <c:v>45219</c:v>
                </c:pt>
                <c:pt idx="183">
                  <c:v>45222</c:v>
                </c:pt>
                <c:pt idx="184">
                  <c:v>45223</c:v>
                </c:pt>
                <c:pt idx="185">
                  <c:v>45224</c:v>
                </c:pt>
                <c:pt idx="186">
                  <c:v>45225</c:v>
                </c:pt>
                <c:pt idx="187">
                  <c:v>45226</c:v>
                </c:pt>
                <c:pt idx="188">
                  <c:v>45229</c:v>
                </c:pt>
                <c:pt idx="189">
                  <c:v>45230</c:v>
                </c:pt>
                <c:pt idx="190">
                  <c:v>45231</c:v>
                </c:pt>
                <c:pt idx="191">
                  <c:v>45232</c:v>
                </c:pt>
                <c:pt idx="192">
                  <c:v>45233</c:v>
                </c:pt>
                <c:pt idx="193">
                  <c:v>45236</c:v>
                </c:pt>
                <c:pt idx="194">
                  <c:v>45237</c:v>
                </c:pt>
                <c:pt idx="195">
                  <c:v>45238</c:v>
                </c:pt>
                <c:pt idx="196">
                  <c:v>45239</c:v>
                </c:pt>
                <c:pt idx="197">
                  <c:v>45240</c:v>
                </c:pt>
                <c:pt idx="198">
                  <c:v>45243</c:v>
                </c:pt>
                <c:pt idx="199">
                  <c:v>45244</c:v>
                </c:pt>
                <c:pt idx="200">
                  <c:v>45245</c:v>
                </c:pt>
                <c:pt idx="201">
                  <c:v>45246</c:v>
                </c:pt>
                <c:pt idx="202">
                  <c:v>45247</c:v>
                </c:pt>
                <c:pt idx="203">
                  <c:v>45250</c:v>
                </c:pt>
                <c:pt idx="204">
                  <c:v>45251</c:v>
                </c:pt>
                <c:pt idx="205">
                  <c:v>45252</c:v>
                </c:pt>
                <c:pt idx="206">
                  <c:v>45253</c:v>
                </c:pt>
                <c:pt idx="207">
                  <c:v>45254</c:v>
                </c:pt>
                <c:pt idx="208">
                  <c:v>45257</c:v>
                </c:pt>
                <c:pt idx="209">
                  <c:v>45258</c:v>
                </c:pt>
                <c:pt idx="210">
                  <c:v>45259</c:v>
                </c:pt>
                <c:pt idx="211">
                  <c:v>45260</c:v>
                </c:pt>
                <c:pt idx="212">
                  <c:v>45261</c:v>
                </c:pt>
                <c:pt idx="213">
                  <c:v>45264</c:v>
                </c:pt>
                <c:pt idx="214">
                  <c:v>45265</c:v>
                </c:pt>
                <c:pt idx="215">
                  <c:v>45266</c:v>
                </c:pt>
                <c:pt idx="216">
                  <c:v>45267</c:v>
                </c:pt>
                <c:pt idx="217">
                  <c:v>45268</c:v>
                </c:pt>
                <c:pt idx="218">
                  <c:v>45271</c:v>
                </c:pt>
                <c:pt idx="219">
                  <c:v>45272</c:v>
                </c:pt>
                <c:pt idx="220">
                  <c:v>45273</c:v>
                </c:pt>
                <c:pt idx="221">
                  <c:v>45274</c:v>
                </c:pt>
                <c:pt idx="222">
                  <c:v>45275</c:v>
                </c:pt>
                <c:pt idx="223">
                  <c:v>45278</c:v>
                </c:pt>
                <c:pt idx="224">
                  <c:v>45279</c:v>
                </c:pt>
                <c:pt idx="225">
                  <c:v>45280</c:v>
                </c:pt>
                <c:pt idx="226">
                  <c:v>45281</c:v>
                </c:pt>
                <c:pt idx="227">
                  <c:v>45282</c:v>
                </c:pt>
                <c:pt idx="228">
                  <c:v>45285</c:v>
                </c:pt>
                <c:pt idx="229">
                  <c:v>45286</c:v>
                </c:pt>
                <c:pt idx="230">
                  <c:v>45287</c:v>
                </c:pt>
                <c:pt idx="231">
                  <c:v>45288</c:v>
                </c:pt>
                <c:pt idx="232">
                  <c:v>45289</c:v>
                </c:pt>
                <c:pt idx="233">
                  <c:v>45293</c:v>
                </c:pt>
                <c:pt idx="234">
                  <c:v>45294</c:v>
                </c:pt>
                <c:pt idx="235">
                  <c:v>45295</c:v>
                </c:pt>
                <c:pt idx="236">
                  <c:v>45296</c:v>
                </c:pt>
                <c:pt idx="237">
                  <c:v>45299</c:v>
                </c:pt>
                <c:pt idx="238">
                  <c:v>45300</c:v>
                </c:pt>
                <c:pt idx="239">
                  <c:v>45301</c:v>
                </c:pt>
                <c:pt idx="240">
                  <c:v>45302</c:v>
                </c:pt>
                <c:pt idx="241">
                  <c:v>45303</c:v>
                </c:pt>
                <c:pt idx="242">
                  <c:v>45306</c:v>
                </c:pt>
                <c:pt idx="243">
                  <c:v>45307</c:v>
                </c:pt>
                <c:pt idx="244">
                  <c:v>45308</c:v>
                </c:pt>
                <c:pt idx="245">
                  <c:v>45309</c:v>
                </c:pt>
                <c:pt idx="246">
                  <c:v>45310</c:v>
                </c:pt>
                <c:pt idx="247">
                  <c:v>45313</c:v>
                </c:pt>
                <c:pt idx="248">
                  <c:v>45314</c:v>
                </c:pt>
                <c:pt idx="249">
                  <c:v>45315</c:v>
                </c:pt>
                <c:pt idx="250">
                  <c:v>45316</c:v>
                </c:pt>
                <c:pt idx="251">
                  <c:v>45317</c:v>
                </c:pt>
                <c:pt idx="252">
                  <c:v>45320</c:v>
                </c:pt>
                <c:pt idx="253">
                  <c:v>45321</c:v>
                </c:pt>
                <c:pt idx="254">
                  <c:v>45322</c:v>
                </c:pt>
                <c:pt idx="255">
                  <c:v>45323</c:v>
                </c:pt>
                <c:pt idx="256">
                  <c:v>45324</c:v>
                </c:pt>
                <c:pt idx="257">
                  <c:v>45327</c:v>
                </c:pt>
                <c:pt idx="258">
                  <c:v>45328</c:v>
                </c:pt>
                <c:pt idx="259">
                  <c:v>45329</c:v>
                </c:pt>
                <c:pt idx="260">
                  <c:v>45337</c:v>
                </c:pt>
                <c:pt idx="261">
                  <c:v>45338</c:v>
                </c:pt>
                <c:pt idx="262">
                  <c:v>45341</c:v>
                </c:pt>
                <c:pt idx="263">
                  <c:v>45342</c:v>
                </c:pt>
                <c:pt idx="264">
                  <c:v>45343</c:v>
                </c:pt>
                <c:pt idx="265">
                  <c:v>45344</c:v>
                </c:pt>
                <c:pt idx="266">
                  <c:v>45345</c:v>
                </c:pt>
                <c:pt idx="267">
                  <c:v>45348</c:v>
                </c:pt>
                <c:pt idx="268">
                  <c:v>45349</c:v>
                </c:pt>
                <c:pt idx="269">
                  <c:v>45350</c:v>
                </c:pt>
                <c:pt idx="270">
                  <c:v>45351</c:v>
                </c:pt>
                <c:pt idx="271">
                  <c:v>45352</c:v>
                </c:pt>
                <c:pt idx="272">
                  <c:v>45355</c:v>
                </c:pt>
                <c:pt idx="273">
                  <c:v>45356</c:v>
                </c:pt>
                <c:pt idx="274">
                  <c:v>45357</c:v>
                </c:pt>
                <c:pt idx="275">
                  <c:v>45358</c:v>
                </c:pt>
                <c:pt idx="276">
                  <c:v>45359</c:v>
                </c:pt>
                <c:pt idx="277">
                  <c:v>45362</c:v>
                </c:pt>
                <c:pt idx="278">
                  <c:v>45363</c:v>
                </c:pt>
                <c:pt idx="279">
                  <c:v>45364</c:v>
                </c:pt>
                <c:pt idx="280">
                  <c:v>45365</c:v>
                </c:pt>
                <c:pt idx="281">
                  <c:v>45366</c:v>
                </c:pt>
                <c:pt idx="282">
                  <c:v>45369</c:v>
                </c:pt>
                <c:pt idx="283">
                  <c:v>45370</c:v>
                </c:pt>
                <c:pt idx="284">
                  <c:v>45371</c:v>
                </c:pt>
                <c:pt idx="285">
                  <c:v>45372</c:v>
                </c:pt>
                <c:pt idx="286">
                  <c:v>45373</c:v>
                </c:pt>
                <c:pt idx="287">
                  <c:v>45376</c:v>
                </c:pt>
                <c:pt idx="288">
                  <c:v>45377</c:v>
                </c:pt>
                <c:pt idx="289">
                  <c:v>45378</c:v>
                </c:pt>
                <c:pt idx="290">
                  <c:v>45379</c:v>
                </c:pt>
                <c:pt idx="291">
                  <c:v>45380</c:v>
                </c:pt>
                <c:pt idx="292">
                  <c:v>45383</c:v>
                </c:pt>
                <c:pt idx="293">
                  <c:v>45384</c:v>
                </c:pt>
                <c:pt idx="294">
                  <c:v>45385</c:v>
                </c:pt>
                <c:pt idx="295">
                  <c:v>45386</c:v>
                </c:pt>
                <c:pt idx="296">
                  <c:v>45387</c:v>
                </c:pt>
                <c:pt idx="297">
                  <c:v>45390</c:v>
                </c:pt>
                <c:pt idx="298">
                  <c:v>45391</c:v>
                </c:pt>
                <c:pt idx="299">
                  <c:v>45392</c:v>
                </c:pt>
                <c:pt idx="300">
                  <c:v>45393</c:v>
                </c:pt>
                <c:pt idx="301">
                  <c:v>45394</c:v>
                </c:pt>
                <c:pt idx="302">
                  <c:v>45397</c:v>
                </c:pt>
                <c:pt idx="303">
                  <c:v>45398</c:v>
                </c:pt>
                <c:pt idx="304">
                  <c:v>45399</c:v>
                </c:pt>
                <c:pt idx="305">
                  <c:v>45401</c:v>
                </c:pt>
                <c:pt idx="306">
                  <c:v>45404</c:v>
                </c:pt>
                <c:pt idx="307">
                  <c:v>45405</c:v>
                </c:pt>
                <c:pt idx="308">
                  <c:v>45406</c:v>
                </c:pt>
                <c:pt idx="309">
                  <c:v>45407</c:v>
                </c:pt>
                <c:pt idx="310">
                  <c:v>45408</c:v>
                </c:pt>
                <c:pt idx="311">
                  <c:v>45414</c:v>
                </c:pt>
                <c:pt idx="312">
                  <c:v>45415</c:v>
                </c:pt>
                <c:pt idx="313">
                  <c:v>45418</c:v>
                </c:pt>
                <c:pt idx="314">
                  <c:v>45419</c:v>
                </c:pt>
                <c:pt idx="315">
                  <c:v>45420</c:v>
                </c:pt>
                <c:pt idx="316">
                  <c:v>45421</c:v>
                </c:pt>
                <c:pt idx="317">
                  <c:v>45422</c:v>
                </c:pt>
                <c:pt idx="318">
                  <c:v>45425</c:v>
                </c:pt>
                <c:pt idx="319">
                  <c:v>45426</c:v>
                </c:pt>
                <c:pt idx="320">
                  <c:v>45427</c:v>
                </c:pt>
                <c:pt idx="321">
                  <c:v>45428</c:v>
                </c:pt>
                <c:pt idx="322">
                  <c:v>45429</c:v>
                </c:pt>
                <c:pt idx="323">
                  <c:v>45432</c:v>
                </c:pt>
                <c:pt idx="324">
                  <c:v>45433</c:v>
                </c:pt>
                <c:pt idx="325">
                  <c:v>45434</c:v>
                </c:pt>
                <c:pt idx="326">
                  <c:v>45435</c:v>
                </c:pt>
                <c:pt idx="327">
                  <c:v>45436</c:v>
                </c:pt>
                <c:pt idx="328">
                  <c:v>45439</c:v>
                </c:pt>
                <c:pt idx="329">
                  <c:v>45440</c:v>
                </c:pt>
                <c:pt idx="330">
                  <c:v>45441</c:v>
                </c:pt>
                <c:pt idx="331">
                  <c:v>45442</c:v>
                </c:pt>
                <c:pt idx="332">
                  <c:v>45443</c:v>
                </c:pt>
                <c:pt idx="333">
                  <c:v>45446</c:v>
                </c:pt>
                <c:pt idx="334">
                  <c:v>45447</c:v>
                </c:pt>
                <c:pt idx="335">
                  <c:v>45448</c:v>
                </c:pt>
                <c:pt idx="336">
                  <c:v>45449</c:v>
                </c:pt>
                <c:pt idx="337">
                  <c:v>45450</c:v>
                </c:pt>
                <c:pt idx="338">
                  <c:v>45453</c:v>
                </c:pt>
                <c:pt idx="339">
                  <c:v>45454</c:v>
                </c:pt>
                <c:pt idx="340">
                  <c:v>45455</c:v>
                </c:pt>
                <c:pt idx="341">
                  <c:v>45456</c:v>
                </c:pt>
                <c:pt idx="342">
                  <c:v>45457</c:v>
                </c:pt>
                <c:pt idx="343">
                  <c:v>45460</c:v>
                </c:pt>
                <c:pt idx="344">
                  <c:v>45461</c:v>
                </c:pt>
                <c:pt idx="345">
                  <c:v>45462</c:v>
                </c:pt>
                <c:pt idx="346">
                  <c:v>45463</c:v>
                </c:pt>
                <c:pt idx="347">
                  <c:v>45464</c:v>
                </c:pt>
              </c:numCache>
            </c:numRef>
          </c:cat>
          <c:val>
            <c:numRef>
              <c:f>Diamond!$M$19:$M$366</c:f>
              <c:numCache>
                <c:formatCode>_-* #,##0_-;\-* #,##0_-;_-* "-"??_-;_-@_-</c:formatCode>
                <c:ptCount val="348"/>
                <c:pt idx="0">
                  <c:v>67608.004279200002</c:v>
                </c:pt>
                <c:pt idx="1">
                  <c:v>68047.017294000005</c:v>
                </c:pt>
                <c:pt idx="2">
                  <c:v>68925.043323599995</c:v>
                </c:pt>
                <c:pt idx="3">
                  <c:v>73022.498128399995</c:v>
                </c:pt>
                <c:pt idx="4">
                  <c:v>69949.407024800006</c:v>
                </c:pt>
                <c:pt idx="5">
                  <c:v>68998.212159400005</c:v>
                </c:pt>
                <c:pt idx="6">
                  <c:v>66876.315921200003</c:v>
                </c:pt>
                <c:pt idx="7">
                  <c:v>65120.263862</c:v>
                </c:pt>
                <c:pt idx="8">
                  <c:v>64388.575504</c:v>
                </c:pt>
                <c:pt idx="9">
                  <c:v>61608.159743600001</c:v>
                </c:pt>
                <c:pt idx="10">
                  <c:v>62193.510430000002</c:v>
                </c:pt>
                <c:pt idx="11">
                  <c:v>62193.510430000002</c:v>
                </c:pt>
                <c:pt idx="12">
                  <c:v>62559.354609000002</c:v>
                </c:pt>
                <c:pt idx="13">
                  <c:v>63364.211802799997</c:v>
                </c:pt>
                <c:pt idx="14">
                  <c:v>63291.042967000001</c:v>
                </c:pt>
                <c:pt idx="15">
                  <c:v>64827.588518800003</c:v>
                </c:pt>
                <c:pt idx="16">
                  <c:v>65120.263862</c:v>
                </c:pt>
                <c:pt idx="17">
                  <c:v>62925.198788000002</c:v>
                </c:pt>
                <c:pt idx="18">
                  <c:v>62925.198788000002</c:v>
                </c:pt>
                <c:pt idx="19">
                  <c:v>61608.159743600001</c:v>
                </c:pt>
                <c:pt idx="20">
                  <c:v>59266.756997999997</c:v>
                </c:pt>
                <c:pt idx="21">
                  <c:v>58535.068639999998</c:v>
                </c:pt>
                <c:pt idx="22">
                  <c:v>59705.7700128</c:v>
                </c:pt>
                <c:pt idx="23">
                  <c:v>58974.0816548</c:v>
                </c:pt>
                <c:pt idx="24">
                  <c:v>57657.0426104</c:v>
                </c:pt>
                <c:pt idx="25">
                  <c:v>57657.0426104</c:v>
                </c:pt>
                <c:pt idx="26">
                  <c:v>58096.055625200002</c:v>
                </c:pt>
                <c:pt idx="27">
                  <c:v>57657.0426104</c:v>
                </c:pt>
                <c:pt idx="28">
                  <c:v>58535.068639999998</c:v>
                </c:pt>
                <c:pt idx="29">
                  <c:v>58169.224460999998</c:v>
                </c:pt>
                <c:pt idx="30">
                  <c:v>57657.0426104</c:v>
                </c:pt>
                <c:pt idx="31">
                  <c:v>56486.341237599998</c:v>
                </c:pt>
                <c:pt idx="32">
                  <c:v>58535.068639999998</c:v>
                </c:pt>
                <c:pt idx="33">
                  <c:v>57657.0426104</c:v>
                </c:pt>
                <c:pt idx="34">
                  <c:v>57657.0426104</c:v>
                </c:pt>
                <c:pt idx="35">
                  <c:v>55754.652879599998</c:v>
                </c:pt>
                <c:pt idx="36">
                  <c:v>56340.003565999999</c:v>
                </c:pt>
                <c:pt idx="37">
                  <c:v>55535.146372199997</c:v>
                </c:pt>
                <c:pt idx="38">
                  <c:v>55315.639864800003</c:v>
                </c:pt>
                <c:pt idx="39">
                  <c:v>55535.146372199997</c:v>
                </c:pt>
                <c:pt idx="40">
                  <c:v>55754.652879599998</c:v>
                </c:pt>
                <c:pt idx="41">
                  <c:v>57218.029595599997</c:v>
                </c:pt>
                <c:pt idx="42">
                  <c:v>56632.678909200004</c:v>
                </c:pt>
                <c:pt idx="43">
                  <c:v>56486.341237599998</c:v>
                </c:pt>
                <c:pt idx="44">
                  <c:v>56413.172401800002</c:v>
                </c:pt>
                <c:pt idx="45">
                  <c:v>57071.691923999999</c:v>
                </c:pt>
                <c:pt idx="46">
                  <c:v>58242.393296800001</c:v>
                </c:pt>
                <c:pt idx="47">
                  <c:v>58169.224460999998</c:v>
                </c:pt>
                <c:pt idx="48">
                  <c:v>57218.029595599997</c:v>
                </c:pt>
                <c:pt idx="49">
                  <c:v>57071.691923999999</c:v>
                </c:pt>
                <c:pt idx="50">
                  <c:v>59998.445355999997</c:v>
                </c:pt>
                <c:pt idx="51">
                  <c:v>59559.432341200001</c:v>
                </c:pt>
                <c:pt idx="52">
                  <c:v>59632.601176999997</c:v>
                </c:pt>
                <c:pt idx="53">
                  <c:v>60071.614191799999</c:v>
                </c:pt>
                <c:pt idx="54">
                  <c:v>58535.068639999998</c:v>
                </c:pt>
                <c:pt idx="55">
                  <c:v>58315.562132599996</c:v>
                </c:pt>
                <c:pt idx="56">
                  <c:v>58461.899804200002</c:v>
                </c:pt>
                <c:pt idx="57">
                  <c:v>59266.756997999997</c:v>
                </c:pt>
                <c:pt idx="58">
                  <c:v>59120.419326399999</c:v>
                </c:pt>
                <c:pt idx="59">
                  <c:v>57510.704938800001</c:v>
                </c:pt>
                <c:pt idx="60">
                  <c:v>56193.665894400001</c:v>
                </c:pt>
                <c:pt idx="61">
                  <c:v>55169.302193199997</c:v>
                </c:pt>
                <c:pt idx="62">
                  <c:v>56193.665894400001</c:v>
                </c:pt>
                <c:pt idx="63">
                  <c:v>56559.510073400001</c:v>
                </c:pt>
                <c:pt idx="64">
                  <c:v>57364.367267200003</c:v>
                </c:pt>
                <c:pt idx="65">
                  <c:v>55461.977536400002</c:v>
                </c:pt>
                <c:pt idx="66">
                  <c:v>55315.639864800003</c:v>
                </c:pt>
                <c:pt idx="67">
                  <c:v>55388.808700599999</c:v>
                </c:pt>
                <c:pt idx="68">
                  <c:v>55535.146372199997</c:v>
                </c:pt>
                <c:pt idx="69">
                  <c:v>57071.691923999999</c:v>
                </c:pt>
                <c:pt idx="70">
                  <c:v>56632.678909200004</c:v>
                </c:pt>
                <c:pt idx="71">
                  <c:v>57071.691923999999</c:v>
                </c:pt>
                <c:pt idx="72">
                  <c:v>56925.3542524</c:v>
                </c:pt>
                <c:pt idx="73">
                  <c:v>56266.834730199997</c:v>
                </c:pt>
                <c:pt idx="74">
                  <c:v>55827.821715400001</c:v>
                </c:pt>
                <c:pt idx="75">
                  <c:v>55754.652879599998</c:v>
                </c:pt>
                <c:pt idx="76">
                  <c:v>56047.328222800003</c:v>
                </c:pt>
                <c:pt idx="77">
                  <c:v>56413.172401800002</c:v>
                </c:pt>
                <c:pt idx="78">
                  <c:v>55974.159387</c:v>
                </c:pt>
                <c:pt idx="79">
                  <c:v>55535.146372199997</c:v>
                </c:pt>
                <c:pt idx="80">
                  <c:v>55608.315208</c:v>
                </c:pt>
                <c:pt idx="81">
                  <c:v>55900.990551199997</c:v>
                </c:pt>
                <c:pt idx="82">
                  <c:v>56632.678909200004</c:v>
                </c:pt>
                <c:pt idx="83">
                  <c:v>57657.0426104</c:v>
                </c:pt>
                <c:pt idx="84">
                  <c:v>57350.0152848</c:v>
                </c:pt>
                <c:pt idx="85">
                  <c:v>57496.3163442</c:v>
                </c:pt>
                <c:pt idx="86">
                  <c:v>59690.832235200003</c:v>
                </c:pt>
                <c:pt idx="87">
                  <c:v>60276.036472799999</c:v>
                </c:pt>
                <c:pt idx="88">
                  <c:v>61153.842829200003</c:v>
                </c:pt>
                <c:pt idx="89">
                  <c:v>61153.842829200003</c:v>
                </c:pt>
                <c:pt idx="90">
                  <c:v>59471.380646099999</c:v>
                </c:pt>
                <c:pt idx="91">
                  <c:v>60568.6385916</c:v>
                </c:pt>
                <c:pt idx="92">
                  <c:v>62909.455542000003</c:v>
                </c:pt>
                <c:pt idx="93">
                  <c:v>62909.455542000003</c:v>
                </c:pt>
                <c:pt idx="94">
                  <c:v>61519.595477700001</c:v>
                </c:pt>
                <c:pt idx="95">
                  <c:v>61007.541769800002</c:v>
                </c:pt>
                <c:pt idx="96">
                  <c:v>60495.488061900003</c:v>
                </c:pt>
                <c:pt idx="97">
                  <c:v>60714.939651000001</c:v>
                </c:pt>
                <c:pt idx="98">
                  <c:v>62177.950245</c:v>
                </c:pt>
                <c:pt idx="99">
                  <c:v>62470.552363800001</c:v>
                </c:pt>
                <c:pt idx="100">
                  <c:v>62982.6060717</c:v>
                </c:pt>
                <c:pt idx="101">
                  <c:v>62763.154482600003</c:v>
                </c:pt>
                <c:pt idx="102">
                  <c:v>64884.519843900001</c:v>
                </c:pt>
                <c:pt idx="103">
                  <c:v>64665.068254799997</c:v>
                </c:pt>
                <c:pt idx="104">
                  <c:v>64226.165076600002</c:v>
                </c:pt>
                <c:pt idx="105">
                  <c:v>62470.552363800001</c:v>
                </c:pt>
                <c:pt idx="106">
                  <c:v>63348.358720199998</c:v>
                </c:pt>
                <c:pt idx="107">
                  <c:v>62909.455542000003</c:v>
                </c:pt>
                <c:pt idx="108">
                  <c:v>63275.208190500001</c:v>
                </c:pt>
                <c:pt idx="109">
                  <c:v>63421.509249900002</c:v>
                </c:pt>
                <c:pt idx="110">
                  <c:v>63202.057660799997</c:v>
                </c:pt>
                <c:pt idx="111">
                  <c:v>66566.982027000005</c:v>
                </c:pt>
                <c:pt idx="112">
                  <c:v>69858.755863500002</c:v>
                </c:pt>
                <c:pt idx="113">
                  <c:v>71394.916987200006</c:v>
                </c:pt>
                <c:pt idx="114">
                  <c:v>71906.970695099997</c:v>
                </c:pt>
                <c:pt idx="115">
                  <c:v>72199.572813899998</c:v>
                </c:pt>
                <c:pt idx="116">
                  <c:v>72345.873873300006</c:v>
                </c:pt>
                <c:pt idx="117">
                  <c:v>71175.465398100001</c:v>
                </c:pt>
                <c:pt idx="118">
                  <c:v>70297.659041699997</c:v>
                </c:pt>
                <c:pt idx="119">
                  <c:v>70956.013808999996</c:v>
                </c:pt>
                <c:pt idx="120">
                  <c:v>71811.698307700004</c:v>
                </c:pt>
                <c:pt idx="121">
                  <c:v>76784.402467499996</c:v>
                </c:pt>
                <c:pt idx="122">
                  <c:v>79709.522561499994</c:v>
                </c:pt>
                <c:pt idx="123">
                  <c:v>78393.218519200003</c:v>
                </c:pt>
                <c:pt idx="124">
                  <c:v>76930.658472199997</c:v>
                </c:pt>
                <c:pt idx="125">
                  <c:v>79124.498542700007</c:v>
                </c:pt>
                <c:pt idx="126">
                  <c:v>79709.522561499994</c:v>
                </c:pt>
                <c:pt idx="127">
                  <c:v>78539.474523900004</c:v>
                </c:pt>
                <c:pt idx="128">
                  <c:v>75614.354429900006</c:v>
                </c:pt>
                <c:pt idx="129">
                  <c:v>75614.354429900006</c:v>
                </c:pt>
                <c:pt idx="130">
                  <c:v>77076.914476899998</c:v>
                </c:pt>
                <c:pt idx="131">
                  <c:v>77515.682491</c:v>
                </c:pt>
                <c:pt idx="132">
                  <c:v>78685.730528600005</c:v>
                </c:pt>
                <c:pt idx="133">
                  <c:v>78393.218519200003</c:v>
                </c:pt>
                <c:pt idx="134">
                  <c:v>76930.658472199997</c:v>
                </c:pt>
                <c:pt idx="135">
                  <c:v>76053.122443999993</c:v>
                </c:pt>
                <c:pt idx="136">
                  <c:v>77954.450505100001</c:v>
                </c:pt>
                <c:pt idx="137">
                  <c:v>79270.754547400007</c:v>
                </c:pt>
                <c:pt idx="138">
                  <c:v>78978.242538000006</c:v>
                </c:pt>
                <c:pt idx="139">
                  <c:v>78685.730528600005</c:v>
                </c:pt>
                <c:pt idx="140">
                  <c:v>78831.986533300005</c:v>
                </c:pt>
                <c:pt idx="141">
                  <c:v>73420.514359399996</c:v>
                </c:pt>
                <c:pt idx="142">
                  <c:v>71665.442303000003</c:v>
                </c:pt>
                <c:pt idx="143">
                  <c:v>73128.002349999995</c:v>
                </c:pt>
                <c:pt idx="144">
                  <c:v>72689.234335899993</c:v>
                </c:pt>
                <c:pt idx="145">
                  <c:v>73566.770364099997</c:v>
                </c:pt>
                <c:pt idx="146">
                  <c:v>73859.282373499998</c:v>
                </c:pt>
                <c:pt idx="147">
                  <c:v>75614.354429900006</c:v>
                </c:pt>
                <c:pt idx="148">
                  <c:v>77369.426486299999</c:v>
                </c:pt>
                <c:pt idx="149">
                  <c:v>78685.730528600005</c:v>
                </c:pt>
                <c:pt idx="150">
                  <c:v>78685.730528600005</c:v>
                </c:pt>
                <c:pt idx="151">
                  <c:v>79417.010552099993</c:v>
                </c:pt>
                <c:pt idx="152">
                  <c:v>80440.802584999998</c:v>
                </c:pt>
                <c:pt idx="153">
                  <c:v>80440.802584999998</c:v>
                </c:pt>
                <c:pt idx="154">
                  <c:v>81172.082608500001</c:v>
                </c:pt>
                <c:pt idx="155">
                  <c:v>79709.522561499994</c:v>
                </c:pt>
                <c:pt idx="156">
                  <c:v>81610.850622600003</c:v>
                </c:pt>
                <c:pt idx="157">
                  <c:v>84097.202702499999</c:v>
                </c:pt>
                <c:pt idx="158">
                  <c:v>83804.690693099998</c:v>
                </c:pt>
                <c:pt idx="159">
                  <c:v>81757.106627300003</c:v>
                </c:pt>
                <c:pt idx="160">
                  <c:v>80440.802584999998</c:v>
                </c:pt>
                <c:pt idx="161">
                  <c:v>81172.082608500001</c:v>
                </c:pt>
                <c:pt idx="162">
                  <c:v>81610.850622600003</c:v>
                </c:pt>
                <c:pt idx="163">
                  <c:v>79270.754547400007</c:v>
                </c:pt>
                <c:pt idx="164">
                  <c:v>76199.378448699994</c:v>
                </c:pt>
                <c:pt idx="165">
                  <c:v>74590.562397000002</c:v>
                </c:pt>
                <c:pt idx="166">
                  <c:v>75321.842420500005</c:v>
                </c:pt>
                <c:pt idx="167">
                  <c:v>76053.122443999993</c:v>
                </c:pt>
                <c:pt idx="168">
                  <c:v>77515.682491</c:v>
                </c:pt>
                <c:pt idx="169">
                  <c:v>76930.658472199997</c:v>
                </c:pt>
                <c:pt idx="170">
                  <c:v>75906.866439300007</c:v>
                </c:pt>
                <c:pt idx="171">
                  <c:v>71665.442303000003</c:v>
                </c:pt>
                <c:pt idx="172">
                  <c:v>71957.954312400005</c:v>
                </c:pt>
                <c:pt idx="173">
                  <c:v>68740.322209000005</c:v>
                </c:pt>
                <c:pt idx="174">
                  <c:v>70641.650270099999</c:v>
                </c:pt>
                <c:pt idx="175">
                  <c:v>70129.754253649997</c:v>
                </c:pt>
                <c:pt idx="176">
                  <c:v>71446.058295950003</c:v>
                </c:pt>
                <c:pt idx="177">
                  <c:v>72104.210317100005</c:v>
                </c:pt>
                <c:pt idx="178">
                  <c:v>70787.9062748</c:v>
                </c:pt>
                <c:pt idx="179">
                  <c:v>72396.722326500007</c:v>
                </c:pt>
                <c:pt idx="180">
                  <c:v>71080.418284200001</c:v>
                </c:pt>
                <c:pt idx="181">
                  <c:v>67716.530176100001</c:v>
                </c:pt>
                <c:pt idx="182">
                  <c:v>65376.434100899998</c:v>
                </c:pt>
                <c:pt idx="183">
                  <c:v>62890.082021000002</c:v>
                </c:pt>
                <c:pt idx="184">
                  <c:v>65376.434100899998</c:v>
                </c:pt>
                <c:pt idx="185">
                  <c:v>62890.082021000002</c:v>
                </c:pt>
                <c:pt idx="186">
                  <c:v>62890.082021000002</c:v>
                </c:pt>
                <c:pt idx="187">
                  <c:v>63621.362044499998</c:v>
                </c:pt>
                <c:pt idx="188">
                  <c:v>61427.521974000003</c:v>
                </c:pt>
                <c:pt idx="189">
                  <c:v>61427.521974000003</c:v>
                </c:pt>
                <c:pt idx="190">
                  <c:v>59233.681903500001</c:v>
                </c:pt>
                <c:pt idx="191">
                  <c:v>55138.513771899998</c:v>
                </c:pt>
                <c:pt idx="192">
                  <c:v>51335.857649700003</c:v>
                </c:pt>
                <c:pt idx="193">
                  <c:v>54114.721739000001</c:v>
                </c:pt>
                <c:pt idx="194">
                  <c:v>56966.713830649998</c:v>
                </c:pt>
                <c:pt idx="195">
                  <c:v>55650.40978835</c:v>
                </c:pt>
                <c:pt idx="196">
                  <c:v>55869.793795400001</c:v>
                </c:pt>
                <c:pt idx="197">
                  <c:v>57917.377861200002</c:v>
                </c:pt>
                <c:pt idx="198">
                  <c:v>58941.1698941</c:v>
                </c:pt>
                <c:pt idx="199">
                  <c:v>57624.865851800001</c:v>
                </c:pt>
                <c:pt idx="200">
                  <c:v>58502.401879999998</c:v>
                </c:pt>
                <c:pt idx="201">
                  <c:v>60696.2419505</c:v>
                </c:pt>
                <c:pt idx="202">
                  <c:v>61281.265969300002</c:v>
                </c:pt>
                <c:pt idx="203">
                  <c:v>60696.2419505</c:v>
                </c:pt>
                <c:pt idx="204">
                  <c:v>60549.985945799999</c:v>
                </c:pt>
                <c:pt idx="205">
                  <c:v>59306.809905850001</c:v>
                </c:pt>
                <c:pt idx="206">
                  <c:v>59818.705922300003</c:v>
                </c:pt>
                <c:pt idx="207">
                  <c:v>58209.889870600004</c:v>
                </c:pt>
                <c:pt idx="208">
                  <c:v>54553.489753100002</c:v>
                </c:pt>
                <c:pt idx="209">
                  <c:v>56381.689811850003</c:v>
                </c:pt>
                <c:pt idx="210">
                  <c:v>55577.281786</c:v>
                </c:pt>
                <c:pt idx="211">
                  <c:v>55577.281786</c:v>
                </c:pt>
                <c:pt idx="212">
                  <c:v>56747.329823599997</c:v>
                </c:pt>
                <c:pt idx="213">
                  <c:v>56302.337937999997</c:v>
                </c:pt>
                <c:pt idx="214">
                  <c:v>56667.937534999997</c:v>
                </c:pt>
                <c:pt idx="215">
                  <c:v>58422.815600599999</c:v>
                </c:pt>
                <c:pt idx="216">
                  <c:v>58495.935519999999</c:v>
                </c:pt>
                <c:pt idx="217">
                  <c:v>59885.2139886</c:v>
                </c:pt>
                <c:pt idx="218">
                  <c:v>59738.9741498</c:v>
                </c:pt>
                <c:pt idx="219">
                  <c:v>62298.171328800003</c:v>
                </c:pt>
                <c:pt idx="220">
                  <c:v>62151.931490000003</c:v>
                </c:pt>
                <c:pt idx="221">
                  <c:v>62151.931490000003</c:v>
                </c:pt>
                <c:pt idx="222">
                  <c:v>60982.012779600002</c:v>
                </c:pt>
                <c:pt idx="223">
                  <c:v>60835.772940800001</c:v>
                </c:pt>
                <c:pt idx="224">
                  <c:v>59592.734311</c:v>
                </c:pt>
                <c:pt idx="225">
                  <c:v>57910.976164799999</c:v>
                </c:pt>
                <c:pt idx="226">
                  <c:v>59446.4944722</c:v>
                </c:pt>
                <c:pt idx="227">
                  <c:v>62005.691651200003</c:v>
                </c:pt>
                <c:pt idx="228">
                  <c:v>62371.291248200003</c:v>
                </c:pt>
                <c:pt idx="229">
                  <c:v>61932.571731800002</c:v>
                </c:pt>
                <c:pt idx="230">
                  <c:v>62371.291248200003</c:v>
                </c:pt>
                <c:pt idx="231">
                  <c:v>62444.411167600003</c:v>
                </c:pt>
                <c:pt idx="232">
                  <c:v>62663.770925800003</c:v>
                </c:pt>
                <c:pt idx="233">
                  <c:v>62956.250603400003</c:v>
                </c:pt>
                <c:pt idx="234">
                  <c:v>62590.651006400003</c:v>
                </c:pt>
                <c:pt idx="235">
                  <c:v>62078.811570600003</c:v>
                </c:pt>
                <c:pt idx="236">
                  <c:v>63175.610361599996</c:v>
                </c:pt>
                <c:pt idx="237">
                  <c:v>63175.610361599996</c:v>
                </c:pt>
                <c:pt idx="238">
                  <c:v>64126.169313799997</c:v>
                </c:pt>
                <c:pt idx="239">
                  <c:v>63175.610361599996</c:v>
                </c:pt>
                <c:pt idx="240">
                  <c:v>62444.411167600003</c:v>
                </c:pt>
                <c:pt idx="241">
                  <c:v>61786.331893000002</c:v>
                </c:pt>
                <c:pt idx="242">
                  <c:v>62078.811570600003</c:v>
                </c:pt>
                <c:pt idx="243">
                  <c:v>61274.492457200002</c:v>
                </c:pt>
                <c:pt idx="244">
                  <c:v>62736.890845200003</c:v>
                </c:pt>
                <c:pt idx="245">
                  <c:v>64784.248588399998</c:v>
                </c:pt>
                <c:pt idx="246">
                  <c:v>65661.687621200006</c:v>
                </c:pt>
                <c:pt idx="247">
                  <c:v>67050.9660898</c:v>
                </c:pt>
                <c:pt idx="248">
                  <c:v>67343.4457674</c:v>
                </c:pt>
                <c:pt idx="249">
                  <c:v>67489.685606200001</c:v>
                </c:pt>
                <c:pt idx="250">
                  <c:v>66392.886815200007</c:v>
                </c:pt>
                <c:pt idx="251">
                  <c:v>64930.488427199998</c:v>
                </c:pt>
                <c:pt idx="252">
                  <c:v>66100.407137600007</c:v>
                </c:pt>
                <c:pt idx="253">
                  <c:v>65661.687621200006</c:v>
                </c:pt>
                <c:pt idx="254">
                  <c:v>65222.968104799998</c:v>
                </c:pt>
                <c:pt idx="255">
                  <c:v>66392.886815200007</c:v>
                </c:pt>
                <c:pt idx="256">
                  <c:v>65807.927460000006</c:v>
                </c:pt>
                <c:pt idx="257">
                  <c:v>67562.805525599993</c:v>
                </c:pt>
                <c:pt idx="258">
                  <c:v>69317.683591199995</c:v>
                </c:pt>
                <c:pt idx="259">
                  <c:v>69317.683591199995</c:v>
                </c:pt>
                <c:pt idx="260">
                  <c:v>68732.724235999995</c:v>
                </c:pt>
                <c:pt idx="261">
                  <c:v>68147.764880799994</c:v>
                </c:pt>
                <c:pt idx="262">
                  <c:v>67050.9660898</c:v>
                </c:pt>
                <c:pt idx="263">
                  <c:v>67709.045364399994</c:v>
                </c:pt>
                <c:pt idx="264">
                  <c:v>68440.244558399994</c:v>
                </c:pt>
                <c:pt idx="265">
                  <c:v>68440.244558399994</c:v>
                </c:pt>
                <c:pt idx="266">
                  <c:v>67416.565686799993</c:v>
                </c:pt>
                <c:pt idx="267">
                  <c:v>66246.646976400007</c:v>
                </c:pt>
                <c:pt idx="268">
                  <c:v>64345.529071999998</c:v>
                </c:pt>
                <c:pt idx="269">
                  <c:v>64857.368507799998</c:v>
                </c:pt>
                <c:pt idx="270">
                  <c:v>65442.327862999999</c:v>
                </c:pt>
                <c:pt idx="271">
                  <c:v>66246.646976400007</c:v>
                </c:pt>
                <c:pt idx="272">
                  <c:v>67562.805525599993</c:v>
                </c:pt>
                <c:pt idx="273">
                  <c:v>68147.764880799994</c:v>
                </c:pt>
                <c:pt idx="274">
                  <c:v>69317.683591199995</c:v>
                </c:pt>
                <c:pt idx="275">
                  <c:v>73112.208849999995</c:v>
                </c:pt>
                <c:pt idx="276">
                  <c:v>71211.291419899993</c:v>
                </c:pt>
                <c:pt idx="277">
                  <c:v>71649.964672999995</c:v>
                </c:pt>
                <c:pt idx="278">
                  <c:v>69822.159451750005</c:v>
                </c:pt>
                <c:pt idx="279">
                  <c:v>67848.129812800005</c:v>
                </c:pt>
                <c:pt idx="280">
                  <c:v>68359.915274750005</c:v>
                </c:pt>
                <c:pt idx="281">
                  <c:v>70991.95479335</c:v>
                </c:pt>
                <c:pt idx="282">
                  <c:v>69091.037363249998</c:v>
                </c:pt>
                <c:pt idx="283">
                  <c:v>69237.261780949993</c:v>
                </c:pt>
                <c:pt idx="284">
                  <c:v>67117.007724299998</c:v>
                </c:pt>
                <c:pt idx="285">
                  <c:v>66532.110053500001</c:v>
                </c:pt>
                <c:pt idx="286">
                  <c:v>70187.720495999994</c:v>
                </c:pt>
                <c:pt idx="287">
                  <c:v>70918.842584500002</c:v>
                </c:pt>
                <c:pt idx="288">
                  <c:v>71796.189090700005</c:v>
                </c:pt>
                <c:pt idx="289">
                  <c:v>70626.393749099996</c:v>
                </c:pt>
                <c:pt idx="290">
                  <c:v>71138.179211049996</c:v>
                </c:pt>
                <c:pt idx="291">
                  <c:v>74135.779773899994</c:v>
                </c:pt>
                <c:pt idx="292">
                  <c:v>74574.453026999996</c:v>
                </c:pt>
                <c:pt idx="293">
                  <c:v>74720.677444700006</c:v>
                </c:pt>
                <c:pt idx="294">
                  <c:v>75159.350697799993</c:v>
                </c:pt>
                <c:pt idx="295">
                  <c:v>75451.799533199999</c:v>
                </c:pt>
                <c:pt idx="296">
                  <c:v>73404.657685400001</c:v>
                </c:pt>
                <c:pt idx="297">
                  <c:v>74135.779773899994</c:v>
                </c:pt>
                <c:pt idx="298">
                  <c:v>74574.453026999996</c:v>
                </c:pt>
                <c:pt idx="299">
                  <c:v>73112.208849999995</c:v>
                </c:pt>
                <c:pt idx="300">
                  <c:v>77206.492545600006</c:v>
                </c:pt>
                <c:pt idx="301">
                  <c:v>76036.697203999996</c:v>
                </c:pt>
                <c:pt idx="302">
                  <c:v>76475.370457099998</c:v>
                </c:pt>
                <c:pt idx="303">
                  <c:v>76036.697203999996</c:v>
                </c:pt>
                <c:pt idx="304">
                  <c:v>72965.9844323</c:v>
                </c:pt>
                <c:pt idx="305">
                  <c:v>72965.9844323</c:v>
                </c:pt>
                <c:pt idx="306">
                  <c:v>72234.862343800007</c:v>
                </c:pt>
                <c:pt idx="307">
                  <c:v>70480.1693314</c:v>
                </c:pt>
                <c:pt idx="308">
                  <c:v>71065.067002199998</c:v>
                </c:pt>
                <c:pt idx="309">
                  <c:v>72819.760014600004</c:v>
                </c:pt>
                <c:pt idx="310">
                  <c:v>76475.370457099998</c:v>
                </c:pt>
                <c:pt idx="311">
                  <c:v>78668.736722600006</c:v>
                </c:pt>
                <c:pt idx="312">
                  <c:v>80277.205317300002</c:v>
                </c:pt>
                <c:pt idx="313">
                  <c:v>81300.776241200001</c:v>
                </c:pt>
                <c:pt idx="314">
                  <c:v>81447.000658899997</c:v>
                </c:pt>
                <c:pt idx="315">
                  <c:v>85248.835519100001</c:v>
                </c:pt>
                <c:pt idx="316">
                  <c:v>86711.079696100001</c:v>
                </c:pt>
                <c:pt idx="317">
                  <c:v>86418.630860699996</c:v>
                </c:pt>
                <c:pt idx="318">
                  <c:v>86126.182025300004</c:v>
                </c:pt>
                <c:pt idx="319">
                  <c:v>86126.182025300004</c:v>
                </c:pt>
                <c:pt idx="320">
                  <c:v>85248.835519100001</c:v>
                </c:pt>
                <c:pt idx="321">
                  <c:v>87880.875037699996</c:v>
                </c:pt>
                <c:pt idx="322">
                  <c:v>88904.445961599995</c:v>
                </c:pt>
                <c:pt idx="323">
                  <c:v>87588.426202300005</c:v>
                </c:pt>
                <c:pt idx="324">
                  <c:v>87149.752949200003</c:v>
                </c:pt>
                <c:pt idx="325">
                  <c:v>87734.65062</c:v>
                </c:pt>
                <c:pt idx="326">
                  <c:v>88465.772708499993</c:v>
                </c:pt>
                <c:pt idx="327">
                  <c:v>89196.894797000001</c:v>
                </c:pt>
                <c:pt idx="328">
                  <c:v>90659.138974000001</c:v>
                </c:pt>
                <c:pt idx="329">
                  <c:v>88465.772708499993</c:v>
                </c:pt>
                <c:pt idx="330">
                  <c:v>87734.65062</c:v>
                </c:pt>
                <c:pt idx="331">
                  <c:v>89928.016885499994</c:v>
                </c:pt>
                <c:pt idx="332">
                  <c:v>88465.772708499993</c:v>
                </c:pt>
                <c:pt idx="333">
                  <c:v>91828.934315599996</c:v>
                </c:pt>
                <c:pt idx="334">
                  <c:v>92998.729657200005</c:v>
                </c:pt>
                <c:pt idx="335">
                  <c:v>93583.627328000002</c:v>
                </c:pt>
                <c:pt idx="336">
                  <c:v>93291.178492599996</c:v>
                </c:pt>
                <c:pt idx="337">
                  <c:v>90659.138974000001</c:v>
                </c:pt>
                <c:pt idx="338">
                  <c:v>90512.914556300006</c:v>
                </c:pt>
                <c:pt idx="339">
                  <c:v>90805.363391699997</c:v>
                </c:pt>
                <c:pt idx="340">
                  <c:v>92121.383151000002</c:v>
                </c:pt>
                <c:pt idx="341">
                  <c:v>91097.812227100003</c:v>
                </c:pt>
                <c:pt idx="342">
                  <c:v>92706.280821799999</c:v>
                </c:pt>
                <c:pt idx="343">
                  <c:v>93583.627328000002</c:v>
                </c:pt>
                <c:pt idx="344">
                  <c:v>92121.383151000002</c:v>
                </c:pt>
                <c:pt idx="345">
                  <c:v>90659.138974000001</c:v>
                </c:pt>
                <c:pt idx="346">
                  <c:v>90951.587809400007</c:v>
                </c:pt>
                <c:pt idx="347">
                  <c:v>92560.056404100003</c:v>
                </c:pt>
              </c:numCache>
            </c:numRef>
          </c:val>
          <c:smooth val="1"/>
          <c:extLst>
            <c:ext xmlns:c16="http://schemas.microsoft.com/office/drawing/2014/chart" uri="{C3380CC4-5D6E-409C-BE32-E72D297353CC}">
              <c16:uniqueId val="{00000000-0E78-406F-8F6A-95198B4FB3B2}"/>
            </c:ext>
          </c:extLst>
        </c:ser>
        <c:ser>
          <c:idx val="1"/>
          <c:order val="1"/>
          <c:tx>
            <c:strRef>
              <c:f>Diamond!$N$2</c:f>
              <c:strCache>
                <c:ptCount val="1"/>
                <c:pt idx="0">
                  <c:v> BSC định giá EV MWG (Tỷ VND) </c:v>
                </c:pt>
              </c:strCache>
            </c:strRef>
          </c:tx>
          <c:spPr>
            <a:ln w="22225" cap="sq">
              <a:solidFill>
                <a:schemeClr val="accent2"/>
              </a:solidFill>
              <a:prstDash val="solid"/>
              <a:round/>
            </a:ln>
            <a:effectLst/>
          </c:spPr>
          <c:marker>
            <c:symbol val="none"/>
          </c:marker>
          <c:cat>
            <c:numRef>
              <c:f>Diamond!$L$19:$L$366</c:f>
              <c:numCache>
                <c:formatCode>m/d/yy</c:formatCode>
                <c:ptCount val="348"/>
                <c:pt idx="0">
                  <c:v>44958</c:v>
                </c:pt>
                <c:pt idx="1">
                  <c:v>44959</c:v>
                </c:pt>
                <c:pt idx="2">
                  <c:v>44960</c:v>
                </c:pt>
                <c:pt idx="3">
                  <c:v>44963</c:v>
                </c:pt>
                <c:pt idx="4">
                  <c:v>44964</c:v>
                </c:pt>
                <c:pt idx="5">
                  <c:v>44965</c:v>
                </c:pt>
                <c:pt idx="6">
                  <c:v>44966</c:v>
                </c:pt>
                <c:pt idx="7">
                  <c:v>44967</c:v>
                </c:pt>
                <c:pt idx="8">
                  <c:v>44970</c:v>
                </c:pt>
                <c:pt idx="9">
                  <c:v>44971</c:v>
                </c:pt>
                <c:pt idx="10">
                  <c:v>44972</c:v>
                </c:pt>
                <c:pt idx="11">
                  <c:v>44973</c:v>
                </c:pt>
                <c:pt idx="12">
                  <c:v>44974</c:v>
                </c:pt>
                <c:pt idx="13">
                  <c:v>44977</c:v>
                </c:pt>
                <c:pt idx="14">
                  <c:v>44978</c:v>
                </c:pt>
                <c:pt idx="15">
                  <c:v>44979</c:v>
                </c:pt>
                <c:pt idx="16">
                  <c:v>44980</c:v>
                </c:pt>
                <c:pt idx="17">
                  <c:v>44981</c:v>
                </c:pt>
                <c:pt idx="18">
                  <c:v>44984</c:v>
                </c:pt>
                <c:pt idx="19">
                  <c:v>44985</c:v>
                </c:pt>
                <c:pt idx="20">
                  <c:v>44986</c:v>
                </c:pt>
                <c:pt idx="21">
                  <c:v>44987</c:v>
                </c:pt>
                <c:pt idx="22">
                  <c:v>44988</c:v>
                </c:pt>
                <c:pt idx="23">
                  <c:v>44991</c:v>
                </c:pt>
                <c:pt idx="24">
                  <c:v>44992</c:v>
                </c:pt>
                <c:pt idx="25">
                  <c:v>44993</c:v>
                </c:pt>
                <c:pt idx="26">
                  <c:v>44994</c:v>
                </c:pt>
                <c:pt idx="27">
                  <c:v>44995</c:v>
                </c:pt>
                <c:pt idx="28">
                  <c:v>44998</c:v>
                </c:pt>
                <c:pt idx="29">
                  <c:v>44999</c:v>
                </c:pt>
                <c:pt idx="30">
                  <c:v>45000</c:v>
                </c:pt>
                <c:pt idx="31">
                  <c:v>45001</c:v>
                </c:pt>
                <c:pt idx="32">
                  <c:v>45002</c:v>
                </c:pt>
                <c:pt idx="33">
                  <c:v>45005</c:v>
                </c:pt>
                <c:pt idx="34">
                  <c:v>45006</c:v>
                </c:pt>
                <c:pt idx="35">
                  <c:v>45007</c:v>
                </c:pt>
                <c:pt idx="36">
                  <c:v>45008</c:v>
                </c:pt>
                <c:pt idx="37">
                  <c:v>45009</c:v>
                </c:pt>
                <c:pt idx="38">
                  <c:v>45012</c:v>
                </c:pt>
                <c:pt idx="39">
                  <c:v>45013</c:v>
                </c:pt>
                <c:pt idx="40">
                  <c:v>45014</c:v>
                </c:pt>
                <c:pt idx="41">
                  <c:v>45015</c:v>
                </c:pt>
                <c:pt idx="42">
                  <c:v>45016</c:v>
                </c:pt>
                <c:pt idx="43">
                  <c:v>45019</c:v>
                </c:pt>
                <c:pt idx="44">
                  <c:v>45020</c:v>
                </c:pt>
                <c:pt idx="45">
                  <c:v>45021</c:v>
                </c:pt>
                <c:pt idx="46">
                  <c:v>45022</c:v>
                </c:pt>
                <c:pt idx="47">
                  <c:v>45023</c:v>
                </c:pt>
                <c:pt idx="48">
                  <c:v>45026</c:v>
                </c:pt>
                <c:pt idx="49">
                  <c:v>45027</c:v>
                </c:pt>
                <c:pt idx="50">
                  <c:v>45028</c:v>
                </c:pt>
                <c:pt idx="51">
                  <c:v>45029</c:v>
                </c:pt>
                <c:pt idx="52">
                  <c:v>45030</c:v>
                </c:pt>
                <c:pt idx="53">
                  <c:v>45033</c:v>
                </c:pt>
                <c:pt idx="54">
                  <c:v>45034</c:v>
                </c:pt>
                <c:pt idx="55">
                  <c:v>45035</c:v>
                </c:pt>
                <c:pt idx="56">
                  <c:v>45036</c:v>
                </c:pt>
                <c:pt idx="57">
                  <c:v>45037</c:v>
                </c:pt>
                <c:pt idx="58">
                  <c:v>45040</c:v>
                </c:pt>
                <c:pt idx="59">
                  <c:v>45041</c:v>
                </c:pt>
                <c:pt idx="60">
                  <c:v>45042</c:v>
                </c:pt>
                <c:pt idx="61">
                  <c:v>45043</c:v>
                </c:pt>
                <c:pt idx="62">
                  <c:v>45044</c:v>
                </c:pt>
                <c:pt idx="63">
                  <c:v>45050</c:v>
                </c:pt>
                <c:pt idx="64">
                  <c:v>45051</c:v>
                </c:pt>
                <c:pt idx="65">
                  <c:v>45054</c:v>
                </c:pt>
                <c:pt idx="66">
                  <c:v>45055</c:v>
                </c:pt>
                <c:pt idx="67">
                  <c:v>45056</c:v>
                </c:pt>
                <c:pt idx="68">
                  <c:v>45057</c:v>
                </c:pt>
                <c:pt idx="69">
                  <c:v>45058</c:v>
                </c:pt>
                <c:pt idx="70">
                  <c:v>45061</c:v>
                </c:pt>
                <c:pt idx="71">
                  <c:v>45062</c:v>
                </c:pt>
                <c:pt idx="72">
                  <c:v>45063</c:v>
                </c:pt>
                <c:pt idx="73">
                  <c:v>45064</c:v>
                </c:pt>
                <c:pt idx="74">
                  <c:v>45065</c:v>
                </c:pt>
                <c:pt idx="75">
                  <c:v>45068</c:v>
                </c:pt>
                <c:pt idx="76">
                  <c:v>45069</c:v>
                </c:pt>
                <c:pt idx="77">
                  <c:v>45070</c:v>
                </c:pt>
                <c:pt idx="78">
                  <c:v>45071</c:v>
                </c:pt>
                <c:pt idx="79">
                  <c:v>45072</c:v>
                </c:pt>
                <c:pt idx="80">
                  <c:v>45075</c:v>
                </c:pt>
                <c:pt idx="81">
                  <c:v>45076</c:v>
                </c:pt>
                <c:pt idx="82">
                  <c:v>45077</c:v>
                </c:pt>
                <c:pt idx="83">
                  <c:v>45078</c:v>
                </c:pt>
                <c:pt idx="84">
                  <c:v>45079</c:v>
                </c:pt>
                <c:pt idx="85">
                  <c:v>45082</c:v>
                </c:pt>
                <c:pt idx="86">
                  <c:v>45083</c:v>
                </c:pt>
                <c:pt idx="87">
                  <c:v>45084</c:v>
                </c:pt>
                <c:pt idx="88">
                  <c:v>45085</c:v>
                </c:pt>
                <c:pt idx="89">
                  <c:v>45086</c:v>
                </c:pt>
                <c:pt idx="90">
                  <c:v>45089</c:v>
                </c:pt>
                <c:pt idx="91">
                  <c:v>45090</c:v>
                </c:pt>
                <c:pt idx="92">
                  <c:v>45091</c:v>
                </c:pt>
                <c:pt idx="93">
                  <c:v>45092</c:v>
                </c:pt>
                <c:pt idx="94">
                  <c:v>45093</c:v>
                </c:pt>
                <c:pt idx="95">
                  <c:v>45096</c:v>
                </c:pt>
                <c:pt idx="96">
                  <c:v>45097</c:v>
                </c:pt>
                <c:pt idx="97">
                  <c:v>45098</c:v>
                </c:pt>
                <c:pt idx="98">
                  <c:v>45099</c:v>
                </c:pt>
                <c:pt idx="99">
                  <c:v>45100</c:v>
                </c:pt>
                <c:pt idx="100">
                  <c:v>45103</c:v>
                </c:pt>
                <c:pt idx="101">
                  <c:v>45104</c:v>
                </c:pt>
                <c:pt idx="102">
                  <c:v>45105</c:v>
                </c:pt>
                <c:pt idx="103">
                  <c:v>45106</c:v>
                </c:pt>
                <c:pt idx="104">
                  <c:v>45107</c:v>
                </c:pt>
                <c:pt idx="105">
                  <c:v>45110</c:v>
                </c:pt>
                <c:pt idx="106">
                  <c:v>45111</c:v>
                </c:pt>
                <c:pt idx="107">
                  <c:v>45112</c:v>
                </c:pt>
                <c:pt idx="108">
                  <c:v>45113</c:v>
                </c:pt>
                <c:pt idx="109">
                  <c:v>45114</c:v>
                </c:pt>
                <c:pt idx="110">
                  <c:v>45117</c:v>
                </c:pt>
                <c:pt idx="111">
                  <c:v>45118</c:v>
                </c:pt>
                <c:pt idx="112">
                  <c:v>45119</c:v>
                </c:pt>
                <c:pt idx="113">
                  <c:v>45120</c:v>
                </c:pt>
                <c:pt idx="114">
                  <c:v>45121</c:v>
                </c:pt>
                <c:pt idx="115">
                  <c:v>45124</c:v>
                </c:pt>
                <c:pt idx="116">
                  <c:v>45125</c:v>
                </c:pt>
                <c:pt idx="117">
                  <c:v>45126</c:v>
                </c:pt>
                <c:pt idx="118">
                  <c:v>45127</c:v>
                </c:pt>
                <c:pt idx="119">
                  <c:v>45128</c:v>
                </c:pt>
                <c:pt idx="120">
                  <c:v>45131</c:v>
                </c:pt>
                <c:pt idx="121">
                  <c:v>45132</c:v>
                </c:pt>
                <c:pt idx="122">
                  <c:v>45133</c:v>
                </c:pt>
                <c:pt idx="123">
                  <c:v>45134</c:v>
                </c:pt>
                <c:pt idx="124">
                  <c:v>45135</c:v>
                </c:pt>
                <c:pt idx="125">
                  <c:v>45138</c:v>
                </c:pt>
                <c:pt idx="126">
                  <c:v>45139</c:v>
                </c:pt>
                <c:pt idx="127">
                  <c:v>45140</c:v>
                </c:pt>
                <c:pt idx="128">
                  <c:v>45141</c:v>
                </c:pt>
                <c:pt idx="129">
                  <c:v>45142</c:v>
                </c:pt>
                <c:pt idx="130">
                  <c:v>45145</c:v>
                </c:pt>
                <c:pt idx="131">
                  <c:v>45146</c:v>
                </c:pt>
                <c:pt idx="132">
                  <c:v>45147</c:v>
                </c:pt>
                <c:pt idx="133">
                  <c:v>45148</c:v>
                </c:pt>
                <c:pt idx="134">
                  <c:v>45149</c:v>
                </c:pt>
                <c:pt idx="135">
                  <c:v>45152</c:v>
                </c:pt>
                <c:pt idx="136">
                  <c:v>45153</c:v>
                </c:pt>
                <c:pt idx="137">
                  <c:v>45154</c:v>
                </c:pt>
                <c:pt idx="138">
                  <c:v>45155</c:v>
                </c:pt>
                <c:pt idx="139">
                  <c:v>45156</c:v>
                </c:pt>
                <c:pt idx="140">
                  <c:v>45159</c:v>
                </c:pt>
                <c:pt idx="141">
                  <c:v>45160</c:v>
                </c:pt>
                <c:pt idx="142">
                  <c:v>45161</c:v>
                </c:pt>
                <c:pt idx="143">
                  <c:v>45162</c:v>
                </c:pt>
                <c:pt idx="144">
                  <c:v>45163</c:v>
                </c:pt>
                <c:pt idx="145">
                  <c:v>45166</c:v>
                </c:pt>
                <c:pt idx="146">
                  <c:v>45167</c:v>
                </c:pt>
                <c:pt idx="147">
                  <c:v>45168</c:v>
                </c:pt>
                <c:pt idx="148">
                  <c:v>45169</c:v>
                </c:pt>
                <c:pt idx="149">
                  <c:v>45174</c:v>
                </c:pt>
                <c:pt idx="150">
                  <c:v>45175</c:v>
                </c:pt>
                <c:pt idx="151">
                  <c:v>45176</c:v>
                </c:pt>
                <c:pt idx="152">
                  <c:v>45177</c:v>
                </c:pt>
                <c:pt idx="153">
                  <c:v>45180</c:v>
                </c:pt>
                <c:pt idx="154">
                  <c:v>45181</c:v>
                </c:pt>
                <c:pt idx="155">
                  <c:v>45182</c:v>
                </c:pt>
                <c:pt idx="156">
                  <c:v>45183</c:v>
                </c:pt>
                <c:pt idx="157">
                  <c:v>45184</c:v>
                </c:pt>
                <c:pt idx="158">
                  <c:v>45187</c:v>
                </c:pt>
                <c:pt idx="159">
                  <c:v>45188</c:v>
                </c:pt>
                <c:pt idx="160">
                  <c:v>45189</c:v>
                </c:pt>
                <c:pt idx="161">
                  <c:v>45190</c:v>
                </c:pt>
                <c:pt idx="162">
                  <c:v>45191</c:v>
                </c:pt>
                <c:pt idx="163">
                  <c:v>45194</c:v>
                </c:pt>
                <c:pt idx="164">
                  <c:v>45195</c:v>
                </c:pt>
                <c:pt idx="165">
                  <c:v>45196</c:v>
                </c:pt>
                <c:pt idx="166">
                  <c:v>45197</c:v>
                </c:pt>
                <c:pt idx="167">
                  <c:v>45198</c:v>
                </c:pt>
                <c:pt idx="168">
                  <c:v>45201</c:v>
                </c:pt>
                <c:pt idx="169">
                  <c:v>45202</c:v>
                </c:pt>
                <c:pt idx="170">
                  <c:v>45203</c:v>
                </c:pt>
                <c:pt idx="171">
                  <c:v>45204</c:v>
                </c:pt>
                <c:pt idx="172">
                  <c:v>45205</c:v>
                </c:pt>
                <c:pt idx="173">
                  <c:v>45208</c:v>
                </c:pt>
                <c:pt idx="174">
                  <c:v>45209</c:v>
                </c:pt>
                <c:pt idx="175">
                  <c:v>45210</c:v>
                </c:pt>
                <c:pt idx="176">
                  <c:v>45211</c:v>
                </c:pt>
                <c:pt idx="177">
                  <c:v>45212</c:v>
                </c:pt>
                <c:pt idx="178">
                  <c:v>45215</c:v>
                </c:pt>
                <c:pt idx="179">
                  <c:v>45216</c:v>
                </c:pt>
                <c:pt idx="180">
                  <c:v>45217</c:v>
                </c:pt>
                <c:pt idx="181">
                  <c:v>45218</c:v>
                </c:pt>
                <c:pt idx="182">
                  <c:v>45219</c:v>
                </c:pt>
                <c:pt idx="183">
                  <c:v>45222</c:v>
                </c:pt>
                <c:pt idx="184">
                  <c:v>45223</c:v>
                </c:pt>
                <c:pt idx="185">
                  <c:v>45224</c:v>
                </c:pt>
                <c:pt idx="186">
                  <c:v>45225</c:v>
                </c:pt>
                <c:pt idx="187">
                  <c:v>45226</c:v>
                </c:pt>
                <c:pt idx="188">
                  <c:v>45229</c:v>
                </c:pt>
                <c:pt idx="189">
                  <c:v>45230</c:v>
                </c:pt>
                <c:pt idx="190">
                  <c:v>45231</c:v>
                </c:pt>
                <c:pt idx="191">
                  <c:v>45232</c:v>
                </c:pt>
                <c:pt idx="192">
                  <c:v>45233</c:v>
                </c:pt>
                <c:pt idx="193">
                  <c:v>45236</c:v>
                </c:pt>
                <c:pt idx="194">
                  <c:v>45237</c:v>
                </c:pt>
                <c:pt idx="195">
                  <c:v>45238</c:v>
                </c:pt>
                <c:pt idx="196">
                  <c:v>45239</c:v>
                </c:pt>
                <c:pt idx="197">
                  <c:v>45240</c:v>
                </c:pt>
                <c:pt idx="198">
                  <c:v>45243</c:v>
                </c:pt>
                <c:pt idx="199">
                  <c:v>45244</c:v>
                </c:pt>
                <c:pt idx="200">
                  <c:v>45245</c:v>
                </c:pt>
                <c:pt idx="201">
                  <c:v>45246</c:v>
                </c:pt>
                <c:pt idx="202">
                  <c:v>45247</c:v>
                </c:pt>
                <c:pt idx="203">
                  <c:v>45250</c:v>
                </c:pt>
                <c:pt idx="204">
                  <c:v>45251</c:v>
                </c:pt>
                <c:pt idx="205">
                  <c:v>45252</c:v>
                </c:pt>
                <c:pt idx="206">
                  <c:v>45253</c:v>
                </c:pt>
                <c:pt idx="207">
                  <c:v>45254</c:v>
                </c:pt>
                <c:pt idx="208">
                  <c:v>45257</c:v>
                </c:pt>
                <c:pt idx="209">
                  <c:v>45258</c:v>
                </c:pt>
                <c:pt idx="210">
                  <c:v>45259</c:v>
                </c:pt>
                <c:pt idx="211">
                  <c:v>45260</c:v>
                </c:pt>
                <c:pt idx="212">
                  <c:v>45261</c:v>
                </c:pt>
                <c:pt idx="213">
                  <c:v>45264</c:v>
                </c:pt>
                <c:pt idx="214">
                  <c:v>45265</c:v>
                </c:pt>
                <c:pt idx="215">
                  <c:v>45266</c:v>
                </c:pt>
                <c:pt idx="216">
                  <c:v>45267</c:v>
                </c:pt>
                <c:pt idx="217">
                  <c:v>45268</c:v>
                </c:pt>
                <c:pt idx="218">
                  <c:v>45271</c:v>
                </c:pt>
                <c:pt idx="219">
                  <c:v>45272</c:v>
                </c:pt>
                <c:pt idx="220">
                  <c:v>45273</c:v>
                </c:pt>
                <c:pt idx="221">
                  <c:v>45274</c:v>
                </c:pt>
                <c:pt idx="222">
                  <c:v>45275</c:v>
                </c:pt>
                <c:pt idx="223">
                  <c:v>45278</c:v>
                </c:pt>
                <c:pt idx="224">
                  <c:v>45279</c:v>
                </c:pt>
                <c:pt idx="225">
                  <c:v>45280</c:v>
                </c:pt>
                <c:pt idx="226">
                  <c:v>45281</c:v>
                </c:pt>
                <c:pt idx="227">
                  <c:v>45282</c:v>
                </c:pt>
                <c:pt idx="228">
                  <c:v>45285</c:v>
                </c:pt>
                <c:pt idx="229">
                  <c:v>45286</c:v>
                </c:pt>
                <c:pt idx="230">
                  <c:v>45287</c:v>
                </c:pt>
                <c:pt idx="231">
                  <c:v>45288</c:v>
                </c:pt>
                <c:pt idx="232">
                  <c:v>45289</c:v>
                </c:pt>
                <c:pt idx="233">
                  <c:v>45293</c:v>
                </c:pt>
                <c:pt idx="234">
                  <c:v>45294</c:v>
                </c:pt>
                <c:pt idx="235">
                  <c:v>45295</c:v>
                </c:pt>
                <c:pt idx="236">
                  <c:v>45296</c:v>
                </c:pt>
                <c:pt idx="237">
                  <c:v>45299</c:v>
                </c:pt>
                <c:pt idx="238">
                  <c:v>45300</c:v>
                </c:pt>
                <c:pt idx="239">
                  <c:v>45301</c:v>
                </c:pt>
                <c:pt idx="240">
                  <c:v>45302</c:v>
                </c:pt>
                <c:pt idx="241">
                  <c:v>45303</c:v>
                </c:pt>
                <c:pt idx="242">
                  <c:v>45306</c:v>
                </c:pt>
                <c:pt idx="243">
                  <c:v>45307</c:v>
                </c:pt>
                <c:pt idx="244">
                  <c:v>45308</c:v>
                </c:pt>
                <c:pt idx="245">
                  <c:v>45309</c:v>
                </c:pt>
                <c:pt idx="246">
                  <c:v>45310</c:v>
                </c:pt>
                <c:pt idx="247">
                  <c:v>45313</c:v>
                </c:pt>
                <c:pt idx="248">
                  <c:v>45314</c:v>
                </c:pt>
                <c:pt idx="249">
                  <c:v>45315</c:v>
                </c:pt>
                <c:pt idx="250">
                  <c:v>45316</c:v>
                </c:pt>
                <c:pt idx="251">
                  <c:v>45317</c:v>
                </c:pt>
                <c:pt idx="252">
                  <c:v>45320</c:v>
                </c:pt>
                <c:pt idx="253">
                  <c:v>45321</c:v>
                </c:pt>
                <c:pt idx="254">
                  <c:v>45322</c:v>
                </c:pt>
                <c:pt idx="255">
                  <c:v>45323</c:v>
                </c:pt>
                <c:pt idx="256">
                  <c:v>45324</c:v>
                </c:pt>
                <c:pt idx="257">
                  <c:v>45327</c:v>
                </c:pt>
                <c:pt idx="258">
                  <c:v>45328</c:v>
                </c:pt>
                <c:pt idx="259">
                  <c:v>45329</c:v>
                </c:pt>
                <c:pt idx="260">
                  <c:v>45337</c:v>
                </c:pt>
                <c:pt idx="261">
                  <c:v>45338</c:v>
                </c:pt>
                <c:pt idx="262">
                  <c:v>45341</c:v>
                </c:pt>
                <c:pt idx="263">
                  <c:v>45342</c:v>
                </c:pt>
                <c:pt idx="264">
                  <c:v>45343</c:v>
                </c:pt>
                <c:pt idx="265">
                  <c:v>45344</c:v>
                </c:pt>
                <c:pt idx="266">
                  <c:v>45345</c:v>
                </c:pt>
                <c:pt idx="267">
                  <c:v>45348</c:v>
                </c:pt>
                <c:pt idx="268">
                  <c:v>45349</c:v>
                </c:pt>
                <c:pt idx="269">
                  <c:v>45350</c:v>
                </c:pt>
                <c:pt idx="270">
                  <c:v>45351</c:v>
                </c:pt>
                <c:pt idx="271">
                  <c:v>45352</c:v>
                </c:pt>
                <c:pt idx="272">
                  <c:v>45355</c:v>
                </c:pt>
                <c:pt idx="273">
                  <c:v>45356</c:v>
                </c:pt>
                <c:pt idx="274">
                  <c:v>45357</c:v>
                </c:pt>
                <c:pt idx="275">
                  <c:v>45358</c:v>
                </c:pt>
                <c:pt idx="276">
                  <c:v>45359</c:v>
                </c:pt>
                <c:pt idx="277">
                  <c:v>45362</c:v>
                </c:pt>
                <c:pt idx="278">
                  <c:v>45363</c:v>
                </c:pt>
                <c:pt idx="279">
                  <c:v>45364</c:v>
                </c:pt>
                <c:pt idx="280">
                  <c:v>45365</c:v>
                </c:pt>
                <c:pt idx="281">
                  <c:v>45366</c:v>
                </c:pt>
                <c:pt idx="282">
                  <c:v>45369</c:v>
                </c:pt>
                <c:pt idx="283">
                  <c:v>45370</c:v>
                </c:pt>
                <c:pt idx="284">
                  <c:v>45371</c:v>
                </c:pt>
                <c:pt idx="285">
                  <c:v>45372</c:v>
                </c:pt>
                <c:pt idx="286">
                  <c:v>45373</c:v>
                </c:pt>
                <c:pt idx="287">
                  <c:v>45376</c:v>
                </c:pt>
                <c:pt idx="288">
                  <c:v>45377</c:v>
                </c:pt>
                <c:pt idx="289">
                  <c:v>45378</c:v>
                </c:pt>
                <c:pt idx="290">
                  <c:v>45379</c:v>
                </c:pt>
                <c:pt idx="291">
                  <c:v>45380</c:v>
                </c:pt>
                <c:pt idx="292">
                  <c:v>45383</c:v>
                </c:pt>
                <c:pt idx="293">
                  <c:v>45384</c:v>
                </c:pt>
                <c:pt idx="294">
                  <c:v>45385</c:v>
                </c:pt>
                <c:pt idx="295">
                  <c:v>45386</c:v>
                </c:pt>
                <c:pt idx="296">
                  <c:v>45387</c:v>
                </c:pt>
                <c:pt idx="297">
                  <c:v>45390</c:v>
                </c:pt>
                <c:pt idx="298">
                  <c:v>45391</c:v>
                </c:pt>
                <c:pt idx="299">
                  <c:v>45392</c:v>
                </c:pt>
                <c:pt idx="300">
                  <c:v>45393</c:v>
                </c:pt>
                <c:pt idx="301">
                  <c:v>45394</c:v>
                </c:pt>
                <c:pt idx="302">
                  <c:v>45397</c:v>
                </c:pt>
                <c:pt idx="303">
                  <c:v>45398</c:v>
                </c:pt>
                <c:pt idx="304">
                  <c:v>45399</c:v>
                </c:pt>
                <c:pt idx="305">
                  <c:v>45401</c:v>
                </c:pt>
                <c:pt idx="306">
                  <c:v>45404</c:v>
                </c:pt>
                <c:pt idx="307">
                  <c:v>45405</c:v>
                </c:pt>
                <c:pt idx="308">
                  <c:v>45406</c:v>
                </c:pt>
                <c:pt idx="309">
                  <c:v>45407</c:v>
                </c:pt>
                <c:pt idx="310">
                  <c:v>45408</c:v>
                </c:pt>
                <c:pt idx="311">
                  <c:v>45414</c:v>
                </c:pt>
                <c:pt idx="312">
                  <c:v>45415</c:v>
                </c:pt>
                <c:pt idx="313">
                  <c:v>45418</c:v>
                </c:pt>
                <c:pt idx="314">
                  <c:v>45419</c:v>
                </c:pt>
                <c:pt idx="315">
                  <c:v>45420</c:v>
                </c:pt>
                <c:pt idx="316">
                  <c:v>45421</c:v>
                </c:pt>
                <c:pt idx="317">
                  <c:v>45422</c:v>
                </c:pt>
                <c:pt idx="318">
                  <c:v>45425</c:v>
                </c:pt>
                <c:pt idx="319">
                  <c:v>45426</c:v>
                </c:pt>
                <c:pt idx="320">
                  <c:v>45427</c:v>
                </c:pt>
                <c:pt idx="321">
                  <c:v>45428</c:v>
                </c:pt>
                <c:pt idx="322">
                  <c:v>45429</c:v>
                </c:pt>
                <c:pt idx="323">
                  <c:v>45432</c:v>
                </c:pt>
                <c:pt idx="324">
                  <c:v>45433</c:v>
                </c:pt>
                <c:pt idx="325">
                  <c:v>45434</c:v>
                </c:pt>
                <c:pt idx="326">
                  <c:v>45435</c:v>
                </c:pt>
                <c:pt idx="327">
                  <c:v>45436</c:v>
                </c:pt>
                <c:pt idx="328">
                  <c:v>45439</c:v>
                </c:pt>
                <c:pt idx="329">
                  <c:v>45440</c:v>
                </c:pt>
                <c:pt idx="330">
                  <c:v>45441</c:v>
                </c:pt>
                <c:pt idx="331">
                  <c:v>45442</c:v>
                </c:pt>
                <c:pt idx="332">
                  <c:v>45443</c:v>
                </c:pt>
                <c:pt idx="333">
                  <c:v>45446</c:v>
                </c:pt>
                <c:pt idx="334">
                  <c:v>45447</c:v>
                </c:pt>
                <c:pt idx="335">
                  <c:v>45448</c:v>
                </c:pt>
                <c:pt idx="336">
                  <c:v>45449</c:v>
                </c:pt>
                <c:pt idx="337">
                  <c:v>45450</c:v>
                </c:pt>
                <c:pt idx="338">
                  <c:v>45453</c:v>
                </c:pt>
                <c:pt idx="339">
                  <c:v>45454</c:v>
                </c:pt>
                <c:pt idx="340">
                  <c:v>45455</c:v>
                </c:pt>
                <c:pt idx="341">
                  <c:v>45456</c:v>
                </c:pt>
                <c:pt idx="342">
                  <c:v>45457</c:v>
                </c:pt>
                <c:pt idx="343">
                  <c:v>45460</c:v>
                </c:pt>
                <c:pt idx="344">
                  <c:v>45461</c:v>
                </c:pt>
                <c:pt idx="345">
                  <c:v>45462</c:v>
                </c:pt>
                <c:pt idx="346">
                  <c:v>45463</c:v>
                </c:pt>
                <c:pt idx="347">
                  <c:v>45464</c:v>
                </c:pt>
              </c:numCache>
            </c:numRef>
          </c:cat>
          <c:val>
            <c:numRef>
              <c:f>Diamond!$N$19:$N$366</c:f>
              <c:numCache>
                <c:formatCode>_-* #,##0_-;\-* #,##0_-;_-* "-"??_-;_-@_-</c:formatCode>
                <c:ptCount val="348"/>
                <c:pt idx="0">
                  <c:v>67272</c:v>
                </c:pt>
                <c:pt idx="1">
                  <c:v>67272</c:v>
                </c:pt>
                <c:pt idx="2">
                  <c:v>67272</c:v>
                </c:pt>
                <c:pt idx="3">
                  <c:v>67272</c:v>
                </c:pt>
                <c:pt idx="4">
                  <c:v>67272</c:v>
                </c:pt>
                <c:pt idx="5">
                  <c:v>67272</c:v>
                </c:pt>
                <c:pt idx="6">
                  <c:v>67272</c:v>
                </c:pt>
                <c:pt idx="7">
                  <c:v>67272</c:v>
                </c:pt>
                <c:pt idx="8">
                  <c:v>67272</c:v>
                </c:pt>
                <c:pt idx="9">
                  <c:v>67272</c:v>
                </c:pt>
                <c:pt idx="10">
                  <c:v>67272</c:v>
                </c:pt>
                <c:pt idx="11">
                  <c:v>67272</c:v>
                </c:pt>
                <c:pt idx="12">
                  <c:v>67272</c:v>
                </c:pt>
                <c:pt idx="13">
                  <c:v>67272</c:v>
                </c:pt>
                <c:pt idx="14">
                  <c:v>67272</c:v>
                </c:pt>
                <c:pt idx="15">
                  <c:v>67272</c:v>
                </c:pt>
                <c:pt idx="16">
                  <c:v>67272</c:v>
                </c:pt>
                <c:pt idx="17">
                  <c:v>67272</c:v>
                </c:pt>
                <c:pt idx="18">
                  <c:v>67272</c:v>
                </c:pt>
                <c:pt idx="19">
                  <c:v>67272</c:v>
                </c:pt>
                <c:pt idx="20">
                  <c:v>67272</c:v>
                </c:pt>
                <c:pt idx="21">
                  <c:v>67272</c:v>
                </c:pt>
                <c:pt idx="22">
                  <c:v>67272</c:v>
                </c:pt>
                <c:pt idx="23">
                  <c:v>67272</c:v>
                </c:pt>
                <c:pt idx="24">
                  <c:v>67272</c:v>
                </c:pt>
                <c:pt idx="25">
                  <c:v>67272</c:v>
                </c:pt>
                <c:pt idx="26">
                  <c:v>67272</c:v>
                </c:pt>
                <c:pt idx="27">
                  <c:v>67272</c:v>
                </c:pt>
                <c:pt idx="28">
                  <c:v>67272</c:v>
                </c:pt>
                <c:pt idx="29">
                  <c:v>67272</c:v>
                </c:pt>
                <c:pt idx="30">
                  <c:v>67272</c:v>
                </c:pt>
                <c:pt idx="31">
                  <c:v>67272</c:v>
                </c:pt>
                <c:pt idx="32">
                  <c:v>67272</c:v>
                </c:pt>
                <c:pt idx="33">
                  <c:v>67272</c:v>
                </c:pt>
                <c:pt idx="34">
                  <c:v>67272</c:v>
                </c:pt>
                <c:pt idx="35">
                  <c:v>67272</c:v>
                </c:pt>
                <c:pt idx="36">
                  <c:v>67272</c:v>
                </c:pt>
                <c:pt idx="37">
                  <c:v>67272</c:v>
                </c:pt>
                <c:pt idx="38">
                  <c:v>67272</c:v>
                </c:pt>
                <c:pt idx="39">
                  <c:v>67272</c:v>
                </c:pt>
                <c:pt idx="40">
                  <c:v>67272</c:v>
                </c:pt>
                <c:pt idx="41">
                  <c:v>67272</c:v>
                </c:pt>
                <c:pt idx="42">
                  <c:v>67272</c:v>
                </c:pt>
                <c:pt idx="43">
                  <c:v>67272</c:v>
                </c:pt>
                <c:pt idx="44">
                  <c:v>67272</c:v>
                </c:pt>
                <c:pt idx="45">
                  <c:v>67272</c:v>
                </c:pt>
                <c:pt idx="46">
                  <c:v>67272</c:v>
                </c:pt>
                <c:pt idx="47">
                  <c:v>67272</c:v>
                </c:pt>
                <c:pt idx="48">
                  <c:v>67272</c:v>
                </c:pt>
                <c:pt idx="49">
                  <c:v>67272</c:v>
                </c:pt>
                <c:pt idx="50">
                  <c:v>67272</c:v>
                </c:pt>
                <c:pt idx="51">
                  <c:v>67272</c:v>
                </c:pt>
                <c:pt idx="52">
                  <c:v>67272</c:v>
                </c:pt>
                <c:pt idx="53">
                  <c:v>67272</c:v>
                </c:pt>
                <c:pt idx="54">
                  <c:v>67272</c:v>
                </c:pt>
                <c:pt idx="55">
                  <c:v>67272</c:v>
                </c:pt>
                <c:pt idx="56">
                  <c:v>67272</c:v>
                </c:pt>
                <c:pt idx="57">
                  <c:v>67272</c:v>
                </c:pt>
                <c:pt idx="58">
                  <c:v>67272</c:v>
                </c:pt>
                <c:pt idx="59">
                  <c:v>67272</c:v>
                </c:pt>
                <c:pt idx="60">
                  <c:v>67272</c:v>
                </c:pt>
                <c:pt idx="61">
                  <c:v>67272</c:v>
                </c:pt>
                <c:pt idx="62">
                  <c:v>67272</c:v>
                </c:pt>
                <c:pt idx="63">
                  <c:v>67272</c:v>
                </c:pt>
                <c:pt idx="64">
                  <c:v>67272</c:v>
                </c:pt>
                <c:pt idx="65">
                  <c:v>67272</c:v>
                </c:pt>
                <c:pt idx="66">
                  <c:v>67272</c:v>
                </c:pt>
                <c:pt idx="67">
                  <c:v>67272</c:v>
                </c:pt>
                <c:pt idx="68">
                  <c:v>67272</c:v>
                </c:pt>
                <c:pt idx="69">
                  <c:v>67272</c:v>
                </c:pt>
                <c:pt idx="70">
                  <c:v>67272</c:v>
                </c:pt>
                <c:pt idx="71">
                  <c:v>67272</c:v>
                </c:pt>
                <c:pt idx="72">
                  <c:v>67272</c:v>
                </c:pt>
                <c:pt idx="73">
                  <c:v>67272</c:v>
                </c:pt>
                <c:pt idx="74">
                  <c:v>67272</c:v>
                </c:pt>
                <c:pt idx="75">
                  <c:v>67272</c:v>
                </c:pt>
                <c:pt idx="76">
                  <c:v>67272</c:v>
                </c:pt>
                <c:pt idx="77">
                  <c:v>67272</c:v>
                </c:pt>
                <c:pt idx="78">
                  <c:v>67272</c:v>
                </c:pt>
                <c:pt idx="79">
                  <c:v>67272</c:v>
                </c:pt>
                <c:pt idx="80">
                  <c:v>67272</c:v>
                </c:pt>
                <c:pt idx="81">
                  <c:v>67272</c:v>
                </c:pt>
                <c:pt idx="82">
                  <c:v>67272</c:v>
                </c:pt>
                <c:pt idx="83">
                  <c:v>67272</c:v>
                </c:pt>
                <c:pt idx="84">
                  <c:v>67272</c:v>
                </c:pt>
                <c:pt idx="85">
                  <c:v>67272</c:v>
                </c:pt>
                <c:pt idx="86">
                  <c:v>67272</c:v>
                </c:pt>
                <c:pt idx="87">
                  <c:v>67272</c:v>
                </c:pt>
                <c:pt idx="88">
                  <c:v>67272</c:v>
                </c:pt>
                <c:pt idx="89">
                  <c:v>67272</c:v>
                </c:pt>
                <c:pt idx="90">
                  <c:v>67272</c:v>
                </c:pt>
                <c:pt idx="91">
                  <c:v>67272</c:v>
                </c:pt>
                <c:pt idx="92">
                  <c:v>67272</c:v>
                </c:pt>
                <c:pt idx="93">
                  <c:v>67272</c:v>
                </c:pt>
                <c:pt idx="94">
                  <c:v>67272</c:v>
                </c:pt>
                <c:pt idx="95">
                  <c:v>67272</c:v>
                </c:pt>
                <c:pt idx="96">
                  <c:v>67272</c:v>
                </c:pt>
                <c:pt idx="97">
                  <c:v>67272</c:v>
                </c:pt>
                <c:pt idx="98">
                  <c:v>67272</c:v>
                </c:pt>
                <c:pt idx="99">
                  <c:v>67272</c:v>
                </c:pt>
                <c:pt idx="100">
                  <c:v>67272</c:v>
                </c:pt>
                <c:pt idx="101">
                  <c:v>67272</c:v>
                </c:pt>
                <c:pt idx="102">
                  <c:v>67272</c:v>
                </c:pt>
                <c:pt idx="103">
                  <c:v>67272</c:v>
                </c:pt>
                <c:pt idx="104">
                  <c:v>67272</c:v>
                </c:pt>
                <c:pt idx="105">
                  <c:v>67272</c:v>
                </c:pt>
                <c:pt idx="106">
                  <c:v>67272</c:v>
                </c:pt>
                <c:pt idx="107">
                  <c:v>67272</c:v>
                </c:pt>
                <c:pt idx="108">
                  <c:v>67272</c:v>
                </c:pt>
                <c:pt idx="109">
                  <c:v>67272</c:v>
                </c:pt>
                <c:pt idx="110">
                  <c:v>67272</c:v>
                </c:pt>
                <c:pt idx="111">
                  <c:v>80903.900000000009</c:v>
                </c:pt>
                <c:pt idx="112">
                  <c:v>80903.900000000009</c:v>
                </c:pt>
                <c:pt idx="113">
                  <c:v>80903.900000000009</c:v>
                </c:pt>
                <c:pt idx="114">
                  <c:v>80903.900000000009</c:v>
                </c:pt>
                <c:pt idx="115">
                  <c:v>80903.900000000009</c:v>
                </c:pt>
                <c:pt idx="116">
                  <c:v>80903.900000000009</c:v>
                </c:pt>
                <c:pt idx="117">
                  <c:v>80903.900000000009</c:v>
                </c:pt>
                <c:pt idx="118">
                  <c:v>80903.900000000009</c:v>
                </c:pt>
                <c:pt idx="119">
                  <c:v>80903.900000000009</c:v>
                </c:pt>
                <c:pt idx="120">
                  <c:v>80903.900000000009</c:v>
                </c:pt>
                <c:pt idx="121">
                  <c:v>80903.900000000009</c:v>
                </c:pt>
                <c:pt idx="122">
                  <c:v>80903.900000000009</c:v>
                </c:pt>
                <c:pt idx="123">
                  <c:v>80903.900000000009</c:v>
                </c:pt>
                <c:pt idx="124">
                  <c:v>80903.900000000009</c:v>
                </c:pt>
                <c:pt idx="125">
                  <c:v>80903.900000000009</c:v>
                </c:pt>
                <c:pt idx="126">
                  <c:v>80903.900000000009</c:v>
                </c:pt>
                <c:pt idx="127">
                  <c:v>80903.900000000009</c:v>
                </c:pt>
                <c:pt idx="128">
                  <c:v>80903.900000000009</c:v>
                </c:pt>
                <c:pt idx="129">
                  <c:v>80903.900000000009</c:v>
                </c:pt>
                <c:pt idx="130">
                  <c:v>80903.900000000009</c:v>
                </c:pt>
                <c:pt idx="131">
                  <c:v>80903.900000000009</c:v>
                </c:pt>
                <c:pt idx="132">
                  <c:v>80903.900000000009</c:v>
                </c:pt>
                <c:pt idx="133">
                  <c:v>80903.900000000009</c:v>
                </c:pt>
                <c:pt idx="134">
                  <c:v>80903.900000000009</c:v>
                </c:pt>
                <c:pt idx="135">
                  <c:v>92607.900000000009</c:v>
                </c:pt>
                <c:pt idx="136">
                  <c:v>92607.900000000009</c:v>
                </c:pt>
                <c:pt idx="137">
                  <c:v>92607.900000000009</c:v>
                </c:pt>
                <c:pt idx="138">
                  <c:v>92607.900000000009</c:v>
                </c:pt>
                <c:pt idx="139">
                  <c:v>92607.900000000009</c:v>
                </c:pt>
                <c:pt idx="140">
                  <c:v>92607.900000000009</c:v>
                </c:pt>
                <c:pt idx="141">
                  <c:v>92607.900000000009</c:v>
                </c:pt>
                <c:pt idx="142">
                  <c:v>92607.900000000009</c:v>
                </c:pt>
                <c:pt idx="143">
                  <c:v>92607.900000000009</c:v>
                </c:pt>
                <c:pt idx="144">
                  <c:v>92607.900000000009</c:v>
                </c:pt>
                <c:pt idx="145">
                  <c:v>92607.900000000009</c:v>
                </c:pt>
                <c:pt idx="146">
                  <c:v>92607.900000000009</c:v>
                </c:pt>
                <c:pt idx="147">
                  <c:v>92607.900000000009</c:v>
                </c:pt>
                <c:pt idx="148">
                  <c:v>92607.900000000009</c:v>
                </c:pt>
                <c:pt idx="149">
                  <c:v>92607.900000000009</c:v>
                </c:pt>
                <c:pt idx="150">
                  <c:v>92607.900000000009</c:v>
                </c:pt>
                <c:pt idx="151">
                  <c:v>92607.900000000009</c:v>
                </c:pt>
                <c:pt idx="152">
                  <c:v>92607.900000000009</c:v>
                </c:pt>
                <c:pt idx="153">
                  <c:v>92607.900000000009</c:v>
                </c:pt>
                <c:pt idx="154">
                  <c:v>92607.900000000009</c:v>
                </c:pt>
                <c:pt idx="155">
                  <c:v>92607.900000000009</c:v>
                </c:pt>
                <c:pt idx="156">
                  <c:v>92607.900000000009</c:v>
                </c:pt>
                <c:pt idx="157">
                  <c:v>92607.900000000009</c:v>
                </c:pt>
                <c:pt idx="158">
                  <c:v>92607.900000000009</c:v>
                </c:pt>
                <c:pt idx="159">
                  <c:v>92607.900000000009</c:v>
                </c:pt>
                <c:pt idx="160">
                  <c:v>92607.900000000009</c:v>
                </c:pt>
                <c:pt idx="161">
                  <c:v>92607.900000000009</c:v>
                </c:pt>
                <c:pt idx="162">
                  <c:v>92607.900000000009</c:v>
                </c:pt>
                <c:pt idx="163">
                  <c:v>92607.900000000009</c:v>
                </c:pt>
                <c:pt idx="164">
                  <c:v>92607.900000000009</c:v>
                </c:pt>
                <c:pt idx="165">
                  <c:v>92607.900000000009</c:v>
                </c:pt>
                <c:pt idx="166">
                  <c:v>92607.900000000009</c:v>
                </c:pt>
                <c:pt idx="167">
                  <c:v>92607.900000000009</c:v>
                </c:pt>
                <c:pt idx="168">
                  <c:v>92607.900000000009</c:v>
                </c:pt>
                <c:pt idx="169">
                  <c:v>92607.900000000009</c:v>
                </c:pt>
                <c:pt idx="170">
                  <c:v>92607.900000000009</c:v>
                </c:pt>
                <c:pt idx="171">
                  <c:v>92607.900000000009</c:v>
                </c:pt>
                <c:pt idx="172">
                  <c:v>92607.900000000009</c:v>
                </c:pt>
                <c:pt idx="173">
                  <c:v>92607.900000000009</c:v>
                </c:pt>
                <c:pt idx="174">
                  <c:v>92607.900000000009</c:v>
                </c:pt>
                <c:pt idx="175">
                  <c:v>92607.900000000009</c:v>
                </c:pt>
                <c:pt idx="176">
                  <c:v>92607.900000000009</c:v>
                </c:pt>
                <c:pt idx="177">
                  <c:v>92607.900000000009</c:v>
                </c:pt>
                <c:pt idx="178">
                  <c:v>92607.900000000009</c:v>
                </c:pt>
                <c:pt idx="179">
                  <c:v>92607.900000000009</c:v>
                </c:pt>
                <c:pt idx="180">
                  <c:v>92607.900000000009</c:v>
                </c:pt>
                <c:pt idx="181">
                  <c:v>92607.900000000009</c:v>
                </c:pt>
                <c:pt idx="182">
                  <c:v>92607.900000000009</c:v>
                </c:pt>
                <c:pt idx="183">
                  <c:v>92607.900000000009</c:v>
                </c:pt>
                <c:pt idx="184">
                  <c:v>92607.900000000009</c:v>
                </c:pt>
                <c:pt idx="185">
                  <c:v>92607.900000000009</c:v>
                </c:pt>
                <c:pt idx="186">
                  <c:v>92607.900000000009</c:v>
                </c:pt>
                <c:pt idx="187">
                  <c:v>92607.900000000009</c:v>
                </c:pt>
                <c:pt idx="188">
                  <c:v>92607.900000000009</c:v>
                </c:pt>
                <c:pt idx="189">
                  <c:v>92607.900000000009</c:v>
                </c:pt>
                <c:pt idx="190">
                  <c:v>92607.900000000009</c:v>
                </c:pt>
                <c:pt idx="191">
                  <c:v>92607.900000000009</c:v>
                </c:pt>
                <c:pt idx="192">
                  <c:v>92607.900000000009</c:v>
                </c:pt>
                <c:pt idx="193">
                  <c:v>92607.900000000009</c:v>
                </c:pt>
                <c:pt idx="194">
                  <c:v>92607.900000000009</c:v>
                </c:pt>
                <c:pt idx="195">
                  <c:v>92607.900000000009</c:v>
                </c:pt>
                <c:pt idx="196">
                  <c:v>92607.900000000009</c:v>
                </c:pt>
                <c:pt idx="197">
                  <c:v>92607.900000000009</c:v>
                </c:pt>
                <c:pt idx="198">
                  <c:v>92607.900000000009</c:v>
                </c:pt>
                <c:pt idx="199">
                  <c:v>92607.900000000009</c:v>
                </c:pt>
                <c:pt idx="200">
                  <c:v>92607.900000000009</c:v>
                </c:pt>
                <c:pt idx="201">
                  <c:v>92607.900000000009</c:v>
                </c:pt>
                <c:pt idx="202">
                  <c:v>92607.900000000009</c:v>
                </c:pt>
                <c:pt idx="203">
                  <c:v>92607.900000000009</c:v>
                </c:pt>
                <c:pt idx="204">
                  <c:v>92607.900000000009</c:v>
                </c:pt>
                <c:pt idx="205">
                  <c:v>92607.900000000009</c:v>
                </c:pt>
                <c:pt idx="206">
                  <c:v>92607.900000000009</c:v>
                </c:pt>
                <c:pt idx="207">
                  <c:v>92607.900000000009</c:v>
                </c:pt>
                <c:pt idx="208">
                  <c:v>92607.900000000009</c:v>
                </c:pt>
                <c:pt idx="209">
                  <c:v>92607.900000000009</c:v>
                </c:pt>
                <c:pt idx="210">
                  <c:v>92607.900000000009</c:v>
                </c:pt>
                <c:pt idx="211">
                  <c:v>92607.900000000009</c:v>
                </c:pt>
                <c:pt idx="212">
                  <c:v>92607.900000000009</c:v>
                </c:pt>
                <c:pt idx="213">
                  <c:v>92607.900000000009</c:v>
                </c:pt>
                <c:pt idx="214">
                  <c:v>92607.900000000009</c:v>
                </c:pt>
                <c:pt idx="215">
                  <c:v>92607.900000000009</c:v>
                </c:pt>
                <c:pt idx="216">
                  <c:v>92607.900000000009</c:v>
                </c:pt>
                <c:pt idx="217">
                  <c:v>92607.900000000009</c:v>
                </c:pt>
                <c:pt idx="218">
                  <c:v>92607.900000000009</c:v>
                </c:pt>
                <c:pt idx="219">
                  <c:v>92607.900000000009</c:v>
                </c:pt>
                <c:pt idx="220">
                  <c:v>92607.900000000009</c:v>
                </c:pt>
                <c:pt idx="221">
                  <c:v>92607.900000000009</c:v>
                </c:pt>
                <c:pt idx="222">
                  <c:v>92607.900000000009</c:v>
                </c:pt>
                <c:pt idx="223">
                  <c:v>92607.900000000009</c:v>
                </c:pt>
                <c:pt idx="224">
                  <c:v>76076</c:v>
                </c:pt>
                <c:pt idx="225">
                  <c:v>76076</c:v>
                </c:pt>
                <c:pt idx="226">
                  <c:v>76076</c:v>
                </c:pt>
                <c:pt idx="227">
                  <c:v>76076</c:v>
                </c:pt>
                <c:pt idx="228">
                  <c:v>76076</c:v>
                </c:pt>
                <c:pt idx="229">
                  <c:v>76076</c:v>
                </c:pt>
                <c:pt idx="230">
                  <c:v>76076</c:v>
                </c:pt>
                <c:pt idx="231">
                  <c:v>76076</c:v>
                </c:pt>
                <c:pt idx="232">
                  <c:v>76076</c:v>
                </c:pt>
                <c:pt idx="233">
                  <c:v>76076</c:v>
                </c:pt>
                <c:pt idx="234">
                  <c:v>76076</c:v>
                </c:pt>
                <c:pt idx="235">
                  <c:v>76076</c:v>
                </c:pt>
                <c:pt idx="236">
                  <c:v>76076</c:v>
                </c:pt>
                <c:pt idx="237">
                  <c:v>76076</c:v>
                </c:pt>
                <c:pt idx="238">
                  <c:v>76076</c:v>
                </c:pt>
                <c:pt idx="239">
                  <c:v>76076</c:v>
                </c:pt>
                <c:pt idx="240">
                  <c:v>76076</c:v>
                </c:pt>
                <c:pt idx="241">
                  <c:v>76076</c:v>
                </c:pt>
                <c:pt idx="242">
                  <c:v>76076</c:v>
                </c:pt>
                <c:pt idx="243">
                  <c:v>76076</c:v>
                </c:pt>
                <c:pt idx="244">
                  <c:v>76076</c:v>
                </c:pt>
                <c:pt idx="245">
                  <c:v>76076</c:v>
                </c:pt>
                <c:pt idx="246">
                  <c:v>76076</c:v>
                </c:pt>
                <c:pt idx="247">
                  <c:v>76076</c:v>
                </c:pt>
                <c:pt idx="248">
                  <c:v>76076</c:v>
                </c:pt>
                <c:pt idx="249">
                  <c:v>76076</c:v>
                </c:pt>
                <c:pt idx="250">
                  <c:v>76076</c:v>
                </c:pt>
                <c:pt idx="251">
                  <c:v>76076</c:v>
                </c:pt>
                <c:pt idx="252">
                  <c:v>76076</c:v>
                </c:pt>
                <c:pt idx="253">
                  <c:v>76076</c:v>
                </c:pt>
                <c:pt idx="254">
                  <c:v>76076</c:v>
                </c:pt>
                <c:pt idx="255">
                  <c:v>76076</c:v>
                </c:pt>
                <c:pt idx="256">
                  <c:v>76076</c:v>
                </c:pt>
                <c:pt idx="257">
                  <c:v>76076</c:v>
                </c:pt>
                <c:pt idx="258">
                  <c:v>76076</c:v>
                </c:pt>
                <c:pt idx="259">
                  <c:v>76076</c:v>
                </c:pt>
                <c:pt idx="260">
                  <c:v>76076</c:v>
                </c:pt>
                <c:pt idx="261">
                  <c:v>76076</c:v>
                </c:pt>
                <c:pt idx="262">
                  <c:v>76076</c:v>
                </c:pt>
                <c:pt idx="263">
                  <c:v>76076</c:v>
                </c:pt>
                <c:pt idx="264">
                  <c:v>76076</c:v>
                </c:pt>
                <c:pt idx="265">
                  <c:v>76076</c:v>
                </c:pt>
                <c:pt idx="266">
                  <c:v>76076</c:v>
                </c:pt>
                <c:pt idx="267">
                  <c:v>76076</c:v>
                </c:pt>
                <c:pt idx="268">
                  <c:v>76076</c:v>
                </c:pt>
                <c:pt idx="269">
                  <c:v>76076</c:v>
                </c:pt>
                <c:pt idx="270">
                  <c:v>76076</c:v>
                </c:pt>
                <c:pt idx="271">
                  <c:v>76076</c:v>
                </c:pt>
                <c:pt idx="272">
                  <c:v>80465</c:v>
                </c:pt>
                <c:pt idx="273">
                  <c:v>80465</c:v>
                </c:pt>
                <c:pt idx="274">
                  <c:v>80465</c:v>
                </c:pt>
                <c:pt idx="275">
                  <c:v>80465</c:v>
                </c:pt>
                <c:pt idx="276">
                  <c:v>80465</c:v>
                </c:pt>
                <c:pt idx="277">
                  <c:v>80465</c:v>
                </c:pt>
                <c:pt idx="278">
                  <c:v>80465</c:v>
                </c:pt>
                <c:pt idx="279">
                  <c:v>80465</c:v>
                </c:pt>
                <c:pt idx="280">
                  <c:v>80465</c:v>
                </c:pt>
                <c:pt idx="281">
                  <c:v>80465</c:v>
                </c:pt>
                <c:pt idx="282">
                  <c:v>80465</c:v>
                </c:pt>
                <c:pt idx="283">
                  <c:v>80465</c:v>
                </c:pt>
                <c:pt idx="284">
                  <c:v>80465</c:v>
                </c:pt>
                <c:pt idx="285">
                  <c:v>80465</c:v>
                </c:pt>
                <c:pt idx="286">
                  <c:v>80465</c:v>
                </c:pt>
                <c:pt idx="287">
                  <c:v>80465</c:v>
                </c:pt>
                <c:pt idx="288">
                  <c:v>80465</c:v>
                </c:pt>
                <c:pt idx="289">
                  <c:v>80465</c:v>
                </c:pt>
                <c:pt idx="290">
                  <c:v>80465</c:v>
                </c:pt>
                <c:pt idx="291">
                  <c:v>80465</c:v>
                </c:pt>
                <c:pt idx="292">
                  <c:v>80465</c:v>
                </c:pt>
                <c:pt idx="293">
                  <c:v>80465</c:v>
                </c:pt>
                <c:pt idx="294">
                  <c:v>80465</c:v>
                </c:pt>
                <c:pt idx="295">
                  <c:v>80465</c:v>
                </c:pt>
                <c:pt idx="296">
                  <c:v>80465</c:v>
                </c:pt>
                <c:pt idx="297">
                  <c:v>80465</c:v>
                </c:pt>
                <c:pt idx="298">
                  <c:v>80465</c:v>
                </c:pt>
                <c:pt idx="299">
                  <c:v>80465</c:v>
                </c:pt>
                <c:pt idx="300">
                  <c:v>80465</c:v>
                </c:pt>
                <c:pt idx="301">
                  <c:v>80465</c:v>
                </c:pt>
                <c:pt idx="302">
                  <c:v>80465</c:v>
                </c:pt>
                <c:pt idx="303">
                  <c:v>80465</c:v>
                </c:pt>
                <c:pt idx="304">
                  <c:v>80465</c:v>
                </c:pt>
                <c:pt idx="305">
                  <c:v>80465</c:v>
                </c:pt>
                <c:pt idx="306">
                  <c:v>80465</c:v>
                </c:pt>
                <c:pt idx="307">
                  <c:v>80465</c:v>
                </c:pt>
                <c:pt idx="308">
                  <c:v>80465</c:v>
                </c:pt>
                <c:pt idx="309">
                  <c:v>80465</c:v>
                </c:pt>
                <c:pt idx="310">
                  <c:v>80465</c:v>
                </c:pt>
                <c:pt idx="311">
                  <c:v>96638.2</c:v>
                </c:pt>
                <c:pt idx="312">
                  <c:v>101401.53153597542</c:v>
                </c:pt>
                <c:pt idx="313">
                  <c:v>101401.53153597542</c:v>
                </c:pt>
                <c:pt idx="314">
                  <c:v>101401.53153597542</c:v>
                </c:pt>
                <c:pt idx="315">
                  <c:v>101401.53153597542</c:v>
                </c:pt>
                <c:pt idx="316">
                  <c:v>101401.53153597542</c:v>
                </c:pt>
                <c:pt idx="317">
                  <c:v>101401.53153597542</c:v>
                </c:pt>
                <c:pt idx="318">
                  <c:v>101401.53153597542</c:v>
                </c:pt>
                <c:pt idx="319">
                  <c:v>101401.53153597542</c:v>
                </c:pt>
                <c:pt idx="320">
                  <c:v>101401.53153597542</c:v>
                </c:pt>
                <c:pt idx="321">
                  <c:v>101401.53153597542</c:v>
                </c:pt>
                <c:pt idx="322">
                  <c:v>101401.53153597542</c:v>
                </c:pt>
                <c:pt idx="323">
                  <c:v>101401.53153597542</c:v>
                </c:pt>
                <c:pt idx="324">
                  <c:v>101401.53153597542</c:v>
                </c:pt>
                <c:pt idx="325">
                  <c:v>101401.53153597542</c:v>
                </c:pt>
                <c:pt idx="326">
                  <c:v>101401.53153597542</c:v>
                </c:pt>
                <c:pt idx="327">
                  <c:v>101401.53153597542</c:v>
                </c:pt>
                <c:pt idx="328">
                  <c:v>101401.53153597542</c:v>
                </c:pt>
                <c:pt idx="329">
                  <c:v>101401.53153597542</c:v>
                </c:pt>
                <c:pt idx="330">
                  <c:v>101401.53153597542</c:v>
                </c:pt>
                <c:pt idx="331">
                  <c:v>101401.53153597542</c:v>
                </c:pt>
                <c:pt idx="332">
                  <c:v>101401.53153597542</c:v>
                </c:pt>
                <c:pt idx="333">
                  <c:v>101401.53153597542</c:v>
                </c:pt>
                <c:pt idx="334">
                  <c:v>101401.53153597542</c:v>
                </c:pt>
                <c:pt idx="335">
                  <c:v>101401.53153597542</c:v>
                </c:pt>
                <c:pt idx="336">
                  <c:v>101401.53153597542</c:v>
                </c:pt>
                <c:pt idx="337">
                  <c:v>101401.53153597542</c:v>
                </c:pt>
                <c:pt idx="338">
                  <c:v>101401.53153597542</c:v>
                </c:pt>
                <c:pt idx="339">
                  <c:v>101401.53153597542</c:v>
                </c:pt>
                <c:pt idx="340">
                  <c:v>101401.53153597542</c:v>
                </c:pt>
                <c:pt idx="341">
                  <c:v>101401.53153597542</c:v>
                </c:pt>
                <c:pt idx="342">
                  <c:v>101401.53153597542</c:v>
                </c:pt>
                <c:pt idx="343">
                  <c:v>101401.53153597542</c:v>
                </c:pt>
                <c:pt idx="344">
                  <c:v>101401.53153597542</c:v>
                </c:pt>
                <c:pt idx="345">
                  <c:v>101401.53153597542</c:v>
                </c:pt>
                <c:pt idx="346">
                  <c:v>101401.53153597542</c:v>
                </c:pt>
                <c:pt idx="347">
                  <c:v>101401.53153597542</c:v>
                </c:pt>
              </c:numCache>
            </c:numRef>
          </c:val>
          <c:smooth val="0"/>
          <c:extLst>
            <c:ext xmlns:c16="http://schemas.microsoft.com/office/drawing/2014/chart" uri="{C3380CC4-5D6E-409C-BE32-E72D297353CC}">
              <c16:uniqueId val="{00000001-0E78-406F-8F6A-95198B4FB3B2}"/>
            </c:ext>
          </c:extLst>
        </c:ser>
        <c:dLbls>
          <c:showLegendKey val="0"/>
          <c:showVal val="0"/>
          <c:showCatName val="0"/>
          <c:showSerName val="0"/>
          <c:showPercent val="0"/>
          <c:showBubbleSize val="0"/>
        </c:dLbls>
        <c:marker val="1"/>
        <c:smooth val="0"/>
        <c:axId val="749362592"/>
        <c:axId val="749361152"/>
      </c:lineChart>
      <c:lineChart>
        <c:grouping val="standard"/>
        <c:varyColors val="0"/>
        <c:ser>
          <c:idx val="2"/>
          <c:order val="2"/>
          <c:tx>
            <c:strRef>
              <c:f>Diamond!$O$2</c:f>
              <c:strCache>
                <c:ptCount val="1"/>
                <c:pt idx="0">
                  <c:v> Lợi nhuận sau thuế trượt (Tỷ VND) </c:v>
                </c:pt>
              </c:strCache>
            </c:strRef>
          </c:tx>
          <c:spPr>
            <a:ln w="22225" cap="rnd">
              <a:solidFill>
                <a:schemeClr val="accent3"/>
              </a:solidFill>
              <a:round/>
              <a:tailEnd type="none"/>
            </a:ln>
            <a:effectLst/>
          </c:spPr>
          <c:marker>
            <c:symbol val="none"/>
          </c:marker>
          <c:cat>
            <c:numRef>
              <c:f>Diamond!$L$19:$L$366</c:f>
              <c:numCache>
                <c:formatCode>m/d/yy</c:formatCode>
                <c:ptCount val="348"/>
                <c:pt idx="0">
                  <c:v>44958</c:v>
                </c:pt>
                <c:pt idx="1">
                  <c:v>44959</c:v>
                </c:pt>
                <c:pt idx="2">
                  <c:v>44960</c:v>
                </c:pt>
                <c:pt idx="3">
                  <c:v>44963</c:v>
                </c:pt>
                <c:pt idx="4">
                  <c:v>44964</c:v>
                </c:pt>
                <c:pt idx="5">
                  <c:v>44965</c:v>
                </c:pt>
                <c:pt idx="6">
                  <c:v>44966</c:v>
                </c:pt>
                <c:pt idx="7">
                  <c:v>44967</c:v>
                </c:pt>
                <c:pt idx="8">
                  <c:v>44970</c:v>
                </c:pt>
                <c:pt idx="9">
                  <c:v>44971</c:v>
                </c:pt>
                <c:pt idx="10">
                  <c:v>44972</c:v>
                </c:pt>
                <c:pt idx="11">
                  <c:v>44973</c:v>
                </c:pt>
                <c:pt idx="12">
                  <c:v>44974</c:v>
                </c:pt>
                <c:pt idx="13">
                  <c:v>44977</c:v>
                </c:pt>
                <c:pt idx="14">
                  <c:v>44978</c:v>
                </c:pt>
                <c:pt idx="15">
                  <c:v>44979</c:v>
                </c:pt>
                <c:pt idx="16">
                  <c:v>44980</c:v>
                </c:pt>
                <c:pt idx="17">
                  <c:v>44981</c:v>
                </c:pt>
                <c:pt idx="18">
                  <c:v>44984</c:v>
                </c:pt>
                <c:pt idx="19">
                  <c:v>44985</c:v>
                </c:pt>
                <c:pt idx="20">
                  <c:v>44986</c:v>
                </c:pt>
                <c:pt idx="21">
                  <c:v>44987</c:v>
                </c:pt>
                <c:pt idx="22">
                  <c:v>44988</c:v>
                </c:pt>
                <c:pt idx="23">
                  <c:v>44991</c:v>
                </c:pt>
                <c:pt idx="24">
                  <c:v>44992</c:v>
                </c:pt>
                <c:pt idx="25">
                  <c:v>44993</c:v>
                </c:pt>
                <c:pt idx="26">
                  <c:v>44994</c:v>
                </c:pt>
                <c:pt idx="27">
                  <c:v>44995</c:v>
                </c:pt>
                <c:pt idx="28">
                  <c:v>44998</c:v>
                </c:pt>
                <c:pt idx="29">
                  <c:v>44999</c:v>
                </c:pt>
                <c:pt idx="30">
                  <c:v>45000</c:v>
                </c:pt>
                <c:pt idx="31">
                  <c:v>45001</c:v>
                </c:pt>
                <c:pt idx="32">
                  <c:v>45002</c:v>
                </c:pt>
                <c:pt idx="33">
                  <c:v>45005</c:v>
                </c:pt>
                <c:pt idx="34">
                  <c:v>45006</c:v>
                </c:pt>
                <c:pt idx="35">
                  <c:v>45007</c:v>
                </c:pt>
                <c:pt idx="36">
                  <c:v>45008</c:v>
                </c:pt>
                <c:pt idx="37">
                  <c:v>45009</c:v>
                </c:pt>
                <c:pt idx="38">
                  <c:v>45012</c:v>
                </c:pt>
                <c:pt idx="39">
                  <c:v>45013</c:v>
                </c:pt>
                <c:pt idx="40">
                  <c:v>45014</c:v>
                </c:pt>
                <c:pt idx="41">
                  <c:v>45015</c:v>
                </c:pt>
                <c:pt idx="42">
                  <c:v>45016</c:v>
                </c:pt>
                <c:pt idx="43">
                  <c:v>45019</c:v>
                </c:pt>
                <c:pt idx="44">
                  <c:v>45020</c:v>
                </c:pt>
                <c:pt idx="45">
                  <c:v>45021</c:v>
                </c:pt>
                <c:pt idx="46">
                  <c:v>45022</c:v>
                </c:pt>
                <c:pt idx="47">
                  <c:v>45023</c:v>
                </c:pt>
                <c:pt idx="48">
                  <c:v>45026</c:v>
                </c:pt>
                <c:pt idx="49">
                  <c:v>45027</c:v>
                </c:pt>
                <c:pt idx="50">
                  <c:v>45028</c:v>
                </c:pt>
                <c:pt idx="51">
                  <c:v>45029</c:v>
                </c:pt>
                <c:pt idx="52">
                  <c:v>45030</c:v>
                </c:pt>
                <c:pt idx="53">
                  <c:v>45033</c:v>
                </c:pt>
                <c:pt idx="54">
                  <c:v>45034</c:v>
                </c:pt>
                <c:pt idx="55">
                  <c:v>45035</c:v>
                </c:pt>
                <c:pt idx="56">
                  <c:v>45036</c:v>
                </c:pt>
                <c:pt idx="57">
                  <c:v>45037</c:v>
                </c:pt>
                <c:pt idx="58">
                  <c:v>45040</c:v>
                </c:pt>
                <c:pt idx="59">
                  <c:v>45041</c:v>
                </c:pt>
                <c:pt idx="60">
                  <c:v>45042</c:v>
                </c:pt>
                <c:pt idx="61">
                  <c:v>45043</c:v>
                </c:pt>
                <c:pt idx="62">
                  <c:v>45044</c:v>
                </c:pt>
                <c:pt idx="63">
                  <c:v>45050</c:v>
                </c:pt>
                <c:pt idx="64">
                  <c:v>45051</c:v>
                </c:pt>
                <c:pt idx="65">
                  <c:v>45054</c:v>
                </c:pt>
                <c:pt idx="66">
                  <c:v>45055</c:v>
                </c:pt>
                <c:pt idx="67">
                  <c:v>45056</c:v>
                </c:pt>
                <c:pt idx="68">
                  <c:v>45057</c:v>
                </c:pt>
                <c:pt idx="69">
                  <c:v>45058</c:v>
                </c:pt>
                <c:pt idx="70">
                  <c:v>45061</c:v>
                </c:pt>
                <c:pt idx="71">
                  <c:v>45062</c:v>
                </c:pt>
                <c:pt idx="72">
                  <c:v>45063</c:v>
                </c:pt>
                <c:pt idx="73">
                  <c:v>45064</c:v>
                </c:pt>
                <c:pt idx="74">
                  <c:v>45065</c:v>
                </c:pt>
                <c:pt idx="75">
                  <c:v>45068</c:v>
                </c:pt>
                <c:pt idx="76">
                  <c:v>45069</c:v>
                </c:pt>
                <c:pt idx="77">
                  <c:v>45070</c:v>
                </c:pt>
                <c:pt idx="78">
                  <c:v>45071</c:v>
                </c:pt>
                <c:pt idx="79">
                  <c:v>45072</c:v>
                </c:pt>
                <c:pt idx="80">
                  <c:v>45075</c:v>
                </c:pt>
                <c:pt idx="81">
                  <c:v>45076</c:v>
                </c:pt>
                <c:pt idx="82">
                  <c:v>45077</c:v>
                </c:pt>
                <c:pt idx="83">
                  <c:v>45078</c:v>
                </c:pt>
                <c:pt idx="84">
                  <c:v>45079</c:v>
                </c:pt>
                <c:pt idx="85">
                  <c:v>45082</c:v>
                </c:pt>
                <c:pt idx="86">
                  <c:v>45083</c:v>
                </c:pt>
                <c:pt idx="87">
                  <c:v>45084</c:v>
                </c:pt>
                <c:pt idx="88">
                  <c:v>45085</c:v>
                </c:pt>
                <c:pt idx="89">
                  <c:v>45086</c:v>
                </c:pt>
                <c:pt idx="90">
                  <c:v>45089</c:v>
                </c:pt>
                <c:pt idx="91">
                  <c:v>45090</c:v>
                </c:pt>
                <c:pt idx="92">
                  <c:v>45091</c:v>
                </c:pt>
                <c:pt idx="93">
                  <c:v>45092</c:v>
                </c:pt>
                <c:pt idx="94">
                  <c:v>45093</c:v>
                </c:pt>
                <c:pt idx="95">
                  <c:v>45096</c:v>
                </c:pt>
                <c:pt idx="96">
                  <c:v>45097</c:v>
                </c:pt>
                <c:pt idx="97">
                  <c:v>45098</c:v>
                </c:pt>
                <c:pt idx="98">
                  <c:v>45099</c:v>
                </c:pt>
                <c:pt idx="99">
                  <c:v>45100</c:v>
                </c:pt>
                <c:pt idx="100">
                  <c:v>45103</c:v>
                </c:pt>
                <c:pt idx="101">
                  <c:v>45104</c:v>
                </c:pt>
                <c:pt idx="102">
                  <c:v>45105</c:v>
                </c:pt>
                <c:pt idx="103">
                  <c:v>45106</c:v>
                </c:pt>
                <c:pt idx="104">
                  <c:v>45107</c:v>
                </c:pt>
                <c:pt idx="105">
                  <c:v>45110</c:v>
                </c:pt>
                <c:pt idx="106">
                  <c:v>45111</c:v>
                </c:pt>
                <c:pt idx="107">
                  <c:v>45112</c:v>
                </c:pt>
                <c:pt idx="108">
                  <c:v>45113</c:v>
                </c:pt>
                <c:pt idx="109">
                  <c:v>45114</c:v>
                </c:pt>
                <c:pt idx="110">
                  <c:v>45117</c:v>
                </c:pt>
                <c:pt idx="111">
                  <c:v>45118</c:v>
                </c:pt>
                <c:pt idx="112">
                  <c:v>45119</c:v>
                </c:pt>
                <c:pt idx="113">
                  <c:v>45120</c:v>
                </c:pt>
                <c:pt idx="114">
                  <c:v>45121</c:v>
                </c:pt>
                <c:pt idx="115">
                  <c:v>45124</c:v>
                </c:pt>
                <c:pt idx="116">
                  <c:v>45125</c:v>
                </c:pt>
                <c:pt idx="117">
                  <c:v>45126</c:v>
                </c:pt>
                <c:pt idx="118">
                  <c:v>45127</c:v>
                </c:pt>
                <c:pt idx="119">
                  <c:v>45128</c:v>
                </c:pt>
                <c:pt idx="120">
                  <c:v>45131</c:v>
                </c:pt>
                <c:pt idx="121">
                  <c:v>45132</c:v>
                </c:pt>
                <c:pt idx="122">
                  <c:v>45133</c:v>
                </c:pt>
                <c:pt idx="123">
                  <c:v>45134</c:v>
                </c:pt>
                <c:pt idx="124">
                  <c:v>45135</c:v>
                </c:pt>
                <c:pt idx="125">
                  <c:v>45138</c:v>
                </c:pt>
                <c:pt idx="126">
                  <c:v>45139</c:v>
                </c:pt>
                <c:pt idx="127">
                  <c:v>45140</c:v>
                </c:pt>
                <c:pt idx="128">
                  <c:v>45141</c:v>
                </c:pt>
                <c:pt idx="129">
                  <c:v>45142</c:v>
                </c:pt>
                <c:pt idx="130">
                  <c:v>45145</c:v>
                </c:pt>
                <c:pt idx="131">
                  <c:v>45146</c:v>
                </c:pt>
                <c:pt idx="132">
                  <c:v>45147</c:v>
                </c:pt>
                <c:pt idx="133">
                  <c:v>45148</c:v>
                </c:pt>
                <c:pt idx="134">
                  <c:v>45149</c:v>
                </c:pt>
                <c:pt idx="135">
                  <c:v>45152</c:v>
                </c:pt>
                <c:pt idx="136">
                  <c:v>45153</c:v>
                </c:pt>
                <c:pt idx="137">
                  <c:v>45154</c:v>
                </c:pt>
                <c:pt idx="138">
                  <c:v>45155</c:v>
                </c:pt>
                <c:pt idx="139">
                  <c:v>45156</c:v>
                </c:pt>
                <c:pt idx="140">
                  <c:v>45159</c:v>
                </c:pt>
                <c:pt idx="141">
                  <c:v>45160</c:v>
                </c:pt>
                <c:pt idx="142">
                  <c:v>45161</c:v>
                </c:pt>
                <c:pt idx="143">
                  <c:v>45162</c:v>
                </c:pt>
                <c:pt idx="144">
                  <c:v>45163</c:v>
                </c:pt>
                <c:pt idx="145">
                  <c:v>45166</c:v>
                </c:pt>
                <c:pt idx="146">
                  <c:v>45167</c:v>
                </c:pt>
                <c:pt idx="147">
                  <c:v>45168</c:v>
                </c:pt>
                <c:pt idx="148">
                  <c:v>45169</c:v>
                </c:pt>
                <c:pt idx="149">
                  <c:v>45174</c:v>
                </c:pt>
                <c:pt idx="150">
                  <c:v>45175</c:v>
                </c:pt>
                <c:pt idx="151">
                  <c:v>45176</c:v>
                </c:pt>
                <c:pt idx="152">
                  <c:v>45177</c:v>
                </c:pt>
                <c:pt idx="153">
                  <c:v>45180</c:v>
                </c:pt>
                <c:pt idx="154">
                  <c:v>45181</c:v>
                </c:pt>
                <c:pt idx="155">
                  <c:v>45182</c:v>
                </c:pt>
                <c:pt idx="156">
                  <c:v>45183</c:v>
                </c:pt>
                <c:pt idx="157">
                  <c:v>45184</c:v>
                </c:pt>
                <c:pt idx="158">
                  <c:v>45187</c:v>
                </c:pt>
                <c:pt idx="159">
                  <c:v>45188</c:v>
                </c:pt>
                <c:pt idx="160">
                  <c:v>45189</c:v>
                </c:pt>
                <c:pt idx="161">
                  <c:v>45190</c:v>
                </c:pt>
                <c:pt idx="162">
                  <c:v>45191</c:v>
                </c:pt>
                <c:pt idx="163">
                  <c:v>45194</c:v>
                </c:pt>
                <c:pt idx="164">
                  <c:v>45195</c:v>
                </c:pt>
                <c:pt idx="165">
                  <c:v>45196</c:v>
                </c:pt>
                <c:pt idx="166">
                  <c:v>45197</c:v>
                </c:pt>
                <c:pt idx="167">
                  <c:v>45198</c:v>
                </c:pt>
                <c:pt idx="168">
                  <c:v>45201</c:v>
                </c:pt>
                <c:pt idx="169">
                  <c:v>45202</c:v>
                </c:pt>
                <c:pt idx="170">
                  <c:v>45203</c:v>
                </c:pt>
                <c:pt idx="171">
                  <c:v>45204</c:v>
                </c:pt>
                <c:pt idx="172">
                  <c:v>45205</c:v>
                </c:pt>
                <c:pt idx="173">
                  <c:v>45208</c:v>
                </c:pt>
                <c:pt idx="174">
                  <c:v>45209</c:v>
                </c:pt>
                <c:pt idx="175">
                  <c:v>45210</c:v>
                </c:pt>
                <c:pt idx="176">
                  <c:v>45211</c:v>
                </c:pt>
                <c:pt idx="177">
                  <c:v>45212</c:v>
                </c:pt>
                <c:pt idx="178">
                  <c:v>45215</c:v>
                </c:pt>
                <c:pt idx="179">
                  <c:v>45216</c:v>
                </c:pt>
                <c:pt idx="180">
                  <c:v>45217</c:v>
                </c:pt>
                <c:pt idx="181">
                  <c:v>45218</c:v>
                </c:pt>
                <c:pt idx="182">
                  <c:v>45219</c:v>
                </c:pt>
                <c:pt idx="183">
                  <c:v>45222</c:v>
                </c:pt>
                <c:pt idx="184">
                  <c:v>45223</c:v>
                </c:pt>
                <c:pt idx="185">
                  <c:v>45224</c:v>
                </c:pt>
                <c:pt idx="186">
                  <c:v>45225</c:v>
                </c:pt>
                <c:pt idx="187">
                  <c:v>45226</c:v>
                </c:pt>
                <c:pt idx="188">
                  <c:v>45229</c:v>
                </c:pt>
                <c:pt idx="189">
                  <c:v>45230</c:v>
                </c:pt>
                <c:pt idx="190">
                  <c:v>45231</c:v>
                </c:pt>
                <c:pt idx="191">
                  <c:v>45232</c:v>
                </c:pt>
                <c:pt idx="192">
                  <c:v>45233</c:v>
                </c:pt>
                <c:pt idx="193">
                  <c:v>45236</c:v>
                </c:pt>
                <c:pt idx="194">
                  <c:v>45237</c:v>
                </c:pt>
                <c:pt idx="195">
                  <c:v>45238</c:v>
                </c:pt>
                <c:pt idx="196">
                  <c:v>45239</c:v>
                </c:pt>
                <c:pt idx="197">
                  <c:v>45240</c:v>
                </c:pt>
                <c:pt idx="198">
                  <c:v>45243</c:v>
                </c:pt>
                <c:pt idx="199">
                  <c:v>45244</c:v>
                </c:pt>
                <c:pt idx="200">
                  <c:v>45245</c:v>
                </c:pt>
                <c:pt idx="201">
                  <c:v>45246</c:v>
                </c:pt>
                <c:pt idx="202">
                  <c:v>45247</c:v>
                </c:pt>
                <c:pt idx="203">
                  <c:v>45250</c:v>
                </c:pt>
                <c:pt idx="204">
                  <c:v>45251</c:v>
                </c:pt>
                <c:pt idx="205">
                  <c:v>45252</c:v>
                </c:pt>
                <c:pt idx="206">
                  <c:v>45253</c:v>
                </c:pt>
                <c:pt idx="207">
                  <c:v>45254</c:v>
                </c:pt>
                <c:pt idx="208">
                  <c:v>45257</c:v>
                </c:pt>
                <c:pt idx="209">
                  <c:v>45258</c:v>
                </c:pt>
                <c:pt idx="210">
                  <c:v>45259</c:v>
                </c:pt>
                <c:pt idx="211">
                  <c:v>45260</c:v>
                </c:pt>
                <c:pt idx="212">
                  <c:v>45261</c:v>
                </c:pt>
                <c:pt idx="213">
                  <c:v>45264</c:v>
                </c:pt>
                <c:pt idx="214">
                  <c:v>45265</c:v>
                </c:pt>
                <c:pt idx="215">
                  <c:v>45266</c:v>
                </c:pt>
                <c:pt idx="216">
                  <c:v>45267</c:v>
                </c:pt>
                <c:pt idx="217">
                  <c:v>45268</c:v>
                </c:pt>
                <c:pt idx="218">
                  <c:v>45271</c:v>
                </c:pt>
                <c:pt idx="219">
                  <c:v>45272</c:v>
                </c:pt>
                <c:pt idx="220">
                  <c:v>45273</c:v>
                </c:pt>
                <c:pt idx="221">
                  <c:v>45274</c:v>
                </c:pt>
                <c:pt idx="222">
                  <c:v>45275</c:v>
                </c:pt>
                <c:pt idx="223">
                  <c:v>45278</c:v>
                </c:pt>
                <c:pt idx="224">
                  <c:v>45279</c:v>
                </c:pt>
                <c:pt idx="225">
                  <c:v>45280</c:v>
                </c:pt>
                <c:pt idx="226">
                  <c:v>45281</c:v>
                </c:pt>
                <c:pt idx="227">
                  <c:v>45282</c:v>
                </c:pt>
                <c:pt idx="228">
                  <c:v>45285</c:v>
                </c:pt>
                <c:pt idx="229">
                  <c:v>45286</c:v>
                </c:pt>
                <c:pt idx="230">
                  <c:v>45287</c:v>
                </c:pt>
                <c:pt idx="231">
                  <c:v>45288</c:v>
                </c:pt>
                <c:pt idx="232">
                  <c:v>45289</c:v>
                </c:pt>
                <c:pt idx="233">
                  <c:v>45293</c:v>
                </c:pt>
                <c:pt idx="234">
                  <c:v>45294</c:v>
                </c:pt>
                <c:pt idx="235">
                  <c:v>45295</c:v>
                </c:pt>
                <c:pt idx="236">
                  <c:v>45296</c:v>
                </c:pt>
                <c:pt idx="237">
                  <c:v>45299</c:v>
                </c:pt>
                <c:pt idx="238">
                  <c:v>45300</c:v>
                </c:pt>
                <c:pt idx="239">
                  <c:v>45301</c:v>
                </c:pt>
                <c:pt idx="240">
                  <c:v>45302</c:v>
                </c:pt>
                <c:pt idx="241">
                  <c:v>45303</c:v>
                </c:pt>
                <c:pt idx="242">
                  <c:v>45306</c:v>
                </c:pt>
                <c:pt idx="243">
                  <c:v>45307</c:v>
                </c:pt>
                <c:pt idx="244">
                  <c:v>45308</c:v>
                </c:pt>
                <c:pt idx="245">
                  <c:v>45309</c:v>
                </c:pt>
                <c:pt idx="246">
                  <c:v>45310</c:v>
                </c:pt>
                <c:pt idx="247">
                  <c:v>45313</c:v>
                </c:pt>
                <c:pt idx="248">
                  <c:v>45314</c:v>
                </c:pt>
                <c:pt idx="249">
                  <c:v>45315</c:v>
                </c:pt>
                <c:pt idx="250">
                  <c:v>45316</c:v>
                </c:pt>
                <c:pt idx="251">
                  <c:v>45317</c:v>
                </c:pt>
                <c:pt idx="252">
                  <c:v>45320</c:v>
                </c:pt>
                <c:pt idx="253">
                  <c:v>45321</c:v>
                </c:pt>
                <c:pt idx="254">
                  <c:v>45322</c:v>
                </c:pt>
                <c:pt idx="255">
                  <c:v>45323</c:v>
                </c:pt>
                <c:pt idx="256">
                  <c:v>45324</c:v>
                </c:pt>
                <c:pt idx="257">
                  <c:v>45327</c:v>
                </c:pt>
                <c:pt idx="258">
                  <c:v>45328</c:v>
                </c:pt>
                <c:pt idx="259">
                  <c:v>45329</c:v>
                </c:pt>
                <c:pt idx="260">
                  <c:v>45337</c:v>
                </c:pt>
                <c:pt idx="261">
                  <c:v>45338</c:v>
                </c:pt>
                <c:pt idx="262">
                  <c:v>45341</c:v>
                </c:pt>
                <c:pt idx="263">
                  <c:v>45342</c:v>
                </c:pt>
                <c:pt idx="264">
                  <c:v>45343</c:v>
                </c:pt>
                <c:pt idx="265">
                  <c:v>45344</c:v>
                </c:pt>
                <c:pt idx="266">
                  <c:v>45345</c:v>
                </c:pt>
                <c:pt idx="267">
                  <c:v>45348</c:v>
                </c:pt>
                <c:pt idx="268">
                  <c:v>45349</c:v>
                </c:pt>
                <c:pt idx="269">
                  <c:v>45350</c:v>
                </c:pt>
                <c:pt idx="270">
                  <c:v>45351</c:v>
                </c:pt>
                <c:pt idx="271">
                  <c:v>45352</c:v>
                </c:pt>
                <c:pt idx="272">
                  <c:v>45355</c:v>
                </c:pt>
                <c:pt idx="273">
                  <c:v>45356</c:v>
                </c:pt>
                <c:pt idx="274">
                  <c:v>45357</c:v>
                </c:pt>
                <c:pt idx="275">
                  <c:v>45358</c:v>
                </c:pt>
                <c:pt idx="276">
                  <c:v>45359</c:v>
                </c:pt>
                <c:pt idx="277">
                  <c:v>45362</c:v>
                </c:pt>
                <c:pt idx="278">
                  <c:v>45363</c:v>
                </c:pt>
                <c:pt idx="279">
                  <c:v>45364</c:v>
                </c:pt>
                <c:pt idx="280">
                  <c:v>45365</c:v>
                </c:pt>
                <c:pt idx="281">
                  <c:v>45366</c:v>
                </c:pt>
                <c:pt idx="282">
                  <c:v>45369</c:v>
                </c:pt>
                <c:pt idx="283">
                  <c:v>45370</c:v>
                </c:pt>
                <c:pt idx="284">
                  <c:v>45371</c:v>
                </c:pt>
                <c:pt idx="285">
                  <c:v>45372</c:v>
                </c:pt>
                <c:pt idx="286">
                  <c:v>45373</c:v>
                </c:pt>
                <c:pt idx="287">
                  <c:v>45376</c:v>
                </c:pt>
                <c:pt idx="288">
                  <c:v>45377</c:v>
                </c:pt>
                <c:pt idx="289">
                  <c:v>45378</c:v>
                </c:pt>
                <c:pt idx="290">
                  <c:v>45379</c:v>
                </c:pt>
                <c:pt idx="291">
                  <c:v>45380</c:v>
                </c:pt>
                <c:pt idx="292">
                  <c:v>45383</c:v>
                </c:pt>
                <c:pt idx="293">
                  <c:v>45384</c:v>
                </c:pt>
                <c:pt idx="294">
                  <c:v>45385</c:v>
                </c:pt>
                <c:pt idx="295">
                  <c:v>45386</c:v>
                </c:pt>
                <c:pt idx="296">
                  <c:v>45387</c:v>
                </c:pt>
                <c:pt idx="297">
                  <c:v>45390</c:v>
                </c:pt>
                <c:pt idx="298">
                  <c:v>45391</c:v>
                </c:pt>
                <c:pt idx="299">
                  <c:v>45392</c:v>
                </c:pt>
                <c:pt idx="300">
                  <c:v>45393</c:v>
                </c:pt>
                <c:pt idx="301">
                  <c:v>45394</c:v>
                </c:pt>
                <c:pt idx="302">
                  <c:v>45397</c:v>
                </c:pt>
                <c:pt idx="303">
                  <c:v>45398</c:v>
                </c:pt>
                <c:pt idx="304">
                  <c:v>45399</c:v>
                </c:pt>
                <c:pt idx="305">
                  <c:v>45401</c:v>
                </c:pt>
                <c:pt idx="306">
                  <c:v>45404</c:v>
                </c:pt>
                <c:pt idx="307">
                  <c:v>45405</c:v>
                </c:pt>
                <c:pt idx="308">
                  <c:v>45406</c:v>
                </c:pt>
                <c:pt idx="309">
                  <c:v>45407</c:v>
                </c:pt>
                <c:pt idx="310">
                  <c:v>45408</c:v>
                </c:pt>
                <c:pt idx="311">
                  <c:v>45414</c:v>
                </c:pt>
                <c:pt idx="312">
                  <c:v>45415</c:v>
                </c:pt>
                <c:pt idx="313">
                  <c:v>45418</c:v>
                </c:pt>
                <c:pt idx="314">
                  <c:v>45419</c:v>
                </c:pt>
                <c:pt idx="315">
                  <c:v>45420</c:v>
                </c:pt>
                <c:pt idx="316">
                  <c:v>45421</c:v>
                </c:pt>
                <c:pt idx="317">
                  <c:v>45422</c:v>
                </c:pt>
                <c:pt idx="318">
                  <c:v>45425</c:v>
                </c:pt>
                <c:pt idx="319">
                  <c:v>45426</c:v>
                </c:pt>
                <c:pt idx="320">
                  <c:v>45427</c:v>
                </c:pt>
                <c:pt idx="321">
                  <c:v>45428</c:v>
                </c:pt>
                <c:pt idx="322">
                  <c:v>45429</c:v>
                </c:pt>
                <c:pt idx="323">
                  <c:v>45432</c:v>
                </c:pt>
                <c:pt idx="324">
                  <c:v>45433</c:v>
                </c:pt>
                <c:pt idx="325">
                  <c:v>45434</c:v>
                </c:pt>
                <c:pt idx="326">
                  <c:v>45435</c:v>
                </c:pt>
                <c:pt idx="327">
                  <c:v>45436</c:v>
                </c:pt>
                <c:pt idx="328">
                  <c:v>45439</c:v>
                </c:pt>
                <c:pt idx="329">
                  <c:v>45440</c:v>
                </c:pt>
                <c:pt idx="330">
                  <c:v>45441</c:v>
                </c:pt>
                <c:pt idx="331">
                  <c:v>45442</c:v>
                </c:pt>
                <c:pt idx="332">
                  <c:v>45443</c:v>
                </c:pt>
                <c:pt idx="333">
                  <c:v>45446</c:v>
                </c:pt>
                <c:pt idx="334">
                  <c:v>45447</c:v>
                </c:pt>
                <c:pt idx="335">
                  <c:v>45448</c:v>
                </c:pt>
                <c:pt idx="336">
                  <c:v>45449</c:v>
                </c:pt>
                <c:pt idx="337">
                  <c:v>45450</c:v>
                </c:pt>
                <c:pt idx="338">
                  <c:v>45453</c:v>
                </c:pt>
                <c:pt idx="339">
                  <c:v>45454</c:v>
                </c:pt>
                <c:pt idx="340">
                  <c:v>45455</c:v>
                </c:pt>
                <c:pt idx="341">
                  <c:v>45456</c:v>
                </c:pt>
                <c:pt idx="342">
                  <c:v>45457</c:v>
                </c:pt>
                <c:pt idx="343">
                  <c:v>45460</c:v>
                </c:pt>
                <c:pt idx="344">
                  <c:v>45461</c:v>
                </c:pt>
                <c:pt idx="345">
                  <c:v>45462</c:v>
                </c:pt>
                <c:pt idx="346">
                  <c:v>45463</c:v>
                </c:pt>
                <c:pt idx="347">
                  <c:v>45464</c:v>
                </c:pt>
              </c:numCache>
            </c:numRef>
          </c:cat>
          <c:val>
            <c:numRef>
              <c:f>Diamond!$O$19:$O$366</c:f>
              <c:numCache>
                <c:formatCode>_(* #,##0_);_(* \(#,##0\);_(* "-"??_);_(@_)</c:formatCode>
                <c:ptCount val="348"/>
                <c:pt idx="0">
                  <c:v>5043.209199190077</c:v>
                </c:pt>
                <c:pt idx="1">
                  <c:v>4099.7670353290232</c:v>
                </c:pt>
                <c:pt idx="2">
                  <c:v>4099.7670353290232</c:v>
                </c:pt>
                <c:pt idx="3">
                  <c:v>4099.7670353290232</c:v>
                </c:pt>
                <c:pt idx="4">
                  <c:v>4099.7670353290232</c:v>
                </c:pt>
                <c:pt idx="5">
                  <c:v>4099.7670353290232</c:v>
                </c:pt>
                <c:pt idx="6">
                  <c:v>4099.7670353290232</c:v>
                </c:pt>
                <c:pt idx="7">
                  <c:v>4099.7670353290232</c:v>
                </c:pt>
                <c:pt idx="8">
                  <c:v>4099.7670353290232</c:v>
                </c:pt>
                <c:pt idx="9">
                  <c:v>4099.7670353290232</c:v>
                </c:pt>
                <c:pt idx="10">
                  <c:v>4099.7670353290232</c:v>
                </c:pt>
                <c:pt idx="11">
                  <c:v>4099.7670353290232</c:v>
                </c:pt>
                <c:pt idx="12">
                  <c:v>4099.7670353290232</c:v>
                </c:pt>
                <c:pt idx="13">
                  <c:v>4099.7670353290232</c:v>
                </c:pt>
                <c:pt idx="14">
                  <c:v>4099.7670353290232</c:v>
                </c:pt>
                <c:pt idx="15">
                  <c:v>4099.7670353290232</c:v>
                </c:pt>
                <c:pt idx="16">
                  <c:v>4099.7670353290232</c:v>
                </c:pt>
                <c:pt idx="17">
                  <c:v>4099.7670353290232</c:v>
                </c:pt>
                <c:pt idx="18">
                  <c:v>4099.7670353290232</c:v>
                </c:pt>
                <c:pt idx="19">
                  <c:v>4099.7670353290232</c:v>
                </c:pt>
                <c:pt idx="20">
                  <c:v>4099.7670353290232</c:v>
                </c:pt>
                <c:pt idx="21">
                  <c:v>4099.7670353290232</c:v>
                </c:pt>
                <c:pt idx="22">
                  <c:v>4099.7670353290232</c:v>
                </c:pt>
                <c:pt idx="23">
                  <c:v>4099.7670353290232</c:v>
                </c:pt>
                <c:pt idx="24">
                  <c:v>4099.7670353290232</c:v>
                </c:pt>
                <c:pt idx="25">
                  <c:v>4099.7670353290232</c:v>
                </c:pt>
                <c:pt idx="26">
                  <c:v>4099.7670353290232</c:v>
                </c:pt>
                <c:pt idx="27">
                  <c:v>4099.7670353290232</c:v>
                </c:pt>
                <c:pt idx="28">
                  <c:v>4099.7670353290232</c:v>
                </c:pt>
                <c:pt idx="29">
                  <c:v>4099.7670353290232</c:v>
                </c:pt>
                <c:pt idx="30">
                  <c:v>4099.7670353290232</c:v>
                </c:pt>
                <c:pt idx="31">
                  <c:v>4099.7670353290232</c:v>
                </c:pt>
                <c:pt idx="32">
                  <c:v>4099.7670353290232</c:v>
                </c:pt>
                <c:pt idx="33">
                  <c:v>4099.7670353290232</c:v>
                </c:pt>
                <c:pt idx="34">
                  <c:v>4099.7670353290232</c:v>
                </c:pt>
                <c:pt idx="35">
                  <c:v>4099.7670353290232</c:v>
                </c:pt>
                <c:pt idx="36">
                  <c:v>4099.7670353290232</c:v>
                </c:pt>
                <c:pt idx="37">
                  <c:v>4099.7670353290232</c:v>
                </c:pt>
                <c:pt idx="38">
                  <c:v>4099.7670353290232</c:v>
                </c:pt>
                <c:pt idx="39">
                  <c:v>4099.7670353290232</c:v>
                </c:pt>
                <c:pt idx="40">
                  <c:v>4099.7670353290232</c:v>
                </c:pt>
                <c:pt idx="41">
                  <c:v>4099.7670353290232</c:v>
                </c:pt>
                <c:pt idx="42">
                  <c:v>4099.7670353290232</c:v>
                </c:pt>
                <c:pt idx="43">
                  <c:v>4099.7670353290232</c:v>
                </c:pt>
                <c:pt idx="44">
                  <c:v>4099.7670353290232</c:v>
                </c:pt>
                <c:pt idx="45">
                  <c:v>4099.7670353290232</c:v>
                </c:pt>
                <c:pt idx="46">
                  <c:v>4099.7670353290232</c:v>
                </c:pt>
                <c:pt idx="47">
                  <c:v>4099.7670353290232</c:v>
                </c:pt>
                <c:pt idx="48">
                  <c:v>4099.7670353290232</c:v>
                </c:pt>
                <c:pt idx="49">
                  <c:v>4099.7670353290232</c:v>
                </c:pt>
                <c:pt idx="50">
                  <c:v>4099.7670353290232</c:v>
                </c:pt>
                <c:pt idx="51">
                  <c:v>4099.7670353290232</c:v>
                </c:pt>
                <c:pt idx="52">
                  <c:v>4099.7670353290232</c:v>
                </c:pt>
                <c:pt idx="53">
                  <c:v>4099.7670353290232</c:v>
                </c:pt>
                <c:pt idx="54">
                  <c:v>4099.7670353290232</c:v>
                </c:pt>
                <c:pt idx="55">
                  <c:v>4099.7670353290232</c:v>
                </c:pt>
                <c:pt idx="56">
                  <c:v>4099.7670353290232</c:v>
                </c:pt>
                <c:pt idx="57">
                  <c:v>4099.7670353290232</c:v>
                </c:pt>
                <c:pt idx="58">
                  <c:v>4099.7670353290232</c:v>
                </c:pt>
                <c:pt idx="59">
                  <c:v>4099.7670353290232</c:v>
                </c:pt>
                <c:pt idx="60">
                  <c:v>4099.7670353290232</c:v>
                </c:pt>
                <c:pt idx="61">
                  <c:v>4099.7670353290232</c:v>
                </c:pt>
                <c:pt idx="62">
                  <c:v>4099.7670353290232</c:v>
                </c:pt>
                <c:pt idx="63">
                  <c:v>4099.7670353290232</c:v>
                </c:pt>
                <c:pt idx="64">
                  <c:v>4099.7670353290232</c:v>
                </c:pt>
                <c:pt idx="65">
                  <c:v>2676.5625883455559</c:v>
                </c:pt>
                <c:pt idx="66">
                  <c:v>2676.5651128592312</c:v>
                </c:pt>
                <c:pt idx="67">
                  <c:v>2676.5580480814083</c:v>
                </c:pt>
                <c:pt idx="68">
                  <c:v>2676.5605725812761</c:v>
                </c:pt>
                <c:pt idx="69">
                  <c:v>2676.5630970811444</c:v>
                </c:pt>
                <c:pt idx="70">
                  <c:v>2676.5656215810127</c:v>
                </c:pt>
                <c:pt idx="71">
                  <c:v>2676.568146080881</c:v>
                </c:pt>
                <c:pt idx="72">
                  <c:v>2676.5610811649908</c:v>
                </c:pt>
                <c:pt idx="73">
                  <c:v>2676.5636056510521</c:v>
                </c:pt>
                <c:pt idx="74">
                  <c:v>2676.5661301371133</c:v>
                </c:pt>
                <c:pt idx="75">
                  <c:v>2676.568654623175</c:v>
                </c:pt>
                <c:pt idx="76">
                  <c:v>2676.5711791092367</c:v>
                </c:pt>
                <c:pt idx="77">
                  <c:v>2676.5641140552793</c:v>
                </c:pt>
                <c:pt idx="78">
                  <c:v>2676.566638527534</c:v>
                </c:pt>
                <c:pt idx="79">
                  <c:v>2676.5691629997887</c:v>
                </c:pt>
                <c:pt idx="80">
                  <c:v>2676.5716874720438</c:v>
                </c:pt>
                <c:pt idx="81">
                  <c:v>2676.5595733769296</c:v>
                </c:pt>
                <c:pt idx="82">
                  <c:v>2676.5671467522739</c:v>
                </c:pt>
                <c:pt idx="83">
                  <c:v>2676.5696712107224</c:v>
                </c:pt>
                <c:pt idx="84">
                  <c:v>2676.5575570327683</c:v>
                </c:pt>
                <c:pt idx="85">
                  <c:v>2676.5582423977212</c:v>
                </c:pt>
                <c:pt idx="86">
                  <c:v>2676.5589277809581</c:v>
                </c:pt>
                <c:pt idx="87">
                  <c:v>2676.5609838758169</c:v>
                </c:pt>
                <c:pt idx="88">
                  <c:v>2676.5616692407693</c:v>
                </c:pt>
                <c:pt idx="89">
                  <c:v>2676.5623546057222</c:v>
                </c:pt>
                <c:pt idx="90">
                  <c:v>2676.5630399706752</c:v>
                </c:pt>
                <c:pt idx="91">
                  <c:v>2676.5637253356276</c:v>
                </c:pt>
                <c:pt idx="92">
                  <c:v>2676.5657814304859</c:v>
                </c:pt>
                <c:pt idx="93">
                  <c:v>2676.5664667954388</c:v>
                </c:pt>
                <c:pt idx="94">
                  <c:v>2676.5671521603917</c:v>
                </c:pt>
                <c:pt idx="95">
                  <c:v>2676.5678375253442</c:v>
                </c:pt>
                <c:pt idx="96">
                  <c:v>2676.5685228902971</c:v>
                </c:pt>
                <c:pt idx="97">
                  <c:v>2676.5705790034399</c:v>
                </c:pt>
                <c:pt idx="98">
                  <c:v>2676.5712643683928</c:v>
                </c:pt>
                <c:pt idx="99">
                  <c:v>2676.5719497333453</c:v>
                </c:pt>
                <c:pt idx="100">
                  <c:v>2676.5579963794312</c:v>
                </c:pt>
                <c:pt idx="101">
                  <c:v>2676.5586817406356</c:v>
                </c:pt>
                <c:pt idx="102">
                  <c:v>2676.5607378242489</c:v>
                </c:pt>
                <c:pt idx="103">
                  <c:v>2676.5614231854534</c:v>
                </c:pt>
                <c:pt idx="104">
                  <c:v>2676.5621085466578</c:v>
                </c:pt>
                <c:pt idx="105">
                  <c:v>2676.5627939078618</c:v>
                </c:pt>
                <c:pt idx="106">
                  <c:v>2676.5634792690666</c:v>
                </c:pt>
                <c:pt idx="107">
                  <c:v>2676.565535370964</c:v>
                </c:pt>
                <c:pt idx="108">
                  <c:v>2676.5662207321684</c:v>
                </c:pt>
                <c:pt idx="109">
                  <c:v>2676.5669060933728</c:v>
                </c:pt>
                <c:pt idx="110">
                  <c:v>2676.5675914545773</c:v>
                </c:pt>
                <c:pt idx="111">
                  <c:v>2676.5682768157808</c:v>
                </c:pt>
                <c:pt idx="112">
                  <c:v>2676.5703328993941</c:v>
                </c:pt>
                <c:pt idx="113">
                  <c:v>2676.571018260599</c:v>
                </c:pt>
                <c:pt idx="114">
                  <c:v>2676.571703621803</c:v>
                </c:pt>
                <c:pt idx="115">
                  <c:v>2676.5577501854236</c:v>
                </c:pt>
                <c:pt idx="116">
                  <c:v>2676.55843554288</c:v>
                </c:pt>
                <c:pt idx="117">
                  <c:v>2676.5604916335319</c:v>
                </c:pt>
                <c:pt idx="118">
                  <c:v>2676.5611769909879</c:v>
                </c:pt>
                <c:pt idx="119">
                  <c:v>2676.5618623484443</c:v>
                </c:pt>
                <c:pt idx="120">
                  <c:v>2676.5613445089712</c:v>
                </c:pt>
                <c:pt idx="121">
                  <c:v>2676.5597667374136</c:v>
                </c:pt>
                <c:pt idx="122">
                  <c:v>2676.5696720888359</c:v>
                </c:pt>
                <c:pt idx="123">
                  <c:v>2676.568094290365</c:v>
                </c:pt>
                <c:pt idx="124">
                  <c:v>2676.5665165101786</c:v>
                </c:pt>
                <c:pt idx="125">
                  <c:v>2676.5649387117082</c:v>
                </c:pt>
                <c:pt idx="126">
                  <c:v>2676.5633609315219</c:v>
                </c:pt>
                <c:pt idx="127">
                  <c:v>1563.9620724805616</c:v>
                </c:pt>
                <c:pt idx="128">
                  <c:v>1563.9607497747841</c:v>
                </c:pt>
                <c:pt idx="129">
                  <c:v>1563.9594270796931</c:v>
                </c:pt>
                <c:pt idx="130">
                  <c:v>1563.9581043739156</c:v>
                </c:pt>
                <c:pt idx="131">
                  <c:v>1563.9567816788242</c:v>
                </c:pt>
                <c:pt idx="132">
                  <c:v>1563.9528135721782</c:v>
                </c:pt>
                <c:pt idx="133">
                  <c:v>1563.9661261108365</c:v>
                </c:pt>
                <c:pt idx="134">
                  <c:v>1563.9648033926817</c:v>
                </c:pt>
                <c:pt idx="135">
                  <c:v>1563.9634806852127</c:v>
                </c:pt>
                <c:pt idx="136">
                  <c:v>1563.9621579670577</c:v>
                </c:pt>
                <c:pt idx="137">
                  <c:v>1563.9581898232786</c:v>
                </c:pt>
                <c:pt idx="138">
                  <c:v>1563.9568671051236</c:v>
                </c:pt>
                <c:pt idx="139">
                  <c:v>1563.9555443976549</c:v>
                </c:pt>
                <c:pt idx="140">
                  <c:v>1563.9542216794998</c:v>
                </c:pt>
                <c:pt idx="141">
                  <c:v>1563.9528989613445</c:v>
                </c:pt>
                <c:pt idx="142">
                  <c:v>1563.9635659117776</c:v>
                </c:pt>
                <c:pt idx="143">
                  <c:v>1563.9622431812447</c:v>
                </c:pt>
                <c:pt idx="144">
                  <c:v>1563.9609204507121</c:v>
                </c:pt>
                <c:pt idx="145">
                  <c:v>1563.9595977308657</c:v>
                </c:pt>
                <c:pt idx="146">
                  <c:v>1563.9582750003328</c:v>
                </c:pt>
                <c:pt idx="147">
                  <c:v>1563.9543068194209</c:v>
                </c:pt>
                <c:pt idx="148">
                  <c:v>1563.9529840888883</c:v>
                </c:pt>
                <c:pt idx="149">
                  <c:v>1563.9662963411688</c:v>
                </c:pt>
                <c:pt idx="150">
                  <c:v>1563.9649735982582</c:v>
                </c:pt>
                <c:pt idx="151">
                  <c:v>1563.9583599050786</c:v>
                </c:pt>
                <c:pt idx="152">
                  <c:v>1563.957037162168</c:v>
                </c:pt>
                <c:pt idx="153">
                  <c:v>1563.9557144192574</c:v>
                </c:pt>
                <c:pt idx="154">
                  <c:v>1563.9543916870334</c:v>
                </c:pt>
                <c:pt idx="155">
                  <c:v>1563.9650582925835</c:v>
                </c:pt>
                <c:pt idx="156">
                  <c:v>1563.9637355372954</c:v>
                </c:pt>
                <c:pt idx="157">
                  <c:v>1563.9624127926938</c:v>
                </c:pt>
                <c:pt idx="158">
                  <c:v>1563.9610900374055</c:v>
                </c:pt>
                <c:pt idx="159">
                  <c:v>1563.9597672821176</c:v>
                </c:pt>
                <c:pt idx="160">
                  <c:v>1563.9557990269391</c:v>
                </c:pt>
                <c:pt idx="161">
                  <c:v>1563.9544762823377</c:v>
                </c:pt>
                <c:pt idx="162">
                  <c:v>1563.9531535270494</c:v>
                </c:pt>
                <c:pt idx="163">
                  <c:v>1563.9664654715793</c:v>
                </c:pt>
                <c:pt idx="164">
                  <c:v>1563.9651427146005</c:v>
                </c:pt>
                <c:pt idx="165">
                  <c:v>1563.9611744222891</c:v>
                </c:pt>
                <c:pt idx="166">
                  <c:v>1563.9598516546234</c:v>
                </c:pt>
                <c:pt idx="167">
                  <c:v>1563.9585288976443</c:v>
                </c:pt>
                <c:pt idx="168">
                  <c:v>1563.9572061299782</c:v>
                </c:pt>
                <c:pt idx="169">
                  <c:v>1563.9558833623125</c:v>
                </c:pt>
                <c:pt idx="170">
                  <c:v>1563.9665496336654</c:v>
                </c:pt>
                <c:pt idx="171">
                  <c:v>1563.9652268643088</c:v>
                </c:pt>
                <c:pt idx="172">
                  <c:v>1563.9639040842649</c:v>
                </c:pt>
                <c:pt idx="173">
                  <c:v>1563.9625813042212</c:v>
                </c:pt>
                <c:pt idx="174">
                  <c:v>1563.9612585348646</c:v>
                </c:pt>
                <c:pt idx="175">
                  <c:v>1563.9572902054206</c:v>
                </c:pt>
                <c:pt idx="176">
                  <c:v>1563.9559674253769</c:v>
                </c:pt>
                <c:pt idx="177">
                  <c:v>1563.9546446453332</c:v>
                </c:pt>
                <c:pt idx="178">
                  <c:v>1563.9533218759764</c:v>
                </c:pt>
                <c:pt idx="179">
                  <c:v>1563.9655205041813</c:v>
                </c:pt>
                <c:pt idx="180">
                  <c:v>1563.9615630168682</c:v>
                </c:pt>
                <c:pt idx="181">
                  <c:v>1563.9602438473064</c:v>
                </c:pt>
                <c:pt idx="182">
                  <c:v>1563.9589246884309</c:v>
                </c:pt>
                <c:pt idx="183">
                  <c:v>1563.9576055188688</c:v>
                </c:pt>
                <c:pt idx="184">
                  <c:v>1563.9562863493065</c:v>
                </c:pt>
                <c:pt idx="185">
                  <c:v>1563.9523288619937</c:v>
                </c:pt>
                <c:pt idx="186">
                  <c:v>1563.965643973745</c:v>
                </c:pt>
                <c:pt idx="187">
                  <c:v>1563.9643248025261</c:v>
                </c:pt>
                <c:pt idx="188">
                  <c:v>1563.9630056206199</c:v>
                </c:pt>
                <c:pt idx="189">
                  <c:v>1563.961686449401</c:v>
                </c:pt>
                <c:pt idx="190">
                  <c:v>1563.9577289143701</c:v>
                </c:pt>
                <c:pt idx="191">
                  <c:v>696.45081866437909</c:v>
                </c:pt>
                <c:pt idx="192">
                  <c:v>696.45081866437909</c:v>
                </c:pt>
                <c:pt idx="193">
                  <c:v>696.45081866437909</c:v>
                </c:pt>
                <c:pt idx="194">
                  <c:v>696.45081866437909</c:v>
                </c:pt>
                <c:pt idx="195">
                  <c:v>696.45081866437909</c:v>
                </c:pt>
                <c:pt idx="196">
                  <c:v>696.45081866437909</c:v>
                </c:pt>
                <c:pt idx="197">
                  <c:v>696.45081866437909</c:v>
                </c:pt>
                <c:pt idx="198">
                  <c:v>696.45081866437909</c:v>
                </c:pt>
                <c:pt idx="199">
                  <c:v>696.45081866437909</c:v>
                </c:pt>
                <c:pt idx="200">
                  <c:v>696.45081866437909</c:v>
                </c:pt>
                <c:pt idx="201">
                  <c:v>696.45081866437909</c:v>
                </c:pt>
                <c:pt idx="202">
                  <c:v>696.45081866437909</c:v>
                </c:pt>
                <c:pt idx="203">
                  <c:v>696.45081866437909</c:v>
                </c:pt>
                <c:pt idx="204">
                  <c:v>696.45081866437909</c:v>
                </c:pt>
                <c:pt idx="205">
                  <c:v>696.45081866437909</c:v>
                </c:pt>
                <c:pt idx="206">
                  <c:v>696.45081866437909</c:v>
                </c:pt>
                <c:pt idx="207">
                  <c:v>696.45081866437909</c:v>
                </c:pt>
                <c:pt idx="208">
                  <c:v>696.45081866437909</c:v>
                </c:pt>
                <c:pt idx="209">
                  <c:v>696.45081866437909</c:v>
                </c:pt>
                <c:pt idx="210">
                  <c:v>696.45081866437909</c:v>
                </c:pt>
                <c:pt idx="211">
                  <c:v>696.45081866437909</c:v>
                </c:pt>
                <c:pt idx="212">
                  <c:v>696.45081866437909</c:v>
                </c:pt>
                <c:pt idx="213">
                  <c:v>696.44934319584684</c:v>
                </c:pt>
                <c:pt idx="214">
                  <c:v>696.44913241530799</c:v>
                </c:pt>
                <c:pt idx="215">
                  <c:v>696.44850007369098</c:v>
                </c:pt>
                <c:pt idx="216">
                  <c:v>696.44828928839274</c:v>
                </c:pt>
                <c:pt idx="217">
                  <c:v>696.44807850785389</c:v>
                </c:pt>
                <c:pt idx="218">
                  <c:v>696.44786772731482</c:v>
                </c:pt>
                <c:pt idx="219">
                  <c:v>696.44765694677585</c:v>
                </c:pt>
                <c:pt idx="220">
                  <c:v>696.44702460515884</c:v>
                </c:pt>
                <c:pt idx="221">
                  <c:v>696.44681382461988</c:v>
                </c:pt>
                <c:pt idx="222">
                  <c:v>696.44660303932176</c:v>
                </c:pt>
                <c:pt idx="223">
                  <c:v>696.44639225878268</c:v>
                </c:pt>
                <c:pt idx="224">
                  <c:v>696.44618147824372</c:v>
                </c:pt>
                <c:pt idx="225">
                  <c:v>696.44554913662671</c:v>
                </c:pt>
                <c:pt idx="226">
                  <c:v>696.44533835608775</c:v>
                </c:pt>
                <c:pt idx="227">
                  <c:v>696.45976153787524</c:v>
                </c:pt>
                <c:pt idx="228">
                  <c:v>696.45955075290726</c:v>
                </c:pt>
                <c:pt idx="229">
                  <c:v>696.45933996793917</c:v>
                </c:pt>
                <c:pt idx="230">
                  <c:v>696.45870761303513</c:v>
                </c:pt>
                <c:pt idx="231">
                  <c:v>696.45849682806727</c:v>
                </c:pt>
                <c:pt idx="232">
                  <c:v>696.45828603834002</c:v>
                </c:pt>
                <c:pt idx="233">
                  <c:v>696.45807525337193</c:v>
                </c:pt>
                <c:pt idx="234">
                  <c:v>696.45786446840407</c:v>
                </c:pt>
                <c:pt idx="235">
                  <c:v>696.45702132853194</c:v>
                </c:pt>
                <c:pt idx="236">
                  <c:v>696.45681054356407</c:v>
                </c:pt>
                <c:pt idx="237">
                  <c:v>696.45659975383683</c:v>
                </c:pt>
                <c:pt idx="238">
                  <c:v>696.45638896886885</c:v>
                </c:pt>
                <c:pt idx="239">
                  <c:v>696.45575661396481</c:v>
                </c:pt>
                <c:pt idx="240">
                  <c:v>696.45554582899683</c:v>
                </c:pt>
                <c:pt idx="241">
                  <c:v>696.45533504402897</c:v>
                </c:pt>
                <c:pt idx="242">
                  <c:v>696.45512425430161</c:v>
                </c:pt>
                <c:pt idx="243">
                  <c:v>696.45491346933363</c:v>
                </c:pt>
                <c:pt idx="244">
                  <c:v>696.4542811144297</c:v>
                </c:pt>
                <c:pt idx="245">
                  <c:v>696.45407032946162</c:v>
                </c:pt>
                <c:pt idx="246">
                  <c:v>696.45385954449353</c:v>
                </c:pt>
                <c:pt idx="247">
                  <c:v>696.4536487547665</c:v>
                </c:pt>
                <c:pt idx="248">
                  <c:v>696.45343796979841</c:v>
                </c:pt>
                <c:pt idx="249">
                  <c:v>696.45280561489437</c:v>
                </c:pt>
                <c:pt idx="250">
                  <c:v>696.45259482992651</c:v>
                </c:pt>
                <c:pt idx="251">
                  <c:v>696.45238404495842</c:v>
                </c:pt>
                <c:pt idx="252">
                  <c:v>696.45217325999033</c:v>
                </c:pt>
                <c:pt idx="253">
                  <c:v>696.4519624702632</c:v>
                </c:pt>
                <c:pt idx="254">
                  <c:v>696.45133011535927</c:v>
                </c:pt>
                <c:pt idx="255">
                  <c:v>696.45111933039118</c:v>
                </c:pt>
                <c:pt idx="256">
                  <c:v>167.67665444129881</c:v>
                </c:pt>
                <c:pt idx="257">
                  <c:v>167.67665444129881</c:v>
                </c:pt>
                <c:pt idx="258">
                  <c:v>167.67665444129881</c:v>
                </c:pt>
                <c:pt idx="259">
                  <c:v>167.67665444129881</c:v>
                </c:pt>
                <c:pt idx="260">
                  <c:v>167.67665444129881</c:v>
                </c:pt>
                <c:pt idx="261">
                  <c:v>167.67665444129881</c:v>
                </c:pt>
                <c:pt idx="262">
                  <c:v>167.67665444129881</c:v>
                </c:pt>
                <c:pt idx="263">
                  <c:v>167.67665444129881</c:v>
                </c:pt>
                <c:pt idx="264">
                  <c:v>167.67665444129881</c:v>
                </c:pt>
                <c:pt idx="265">
                  <c:v>167.67665444129881</c:v>
                </c:pt>
                <c:pt idx="266">
                  <c:v>167.67665444129881</c:v>
                </c:pt>
                <c:pt idx="267">
                  <c:v>167.67665444129881</c:v>
                </c:pt>
                <c:pt idx="268">
                  <c:v>167.67665444129881</c:v>
                </c:pt>
                <c:pt idx="269">
                  <c:v>167.67665444129881</c:v>
                </c:pt>
                <c:pt idx="270">
                  <c:v>167.67665444129881</c:v>
                </c:pt>
                <c:pt idx="271">
                  <c:v>167.67665444129881</c:v>
                </c:pt>
                <c:pt idx="272">
                  <c:v>167.67665444129881</c:v>
                </c:pt>
                <c:pt idx="273">
                  <c:v>167.67665444129881</c:v>
                </c:pt>
                <c:pt idx="274">
                  <c:v>167.67665444129881</c:v>
                </c:pt>
                <c:pt idx="275">
                  <c:v>167.67660602702381</c:v>
                </c:pt>
                <c:pt idx="276">
                  <c:v>167.67655761274881</c:v>
                </c:pt>
                <c:pt idx="277">
                  <c:v>167.67650919961969</c:v>
                </c:pt>
                <c:pt idx="278">
                  <c:v>167.67646078534469</c:v>
                </c:pt>
                <c:pt idx="279">
                  <c:v>167.67631554366559</c:v>
                </c:pt>
                <c:pt idx="280">
                  <c:v>167.6762671305365</c:v>
                </c:pt>
                <c:pt idx="281">
                  <c:v>167.67621871626147</c:v>
                </c:pt>
                <c:pt idx="282">
                  <c:v>167.67617030313241</c:v>
                </c:pt>
                <c:pt idx="283">
                  <c:v>167.67612188885738</c:v>
                </c:pt>
                <c:pt idx="284">
                  <c:v>167.67597664717832</c:v>
                </c:pt>
                <c:pt idx="285">
                  <c:v>167.67592823404922</c:v>
                </c:pt>
                <c:pt idx="286">
                  <c:v>167.6758798197742</c:v>
                </c:pt>
                <c:pt idx="287">
                  <c:v>167.67583140549922</c:v>
                </c:pt>
                <c:pt idx="288">
                  <c:v>167.6757829923701</c:v>
                </c:pt>
                <c:pt idx="289">
                  <c:v>167.67563775069104</c:v>
                </c:pt>
                <c:pt idx="290">
                  <c:v>167.67558933756192</c:v>
                </c:pt>
                <c:pt idx="291">
                  <c:v>167.67554092328692</c:v>
                </c:pt>
                <c:pt idx="292">
                  <c:v>167.67549250901192</c:v>
                </c:pt>
                <c:pt idx="293">
                  <c:v>167.6754440958828</c:v>
                </c:pt>
                <c:pt idx="294">
                  <c:v>167.6752988542037</c:v>
                </c:pt>
                <c:pt idx="295">
                  <c:v>167.6752504399287</c:v>
                </c:pt>
                <c:pt idx="296">
                  <c:v>167.67520202679961</c:v>
                </c:pt>
                <c:pt idx="297">
                  <c:v>167.67515361252461</c:v>
                </c:pt>
                <c:pt idx="298">
                  <c:v>167.67510519939552</c:v>
                </c:pt>
                <c:pt idx="299">
                  <c:v>167.6749599577164</c:v>
                </c:pt>
                <c:pt idx="300">
                  <c:v>167.67491154344143</c:v>
                </c:pt>
                <c:pt idx="301">
                  <c:v>167.6748631303123</c:v>
                </c:pt>
                <c:pt idx="302">
                  <c:v>167.67481471603733</c:v>
                </c:pt>
                <c:pt idx="303">
                  <c:v>167.67476630290821</c:v>
                </c:pt>
                <c:pt idx="304">
                  <c:v>167.67462106122909</c:v>
                </c:pt>
                <c:pt idx="305">
                  <c:v>167.67457264695412</c:v>
                </c:pt>
                <c:pt idx="306">
                  <c:v>167.674524233825</c:v>
                </c:pt>
                <c:pt idx="307">
                  <c:v>167.674427405275</c:v>
                </c:pt>
                <c:pt idx="308">
                  <c:v>167.67428216474181</c:v>
                </c:pt>
                <c:pt idx="309">
                  <c:v>167.67423375046681</c:v>
                </c:pt>
                <c:pt idx="310">
                  <c:v>167.67418533619181</c:v>
                </c:pt>
                <c:pt idx="311">
                  <c:v>167.67413692306269</c:v>
                </c:pt>
                <c:pt idx="312">
                  <c:v>167.67408850878772</c:v>
                </c:pt>
                <c:pt idx="313">
                  <c:v>1048.8411260415608</c:v>
                </c:pt>
                <c:pt idx="314">
                  <c:v>1048.8411260415608</c:v>
                </c:pt>
                <c:pt idx="315">
                  <c:v>1048.8411260415608</c:v>
                </c:pt>
                <c:pt idx="316">
                  <c:v>1048.8411260415608</c:v>
                </c:pt>
                <c:pt idx="317">
                  <c:v>1048.8411260415608</c:v>
                </c:pt>
                <c:pt idx="318">
                  <c:v>1048.8411260415608</c:v>
                </c:pt>
                <c:pt idx="319">
                  <c:v>1048.8411260415608</c:v>
                </c:pt>
                <c:pt idx="320">
                  <c:v>1048.8411260415608</c:v>
                </c:pt>
                <c:pt idx="321">
                  <c:v>1048.8411260415608</c:v>
                </c:pt>
                <c:pt idx="322">
                  <c:v>1048.8411260415608</c:v>
                </c:pt>
                <c:pt idx="323">
                  <c:v>1048.8411260415608</c:v>
                </c:pt>
                <c:pt idx="324">
                  <c:v>1048.8411260415608</c:v>
                </c:pt>
                <c:pt idx="325">
                  <c:v>1048.8353671368629</c:v>
                </c:pt>
                <c:pt idx="326">
                  <c:v>1048.8375852669419</c:v>
                </c:pt>
                <c:pt idx="327">
                  <c:v>1048.8398034041888</c:v>
                </c:pt>
                <c:pt idx="328">
                  <c:v>1048.8420215414362</c:v>
                </c:pt>
                <c:pt idx="329">
                  <c:v>1048.8442396786832</c:v>
                </c:pt>
                <c:pt idx="330">
                  <c:v>1048.8362622963577</c:v>
                </c:pt>
                <c:pt idx="331">
                  <c:v>1048.8384804026609</c:v>
                </c:pt>
                <c:pt idx="332">
                  <c:v>1048.8406985089646</c:v>
                </c:pt>
                <c:pt idx="333">
                  <c:v>1048.8429166080996</c:v>
                </c:pt>
                <c:pt idx="334">
                  <c:v>1048.8451347144032</c:v>
                </c:pt>
                <c:pt idx="335">
                  <c:v>1048.8371570226404</c:v>
                </c:pt>
                <c:pt idx="336">
                  <c:v>1048.8393750980003</c:v>
                </c:pt>
                <c:pt idx="337">
                  <c:v>1048.84159317336</c:v>
                </c:pt>
                <c:pt idx="338">
                  <c:v>1048.8438112487195</c:v>
                </c:pt>
                <c:pt idx="339">
                  <c:v>1048.8460293169112</c:v>
                </c:pt>
                <c:pt idx="340">
                  <c:v>1048.8380513157119</c:v>
                </c:pt>
                <c:pt idx="341">
                  <c:v>1048.8402693601281</c:v>
                </c:pt>
                <c:pt idx="342">
                  <c:v>1048.8424874045438</c:v>
                </c:pt>
                <c:pt idx="343">
                  <c:v>1048.84470544896</c:v>
                </c:pt>
                <c:pt idx="344">
                  <c:v>1048.8469234933759</c:v>
                </c:pt>
                <c:pt idx="345">
                  <c:v>1048.8389451755718</c:v>
                </c:pt>
                <c:pt idx="346">
                  <c:v>1048.841163189044</c:v>
                </c:pt>
                <c:pt idx="347">
                  <c:v>1048.8433812025164</c:v>
                </c:pt>
              </c:numCache>
            </c:numRef>
          </c:val>
          <c:smooth val="0"/>
          <c:extLst>
            <c:ext xmlns:c16="http://schemas.microsoft.com/office/drawing/2014/chart" uri="{C3380CC4-5D6E-409C-BE32-E72D297353CC}">
              <c16:uniqueId val="{00000002-0E78-406F-8F6A-95198B4FB3B2}"/>
            </c:ext>
          </c:extLst>
        </c:ser>
        <c:dLbls>
          <c:showLegendKey val="0"/>
          <c:showVal val="0"/>
          <c:showCatName val="0"/>
          <c:showSerName val="0"/>
          <c:showPercent val="0"/>
          <c:showBubbleSize val="0"/>
        </c:dLbls>
        <c:marker val="1"/>
        <c:smooth val="0"/>
        <c:axId val="749361512"/>
        <c:axId val="749360792"/>
      </c:lineChart>
      <c:dateAx>
        <c:axId val="749362592"/>
        <c:scaling>
          <c:orientation val="minMax"/>
        </c:scaling>
        <c:delete val="0"/>
        <c:axPos val="b"/>
        <c:numFmt formatCode="m/d/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Calibri (Body)"/>
                <a:ea typeface="+mn-ea"/>
                <a:cs typeface="+mn-cs"/>
              </a:defRPr>
            </a:pPr>
            <a:endParaRPr lang="vi-VN"/>
          </a:p>
        </c:txPr>
        <c:crossAx val="749361152"/>
        <c:crosses val="autoZero"/>
        <c:auto val="1"/>
        <c:lblOffset val="100"/>
        <c:baseTimeUnit val="days"/>
      </c:dateAx>
      <c:valAx>
        <c:axId val="749361152"/>
        <c:scaling>
          <c:orientation val="minMax"/>
          <c:min val="20000"/>
        </c:scaling>
        <c:delete val="0"/>
        <c:axPos val="l"/>
        <c:title>
          <c:tx>
            <c:rich>
              <a:bodyPr rot="-5400000" spcFirstLastPara="1" vertOverflow="ellipsis" vert="horz" wrap="square" anchor="ctr" anchorCtr="1"/>
              <a:lstStyle/>
              <a:p>
                <a:pPr>
                  <a:defRPr sz="800" b="0" i="0" u="none" strike="noStrike" kern="1200" baseline="0">
                    <a:solidFill>
                      <a:schemeClr val="tx1">
                        <a:lumMod val="65000"/>
                        <a:lumOff val="35000"/>
                      </a:schemeClr>
                    </a:solidFill>
                    <a:latin typeface="Calibri (Body)"/>
                    <a:ea typeface="+mn-ea"/>
                    <a:cs typeface="+mn-cs"/>
                  </a:defRPr>
                </a:pPr>
                <a:r>
                  <a:rPr lang="en-US"/>
                  <a:t>Gía</a:t>
                </a:r>
                <a:r>
                  <a:rPr lang="en-US" baseline="0"/>
                  <a:t> trị doanh nghiệp</a:t>
                </a:r>
                <a:endParaRPr lang="en-US"/>
              </a:p>
            </c:rich>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Calibri (Body)"/>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Calibri (Body)"/>
                <a:ea typeface="+mn-ea"/>
                <a:cs typeface="+mn-cs"/>
              </a:defRPr>
            </a:pPr>
            <a:endParaRPr lang="vi-VN"/>
          </a:p>
        </c:txPr>
        <c:crossAx val="749362592"/>
        <c:crosses val="autoZero"/>
        <c:crossBetween val="between"/>
      </c:valAx>
      <c:valAx>
        <c:axId val="749360792"/>
        <c:scaling>
          <c:orientation val="minMax"/>
          <c:max val="10000"/>
        </c:scaling>
        <c:delete val="0"/>
        <c:axPos val="r"/>
        <c:title>
          <c:tx>
            <c:rich>
              <a:bodyPr rot="-5400000" spcFirstLastPara="1" vertOverflow="ellipsis" vert="horz" wrap="square" anchor="ctr" anchorCtr="1"/>
              <a:lstStyle/>
              <a:p>
                <a:pPr>
                  <a:defRPr sz="800" b="0" i="0" u="none" strike="noStrike" kern="1200" baseline="0">
                    <a:solidFill>
                      <a:schemeClr val="tx1">
                        <a:lumMod val="65000"/>
                        <a:lumOff val="35000"/>
                      </a:schemeClr>
                    </a:solidFill>
                    <a:latin typeface="Calibri (Body)"/>
                    <a:ea typeface="+mn-ea"/>
                    <a:cs typeface="+mn-cs"/>
                  </a:defRPr>
                </a:pPr>
                <a:r>
                  <a:rPr lang="en-US"/>
                  <a:t>Lọi</a:t>
                </a:r>
                <a:r>
                  <a:rPr lang="en-US" baseline="0"/>
                  <a:t> nhuận </a:t>
                </a:r>
                <a:endParaRPr lang="en-US"/>
              </a:p>
            </c:rich>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Calibri (Body)"/>
                  <a:ea typeface="+mn-ea"/>
                  <a:cs typeface="+mn-cs"/>
                </a:defRPr>
              </a:pPr>
              <a:endParaRPr lang="en-US"/>
            </a:p>
          </c:txPr>
        </c:title>
        <c:numFmt formatCode="_(* #,##0_);_(* \(#,##0\);_(* &quot;-&quot;??_);_(@_)" sourceLinked="1"/>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Calibri (Body)"/>
                <a:ea typeface="+mn-ea"/>
                <a:cs typeface="+mn-cs"/>
              </a:defRPr>
            </a:pPr>
            <a:endParaRPr lang="vi-VN"/>
          </a:p>
        </c:txPr>
        <c:crossAx val="749361512"/>
        <c:crosses val="max"/>
        <c:crossBetween val="between"/>
      </c:valAx>
      <c:dateAx>
        <c:axId val="749361512"/>
        <c:scaling>
          <c:orientation val="minMax"/>
        </c:scaling>
        <c:delete val="1"/>
        <c:axPos val="b"/>
        <c:numFmt formatCode="m/d/yy" sourceLinked="1"/>
        <c:majorTickMark val="out"/>
        <c:minorTickMark val="none"/>
        <c:tickLblPos val="nextTo"/>
        <c:crossAx val="749360792"/>
        <c:crosses val="autoZero"/>
        <c:auto val="1"/>
        <c:lblOffset val="100"/>
        <c:baseTimeUnit val="days"/>
      </c:dateAx>
      <c:spPr>
        <a:noFill/>
        <a:ln>
          <a:noFill/>
        </a:ln>
        <a:effectLst/>
      </c:spPr>
    </c:plotArea>
    <c:legend>
      <c:legendPos val="b"/>
      <c:layout>
        <c:manualLayout>
          <c:xMode val="edge"/>
          <c:yMode val="edge"/>
          <c:x val="7.8609288298578546E-4"/>
          <c:y val="0.88140268970803437"/>
          <c:w val="0.9369980122816125"/>
          <c:h val="8.3199117155810062E-2"/>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Calibri (Body)"/>
              <a:ea typeface="+mn-ea"/>
              <a:cs typeface="+mn-cs"/>
            </a:defRPr>
          </a:pPr>
          <a:endParaRPr lang="vi-VN"/>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sz="800">
          <a:latin typeface="Calibri (Body)"/>
        </a:defRPr>
      </a:pPr>
      <a:endParaRPr lang="vi-VN"/>
    </a:p>
  </c:txPr>
  <c:printSettings>
    <c:headerFooter/>
    <c:pageMargins b="0.75" l="0.7" r="0.7" t="0.75" header="0.3" footer="0.3"/>
    <c:pageSetup/>
  </c:printSettings>
  <c:userShapes r:id="rId3"/>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079442088237071"/>
          <c:y val="4.3264503441494594E-2"/>
          <c:w val="0.81648452886896494"/>
          <c:h val="0.69141569693168881"/>
        </c:manualLayout>
      </c:layout>
      <c:lineChart>
        <c:grouping val="standard"/>
        <c:varyColors val="0"/>
        <c:ser>
          <c:idx val="0"/>
          <c:order val="0"/>
          <c:tx>
            <c:strRef>
              <c:f>Diamond!$R$2</c:f>
              <c:strCache>
                <c:ptCount val="1"/>
                <c:pt idx="0">
                  <c:v>Giá đóng cửa (VND)</c:v>
                </c:pt>
              </c:strCache>
            </c:strRef>
          </c:tx>
          <c:spPr>
            <a:ln w="28575" cap="rnd">
              <a:solidFill>
                <a:schemeClr val="accent1"/>
              </a:solidFill>
              <a:round/>
            </a:ln>
            <a:effectLst/>
          </c:spPr>
          <c:marker>
            <c:symbol val="none"/>
          </c:marker>
          <c:cat>
            <c:numRef>
              <c:f>Diamond!$Q$3:$Q$585</c:f>
              <c:numCache>
                <c:formatCode>m/d/yy</c:formatCode>
                <c:ptCount val="583"/>
                <c:pt idx="0">
                  <c:v>45415</c:v>
                </c:pt>
                <c:pt idx="3">
                  <c:v>45414</c:v>
                </c:pt>
                <c:pt idx="4">
                  <c:v>45408</c:v>
                </c:pt>
                <c:pt idx="8">
                  <c:v>45407</c:v>
                </c:pt>
                <c:pt idx="9">
                  <c:v>45406</c:v>
                </c:pt>
                <c:pt idx="10">
                  <c:v>45405</c:v>
                </c:pt>
                <c:pt idx="11">
                  <c:v>45404</c:v>
                </c:pt>
                <c:pt idx="12">
                  <c:v>45401</c:v>
                </c:pt>
                <c:pt idx="13">
                  <c:v>45399</c:v>
                </c:pt>
                <c:pt idx="14">
                  <c:v>45398</c:v>
                </c:pt>
                <c:pt idx="15">
                  <c:v>45397</c:v>
                </c:pt>
                <c:pt idx="16">
                  <c:v>45394</c:v>
                </c:pt>
                <c:pt idx="17">
                  <c:v>45393</c:v>
                </c:pt>
                <c:pt idx="18">
                  <c:v>45392</c:v>
                </c:pt>
                <c:pt idx="19">
                  <c:v>45391</c:v>
                </c:pt>
                <c:pt idx="20">
                  <c:v>45390</c:v>
                </c:pt>
                <c:pt idx="21">
                  <c:v>45387</c:v>
                </c:pt>
                <c:pt idx="22">
                  <c:v>45386</c:v>
                </c:pt>
                <c:pt idx="23">
                  <c:v>45385</c:v>
                </c:pt>
                <c:pt idx="24">
                  <c:v>45384</c:v>
                </c:pt>
                <c:pt idx="25">
                  <c:v>45383</c:v>
                </c:pt>
                <c:pt idx="26">
                  <c:v>45380</c:v>
                </c:pt>
                <c:pt idx="27">
                  <c:v>45379</c:v>
                </c:pt>
                <c:pt idx="28">
                  <c:v>45378</c:v>
                </c:pt>
                <c:pt idx="29">
                  <c:v>45377</c:v>
                </c:pt>
                <c:pt idx="30">
                  <c:v>45376</c:v>
                </c:pt>
                <c:pt idx="31">
                  <c:v>45373</c:v>
                </c:pt>
                <c:pt idx="32">
                  <c:v>45372</c:v>
                </c:pt>
                <c:pt idx="33">
                  <c:v>45371</c:v>
                </c:pt>
                <c:pt idx="34">
                  <c:v>45370</c:v>
                </c:pt>
                <c:pt idx="35">
                  <c:v>45369</c:v>
                </c:pt>
                <c:pt idx="36">
                  <c:v>45366</c:v>
                </c:pt>
                <c:pt idx="37">
                  <c:v>45365</c:v>
                </c:pt>
                <c:pt idx="38">
                  <c:v>45364</c:v>
                </c:pt>
                <c:pt idx="39">
                  <c:v>45363</c:v>
                </c:pt>
                <c:pt idx="40">
                  <c:v>45362</c:v>
                </c:pt>
                <c:pt idx="41">
                  <c:v>45359</c:v>
                </c:pt>
                <c:pt idx="42">
                  <c:v>45358</c:v>
                </c:pt>
                <c:pt idx="43">
                  <c:v>45357</c:v>
                </c:pt>
                <c:pt idx="44">
                  <c:v>45356</c:v>
                </c:pt>
                <c:pt idx="45">
                  <c:v>45355</c:v>
                </c:pt>
                <c:pt idx="46">
                  <c:v>45352</c:v>
                </c:pt>
                <c:pt idx="47">
                  <c:v>45351</c:v>
                </c:pt>
                <c:pt idx="48">
                  <c:v>45350</c:v>
                </c:pt>
                <c:pt idx="49">
                  <c:v>45349</c:v>
                </c:pt>
                <c:pt idx="50">
                  <c:v>45348</c:v>
                </c:pt>
                <c:pt idx="51">
                  <c:v>45345</c:v>
                </c:pt>
                <c:pt idx="52">
                  <c:v>45344</c:v>
                </c:pt>
                <c:pt idx="53">
                  <c:v>45343</c:v>
                </c:pt>
                <c:pt idx="54">
                  <c:v>45342</c:v>
                </c:pt>
                <c:pt idx="55">
                  <c:v>45341</c:v>
                </c:pt>
                <c:pt idx="56">
                  <c:v>45338</c:v>
                </c:pt>
                <c:pt idx="57">
                  <c:v>45337</c:v>
                </c:pt>
                <c:pt idx="58">
                  <c:v>45329</c:v>
                </c:pt>
                <c:pt idx="59">
                  <c:v>45328</c:v>
                </c:pt>
                <c:pt idx="60">
                  <c:v>45327</c:v>
                </c:pt>
                <c:pt idx="61">
                  <c:v>45324</c:v>
                </c:pt>
                <c:pt idx="62">
                  <c:v>45323</c:v>
                </c:pt>
                <c:pt idx="63">
                  <c:v>45322</c:v>
                </c:pt>
                <c:pt idx="64">
                  <c:v>45321</c:v>
                </c:pt>
                <c:pt idx="65">
                  <c:v>45320</c:v>
                </c:pt>
                <c:pt idx="66">
                  <c:v>45317</c:v>
                </c:pt>
                <c:pt idx="67">
                  <c:v>45316</c:v>
                </c:pt>
                <c:pt idx="68">
                  <c:v>45315</c:v>
                </c:pt>
                <c:pt idx="69">
                  <c:v>45314</c:v>
                </c:pt>
                <c:pt idx="70">
                  <c:v>45313</c:v>
                </c:pt>
                <c:pt idx="71">
                  <c:v>45310</c:v>
                </c:pt>
                <c:pt idx="72">
                  <c:v>45309</c:v>
                </c:pt>
                <c:pt idx="73">
                  <c:v>45308</c:v>
                </c:pt>
                <c:pt idx="74">
                  <c:v>45307</c:v>
                </c:pt>
                <c:pt idx="75">
                  <c:v>45306</c:v>
                </c:pt>
                <c:pt idx="76">
                  <c:v>45303</c:v>
                </c:pt>
                <c:pt idx="77">
                  <c:v>45302</c:v>
                </c:pt>
                <c:pt idx="78">
                  <c:v>45301</c:v>
                </c:pt>
                <c:pt idx="79">
                  <c:v>45300</c:v>
                </c:pt>
                <c:pt idx="80">
                  <c:v>45299</c:v>
                </c:pt>
                <c:pt idx="81">
                  <c:v>45296</c:v>
                </c:pt>
                <c:pt idx="82">
                  <c:v>45295</c:v>
                </c:pt>
                <c:pt idx="83">
                  <c:v>45294</c:v>
                </c:pt>
                <c:pt idx="84">
                  <c:v>45293</c:v>
                </c:pt>
                <c:pt idx="85">
                  <c:v>45289</c:v>
                </c:pt>
                <c:pt idx="86">
                  <c:v>45288</c:v>
                </c:pt>
                <c:pt idx="87">
                  <c:v>45287</c:v>
                </c:pt>
                <c:pt idx="88">
                  <c:v>45286</c:v>
                </c:pt>
                <c:pt idx="89">
                  <c:v>45285</c:v>
                </c:pt>
                <c:pt idx="90">
                  <c:v>45282</c:v>
                </c:pt>
                <c:pt idx="91">
                  <c:v>45281</c:v>
                </c:pt>
                <c:pt idx="92">
                  <c:v>45280</c:v>
                </c:pt>
                <c:pt idx="93">
                  <c:v>45279</c:v>
                </c:pt>
                <c:pt idx="94">
                  <c:v>45278</c:v>
                </c:pt>
                <c:pt idx="95">
                  <c:v>45275</c:v>
                </c:pt>
                <c:pt idx="96">
                  <c:v>45274</c:v>
                </c:pt>
                <c:pt idx="97">
                  <c:v>45273</c:v>
                </c:pt>
                <c:pt idx="98">
                  <c:v>45272</c:v>
                </c:pt>
                <c:pt idx="99">
                  <c:v>45271</c:v>
                </c:pt>
                <c:pt idx="100">
                  <c:v>45268</c:v>
                </c:pt>
                <c:pt idx="101">
                  <c:v>45267</c:v>
                </c:pt>
                <c:pt idx="102">
                  <c:v>45266</c:v>
                </c:pt>
                <c:pt idx="103">
                  <c:v>45265</c:v>
                </c:pt>
                <c:pt idx="104">
                  <c:v>45264</c:v>
                </c:pt>
                <c:pt idx="105">
                  <c:v>45261</c:v>
                </c:pt>
                <c:pt idx="106">
                  <c:v>45260</c:v>
                </c:pt>
                <c:pt idx="107">
                  <c:v>45259</c:v>
                </c:pt>
                <c:pt idx="108">
                  <c:v>45258</c:v>
                </c:pt>
                <c:pt idx="109">
                  <c:v>45257</c:v>
                </c:pt>
                <c:pt idx="110">
                  <c:v>45254</c:v>
                </c:pt>
                <c:pt idx="111">
                  <c:v>45253</c:v>
                </c:pt>
                <c:pt idx="112">
                  <c:v>45252</c:v>
                </c:pt>
                <c:pt idx="113">
                  <c:v>45251</c:v>
                </c:pt>
                <c:pt idx="114">
                  <c:v>45250</c:v>
                </c:pt>
                <c:pt idx="115">
                  <c:v>45247</c:v>
                </c:pt>
                <c:pt idx="116">
                  <c:v>45246</c:v>
                </c:pt>
                <c:pt idx="117">
                  <c:v>45245</c:v>
                </c:pt>
                <c:pt idx="118">
                  <c:v>45244</c:v>
                </c:pt>
                <c:pt idx="119">
                  <c:v>45243</c:v>
                </c:pt>
                <c:pt idx="120">
                  <c:v>45240</c:v>
                </c:pt>
                <c:pt idx="121">
                  <c:v>45239</c:v>
                </c:pt>
                <c:pt idx="122">
                  <c:v>45238</c:v>
                </c:pt>
                <c:pt idx="123">
                  <c:v>45237</c:v>
                </c:pt>
                <c:pt idx="124">
                  <c:v>45236</c:v>
                </c:pt>
                <c:pt idx="125">
                  <c:v>45233</c:v>
                </c:pt>
                <c:pt idx="126">
                  <c:v>45232</c:v>
                </c:pt>
                <c:pt idx="127">
                  <c:v>45231</c:v>
                </c:pt>
                <c:pt idx="128">
                  <c:v>45230</c:v>
                </c:pt>
                <c:pt idx="129">
                  <c:v>45229</c:v>
                </c:pt>
                <c:pt idx="130">
                  <c:v>45226</c:v>
                </c:pt>
                <c:pt idx="131">
                  <c:v>45225</c:v>
                </c:pt>
                <c:pt idx="132">
                  <c:v>45224</c:v>
                </c:pt>
                <c:pt idx="133">
                  <c:v>45223</c:v>
                </c:pt>
                <c:pt idx="134">
                  <c:v>45222</c:v>
                </c:pt>
                <c:pt idx="135">
                  <c:v>45219</c:v>
                </c:pt>
                <c:pt idx="136">
                  <c:v>45218</c:v>
                </c:pt>
                <c:pt idx="137">
                  <c:v>45217</c:v>
                </c:pt>
                <c:pt idx="138">
                  <c:v>45216</c:v>
                </c:pt>
                <c:pt idx="139">
                  <c:v>45215</c:v>
                </c:pt>
                <c:pt idx="140">
                  <c:v>45212</c:v>
                </c:pt>
                <c:pt idx="141">
                  <c:v>45211</c:v>
                </c:pt>
                <c:pt idx="142">
                  <c:v>45210</c:v>
                </c:pt>
                <c:pt idx="143">
                  <c:v>45209</c:v>
                </c:pt>
                <c:pt idx="144">
                  <c:v>45208</c:v>
                </c:pt>
                <c:pt idx="145">
                  <c:v>45205</c:v>
                </c:pt>
                <c:pt idx="146">
                  <c:v>45204</c:v>
                </c:pt>
                <c:pt idx="147">
                  <c:v>45203</c:v>
                </c:pt>
                <c:pt idx="148">
                  <c:v>45202</c:v>
                </c:pt>
                <c:pt idx="149">
                  <c:v>45201</c:v>
                </c:pt>
                <c:pt idx="150">
                  <c:v>45198</c:v>
                </c:pt>
                <c:pt idx="151">
                  <c:v>45197</c:v>
                </c:pt>
                <c:pt idx="152">
                  <c:v>45196</c:v>
                </c:pt>
                <c:pt idx="153">
                  <c:v>45195</c:v>
                </c:pt>
                <c:pt idx="154">
                  <c:v>45194</c:v>
                </c:pt>
                <c:pt idx="155">
                  <c:v>45191</c:v>
                </c:pt>
                <c:pt idx="156">
                  <c:v>45190</c:v>
                </c:pt>
                <c:pt idx="157">
                  <c:v>45189</c:v>
                </c:pt>
                <c:pt idx="158">
                  <c:v>45188</c:v>
                </c:pt>
                <c:pt idx="159">
                  <c:v>45187</c:v>
                </c:pt>
                <c:pt idx="160">
                  <c:v>45184</c:v>
                </c:pt>
                <c:pt idx="161">
                  <c:v>45183</c:v>
                </c:pt>
                <c:pt idx="162">
                  <c:v>45182</c:v>
                </c:pt>
                <c:pt idx="163">
                  <c:v>45181</c:v>
                </c:pt>
                <c:pt idx="164">
                  <c:v>45180</c:v>
                </c:pt>
                <c:pt idx="165">
                  <c:v>45177</c:v>
                </c:pt>
                <c:pt idx="166">
                  <c:v>45176</c:v>
                </c:pt>
                <c:pt idx="167">
                  <c:v>45175</c:v>
                </c:pt>
                <c:pt idx="168">
                  <c:v>45174</c:v>
                </c:pt>
                <c:pt idx="169">
                  <c:v>45169</c:v>
                </c:pt>
                <c:pt idx="170">
                  <c:v>45168</c:v>
                </c:pt>
                <c:pt idx="171">
                  <c:v>45167</c:v>
                </c:pt>
                <c:pt idx="172">
                  <c:v>45166</c:v>
                </c:pt>
                <c:pt idx="173">
                  <c:v>45163</c:v>
                </c:pt>
                <c:pt idx="174">
                  <c:v>45162</c:v>
                </c:pt>
                <c:pt idx="175">
                  <c:v>45161</c:v>
                </c:pt>
                <c:pt idx="176">
                  <c:v>45160</c:v>
                </c:pt>
                <c:pt idx="177">
                  <c:v>45159</c:v>
                </c:pt>
                <c:pt idx="178">
                  <c:v>45156</c:v>
                </c:pt>
                <c:pt idx="179">
                  <c:v>45155</c:v>
                </c:pt>
                <c:pt idx="180">
                  <c:v>45154</c:v>
                </c:pt>
                <c:pt idx="181">
                  <c:v>45153</c:v>
                </c:pt>
                <c:pt idx="182">
                  <c:v>45152</c:v>
                </c:pt>
                <c:pt idx="183">
                  <c:v>45149</c:v>
                </c:pt>
                <c:pt idx="184">
                  <c:v>45148</c:v>
                </c:pt>
                <c:pt idx="185">
                  <c:v>45147</c:v>
                </c:pt>
                <c:pt idx="186">
                  <c:v>45146</c:v>
                </c:pt>
                <c:pt idx="187">
                  <c:v>45145</c:v>
                </c:pt>
                <c:pt idx="188">
                  <c:v>45142</c:v>
                </c:pt>
                <c:pt idx="189">
                  <c:v>45141</c:v>
                </c:pt>
                <c:pt idx="190">
                  <c:v>45140</c:v>
                </c:pt>
                <c:pt idx="191">
                  <c:v>45139</c:v>
                </c:pt>
                <c:pt idx="192">
                  <c:v>45138</c:v>
                </c:pt>
                <c:pt idx="193">
                  <c:v>45135</c:v>
                </c:pt>
                <c:pt idx="194">
                  <c:v>45134</c:v>
                </c:pt>
                <c:pt idx="195">
                  <c:v>45133</c:v>
                </c:pt>
                <c:pt idx="196">
                  <c:v>45132</c:v>
                </c:pt>
                <c:pt idx="197">
                  <c:v>45131</c:v>
                </c:pt>
                <c:pt idx="198">
                  <c:v>45128</c:v>
                </c:pt>
                <c:pt idx="199">
                  <c:v>45127</c:v>
                </c:pt>
                <c:pt idx="200">
                  <c:v>45126</c:v>
                </c:pt>
                <c:pt idx="201">
                  <c:v>45125</c:v>
                </c:pt>
                <c:pt idx="202">
                  <c:v>45124</c:v>
                </c:pt>
                <c:pt idx="203">
                  <c:v>45121</c:v>
                </c:pt>
                <c:pt idx="204">
                  <c:v>45120</c:v>
                </c:pt>
                <c:pt idx="205">
                  <c:v>45119</c:v>
                </c:pt>
                <c:pt idx="206">
                  <c:v>45118</c:v>
                </c:pt>
                <c:pt idx="207">
                  <c:v>45117</c:v>
                </c:pt>
                <c:pt idx="208">
                  <c:v>45114</c:v>
                </c:pt>
                <c:pt idx="209">
                  <c:v>45113</c:v>
                </c:pt>
                <c:pt idx="210">
                  <c:v>45112</c:v>
                </c:pt>
                <c:pt idx="211">
                  <c:v>45111</c:v>
                </c:pt>
                <c:pt idx="212">
                  <c:v>45110</c:v>
                </c:pt>
                <c:pt idx="213">
                  <c:v>45107</c:v>
                </c:pt>
                <c:pt idx="214">
                  <c:v>45106</c:v>
                </c:pt>
                <c:pt idx="215">
                  <c:v>45105</c:v>
                </c:pt>
                <c:pt idx="216">
                  <c:v>45104</c:v>
                </c:pt>
                <c:pt idx="217">
                  <c:v>45103</c:v>
                </c:pt>
                <c:pt idx="218">
                  <c:v>45100</c:v>
                </c:pt>
                <c:pt idx="219">
                  <c:v>45099</c:v>
                </c:pt>
                <c:pt idx="220">
                  <c:v>45098</c:v>
                </c:pt>
                <c:pt idx="221">
                  <c:v>45097</c:v>
                </c:pt>
                <c:pt idx="222">
                  <c:v>45096</c:v>
                </c:pt>
                <c:pt idx="223">
                  <c:v>45093</c:v>
                </c:pt>
                <c:pt idx="224">
                  <c:v>45092</c:v>
                </c:pt>
                <c:pt idx="225">
                  <c:v>45091</c:v>
                </c:pt>
                <c:pt idx="226">
                  <c:v>45090</c:v>
                </c:pt>
                <c:pt idx="227">
                  <c:v>45089</c:v>
                </c:pt>
                <c:pt idx="228">
                  <c:v>45086</c:v>
                </c:pt>
                <c:pt idx="229">
                  <c:v>45085</c:v>
                </c:pt>
                <c:pt idx="230">
                  <c:v>45084</c:v>
                </c:pt>
                <c:pt idx="231">
                  <c:v>45083</c:v>
                </c:pt>
                <c:pt idx="232">
                  <c:v>45082</c:v>
                </c:pt>
                <c:pt idx="233">
                  <c:v>45079</c:v>
                </c:pt>
                <c:pt idx="234">
                  <c:v>45078</c:v>
                </c:pt>
                <c:pt idx="235">
                  <c:v>45077</c:v>
                </c:pt>
                <c:pt idx="236">
                  <c:v>45076</c:v>
                </c:pt>
                <c:pt idx="237">
                  <c:v>45075</c:v>
                </c:pt>
                <c:pt idx="238">
                  <c:v>45072</c:v>
                </c:pt>
                <c:pt idx="239">
                  <c:v>45071</c:v>
                </c:pt>
                <c:pt idx="240">
                  <c:v>45070</c:v>
                </c:pt>
                <c:pt idx="241">
                  <c:v>45069</c:v>
                </c:pt>
                <c:pt idx="242">
                  <c:v>45068</c:v>
                </c:pt>
                <c:pt idx="243">
                  <c:v>45065</c:v>
                </c:pt>
                <c:pt idx="244">
                  <c:v>45064</c:v>
                </c:pt>
                <c:pt idx="245">
                  <c:v>45063</c:v>
                </c:pt>
                <c:pt idx="246">
                  <c:v>45062</c:v>
                </c:pt>
                <c:pt idx="247">
                  <c:v>45061</c:v>
                </c:pt>
                <c:pt idx="248">
                  <c:v>45058</c:v>
                </c:pt>
                <c:pt idx="249">
                  <c:v>45057</c:v>
                </c:pt>
                <c:pt idx="250">
                  <c:v>45056</c:v>
                </c:pt>
                <c:pt idx="251">
                  <c:v>45055</c:v>
                </c:pt>
                <c:pt idx="252">
                  <c:v>45054</c:v>
                </c:pt>
                <c:pt idx="253">
                  <c:v>45051</c:v>
                </c:pt>
                <c:pt idx="254">
                  <c:v>45050</c:v>
                </c:pt>
                <c:pt idx="255">
                  <c:v>45044</c:v>
                </c:pt>
                <c:pt idx="256">
                  <c:v>45043</c:v>
                </c:pt>
                <c:pt idx="257">
                  <c:v>45042</c:v>
                </c:pt>
                <c:pt idx="258">
                  <c:v>45041</c:v>
                </c:pt>
                <c:pt idx="259">
                  <c:v>45040</c:v>
                </c:pt>
                <c:pt idx="260">
                  <c:v>45037</c:v>
                </c:pt>
                <c:pt idx="261">
                  <c:v>45036</c:v>
                </c:pt>
                <c:pt idx="262">
                  <c:v>45035</c:v>
                </c:pt>
                <c:pt idx="263">
                  <c:v>45034</c:v>
                </c:pt>
                <c:pt idx="264">
                  <c:v>45033</c:v>
                </c:pt>
                <c:pt idx="265">
                  <c:v>45030</c:v>
                </c:pt>
                <c:pt idx="266">
                  <c:v>45029</c:v>
                </c:pt>
                <c:pt idx="267">
                  <c:v>45028</c:v>
                </c:pt>
                <c:pt idx="268">
                  <c:v>45027</c:v>
                </c:pt>
                <c:pt idx="269">
                  <c:v>45026</c:v>
                </c:pt>
                <c:pt idx="270">
                  <c:v>45023</c:v>
                </c:pt>
                <c:pt idx="271">
                  <c:v>45022</c:v>
                </c:pt>
                <c:pt idx="272">
                  <c:v>45021</c:v>
                </c:pt>
                <c:pt idx="273">
                  <c:v>45020</c:v>
                </c:pt>
                <c:pt idx="274">
                  <c:v>45019</c:v>
                </c:pt>
                <c:pt idx="275">
                  <c:v>45016</c:v>
                </c:pt>
                <c:pt idx="276">
                  <c:v>45015</c:v>
                </c:pt>
                <c:pt idx="277">
                  <c:v>45014</c:v>
                </c:pt>
                <c:pt idx="278">
                  <c:v>45013</c:v>
                </c:pt>
                <c:pt idx="279">
                  <c:v>45012</c:v>
                </c:pt>
                <c:pt idx="280">
                  <c:v>45009</c:v>
                </c:pt>
                <c:pt idx="281">
                  <c:v>45008</c:v>
                </c:pt>
                <c:pt idx="282">
                  <c:v>45007</c:v>
                </c:pt>
                <c:pt idx="283">
                  <c:v>45006</c:v>
                </c:pt>
                <c:pt idx="284">
                  <c:v>45005</c:v>
                </c:pt>
                <c:pt idx="285">
                  <c:v>45002</c:v>
                </c:pt>
                <c:pt idx="286">
                  <c:v>45001</c:v>
                </c:pt>
                <c:pt idx="287">
                  <c:v>45000</c:v>
                </c:pt>
                <c:pt idx="288">
                  <c:v>44999</c:v>
                </c:pt>
                <c:pt idx="289">
                  <c:v>44998</c:v>
                </c:pt>
                <c:pt idx="290">
                  <c:v>44995</c:v>
                </c:pt>
                <c:pt idx="291">
                  <c:v>44994</c:v>
                </c:pt>
                <c:pt idx="292">
                  <c:v>44993</c:v>
                </c:pt>
                <c:pt idx="293">
                  <c:v>44992</c:v>
                </c:pt>
                <c:pt idx="294">
                  <c:v>44991</c:v>
                </c:pt>
                <c:pt idx="295">
                  <c:v>44988</c:v>
                </c:pt>
                <c:pt idx="296">
                  <c:v>44987</c:v>
                </c:pt>
                <c:pt idx="297">
                  <c:v>44986</c:v>
                </c:pt>
                <c:pt idx="298">
                  <c:v>44985</c:v>
                </c:pt>
                <c:pt idx="299">
                  <c:v>44984</c:v>
                </c:pt>
                <c:pt idx="300">
                  <c:v>44981</c:v>
                </c:pt>
                <c:pt idx="301">
                  <c:v>44980</c:v>
                </c:pt>
                <c:pt idx="302">
                  <c:v>44979</c:v>
                </c:pt>
                <c:pt idx="303">
                  <c:v>44978</c:v>
                </c:pt>
                <c:pt idx="304">
                  <c:v>44977</c:v>
                </c:pt>
                <c:pt idx="305">
                  <c:v>44974</c:v>
                </c:pt>
                <c:pt idx="306">
                  <c:v>44973</c:v>
                </c:pt>
                <c:pt idx="307">
                  <c:v>44972</c:v>
                </c:pt>
                <c:pt idx="308">
                  <c:v>44971</c:v>
                </c:pt>
                <c:pt idx="309">
                  <c:v>44970</c:v>
                </c:pt>
                <c:pt idx="310">
                  <c:v>44967</c:v>
                </c:pt>
                <c:pt idx="311">
                  <c:v>44966</c:v>
                </c:pt>
                <c:pt idx="312">
                  <c:v>44965</c:v>
                </c:pt>
                <c:pt idx="313">
                  <c:v>44964</c:v>
                </c:pt>
                <c:pt idx="314">
                  <c:v>44963</c:v>
                </c:pt>
                <c:pt idx="315">
                  <c:v>44960</c:v>
                </c:pt>
                <c:pt idx="316">
                  <c:v>44959</c:v>
                </c:pt>
                <c:pt idx="317">
                  <c:v>44958</c:v>
                </c:pt>
                <c:pt idx="318">
                  <c:v>44957</c:v>
                </c:pt>
                <c:pt idx="319">
                  <c:v>44956</c:v>
                </c:pt>
                <c:pt idx="320">
                  <c:v>44953</c:v>
                </c:pt>
                <c:pt idx="321">
                  <c:v>44945</c:v>
                </c:pt>
                <c:pt idx="322">
                  <c:v>44944</c:v>
                </c:pt>
                <c:pt idx="323">
                  <c:v>44943</c:v>
                </c:pt>
                <c:pt idx="324">
                  <c:v>44942</c:v>
                </c:pt>
                <c:pt idx="325">
                  <c:v>44939</c:v>
                </c:pt>
                <c:pt idx="326">
                  <c:v>44938</c:v>
                </c:pt>
                <c:pt idx="327">
                  <c:v>44937</c:v>
                </c:pt>
                <c:pt idx="328">
                  <c:v>44936</c:v>
                </c:pt>
                <c:pt idx="329">
                  <c:v>44935</c:v>
                </c:pt>
                <c:pt idx="330">
                  <c:v>44932</c:v>
                </c:pt>
                <c:pt idx="331">
                  <c:v>44931</c:v>
                </c:pt>
                <c:pt idx="332">
                  <c:v>44930</c:v>
                </c:pt>
                <c:pt idx="333">
                  <c:v>44929</c:v>
                </c:pt>
                <c:pt idx="334">
                  <c:v>44925</c:v>
                </c:pt>
                <c:pt idx="335">
                  <c:v>44924</c:v>
                </c:pt>
                <c:pt idx="336">
                  <c:v>44923</c:v>
                </c:pt>
                <c:pt idx="337">
                  <c:v>44922</c:v>
                </c:pt>
                <c:pt idx="338">
                  <c:v>44921</c:v>
                </c:pt>
                <c:pt idx="339">
                  <c:v>44918</c:v>
                </c:pt>
                <c:pt idx="340">
                  <c:v>44917</c:v>
                </c:pt>
                <c:pt idx="341">
                  <c:v>44916</c:v>
                </c:pt>
                <c:pt idx="342">
                  <c:v>44915</c:v>
                </c:pt>
                <c:pt idx="343">
                  <c:v>44914</c:v>
                </c:pt>
                <c:pt idx="344">
                  <c:v>44911</c:v>
                </c:pt>
                <c:pt idx="345">
                  <c:v>44910</c:v>
                </c:pt>
                <c:pt idx="346">
                  <c:v>44909</c:v>
                </c:pt>
                <c:pt idx="347">
                  <c:v>44908</c:v>
                </c:pt>
                <c:pt idx="348">
                  <c:v>44907</c:v>
                </c:pt>
                <c:pt idx="349">
                  <c:v>44904</c:v>
                </c:pt>
                <c:pt idx="350">
                  <c:v>44903</c:v>
                </c:pt>
                <c:pt idx="351">
                  <c:v>44902</c:v>
                </c:pt>
                <c:pt idx="352">
                  <c:v>44901</c:v>
                </c:pt>
                <c:pt idx="353">
                  <c:v>44900</c:v>
                </c:pt>
                <c:pt idx="354">
                  <c:v>44897</c:v>
                </c:pt>
                <c:pt idx="355">
                  <c:v>44896</c:v>
                </c:pt>
                <c:pt idx="356">
                  <c:v>44895</c:v>
                </c:pt>
                <c:pt idx="357">
                  <c:v>44894</c:v>
                </c:pt>
                <c:pt idx="358">
                  <c:v>44893</c:v>
                </c:pt>
                <c:pt idx="359">
                  <c:v>44890</c:v>
                </c:pt>
                <c:pt idx="360">
                  <c:v>44889</c:v>
                </c:pt>
                <c:pt idx="361">
                  <c:v>44888</c:v>
                </c:pt>
                <c:pt idx="362">
                  <c:v>44887</c:v>
                </c:pt>
                <c:pt idx="363">
                  <c:v>44886</c:v>
                </c:pt>
                <c:pt idx="364">
                  <c:v>44883</c:v>
                </c:pt>
                <c:pt idx="365">
                  <c:v>44882</c:v>
                </c:pt>
                <c:pt idx="366">
                  <c:v>44881</c:v>
                </c:pt>
                <c:pt idx="367">
                  <c:v>44880</c:v>
                </c:pt>
                <c:pt idx="368">
                  <c:v>44879</c:v>
                </c:pt>
                <c:pt idx="369">
                  <c:v>44876</c:v>
                </c:pt>
                <c:pt idx="370">
                  <c:v>44875</c:v>
                </c:pt>
                <c:pt idx="371">
                  <c:v>44874</c:v>
                </c:pt>
                <c:pt idx="372">
                  <c:v>44873</c:v>
                </c:pt>
                <c:pt idx="373">
                  <c:v>44872</c:v>
                </c:pt>
                <c:pt idx="374">
                  <c:v>44869</c:v>
                </c:pt>
                <c:pt idx="375">
                  <c:v>44868</c:v>
                </c:pt>
                <c:pt idx="376">
                  <c:v>44867</c:v>
                </c:pt>
                <c:pt idx="377">
                  <c:v>44866</c:v>
                </c:pt>
                <c:pt idx="378">
                  <c:v>44865</c:v>
                </c:pt>
                <c:pt idx="379">
                  <c:v>44862</c:v>
                </c:pt>
                <c:pt idx="380">
                  <c:v>44861</c:v>
                </c:pt>
                <c:pt idx="381">
                  <c:v>44860</c:v>
                </c:pt>
                <c:pt idx="382">
                  <c:v>44859</c:v>
                </c:pt>
                <c:pt idx="383">
                  <c:v>44858</c:v>
                </c:pt>
                <c:pt idx="384">
                  <c:v>44855</c:v>
                </c:pt>
                <c:pt idx="385">
                  <c:v>44854</c:v>
                </c:pt>
                <c:pt idx="386">
                  <c:v>44853</c:v>
                </c:pt>
                <c:pt idx="387">
                  <c:v>44852</c:v>
                </c:pt>
                <c:pt idx="388">
                  <c:v>44851</c:v>
                </c:pt>
                <c:pt idx="389">
                  <c:v>44848</c:v>
                </c:pt>
                <c:pt idx="390">
                  <c:v>44847</c:v>
                </c:pt>
                <c:pt idx="391">
                  <c:v>44846</c:v>
                </c:pt>
                <c:pt idx="392">
                  <c:v>44845</c:v>
                </c:pt>
                <c:pt idx="393">
                  <c:v>44844</c:v>
                </c:pt>
                <c:pt idx="394">
                  <c:v>44841</c:v>
                </c:pt>
                <c:pt idx="395">
                  <c:v>44840</c:v>
                </c:pt>
                <c:pt idx="396">
                  <c:v>44839</c:v>
                </c:pt>
                <c:pt idx="397">
                  <c:v>44838</c:v>
                </c:pt>
                <c:pt idx="398">
                  <c:v>44837</c:v>
                </c:pt>
                <c:pt idx="399">
                  <c:v>44834</c:v>
                </c:pt>
                <c:pt idx="400">
                  <c:v>44833</c:v>
                </c:pt>
                <c:pt idx="401">
                  <c:v>44832</c:v>
                </c:pt>
                <c:pt idx="402">
                  <c:v>44831</c:v>
                </c:pt>
                <c:pt idx="403">
                  <c:v>44830</c:v>
                </c:pt>
                <c:pt idx="404">
                  <c:v>44827</c:v>
                </c:pt>
                <c:pt idx="405">
                  <c:v>44826</c:v>
                </c:pt>
                <c:pt idx="406">
                  <c:v>44825</c:v>
                </c:pt>
                <c:pt idx="407">
                  <c:v>44824</c:v>
                </c:pt>
                <c:pt idx="408">
                  <c:v>44823</c:v>
                </c:pt>
                <c:pt idx="409">
                  <c:v>44820</c:v>
                </c:pt>
                <c:pt idx="410">
                  <c:v>44819</c:v>
                </c:pt>
                <c:pt idx="411">
                  <c:v>44818</c:v>
                </c:pt>
                <c:pt idx="412">
                  <c:v>44817</c:v>
                </c:pt>
                <c:pt idx="413">
                  <c:v>44816</c:v>
                </c:pt>
                <c:pt idx="414">
                  <c:v>44813</c:v>
                </c:pt>
                <c:pt idx="415">
                  <c:v>44812</c:v>
                </c:pt>
                <c:pt idx="416">
                  <c:v>44811</c:v>
                </c:pt>
                <c:pt idx="417">
                  <c:v>44810</c:v>
                </c:pt>
                <c:pt idx="418">
                  <c:v>44809</c:v>
                </c:pt>
                <c:pt idx="419">
                  <c:v>44804</c:v>
                </c:pt>
                <c:pt idx="420">
                  <c:v>44803</c:v>
                </c:pt>
                <c:pt idx="421">
                  <c:v>44802</c:v>
                </c:pt>
                <c:pt idx="422">
                  <c:v>44799</c:v>
                </c:pt>
                <c:pt idx="423">
                  <c:v>44798</c:v>
                </c:pt>
                <c:pt idx="424">
                  <c:v>44797</c:v>
                </c:pt>
                <c:pt idx="425">
                  <c:v>44796</c:v>
                </c:pt>
                <c:pt idx="426">
                  <c:v>44795</c:v>
                </c:pt>
                <c:pt idx="427">
                  <c:v>44792</c:v>
                </c:pt>
                <c:pt idx="428">
                  <c:v>44791</c:v>
                </c:pt>
                <c:pt idx="429">
                  <c:v>44790</c:v>
                </c:pt>
                <c:pt idx="430">
                  <c:v>44789</c:v>
                </c:pt>
                <c:pt idx="431">
                  <c:v>44788</c:v>
                </c:pt>
                <c:pt idx="432">
                  <c:v>44785</c:v>
                </c:pt>
                <c:pt idx="433">
                  <c:v>44784</c:v>
                </c:pt>
                <c:pt idx="434">
                  <c:v>44783</c:v>
                </c:pt>
                <c:pt idx="435">
                  <c:v>44782</c:v>
                </c:pt>
                <c:pt idx="436">
                  <c:v>44781</c:v>
                </c:pt>
                <c:pt idx="437">
                  <c:v>44778</c:v>
                </c:pt>
                <c:pt idx="438">
                  <c:v>44777</c:v>
                </c:pt>
                <c:pt idx="439">
                  <c:v>44776</c:v>
                </c:pt>
                <c:pt idx="440">
                  <c:v>44775</c:v>
                </c:pt>
                <c:pt idx="441">
                  <c:v>44774</c:v>
                </c:pt>
                <c:pt idx="442">
                  <c:v>44771</c:v>
                </c:pt>
                <c:pt idx="443">
                  <c:v>44770</c:v>
                </c:pt>
                <c:pt idx="444">
                  <c:v>44769</c:v>
                </c:pt>
                <c:pt idx="445">
                  <c:v>44768</c:v>
                </c:pt>
                <c:pt idx="446">
                  <c:v>44767</c:v>
                </c:pt>
                <c:pt idx="447">
                  <c:v>44764</c:v>
                </c:pt>
                <c:pt idx="448">
                  <c:v>44763</c:v>
                </c:pt>
                <c:pt idx="449">
                  <c:v>44762</c:v>
                </c:pt>
                <c:pt idx="450">
                  <c:v>44761</c:v>
                </c:pt>
                <c:pt idx="451">
                  <c:v>44760</c:v>
                </c:pt>
                <c:pt idx="452">
                  <c:v>44757</c:v>
                </c:pt>
                <c:pt idx="453">
                  <c:v>44756</c:v>
                </c:pt>
                <c:pt idx="454">
                  <c:v>44755</c:v>
                </c:pt>
                <c:pt idx="455">
                  <c:v>44754</c:v>
                </c:pt>
                <c:pt idx="456">
                  <c:v>44753</c:v>
                </c:pt>
                <c:pt idx="457">
                  <c:v>44750</c:v>
                </c:pt>
                <c:pt idx="458">
                  <c:v>44749</c:v>
                </c:pt>
                <c:pt idx="459">
                  <c:v>44748</c:v>
                </c:pt>
                <c:pt idx="460">
                  <c:v>44747</c:v>
                </c:pt>
                <c:pt idx="461">
                  <c:v>44746</c:v>
                </c:pt>
                <c:pt idx="462">
                  <c:v>44743</c:v>
                </c:pt>
                <c:pt idx="463">
                  <c:v>44742</c:v>
                </c:pt>
                <c:pt idx="464">
                  <c:v>44741</c:v>
                </c:pt>
                <c:pt idx="465">
                  <c:v>44740</c:v>
                </c:pt>
                <c:pt idx="466">
                  <c:v>44739</c:v>
                </c:pt>
                <c:pt idx="467">
                  <c:v>44736</c:v>
                </c:pt>
                <c:pt idx="468">
                  <c:v>44735</c:v>
                </c:pt>
                <c:pt idx="469">
                  <c:v>44734</c:v>
                </c:pt>
                <c:pt idx="470">
                  <c:v>44733</c:v>
                </c:pt>
                <c:pt idx="471">
                  <c:v>44732</c:v>
                </c:pt>
                <c:pt idx="472">
                  <c:v>44729</c:v>
                </c:pt>
                <c:pt idx="473">
                  <c:v>44728</c:v>
                </c:pt>
                <c:pt idx="474">
                  <c:v>44727</c:v>
                </c:pt>
                <c:pt idx="475">
                  <c:v>44726</c:v>
                </c:pt>
                <c:pt idx="476">
                  <c:v>44725</c:v>
                </c:pt>
                <c:pt idx="477">
                  <c:v>44722</c:v>
                </c:pt>
                <c:pt idx="478">
                  <c:v>44721</c:v>
                </c:pt>
                <c:pt idx="479">
                  <c:v>44720</c:v>
                </c:pt>
                <c:pt idx="480">
                  <c:v>44719</c:v>
                </c:pt>
                <c:pt idx="481">
                  <c:v>44718</c:v>
                </c:pt>
                <c:pt idx="482">
                  <c:v>44715</c:v>
                </c:pt>
                <c:pt idx="483">
                  <c:v>44714</c:v>
                </c:pt>
                <c:pt idx="484">
                  <c:v>44713</c:v>
                </c:pt>
                <c:pt idx="485">
                  <c:v>44712</c:v>
                </c:pt>
                <c:pt idx="486">
                  <c:v>44711</c:v>
                </c:pt>
                <c:pt idx="487">
                  <c:v>44708</c:v>
                </c:pt>
                <c:pt idx="488">
                  <c:v>44707</c:v>
                </c:pt>
                <c:pt idx="489">
                  <c:v>44706</c:v>
                </c:pt>
                <c:pt idx="490">
                  <c:v>44705</c:v>
                </c:pt>
                <c:pt idx="491">
                  <c:v>44704</c:v>
                </c:pt>
                <c:pt idx="492">
                  <c:v>44701</c:v>
                </c:pt>
                <c:pt idx="493">
                  <c:v>44700</c:v>
                </c:pt>
                <c:pt idx="494">
                  <c:v>44699</c:v>
                </c:pt>
                <c:pt idx="495">
                  <c:v>44698</c:v>
                </c:pt>
                <c:pt idx="496">
                  <c:v>44697</c:v>
                </c:pt>
                <c:pt idx="497">
                  <c:v>44694</c:v>
                </c:pt>
                <c:pt idx="498">
                  <c:v>44693</c:v>
                </c:pt>
                <c:pt idx="499">
                  <c:v>44692</c:v>
                </c:pt>
                <c:pt idx="500">
                  <c:v>44691</c:v>
                </c:pt>
                <c:pt idx="501">
                  <c:v>44690</c:v>
                </c:pt>
                <c:pt idx="502">
                  <c:v>44687</c:v>
                </c:pt>
                <c:pt idx="503">
                  <c:v>44686</c:v>
                </c:pt>
                <c:pt idx="504">
                  <c:v>44685</c:v>
                </c:pt>
                <c:pt idx="505">
                  <c:v>44680</c:v>
                </c:pt>
                <c:pt idx="506">
                  <c:v>44679</c:v>
                </c:pt>
                <c:pt idx="507">
                  <c:v>44678</c:v>
                </c:pt>
                <c:pt idx="508">
                  <c:v>44677</c:v>
                </c:pt>
                <c:pt idx="509">
                  <c:v>44676</c:v>
                </c:pt>
                <c:pt idx="510">
                  <c:v>44673</c:v>
                </c:pt>
                <c:pt idx="511">
                  <c:v>44672</c:v>
                </c:pt>
                <c:pt idx="512">
                  <c:v>44671</c:v>
                </c:pt>
                <c:pt idx="513">
                  <c:v>44670</c:v>
                </c:pt>
                <c:pt idx="514">
                  <c:v>44669</c:v>
                </c:pt>
                <c:pt idx="515">
                  <c:v>44666</c:v>
                </c:pt>
                <c:pt idx="516">
                  <c:v>44665</c:v>
                </c:pt>
                <c:pt idx="517">
                  <c:v>44664</c:v>
                </c:pt>
                <c:pt idx="518">
                  <c:v>44663</c:v>
                </c:pt>
                <c:pt idx="519">
                  <c:v>44659</c:v>
                </c:pt>
                <c:pt idx="520">
                  <c:v>44658</c:v>
                </c:pt>
                <c:pt idx="521">
                  <c:v>44657</c:v>
                </c:pt>
                <c:pt idx="522">
                  <c:v>44656</c:v>
                </c:pt>
                <c:pt idx="523">
                  <c:v>44655</c:v>
                </c:pt>
                <c:pt idx="524">
                  <c:v>44652</c:v>
                </c:pt>
                <c:pt idx="525">
                  <c:v>44651</c:v>
                </c:pt>
                <c:pt idx="526">
                  <c:v>44650</c:v>
                </c:pt>
                <c:pt idx="527">
                  <c:v>44649</c:v>
                </c:pt>
                <c:pt idx="528">
                  <c:v>44648</c:v>
                </c:pt>
                <c:pt idx="529">
                  <c:v>44645</c:v>
                </c:pt>
                <c:pt idx="530">
                  <c:v>44644</c:v>
                </c:pt>
                <c:pt idx="531">
                  <c:v>44643</c:v>
                </c:pt>
                <c:pt idx="532">
                  <c:v>44642</c:v>
                </c:pt>
                <c:pt idx="533">
                  <c:v>44641</c:v>
                </c:pt>
                <c:pt idx="534">
                  <c:v>44638</c:v>
                </c:pt>
                <c:pt idx="535">
                  <c:v>44637</c:v>
                </c:pt>
                <c:pt idx="536">
                  <c:v>44636</c:v>
                </c:pt>
                <c:pt idx="537">
                  <c:v>44635</c:v>
                </c:pt>
                <c:pt idx="538">
                  <c:v>44634</c:v>
                </c:pt>
                <c:pt idx="539">
                  <c:v>44631</c:v>
                </c:pt>
                <c:pt idx="540">
                  <c:v>44630</c:v>
                </c:pt>
                <c:pt idx="541">
                  <c:v>44629</c:v>
                </c:pt>
                <c:pt idx="542">
                  <c:v>44628</c:v>
                </c:pt>
                <c:pt idx="543">
                  <c:v>44627</c:v>
                </c:pt>
                <c:pt idx="544">
                  <c:v>44624</c:v>
                </c:pt>
                <c:pt idx="545">
                  <c:v>44623</c:v>
                </c:pt>
                <c:pt idx="546">
                  <c:v>44622</c:v>
                </c:pt>
                <c:pt idx="547">
                  <c:v>44621</c:v>
                </c:pt>
                <c:pt idx="548">
                  <c:v>44620</c:v>
                </c:pt>
                <c:pt idx="549">
                  <c:v>44617</c:v>
                </c:pt>
                <c:pt idx="550">
                  <c:v>44616</c:v>
                </c:pt>
                <c:pt idx="551">
                  <c:v>44615</c:v>
                </c:pt>
                <c:pt idx="552">
                  <c:v>44614</c:v>
                </c:pt>
                <c:pt idx="553">
                  <c:v>44613</c:v>
                </c:pt>
                <c:pt idx="554">
                  <c:v>44610</c:v>
                </c:pt>
                <c:pt idx="555">
                  <c:v>44609</c:v>
                </c:pt>
                <c:pt idx="556">
                  <c:v>44608</c:v>
                </c:pt>
                <c:pt idx="557">
                  <c:v>44607</c:v>
                </c:pt>
                <c:pt idx="558">
                  <c:v>44606</c:v>
                </c:pt>
                <c:pt idx="559">
                  <c:v>44603</c:v>
                </c:pt>
                <c:pt idx="560">
                  <c:v>44602</c:v>
                </c:pt>
                <c:pt idx="561">
                  <c:v>44601</c:v>
                </c:pt>
                <c:pt idx="562">
                  <c:v>44600</c:v>
                </c:pt>
                <c:pt idx="563">
                  <c:v>44599</c:v>
                </c:pt>
                <c:pt idx="564">
                  <c:v>44589</c:v>
                </c:pt>
                <c:pt idx="565">
                  <c:v>44588</c:v>
                </c:pt>
                <c:pt idx="566">
                  <c:v>44587</c:v>
                </c:pt>
                <c:pt idx="567">
                  <c:v>44586</c:v>
                </c:pt>
                <c:pt idx="568">
                  <c:v>44585</c:v>
                </c:pt>
                <c:pt idx="569">
                  <c:v>44582</c:v>
                </c:pt>
                <c:pt idx="570">
                  <c:v>44581</c:v>
                </c:pt>
                <c:pt idx="571">
                  <c:v>44580</c:v>
                </c:pt>
                <c:pt idx="572">
                  <c:v>44579</c:v>
                </c:pt>
                <c:pt idx="573">
                  <c:v>44578</c:v>
                </c:pt>
                <c:pt idx="574">
                  <c:v>44575</c:v>
                </c:pt>
                <c:pt idx="575">
                  <c:v>44574</c:v>
                </c:pt>
                <c:pt idx="576">
                  <c:v>44573</c:v>
                </c:pt>
                <c:pt idx="577">
                  <c:v>44572</c:v>
                </c:pt>
                <c:pt idx="578">
                  <c:v>44571</c:v>
                </c:pt>
                <c:pt idx="579">
                  <c:v>44568</c:v>
                </c:pt>
                <c:pt idx="580">
                  <c:v>44567</c:v>
                </c:pt>
                <c:pt idx="581">
                  <c:v>44566</c:v>
                </c:pt>
                <c:pt idx="582">
                  <c:v>44565</c:v>
                </c:pt>
              </c:numCache>
            </c:numRef>
          </c:cat>
          <c:val>
            <c:numRef>
              <c:f>Diamond!$R$3:$R$585</c:f>
              <c:numCache>
                <c:formatCode>General</c:formatCode>
                <c:ptCount val="583"/>
                <c:pt idx="0">
                  <c:v>55700</c:v>
                </c:pt>
                <c:pt idx="3">
                  <c:v>55600</c:v>
                </c:pt>
                <c:pt idx="4">
                  <c:v>54900</c:v>
                </c:pt>
                <c:pt idx="8">
                  <c:v>53800</c:v>
                </c:pt>
                <c:pt idx="9">
                  <c:v>52300</c:v>
                </c:pt>
                <c:pt idx="10">
                  <c:v>49800</c:v>
                </c:pt>
                <c:pt idx="11">
                  <c:v>48600</c:v>
                </c:pt>
                <c:pt idx="12">
                  <c:v>48200</c:v>
                </c:pt>
                <c:pt idx="13">
                  <c:v>49400</c:v>
                </c:pt>
                <c:pt idx="14">
                  <c:v>49900</c:v>
                </c:pt>
                <c:pt idx="15">
                  <c:v>49900</c:v>
                </c:pt>
                <c:pt idx="16">
                  <c:v>52000</c:v>
                </c:pt>
                <c:pt idx="17">
                  <c:v>52300</c:v>
                </c:pt>
                <c:pt idx="18">
                  <c:v>52000</c:v>
                </c:pt>
                <c:pt idx="19">
                  <c:v>52800</c:v>
                </c:pt>
                <c:pt idx="20">
                  <c:v>50000</c:v>
                </c:pt>
                <c:pt idx="21">
                  <c:v>51000</c:v>
                </c:pt>
                <c:pt idx="22">
                  <c:v>50700</c:v>
                </c:pt>
                <c:pt idx="23">
                  <c:v>50200</c:v>
                </c:pt>
                <c:pt idx="24">
                  <c:v>51600</c:v>
                </c:pt>
                <c:pt idx="25">
                  <c:v>51400</c:v>
                </c:pt>
                <c:pt idx="26">
                  <c:v>51100</c:v>
                </c:pt>
                <c:pt idx="27">
                  <c:v>51000</c:v>
                </c:pt>
                <c:pt idx="28">
                  <c:v>50700</c:v>
                </c:pt>
                <c:pt idx="29">
                  <c:v>48650</c:v>
                </c:pt>
                <c:pt idx="30">
                  <c:v>48300</c:v>
                </c:pt>
                <c:pt idx="31">
                  <c:v>49100</c:v>
                </c:pt>
                <c:pt idx="32">
                  <c:v>48500</c:v>
                </c:pt>
                <c:pt idx="33">
                  <c:v>48000</c:v>
                </c:pt>
                <c:pt idx="34">
                  <c:v>45500</c:v>
                </c:pt>
                <c:pt idx="35">
                  <c:v>45900</c:v>
                </c:pt>
                <c:pt idx="36">
                  <c:v>47350</c:v>
                </c:pt>
                <c:pt idx="37">
                  <c:v>47250</c:v>
                </c:pt>
                <c:pt idx="38">
                  <c:v>48550</c:v>
                </c:pt>
                <c:pt idx="39">
                  <c:v>46750</c:v>
                </c:pt>
                <c:pt idx="40">
                  <c:v>46400</c:v>
                </c:pt>
                <c:pt idx="41">
                  <c:v>47750</c:v>
                </c:pt>
                <c:pt idx="42">
                  <c:v>49000</c:v>
                </c:pt>
                <c:pt idx="43">
                  <c:v>48700</c:v>
                </c:pt>
                <c:pt idx="44">
                  <c:v>50000</c:v>
                </c:pt>
                <c:pt idx="45">
                  <c:v>47400</c:v>
                </c:pt>
                <c:pt idx="46">
                  <c:v>46600</c:v>
                </c:pt>
                <c:pt idx="47">
                  <c:v>46200</c:v>
                </c:pt>
                <c:pt idx="48">
                  <c:v>45300</c:v>
                </c:pt>
                <c:pt idx="49">
                  <c:v>44750</c:v>
                </c:pt>
                <c:pt idx="50">
                  <c:v>44350</c:v>
                </c:pt>
                <c:pt idx="51">
                  <c:v>44000</c:v>
                </c:pt>
                <c:pt idx="52">
                  <c:v>45300</c:v>
                </c:pt>
                <c:pt idx="53">
                  <c:v>46100</c:v>
                </c:pt>
                <c:pt idx="54">
                  <c:v>46800</c:v>
                </c:pt>
                <c:pt idx="55">
                  <c:v>46800</c:v>
                </c:pt>
                <c:pt idx="56">
                  <c:v>46300</c:v>
                </c:pt>
                <c:pt idx="57">
                  <c:v>45850</c:v>
                </c:pt>
                <c:pt idx="58">
                  <c:v>46600</c:v>
                </c:pt>
                <c:pt idx="59">
                  <c:v>47000</c:v>
                </c:pt>
                <c:pt idx="60">
                  <c:v>47400</c:v>
                </c:pt>
                <c:pt idx="61">
                  <c:v>47400</c:v>
                </c:pt>
                <c:pt idx="62">
                  <c:v>46200</c:v>
                </c:pt>
                <c:pt idx="63">
                  <c:v>45000</c:v>
                </c:pt>
                <c:pt idx="64">
                  <c:v>45400</c:v>
                </c:pt>
                <c:pt idx="65">
                  <c:v>44600</c:v>
                </c:pt>
                <c:pt idx="66">
                  <c:v>44900</c:v>
                </c:pt>
                <c:pt idx="67">
                  <c:v>45200</c:v>
                </c:pt>
                <c:pt idx="68">
                  <c:v>44400</c:v>
                </c:pt>
                <c:pt idx="69">
                  <c:v>45400</c:v>
                </c:pt>
                <c:pt idx="70">
                  <c:v>46150</c:v>
                </c:pt>
                <c:pt idx="71">
                  <c:v>46050</c:v>
                </c:pt>
                <c:pt idx="72">
                  <c:v>45850</c:v>
                </c:pt>
                <c:pt idx="73">
                  <c:v>44900</c:v>
                </c:pt>
                <c:pt idx="74">
                  <c:v>44300</c:v>
                </c:pt>
                <c:pt idx="75">
                  <c:v>42900</c:v>
                </c:pt>
                <c:pt idx="76">
                  <c:v>41900</c:v>
                </c:pt>
                <c:pt idx="77">
                  <c:v>42450</c:v>
                </c:pt>
                <c:pt idx="78">
                  <c:v>42250</c:v>
                </c:pt>
                <c:pt idx="79">
                  <c:v>42700</c:v>
                </c:pt>
                <c:pt idx="80">
                  <c:v>43200</c:v>
                </c:pt>
                <c:pt idx="81">
                  <c:v>43850</c:v>
                </c:pt>
                <c:pt idx="82">
                  <c:v>43200</c:v>
                </c:pt>
                <c:pt idx="83">
                  <c:v>43200</c:v>
                </c:pt>
                <c:pt idx="84">
                  <c:v>42450</c:v>
                </c:pt>
                <c:pt idx="85">
                  <c:v>42800</c:v>
                </c:pt>
                <c:pt idx="86">
                  <c:v>43050</c:v>
                </c:pt>
                <c:pt idx="87">
                  <c:v>42850</c:v>
                </c:pt>
                <c:pt idx="88">
                  <c:v>42700</c:v>
                </c:pt>
                <c:pt idx="89">
                  <c:v>42650</c:v>
                </c:pt>
                <c:pt idx="90">
                  <c:v>42350</c:v>
                </c:pt>
                <c:pt idx="91">
                  <c:v>42650</c:v>
                </c:pt>
                <c:pt idx="92">
                  <c:v>42400</c:v>
                </c:pt>
                <c:pt idx="93">
                  <c:v>40650</c:v>
                </c:pt>
                <c:pt idx="94">
                  <c:v>39600</c:v>
                </c:pt>
                <c:pt idx="95">
                  <c:v>40750</c:v>
                </c:pt>
                <c:pt idx="96">
                  <c:v>41600</c:v>
                </c:pt>
                <c:pt idx="97">
                  <c:v>41700</c:v>
                </c:pt>
                <c:pt idx="98">
                  <c:v>42500</c:v>
                </c:pt>
                <c:pt idx="99">
                  <c:v>42500</c:v>
                </c:pt>
                <c:pt idx="100">
                  <c:v>42600</c:v>
                </c:pt>
                <c:pt idx="101">
                  <c:v>40850</c:v>
                </c:pt>
                <c:pt idx="102">
                  <c:v>40950</c:v>
                </c:pt>
                <c:pt idx="103">
                  <c:v>40000</c:v>
                </c:pt>
                <c:pt idx="104">
                  <c:v>39950</c:v>
                </c:pt>
                <c:pt idx="105">
                  <c:v>38750</c:v>
                </c:pt>
                <c:pt idx="106">
                  <c:v>38500</c:v>
                </c:pt>
                <c:pt idx="107">
                  <c:v>38800</c:v>
                </c:pt>
                <c:pt idx="108">
                  <c:v>38000</c:v>
                </c:pt>
                <c:pt idx="109">
                  <c:v>38000</c:v>
                </c:pt>
                <c:pt idx="110">
                  <c:v>38550</c:v>
                </c:pt>
                <c:pt idx="111">
                  <c:v>37300</c:v>
                </c:pt>
                <c:pt idx="112">
                  <c:v>39800</c:v>
                </c:pt>
                <c:pt idx="113">
                  <c:v>40900</c:v>
                </c:pt>
                <c:pt idx="114">
                  <c:v>40550</c:v>
                </c:pt>
                <c:pt idx="115">
                  <c:v>41400</c:v>
                </c:pt>
                <c:pt idx="116">
                  <c:v>41500</c:v>
                </c:pt>
                <c:pt idx="117">
                  <c:v>41900</c:v>
                </c:pt>
                <c:pt idx="118">
                  <c:v>41500</c:v>
                </c:pt>
                <c:pt idx="119">
                  <c:v>40000</c:v>
                </c:pt>
                <c:pt idx="120">
                  <c:v>39400</c:v>
                </c:pt>
                <c:pt idx="121">
                  <c:v>40300</c:v>
                </c:pt>
                <c:pt idx="122">
                  <c:v>39600</c:v>
                </c:pt>
                <c:pt idx="123">
                  <c:v>38200</c:v>
                </c:pt>
                <c:pt idx="124">
                  <c:v>38050</c:v>
                </c:pt>
                <c:pt idx="125">
                  <c:v>38950</c:v>
                </c:pt>
                <c:pt idx="126">
                  <c:v>37000</c:v>
                </c:pt>
                <c:pt idx="127">
                  <c:v>35100</c:v>
                </c:pt>
                <c:pt idx="128">
                  <c:v>37700</c:v>
                </c:pt>
                <c:pt idx="129">
                  <c:v>40500</c:v>
                </c:pt>
                <c:pt idx="130">
                  <c:v>42000</c:v>
                </c:pt>
                <c:pt idx="131">
                  <c:v>42000</c:v>
                </c:pt>
                <c:pt idx="132">
                  <c:v>43500</c:v>
                </c:pt>
                <c:pt idx="133">
                  <c:v>43000</c:v>
                </c:pt>
                <c:pt idx="134">
                  <c:v>43000</c:v>
                </c:pt>
                <c:pt idx="135">
                  <c:v>44700</c:v>
                </c:pt>
                <c:pt idx="136">
                  <c:v>43000</c:v>
                </c:pt>
                <c:pt idx="137">
                  <c:v>44700</c:v>
                </c:pt>
                <c:pt idx="138">
                  <c:v>46300</c:v>
                </c:pt>
                <c:pt idx="139">
                  <c:v>48600</c:v>
                </c:pt>
                <c:pt idx="140">
                  <c:v>49500</c:v>
                </c:pt>
                <c:pt idx="141">
                  <c:v>48400</c:v>
                </c:pt>
                <c:pt idx="142">
                  <c:v>49300</c:v>
                </c:pt>
                <c:pt idx="143">
                  <c:v>48850</c:v>
                </c:pt>
                <c:pt idx="144">
                  <c:v>47950</c:v>
                </c:pt>
                <c:pt idx="145">
                  <c:v>48300</c:v>
                </c:pt>
                <c:pt idx="146">
                  <c:v>47000</c:v>
                </c:pt>
                <c:pt idx="147">
                  <c:v>49200</c:v>
                </c:pt>
                <c:pt idx="148">
                  <c:v>49000</c:v>
                </c:pt>
                <c:pt idx="149">
                  <c:v>51900</c:v>
                </c:pt>
                <c:pt idx="150">
                  <c:v>52600</c:v>
                </c:pt>
                <c:pt idx="151">
                  <c:v>53000</c:v>
                </c:pt>
                <c:pt idx="152">
                  <c:v>52000</c:v>
                </c:pt>
                <c:pt idx="153">
                  <c:v>51500</c:v>
                </c:pt>
                <c:pt idx="154">
                  <c:v>51000</c:v>
                </c:pt>
                <c:pt idx="155">
                  <c:v>52100</c:v>
                </c:pt>
                <c:pt idx="156">
                  <c:v>54200</c:v>
                </c:pt>
                <c:pt idx="157">
                  <c:v>55800</c:v>
                </c:pt>
                <c:pt idx="158">
                  <c:v>55500</c:v>
                </c:pt>
                <c:pt idx="159">
                  <c:v>55000</c:v>
                </c:pt>
                <c:pt idx="160">
                  <c:v>55900</c:v>
                </c:pt>
                <c:pt idx="161">
                  <c:v>57300</c:v>
                </c:pt>
                <c:pt idx="162">
                  <c:v>57500</c:v>
                </c:pt>
                <c:pt idx="163">
                  <c:v>55800</c:v>
                </c:pt>
                <c:pt idx="164">
                  <c:v>54500</c:v>
                </c:pt>
                <c:pt idx="165">
                  <c:v>55500</c:v>
                </c:pt>
                <c:pt idx="166">
                  <c:v>55000</c:v>
                </c:pt>
                <c:pt idx="167">
                  <c:v>55000</c:v>
                </c:pt>
                <c:pt idx="168">
                  <c:v>54300</c:v>
                </c:pt>
                <c:pt idx="169">
                  <c:v>53800</c:v>
                </c:pt>
                <c:pt idx="170">
                  <c:v>53800</c:v>
                </c:pt>
                <c:pt idx="171">
                  <c:v>52900</c:v>
                </c:pt>
                <c:pt idx="172">
                  <c:v>51700</c:v>
                </c:pt>
                <c:pt idx="173">
                  <c:v>50500</c:v>
                </c:pt>
                <c:pt idx="174">
                  <c:v>50300</c:v>
                </c:pt>
                <c:pt idx="175">
                  <c:v>49700</c:v>
                </c:pt>
                <c:pt idx="176">
                  <c:v>50000</c:v>
                </c:pt>
                <c:pt idx="177">
                  <c:v>49000</c:v>
                </c:pt>
                <c:pt idx="178">
                  <c:v>50200</c:v>
                </c:pt>
                <c:pt idx="179">
                  <c:v>53900</c:v>
                </c:pt>
                <c:pt idx="180">
                  <c:v>53800</c:v>
                </c:pt>
                <c:pt idx="181">
                  <c:v>54000</c:v>
                </c:pt>
                <c:pt idx="182">
                  <c:v>54200</c:v>
                </c:pt>
                <c:pt idx="183">
                  <c:v>53300</c:v>
                </c:pt>
                <c:pt idx="184">
                  <c:v>52000</c:v>
                </c:pt>
                <c:pt idx="185">
                  <c:v>52600</c:v>
                </c:pt>
                <c:pt idx="186">
                  <c:v>53600</c:v>
                </c:pt>
                <c:pt idx="187">
                  <c:v>53800</c:v>
                </c:pt>
                <c:pt idx="188">
                  <c:v>53000</c:v>
                </c:pt>
                <c:pt idx="189">
                  <c:v>52700</c:v>
                </c:pt>
                <c:pt idx="190">
                  <c:v>51700</c:v>
                </c:pt>
                <c:pt idx="191">
                  <c:v>51700</c:v>
                </c:pt>
                <c:pt idx="192">
                  <c:v>53700</c:v>
                </c:pt>
                <c:pt idx="193">
                  <c:v>54500</c:v>
                </c:pt>
                <c:pt idx="194">
                  <c:v>54100</c:v>
                </c:pt>
                <c:pt idx="195">
                  <c:v>52600</c:v>
                </c:pt>
                <c:pt idx="196">
                  <c:v>53600</c:v>
                </c:pt>
                <c:pt idx="197">
                  <c:v>54500</c:v>
                </c:pt>
                <c:pt idx="198">
                  <c:v>52500</c:v>
                </c:pt>
                <c:pt idx="199">
                  <c:v>49100</c:v>
                </c:pt>
                <c:pt idx="200">
                  <c:v>48500</c:v>
                </c:pt>
                <c:pt idx="201">
                  <c:v>48050</c:v>
                </c:pt>
                <c:pt idx="202">
                  <c:v>48650</c:v>
                </c:pt>
                <c:pt idx="203">
                  <c:v>49450</c:v>
                </c:pt>
                <c:pt idx="204">
                  <c:v>49350</c:v>
                </c:pt>
                <c:pt idx="205">
                  <c:v>49150</c:v>
                </c:pt>
                <c:pt idx="206">
                  <c:v>48800</c:v>
                </c:pt>
                <c:pt idx="207">
                  <c:v>47750</c:v>
                </c:pt>
                <c:pt idx="208">
                  <c:v>45500</c:v>
                </c:pt>
                <c:pt idx="209">
                  <c:v>43200</c:v>
                </c:pt>
                <c:pt idx="210">
                  <c:v>43350</c:v>
                </c:pt>
                <c:pt idx="211">
                  <c:v>43250</c:v>
                </c:pt>
                <c:pt idx="212">
                  <c:v>43000</c:v>
                </c:pt>
                <c:pt idx="213">
                  <c:v>43300</c:v>
                </c:pt>
                <c:pt idx="214">
                  <c:v>42700</c:v>
                </c:pt>
                <c:pt idx="215">
                  <c:v>43900</c:v>
                </c:pt>
                <c:pt idx="216">
                  <c:v>44200</c:v>
                </c:pt>
                <c:pt idx="217">
                  <c:v>44350</c:v>
                </c:pt>
                <c:pt idx="218">
                  <c:v>42900</c:v>
                </c:pt>
                <c:pt idx="219">
                  <c:v>43050</c:v>
                </c:pt>
                <c:pt idx="220">
                  <c:v>42700</c:v>
                </c:pt>
                <c:pt idx="221">
                  <c:v>42500</c:v>
                </c:pt>
                <c:pt idx="222">
                  <c:v>41500</c:v>
                </c:pt>
                <c:pt idx="223">
                  <c:v>41350</c:v>
                </c:pt>
                <c:pt idx="224">
                  <c:v>41700</c:v>
                </c:pt>
                <c:pt idx="225">
                  <c:v>42050</c:v>
                </c:pt>
                <c:pt idx="226">
                  <c:v>43000</c:v>
                </c:pt>
                <c:pt idx="227">
                  <c:v>43000</c:v>
                </c:pt>
                <c:pt idx="228">
                  <c:v>41400</c:v>
                </c:pt>
                <c:pt idx="229">
                  <c:v>40650</c:v>
                </c:pt>
                <c:pt idx="230">
                  <c:v>41800</c:v>
                </c:pt>
                <c:pt idx="231">
                  <c:v>41800</c:v>
                </c:pt>
                <c:pt idx="232">
                  <c:v>41200</c:v>
                </c:pt>
                <c:pt idx="233">
                  <c:v>40800</c:v>
                </c:pt>
                <c:pt idx="234">
                  <c:v>39300</c:v>
                </c:pt>
                <c:pt idx="235">
                  <c:v>39200</c:v>
                </c:pt>
                <c:pt idx="236">
                  <c:v>39400</c:v>
                </c:pt>
                <c:pt idx="237">
                  <c:v>38700</c:v>
                </c:pt>
                <c:pt idx="238">
                  <c:v>38200</c:v>
                </c:pt>
                <c:pt idx="239">
                  <c:v>38000</c:v>
                </c:pt>
                <c:pt idx="240">
                  <c:v>37950</c:v>
                </c:pt>
                <c:pt idx="241">
                  <c:v>38250</c:v>
                </c:pt>
                <c:pt idx="242">
                  <c:v>38550</c:v>
                </c:pt>
                <c:pt idx="243">
                  <c:v>38300</c:v>
                </c:pt>
                <c:pt idx="244">
                  <c:v>38100</c:v>
                </c:pt>
                <c:pt idx="245">
                  <c:v>38150</c:v>
                </c:pt>
                <c:pt idx="246">
                  <c:v>38450</c:v>
                </c:pt>
                <c:pt idx="247">
                  <c:v>38900</c:v>
                </c:pt>
                <c:pt idx="248">
                  <c:v>39000</c:v>
                </c:pt>
                <c:pt idx="249">
                  <c:v>38700</c:v>
                </c:pt>
                <c:pt idx="250">
                  <c:v>39000</c:v>
                </c:pt>
                <c:pt idx="251">
                  <c:v>37950</c:v>
                </c:pt>
                <c:pt idx="252">
                  <c:v>37850</c:v>
                </c:pt>
                <c:pt idx="253">
                  <c:v>37800</c:v>
                </c:pt>
                <c:pt idx="254">
                  <c:v>37900</c:v>
                </c:pt>
                <c:pt idx="255">
                  <c:v>39200</c:v>
                </c:pt>
                <c:pt idx="256">
                  <c:v>38650</c:v>
                </c:pt>
                <c:pt idx="257">
                  <c:v>38400</c:v>
                </c:pt>
                <c:pt idx="258">
                  <c:v>37700</c:v>
                </c:pt>
                <c:pt idx="259">
                  <c:v>38400</c:v>
                </c:pt>
                <c:pt idx="260">
                  <c:v>39300</c:v>
                </c:pt>
                <c:pt idx="261">
                  <c:v>40400</c:v>
                </c:pt>
                <c:pt idx="262">
                  <c:v>40500</c:v>
                </c:pt>
                <c:pt idx="263">
                  <c:v>39950</c:v>
                </c:pt>
                <c:pt idx="264">
                  <c:v>39850</c:v>
                </c:pt>
                <c:pt idx="265">
                  <c:v>40000</c:v>
                </c:pt>
                <c:pt idx="266">
                  <c:v>41050</c:v>
                </c:pt>
                <c:pt idx="267">
                  <c:v>40750</c:v>
                </c:pt>
                <c:pt idx="268">
                  <c:v>40700</c:v>
                </c:pt>
                <c:pt idx="269">
                  <c:v>41000</c:v>
                </c:pt>
                <c:pt idx="270">
                  <c:v>39000</c:v>
                </c:pt>
                <c:pt idx="271">
                  <c:v>39100</c:v>
                </c:pt>
                <c:pt idx="272">
                  <c:v>39750</c:v>
                </c:pt>
                <c:pt idx="273">
                  <c:v>39800</c:v>
                </c:pt>
                <c:pt idx="274">
                  <c:v>39000</c:v>
                </c:pt>
                <c:pt idx="275">
                  <c:v>38550</c:v>
                </c:pt>
                <c:pt idx="276">
                  <c:v>38600</c:v>
                </c:pt>
                <c:pt idx="277">
                  <c:v>38700</c:v>
                </c:pt>
                <c:pt idx="278">
                  <c:v>39100</c:v>
                </c:pt>
                <c:pt idx="279">
                  <c:v>38100</c:v>
                </c:pt>
                <c:pt idx="280">
                  <c:v>37950</c:v>
                </c:pt>
                <c:pt idx="281">
                  <c:v>37800</c:v>
                </c:pt>
                <c:pt idx="282">
                  <c:v>37950</c:v>
                </c:pt>
                <c:pt idx="283">
                  <c:v>38500</c:v>
                </c:pt>
                <c:pt idx="284">
                  <c:v>38100</c:v>
                </c:pt>
                <c:pt idx="285">
                  <c:v>39400</c:v>
                </c:pt>
                <c:pt idx="286">
                  <c:v>39400</c:v>
                </c:pt>
                <c:pt idx="287">
                  <c:v>40000</c:v>
                </c:pt>
                <c:pt idx="288">
                  <c:v>38600</c:v>
                </c:pt>
                <c:pt idx="289">
                  <c:v>39400</c:v>
                </c:pt>
                <c:pt idx="290">
                  <c:v>39750</c:v>
                </c:pt>
                <c:pt idx="291">
                  <c:v>40000</c:v>
                </c:pt>
                <c:pt idx="292">
                  <c:v>39400</c:v>
                </c:pt>
                <c:pt idx="293">
                  <c:v>39700</c:v>
                </c:pt>
                <c:pt idx="294">
                  <c:v>39400</c:v>
                </c:pt>
                <c:pt idx="295">
                  <c:v>39400</c:v>
                </c:pt>
                <c:pt idx="296">
                  <c:v>40300</c:v>
                </c:pt>
                <c:pt idx="297">
                  <c:v>40800</c:v>
                </c:pt>
                <c:pt idx="298">
                  <c:v>40000</c:v>
                </c:pt>
                <c:pt idx="299">
                  <c:v>40500</c:v>
                </c:pt>
                <c:pt idx="300">
                  <c:v>42100</c:v>
                </c:pt>
                <c:pt idx="301">
                  <c:v>43000</c:v>
                </c:pt>
                <c:pt idx="302">
                  <c:v>43000</c:v>
                </c:pt>
                <c:pt idx="303">
                  <c:v>44500</c:v>
                </c:pt>
                <c:pt idx="304">
                  <c:v>44300</c:v>
                </c:pt>
                <c:pt idx="305">
                  <c:v>43250</c:v>
                </c:pt>
                <c:pt idx="306">
                  <c:v>43300</c:v>
                </c:pt>
                <c:pt idx="307">
                  <c:v>42750</c:v>
                </c:pt>
                <c:pt idx="308">
                  <c:v>42500</c:v>
                </c:pt>
                <c:pt idx="309">
                  <c:v>42500</c:v>
                </c:pt>
                <c:pt idx="310">
                  <c:v>42100</c:v>
                </c:pt>
                <c:pt idx="311">
                  <c:v>44000</c:v>
                </c:pt>
                <c:pt idx="312">
                  <c:v>44500</c:v>
                </c:pt>
                <c:pt idx="313">
                  <c:v>45700</c:v>
                </c:pt>
                <c:pt idx="314">
                  <c:v>47150</c:v>
                </c:pt>
                <c:pt idx="315">
                  <c:v>47800</c:v>
                </c:pt>
                <c:pt idx="316">
                  <c:v>49900</c:v>
                </c:pt>
                <c:pt idx="317">
                  <c:v>47100</c:v>
                </c:pt>
                <c:pt idx="318">
                  <c:v>46500</c:v>
                </c:pt>
                <c:pt idx="319">
                  <c:v>46200</c:v>
                </c:pt>
                <c:pt idx="320">
                  <c:v>45900</c:v>
                </c:pt>
                <c:pt idx="321">
                  <c:v>45600</c:v>
                </c:pt>
                <c:pt idx="322">
                  <c:v>44950</c:v>
                </c:pt>
                <c:pt idx="323">
                  <c:v>43050</c:v>
                </c:pt>
                <c:pt idx="324">
                  <c:v>41900</c:v>
                </c:pt>
                <c:pt idx="325">
                  <c:v>42050</c:v>
                </c:pt>
                <c:pt idx="326">
                  <c:v>42100</c:v>
                </c:pt>
                <c:pt idx="327">
                  <c:v>42550</c:v>
                </c:pt>
                <c:pt idx="328">
                  <c:v>42200</c:v>
                </c:pt>
                <c:pt idx="329">
                  <c:v>42000</c:v>
                </c:pt>
                <c:pt idx="330">
                  <c:v>43150</c:v>
                </c:pt>
                <c:pt idx="331">
                  <c:v>43600</c:v>
                </c:pt>
                <c:pt idx="332">
                  <c:v>43500</c:v>
                </c:pt>
                <c:pt idx="333">
                  <c:v>43950</c:v>
                </c:pt>
                <c:pt idx="334">
                  <c:v>42900</c:v>
                </c:pt>
                <c:pt idx="335">
                  <c:v>42900</c:v>
                </c:pt>
                <c:pt idx="336">
                  <c:v>43000</c:v>
                </c:pt>
                <c:pt idx="337">
                  <c:v>43800</c:v>
                </c:pt>
                <c:pt idx="338">
                  <c:v>42600</c:v>
                </c:pt>
                <c:pt idx="339">
                  <c:v>45800</c:v>
                </c:pt>
                <c:pt idx="340">
                  <c:v>46500</c:v>
                </c:pt>
                <c:pt idx="341">
                  <c:v>46400</c:v>
                </c:pt>
                <c:pt idx="342">
                  <c:v>46500</c:v>
                </c:pt>
                <c:pt idx="343">
                  <c:v>47150</c:v>
                </c:pt>
                <c:pt idx="344">
                  <c:v>47850</c:v>
                </c:pt>
                <c:pt idx="345">
                  <c:v>47000</c:v>
                </c:pt>
                <c:pt idx="346">
                  <c:v>46450</c:v>
                </c:pt>
                <c:pt idx="347">
                  <c:v>46400</c:v>
                </c:pt>
                <c:pt idx="348">
                  <c:v>45900</c:v>
                </c:pt>
                <c:pt idx="349">
                  <c:v>46200</c:v>
                </c:pt>
                <c:pt idx="350">
                  <c:v>46000</c:v>
                </c:pt>
                <c:pt idx="351">
                  <c:v>44850</c:v>
                </c:pt>
                <c:pt idx="352">
                  <c:v>44350</c:v>
                </c:pt>
                <c:pt idx="353">
                  <c:v>47600</c:v>
                </c:pt>
                <c:pt idx="354">
                  <c:v>47000</c:v>
                </c:pt>
                <c:pt idx="355">
                  <c:v>44050</c:v>
                </c:pt>
                <c:pt idx="356">
                  <c:v>44100</c:v>
                </c:pt>
                <c:pt idx="357">
                  <c:v>42800</c:v>
                </c:pt>
                <c:pt idx="358">
                  <c:v>40150</c:v>
                </c:pt>
                <c:pt idx="359">
                  <c:v>37800</c:v>
                </c:pt>
                <c:pt idx="360">
                  <c:v>37700</c:v>
                </c:pt>
                <c:pt idx="361">
                  <c:v>40500</c:v>
                </c:pt>
                <c:pt idx="362">
                  <c:v>40200</c:v>
                </c:pt>
                <c:pt idx="363">
                  <c:v>40650</c:v>
                </c:pt>
                <c:pt idx="364">
                  <c:v>42150</c:v>
                </c:pt>
                <c:pt idx="365">
                  <c:v>41800</c:v>
                </c:pt>
                <c:pt idx="366">
                  <c:v>40450</c:v>
                </c:pt>
                <c:pt idx="367">
                  <c:v>37850</c:v>
                </c:pt>
                <c:pt idx="368">
                  <c:v>40650</c:v>
                </c:pt>
                <c:pt idx="369">
                  <c:v>43000</c:v>
                </c:pt>
                <c:pt idx="370">
                  <c:v>42350</c:v>
                </c:pt>
                <c:pt idx="371">
                  <c:v>45500</c:v>
                </c:pt>
                <c:pt idx="372">
                  <c:v>44600</c:v>
                </c:pt>
                <c:pt idx="373">
                  <c:v>42850</c:v>
                </c:pt>
                <c:pt idx="374">
                  <c:v>46050</c:v>
                </c:pt>
                <c:pt idx="375">
                  <c:v>49500</c:v>
                </c:pt>
                <c:pt idx="376">
                  <c:v>48000</c:v>
                </c:pt>
                <c:pt idx="377">
                  <c:v>50100</c:v>
                </c:pt>
                <c:pt idx="378">
                  <c:v>51600</c:v>
                </c:pt>
                <c:pt idx="379">
                  <c:v>53200</c:v>
                </c:pt>
                <c:pt idx="380">
                  <c:v>53300</c:v>
                </c:pt>
                <c:pt idx="381">
                  <c:v>51900</c:v>
                </c:pt>
                <c:pt idx="382">
                  <c:v>52000</c:v>
                </c:pt>
                <c:pt idx="383">
                  <c:v>50600</c:v>
                </c:pt>
                <c:pt idx="384">
                  <c:v>54400</c:v>
                </c:pt>
                <c:pt idx="385">
                  <c:v>58400</c:v>
                </c:pt>
                <c:pt idx="386">
                  <c:v>59000</c:v>
                </c:pt>
                <c:pt idx="387">
                  <c:v>59000</c:v>
                </c:pt>
                <c:pt idx="388">
                  <c:v>58900</c:v>
                </c:pt>
                <c:pt idx="389">
                  <c:v>59900</c:v>
                </c:pt>
                <c:pt idx="390">
                  <c:v>57600</c:v>
                </c:pt>
                <c:pt idx="391">
                  <c:v>57500</c:v>
                </c:pt>
                <c:pt idx="392">
                  <c:v>55400</c:v>
                </c:pt>
                <c:pt idx="393">
                  <c:v>57100</c:v>
                </c:pt>
                <c:pt idx="394">
                  <c:v>54000</c:v>
                </c:pt>
                <c:pt idx="395">
                  <c:v>58000</c:v>
                </c:pt>
                <c:pt idx="396">
                  <c:v>62200</c:v>
                </c:pt>
                <c:pt idx="397">
                  <c:v>61000</c:v>
                </c:pt>
                <c:pt idx="398">
                  <c:v>59600</c:v>
                </c:pt>
                <c:pt idx="399">
                  <c:v>64000</c:v>
                </c:pt>
                <c:pt idx="400">
                  <c:v>64000</c:v>
                </c:pt>
                <c:pt idx="401">
                  <c:v>65000</c:v>
                </c:pt>
                <c:pt idx="402">
                  <c:v>67100</c:v>
                </c:pt>
                <c:pt idx="403">
                  <c:v>68000</c:v>
                </c:pt>
                <c:pt idx="404">
                  <c:v>69400</c:v>
                </c:pt>
                <c:pt idx="405">
                  <c:v>70100</c:v>
                </c:pt>
                <c:pt idx="406">
                  <c:v>70000</c:v>
                </c:pt>
                <c:pt idx="407">
                  <c:v>71700</c:v>
                </c:pt>
                <c:pt idx="408">
                  <c:v>70500</c:v>
                </c:pt>
                <c:pt idx="409">
                  <c:v>72000</c:v>
                </c:pt>
                <c:pt idx="410">
                  <c:v>73900</c:v>
                </c:pt>
                <c:pt idx="411">
                  <c:v>73700</c:v>
                </c:pt>
                <c:pt idx="412">
                  <c:v>74100</c:v>
                </c:pt>
                <c:pt idx="413">
                  <c:v>74000</c:v>
                </c:pt>
                <c:pt idx="414">
                  <c:v>72000</c:v>
                </c:pt>
                <c:pt idx="415">
                  <c:v>71500</c:v>
                </c:pt>
                <c:pt idx="416">
                  <c:v>70700</c:v>
                </c:pt>
                <c:pt idx="417">
                  <c:v>72900</c:v>
                </c:pt>
                <c:pt idx="418">
                  <c:v>72500</c:v>
                </c:pt>
                <c:pt idx="419">
                  <c:v>74000</c:v>
                </c:pt>
                <c:pt idx="420">
                  <c:v>73300</c:v>
                </c:pt>
                <c:pt idx="421">
                  <c:v>74000</c:v>
                </c:pt>
                <c:pt idx="422">
                  <c:v>72200</c:v>
                </c:pt>
                <c:pt idx="423">
                  <c:v>68400</c:v>
                </c:pt>
                <c:pt idx="424">
                  <c:v>66800</c:v>
                </c:pt>
                <c:pt idx="425">
                  <c:v>66900</c:v>
                </c:pt>
                <c:pt idx="426">
                  <c:v>66500</c:v>
                </c:pt>
                <c:pt idx="427">
                  <c:v>64100</c:v>
                </c:pt>
                <c:pt idx="428">
                  <c:v>64500</c:v>
                </c:pt>
                <c:pt idx="429">
                  <c:v>65000</c:v>
                </c:pt>
                <c:pt idx="430">
                  <c:v>66000</c:v>
                </c:pt>
                <c:pt idx="431">
                  <c:v>65000</c:v>
                </c:pt>
                <c:pt idx="432">
                  <c:v>63000</c:v>
                </c:pt>
                <c:pt idx="433">
                  <c:v>63000</c:v>
                </c:pt>
                <c:pt idx="434">
                  <c:v>63600</c:v>
                </c:pt>
                <c:pt idx="435">
                  <c:v>63300</c:v>
                </c:pt>
                <c:pt idx="436">
                  <c:v>62900</c:v>
                </c:pt>
                <c:pt idx="437">
                  <c:v>62700</c:v>
                </c:pt>
                <c:pt idx="438">
                  <c:v>62700</c:v>
                </c:pt>
                <c:pt idx="439">
                  <c:v>61800</c:v>
                </c:pt>
                <c:pt idx="440">
                  <c:v>62000</c:v>
                </c:pt>
                <c:pt idx="441">
                  <c:v>61300</c:v>
                </c:pt>
                <c:pt idx="442">
                  <c:v>61000</c:v>
                </c:pt>
                <c:pt idx="443">
                  <c:v>62000</c:v>
                </c:pt>
                <c:pt idx="444">
                  <c:v>62100</c:v>
                </c:pt>
                <c:pt idx="445">
                  <c:v>63000</c:v>
                </c:pt>
                <c:pt idx="446">
                  <c:v>63300</c:v>
                </c:pt>
                <c:pt idx="447">
                  <c:v>64500</c:v>
                </c:pt>
                <c:pt idx="448">
                  <c:v>64100</c:v>
                </c:pt>
                <c:pt idx="449">
                  <c:v>61200</c:v>
                </c:pt>
                <c:pt idx="450">
                  <c:v>60000</c:v>
                </c:pt>
                <c:pt idx="451">
                  <c:v>61000</c:v>
                </c:pt>
                <c:pt idx="452">
                  <c:v>61500</c:v>
                </c:pt>
                <c:pt idx="453">
                  <c:v>62600</c:v>
                </c:pt>
                <c:pt idx="454">
                  <c:v>63600</c:v>
                </c:pt>
                <c:pt idx="455">
                  <c:v>64400</c:v>
                </c:pt>
                <c:pt idx="456">
                  <c:v>64500</c:v>
                </c:pt>
                <c:pt idx="457">
                  <c:v>65000</c:v>
                </c:pt>
                <c:pt idx="458">
                  <c:v>64000</c:v>
                </c:pt>
                <c:pt idx="459">
                  <c:v>64000</c:v>
                </c:pt>
                <c:pt idx="460">
                  <c:v>65500</c:v>
                </c:pt>
                <c:pt idx="461">
                  <c:v>67800</c:v>
                </c:pt>
                <c:pt idx="462">
                  <c:v>70300</c:v>
                </c:pt>
                <c:pt idx="463">
                  <c:v>71500</c:v>
                </c:pt>
                <c:pt idx="464">
                  <c:v>73000</c:v>
                </c:pt>
                <c:pt idx="465">
                  <c:v>72800</c:v>
                </c:pt>
                <c:pt idx="466">
                  <c:v>71500</c:v>
                </c:pt>
                <c:pt idx="467">
                  <c:v>71900</c:v>
                </c:pt>
                <c:pt idx="468">
                  <c:v>72500</c:v>
                </c:pt>
                <c:pt idx="469">
                  <c:v>69800</c:v>
                </c:pt>
                <c:pt idx="470">
                  <c:v>73500</c:v>
                </c:pt>
                <c:pt idx="471">
                  <c:v>73900</c:v>
                </c:pt>
                <c:pt idx="472">
                  <c:v>77700</c:v>
                </c:pt>
                <c:pt idx="473">
                  <c:v>79000</c:v>
                </c:pt>
                <c:pt idx="474">
                  <c:v>147700</c:v>
                </c:pt>
                <c:pt idx="475">
                  <c:v>143500</c:v>
                </c:pt>
                <c:pt idx="476">
                  <c:v>140000</c:v>
                </c:pt>
                <c:pt idx="477">
                  <c:v>150000</c:v>
                </c:pt>
                <c:pt idx="478">
                  <c:v>152800</c:v>
                </c:pt>
                <c:pt idx="479">
                  <c:v>153400</c:v>
                </c:pt>
                <c:pt idx="480">
                  <c:v>153000</c:v>
                </c:pt>
                <c:pt idx="481">
                  <c:v>154700</c:v>
                </c:pt>
                <c:pt idx="482">
                  <c:v>153200</c:v>
                </c:pt>
                <c:pt idx="483">
                  <c:v>147700</c:v>
                </c:pt>
                <c:pt idx="484">
                  <c:v>145500</c:v>
                </c:pt>
                <c:pt idx="485">
                  <c:v>144900</c:v>
                </c:pt>
                <c:pt idx="486">
                  <c:v>145200</c:v>
                </c:pt>
                <c:pt idx="487">
                  <c:v>146700</c:v>
                </c:pt>
                <c:pt idx="488">
                  <c:v>139000</c:v>
                </c:pt>
                <c:pt idx="489">
                  <c:v>139000</c:v>
                </c:pt>
                <c:pt idx="490">
                  <c:v>133000</c:v>
                </c:pt>
                <c:pt idx="491">
                  <c:v>130800</c:v>
                </c:pt>
                <c:pt idx="492">
                  <c:v>134000</c:v>
                </c:pt>
                <c:pt idx="493">
                  <c:v>133000</c:v>
                </c:pt>
                <c:pt idx="494">
                  <c:v>133500</c:v>
                </c:pt>
                <c:pt idx="495">
                  <c:v>131600</c:v>
                </c:pt>
                <c:pt idx="496">
                  <c:v>123000</c:v>
                </c:pt>
                <c:pt idx="497">
                  <c:v>125100</c:v>
                </c:pt>
                <c:pt idx="498">
                  <c:v>134400</c:v>
                </c:pt>
                <c:pt idx="499">
                  <c:v>141000</c:v>
                </c:pt>
                <c:pt idx="500">
                  <c:v>140100</c:v>
                </c:pt>
                <c:pt idx="501">
                  <c:v>136400</c:v>
                </c:pt>
                <c:pt idx="502">
                  <c:v>146600</c:v>
                </c:pt>
                <c:pt idx="503">
                  <c:v>149400</c:v>
                </c:pt>
                <c:pt idx="504">
                  <c:v>149500</c:v>
                </c:pt>
                <c:pt idx="505">
                  <c:v>149200</c:v>
                </c:pt>
                <c:pt idx="506">
                  <c:v>145000</c:v>
                </c:pt>
                <c:pt idx="507">
                  <c:v>147200</c:v>
                </c:pt>
                <c:pt idx="508">
                  <c:v>148800</c:v>
                </c:pt>
                <c:pt idx="509">
                  <c:v>144900</c:v>
                </c:pt>
                <c:pt idx="510">
                  <c:v>155800</c:v>
                </c:pt>
                <c:pt idx="511">
                  <c:v>155500</c:v>
                </c:pt>
                <c:pt idx="512">
                  <c:v>156000</c:v>
                </c:pt>
                <c:pt idx="513">
                  <c:v>156000</c:v>
                </c:pt>
                <c:pt idx="514">
                  <c:v>160200</c:v>
                </c:pt>
                <c:pt idx="515">
                  <c:v>160200</c:v>
                </c:pt>
                <c:pt idx="516">
                  <c:v>159500</c:v>
                </c:pt>
                <c:pt idx="517">
                  <c:v>156200</c:v>
                </c:pt>
                <c:pt idx="518">
                  <c:v>152700</c:v>
                </c:pt>
                <c:pt idx="519">
                  <c:v>150000</c:v>
                </c:pt>
                <c:pt idx="520">
                  <c:v>155000</c:v>
                </c:pt>
                <c:pt idx="521">
                  <c:v>158800</c:v>
                </c:pt>
                <c:pt idx="522">
                  <c:v>155200</c:v>
                </c:pt>
                <c:pt idx="523">
                  <c:v>155000</c:v>
                </c:pt>
                <c:pt idx="524">
                  <c:v>156000</c:v>
                </c:pt>
                <c:pt idx="525">
                  <c:v>145800</c:v>
                </c:pt>
                <c:pt idx="526">
                  <c:v>144400</c:v>
                </c:pt>
                <c:pt idx="527">
                  <c:v>146500</c:v>
                </c:pt>
                <c:pt idx="528">
                  <c:v>144000</c:v>
                </c:pt>
                <c:pt idx="529">
                  <c:v>138900</c:v>
                </c:pt>
                <c:pt idx="530">
                  <c:v>134000</c:v>
                </c:pt>
                <c:pt idx="531">
                  <c:v>135000</c:v>
                </c:pt>
                <c:pt idx="532">
                  <c:v>135200</c:v>
                </c:pt>
                <c:pt idx="533">
                  <c:v>134900</c:v>
                </c:pt>
                <c:pt idx="534">
                  <c:v>131600</c:v>
                </c:pt>
                <c:pt idx="535">
                  <c:v>130800</c:v>
                </c:pt>
                <c:pt idx="536">
                  <c:v>131400</c:v>
                </c:pt>
                <c:pt idx="537">
                  <c:v>131400</c:v>
                </c:pt>
                <c:pt idx="538">
                  <c:v>131700</c:v>
                </c:pt>
                <c:pt idx="539">
                  <c:v>133000</c:v>
                </c:pt>
                <c:pt idx="540">
                  <c:v>133500</c:v>
                </c:pt>
                <c:pt idx="541">
                  <c:v>133800</c:v>
                </c:pt>
                <c:pt idx="542">
                  <c:v>134200</c:v>
                </c:pt>
                <c:pt idx="543">
                  <c:v>134200</c:v>
                </c:pt>
                <c:pt idx="544">
                  <c:v>135800</c:v>
                </c:pt>
                <c:pt idx="545">
                  <c:v>136500</c:v>
                </c:pt>
                <c:pt idx="546">
                  <c:v>134500</c:v>
                </c:pt>
                <c:pt idx="547">
                  <c:v>136000</c:v>
                </c:pt>
                <c:pt idx="548">
                  <c:v>136000</c:v>
                </c:pt>
                <c:pt idx="549">
                  <c:v>137600</c:v>
                </c:pt>
                <c:pt idx="550">
                  <c:v>136800</c:v>
                </c:pt>
                <c:pt idx="551">
                  <c:v>137800</c:v>
                </c:pt>
                <c:pt idx="552">
                  <c:v>137700</c:v>
                </c:pt>
                <c:pt idx="553">
                  <c:v>133900</c:v>
                </c:pt>
                <c:pt idx="554">
                  <c:v>134000</c:v>
                </c:pt>
                <c:pt idx="555">
                  <c:v>134500</c:v>
                </c:pt>
                <c:pt idx="556">
                  <c:v>132900</c:v>
                </c:pt>
                <c:pt idx="557">
                  <c:v>133300</c:v>
                </c:pt>
                <c:pt idx="558">
                  <c:v>132000</c:v>
                </c:pt>
                <c:pt idx="559">
                  <c:v>135300</c:v>
                </c:pt>
                <c:pt idx="560">
                  <c:v>136300</c:v>
                </c:pt>
                <c:pt idx="561">
                  <c:v>137000</c:v>
                </c:pt>
                <c:pt idx="562">
                  <c:v>136300</c:v>
                </c:pt>
                <c:pt idx="563">
                  <c:v>133900</c:v>
                </c:pt>
                <c:pt idx="564">
                  <c:v>132500</c:v>
                </c:pt>
                <c:pt idx="565">
                  <c:v>131500</c:v>
                </c:pt>
                <c:pt idx="566">
                  <c:v>131900</c:v>
                </c:pt>
                <c:pt idx="567">
                  <c:v>131000</c:v>
                </c:pt>
                <c:pt idx="568">
                  <c:v>129900</c:v>
                </c:pt>
                <c:pt idx="569">
                  <c:v>133200</c:v>
                </c:pt>
                <c:pt idx="570">
                  <c:v>134000</c:v>
                </c:pt>
                <c:pt idx="571">
                  <c:v>133500</c:v>
                </c:pt>
                <c:pt idx="572">
                  <c:v>130100</c:v>
                </c:pt>
                <c:pt idx="573">
                  <c:v>130000</c:v>
                </c:pt>
                <c:pt idx="574">
                  <c:v>134000</c:v>
                </c:pt>
                <c:pt idx="575">
                  <c:v>135500</c:v>
                </c:pt>
                <c:pt idx="576">
                  <c:v>136000</c:v>
                </c:pt>
                <c:pt idx="577">
                  <c:v>131800</c:v>
                </c:pt>
                <c:pt idx="578">
                  <c:v>133000</c:v>
                </c:pt>
                <c:pt idx="579">
                  <c:v>135500</c:v>
                </c:pt>
                <c:pt idx="580">
                  <c:v>137500</c:v>
                </c:pt>
                <c:pt idx="581">
                  <c:v>137100</c:v>
                </c:pt>
                <c:pt idx="582">
                  <c:v>137800</c:v>
                </c:pt>
              </c:numCache>
            </c:numRef>
          </c:val>
          <c:smooth val="0"/>
          <c:extLst>
            <c:ext xmlns:c16="http://schemas.microsoft.com/office/drawing/2014/chart" uri="{C3380CC4-5D6E-409C-BE32-E72D297353CC}">
              <c16:uniqueId val="{00000000-727C-462B-82B7-6186AEE24777}"/>
            </c:ext>
          </c:extLst>
        </c:ser>
        <c:dLbls>
          <c:showLegendKey val="0"/>
          <c:showVal val="0"/>
          <c:showCatName val="0"/>
          <c:showSerName val="0"/>
          <c:showPercent val="0"/>
          <c:showBubbleSize val="0"/>
        </c:dLbls>
        <c:marker val="1"/>
        <c:smooth val="0"/>
        <c:axId val="1198608832"/>
        <c:axId val="1198609192"/>
      </c:lineChart>
      <c:lineChart>
        <c:grouping val="standard"/>
        <c:varyColors val="0"/>
        <c:ser>
          <c:idx val="1"/>
          <c:order val="1"/>
          <c:tx>
            <c:strRef>
              <c:f>Diamond!$S$2</c:f>
              <c:strCache>
                <c:ptCount val="1"/>
                <c:pt idx="0">
                  <c:v>Tỷ lệ sở hữu NĐT nước ngoài (%)</c:v>
                </c:pt>
              </c:strCache>
            </c:strRef>
          </c:tx>
          <c:spPr>
            <a:ln w="28575" cap="rnd">
              <a:solidFill>
                <a:schemeClr val="accent2"/>
              </a:solidFill>
              <a:round/>
            </a:ln>
            <a:effectLst/>
          </c:spPr>
          <c:marker>
            <c:symbol val="none"/>
          </c:marker>
          <c:cat>
            <c:numRef>
              <c:f>Diamond!$Q$3:$Q$585</c:f>
              <c:numCache>
                <c:formatCode>m/d/yy</c:formatCode>
                <c:ptCount val="583"/>
                <c:pt idx="0">
                  <c:v>45415</c:v>
                </c:pt>
                <c:pt idx="3">
                  <c:v>45414</c:v>
                </c:pt>
                <c:pt idx="4">
                  <c:v>45408</c:v>
                </c:pt>
                <c:pt idx="8">
                  <c:v>45407</c:v>
                </c:pt>
                <c:pt idx="9">
                  <c:v>45406</c:v>
                </c:pt>
                <c:pt idx="10">
                  <c:v>45405</c:v>
                </c:pt>
                <c:pt idx="11">
                  <c:v>45404</c:v>
                </c:pt>
                <c:pt idx="12">
                  <c:v>45401</c:v>
                </c:pt>
                <c:pt idx="13">
                  <c:v>45399</c:v>
                </c:pt>
                <c:pt idx="14">
                  <c:v>45398</c:v>
                </c:pt>
                <c:pt idx="15">
                  <c:v>45397</c:v>
                </c:pt>
                <c:pt idx="16">
                  <c:v>45394</c:v>
                </c:pt>
                <c:pt idx="17">
                  <c:v>45393</c:v>
                </c:pt>
                <c:pt idx="18">
                  <c:v>45392</c:v>
                </c:pt>
                <c:pt idx="19">
                  <c:v>45391</c:v>
                </c:pt>
                <c:pt idx="20">
                  <c:v>45390</c:v>
                </c:pt>
                <c:pt idx="21">
                  <c:v>45387</c:v>
                </c:pt>
                <c:pt idx="22">
                  <c:v>45386</c:v>
                </c:pt>
                <c:pt idx="23">
                  <c:v>45385</c:v>
                </c:pt>
                <c:pt idx="24">
                  <c:v>45384</c:v>
                </c:pt>
                <c:pt idx="25">
                  <c:v>45383</c:v>
                </c:pt>
                <c:pt idx="26">
                  <c:v>45380</c:v>
                </c:pt>
                <c:pt idx="27">
                  <c:v>45379</c:v>
                </c:pt>
                <c:pt idx="28">
                  <c:v>45378</c:v>
                </c:pt>
                <c:pt idx="29">
                  <c:v>45377</c:v>
                </c:pt>
                <c:pt idx="30">
                  <c:v>45376</c:v>
                </c:pt>
                <c:pt idx="31">
                  <c:v>45373</c:v>
                </c:pt>
                <c:pt idx="32">
                  <c:v>45372</c:v>
                </c:pt>
                <c:pt idx="33">
                  <c:v>45371</c:v>
                </c:pt>
                <c:pt idx="34">
                  <c:v>45370</c:v>
                </c:pt>
                <c:pt idx="35">
                  <c:v>45369</c:v>
                </c:pt>
                <c:pt idx="36">
                  <c:v>45366</c:v>
                </c:pt>
                <c:pt idx="37">
                  <c:v>45365</c:v>
                </c:pt>
                <c:pt idx="38">
                  <c:v>45364</c:v>
                </c:pt>
                <c:pt idx="39">
                  <c:v>45363</c:v>
                </c:pt>
                <c:pt idx="40">
                  <c:v>45362</c:v>
                </c:pt>
                <c:pt idx="41">
                  <c:v>45359</c:v>
                </c:pt>
                <c:pt idx="42">
                  <c:v>45358</c:v>
                </c:pt>
                <c:pt idx="43">
                  <c:v>45357</c:v>
                </c:pt>
                <c:pt idx="44">
                  <c:v>45356</c:v>
                </c:pt>
                <c:pt idx="45">
                  <c:v>45355</c:v>
                </c:pt>
                <c:pt idx="46">
                  <c:v>45352</c:v>
                </c:pt>
                <c:pt idx="47">
                  <c:v>45351</c:v>
                </c:pt>
                <c:pt idx="48">
                  <c:v>45350</c:v>
                </c:pt>
                <c:pt idx="49">
                  <c:v>45349</c:v>
                </c:pt>
                <c:pt idx="50">
                  <c:v>45348</c:v>
                </c:pt>
                <c:pt idx="51">
                  <c:v>45345</c:v>
                </c:pt>
                <c:pt idx="52">
                  <c:v>45344</c:v>
                </c:pt>
                <c:pt idx="53">
                  <c:v>45343</c:v>
                </c:pt>
                <c:pt idx="54">
                  <c:v>45342</c:v>
                </c:pt>
                <c:pt idx="55">
                  <c:v>45341</c:v>
                </c:pt>
                <c:pt idx="56">
                  <c:v>45338</c:v>
                </c:pt>
                <c:pt idx="57">
                  <c:v>45337</c:v>
                </c:pt>
                <c:pt idx="58">
                  <c:v>45329</c:v>
                </c:pt>
                <c:pt idx="59">
                  <c:v>45328</c:v>
                </c:pt>
                <c:pt idx="60">
                  <c:v>45327</c:v>
                </c:pt>
                <c:pt idx="61">
                  <c:v>45324</c:v>
                </c:pt>
                <c:pt idx="62">
                  <c:v>45323</c:v>
                </c:pt>
                <c:pt idx="63">
                  <c:v>45322</c:v>
                </c:pt>
                <c:pt idx="64">
                  <c:v>45321</c:v>
                </c:pt>
                <c:pt idx="65">
                  <c:v>45320</c:v>
                </c:pt>
                <c:pt idx="66">
                  <c:v>45317</c:v>
                </c:pt>
                <c:pt idx="67">
                  <c:v>45316</c:v>
                </c:pt>
                <c:pt idx="68">
                  <c:v>45315</c:v>
                </c:pt>
                <c:pt idx="69">
                  <c:v>45314</c:v>
                </c:pt>
                <c:pt idx="70">
                  <c:v>45313</c:v>
                </c:pt>
                <c:pt idx="71">
                  <c:v>45310</c:v>
                </c:pt>
                <c:pt idx="72">
                  <c:v>45309</c:v>
                </c:pt>
                <c:pt idx="73">
                  <c:v>45308</c:v>
                </c:pt>
                <c:pt idx="74">
                  <c:v>45307</c:v>
                </c:pt>
                <c:pt idx="75">
                  <c:v>45306</c:v>
                </c:pt>
                <c:pt idx="76">
                  <c:v>45303</c:v>
                </c:pt>
                <c:pt idx="77">
                  <c:v>45302</c:v>
                </c:pt>
                <c:pt idx="78">
                  <c:v>45301</c:v>
                </c:pt>
                <c:pt idx="79">
                  <c:v>45300</c:v>
                </c:pt>
                <c:pt idx="80">
                  <c:v>45299</c:v>
                </c:pt>
                <c:pt idx="81">
                  <c:v>45296</c:v>
                </c:pt>
                <c:pt idx="82">
                  <c:v>45295</c:v>
                </c:pt>
                <c:pt idx="83">
                  <c:v>45294</c:v>
                </c:pt>
                <c:pt idx="84">
                  <c:v>45293</c:v>
                </c:pt>
                <c:pt idx="85">
                  <c:v>45289</c:v>
                </c:pt>
                <c:pt idx="86">
                  <c:v>45288</c:v>
                </c:pt>
                <c:pt idx="87">
                  <c:v>45287</c:v>
                </c:pt>
                <c:pt idx="88">
                  <c:v>45286</c:v>
                </c:pt>
                <c:pt idx="89">
                  <c:v>45285</c:v>
                </c:pt>
                <c:pt idx="90">
                  <c:v>45282</c:v>
                </c:pt>
                <c:pt idx="91">
                  <c:v>45281</c:v>
                </c:pt>
                <c:pt idx="92">
                  <c:v>45280</c:v>
                </c:pt>
                <c:pt idx="93">
                  <c:v>45279</c:v>
                </c:pt>
                <c:pt idx="94">
                  <c:v>45278</c:v>
                </c:pt>
                <c:pt idx="95">
                  <c:v>45275</c:v>
                </c:pt>
                <c:pt idx="96">
                  <c:v>45274</c:v>
                </c:pt>
                <c:pt idx="97">
                  <c:v>45273</c:v>
                </c:pt>
                <c:pt idx="98">
                  <c:v>45272</c:v>
                </c:pt>
                <c:pt idx="99">
                  <c:v>45271</c:v>
                </c:pt>
                <c:pt idx="100">
                  <c:v>45268</c:v>
                </c:pt>
                <c:pt idx="101">
                  <c:v>45267</c:v>
                </c:pt>
                <c:pt idx="102">
                  <c:v>45266</c:v>
                </c:pt>
                <c:pt idx="103">
                  <c:v>45265</c:v>
                </c:pt>
                <c:pt idx="104">
                  <c:v>45264</c:v>
                </c:pt>
                <c:pt idx="105">
                  <c:v>45261</c:v>
                </c:pt>
                <c:pt idx="106">
                  <c:v>45260</c:v>
                </c:pt>
                <c:pt idx="107">
                  <c:v>45259</c:v>
                </c:pt>
                <c:pt idx="108">
                  <c:v>45258</c:v>
                </c:pt>
                <c:pt idx="109">
                  <c:v>45257</c:v>
                </c:pt>
                <c:pt idx="110">
                  <c:v>45254</c:v>
                </c:pt>
                <c:pt idx="111">
                  <c:v>45253</c:v>
                </c:pt>
                <c:pt idx="112">
                  <c:v>45252</c:v>
                </c:pt>
                <c:pt idx="113">
                  <c:v>45251</c:v>
                </c:pt>
                <c:pt idx="114">
                  <c:v>45250</c:v>
                </c:pt>
                <c:pt idx="115">
                  <c:v>45247</c:v>
                </c:pt>
                <c:pt idx="116">
                  <c:v>45246</c:v>
                </c:pt>
                <c:pt idx="117">
                  <c:v>45245</c:v>
                </c:pt>
                <c:pt idx="118">
                  <c:v>45244</c:v>
                </c:pt>
                <c:pt idx="119">
                  <c:v>45243</c:v>
                </c:pt>
                <c:pt idx="120">
                  <c:v>45240</c:v>
                </c:pt>
                <c:pt idx="121">
                  <c:v>45239</c:v>
                </c:pt>
                <c:pt idx="122">
                  <c:v>45238</c:v>
                </c:pt>
                <c:pt idx="123">
                  <c:v>45237</c:v>
                </c:pt>
                <c:pt idx="124">
                  <c:v>45236</c:v>
                </c:pt>
                <c:pt idx="125">
                  <c:v>45233</c:v>
                </c:pt>
                <c:pt idx="126">
                  <c:v>45232</c:v>
                </c:pt>
                <c:pt idx="127">
                  <c:v>45231</c:v>
                </c:pt>
                <c:pt idx="128">
                  <c:v>45230</c:v>
                </c:pt>
                <c:pt idx="129">
                  <c:v>45229</c:v>
                </c:pt>
                <c:pt idx="130">
                  <c:v>45226</c:v>
                </c:pt>
                <c:pt idx="131">
                  <c:v>45225</c:v>
                </c:pt>
                <c:pt idx="132">
                  <c:v>45224</c:v>
                </c:pt>
                <c:pt idx="133">
                  <c:v>45223</c:v>
                </c:pt>
                <c:pt idx="134">
                  <c:v>45222</c:v>
                </c:pt>
                <c:pt idx="135">
                  <c:v>45219</c:v>
                </c:pt>
                <c:pt idx="136">
                  <c:v>45218</c:v>
                </c:pt>
                <c:pt idx="137">
                  <c:v>45217</c:v>
                </c:pt>
                <c:pt idx="138">
                  <c:v>45216</c:v>
                </c:pt>
                <c:pt idx="139">
                  <c:v>45215</c:v>
                </c:pt>
                <c:pt idx="140">
                  <c:v>45212</c:v>
                </c:pt>
                <c:pt idx="141">
                  <c:v>45211</c:v>
                </c:pt>
                <c:pt idx="142">
                  <c:v>45210</c:v>
                </c:pt>
                <c:pt idx="143">
                  <c:v>45209</c:v>
                </c:pt>
                <c:pt idx="144">
                  <c:v>45208</c:v>
                </c:pt>
                <c:pt idx="145">
                  <c:v>45205</c:v>
                </c:pt>
                <c:pt idx="146">
                  <c:v>45204</c:v>
                </c:pt>
                <c:pt idx="147">
                  <c:v>45203</c:v>
                </c:pt>
                <c:pt idx="148">
                  <c:v>45202</c:v>
                </c:pt>
                <c:pt idx="149">
                  <c:v>45201</c:v>
                </c:pt>
                <c:pt idx="150">
                  <c:v>45198</c:v>
                </c:pt>
                <c:pt idx="151">
                  <c:v>45197</c:v>
                </c:pt>
                <c:pt idx="152">
                  <c:v>45196</c:v>
                </c:pt>
                <c:pt idx="153">
                  <c:v>45195</c:v>
                </c:pt>
                <c:pt idx="154">
                  <c:v>45194</c:v>
                </c:pt>
                <c:pt idx="155">
                  <c:v>45191</c:v>
                </c:pt>
                <c:pt idx="156">
                  <c:v>45190</c:v>
                </c:pt>
                <c:pt idx="157">
                  <c:v>45189</c:v>
                </c:pt>
                <c:pt idx="158">
                  <c:v>45188</c:v>
                </c:pt>
                <c:pt idx="159">
                  <c:v>45187</c:v>
                </c:pt>
                <c:pt idx="160">
                  <c:v>45184</c:v>
                </c:pt>
                <c:pt idx="161">
                  <c:v>45183</c:v>
                </c:pt>
                <c:pt idx="162">
                  <c:v>45182</c:v>
                </c:pt>
                <c:pt idx="163">
                  <c:v>45181</c:v>
                </c:pt>
                <c:pt idx="164">
                  <c:v>45180</c:v>
                </c:pt>
                <c:pt idx="165">
                  <c:v>45177</c:v>
                </c:pt>
                <c:pt idx="166">
                  <c:v>45176</c:v>
                </c:pt>
                <c:pt idx="167">
                  <c:v>45175</c:v>
                </c:pt>
                <c:pt idx="168">
                  <c:v>45174</c:v>
                </c:pt>
                <c:pt idx="169">
                  <c:v>45169</c:v>
                </c:pt>
                <c:pt idx="170">
                  <c:v>45168</c:v>
                </c:pt>
                <c:pt idx="171">
                  <c:v>45167</c:v>
                </c:pt>
                <c:pt idx="172">
                  <c:v>45166</c:v>
                </c:pt>
                <c:pt idx="173">
                  <c:v>45163</c:v>
                </c:pt>
                <c:pt idx="174">
                  <c:v>45162</c:v>
                </c:pt>
                <c:pt idx="175">
                  <c:v>45161</c:v>
                </c:pt>
                <c:pt idx="176">
                  <c:v>45160</c:v>
                </c:pt>
                <c:pt idx="177">
                  <c:v>45159</c:v>
                </c:pt>
                <c:pt idx="178">
                  <c:v>45156</c:v>
                </c:pt>
                <c:pt idx="179">
                  <c:v>45155</c:v>
                </c:pt>
                <c:pt idx="180">
                  <c:v>45154</c:v>
                </c:pt>
                <c:pt idx="181">
                  <c:v>45153</c:v>
                </c:pt>
                <c:pt idx="182">
                  <c:v>45152</c:v>
                </c:pt>
                <c:pt idx="183">
                  <c:v>45149</c:v>
                </c:pt>
                <c:pt idx="184">
                  <c:v>45148</c:v>
                </c:pt>
                <c:pt idx="185">
                  <c:v>45147</c:v>
                </c:pt>
                <c:pt idx="186">
                  <c:v>45146</c:v>
                </c:pt>
                <c:pt idx="187">
                  <c:v>45145</c:v>
                </c:pt>
                <c:pt idx="188">
                  <c:v>45142</c:v>
                </c:pt>
                <c:pt idx="189">
                  <c:v>45141</c:v>
                </c:pt>
                <c:pt idx="190">
                  <c:v>45140</c:v>
                </c:pt>
                <c:pt idx="191">
                  <c:v>45139</c:v>
                </c:pt>
                <c:pt idx="192">
                  <c:v>45138</c:v>
                </c:pt>
                <c:pt idx="193">
                  <c:v>45135</c:v>
                </c:pt>
                <c:pt idx="194">
                  <c:v>45134</c:v>
                </c:pt>
                <c:pt idx="195">
                  <c:v>45133</c:v>
                </c:pt>
                <c:pt idx="196">
                  <c:v>45132</c:v>
                </c:pt>
                <c:pt idx="197">
                  <c:v>45131</c:v>
                </c:pt>
                <c:pt idx="198">
                  <c:v>45128</c:v>
                </c:pt>
                <c:pt idx="199">
                  <c:v>45127</c:v>
                </c:pt>
                <c:pt idx="200">
                  <c:v>45126</c:v>
                </c:pt>
                <c:pt idx="201">
                  <c:v>45125</c:v>
                </c:pt>
                <c:pt idx="202">
                  <c:v>45124</c:v>
                </c:pt>
                <c:pt idx="203">
                  <c:v>45121</c:v>
                </c:pt>
                <c:pt idx="204">
                  <c:v>45120</c:v>
                </c:pt>
                <c:pt idx="205">
                  <c:v>45119</c:v>
                </c:pt>
                <c:pt idx="206">
                  <c:v>45118</c:v>
                </c:pt>
                <c:pt idx="207">
                  <c:v>45117</c:v>
                </c:pt>
                <c:pt idx="208">
                  <c:v>45114</c:v>
                </c:pt>
                <c:pt idx="209">
                  <c:v>45113</c:v>
                </c:pt>
                <c:pt idx="210">
                  <c:v>45112</c:v>
                </c:pt>
                <c:pt idx="211">
                  <c:v>45111</c:v>
                </c:pt>
                <c:pt idx="212">
                  <c:v>45110</c:v>
                </c:pt>
                <c:pt idx="213">
                  <c:v>45107</c:v>
                </c:pt>
                <c:pt idx="214">
                  <c:v>45106</c:v>
                </c:pt>
                <c:pt idx="215">
                  <c:v>45105</c:v>
                </c:pt>
                <c:pt idx="216">
                  <c:v>45104</c:v>
                </c:pt>
                <c:pt idx="217">
                  <c:v>45103</c:v>
                </c:pt>
                <c:pt idx="218">
                  <c:v>45100</c:v>
                </c:pt>
                <c:pt idx="219">
                  <c:v>45099</c:v>
                </c:pt>
                <c:pt idx="220">
                  <c:v>45098</c:v>
                </c:pt>
                <c:pt idx="221">
                  <c:v>45097</c:v>
                </c:pt>
                <c:pt idx="222">
                  <c:v>45096</c:v>
                </c:pt>
                <c:pt idx="223">
                  <c:v>45093</c:v>
                </c:pt>
                <c:pt idx="224">
                  <c:v>45092</c:v>
                </c:pt>
                <c:pt idx="225">
                  <c:v>45091</c:v>
                </c:pt>
                <c:pt idx="226">
                  <c:v>45090</c:v>
                </c:pt>
                <c:pt idx="227">
                  <c:v>45089</c:v>
                </c:pt>
                <c:pt idx="228">
                  <c:v>45086</c:v>
                </c:pt>
                <c:pt idx="229">
                  <c:v>45085</c:v>
                </c:pt>
                <c:pt idx="230">
                  <c:v>45084</c:v>
                </c:pt>
                <c:pt idx="231">
                  <c:v>45083</c:v>
                </c:pt>
                <c:pt idx="232">
                  <c:v>45082</c:v>
                </c:pt>
                <c:pt idx="233">
                  <c:v>45079</c:v>
                </c:pt>
                <c:pt idx="234">
                  <c:v>45078</c:v>
                </c:pt>
                <c:pt idx="235">
                  <c:v>45077</c:v>
                </c:pt>
                <c:pt idx="236">
                  <c:v>45076</c:v>
                </c:pt>
                <c:pt idx="237">
                  <c:v>45075</c:v>
                </c:pt>
                <c:pt idx="238">
                  <c:v>45072</c:v>
                </c:pt>
                <c:pt idx="239">
                  <c:v>45071</c:v>
                </c:pt>
                <c:pt idx="240">
                  <c:v>45070</c:v>
                </c:pt>
                <c:pt idx="241">
                  <c:v>45069</c:v>
                </c:pt>
                <c:pt idx="242">
                  <c:v>45068</c:v>
                </c:pt>
                <c:pt idx="243">
                  <c:v>45065</c:v>
                </c:pt>
                <c:pt idx="244">
                  <c:v>45064</c:v>
                </c:pt>
                <c:pt idx="245">
                  <c:v>45063</c:v>
                </c:pt>
                <c:pt idx="246">
                  <c:v>45062</c:v>
                </c:pt>
                <c:pt idx="247">
                  <c:v>45061</c:v>
                </c:pt>
                <c:pt idx="248">
                  <c:v>45058</c:v>
                </c:pt>
                <c:pt idx="249">
                  <c:v>45057</c:v>
                </c:pt>
                <c:pt idx="250">
                  <c:v>45056</c:v>
                </c:pt>
                <c:pt idx="251">
                  <c:v>45055</c:v>
                </c:pt>
                <c:pt idx="252">
                  <c:v>45054</c:v>
                </c:pt>
                <c:pt idx="253">
                  <c:v>45051</c:v>
                </c:pt>
                <c:pt idx="254">
                  <c:v>45050</c:v>
                </c:pt>
                <c:pt idx="255">
                  <c:v>45044</c:v>
                </c:pt>
                <c:pt idx="256">
                  <c:v>45043</c:v>
                </c:pt>
                <c:pt idx="257">
                  <c:v>45042</c:v>
                </c:pt>
                <c:pt idx="258">
                  <c:v>45041</c:v>
                </c:pt>
                <c:pt idx="259">
                  <c:v>45040</c:v>
                </c:pt>
                <c:pt idx="260">
                  <c:v>45037</c:v>
                </c:pt>
                <c:pt idx="261">
                  <c:v>45036</c:v>
                </c:pt>
                <c:pt idx="262">
                  <c:v>45035</c:v>
                </c:pt>
                <c:pt idx="263">
                  <c:v>45034</c:v>
                </c:pt>
                <c:pt idx="264">
                  <c:v>45033</c:v>
                </c:pt>
                <c:pt idx="265">
                  <c:v>45030</c:v>
                </c:pt>
                <c:pt idx="266">
                  <c:v>45029</c:v>
                </c:pt>
                <c:pt idx="267">
                  <c:v>45028</c:v>
                </c:pt>
                <c:pt idx="268">
                  <c:v>45027</c:v>
                </c:pt>
                <c:pt idx="269">
                  <c:v>45026</c:v>
                </c:pt>
                <c:pt idx="270">
                  <c:v>45023</c:v>
                </c:pt>
                <c:pt idx="271">
                  <c:v>45022</c:v>
                </c:pt>
                <c:pt idx="272">
                  <c:v>45021</c:v>
                </c:pt>
                <c:pt idx="273">
                  <c:v>45020</c:v>
                </c:pt>
                <c:pt idx="274">
                  <c:v>45019</c:v>
                </c:pt>
                <c:pt idx="275">
                  <c:v>45016</c:v>
                </c:pt>
                <c:pt idx="276">
                  <c:v>45015</c:v>
                </c:pt>
                <c:pt idx="277">
                  <c:v>45014</c:v>
                </c:pt>
                <c:pt idx="278">
                  <c:v>45013</c:v>
                </c:pt>
                <c:pt idx="279">
                  <c:v>45012</c:v>
                </c:pt>
                <c:pt idx="280">
                  <c:v>45009</c:v>
                </c:pt>
                <c:pt idx="281">
                  <c:v>45008</c:v>
                </c:pt>
                <c:pt idx="282">
                  <c:v>45007</c:v>
                </c:pt>
                <c:pt idx="283">
                  <c:v>45006</c:v>
                </c:pt>
                <c:pt idx="284">
                  <c:v>45005</c:v>
                </c:pt>
                <c:pt idx="285">
                  <c:v>45002</c:v>
                </c:pt>
                <c:pt idx="286">
                  <c:v>45001</c:v>
                </c:pt>
                <c:pt idx="287">
                  <c:v>45000</c:v>
                </c:pt>
                <c:pt idx="288">
                  <c:v>44999</c:v>
                </c:pt>
                <c:pt idx="289">
                  <c:v>44998</c:v>
                </c:pt>
                <c:pt idx="290">
                  <c:v>44995</c:v>
                </c:pt>
                <c:pt idx="291">
                  <c:v>44994</c:v>
                </c:pt>
                <c:pt idx="292">
                  <c:v>44993</c:v>
                </c:pt>
                <c:pt idx="293">
                  <c:v>44992</c:v>
                </c:pt>
                <c:pt idx="294">
                  <c:v>44991</c:v>
                </c:pt>
                <c:pt idx="295">
                  <c:v>44988</c:v>
                </c:pt>
                <c:pt idx="296">
                  <c:v>44987</c:v>
                </c:pt>
                <c:pt idx="297">
                  <c:v>44986</c:v>
                </c:pt>
                <c:pt idx="298">
                  <c:v>44985</c:v>
                </c:pt>
                <c:pt idx="299">
                  <c:v>44984</c:v>
                </c:pt>
                <c:pt idx="300">
                  <c:v>44981</c:v>
                </c:pt>
                <c:pt idx="301">
                  <c:v>44980</c:v>
                </c:pt>
                <c:pt idx="302">
                  <c:v>44979</c:v>
                </c:pt>
                <c:pt idx="303">
                  <c:v>44978</c:v>
                </c:pt>
                <c:pt idx="304">
                  <c:v>44977</c:v>
                </c:pt>
                <c:pt idx="305">
                  <c:v>44974</c:v>
                </c:pt>
                <c:pt idx="306">
                  <c:v>44973</c:v>
                </c:pt>
                <c:pt idx="307">
                  <c:v>44972</c:v>
                </c:pt>
                <c:pt idx="308">
                  <c:v>44971</c:v>
                </c:pt>
                <c:pt idx="309">
                  <c:v>44970</c:v>
                </c:pt>
                <c:pt idx="310">
                  <c:v>44967</c:v>
                </c:pt>
                <c:pt idx="311">
                  <c:v>44966</c:v>
                </c:pt>
                <c:pt idx="312">
                  <c:v>44965</c:v>
                </c:pt>
                <c:pt idx="313">
                  <c:v>44964</c:v>
                </c:pt>
                <c:pt idx="314">
                  <c:v>44963</c:v>
                </c:pt>
                <c:pt idx="315">
                  <c:v>44960</c:v>
                </c:pt>
                <c:pt idx="316">
                  <c:v>44959</c:v>
                </c:pt>
                <c:pt idx="317">
                  <c:v>44958</c:v>
                </c:pt>
                <c:pt idx="318">
                  <c:v>44957</c:v>
                </c:pt>
                <c:pt idx="319">
                  <c:v>44956</c:v>
                </c:pt>
                <c:pt idx="320">
                  <c:v>44953</c:v>
                </c:pt>
                <c:pt idx="321">
                  <c:v>44945</c:v>
                </c:pt>
                <c:pt idx="322">
                  <c:v>44944</c:v>
                </c:pt>
                <c:pt idx="323">
                  <c:v>44943</c:v>
                </c:pt>
                <c:pt idx="324">
                  <c:v>44942</c:v>
                </c:pt>
                <c:pt idx="325">
                  <c:v>44939</c:v>
                </c:pt>
                <c:pt idx="326">
                  <c:v>44938</c:v>
                </c:pt>
                <c:pt idx="327">
                  <c:v>44937</c:v>
                </c:pt>
                <c:pt idx="328">
                  <c:v>44936</c:v>
                </c:pt>
                <c:pt idx="329">
                  <c:v>44935</c:v>
                </c:pt>
                <c:pt idx="330">
                  <c:v>44932</c:v>
                </c:pt>
                <c:pt idx="331">
                  <c:v>44931</c:v>
                </c:pt>
                <c:pt idx="332">
                  <c:v>44930</c:v>
                </c:pt>
                <c:pt idx="333">
                  <c:v>44929</c:v>
                </c:pt>
                <c:pt idx="334">
                  <c:v>44925</c:v>
                </c:pt>
                <c:pt idx="335">
                  <c:v>44924</c:v>
                </c:pt>
                <c:pt idx="336">
                  <c:v>44923</c:v>
                </c:pt>
                <c:pt idx="337">
                  <c:v>44922</c:v>
                </c:pt>
                <c:pt idx="338">
                  <c:v>44921</c:v>
                </c:pt>
                <c:pt idx="339">
                  <c:v>44918</c:v>
                </c:pt>
                <c:pt idx="340">
                  <c:v>44917</c:v>
                </c:pt>
                <c:pt idx="341">
                  <c:v>44916</c:v>
                </c:pt>
                <c:pt idx="342">
                  <c:v>44915</c:v>
                </c:pt>
                <c:pt idx="343">
                  <c:v>44914</c:v>
                </c:pt>
                <c:pt idx="344">
                  <c:v>44911</c:v>
                </c:pt>
                <c:pt idx="345">
                  <c:v>44910</c:v>
                </c:pt>
                <c:pt idx="346">
                  <c:v>44909</c:v>
                </c:pt>
                <c:pt idx="347">
                  <c:v>44908</c:v>
                </c:pt>
                <c:pt idx="348">
                  <c:v>44907</c:v>
                </c:pt>
                <c:pt idx="349">
                  <c:v>44904</c:v>
                </c:pt>
                <c:pt idx="350">
                  <c:v>44903</c:v>
                </c:pt>
                <c:pt idx="351">
                  <c:v>44902</c:v>
                </c:pt>
                <c:pt idx="352">
                  <c:v>44901</c:v>
                </c:pt>
                <c:pt idx="353">
                  <c:v>44900</c:v>
                </c:pt>
                <c:pt idx="354">
                  <c:v>44897</c:v>
                </c:pt>
                <c:pt idx="355">
                  <c:v>44896</c:v>
                </c:pt>
                <c:pt idx="356">
                  <c:v>44895</c:v>
                </c:pt>
                <c:pt idx="357">
                  <c:v>44894</c:v>
                </c:pt>
                <c:pt idx="358">
                  <c:v>44893</c:v>
                </c:pt>
                <c:pt idx="359">
                  <c:v>44890</c:v>
                </c:pt>
                <c:pt idx="360">
                  <c:v>44889</c:v>
                </c:pt>
                <c:pt idx="361">
                  <c:v>44888</c:v>
                </c:pt>
                <c:pt idx="362">
                  <c:v>44887</c:v>
                </c:pt>
                <c:pt idx="363">
                  <c:v>44886</c:v>
                </c:pt>
                <c:pt idx="364">
                  <c:v>44883</c:v>
                </c:pt>
                <c:pt idx="365">
                  <c:v>44882</c:v>
                </c:pt>
                <c:pt idx="366">
                  <c:v>44881</c:v>
                </c:pt>
                <c:pt idx="367">
                  <c:v>44880</c:v>
                </c:pt>
                <c:pt idx="368">
                  <c:v>44879</c:v>
                </c:pt>
                <c:pt idx="369">
                  <c:v>44876</c:v>
                </c:pt>
                <c:pt idx="370">
                  <c:v>44875</c:v>
                </c:pt>
                <c:pt idx="371">
                  <c:v>44874</c:v>
                </c:pt>
                <c:pt idx="372">
                  <c:v>44873</c:v>
                </c:pt>
                <c:pt idx="373">
                  <c:v>44872</c:v>
                </c:pt>
                <c:pt idx="374">
                  <c:v>44869</c:v>
                </c:pt>
                <c:pt idx="375">
                  <c:v>44868</c:v>
                </c:pt>
                <c:pt idx="376">
                  <c:v>44867</c:v>
                </c:pt>
                <c:pt idx="377">
                  <c:v>44866</c:v>
                </c:pt>
                <c:pt idx="378">
                  <c:v>44865</c:v>
                </c:pt>
                <c:pt idx="379">
                  <c:v>44862</c:v>
                </c:pt>
                <c:pt idx="380">
                  <c:v>44861</c:v>
                </c:pt>
                <c:pt idx="381">
                  <c:v>44860</c:v>
                </c:pt>
                <c:pt idx="382">
                  <c:v>44859</c:v>
                </c:pt>
                <c:pt idx="383">
                  <c:v>44858</c:v>
                </c:pt>
                <c:pt idx="384">
                  <c:v>44855</c:v>
                </c:pt>
                <c:pt idx="385">
                  <c:v>44854</c:v>
                </c:pt>
                <c:pt idx="386">
                  <c:v>44853</c:v>
                </c:pt>
                <c:pt idx="387">
                  <c:v>44852</c:v>
                </c:pt>
                <c:pt idx="388">
                  <c:v>44851</c:v>
                </c:pt>
                <c:pt idx="389">
                  <c:v>44848</c:v>
                </c:pt>
                <c:pt idx="390">
                  <c:v>44847</c:v>
                </c:pt>
                <c:pt idx="391">
                  <c:v>44846</c:v>
                </c:pt>
                <c:pt idx="392">
                  <c:v>44845</c:v>
                </c:pt>
                <c:pt idx="393">
                  <c:v>44844</c:v>
                </c:pt>
                <c:pt idx="394">
                  <c:v>44841</c:v>
                </c:pt>
                <c:pt idx="395">
                  <c:v>44840</c:v>
                </c:pt>
                <c:pt idx="396">
                  <c:v>44839</c:v>
                </c:pt>
                <c:pt idx="397">
                  <c:v>44838</c:v>
                </c:pt>
                <c:pt idx="398">
                  <c:v>44837</c:v>
                </c:pt>
                <c:pt idx="399">
                  <c:v>44834</c:v>
                </c:pt>
                <c:pt idx="400">
                  <c:v>44833</c:v>
                </c:pt>
                <c:pt idx="401">
                  <c:v>44832</c:v>
                </c:pt>
                <c:pt idx="402">
                  <c:v>44831</c:v>
                </c:pt>
                <c:pt idx="403">
                  <c:v>44830</c:v>
                </c:pt>
                <c:pt idx="404">
                  <c:v>44827</c:v>
                </c:pt>
                <c:pt idx="405">
                  <c:v>44826</c:v>
                </c:pt>
                <c:pt idx="406">
                  <c:v>44825</c:v>
                </c:pt>
                <c:pt idx="407">
                  <c:v>44824</c:v>
                </c:pt>
                <c:pt idx="408">
                  <c:v>44823</c:v>
                </c:pt>
                <c:pt idx="409">
                  <c:v>44820</c:v>
                </c:pt>
                <c:pt idx="410">
                  <c:v>44819</c:v>
                </c:pt>
                <c:pt idx="411">
                  <c:v>44818</c:v>
                </c:pt>
                <c:pt idx="412">
                  <c:v>44817</c:v>
                </c:pt>
                <c:pt idx="413">
                  <c:v>44816</c:v>
                </c:pt>
                <c:pt idx="414">
                  <c:v>44813</c:v>
                </c:pt>
                <c:pt idx="415">
                  <c:v>44812</c:v>
                </c:pt>
                <c:pt idx="416">
                  <c:v>44811</c:v>
                </c:pt>
                <c:pt idx="417">
                  <c:v>44810</c:v>
                </c:pt>
                <c:pt idx="418">
                  <c:v>44809</c:v>
                </c:pt>
                <c:pt idx="419">
                  <c:v>44804</c:v>
                </c:pt>
                <c:pt idx="420">
                  <c:v>44803</c:v>
                </c:pt>
                <c:pt idx="421">
                  <c:v>44802</c:v>
                </c:pt>
                <c:pt idx="422">
                  <c:v>44799</c:v>
                </c:pt>
                <c:pt idx="423">
                  <c:v>44798</c:v>
                </c:pt>
                <c:pt idx="424">
                  <c:v>44797</c:v>
                </c:pt>
                <c:pt idx="425">
                  <c:v>44796</c:v>
                </c:pt>
                <c:pt idx="426">
                  <c:v>44795</c:v>
                </c:pt>
                <c:pt idx="427">
                  <c:v>44792</c:v>
                </c:pt>
                <c:pt idx="428">
                  <c:v>44791</c:v>
                </c:pt>
                <c:pt idx="429">
                  <c:v>44790</c:v>
                </c:pt>
                <c:pt idx="430">
                  <c:v>44789</c:v>
                </c:pt>
                <c:pt idx="431">
                  <c:v>44788</c:v>
                </c:pt>
                <c:pt idx="432">
                  <c:v>44785</c:v>
                </c:pt>
                <c:pt idx="433">
                  <c:v>44784</c:v>
                </c:pt>
                <c:pt idx="434">
                  <c:v>44783</c:v>
                </c:pt>
                <c:pt idx="435">
                  <c:v>44782</c:v>
                </c:pt>
                <c:pt idx="436">
                  <c:v>44781</c:v>
                </c:pt>
                <c:pt idx="437">
                  <c:v>44778</c:v>
                </c:pt>
                <c:pt idx="438">
                  <c:v>44777</c:v>
                </c:pt>
                <c:pt idx="439">
                  <c:v>44776</c:v>
                </c:pt>
                <c:pt idx="440">
                  <c:v>44775</c:v>
                </c:pt>
                <c:pt idx="441">
                  <c:v>44774</c:v>
                </c:pt>
                <c:pt idx="442">
                  <c:v>44771</c:v>
                </c:pt>
                <c:pt idx="443">
                  <c:v>44770</c:v>
                </c:pt>
                <c:pt idx="444">
                  <c:v>44769</c:v>
                </c:pt>
                <c:pt idx="445">
                  <c:v>44768</c:v>
                </c:pt>
                <c:pt idx="446">
                  <c:v>44767</c:v>
                </c:pt>
                <c:pt idx="447">
                  <c:v>44764</c:v>
                </c:pt>
                <c:pt idx="448">
                  <c:v>44763</c:v>
                </c:pt>
                <c:pt idx="449">
                  <c:v>44762</c:v>
                </c:pt>
                <c:pt idx="450">
                  <c:v>44761</c:v>
                </c:pt>
                <c:pt idx="451">
                  <c:v>44760</c:v>
                </c:pt>
                <c:pt idx="452">
                  <c:v>44757</c:v>
                </c:pt>
                <c:pt idx="453">
                  <c:v>44756</c:v>
                </c:pt>
                <c:pt idx="454">
                  <c:v>44755</c:v>
                </c:pt>
                <c:pt idx="455">
                  <c:v>44754</c:v>
                </c:pt>
                <c:pt idx="456">
                  <c:v>44753</c:v>
                </c:pt>
                <c:pt idx="457">
                  <c:v>44750</c:v>
                </c:pt>
                <c:pt idx="458">
                  <c:v>44749</c:v>
                </c:pt>
                <c:pt idx="459">
                  <c:v>44748</c:v>
                </c:pt>
                <c:pt idx="460">
                  <c:v>44747</c:v>
                </c:pt>
                <c:pt idx="461">
                  <c:v>44746</c:v>
                </c:pt>
                <c:pt idx="462">
                  <c:v>44743</c:v>
                </c:pt>
                <c:pt idx="463">
                  <c:v>44742</c:v>
                </c:pt>
                <c:pt idx="464">
                  <c:v>44741</c:v>
                </c:pt>
                <c:pt idx="465">
                  <c:v>44740</c:v>
                </c:pt>
                <c:pt idx="466">
                  <c:v>44739</c:v>
                </c:pt>
                <c:pt idx="467">
                  <c:v>44736</c:v>
                </c:pt>
                <c:pt idx="468">
                  <c:v>44735</c:v>
                </c:pt>
                <c:pt idx="469">
                  <c:v>44734</c:v>
                </c:pt>
                <c:pt idx="470">
                  <c:v>44733</c:v>
                </c:pt>
                <c:pt idx="471">
                  <c:v>44732</c:v>
                </c:pt>
                <c:pt idx="472">
                  <c:v>44729</c:v>
                </c:pt>
                <c:pt idx="473">
                  <c:v>44728</c:v>
                </c:pt>
                <c:pt idx="474">
                  <c:v>44727</c:v>
                </c:pt>
                <c:pt idx="475">
                  <c:v>44726</c:v>
                </c:pt>
                <c:pt idx="476">
                  <c:v>44725</c:v>
                </c:pt>
                <c:pt idx="477">
                  <c:v>44722</c:v>
                </c:pt>
                <c:pt idx="478">
                  <c:v>44721</c:v>
                </c:pt>
                <c:pt idx="479">
                  <c:v>44720</c:v>
                </c:pt>
                <c:pt idx="480">
                  <c:v>44719</c:v>
                </c:pt>
                <c:pt idx="481">
                  <c:v>44718</c:v>
                </c:pt>
                <c:pt idx="482">
                  <c:v>44715</c:v>
                </c:pt>
                <c:pt idx="483">
                  <c:v>44714</c:v>
                </c:pt>
                <c:pt idx="484">
                  <c:v>44713</c:v>
                </c:pt>
                <c:pt idx="485">
                  <c:v>44712</c:v>
                </c:pt>
                <c:pt idx="486">
                  <c:v>44711</c:v>
                </c:pt>
                <c:pt idx="487">
                  <c:v>44708</c:v>
                </c:pt>
                <c:pt idx="488">
                  <c:v>44707</c:v>
                </c:pt>
                <c:pt idx="489">
                  <c:v>44706</c:v>
                </c:pt>
                <c:pt idx="490">
                  <c:v>44705</c:v>
                </c:pt>
                <c:pt idx="491">
                  <c:v>44704</c:v>
                </c:pt>
                <c:pt idx="492">
                  <c:v>44701</c:v>
                </c:pt>
                <c:pt idx="493">
                  <c:v>44700</c:v>
                </c:pt>
                <c:pt idx="494">
                  <c:v>44699</c:v>
                </c:pt>
                <c:pt idx="495">
                  <c:v>44698</c:v>
                </c:pt>
                <c:pt idx="496">
                  <c:v>44697</c:v>
                </c:pt>
                <c:pt idx="497">
                  <c:v>44694</c:v>
                </c:pt>
                <c:pt idx="498">
                  <c:v>44693</c:v>
                </c:pt>
                <c:pt idx="499">
                  <c:v>44692</c:v>
                </c:pt>
                <c:pt idx="500">
                  <c:v>44691</c:v>
                </c:pt>
                <c:pt idx="501">
                  <c:v>44690</c:v>
                </c:pt>
                <c:pt idx="502">
                  <c:v>44687</c:v>
                </c:pt>
                <c:pt idx="503">
                  <c:v>44686</c:v>
                </c:pt>
                <c:pt idx="504">
                  <c:v>44685</c:v>
                </c:pt>
                <c:pt idx="505">
                  <c:v>44680</c:v>
                </c:pt>
                <c:pt idx="506">
                  <c:v>44679</c:v>
                </c:pt>
                <c:pt idx="507">
                  <c:v>44678</c:v>
                </c:pt>
                <c:pt idx="508">
                  <c:v>44677</c:v>
                </c:pt>
                <c:pt idx="509">
                  <c:v>44676</c:v>
                </c:pt>
                <c:pt idx="510">
                  <c:v>44673</c:v>
                </c:pt>
                <c:pt idx="511">
                  <c:v>44672</c:v>
                </c:pt>
                <c:pt idx="512">
                  <c:v>44671</c:v>
                </c:pt>
                <c:pt idx="513">
                  <c:v>44670</c:v>
                </c:pt>
                <c:pt idx="514">
                  <c:v>44669</c:v>
                </c:pt>
                <c:pt idx="515">
                  <c:v>44666</c:v>
                </c:pt>
                <c:pt idx="516">
                  <c:v>44665</c:v>
                </c:pt>
                <c:pt idx="517">
                  <c:v>44664</c:v>
                </c:pt>
                <c:pt idx="518">
                  <c:v>44663</c:v>
                </c:pt>
                <c:pt idx="519">
                  <c:v>44659</c:v>
                </c:pt>
                <c:pt idx="520">
                  <c:v>44658</c:v>
                </c:pt>
                <c:pt idx="521">
                  <c:v>44657</c:v>
                </c:pt>
                <c:pt idx="522">
                  <c:v>44656</c:v>
                </c:pt>
                <c:pt idx="523">
                  <c:v>44655</c:v>
                </c:pt>
                <c:pt idx="524">
                  <c:v>44652</c:v>
                </c:pt>
                <c:pt idx="525">
                  <c:v>44651</c:v>
                </c:pt>
                <c:pt idx="526">
                  <c:v>44650</c:v>
                </c:pt>
                <c:pt idx="527">
                  <c:v>44649</c:v>
                </c:pt>
                <c:pt idx="528">
                  <c:v>44648</c:v>
                </c:pt>
                <c:pt idx="529">
                  <c:v>44645</c:v>
                </c:pt>
                <c:pt idx="530">
                  <c:v>44644</c:v>
                </c:pt>
                <c:pt idx="531">
                  <c:v>44643</c:v>
                </c:pt>
                <c:pt idx="532">
                  <c:v>44642</c:v>
                </c:pt>
                <c:pt idx="533">
                  <c:v>44641</c:v>
                </c:pt>
                <c:pt idx="534">
                  <c:v>44638</c:v>
                </c:pt>
                <c:pt idx="535">
                  <c:v>44637</c:v>
                </c:pt>
                <c:pt idx="536">
                  <c:v>44636</c:v>
                </c:pt>
                <c:pt idx="537">
                  <c:v>44635</c:v>
                </c:pt>
                <c:pt idx="538">
                  <c:v>44634</c:v>
                </c:pt>
                <c:pt idx="539">
                  <c:v>44631</c:v>
                </c:pt>
                <c:pt idx="540">
                  <c:v>44630</c:v>
                </c:pt>
                <c:pt idx="541">
                  <c:v>44629</c:v>
                </c:pt>
                <c:pt idx="542">
                  <c:v>44628</c:v>
                </c:pt>
                <c:pt idx="543">
                  <c:v>44627</c:v>
                </c:pt>
                <c:pt idx="544">
                  <c:v>44624</c:v>
                </c:pt>
                <c:pt idx="545">
                  <c:v>44623</c:v>
                </c:pt>
                <c:pt idx="546">
                  <c:v>44622</c:v>
                </c:pt>
                <c:pt idx="547">
                  <c:v>44621</c:v>
                </c:pt>
                <c:pt idx="548">
                  <c:v>44620</c:v>
                </c:pt>
                <c:pt idx="549">
                  <c:v>44617</c:v>
                </c:pt>
                <c:pt idx="550">
                  <c:v>44616</c:v>
                </c:pt>
                <c:pt idx="551">
                  <c:v>44615</c:v>
                </c:pt>
                <c:pt idx="552">
                  <c:v>44614</c:v>
                </c:pt>
                <c:pt idx="553">
                  <c:v>44613</c:v>
                </c:pt>
                <c:pt idx="554">
                  <c:v>44610</c:v>
                </c:pt>
                <c:pt idx="555">
                  <c:v>44609</c:v>
                </c:pt>
                <c:pt idx="556">
                  <c:v>44608</c:v>
                </c:pt>
                <c:pt idx="557">
                  <c:v>44607</c:v>
                </c:pt>
                <c:pt idx="558">
                  <c:v>44606</c:v>
                </c:pt>
                <c:pt idx="559">
                  <c:v>44603</c:v>
                </c:pt>
                <c:pt idx="560">
                  <c:v>44602</c:v>
                </c:pt>
                <c:pt idx="561">
                  <c:v>44601</c:v>
                </c:pt>
                <c:pt idx="562">
                  <c:v>44600</c:v>
                </c:pt>
                <c:pt idx="563">
                  <c:v>44599</c:v>
                </c:pt>
                <c:pt idx="564">
                  <c:v>44589</c:v>
                </c:pt>
                <c:pt idx="565">
                  <c:v>44588</c:v>
                </c:pt>
                <c:pt idx="566">
                  <c:v>44587</c:v>
                </c:pt>
                <c:pt idx="567">
                  <c:v>44586</c:v>
                </c:pt>
                <c:pt idx="568">
                  <c:v>44585</c:v>
                </c:pt>
                <c:pt idx="569">
                  <c:v>44582</c:v>
                </c:pt>
                <c:pt idx="570">
                  <c:v>44581</c:v>
                </c:pt>
                <c:pt idx="571">
                  <c:v>44580</c:v>
                </c:pt>
                <c:pt idx="572">
                  <c:v>44579</c:v>
                </c:pt>
                <c:pt idx="573">
                  <c:v>44578</c:v>
                </c:pt>
                <c:pt idx="574">
                  <c:v>44575</c:v>
                </c:pt>
                <c:pt idx="575">
                  <c:v>44574</c:v>
                </c:pt>
                <c:pt idx="576">
                  <c:v>44573</c:v>
                </c:pt>
                <c:pt idx="577">
                  <c:v>44572</c:v>
                </c:pt>
                <c:pt idx="578">
                  <c:v>44571</c:v>
                </c:pt>
                <c:pt idx="579">
                  <c:v>44568</c:v>
                </c:pt>
                <c:pt idx="580">
                  <c:v>44567</c:v>
                </c:pt>
                <c:pt idx="581">
                  <c:v>44566</c:v>
                </c:pt>
                <c:pt idx="582">
                  <c:v>44565</c:v>
                </c:pt>
              </c:numCache>
            </c:numRef>
          </c:cat>
          <c:val>
            <c:numRef>
              <c:f>Diamond!$S$3:$S$585</c:f>
              <c:numCache>
                <c:formatCode>0%</c:formatCode>
                <c:ptCount val="583"/>
                <c:pt idx="0">
                  <c:v>0.47475566435075001</c:v>
                </c:pt>
                <c:pt idx="3">
                  <c:v>0.46769696313795001</c:v>
                </c:pt>
                <c:pt idx="4">
                  <c:v>0.46456073105920997</c:v>
                </c:pt>
                <c:pt idx="8">
                  <c:v>0.46099999379790002</c:v>
                </c:pt>
                <c:pt idx="9">
                  <c:v>0.46104263490275998</c:v>
                </c:pt>
                <c:pt idx="10">
                  <c:v>0.46249889628556001</c:v>
                </c:pt>
                <c:pt idx="11">
                  <c:v>0.45966480035205998</c:v>
                </c:pt>
                <c:pt idx="12">
                  <c:v>0.45797011710823998</c:v>
                </c:pt>
                <c:pt idx="13">
                  <c:v>0.45881333812337999</c:v>
                </c:pt>
                <c:pt idx="14">
                  <c:v>0.45780579851728997</c:v>
                </c:pt>
                <c:pt idx="15">
                  <c:v>0.45667929432873999</c:v>
                </c:pt>
                <c:pt idx="16">
                  <c:v>0.45574313757223001</c:v>
                </c:pt>
                <c:pt idx="17">
                  <c:v>0.45648559847661002</c:v>
                </c:pt>
                <c:pt idx="18">
                  <c:v>0.45577460588759999</c:v>
                </c:pt>
                <c:pt idx="19">
                  <c:v>0.45551696204518999</c:v>
                </c:pt>
                <c:pt idx="20">
                  <c:v>0.45156117886461999</c:v>
                </c:pt>
                <c:pt idx="21">
                  <c:v>0.45181207598221002</c:v>
                </c:pt>
                <c:pt idx="22">
                  <c:v>0.45191844162155997</c:v>
                </c:pt>
                <c:pt idx="23">
                  <c:v>0.44959323925719002</c:v>
                </c:pt>
                <c:pt idx="24">
                  <c:v>0.44801568921504997</c:v>
                </c:pt>
                <c:pt idx="25">
                  <c:v>0.44516288176337998</c:v>
                </c:pt>
                <c:pt idx="26">
                  <c:v>0.44516288176337998</c:v>
                </c:pt>
                <c:pt idx="27">
                  <c:v>0.44298191225285999</c:v>
                </c:pt>
                <c:pt idx="28">
                  <c:v>0.44417822075009</c:v>
                </c:pt>
                <c:pt idx="29">
                  <c:v>0.44417822075009</c:v>
                </c:pt>
                <c:pt idx="30">
                  <c:v>0.44393569946618999</c:v>
                </c:pt>
                <c:pt idx="31">
                  <c:v>0.44362332330562998</c:v>
                </c:pt>
                <c:pt idx="32">
                  <c:v>0.44385772637917997</c:v>
                </c:pt>
                <c:pt idx="33">
                  <c:v>0.44227208546072999</c:v>
                </c:pt>
                <c:pt idx="34">
                  <c:v>0.44313324444065999</c:v>
                </c:pt>
                <c:pt idx="35">
                  <c:v>0.44400075858525001</c:v>
                </c:pt>
                <c:pt idx="36">
                  <c:v>0.44400075858525001</c:v>
                </c:pt>
                <c:pt idx="37">
                  <c:v>0.44828873510653</c:v>
                </c:pt>
                <c:pt idx="38">
                  <c:v>0.44828873510653</c:v>
                </c:pt>
                <c:pt idx="39">
                  <c:v>0.45015701684842002</c:v>
                </c:pt>
                <c:pt idx="40">
                  <c:v>0.44899183499103001</c:v>
                </c:pt>
                <c:pt idx="41">
                  <c:v>0.44899183499103001</c:v>
                </c:pt>
                <c:pt idx="42">
                  <c:v>0.44879289920312998</c:v>
                </c:pt>
                <c:pt idx="43">
                  <c:v>0.45028461078780002</c:v>
                </c:pt>
                <c:pt idx="44">
                  <c:v>0.44606807041747998</c:v>
                </c:pt>
                <c:pt idx="45">
                  <c:v>0.44446851647187002</c:v>
                </c:pt>
                <c:pt idx="46">
                  <c:v>0.44446851647187002</c:v>
                </c:pt>
                <c:pt idx="47">
                  <c:v>0.44294518076778999</c:v>
                </c:pt>
                <c:pt idx="48">
                  <c:v>0.44485214564531</c:v>
                </c:pt>
                <c:pt idx="49">
                  <c:v>0.44612641082913002</c:v>
                </c:pt>
                <c:pt idx="50">
                  <c:v>0.44732605271273002</c:v>
                </c:pt>
                <c:pt idx="51">
                  <c:v>0.44732605271273002</c:v>
                </c:pt>
                <c:pt idx="52">
                  <c:v>0.44927006341679998</c:v>
                </c:pt>
                <c:pt idx="53">
                  <c:v>0.45031196874667001</c:v>
                </c:pt>
                <c:pt idx="54">
                  <c:v>0.45094345344223002</c:v>
                </c:pt>
                <c:pt idx="55">
                  <c:v>0.45229416510683002</c:v>
                </c:pt>
                <c:pt idx="56">
                  <c:v>0.45229416510683002</c:v>
                </c:pt>
                <c:pt idx="57">
                  <c:v>0.45292421476521</c:v>
                </c:pt>
                <c:pt idx="58">
                  <c:v>0.45394118188223997</c:v>
                </c:pt>
                <c:pt idx="59">
                  <c:v>0.45394118188223997</c:v>
                </c:pt>
                <c:pt idx="60">
                  <c:v>0.45475935808179002</c:v>
                </c:pt>
                <c:pt idx="61">
                  <c:v>0.45419545680402001</c:v>
                </c:pt>
                <c:pt idx="62">
                  <c:v>0.45419545680402001</c:v>
                </c:pt>
                <c:pt idx="63">
                  <c:v>0.45309315075912998</c:v>
                </c:pt>
                <c:pt idx="64">
                  <c:v>0.45292986471160002</c:v>
                </c:pt>
                <c:pt idx="65">
                  <c:v>0.45317006260198001</c:v>
                </c:pt>
                <c:pt idx="66">
                  <c:v>0.45351643821014997</c:v>
                </c:pt>
                <c:pt idx="67">
                  <c:v>0.4544393406899</c:v>
                </c:pt>
                <c:pt idx="68">
                  <c:v>0.45505719321558002</c:v>
                </c:pt>
                <c:pt idx="69">
                  <c:v>0.45493457885521998</c:v>
                </c:pt>
                <c:pt idx="70">
                  <c:v>0.45492050182381</c:v>
                </c:pt>
                <c:pt idx="71">
                  <c:v>0.45486683826668001</c:v>
                </c:pt>
                <c:pt idx="72">
                  <c:v>0.45510508108971998</c:v>
                </c:pt>
                <c:pt idx="73">
                  <c:v>0.45479536589810998</c:v>
                </c:pt>
                <c:pt idx="74">
                  <c:v>0.45202314740123001</c:v>
                </c:pt>
                <c:pt idx="75">
                  <c:v>0.44776658657728002</c:v>
                </c:pt>
                <c:pt idx="76">
                  <c:v>0.44660099470928</c:v>
                </c:pt>
                <c:pt idx="77">
                  <c:v>0.44587274750652001</c:v>
                </c:pt>
                <c:pt idx="78">
                  <c:v>0.44548647376454997</c:v>
                </c:pt>
                <c:pt idx="79">
                  <c:v>0.44496164854928</c:v>
                </c:pt>
                <c:pt idx="80">
                  <c:v>0.44494627315089003</c:v>
                </c:pt>
                <c:pt idx="81">
                  <c:v>0.44496752536821998</c:v>
                </c:pt>
                <c:pt idx="82">
                  <c:v>0.44476798686469998</c:v>
                </c:pt>
                <c:pt idx="83">
                  <c:v>0.4453586071681</c:v>
                </c:pt>
                <c:pt idx="84">
                  <c:v>0.44472944586606999</c:v>
                </c:pt>
                <c:pt idx="85">
                  <c:v>0.44472944586606999</c:v>
                </c:pt>
                <c:pt idx="86">
                  <c:v>0.4451541485371</c:v>
                </c:pt>
                <c:pt idx="87">
                  <c:v>0.44496370543591002</c:v>
                </c:pt>
                <c:pt idx="89">
                  <c:v>0.44410081211104002</c:v>
                </c:pt>
                <c:pt idx="90">
                  <c:v>0.44454649365898002</c:v>
                </c:pt>
                <c:pt idx="91">
                  <c:v>0.44401798996505998</c:v>
                </c:pt>
                <c:pt idx="92">
                  <c:v>0.44153405267109003</c:v>
                </c:pt>
                <c:pt idx="93">
                  <c:v>0.44153405267109003</c:v>
                </c:pt>
                <c:pt idx="94">
                  <c:v>0.44205859292897998</c:v>
                </c:pt>
                <c:pt idx="95">
                  <c:v>0.44201410814301001</c:v>
                </c:pt>
                <c:pt idx="96">
                  <c:v>0.44243792245768998</c:v>
                </c:pt>
                <c:pt idx="97">
                  <c:v>0.44207116795481</c:v>
                </c:pt>
                <c:pt idx="98">
                  <c:v>0.44177008690357999</c:v>
                </c:pt>
                <c:pt idx="99">
                  <c:v>0.44181188065315002</c:v>
                </c:pt>
                <c:pt idx="100">
                  <c:v>0.44248327304941998</c:v>
                </c:pt>
                <c:pt idx="101">
                  <c:v>0.44247507283694998</c:v>
                </c:pt>
                <c:pt idx="102">
                  <c:v>0.44149766081148001</c:v>
                </c:pt>
                <c:pt idx="103">
                  <c:v>0.44149766081148001</c:v>
                </c:pt>
                <c:pt idx="104">
                  <c:v>0.44139249308651002</c:v>
                </c:pt>
                <c:pt idx="105">
                  <c:v>0.44129962568025</c:v>
                </c:pt>
                <c:pt idx="106">
                  <c:v>0.44347149978842998</c:v>
                </c:pt>
                <c:pt idx="107">
                  <c:v>0.44432063179006998</c:v>
                </c:pt>
                <c:pt idx="108">
                  <c:v>0.44436081283119</c:v>
                </c:pt>
                <c:pt idx="109">
                  <c:v>0.44455030607443002</c:v>
                </c:pt>
                <c:pt idx="110">
                  <c:v>0.44492157206087002</c:v>
                </c:pt>
                <c:pt idx="111">
                  <c:v>0.44533383774298002</c:v>
                </c:pt>
                <c:pt idx="112">
                  <c:v>0.44592292392330002</c:v>
                </c:pt>
                <c:pt idx="113">
                  <c:v>0.44617829220673999</c:v>
                </c:pt>
                <c:pt idx="114">
                  <c:v>0.44770182334921999</c:v>
                </c:pt>
                <c:pt idx="115">
                  <c:v>0.44926430550093999</c:v>
                </c:pt>
                <c:pt idx="116">
                  <c:v>0.45029740926942002</c:v>
                </c:pt>
                <c:pt idx="117">
                  <c:v>0.45316099043357999</c:v>
                </c:pt>
                <c:pt idx="118">
                  <c:v>0.45324941605808</c:v>
                </c:pt>
                <c:pt idx="119">
                  <c:v>0.45225669765269</c:v>
                </c:pt>
                <c:pt idx="120">
                  <c:v>0.45789990073887998</c:v>
                </c:pt>
                <c:pt idx="121">
                  <c:v>0.45789990073887998</c:v>
                </c:pt>
                <c:pt idx="122">
                  <c:v>0.46078882192628001</c:v>
                </c:pt>
                <c:pt idx="123">
                  <c:v>0.46187080442791001</c:v>
                </c:pt>
                <c:pt idx="124">
                  <c:v>0.46142957286193997</c:v>
                </c:pt>
                <c:pt idx="125">
                  <c:v>0.46762032326883002</c:v>
                </c:pt>
                <c:pt idx="126">
                  <c:v>0.47125102337626001</c:v>
                </c:pt>
                <c:pt idx="127">
                  <c:v>0.47193007887109001</c:v>
                </c:pt>
                <c:pt idx="128">
                  <c:v>0.47073211666434001</c:v>
                </c:pt>
                <c:pt idx="129">
                  <c:v>0.47040434392150998</c:v>
                </c:pt>
                <c:pt idx="130">
                  <c:v>0.47069613481535999</c:v>
                </c:pt>
                <c:pt idx="131">
                  <c:v>0.47066995017023</c:v>
                </c:pt>
                <c:pt idx="132">
                  <c:v>0.47169629286351999</c:v>
                </c:pt>
                <c:pt idx="133">
                  <c:v>0.47457440343747997</c:v>
                </c:pt>
                <c:pt idx="134">
                  <c:v>0.47464253353611002</c:v>
                </c:pt>
                <c:pt idx="135">
                  <c:v>0.47580523482921999</c:v>
                </c:pt>
                <c:pt idx="136">
                  <c:v>0.47596570888722001</c:v>
                </c:pt>
                <c:pt idx="137">
                  <c:v>0.47592613602853001</c:v>
                </c:pt>
                <c:pt idx="138">
                  <c:v>0.47711153140966001</c:v>
                </c:pt>
                <c:pt idx="139">
                  <c:v>0.47902313760743997</c:v>
                </c:pt>
                <c:pt idx="140">
                  <c:v>0.48232276643658001</c:v>
                </c:pt>
                <c:pt idx="141">
                  <c:v>0.48163168533015999</c:v>
                </c:pt>
                <c:pt idx="142">
                  <c:v>0.48144683887397999</c:v>
                </c:pt>
                <c:pt idx="143">
                  <c:v>0.48158784016076001</c:v>
                </c:pt>
                <c:pt idx="144">
                  <c:v>0.48173346226726999</c:v>
                </c:pt>
                <c:pt idx="145">
                  <c:v>0.48249222314398998</c:v>
                </c:pt>
                <c:pt idx="146">
                  <c:v>0.48302721867277998</c:v>
                </c:pt>
                <c:pt idx="147">
                  <c:v>0.48345693030692999</c:v>
                </c:pt>
                <c:pt idx="148">
                  <c:v>0.48338982523485002</c:v>
                </c:pt>
                <c:pt idx="149">
                  <c:v>0.48293293672986998</c:v>
                </c:pt>
                <c:pt idx="150">
                  <c:v>0.48334864513450998</c:v>
                </c:pt>
                <c:pt idx="151">
                  <c:v>0.48260994266085999</c:v>
                </c:pt>
                <c:pt idx="152">
                  <c:v>0.48354965420946999</c:v>
                </c:pt>
                <c:pt idx="153">
                  <c:v>0.48292185960952</c:v>
                </c:pt>
                <c:pt idx="154">
                  <c:v>0.48292131429538998</c:v>
                </c:pt>
                <c:pt idx="155">
                  <c:v>0.48258689596370002</c:v>
                </c:pt>
                <c:pt idx="156">
                  <c:v>0.48363006822638999</c:v>
                </c:pt>
                <c:pt idx="157">
                  <c:v>0.48424824602715999</c:v>
                </c:pt>
                <c:pt idx="158">
                  <c:v>0.48453730351685997</c:v>
                </c:pt>
                <c:pt idx="159">
                  <c:v>0.48418742505125001</c:v>
                </c:pt>
                <c:pt idx="160">
                  <c:v>0.48506052217383999</c:v>
                </c:pt>
                <c:pt idx="161">
                  <c:v>0.48671420298857998</c:v>
                </c:pt>
                <c:pt idx="162">
                  <c:v>0.4865015441451</c:v>
                </c:pt>
                <c:pt idx="163">
                  <c:v>0.48643594107860999</c:v>
                </c:pt>
                <c:pt idx="164">
                  <c:v>0.48716456480779002</c:v>
                </c:pt>
                <c:pt idx="165">
                  <c:v>0.48611650931856998</c:v>
                </c:pt>
                <c:pt idx="166">
                  <c:v>0.48512738602298999</c:v>
                </c:pt>
                <c:pt idx="167">
                  <c:v>0.48462877688700001</c:v>
                </c:pt>
                <c:pt idx="168">
                  <c:v>0.48469867686481999</c:v>
                </c:pt>
                <c:pt idx="169">
                  <c:v>0.48421940792995</c:v>
                </c:pt>
                <c:pt idx="170">
                  <c:v>0.48435591413359003</c:v>
                </c:pt>
                <c:pt idx="171">
                  <c:v>0.48554579913105</c:v>
                </c:pt>
                <c:pt idx="172">
                  <c:v>0.48660724420054002</c:v>
                </c:pt>
                <c:pt idx="173">
                  <c:v>0.48689575090928999</c:v>
                </c:pt>
                <c:pt idx="174">
                  <c:v>0.48755714451315002</c:v>
                </c:pt>
                <c:pt idx="175">
                  <c:v>0.48890967184146</c:v>
                </c:pt>
                <c:pt idx="176">
                  <c:v>0.4892868542812</c:v>
                </c:pt>
                <c:pt idx="177">
                  <c:v>0.48922104757610002</c:v>
                </c:pt>
                <c:pt idx="178">
                  <c:v>0.48994239293335001</c:v>
                </c:pt>
                <c:pt idx="179">
                  <c:v>0.48955784601946001</c:v>
                </c:pt>
                <c:pt idx="180">
                  <c:v>0.48986503759569</c:v>
                </c:pt>
                <c:pt idx="181">
                  <c:v>0.48999999942597999</c:v>
                </c:pt>
                <c:pt idx="182">
                  <c:v>0.48981214622523001</c:v>
                </c:pt>
                <c:pt idx="183">
                  <c:v>0.48999108852842999</c:v>
                </c:pt>
                <c:pt idx="184">
                  <c:v>0.48977357994262</c:v>
                </c:pt>
                <c:pt idx="185">
                  <c:v>0.48952534379397</c:v>
                </c:pt>
                <c:pt idx="186">
                  <c:v>0.48904658258891998</c:v>
                </c:pt>
                <c:pt idx="187">
                  <c:v>0.48827759399719001</c:v>
                </c:pt>
                <c:pt idx="188">
                  <c:v>0.48878990637157999</c:v>
                </c:pt>
                <c:pt idx="189">
                  <c:v>0.48941973599093003</c:v>
                </c:pt>
                <c:pt idx="190">
                  <c:v>0.48991854398208001</c:v>
                </c:pt>
                <c:pt idx="191">
                  <c:v>0.48974522975804002</c:v>
                </c:pt>
                <c:pt idx="192">
                  <c:v>0.48970000831965999</c:v>
                </c:pt>
                <c:pt idx="193">
                  <c:v>0.48999999942597999</c:v>
                </c:pt>
                <c:pt idx="194">
                  <c:v>0.48999999942597999</c:v>
                </c:pt>
                <c:pt idx="195">
                  <c:v>0.48999999942597999</c:v>
                </c:pt>
                <c:pt idx="196">
                  <c:v>0.48921414573060001</c:v>
                </c:pt>
                <c:pt idx="197">
                  <c:v>0.48999999942597999</c:v>
                </c:pt>
                <c:pt idx="198">
                  <c:v>0.48999999942597999</c:v>
                </c:pt>
                <c:pt idx="199">
                  <c:v>0.48997826886293</c:v>
                </c:pt>
                <c:pt idx="200">
                  <c:v>0.48999999942597999</c:v>
                </c:pt>
                <c:pt idx="201">
                  <c:v>0.48955397620252</c:v>
                </c:pt>
                <c:pt idx="202">
                  <c:v>0.48999781270265003</c:v>
                </c:pt>
                <c:pt idx="203">
                  <c:v>0.48999999942597999</c:v>
                </c:pt>
                <c:pt idx="204">
                  <c:v>0.48999288984176997</c:v>
                </c:pt>
                <c:pt idx="205">
                  <c:v>0.48907768052801998</c:v>
                </c:pt>
                <c:pt idx="206">
                  <c:v>0.48999997892545</c:v>
                </c:pt>
                <c:pt idx="207">
                  <c:v>0.48999999942597999</c:v>
                </c:pt>
                <c:pt idx="208">
                  <c:v>0.48971299198940998</c:v>
                </c:pt>
                <c:pt idx="209">
                  <c:v>0.48985443540431001</c:v>
                </c:pt>
                <c:pt idx="210">
                  <c:v>0.48999999942597999</c:v>
                </c:pt>
                <c:pt idx="211">
                  <c:v>0.48999999942597999</c:v>
                </c:pt>
                <c:pt idx="212">
                  <c:v>0.48999999942597999</c:v>
                </c:pt>
                <c:pt idx="213">
                  <c:v>0.48999999942597999</c:v>
                </c:pt>
                <c:pt idx="214">
                  <c:v>0.48999999942597999</c:v>
                </c:pt>
                <c:pt idx="215">
                  <c:v>0.48999999942597999</c:v>
                </c:pt>
                <c:pt idx="216">
                  <c:v>0.48999999942597999</c:v>
                </c:pt>
                <c:pt idx="217">
                  <c:v>0.48999999942597999</c:v>
                </c:pt>
                <c:pt idx="218">
                  <c:v>0.48999999942597999</c:v>
                </c:pt>
                <c:pt idx="219">
                  <c:v>0.48999999942597999</c:v>
                </c:pt>
                <c:pt idx="220">
                  <c:v>0.48999999942597999</c:v>
                </c:pt>
                <c:pt idx="221">
                  <c:v>0.48999999942597999</c:v>
                </c:pt>
                <c:pt idx="222">
                  <c:v>0.48999999942597999</c:v>
                </c:pt>
                <c:pt idx="223">
                  <c:v>0.48999999942597999</c:v>
                </c:pt>
                <c:pt idx="224">
                  <c:v>0.48999999942597999</c:v>
                </c:pt>
                <c:pt idx="225">
                  <c:v>0.48999999942597999</c:v>
                </c:pt>
                <c:pt idx="226">
                  <c:v>0.48999999942597999</c:v>
                </c:pt>
                <c:pt idx="227">
                  <c:v>0.48999999942597999</c:v>
                </c:pt>
                <c:pt idx="228">
                  <c:v>0.48999999942597999</c:v>
                </c:pt>
                <c:pt idx="229">
                  <c:v>0.48999999942597999</c:v>
                </c:pt>
                <c:pt idx="230">
                  <c:v>0.48999999942597999</c:v>
                </c:pt>
                <c:pt idx="231">
                  <c:v>0.48999999942597999</c:v>
                </c:pt>
                <c:pt idx="232">
                  <c:v>0.48999999942597999</c:v>
                </c:pt>
                <c:pt idx="233">
                  <c:v>0.48999999942597999</c:v>
                </c:pt>
                <c:pt idx="234">
                  <c:v>0.48999999942597999</c:v>
                </c:pt>
                <c:pt idx="235">
                  <c:v>0.48999999942597999</c:v>
                </c:pt>
                <c:pt idx="236">
                  <c:v>0.48999999942597999</c:v>
                </c:pt>
                <c:pt idx="237">
                  <c:v>0.48999999942597999</c:v>
                </c:pt>
                <c:pt idx="238">
                  <c:v>0.48999999942597999</c:v>
                </c:pt>
                <c:pt idx="239">
                  <c:v>0.48999999942597999</c:v>
                </c:pt>
                <c:pt idx="240">
                  <c:v>0.48999999942597999</c:v>
                </c:pt>
                <c:pt idx="241">
                  <c:v>0.48999999942597999</c:v>
                </c:pt>
                <c:pt idx="242">
                  <c:v>0.48999999942597999</c:v>
                </c:pt>
                <c:pt idx="243">
                  <c:v>0.48999999986337001</c:v>
                </c:pt>
                <c:pt idx="244">
                  <c:v>0.48999999986337001</c:v>
                </c:pt>
                <c:pt idx="245">
                  <c:v>0.48999999986337001</c:v>
                </c:pt>
                <c:pt idx="246">
                  <c:v>0.48999842869555998</c:v>
                </c:pt>
                <c:pt idx="247">
                  <c:v>0.48999999986337001</c:v>
                </c:pt>
                <c:pt idx="248">
                  <c:v>0.48999999986337001</c:v>
                </c:pt>
                <c:pt idx="249">
                  <c:v>0.48999999986337001</c:v>
                </c:pt>
                <c:pt idx="250">
                  <c:v>0.48980725172910999</c:v>
                </c:pt>
                <c:pt idx="251">
                  <c:v>0.48999999986337001</c:v>
                </c:pt>
                <c:pt idx="252">
                  <c:v>0.48999999986337001</c:v>
                </c:pt>
                <c:pt idx="253">
                  <c:v>0.48999999986337001</c:v>
                </c:pt>
                <c:pt idx="254">
                  <c:v>0.48999965830515002</c:v>
                </c:pt>
                <c:pt idx="255">
                  <c:v>0.48999999986337001</c:v>
                </c:pt>
                <c:pt idx="256">
                  <c:v>0.48999999986337001</c:v>
                </c:pt>
                <c:pt idx="257">
                  <c:v>0.48999999986337001</c:v>
                </c:pt>
                <c:pt idx="258">
                  <c:v>0.48999999986337001</c:v>
                </c:pt>
                <c:pt idx="259">
                  <c:v>0.48999999986337001</c:v>
                </c:pt>
                <c:pt idx="260">
                  <c:v>0.48999999986337001</c:v>
                </c:pt>
                <c:pt idx="261">
                  <c:v>0.48999999986337001</c:v>
                </c:pt>
                <c:pt idx="262">
                  <c:v>0.48999999986337001</c:v>
                </c:pt>
                <c:pt idx="263">
                  <c:v>0.48999999986337001</c:v>
                </c:pt>
                <c:pt idx="264">
                  <c:v>0.48999999986337001</c:v>
                </c:pt>
                <c:pt idx="265">
                  <c:v>0.48999999986337001</c:v>
                </c:pt>
                <c:pt idx="266">
                  <c:v>0.48999999986337001</c:v>
                </c:pt>
                <c:pt idx="267">
                  <c:v>0.48999995067898999</c:v>
                </c:pt>
                <c:pt idx="268">
                  <c:v>0.48999999986337001</c:v>
                </c:pt>
                <c:pt idx="269">
                  <c:v>0.48999999986337001</c:v>
                </c:pt>
                <c:pt idx="270">
                  <c:v>0.48999999986337001</c:v>
                </c:pt>
                <c:pt idx="271">
                  <c:v>0.48999999986337001</c:v>
                </c:pt>
                <c:pt idx="272">
                  <c:v>0.48999993155172999</c:v>
                </c:pt>
                <c:pt idx="273">
                  <c:v>0.48999999986337001</c:v>
                </c:pt>
                <c:pt idx="274">
                  <c:v>0.48999999986337001</c:v>
                </c:pt>
                <c:pt idx="275">
                  <c:v>0.48998602398416002</c:v>
                </c:pt>
                <c:pt idx="276">
                  <c:v>0.48999996297507997</c:v>
                </c:pt>
                <c:pt idx="277">
                  <c:v>0.48999931674692998</c:v>
                </c:pt>
                <c:pt idx="278">
                  <c:v>0.48999993155172999</c:v>
                </c:pt>
                <c:pt idx="279">
                  <c:v>0.48999999986337001</c:v>
                </c:pt>
                <c:pt idx="280">
                  <c:v>0.48999658428117998</c:v>
                </c:pt>
                <c:pt idx="281">
                  <c:v>0.48999999986337001</c:v>
                </c:pt>
                <c:pt idx="282">
                  <c:v>0.48999999986337001</c:v>
                </c:pt>
                <c:pt idx="283">
                  <c:v>0.48999999986337001</c:v>
                </c:pt>
                <c:pt idx="284">
                  <c:v>0.48999999986337001</c:v>
                </c:pt>
                <c:pt idx="285">
                  <c:v>0.48999986324007999</c:v>
                </c:pt>
                <c:pt idx="286">
                  <c:v>0.48999999986337001</c:v>
                </c:pt>
                <c:pt idx="287">
                  <c:v>0.48999999986337001</c:v>
                </c:pt>
                <c:pt idx="288">
                  <c:v>0.48999999986337001</c:v>
                </c:pt>
                <c:pt idx="289">
                  <c:v>0.48999986324007999</c:v>
                </c:pt>
                <c:pt idx="290">
                  <c:v>0.48999999986337001</c:v>
                </c:pt>
                <c:pt idx="291">
                  <c:v>0.48999999986337001</c:v>
                </c:pt>
                <c:pt idx="292">
                  <c:v>0.48999986324007999</c:v>
                </c:pt>
                <c:pt idx="293">
                  <c:v>0.48999863363049001</c:v>
                </c:pt>
                <c:pt idx="294">
                  <c:v>0.48999999986337001</c:v>
                </c:pt>
                <c:pt idx="295">
                  <c:v>0.48999999986337001</c:v>
                </c:pt>
                <c:pt idx="296">
                  <c:v>0.48999999986337001</c:v>
                </c:pt>
                <c:pt idx="297">
                  <c:v>0.48999719908597</c:v>
                </c:pt>
                <c:pt idx="298">
                  <c:v>0.48999999986337001</c:v>
                </c:pt>
                <c:pt idx="299">
                  <c:v>0.48999999986337001</c:v>
                </c:pt>
                <c:pt idx="300">
                  <c:v>0.48999999986337001</c:v>
                </c:pt>
                <c:pt idx="301">
                  <c:v>0.48999998756728003</c:v>
                </c:pt>
                <c:pt idx="302">
                  <c:v>0.48999999986337001</c:v>
                </c:pt>
                <c:pt idx="303">
                  <c:v>0.48999999986337001</c:v>
                </c:pt>
                <c:pt idx="304">
                  <c:v>0.48999999986337001</c:v>
                </c:pt>
                <c:pt idx="305">
                  <c:v>0.48999931674692998</c:v>
                </c:pt>
                <c:pt idx="306">
                  <c:v>0.48999993291796001</c:v>
                </c:pt>
                <c:pt idx="307">
                  <c:v>0.48999719908597</c:v>
                </c:pt>
                <c:pt idx="308">
                  <c:v>0.48999999986337001</c:v>
                </c:pt>
                <c:pt idx="309">
                  <c:v>0.48999644765789002</c:v>
                </c:pt>
                <c:pt idx="310">
                  <c:v>0.48999958999351001</c:v>
                </c:pt>
                <c:pt idx="311">
                  <c:v>0.48999080921480997</c:v>
                </c:pt>
                <c:pt idx="312">
                  <c:v>0.48999999986337001</c:v>
                </c:pt>
                <c:pt idx="313">
                  <c:v>0.48999999986337001</c:v>
                </c:pt>
                <c:pt idx="314">
                  <c:v>0.48999993155172999</c:v>
                </c:pt>
                <c:pt idx="315">
                  <c:v>0.48999999986337001</c:v>
                </c:pt>
                <c:pt idx="316">
                  <c:v>0.48999986324007999</c:v>
                </c:pt>
                <c:pt idx="317">
                  <c:v>0.48999999986337001</c:v>
                </c:pt>
                <c:pt idx="318">
                  <c:v>0.48999993155172999</c:v>
                </c:pt>
                <c:pt idx="319">
                  <c:v>0.48999965830515002</c:v>
                </c:pt>
                <c:pt idx="320">
                  <c:v>0.48999986324007999</c:v>
                </c:pt>
                <c:pt idx="321">
                  <c:v>0.48999999986337001</c:v>
                </c:pt>
                <c:pt idx="322">
                  <c:v>0.48999999986337001</c:v>
                </c:pt>
                <c:pt idx="323">
                  <c:v>0.48999999986337001</c:v>
                </c:pt>
                <c:pt idx="324">
                  <c:v>0.48999999986337001</c:v>
                </c:pt>
                <c:pt idx="325">
                  <c:v>0.48999999986337001</c:v>
                </c:pt>
                <c:pt idx="326">
                  <c:v>0.48999999986337001</c:v>
                </c:pt>
                <c:pt idx="327">
                  <c:v>0.48999999986337001</c:v>
                </c:pt>
                <c:pt idx="328">
                  <c:v>0.48999999234908997</c:v>
                </c:pt>
                <c:pt idx="329">
                  <c:v>0.48999999986337001</c:v>
                </c:pt>
                <c:pt idx="330">
                  <c:v>0.48999999986337001</c:v>
                </c:pt>
                <c:pt idx="331">
                  <c:v>0.48999999986337001</c:v>
                </c:pt>
                <c:pt idx="332">
                  <c:v>0.48999999986337001</c:v>
                </c:pt>
                <c:pt idx="333">
                  <c:v>0.48999999986337001</c:v>
                </c:pt>
                <c:pt idx="334">
                  <c:v>0.48999721411454</c:v>
                </c:pt>
                <c:pt idx="335">
                  <c:v>0.48999883856542997</c:v>
                </c:pt>
                <c:pt idx="336">
                  <c:v>0.48999999986337001</c:v>
                </c:pt>
                <c:pt idx="337">
                  <c:v>0.48999999986337001</c:v>
                </c:pt>
                <c:pt idx="338">
                  <c:v>0.48999999986337001</c:v>
                </c:pt>
                <c:pt idx="339">
                  <c:v>0.48999999986337001</c:v>
                </c:pt>
                <c:pt idx="340">
                  <c:v>0.48999999986337001</c:v>
                </c:pt>
                <c:pt idx="341">
                  <c:v>0.48999998620104002</c:v>
                </c:pt>
                <c:pt idx="342">
                  <c:v>0.48999999303220998</c:v>
                </c:pt>
                <c:pt idx="343">
                  <c:v>0.48999999986337001</c:v>
                </c:pt>
                <c:pt idx="344">
                  <c:v>0.48999111934966999</c:v>
                </c:pt>
                <c:pt idx="345">
                  <c:v>0.48999999439844</c:v>
                </c:pt>
                <c:pt idx="346">
                  <c:v>0.48999999986337001</c:v>
                </c:pt>
                <c:pt idx="347">
                  <c:v>0.48999999303220998</c:v>
                </c:pt>
                <c:pt idx="348">
                  <c:v>0.48999958999351001</c:v>
                </c:pt>
                <c:pt idx="349">
                  <c:v>0.48999965830515002</c:v>
                </c:pt>
                <c:pt idx="350">
                  <c:v>0.48999999986337001</c:v>
                </c:pt>
                <c:pt idx="351">
                  <c:v>0.48999999986337001</c:v>
                </c:pt>
                <c:pt idx="352">
                  <c:v>0.48999999986337001</c:v>
                </c:pt>
                <c:pt idx="353">
                  <c:v>0.48999978878039002</c:v>
                </c:pt>
                <c:pt idx="354">
                  <c:v>0.48999999986337001</c:v>
                </c:pt>
                <c:pt idx="355">
                  <c:v>0.48999378350377998</c:v>
                </c:pt>
                <c:pt idx="356">
                  <c:v>0.48999999986337001</c:v>
                </c:pt>
                <c:pt idx="357">
                  <c:v>0.48999999986337001</c:v>
                </c:pt>
                <c:pt idx="358">
                  <c:v>0.48999795051405998</c:v>
                </c:pt>
                <c:pt idx="359">
                  <c:v>0.48999999986337001</c:v>
                </c:pt>
                <c:pt idx="360">
                  <c:v>0.48999999986337001</c:v>
                </c:pt>
                <c:pt idx="361">
                  <c:v>0.48999999986337001</c:v>
                </c:pt>
                <c:pt idx="362">
                  <c:v>0.48999999986337001</c:v>
                </c:pt>
                <c:pt idx="363">
                  <c:v>0.48999999986337001</c:v>
                </c:pt>
                <c:pt idx="364">
                  <c:v>0.48999999986337001</c:v>
                </c:pt>
                <c:pt idx="365">
                  <c:v>0.48999897518871</c:v>
                </c:pt>
                <c:pt idx="366">
                  <c:v>0.48999999986337001</c:v>
                </c:pt>
                <c:pt idx="367">
                  <c:v>0.48999877025378002</c:v>
                </c:pt>
                <c:pt idx="368">
                  <c:v>0.48999999986337001</c:v>
                </c:pt>
                <c:pt idx="369">
                  <c:v>0.48999999986337001</c:v>
                </c:pt>
                <c:pt idx="370">
                  <c:v>0.48999760895583999</c:v>
                </c:pt>
                <c:pt idx="371">
                  <c:v>0.48999999986337001</c:v>
                </c:pt>
                <c:pt idx="372">
                  <c:v>0.48999999986337001</c:v>
                </c:pt>
                <c:pt idx="373">
                  <c:v>0.48999986324007999</c:v>
                </c:pt>
                <c:pt idx="374">
                  <c:v>0.48998640584624997</c:v>
                </c:pt>
                <c:pt idx="375">
                  <c:v>0.48998941155858</c:v>
                </c:pt>
                <c:pt idx="376">
                  <c:v>0.48999999986337001</c:v>
                </c:pt>
                <c:pt idx="377">
                  <c:v>0.48999993155172999</c:v>
                </c:pt>
                <c:pt idx="378">
                  <c:v>0.48999897518871</c:v>
                </c:pt>
                <c:pt idx="379">
                  <c:v>0.48999542298323001</c:v>
                </c:pt>
                <c:pt idx="380">
                  <c:v>0.48999999986337001</c:v>
                </c:pt>
                <c:pt idx="381">
                  <c:v>0.48999999986337001</c:v>
                </c:pt>
                <c:pt idx="382">
                  <c:v>0.48999999986337001</c:v>
                </c:pt>
                <c:pt idx="383">
                  <c:v>0.48999999986337001</c:v>
                </c:pt>
                <c:pt idx="384">
                  <c:v>0.48999999986337001</c:v>
                </c:pt>
                <c:pt idx="385">
                  <c:v>0.48999999986337001</c:v>
                </c:pt>
                <c:pt idx="386">
                  <c:v>0.48999999986337001</c:v>
                </c:pt>
                <c:pt idx="387">
                  <c:v>0.48997800351406001</c:v>
                </c:pt>
                <c:pt idx="388">
                  <c:v>0.48999180246611002</c:v>
                </c:pt>
                <c:pt idx="389">
                  <c:v>0.48998674740447001</c:v>
                </c:pt>
                <c:pt idx="390">
                  <c:v>0.48998905770425999</c:v>
                </c:pt>
                <c:pt idx="391">
                  <c:v>0.48999999986337001</c:v>
                </c:pt>
                <c:pt idx="392">
                  <c:v>0.48999405675036001</c:v>
                </c:pt>
                <c:pt idx="393">
                  <c:v>0.48999999986337001</c:v>
                </c:pt>
                <c:pt idx="394">
                  <c:v>0.48999555960652003</c:v>
                </c:pt>
                <c:pt idx="395">
                  <c:v>0.48999924843529002</c:v>
                </c:pt>
                <c:pt idx="396">
                  <c:v>0.48999542298323001</c:v>
                </c:pt>
                <c:pt idx="397">
                  <c:v>0.48999446662022</c:v>
                </c:pt>
                <c:pt idx="398">
                  <c:v>0.48999918012365001</c:v>
                </c:pt>
                <c:pt idx="399">
                  <c:v>0.48999990012837003</c:v>
                </c:pt>
                <c:pt idx="400">
                  <c:v>0.48999207571268999</c:v>
                </c:pt>
                <c:pt idx="401">
                  <c:v>0.48999999986337001</c:v>
                </c:pt>
                <c:pt idx="402">
                  <c:v>0.48988537292501</c:v>
                </c:pt>
                <c:pt idx="403">
                  <c:v>0.48999999986337001</c:v>
                </c:pt>
                <c:pt idx="404">
                  <c:v>0.48999999986337001</c:v>
                </c:pt>
                <c:pt idx="405">
                  <c:v>0.48999999986337001</c:v>
                </c:pt>
                <c:pt idx="406">
                  <c:v>0.48999999986337001</c:v>
                </c:pt>
                <c:pt idx="407">
                  <c:v>0.48999999986337001</c:v>
                </c:pt>
                <c:pt idx="408">
                  <c:v>0.48999945337022</c:v>
                </c:pt>
                <c:pt idx="409">
                  <c:v>0.48999999986337001</c:v>
                </c:pt>
                <c:pt idx="410">
                  <c:v>0.48999953192861001</c:v>
                </c:pt>
                <c:pt idx="411">
                  <c:v>0.48999316869899001</c:v>
                </c:pt>
                <c:pt idx="412">
                  <c:v>0.48999999986337001</c:v>
                </c:pt>
                <c:pt idx="413">
                  <c:v>0.48999999986337001</c:v>
                </c:pt>
                <c:pt idx="414">
                  <c:v>0.48999514973665997</c:v>
                </c:pt>
                <c:pt idx="415">
                  <c:v>0.48999999986337001</c:v>
                </c:pt>
                <c:pt idx="416">
                  <c:v>0.48999999986337001</c:v>
                </c:pt>
                <c:pt idx="417">
                  <c:v>0.48999999986337001</c:v>
                </c:pt>
                <c:pt idx="418">
                  <c:v>0.48999494480173</c:v>
                </c:pt>
                <c:pt idx="419">
                  <c:v>0.48999453493186002</c:v>
                </c:pt>
                <c:pt idx="420">
                  <c:v>0.48999938505857998</c:v>
                </c:pt>
                <c:pt idx="421">
                  <c:v>0.48999999986337001</c:v>
                </c:pt>
                <c:pt idx="422">
                  <c:v>0.48999999986337001</c:v>
                </c:pt>
                <c:pt idx="423">
                  <c:v>0.48999856531885</c:v>
                </c:pt>
                <c:pt idx="424">
                  <c:v>0.48999999986337001</c:v>
                </c:pt>
                <c:pt idx="425">
                  <c:v>0.48999931674692998</c:v>
                </c:pt>
                <c:pt idx="426">
                  <c:v>0.48999999986337001</c:v>
                </c:pt>
                <c:pt idx="427">
                  <c:v>0.48999979492843998</c:v>
                </c:pt>
                <c:pt idx="428">
                  <c:v>0.48999999986337001</c:v>
                </c:pt>
                <c:pt idx="429">
                  <c:v>0.48999996844001997</c:v>
                </c:pt>
                <c:pt idx="430">
                  <c:v>0.48999996844001997</c:v>
                </c:pt>
                <c:pt idx="431">
                  <c:v>0.48999996844001997</c:v>
                </c:pt>
                <c:pt idx="432">
                  <c:v>0.48998999494001</c:v>
                </c:pt>
                <c:pt idx="433">
                  <c:v>0.48999999986337001</c:v>
                </c:pt>
                <c:pt idx="434">
                  <c:v>0.48999999986337001</c:v>
                </c:pt>
                <c:pt idx="435">
                  <c:v>0.48999999986337001</c:v>
                </c:pt>
                <c:pt idx="436">
                  <c:v>0.48999902589371003</c:v>
                </c:pt>
                <c:pt idx="437">
                  <c:v>0.48999547425111001</c:v>
                </c:pt>
                <c:pt idx="438">
                  <c:v>0.48999656706421002</c:v>
                </c:pt>
                <c:pt idx="439">
                  <c:v>0.48997730623316998</c:v>
                </c:pt>
                <c:pt idx="440">
                  <c:v>0.48999403993390001</c:v>
                </c:pt>
                <c:pt idx="441">
                  <c:v>0.48999998210517998</c:v>
                </c:pt>
                <c:pt idx="442">
                  <c:v>0.48999759157650002</c:v>
                </c:pt>
                <c:pt idx="443">
                  <c:v>0.48999171770604</c:v>
                </c:pt>
                <c:pt idx="444">
                  <c:v>0.48955595847877997</c:v>
                </c:pt>
                <c:pt idx="445">
                  <c:v>0.48976099753837998</c:v>
                </c:pt>
                <c:pt idx="446">
                  <c:v>0.48923357861159</c:v>
                </c:pt>
                <c:pt idx="447">
                  <c:v>0.48844757278285</c:v>
                </c:pt>
                <c:pt idx="448">
                  <c:v>0.48801304297033998</c:v>
                </c:pt>
                <c:pt idx="449">
                  <c:v>0.48798524453686998</c:v>
                </c:pt>
                <c:pt idx="450">
                  <c:v>0.48837886215860998</c:v>
                </c:pt>
                <c:pt idx="451">
                  <c:v>0.48840720699862999</c:v>
                </c:pt>
                <c:pt idx="452">
                  <c:v>0.48783006507538001</c:v>
                </c:pt>
                <c:pt idx="453">
                  <c:v>0.48743289581103</c:v>
                </c:pt>
                <c:pt idx="454">
                  <c:v>0.48688261864903998</c:v>
                </c:pt>
                <c:pt idx="455">
                  <c:v>0.48733449686966002</c:v>
                </c:pt>
                <c:pt idx="456">
                  <c:v>0.48727917320601</c:v>
                </c:pt>
                <c:pt idx="457">
                  <c:v>0.48667450605257001</c:v>
                </c:pt>
                <c:pt idx="458">
                  <c:v>0.48733128673115</c:v>
                </c:pt>
                <c:pt idx="459">
                  <c:v>0.48852689257335002</c:v>
                </c:pt>
                <c:pt idx="460">
                  <c:v>0.48719230768416</c:v>
                </c:pt>
                <c:pt idx="461">
                  <c:v>0.48771220749821997</c:v>
                </c:pt>
                <c:pt idx="462">
                  <c:v>0.48939112746515001</c:v>
                </c:pt>
                <c:pt idx="463">
                  <c:v>0.48905763774991001</c:v>
                </c:pt>
                <c:pt idx="464">
                  <c:v>0.48804870162531999</c:v>
                </c:pt>
                <c:pt idx="465">
                  <c:v>0.48874722738023002</c:v>
                </c:pt>
                <c:pt idx="466">
                  <c:v>0.48792360884106001</c:v>
                </c:pt>
                <c:pt idx="467">
                  <c:v>0.4885804825226</c:v>
                </c:pt>
                <c:pt idx="468">
                  <c:v>0.48999993055711</c:v>
                </c:pt>
                <c:pt idx="469">
                  <c:v>0.48999993055711</c:v>
                </c:pt>
                <c:pt idx="470">
                  <c:v>0.48916593314064999</c:v>
                </c:pt>
                <c:pt idx="471">
                  <c:v>0.48997002300280001</c:v>
                </c:pt>
                <c:pt idx="472">
                  <c:v>0.48975909963456998</c:v>
                </c:pt>
                <c:pt idx="473">
                  <c:v>0.48999999883919998</c:v>
                </c:pt>
                <c:pt idx="474">
                  <c:v>0.48980962837931002</c:v>
                </c:pt>
                <c:pt idx="475">
                  <c:v>0.48998934683355</c:v>
                </c:pt>
                <c:pt idx="476">
                  <c:v>0.48967948272056999</c:v>
                </c:pt>
                <c:pt idx="477">
                  <c:v>0.48975691460777998</c:v>
                </c:pt>
                <c:pt idx="478">
                  <c:v>0.48998634242170003</c:v>
                </c:pt>
                <c:pt idx="479">
                  <c:v>0.48999999883919998</c:v>
                </c:pt>
                <c:pt idx="480">
                  <c:v>0.48999999883919998</c:v>
                </c:pt>
                <c:pt idx="481">
                  <c:v>0.48999999883919998</c:v>
                </c:pt>
                <c:pt idx="482">
                  <c:v>0.48999999883919998</c:v>
                </c:pt>
                <c:pt idx="483">
                  <c:v>0.48999999883919998</c:v>
                </c:pt>
                <c:pt idx="484">
                  <c:v>0.48999999883919998</c:v>
                </c:pt>
                <c:pt idx="485">
                  <c:v>0.48999999883919998</c:v>
                </c:pt>
                <c:pt idx="486">
                  <c:v>0.48999999883919998</c:v>
                </c:pt>
                <c:pt idx="487">
                  <c:v>0.48999999883919998</c:v>
                </c:pt>
                <c:pt idx="488">
                  <c:v>0.48999999883919998</c:v>
                </c:pt>
                <c:pt idx="489">
                  <c:v>0.48999999883919998</c:v>
                </c:pt>
                <c:pt idx="490">
                  <c:v>0.48999999883919998</c:v>
                </c:pt>
                <c:pt idx="491">
                  <c:v>0.48999999883919998</c:v>
                </c:pt>
                <c:pt idx="492">
                  <c:v>0.48999999883919998</c:v>
                </c:pt>
                <c:pt idx="493">
                  <c:v>0.48999999883919998</c:v>
                </c:pt>
                <c:pt idx="494">
                  <c:v>0.48999999883919998</c:v>
                </c:pt>
                <c:pt idx="495">
                  <c:v>0.48999863319745002</c:v>
                </c:pt>
                <c:pt idx="496">
                  <c:v>0.48999863319745002</c:v>
                </c:pt>
                <c:pt idx="497">
                  <c:v>0.48999999883919998</c:v>
                </c:pt>
                <c:pt idx="498">
                  <c:v>0.48999658473482999</c:v>
                </c:pt>
                <c:pt idx="499">
                  <c:v>0.48999999883919998</c:v>
                </c:pt>
                <c:pt idx="500">
                  <c:v>0.48999999883919998</c:v>
                </c:pt>
                <c:pt idx="501">
                  <c:v>0.48999945258249999</c:v>
                </c:pt>
                <c:pt idx="502">
                  <c:v>0.48999672129900002</c:v>
                </c:pt>
                <c:pt idx="503">
                  <c:v>0.48999999883919998</c:v>
                </c:pt>
                <c:pt idx="504">
                  <c:v>0.48999999883919998</c:v>
                </c:pt>
                <c:pt idx="505">
                  <c:v>0.48994537316921999</c:v>
                </c:pt>
                <c:pt idx="506">
                  <c:v>0.48999999883919998</c:v>
                </c:pt>
                <c:pt idx="507">
                  <c:v>0.48999999883919998</c:v>
                </c:pt>
                <c:pt idx="508">
                  <c:v>0.48999999883919998</c:v>
                </c:pt>
                <c:pt idx="509">
                  <c:v>0.48999999883919998</c:v>
                </c:pt>
                <c:pt idx="510">
                  <c:v>0.48999999883919998</c:v>
                </c:pt>
                <c:pt idx="511">
                  <c:v>0.48999999883919998</c:v>
                </c:pt>
                <c:pt idx="512">
                  <c:v>0.48999999883919998</c:v>
                </c:pt>
                <c:pt idx="513">
                  <c:v>0.48999999883919998</c:v>
                </c:pt>
                <c:pt idx="514">
                  <c:v>0.48999999883919998</c:v>
                </c:pt>
                <c:pt idx="515">
                  <c:v>0.48999999883919998</c:v>
                </c:pt>
                <c:pt idx="516">
                  <c:v>0.48999998518277998</c:v>
                </c:pt>
                <c:pt idx="517">
                  <c:v>0.47718002325865</c:v>
                </c:pt>
                <c:pt idx="518">
                  <c:v>0.48999999922867998</c:v>
                </c:pt>
                <c:pt idx="519">
                  <c:v>0.48999999922867998</c:v>
                </c:pt>
                <c:pt idx="520">
                  <c:v>0.48999999922867998</c:v>
                </c:pt>
                <c:pt idx="521">
                  <c:v>0.48999999922867998</c:v>
                </c:pt>
                <c:pt idx="522">
                  <c:v>0.48999999922867998</c:v>
                </c:pt>
                <c:pt idx="523">
                  <c:v>0.48999999922867998</c:v>
                </c:pt>
                <c:pt idx="524">
                  <c:v>0.48999999922867998</c:v>
                </c:pt>
                <c:pt idx="525">
                  <c:v>0.48999999922867998</c:v>
                </c:pt>
                <c:pt idx="526">
                  <c:v>0.48999999922867998</c:v>
                </c:pt>
                <c:pt idx="527">
                  <c:v>0.48999999922867998</c:v>
                </c:pt>
                <c:pt idx="528">
                  <c:v>0.48999999922867998</c:v>
                </c:pt>
                <c:pt idx="529">
                  <c:v>0.48999999922867998</c:v>
                </c:pt>
                <c:pt idx="530">
                  <c:v>0.48999999922867998</c:v>
                </c:pt>
                <c:pt idx="531">
                  <c:v>0.48999999922867998</c:v>
                </c:pt>
                <c:pt idx="532">
                  <c:v>0.48999999922867998</c:v>
                </c:pt>
                <c:pt idx="533">
                  <c:v>0.48999999922867998</c:v>
                </c:pt>
                <c:pt idx="534">
                  <c:v>0.48999999922867998</c:v>
                </c:pt>
                <c:pt idx="535">
                  <c:v>0.48999999922867998</c:v>
                </c:pt>
                <c:pt idx="536">
                  <c:v>0.48999999922867998</c:v>
                </c:pt>
                <c:pt idx="537">
                  <c:v>0.48999901755167002</c:v>
                </c:pt>
                <c:pt idx="538">
                  <c:v>0.48999999922867998</c:v>
                </c:pt>
                <c:pt idx="539">
                  <c:v>0.48999999922867998</c:v>
                </c:pt>
                <c:pt idx="540">
                  <c:v>0.48999999922867998</c:v>
                </c:pt>
                <c:pt idx="541">
                  <c:v>0.48999999922867998</c:v>
                </c:pt>
                <c:pt idx="542">
                  <c:v>0.48999999922867998</c:v>
                </c:pt>
                <c:pt idx="543">
                  <c:v>0.48999999922867998</c:v>
                </c:pt>
                <c:pt idx="544">
                  <c:v>0.48999999922867998</c:v>
                </c:pt>
                <c:pt idx="545">
                  <c:v>0.48999999922867998</c:v>
                </c:pt>
                <c:pt idx="546">
                  <c:v>0.48999999922867998</c:v>
                </c:pt>
                <c:pt idx="547">
                  <c:v>0.48999999922867998</c:v>
                </c:pt>
                <c:pt idx="548">
                  <c:v>0.48999999922867998</c:v>
                </c:pt>
                <c:pt idx="549">
                  <c:v>0.48999999922867998</c:v>
                </c:pt>
                <c:pt idx="550">
                  <c:v>0.48999999922867998</c:v>
                </c:pt>
                <c:pt idx="551">
                  <c:v>0.48999999922867998</c:v>
                </c:pt>
                <c:pt idx="552">
                  <c:v>0.48999999922867998</c:v>
                </c:pt>
                <c:pt idx="553">
                  <c:v>0.48999999922867998</c:v>
                </c:pt>
                <c:pt idx="554">
                  <c:v>0.48999999922867998</c:v>
                </c:pt>
                <c:pt idx="555">
                  <c:v>0.48999999922867998</c:v>
                </c:pt>
                <c:pt idx="556">
                  <c:v>0.48999999922867998</c:v>
                </c:pt>
                <c:pt idx="557">
                  <c:v>0.48999999922867998</c:v>
                </c:pt>
                <c:pt idx="558">
                  <c:v>0.48999999922867998</c:v>
                </c:pt>
                <c:pt idx="559">
                  <c:v>0.48999999922867998</c:v>
                </c:pt>
                <c:pt idx="560">
                  <c:v>0.48999999922867998</c:v>
                </c:pt>
                <c:pt idx="561">
                  <c:v>0.48999999922867998</c:v>
                </c:pt>
                <c:pt idx="562">
                  <c:v>0.48999999922867998</c:v>
                </c:pt>
                <c:pt idx="563">
                  <c:v>0.48999999922867998</c:v>
                </c:pt>
                <c:pt idx="564">
                  <c:v>0.48999999922867998</c:v>
                </c:pt>
                <c:pt idx="565">
                  <c:v>0.48999999922867998</c:v>
                </c:pt>
                <c:pt idx="566">
                  <c:v>0.48999999922867998</c:v>
                </c:pt>
                <c:pt idx="567">
                  <c:v>0.48999999922867998</c:v>
                </c:pt>
                <c:pt idx="568">
                  <c:v>0.48999999922867998</c:v>
                </c:pt>
                <c:pt idx="569">
                  <c:v>0.48999994874243002</c:v>
                </c:pt>
                <c:pt idx="570">
                  <c:v>0.48999999922867998</c:v>
                </c:pt>
                <c:pt idx="571">
                  <c:v>0.48999999922867998</c:v>
                </c:pt>
                <c:pt idx="572">
                  <c:v>0.48999999922867998</c:v>
                </c:pt>
                <c:pt idx="573">
                  <c:v>0.48999999922867998</c:v>
                </c:pt>
                <c:pt idx="574">
                  <c:v>0.48999999922867998</c:v>
                </c:pt>
                <c:pt idx="575">
                  <c:v>0.48999999922867998</c:v>
                </c:pt>
                <c:pt idx="576">
                  <c:v>0.48999999922867998</c:v>
                </c:pt>
                <c:pt idx="577">
                  <c:v>0.48999999922867998</c:v>
                </c:pt>
                <c:pt idx="578">
                  <c:v>0.48999999922867998</c:v>
                </c:pt>
                <c:pt idx="579">
                  <c:v>0.48999999922867998</c:v>
                </c:pt>
                <c:pt idx="580">
                  <c:v>0.48999999922867998</c:v>
                </c:pt>
                <c:pt idx="581">
                  <c:v>0.48999999922867998</c:v>
                </c:pt>
                <c:pt idx="582">
                  <c:v>0.48999999922867998</c:v>
                </c:pt>
              </c:numCache>
            </c:numRef>
          </c:val>
          <c:smooth val="0"/>
          <c:extLst>
            <c:ext xmlns:c16="http://schemas.microsoft.com/office/drawing/2014/chart" uri="{C3380CC4-5D6E-409C-BE32-E72D297353CC}">
              <c16:uniqueId val="{00000001-727C-462B-82B7-6186AEE24777}"/>
            </c:ext>
          </c:extLst>
        </c:ser>
        <c:dLbls>
          <c:showLegendKey val="0"/>
          <c:showVal val="0"/>
          <c:showCatName val="0"/>
          <c:showSerName val="0"/>
          <c:showPercent val="0"/>
          <c:showBubbleSize val="0"/>
        </c:dLbls>
        <c:marker val="1"/>
        <c:smooth val="0"/>
        <c:axId val="848089912"/>
        <c:axId val="848093872"/>
      </c:lineChart>
      <c:dateAx>
        <c:axId val="1198608832"/>
        <c:scaling>
          <c:orientation val="minMax"/>
        </c:scaling>
        <c:delete val="0"/>
        <c:axPos val="b"/>
        <c:numFmt formatCode="m/d/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Calibri (Body)"/>
                <a:ea typeface="+mn-ea"/>
                <a:cs typeface="+mn-cs"/>
              </a:defRPr>
            </a:pPr>
            <a:endParaRPr lang="vi-VN"/>
          </a:p>
        </c:txPr>
        <c:crossAx val="1198609192"/>
        <c:crosses val="autoZero"/>
        <c:auto val="1"/>
        <c:lblOffset val="100"/>
        <c:baseTimeUnit val="days"/>
      </c:dateAx>
      <c:valAx>
        <c:axId val="119860919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Calibri (Body)"/>
                <a:ea typeface="+mn-ea"/>
                <a:cs typeface="+mn-cs"/>
              </a:defRPr>
            </a:pPr>
            <a:endParaRPr lang="vi-VN"/>
          </a:p>
        </c:txPr>
        <c:crossAx val="1198608832"/>
        <c:crosses val="autoZero"/>
        <c:crossBetween val="between"/>
      </c:valAx>
      <c:valAx>
        <c:axId val="848093872"/>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Calibri (Body)"/>
                <a:ea typeface="+mn-ea"/>
                <a:cs typeface="+mn-cs"/>
              </a:defRPr>
            </a:pPr>
            <a:endParaRPr lang="vi-VN"/>
          </a:p>
        </c:txPr>
        <c:crossAx val="848089912"/>
        <c:crosses val="max"/>
        <c:crossBetween val="between"/>
      </c:valAx>
      <c:dateAx>
        <c:axId val="848089912"/>
        <c:scaling>
          <c:orientation val="minMax"/>
        </c:scaling>
        <c:delete val="1"/>
        <c:axPos val="b"/>
        <c:numFmt formatCode="m/d/yy" sourceLinked="1"/>
        <c:majorTickMark val="out"/>
        <c:minorTickMark val="none"/>
        <c:tickLblPos val="nextTo"/>
        <c:crossAx val="848093872"/>
        <c:crosses val="autoZero"/>
        <c:auto val="1"/>
        <c:lblOffset val="100"/>
        <c:baseTimeUnit val="days"/>
      </c:dateAx>
      <c:spPr>
        <a:noFill/>
        <a:ln>
          <a:noFill/>
        </a:ln>
        <a:effectLst/>
      </c:spPr>
    </c:plotArea>
    <c:legend>
      <c:legendPos val="b"/>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Calibri (Body)"/>
              <a:ea typeface="+mn-ea"/>
              <a:cs typeface="+mn-cs"/>
            </a:defRPr>
          </a:pPr>
          <a:endParaRPr lang="vi-VN"/>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sz="800">
          <a:latin typeface="Calibri (Body)"/>
        </a:defRPr>
      </a:pPr>
      <a:endParaRPr lang="vi-VN"/>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359946116636038E-2"/>
          <c:y val="3.5159814823297393E-2"/>
          <c:w val="0.86471656105765671"/>
          <c:h val="0.71386806789141277"/>
        </c:manualLayout>
      </c:layout>
      <c:lineChart>
        <c:grouping val="standard"/>
        <c:varyColors val="0"/>
        <c:ser>
          <c:idx val="0"/>
          <c:order val="0"/>
          <c:tx>
            <c:strRef>
              <c:f>Diamond!$Z$2</c:f>
              <c:strCache>
                <c:ptCount val="1"/>
                <c:pt idx="0">
                  <c:v>LNST Trượt (tỷ VND)</c:v>
                </c:pt>
              </c:strCache>
            </c:strRef>
          </c:tx>
          <c:spPr>
            <a:ln w="28575" cap="rnd">
              <a:solidFill>
                <a:srgbClr val="FFC000"/>
              </a:solidFill>
              <a:round/>
            </a:ln>
            <a:effectLst/>
          </c:spPr>
          <c:marker>
            <c:symbol val="none"/>
          </c:marker>
          <c:cat>
            <c:numRef>
              <c:f>Diamond!$Y$3:$Y$635</c:f>
              <c:numCache>
                <c:formatCode>m/d/yy</c:formatCode>
                <c:ptCount val="633"/>
                <c:pt idx="0">
                  <c:v>45869</c:v>
                </c:pt>
                <c:pt idx="11">
                  <c:v>45657</c:v>
                </c:pt>
                <c:pt idx="53">
                  <c:v>45407</c:v>
                </c:pt>
                <c:pt idx="54">
                  <c:v>45406</c:v>
                </c:pt>
                <c:pt idx="55">
                  <c:v>45415</c:v>
                </c:pt>
                <c:pt idx="56">
                  <c:v>45414</c:v>
                </c:pt>
                <c:pt idx="57">
                  <c:v>45408</c:v>
                </c:pt>
                <c:pt idx="58">
                  <c:v>45407</c:v>
                </c:pt>
                <c:pt idx="59">
                  <c:v>45406</c:v>
                </c:pt>
                <c:pt idx="60">
                  <c:v>45405</c:v>
                </c:pt>
                <c:pt idx="61">
                  <c:v>45404</c:v>
                </c:pt>
                <c:pt idx="62">
                  <c:v>45401</c:v>
                </c:pt>
                <c:pt idx="63">
                  <c:v>45399</c:v>
                </c:pt>
                <c:pt idx="64">
                  <c:v>45398</c:v>
                </c:pt>
                <c:pt idx="65">
                  <c:v>45397</c:v>
                </c:pt>
                <c:pt idx="66">
                  <c:v>45394</c:v>
                </c:pt>
                <c:pt idx="67">
                  <c:v>45393</c:v>
                </c:pt>
                <c:pt idx="68">
                  <c:v>45392</c:v>
                </c:pt>
                <c:pt idx="69">
                  <c:v>45391</c:v>
                </c:pt>
                <c:pt idx="70">
                  <c:v>45390</c:v>
                </c:pt>
                <c:pt idx="71">
                  <c:v>45387</c:v>
                </c:pt>
                <c:pt idx="72">
                  <c:v>45386</c:v>
                </c:pt>
                <c:pt idx="73">
                  <c:v>45385</c:v>
                </c:pt>
                <c:pt idx="74">
                  <c:v>45384</c:v>
                </c:pt>
                <c:pt idx="75">
                  <c:v>45383</c:v>
                </c:pt>
                <c:pt idx="76">
                  <c:v>45380</c:v>
                </c:pt>
                <c:pt idx="77">
                  <c:v>45379</c:v>
                </c:pt>
                <c:pt idx="78">
                  <c:v>45378</c:v>
                </c:pt>
                <c:pt idx="79">
                  <c:v>45377</c:v>
                </c:pt>
                <c:pt idx="80">
                  <c:v>45376</c:v>
                </c:pt>
                <c:pt idx="81">
                  <c:v>45373</c:v>
                </c:pt>
                <c:pt idx="82">
                  <c:v>45372</c:v>
                </c:pt>
                <c:pt idx="83">
                  <c:v>45371</c:v>
                </c:pt>
                <c:pt idx="84">
                  <c:v>45370</c:v>
                </c:pt>
                <c:pt idx="85">
                  <c:v>45369</c:v>
                </c:pt>
                <c:pt idx="86">
                  <c:v>45366</c:v>
                </c:pt>
                <c:pt idx="87">
                  <c:v>45365</c:v>
                </c:pt>
                <c:pt idx="88">
                  <c:v>45364</c:v>
                </c:pt>
                <c:pt idx="89">
                  <c:v>45363</c:v>
                </c:pt>
                <c:pt idx="90">
                  <c:v>45362</c:v>
                </c:pt>
                <c:pt idx="91">
                  <c:v>45359</c:v>
                </c:pt>
                <c:pt idx="92">
                  <c:v>45358</c:v>
                </c:pt>
                <c:pt idx="93">
                  <c:v>45357</c:v>
                </c:pt>
                <c:pt idx="94">
                  <c:v>45356</c:v>
                </c:pt>
                <c:pt idx="95">
                  <c:v>45355</c:v>
                </c:pt>
                <c:pt idx="96">
                  <c:v>45352</c:v>
                </c:pt>
                <c:pt idx="97">
                  <c:v>45351</c:v>
                </c:pt>
                <c:pt idx="98">
                  <c:v>45350</c:v>
                </c:pt>
                <c:pt idx="99">
                  <c:v>45349</c:v>
                </c:pt>
                <c:pt idx="100">
                  <c:v>45348</c:v>
                </c:pt>
                <c:pt idx="101">
                  <c:v>45345</c:v>
                </c:pt>
                <c:pt idx="102">
                  <c:v>45344</c:v>
                </c:pt>
                <c:pt idx="103">
                  <c:v>45343</c:v>
                </c:pt>
                <c:pt idx="104">
                  <c:v>45342</c:v>
                </c:pt>
                <c:pt idx="105">
                  <c:v>45341</c:v>
                </c:pt>
                <c:pt idx="106">
                  <c:v>45338</c:v>
                </c:pt>
                <c:pt idx="107">
                  <c:v>45337</c:v>
                </c:pt>
                <c:pt idx="108">
                  <c:v>45329</c:v>
                </c:pt>
                <c:pt idx="109">
                  <c:v>45328</c:v>
                </c:pt>
                <c:pt idx="110">
                  <c:v>45327</c:v>
                </c:pt>
                <c:pt idx="111">
                  <c:v>45324</c:v>
                </c:pt>
                <c:pt idx="112">
                  <c:v>45323</c:v>
                </c:pt>
                <c:pt idx="113">
                  <c:v>45322</c:v>
                </c:pt>
                <c:pt idx="114">
                  <c:v>45321</c:v>
                </c:pt>
                <c:pt idx="115">
                  <c:v>45320</c:v>
                </c:pt>
                <c:pt idx="116">
                  <c:v>45317</c:v>
                </c:pt>
                <c:pt idx="117">
                  <c:v>45316</c:v>
                </c:pt>
                <c:pt idx="118">
                  <c:v>45315</c:v>
                </c:pt>
                <c:pt idx="119">
                  <c:v>45314</c:v>
                </c:pt>
                <c:pt idx="120">
                  <c:v>45313</c:v>
                </c:pt>
                <c:pt idx="121">
                  <c:v>45310</c:v>
                </c:pt>
                <c:pt idx="122">
                  <c:v>45309</c:v>
                </c:pt>
                <c:pt idx="123">
                  <c:v>45308</c:v>
                </c:pt>
                <c:pt idx="124">
                  <c:v>45307</c:v>
                </c:pt>
                <c:pt idx="125">
                  <c:v>45306</c:v>
                </c:pt>
                <c:pt idx="126">
                  <c:v>45303</c:v>
                </c:pt>
                <c:pt idx="127">
                  <c:v>45302</c:v>
                </c:pt>
                <c:pt idx="128">
                  <c:v>45301</c:v>
                </c:pt>
                <c:pt idx="129">
                  <c:v>45300</c:v>
                </c:pt>
                <c:pt idx="130">
                  <c:v>45299</c:v>
                </c:pt>
                <c:pt idx="131">
                  <c:v>45296</c:v>
                </c:pt>
                <c:pt idx="132">
                  <c:v>45295</c:v>
                </c:pt>
                <c:pt idx="133">
                  <c:v>45294</c:v>
                </c:pt>
                <c:pt idx="134">
                  <c:v>45293</c:v>
                </c:pt>
                <c:pt idx="135">
                  <c:v>45289</c:v>
                </c:pt>
                <c:pt idx="136">
                  <c:v>45288</c:v>
                </c:pt>
                <c:pt idx="137">
                  <c:v>45287</c:v>
                </c:pt>
                <c:pt idx="138">
                  <c:v>45286</c:v>
                </c:pt>
                <c:pt idx="139">
                  <c:v>45285</c:v>
                </c:pt>
                <c:pt idx="140">
                  <c:v>45282</c:v>
                </c:pt>
                <c:pt idx="141">
                  <c:v>45281</c:v>
                </c:pt>
                <c:pt idx="142">
                  <c:v>45280</c:v>
                </c:pt>
                <c:pt idx="143">
                  <c:v>45279</c:v>
                </c:pt>
                <c:pt idx="144">
                  <c:v>45278</c:v>
                </c:pt>
                <c:pt idx="145">
                  <c:v>45275</c:v>
                </c:pt>
                <c:pt idx="146">
                  <c:v>45274</c:v>
                </c:pt>
                <c:pt idx="147">
                  <c:v>45273</c:v>
                </c:pt>
                <c:pt idx="148">
                  <c:v>45272</c:v>
                </c:pt>
                <c:pt idx="149">
                  <c:v>45271</c:v>
                </c:pt>
                <c:pt idx="150">
                  <c:v>45268</c:v>
                </c:pt>
                <c:pt idx="151">
                  <c:v>45267</c:v>
                </c:pt>
                <c:pt idx="152">
                  <c:v>45266</c:v>
                </c:pt>
                <c:pt idx="153">
                  <c:v>45265</c:v>
                </c:pt>
                <c:pt idx="154">
                  <c:v>45264</c:v>
                </c:pt>
                <c:pt idx="155">
                  <c:v>45261</c:v>
                </c:pt>
                <c:pt idx="156">
                  <c:v>45260</c:v>
                </c:pt>
                <c:pt idx="157">
                  <c:v>45259</c:v>
                </c:pt>
                <c:pt idx="158">
                  <c:v>45258</c:v>
                </c:pt>
                <c:pt idx="159">
                  <c:v>45257</c:v>
                </c:pt>
                <c:pt idx="160">
                  <c:v>45254</c:v>
                </c:pt>
                <c:pt idx="161">
                  <c:v>45253</c:v>
                </c:pt>
                <c:pt idx="162">
                  <c:v>45252</c:v>
                </c:pt>
                <c:pt idx="163">
                  <c:v>45251</c:v>
                </c:pt>
                <c:pt idx="164">
                  <c:v>45250</c:v>
                </c:pt>
                <c:pt idx="165">
                  <c:v>45247</c:v>
                </c:pt>
                <c:pt idx="166">
                  <c:v>45246</c:v>
                </c:pt>
                <c:pt idx="167">
                  <c:v>45245</c:v>
                </c:pt>
                <c:pt idx="168">
                  <c:v>45244</c:v>
                </c:pt>
                <c:pt idx="169">
                  <c:v>45243</c:v>
                </c:pt>
                <c:pt idx="170">
                  <c:v>45240</c:v>
                </c:pt>
                <c:pt idx="171">
                  <c:v>45239</c:v>
                </c:pt>
                <c:pt idx="172">
                  <c:v>45238</c:v>
                </c:pt>
                <c:pt idx="173">
                  <c:v>45237</c:v>
                </c:pt>
                <c:pt idx="174">
                  <c:v>45236</c:v>
                </c:pt>
                <c:pt idx="175">
                  <c:v>45233</c:v>
                </c:pt>
                <c:pt idx="176">
                  <c:v>45232</c:v>
                </c:pt>
                <c:pt idx="177">
                  <c:v>45231</c:v>
                </c:pt>
                <c:pt idx="178">
                  <c:v>45230</c:v>
                </c:pt>
                <c:pt idx="179">
                  <c:v>45229</c:v>
                </c:pt>
                <c:pt idx="180">
                  <c:v>45226</c:v>
                </c:pt>
                <c:pt idx="181">
                  <c:v>45225</c:v>
                </c:pt>
                <c:pt idx="182">
                  <c:v>45224</c:v>
                </c:pt>
                <c:pt idx="183">
                  <c:v>45223</c:v>
                </c:pt>
                <c:pt idx="184">
                  <c:v>45222</c:v>
                </c:pt>
                <c:pt idx="185">
                  <c:v>45219</c:v>
                </c:pt>
                <c:pt idx="186">
                  <c:v>45218</c:v>
                </c:pt>
                <c:pt idx="187">
                  <c:v>45217</c:v>
                </c:pt>
                <c:pt idx="188">
                  <c:v>45216</c:v>
                </c:pt>
                <c:pt idx="189">
                  <c:v>45215</c:v>
                </c:pt>
                <c:pt idx="190">
                  <c:v>45212</c:v>
                </c:pt>
                <c:pt idx="191">
                  <c:v>45211</c:v>
                </c:pt>
                <c:pt idx="192">
                  <c:v>45210</c:v>
                </c:pt>
                <c:pt idx="193">
                  <c:v>45209</c:v>
                </c:pt>
                <c:pt idx="194">
                  <c:v>45208</c:v>
                </c:pt>
                <c:pt idx="195">
                  <c:v>45205</c:v>
                </c:pt>
                <c:pt idx="196">
                  <c:v>45204</c:v>
                </c:pt>
                <c:pt idx="197">
                  <c:v>45203</c:v>
                </c:pt>
                <c:pt idx="198">
                  <c:v>45202</c:v>
                </c:pt>
                <c:pt idx="199">
                  <c:v>45201</c:v>
                </c:pt>
                <c:pt idx="200">
                  <c:v>45198</c:v>
                </c:pt>
                <c:pt idx="201">
                  <c:v>45197</c:v>
                </c:pt>
                <c:pt idx="202">
                  <c:v>45196</c:v>
                </c:pt>
                <c:pt idx="203">
                  <c:v>45195</c:v>
                </c:pt>
                <c:pt idx="204">
                  <c:v>45194</c:v>
                </c:pt>
                <c:pt idx="205">
                  <c:v>45191</c:v>
                </c:pt>
                <c:pt idx="206">
                  <c:v>45190</c:v>
                </c:pt>
                <c:pt idx="207">
                  <c:v>45189</c:v>
                </c:pt>
                <c:pt idx="208">
                  <c:v>45188</c:v>
                </c:pt>
                <c:pt idx="209">
                  <c:v>45187</c:v>
                </c:pt>
                <c:pt idx="210">
                  <c:v>45184</c:v>
                </c:pt>
                <c:pt idx="211">
                  <c:v>45183</c:v>
                </c:pt>
                <c:pt idx="212">
                  <c:v>45182</c:v>
                </c:pt>
                <c:pt idx="213">
                  <c:v>45181</c:v>
                </c:pt>
                <c:pt idx="214">
                  <c:v>45180</c:v>
                </c:pt>
                <c:pt idx="215">
                  <c:v>45177</c:v>
                </c:pt>
                <c:pt idx="216">
                  <c:v>45176</c:v>
                </c:pt>
                <c:pt idx="217">
                  <c:v>45175</c:v>
                </c:pt>
                <c:pt idx="218">
                  <c:v>45174</c:v>
                </c:pt>
                <c:pt idx="219">
                  <c:v>45169</c:v>
                </c:pt>
                <c:pt idx="220">
                  <c:v>45168</c:v>
                </c:pt>
                <c:pt idx="221">
                  <c:v>45167</c:v>
                </c:pt>
                <c:pt idx="222">
                  <c:v>45166</c:v>
                </c:pt>
                <c:pt idx="223">
                  <c:v>45163</c:v>
                </c:pt>
                <c:pt idx="224">
                  <c:v>45162</c:v>
                </c:pt>
                <c:pt idx="225">
                  <c:v>45161</c:v>
                </c:pt>
                <c:pt idx="226">
                  <c:v>45160</c:v>
                </c:pt>
                <c:pt idx="227">
                  <c:v>45159</c:v>
                </c:pt>
                <c:pt idx="228">
                  <c:v>45156</c:v>
                </c:pt>
                <c:pt idx="229">
                  <c:v>45155</c:v>
                </c:pt>
                <c:pt idx="230">
                  <c:v>45154</c:v>
                </c:pt>
                <c:pt idx="231">
                  <c:v>45153</c:v>
                </c:pt>
                <c:pt idx="232">
                  <c:v>45152</c:v>
                </c:pt>
                <c:pt idx="233">
                  <c:v>45149</c:v>
                </c:pt>
                <c:pt idx="234">
                  <c:v>45148</c:v>
                </c:pt>
                <c:pt idx="235">
                  <c:v>45147</c:v>
                </c:pt>
                <c:pt idx="236">
                  <c:v>45146</c:v>
                </c:pt>
                <c:pt idx="237">
                  <c:v>45145</c:v>
                </c:pt>
                <c:pt idx="238">
                  <c:v>45142</c:v>
                </c:pt>
                <c:pt idx="239">
                  <c:v>45141</c:v>
                </c:pt>
                <c:pt idx="240">
                  <c:v>45140</c:v>
                </c:pt>
                <c:pt idx="241">
                  <c:v>45139</c:v>
                </c:pt>
                <c:pt idx="242">
                  <c:v>45138</c:v>
                </c:pt>
                <c:pt idx="243">
                  <c:v>45135</c:v>
                </c:pt>
                <c:pt idx="244">
                  <c:v>45134</c:v>
                </c:pt>
                <c:pt idx="245">
                  <c:v>45133</c:v>
                </c:pt>
                <c:pt idx="246">
                  <c:v>45132</c:v>
                </c:pt>
                <c:pt idx="247">
                  <c:v>45131</c:v>
                </c:pt>
                <c:pt idx="248">
                  <c:v>45128</c:v>
                </c:pt>
                <c:pt idx="249">
                  <c:v>45127</c:v>
                </c:pt>
                <c:pt idx="250">
                  <c:v>45126</c:v>
                </c:pt>
                <c:pt idx="251">
                  <c:v>45125</c:v>
                </c:pt>
                <c:pt idx="252">
                  <c:v>45124</c:v>
                </c:pt>
                <c:pt idx="253">
                  <c:v>45121</c:v>
                </c:pt>
                <c:pt idx="254">
                  <c:v>45120</c:v>
                </c:pt>
                <c:pt idx="255">
                  <c:v>45119</c:v>
                </c:pt>
                <c:pt idx="256">
                  <c:v>45118</c:v>
                </c:pt>
                <c:pt idx="257">
                  <c:v>45117</c:v>
                </c:pt>
                <c:pt idx="258">
                  <c:v>45114</c:v>
                </c:pt>
                <c:pt idx="259">
                  <c:v>45113</c:v>
                </c:pt>
                <c:pt idx="260">
                  <c:v>45112</c:v>
                </c:pt>
                <c:pt idx="261">
                  <c:v>45111</c:v>
                </c:pt>
                <c:pt idx="262">
                  <c:v>45110</c:v>
                </c:pt>
                <c:pt idx="263">
                  <c:v>45107</c:v>
                </c:pt>
                <c:pt idx="264">
                  <c:v>45106</c:v>
                </c:pt>
                <c:pt idx="265">
                  <c:v>45105</c:v>
                </c:pt>
                <c:pt idx="266">
                  <c:v>45104</c:v>
                </c:pt>
                <c:pt idx="267">
                  <c:v>45103</c:v>
                </c:pt>
                <c:pt idx="268">
                  <c:v>45100</c:v>
                </c:pt>
                <c:pt idx="269">
                  <c:v>45099</c:v>
                </c:pt>
                <c:pt idx="270">
                  <c:v>45098</c:v>
                </c:pt>
                <c:pt idx="271">
                  <c:v>45097</c:v>
                </c:pt>
                <c:pt idx="272">
                  <c:v>45096</c:v>
                </c:pt>
                <c:pt idx="273">
                  <c:v>45093</c:v>
                </c:pt>
                <c:pt idx="274">
                  <c:v>45092</c:v>
                </c:pt>
                <c:pt idx="275">
                  <c:v>45091</c:v>
                </c:pt>
                <c:pt idx="276">
                  <c:v>45090</c:v>
                </c:pt>
                <c:pt idx="277">
                  <c:v>45089</c:v>
                </c:pt>
                <c:pt idx="278">
                  <c:v>45086</c:v>
                </c:pt>
                <c:pt idx="279">
                  <c:v>45085</c:v>
                </c:pt>
                <c:pt idx="280">
                  <c:v>45084</c:v>
                </c:pt>
                <c:pt idx="281">
                  <c:v>45083</c:v>
                </c:pt>
                <c:pt idx="282">
                  <c:v>45082</c:v>
                </c:pt>
                <c:pt idx="283">
                  <c:v>45079</c:v>
                </c:pt>
                <c:pt idx="284">
                  <c:v>45078</c:v>
                </c:pt>
                <c:pt idx="285">
                  <c:v>45077</c:v>
                </c:pt>
                <c:pt idx="286">
                  <c:v>45076</c:v>
                </c:pt>
                <c:pt idx="287">
                  <c:v>45075</c:v>
                </c:pt>
                <c:pt idx="288">
                  <c:v>45072</c:v>
                </c:pt>
                <c:pt idx="289">
                  <c:v>45071</c:v>
                </c:pt>
                <c:pt idx="290">
                  <c:v>45070</c:v>
                </c:pt>
                <c:pt idx="291">
                  <c:v>45069</c:v>
                </c:pt>
                <c:pt idx="292">
                  <c:v>45068</c:v>
                </c:pt>
                <c:pt idx="293">
                  <c:v>45065</c:v>
                </c:pt>
                <c:pt idx="294">
                  <c:v>45064</c:v>
                </c:pt>
                <c:pt idx="295">
                  <c:v>45063</c:v>
                </c:pt>
                <c:pt idx="296">
                  <c:v>45062</c:v>
                </c:pt>
                <c:pt idx="297">
                  <c:v>45061</c:v>
                </c:pt>
                <c:pt idx="298">
                  <c:v>45058</c:v>
                </c:pt>
                <c:pt idx="299">
                  <c:v>45057</c:v>
                </c:pt>
                <c:pt idx="300">
                  <c:v>45056</c:v>
                </c:pt>
                <c:pt idx="301">
                  <c:v>45055</c:v>
                </c:pt>
                <c:pt idx="302">
                  <c:v>45054</c:v>
                </c:pt>
                <c:pt idx="303">
                  <c:v>45051</c:v>
                </c:pt>
                <c:pt idx="304">
                  <c:v>45050</c:v>
                </c:pt>
                <c:pt idx="305">
                  <c:v>45044</c:v>
                </c:pt>
                <c:pt idx="306">
                  <c:v>45043</c:v>
                </c:pt>
                <c:pt idx="307">
                  <c:v>45042</c:v>
                </c:pt>
                <c:pt idx="308">
                  <c:v>45041</c:v>
                </c:pt>
                <c:pt idx="309">
                  <c:v>45040</c:v>
                </c:pt>
                <c:pt idx="310">
                  <c:v>45037</c:v>
                </c:pt>
                <c:pt idx="311">
                  <c:v>45036</c:v>
                </c:pt>
                <c:pt idx="312">
                  <c:v>45035</c:v>
                </c:pt>
                <c:pt idx="313">
                  <c:v>45034</c:v>
                </c:pt>
                <c:pt idx="314">
                  <c:v>45033</c:v>
                </c:pt>
                <c:pt idx="315">
                  <c:v>45030</c:v>
                </c:pt>
                <c:pt idx="316">
                  <c:v>45029</c:v>
                </c:pt>
                <c:pt idx="317">
                  <c:v>45028</c:v>
                </c:pt>
                <c:pt idx="318">
                  <c:v>45027</c:v>
                </c:pt>
                <c:pt idx="319">
                  <c:v>45026</c:v>
                </c:pt>
                <c:pt idx="320">
                  <c:v>45023</c:v>
                </c:pt>
                <c:pt idx="321">
                  <c:v>45022</c:v>
                </c:pt>
                <c:pt idx="322">
                  <c:v>45021</c:v>
                </c:pt>
                <c:pt idx="323">
                  <c:v>45020</c:v>
                </c:pt>
                <c:pt idx="324">
                  <c:v>45019</c:v>
                </c:pt>
                <c:pt idx="325">
                  <c:v>45016</c:v>
                </c:pt>
                <c:pt idx="326">
                  <c:v>45015</c:v>
                </c:pt>
                <c:pt idx="327">
                  <c:v>45014</c:v>
                </c:pt>
                <c:pt idx="328">
                  <c:v>45013</c:v>
                </c:pt>
                <c:pt idx="329">
                  <c:v>45012</c:v>
                </c:pt>
                <c:pt idx="330">
                  <c:v>45009</c:v>
                </c:pt>
                <c:pt idx="331">
                  <c:v>45008</c:v>
                </c:pt>
                <c:pt idx="332">
                  <c:v>45007</c:v>
                </c:pt>
                <c:pt idx="333">
                  <c:v>45006</c:v>
                </c:pt>
                <c:pt idx="334">
                  <c:v>45005</c:v>
                </c:pt>
                <c:pt idx="335">
                  <c:v>45002</c:v>
                </c:pt>
                <c:pt idx="336">
                  <c:v>45001</c:v>
                </c:pt>
                <c:pt idx="337">
                  <c:v>45000</c:v>
                </c:pt>
                <c:pt idx="338">
                  <c:v>44999</c:v>
                </c:pt>
                <c:pt idx="339">
                  <c:v>44998</c:v>
                </c:pt>
                <c:pt idx="340">
                  <c:v>44995</c:v>
                </c:pt>
                <c:pt idx="341">
                  <c:v>44994</c:v>
                </c:pt>
                <c:pt idx="342">
                  <c:v>44993</c:v>
                </c:pt>
                <c:pt idx="343">
                  <c:v>44992</c:v>
                </c:pt>
                <c:pt idx="344">
                  <c:v>44991</c:v>
                </c:pt>
                <c:pt idx="345">
                  <c:v>44988</c:v>
                </c:pt>
                <c:pt idx="346">
                  <c:v>44987</c:v>
                </c:pt>
                <c:pt idx="347">
                  <c:v>44986</c:v>
                </c:pt>
                <c:pt idx="348">
                  <c:v>44985</c:v>
                </c:pt>
                <c:pt idx="349">
                  <c:v>44984</c:v>
                </c:pt>
                <c:pt idx="350">
                  <c:v>44981</c:v>
                </c:pt>
                <c:pt idx="351">
                  <c:v>44980</c:v>
                </c:pt>
                <c:pt idx="352">
                  <c:v>44979</c:v>
                </c:pt>
                <c:pt idx="353">
                  <c:v>44978</c:v>
                </c:pt>
                <c:pt idx="354">
                  <c:v>44977</c:v>
                </c:pt>
                <c:pt idx="355">
                  <c:v>44974</c:v>
                </c:pt>
                <c:pt idx="356">
                  <c:v>44973</c:v>
                </c:pt>
                <c:pt idx="357">
                  <c:v>44972</c:v>
                </c:pt>
                <c:pt idx="358">
                  <c:v>44971</c:v>
                </c:pt>
                <c:pt idx="359">
                  <c:v>44970</c:v>
                </c:pt>
                <c:pt idx="360">
                  <c:v>44967</c:v>
                </c:pt>
                <c:pt idx="361">
                  <c:v>44966</c:v>
                </c:pt>
                <c:pt idx="362">
                  <c:v>44965</c:v>
                </c:pt>
                <c:pt idx="363">
                  <c:v>44964</c:v>
                </c:pt>
                <c:pt idx="364">
                  <c:v>44963</c:v>
                </c:pt>
                <c:pt idx="365">
                  <c:v>44960</c:v>
                </c:pt>
                <c:pt idx="366">
                  <c:v>44959</c:v>
                </c:pt>
                <c:pt idx="367">
                  <c:v>44958</c:v>
                </c:pt>
                <c:pt idx="368">
                  <c:v>44957</c:v>
                </c:pt>
                <c:pt idx="369">
                  <c:v>44956</c:v>
                </c:pt>
                <c:pt idx="370">
                  <c:v>44953</c:v>
                </c:pt>
                <c:pt idx="371">
                  <c:v>44945</c:v>
                </c:pt>
                <c:pt idx="372">
                  <c:v>44944</c:v>
                </c:pt>
                <c:pt idx="373">
                  <c:v>44943</c:v>
                </c:pt>
                <c:pt idx="374">
                  <c:v>44942</c:v>
                </c:pt>
                <c:pt idx="375">
                  <c:v>44939</c:v>
                </c:pt>
                <c:pt idx="376">
                  <c:v>44938</c:v>
                </c:pt>
                <c:pt idx="377">
                  <c:v>44937</c:v>
                </c:pt>
                <c:pt idx="378">
                  <c:v>44936</c:v>
                </c:pt>
                <c:pt idx="379">
                  <c:v>44935</c:v>
                </c:pt>
                <c:pt idx="380">
                  <c:v>44932</c:v>
                </c:pt>
                <c:pt idx="381">
                  <c:v>44931</c:v>
                </c:pt>
                <c:pt idx="382">
                  <c:v>44930</c:v>
                </c:pt>
                <c:pt idx="383">
                  <c:v>44929</c:v>
                </c:pt>
                <c:pt idx="384">
                  <c:v>44925</c:v>
                </c:pt>
                <c:pt idx="385">
                  <c:v>44924</c:v>
                </c:pt>
                <c:pt idx="386">
                  <c:v>44923</c:v>
                </c:pt>
                <c:pt idx="387">
                  <c:v>44922</c:v>
                </c:pt>
                <c:pt idx="388">
                  <c:v>44921</c:v>
                </c:pt>
                <c:pt idx="389">
                  <c:v>44918</c:v>
                </c:pt>
                <c:pt idx="390">
                  <c:v>44917</c:v>
                </c:pt>
                <c:pt idx="391">
                  <c:v>44916</c:v>
                </c:pt>
                <c:pt idx="392">
                  <c:v>44915</c:v>
                </c:pt>
                <c:pt idx="393">
                  <c:v>44914</c:v>
                </c:pt>
                <c:pt idx="394">
                  <c:v>44911</c:v>
                </c:pt>
                <c:pt idx="395">
                  <c:v>44910</c:v>
                </c:pt>
                <c:pt idx="396">
                  <c:v>44909</c:v>
                </c:pt>
                <c:pt idx="397">
                  <c:v>44908</c:v>
                </c:pt>
                <c:pt idx="398">
                  <c:v>44907</c:v>
                </c:pt>
                <c:pt idx="399">
                  <c:v>44904</c:v>
                </c:pt>
                <c:pt idx="400">
                  <c:v>44903</c:v>
                </c:pt>
                <c:pt idx="401">
                  <c:v>44902</c:v>
                </c:pt>
                <c:pt idx="402">
                  <c:v>44901</c:v>
                </c:pt>
                <c:pt idx="403">
                  <c:v>44900</c:v>
                </c:pt>
                <c:pt idx="404">
                  <c:v>44897</c:v>
                </c:pt>
                <c:pt idx="405">
                  <c:v>44896</c:v>
                </c:pt>
                <c:pt idx="406">
                  <c:v>44895</c:v>
                </c:pt>
                <c:pt idx="407">
                  <c:v>44894</c:v>
                </c:pt>
                <c:pt idx="408">
                  <c:v>44893</c:v>
                </c:pt>
                <c:pt idx="409">
                  <c:v>44890</c:v>
                </c:pt>
                <c:pt idx="410">
                  <c:v>44889</c:v>
                </c:pt>
                <c:pt idx="411">
                  <c:v>44888</c:v>
                </c:pt>
                <c:pt idx="412">
                  <c:v>44887</c:v>
                </c:pt>
                <c:pt idx="413">
                  <c:v>44886</c:v>
                </c:pt>
                <c:pt idx="414">
                  <c:v>44883</c:v>
                </c:pt>
                <c:pt idx="415">
                  <c:v>44882</c:v>
                </c:pt>
                <c:pt idx="416">
                  <c:v>44881</c:v>
                </c:pt>
                <c:pt idx="417">
                  <c:v>44880</c:v>
                </c:pt>
                <c:pt idx="418">
                  <c:v>44879</c:v>
                </c:pt>
                <c:pt idx="419">
                  <c:v>44876</c:v>
                </c:pt>
                <c:pt idx="420">
                  <c:v>44875</c:v>
                </c:pt>
                <c:pt idx="421">
                  <c:v>44874</c:v>
                </c:pt>
                <c:pt idx="422">
                  <c:v>44873</c:v>
                </c:pt>
                <c:pt idx="423">
                  <c:v>44872</c:v>
                </c:pt>
                <c:pt idx="424">
                  <c:v>44869</c:v>
                </c:pt>
                <c:pt idx="425">
                  <c:v>44868</c:v>
                </c:pt>
                <c:pt idx="426">
                  <c:v>44867</c:v>
                </c:pt>
                <c:pt idx="427">
                  <c:v>44866</c:v>
                </c:pt>
                <c:pt idx="428">
                  <c:v>44865</c:v>
                </c:pt>
                <c:pt idx="429">
                  <c:v>44862</c:v>
                </c:pt>
                <c:pt idx="430">
                  <c:v>44861</c:v>
                </c:pt>
                <c:pt idx="431">
                  <c:v>44860</c:v>
                </c:pt>
                <c:pt idx="432">
                  <c:v>44859</c:v>
                </c:pt>
                <c:pt idx="433">
                  <c:v>44858</c:v>
                </c:pt>
                <c:pt idx="434">
                  <c:v>44855</c:v>
                </c:pt>
                <c:pt idx="435">
                  <c:v>44854</c:v>
                </c:pt>
                <c:pt idx="436">
                  <c:v>44853</c:v>
                </c:pt>
                <c:pt idx="437">
                  <c:v>44852</c:v>
                </c:pt>
                <c:pt idx="438">
                  <c:v>44851</c:v>
                </c:pt>
                <c:pt idx="439">
                  <c:v>44848</c:v>
                </c:pt>
                <c:pt idx="440">
                  <c:v>44847</c:v>
                </c:pt>
                <c:pt idx="441">
                  <c:v>44846</c:v>
                </c:pt>
                <c:pt idx="442">
                  <c:v>44845</c:v>
                </c:pt>
                <c:pt idx="443">
                  <c:v>44844</c:v>
                </c:pt>
                <c:pt idx="444">
                  <c:v>44841</c:v>
                </c:pt>
                <c:pt idx="445">
                  <c:v>44840</c:v>
                </c:pt>
                <c:pt idx="446">
                  <c:v>44839</c:v>
                </c:pt>
                <c:pt idx="447">
                  <c:v>44838</c:v>
                </c:pt>
                <c:pt idx="448">
                  <c:v>44837</c:v>
                </c:pt>
                <c:pt idx="449">
                  <c:v>44834</c:v>
                </c:pt>
                <c:pt idx="450">
                  <c:v>44833</c:v>
                </c:pt>
                <c:pt idx="451">
                  <c:v>44832</c:v>
                </c:pt>
                <c:pt idx="452">
                  <c:v>44831</c:v>
                </c:pt>
                <c:pt idx="453">
                  <c:v>44830</c:v>
                </c:pt>
                <c:pt idx="454">
                  <c:v>44827</c:v>
                </c:pt>
                <c:pt idx="455">
                  <c:v>44826</c:v>
                </c:pt>
                <c:pt idx="456">
                  <c:v>44825</c:v>
                </c:pt>
                <c:pt idx="457">
                  <c:v>44824</c:v>
                </c:pt>
                <c:pt idx="458">
                  <c:v>44823</c:v>
                </c:pt>
                <c:pt idx="459">
                  <c:v>44820</c:v>
                </c:pt>
                <c:pt idx="460">
                  <c:v>44819</c:v>
                </c:pt>
                <c:pt idx="461">
                  <c:v>44818</c:v>
                </c:pt>
                <c:pt idx="462">
                  <c:v>44817</c:v>
                </c:pt>
                <c:pt idx="463">
                  <c:v>44816</c:v>
                </c:pt>
                <c:pt idx="464">
                  <c:v>44813</c:v>
                </c:pt>
                <c:pt idx="465">
                  <c:v>44812</c:v>
                </c:pt>
                <c:pt idx="466">
                  <c:v>44811</c:v>
                </c:pt>
                <c:pt idx="467">
                  <c:v>44810</c:v>
                </c:pt>
                <c:pt idx="468">
                  <c:v>44809</c:v>
                </c:pt>
                <c:pt idx="469">
                  <c:v>44804</c:v>
                </c:pt>
                <c:pt idx="470">
                  <c:v>44803</c:v>
                </c:pt>
                <c:pt idx="471">
                  <c:v>44802</c:v>
                </c:pt>
                <c:pt idx="472">
                  <c:v>44799</c:v>
                </c:pt>
                <c:pt idx="473">
                  <c:v>44798</c:v>
                </c:pt>
                <c:pt idx="474">
                  <c:v>44797</c:v>
                </c:pt>
                <c:pt idx="475">
                  <c:v>44796</c:v>
                </c:pt>
                <c:pt idx="476">
                  <c:v>44795</c:v>
                </c:pt>
                <c:pt idx="477">
                  <c:v>44792</c:v>
                </c:pt>
                <c:pt idx="478">
                  <c:v>44791</c:v>
                </c:pt>
                <c:pt idx="479">
                  <c:v>44790</c:v>
                </c:pt>
                <c:pt idx="480">
                  <c:v>44789</c:v>
                </c:pt>
                <c:pt idx="481">
                  <c:v>44788</c:v>
                </c:pt>
                <c:pt idx="482">
                  <c:v>44785</c:v>
                </c:pt>
                <c:pt idx="483">
                  <c:v>44784</c:v>
                </c:pt>
                <c:pt idx="484">
                  <c:v>44783</c:v>
                </c:pt>
                <c:pt idx="485">
                  <c:v>44782</c:v>
                </c:pt>
                <c:pt idx="486">
                  <c:v>44781</c:v>
                </c:pt>
                <c:pt idx="487">
                  <c:v>44778</c:v>
                </c:pt>
                <c:pt idx="488">
                  <c:v>44777</c:v>
                </c:pt>
                <c:pt idx="489">
                  <c:v>44776</c:v>
                </c:pt>
                <c:pt idx="490">
                  <c:v>44775</c:v>
                </c:pt>
                <c:pt idx="491">
                  <c:v>44774</c:v>
                </c:pt>
                <c:pt idx="492">
                  <c:v>44771</c:v>
                </c:pt>
                <c:pt idx="493">
                  <c:v>44770</c:v>
                </c:pt>
                <c:pt idx="494">
                  <c:v>44769</c:v>
                </c:pt>
                <c:pt idx="495">
                  <c:v>44768</c:v>
                </c:pt>
                <c:pt idx="496">
                  <c:v>44767</c:v>
                </c:pt>
                <c:pt idx="497">
                  <c:v>44764</c:v>
                </c:pt>
                <c:pt idx="498">
                  <c:v>44763</c:v>
                </c:pt>
                <c:pt idx="499">
                  <c:v>44762</c:v>
                </c:pt>
                <c:pt idx="500">
                  <c:v>44761</c:v>
                </c:pt>
                <c:pt idx="501">
                  <c:v>44760</c:v>
                </c:pt>
                <c:pt idx="502">
                  <c:v>44757</c:v>
                </c:pt>
                <c:pt idx="503">
                  <c:v>44756</c:v>
                </c:pt>
                <c:pt idx="504">
                  <c:v>44755</c:v>
                </c:pt>
                <c:pt idx="505">
                  <c:v>44754</c:v>
                </c:pt>
                <c:pt idx="506">
                  <c:v>44753</c:v>
                </c:pt>
                <c:pt idx="507">
                  <c:v>44750</c:v>
                </c:pt>
                <c:pt idx="508">
                  <c:v>44749</c:v>
                </c:pt>
                <c:pt idx="509">
                  <c:v>44748</c:v>
                </c:pt>
                <c:pt idx="510">
                  <c:v>44747</c:v>
                </c:pt>
                <c:pt idx="511">
                  <c:v>44746</c:v>
                </c:pt>
                <c:pt idx="512">
                  <c:v>44743</c:v>
                </c:pt>
                <c:pt idx="513">
                  <c:v>44742</c:v>
                </c:pt>
                <c:pt idx="514">
                  <c:v>44741</c:v>
                </c:pt>
                <c:pt idx="515">
                  <c:v>44740</c:v>
                </c:pt>
                <c:pt idx="516">
                  <c:v>44739</c:v>
                </c:pt>
                <c:pt idx="517">
                  <c:v>44736</c:v>
                </c:pt>
                <c:pt idx="518">
                  <c:v>44735</c:v>
                </c:pt>
                <c:pt idx="519">
                  <c:v>44734</c:v>
                </c:pt>
                <c:pt idx="520">
                  <c:v>44733</c:v>
                </c:pt>
                <c:pt idx="521">
                  <c:v>44732</c:v>
                </c:pt>
                <c:pt idx="522">
                  <c:v>44729</c:v>
                </c:pt>
                <c:pt idx="523">
                  <c:v>44728</c:v>
                </c:pt>
                <c:pt idx="524">
                  <c:v>44727</c:v>
                </c:pt>
                <c:pt idx="525">
                  <c:v>44726</c:v>
                </c:pt>
                <c:pt idx="526">
                  <c:v>44725</c:v>
                </c:pt>
                <c:pt idx="527">
                  <c:v>44722</c:v>
                </c:pt>
                <c:pt idx="528">
                  <c:v>44721</c:v>
                </c:pt>
                <c:pt idx="529">
                  <c:v>44720</c:v>
                </c:pt>
                <c:pt idx="530">
                  <c:v>44719</c:v>
                </c:pt>
                <c:pt idx="531">
                  <c:v>44718</c:v>
                </c:pt>
                <c:pt idx="532">
                  <c:v>44715</c:v>
                </c:pt>
                <c:pt idx="533">
                  <c:v>44714</c:v>
                </c:pt>
                <c:pt idx="534">
                  <c:v>44713</c:v>
                </c:pt>
                <c:pt idx="535">
                  <c:v>44712</c:v>
                </c:pt>
                <c:pt idx="536">
                  <c:v>44711</c:v>
                </c:pt>
                <c:pt idx="537">
                  <c:v>44708</c:v>
                </c:pt>
                <c:pt idx="538">
                  <c:v>44707</c:v>
                </c:pt>
                <c:pt idx="539">
                  <c:v>44706</c:v>
                </c:pt>
                <c:pt idx="540">
                  <c:v>44705</c:v>
                </c:pt>
                <c:pt idx="541">
                  <c:v>44704</c:v>
                </c:pt>
                <c:pt idx="542">
                  <c:v>44701</c:v>
                </c:pt>
                <c:pt idx="543">
                  <c:v>44700</c:v>
                </c:pt>
                <c:pt idx="544">
                  <c:v>44699</c:v>
                </c:pt>
                <c:pt idx="545">
                  <c:v>44698</c:v>
                </c:pt>
                <c:pt idx="546">
                  <c:v>44697</c:v>
                </c:pt>
                <c:pt idx="547">
                  <c:v>44694</c:v>
                </c:pt>
                <c:pt idx="548">
                  <c:v>44693</c:v>
                </c:pt>
                <c:pt idx="549">
                  <c:v>44692</c:v>
                </c:pt>
                <c:pt idx="550">
                  <c:v>44691</c:v>
                </c:pt>
                <c:pt idx="551">
                  <c:v>44690</c:v>
                </c:pt>
                <c:pt idx="552">
                  <c:v>44687</c:v>
                </c:pt>
                <c:pt idx="553">
                  <c:v>44686</c:v>
                </c:pt>
                <c:pt idx="554">
                  <c:v>44685</c:v>
                </c:pt>
                <c:pt idx="555">
                  <c:v>44680</c:v>
                </c:pt>
                <c:pt idx="556">
                  <c:v>44679</c:v>
                </c:pt>
                <c:pt idx="557">
                  <c:v>44678</c:v>
                </c:pt>
                <c:pt idx="558">
                  <c:v>44677</c:v>
                </c:pt>
                <c:pt idx="559">
                  <c:v>44676</c:v>
                </c:pt>
                <c:pt idx="560">
                  <c:v>44673</c:v>
                </c:pt>
                <c:pt idx="561">
                  <c:v>44672</c:v>
                </c:pt>
                <c:pt idx="562">
                  <c:v>44671</c:v>
                </c:pt>
                <c:pt idx="563">
                  <c:v>44670</c:v>
                </c:pt>
                <c:pt idx="564">
                  <c:v>44669</c:v>
                </c:pt>
                <c:pt idx="565">
                  <c:v>44666</c:v>
                </c:pt>
                <c:pt idx="566">
                  <c:v>44665</c:v>
                </c:pt>
                <c:pt idx="567">
                  <c:v>44664</c:v>
                </c:pt>
                <c:pt idx="568">
                  <c:v>44663</c:v>
                </c:pt>
                <c:pt idx="569">
                  <c:v>44659</c:v>
                </c:pt>
                <c:pt idx="570">
                  <c:v>44658</c:v>
                </c:pt>
                <c:pt idx="571">
                  <c:v>44657</c:v>
                </c:pt>
                <c:pt idx="572">
                  <c:v>44656</c:v>
                </c:pt>
                <c:pt idx="573">
                  <c:v>44655</c:v>
                </c:pt>
                <c:pt idx="574">
                  <c:v>44652</c:v>
                </c:pt>
                <c:pt idx="575">
                  <c:v>44651</c:v>
                </c:pt>
                <c:pt idx="576">
                  <c:v>44650</c:v>
                </c:pt>
                <c:pt idx="577">
                  <c:v>44649</c:v>
                </c:pt>
                <c:pt idx="578">
                  <c:v>44648</c:v>
                </c:pt>
                <c:pt idx="579">
                  <c:v>44645</c:v>
                </c:pt>
                <c:pt idx="580">
                  <c:v>44644</c:v>
                </c:pt>
                <c:pt idx="581">
                  <c:v>44643</c:v>
                </c:pt>
                <c:pt idx="582">
                  <c:v>44642</c:v>
                </c:pt>
                <c:pt idx="583">
                  <c:v>44641</c:v>
                </c:pt>
                <c:pt idx="584">
                  <c:v>44638</c:v>
                </c:pt>
                <c:pt idx="585">
                  <c:v>44637</c:v>
                </c:pt>
                <c:pt idx="586">
                  <c:v>44636</c:v>
                </c:pt>
                <c:pt idx="587">
                  <c:v>44635</c:v>
                </c:pt>
                <c:pt idx="588">
                  <c:v>44634</c:v>
                </c:pt>
                <c:pt idx="589">
                  <c:v>44631</c:v>
                </c:pt>
                <c:pt idx="590">
                  <c:v>44630</c:v>
                </c:pt>
                <c:pt idx="591">
                  <c:v>44629</c:v>
                </c:pt>
                <c:pt idx="592">
                  <c:v>44628</c:v>
                </c:pt>
                <c:pt idx="593">
                  <c:v>44627</c:v>
                </c:pt>
                <c:pt idx="594">
                  <c:v>44624</c:v>
                </c:pt>
                <c:pt idx="595">
                  <c:v>44623</c:v>
                </c:pt>
                <c:pt idx="596">
                  <c:v>44622</c:v>
                </c:pt>
                <c:pt idx="597">
                  <c:v>44621</c:v>
                </c:pt>
                <c:pt idx="598">
                  <c:v>44620</c:v>
                </c:pt>
                <c:pt idx="599">
                  <c:v>44617</c:v>
                </c:pt>
                <c:pt idx="600">
                  <c:v>44616</c:v>
                </c:pt>
                <c:pt idx="601">
                  <c:v>44615</c:v>
                </c:pt>
                <c:pt idx="602">
                  <c:v>44614</c:v>
                </c:pt>
                <c:pt idx="603">
                  <c:v>44613</c:v>
                </c:pt>
                <c:pt idx="604">
                  <c:v>44610</c:v>
                </c:pt>
                <c:pt idx="605">
                  <c:v>44609</c:v>
                </c:pt>
                <c:pt idx="606">
                  <c:v>44608</c:v>
                </c:pt>
                <c:pt idx="607">
                  <c:v>44607</c:v>
                </c:pt>
                <c:pt idx="608">
                  <c:v>44606</c:v>
                </c:pt>
                <c:pt idx="609">
                  <c:v>44603</c:v>
                </c:pt>
                <c:pt idx="610">
                  <c:v>44602</c:v>
                </c:pt>
                <c:pt idx="611">
                  <c:v>44601</c:v>
                </c:pt>
                <c:pt idx="612">
                  <c:v>44600</c:v>
                </c:pt>
                <c:pt idx="613">
                  <c:v>44599</c:v>
                </c:pt>
                <c:pt idx="614">
                  <c:v>44589</c:v>
                </c:pt>
                <c:pt idx="615">
                  <c:v>44588</c:v>
                </c:pt>
                <c:pt idx="616">
                  <c:v>44587</c:v>
                </c:pt>
                <c:pt idx="617">
                  <c:v>44586</c:v>
                </c:pt>
                <c:pt idx="618">
                  <c:v>44585</c:v>
                </c:pt>
                <c:pt idx="619">
                  <c:v>44582</c:v>
                </c:pt>
                <c:pt idx="620">
                  <c:v>44581</c:v>
                </c:pt>
                <c:pt idx="621">
                  <c:v>44580</c:v>
                </c:pt>
                <c:pt idx="622">
                  <c:v>44579</c:v>
                </c:pt>
                <c:pt idx="623">
                  <c:v>44578</c:v>
                </c:pt>
                <c:pt idx="624">
                  <c:v>44575</c:v>
                </c:pt>
                <c:pt idx="625">
                  <c:v>44574</c:v>
                </c:pt>
                <c:pt idx="626">
                  <c:v>44573</c:v>
                </c:pt>
                <c:pt idx="627">
                  <c:v>44572</c:v>
                </c:pt>
                <c:pt idx="628">
                  <c:v>44571</c:v>
                </c:pt>
                <c:pt idx="629">
                  <c:v>44568</c:v>
                </c:pt>
                <c:pt idx="630">
                  <c:v>44567</c:v>
                </c:pt>
                <c:pt idx="631">
                  <c:v>44566</c:v>
                </c:pt>
                <c:pt idx="632">
                  <c:v>44565</c:v>
                </c:pt>
              </c:numCache>
            </c:numRef>
          </c:cat>
          <c:val>
            <c:numRef>
              <c:f>Diamond!$Z$3:$Z$635</c:f>
              <c:numCache>
                <c:formatCode>General</c:formatCode>
                <c:ptCount val="633"/>
                <c:pt idx="36">
                  <c:v>66.124999999999986</c:v>
                </c:pt>
                <c:pt idx="37">
                  <c:v>1.3224999999999998</c:v>
                </c:pt>
                <c:pt idx="55" formatCode="_(* #,##0_);_(* \(#,##0\);_(* &quot;-&quot;??_);_(@_)">
                  <c:v>1052.6487158800001</c:v>
                </c:pt>
                <c:pt idx="56" formatCode="_(* #,##0_);_(* \(#,##0\);_(* &quot;-&quot;??_);_(@_)">
                  <c:v>1052.6487158800001</c:v>
                </c:pt>
                <c:pt idx="57" formatCode="_(* #,##0_);_(* \(#,##0\);_(* &quot;-&quot;??_);_(@_)">
                  <c:v>168.27048762999999</c:v>
                </c:pt>
                <c:pt idx="58" formatCode="_(* #,##0_);_(* \(#,##0\);_(* &quot;-&quot;??_);_(@_)">
                  <c:v>2212.5829001799998</c:v>
                </c:pt>
                <c:pt idx="59" formatCode="_(* #,##0_);_(* \(#,##0\);_(* &quot;-&quot;??_);_(@_)">
                  <c:v>2212.5829001799998</c:v>
                </c:pt>
                <c:pt idx="60" formatCode="_(* #,##0_);_(* \(#,##0\);_(* &quot;-&quot;??_);_(@_)">
                  <c:v>2212.5829001799998</c:v>
                </c:pt>
                <c:pt idx="61" formatCode="_(* #,##0_);_(* \(#,##0\);_(* &quot;-&quot;??_);_(@_)">
                  <c:v>2212.5829001799998</c:v>
                </c:pt>
                <c:pt idx="62" formatCode="_(* #,##0_);_(* \(#,##0\);_(* &quot;-&quot;??_);_(@_)">
                  <c:v>2212.5829001799998</c:v>
                </c:pt>
                <c:pt idx="63" formatCode="_(* #,##0_);_(* \(#,##0\);_(* &quot;-&quot;??_);_(@_)">
                  <c:v>2212.5829001799998</c:v>
                </c:pt>
                <c:pt idx="64" formatCode="_(* #,##0_);_(* \(#,##0\);_(* &quot;-&quot;??_);_(@_)">
                  <c:v>2212.5829001799998</c:v>
                </c:pt>
                <c:pt idx="65" formatCode="_(* #,##0_);_(* \(#,##0\);_(* &quot;-&quot;??_);_(@_)">
                  <c:v>2212.5829001799998</c:v>
                </c:pt>
                <c:pt idx="66" formatCode="_(* #,##0_);_(* \(#,##0\);_(* &quot;-&quot;??_);_(@_)">
                  <c:v>2212.5829001799998</c:v>
                </c:pt>
                <c:pt idx="67" formatCode="_(* #,##0_);_(* \(#,##0\);_(* &quot;-&quot;??_);_(@_)">
                  <c:v>2212.5829001799998</c:v>
                </c:pt>
                <c:pt idx="68" formatCode="_(* #,##0_);_(* \(#,##0\);_(* &quot;-&quot;??_);_(@_)">
                  <c:v>2212.5829001799998</c:v>
                </c:pt>
                <c:pt idx="69" formatCode="_(* #,##0_);_(* \(#,##0\);_(* &quot;-&quot;??_);_(@_)">
                  <c:v>2212.5829001799998</c:v>
                </c:pt>
                <c:pt idx="70" formatCode="_(* #,##0_);_(* \(#,##0\);_(* &quot;-&quot;??_);_(@_)">
                  <c:v>2212.5829001799998</c:v>
                </c:pt>
                <c:pt idx="71" formatCode="_(* #,##0_);_(* \(#,##0\);_(* &quot;-&quot;??_);_(@_)">
                  <c:v>2212.5829001799998</c:v>
                </c:pt>
                <c:pt idx="72" formatCode="_(* #,##0_);_(* \(#,##0\);_(* &quot;-&quot;??_);_(@_)">
                  <c:v>2212.5829001799998</c:v>
                </c:pt>
                <c:pt idx="73" formatCode="_(* #,##0_);_(* \(#,##0\);_(* &quot;-&quot;??_);_(@_)">
                  <c:v>2212.5829001799998</c:v>
                </c:pt>
                <c:pt idx="74" formatCode="_(* #,##0_);_(* \(#,##0\);_(* &quot;-&quot;??_);_(@_)">
                  <c:v>2212.5829001799998</c:v>
                </c:pt>
                <c:pt idx="75" formatCode="_(* #,##0_);_(* \(#,##0\);_(* &quot;-&quot;??_);_(@_)">
                  <c:v>2212.5829001799998</c:v>
                </c:pt>
                <c:pt idx="76" formatCode="_(* #,##0_);_(* \(#,##0\);_(* &quot;-&quot;??_);_(@_)">
                  <c:v>1052.50187018</c:v>
                </c:pt>
                <c:pt idx="77" formatCode="_(* #,##0_);_(* \(#,##0\);_(* &quot;-&quot;??_);_(@_)">
                  <c:v>1052.50187018</c:v>
                </c:pt>
                <c:pt idx="78" formatCode="_(* #,##0_);_(* \(#,##0\);_(* &quot;-&quot;??_);_(@_)">
                  <c:v>1052.5165547499998</c:v>
                </c:pt>
                <c:pt idx="79" formatCode="_(* #,##0_);_(* \(#,##0\);_(* &quot;-&quot;??_);_(@_)">
                  <c:v>1052.5165547499998</c:v>
                </c:pt>
                <c:pt idx="80" formatCode="_(* #,##0_);_(* \(#,##0\);_(* &quot;-&quot;??_);_(@_)">
                  <c:v>1052.5165547499998</c:v>
                </c:pt>
                <c:pt idx="81" formatCode="_(* #,##0_);_(* \(#,##0\);_(* &quot;-&quot;??_);_(@_)">
                  <c:v>1052.5165547499998</c:v>
                </c:pt>
                <c:pt idx="82" formatCode="_(* #,##0_);_(* \(#,##0\);_(* &quot;-&quot;??_);_(@_)">
                  <c:v>1052.5165547499998</c:v>
                </c:pt>
                <c:pt idx="83" formatCode="_(* #,##0_);_(* \(#,##0\);_(* &quot;-&quot;??_);_(@_)">
                  <c:v>1052.5165547499998</c:v>
                </c:pt>
                <c:pt idx="84" formatCode="_(* #,##0_);_(* \(#,##0\);_(* &quot;-&quot;??_);_(@_)">
                  <c:v>1052.5165547499998</c:v>
                </c:pt>
                <c:pt idx="85" formatCode="_(* #,##0_);_(* \(#,##0\);_(* &quot;-&quot;??_);_(@_)">
                  <c:v>1052.5165547499998</c:v>
                </c:pt>
                <c:pt idx="86" formatCode="_(* #,##0_);_(* \(#,##0\);_(* &quot;-&quot;??_);_(@_)">
                  <c:v>1052.5312393199999</c:v>
                </c:pt>
                <c:pt idx="87" formatCode="_(* #,##0_);_(* \(#,##0\);_(* &quot;-&quot;??_);_(@_)">
                  <c:v>1052.5312393199999</c:v>
                </c:pt>
                <c:pt idx="88" formatCode="_(* #,##0_);_(* \(#,##0\);_(* &quot;-&quot;??_);_(@_)">
                  <c:v>1052.5312393199999</c:v>
                </c:pt>
                <c:pt idx="89" formatCode="_(* #,##0_);_(* \(#,##0\);_(* &quot;-&quot;??_);_(@_)">
                  <c:v>1052.5312393199999</c:v>
                </c:pt>
                <c:pt idx="90" formatCode="_(* #,##0_);_(* \(#,##0\);_(* &quot;-&quot;??_);_(@_)">
                  <c:v>1052.5312393199999</c:v>
                </c:pt>
                <c:pt idx="91" formatCode="_(* #,##0_);_(* \(#,##0\);_(* &quot;-&quot;??_);_(@_)">
                  <c:v>1052.5312393199999</c:v>
                </c:pt>
                <c:pt idx="92" formatCode="_(* #,##0_);_(* \(#,##0\);_(* &quot;-&quot;??_);_(@_)">
                  <c:v>1052.5459238899998</c:v>
                </c:pt>
                <c:pt idx="93" formatCode="_(* #,##0_);_(* \(#,##0\);_(* &quot;-&quot;??_);_(@_)">
                  <c:v>1052.5459238899998</c:v>
                </c:pt>
                <c:pt idx="94" formatCode="_(* #,##0_);_(* \(#,##0\);_(* &quot;-&quot;??_);_(@_)">
                  <c:v>1052.5459238899998</c:v>
                </c:pt>
                <c:pt idx="95" formatCode="_(* #,##0_);_(* \(#,##0\);_(* &quot;-&quot;??_);_(@_)">
                  <c:v>1052.5459238899998</c:v>
                </c:pt>
                <c:pt idx="96" formatCode="_(* #,##0_);_(* \(#,##0\);_(* &quot;-&quot;??_);_(@_)">
                  <c:v>1052.5459238899998</c:v>
                </c:pt>
                <c:pt idx="97" formatCode="_(* #,##0_);_(* \(#,##0\);_(* &quot;-&quot;??_);_(@_)">
                  <c:v>1052.5459238899998</c:v>
                </c:pt>
                <c:pt idx="98" formatCode="_(* #,##0_);_(* \(#,##0\);_(* &quot;-&quot;??_);_(@_)">
                  <c:v>1052.5606084599999</c:v>
                </c:pt>
                <c:pt idx="99" formatCode="_(* #,##0_);_(* \(#,##0\);_(* &quot;-&quot;??_);_(@_)">
                  <c:v>1052.5606084599999</c:v>
                </c:pt>
                <c:pt idx="100" formatCode="_(* #,##0_);_(* \(#,##0\);_(* &quot;-&quot;??_);_(@_)">
                  <c:v>1052.5606084599999</c:v>
                </c:pt>
                <c:pt idx="101" formatCode="_(* #,##0_);_(* \(#,##0\);_(* &quot;-&quot;??_);_(@_)">
                  <c:v>1052.5606084599999</c:v>
                </c:pt>
                <c:pt idx="102" formatCode="_(* #,##0_);_(* \(#,##0\);_(* &quot;-&quot;??_);_(@_)">
                  <c:v>1052.5606084599999</c:v>
                </c:pt>
                <c:pt idx="103" formatCode="_(* #,##0_);_(* \(#,##0\);_(* &quot;-&quot;??_);_(@_)">
                  <c:v>1052.5752930299998</c:v>
                </c:pt>
                <c:pt idx="104" formatCode="_(* #,##0_);_(* \(#,##0\);_(* &quot;-&quot;??_);_(@_)">
                  <c:v>1052.5752930299998</c:v>
                </c:pt>
                <c:pt idx="105" formatCode="_(* #,##0_);_(* \(#,##0\);_(* &quot;-&quot;??_);_(@_)">
                  <c:v>1052.5752930299998</c:v>
                </c:pt>
                <c:pt idx="106" formatCode="_(* #,##0_);_(* \(#,##0\);_(* &quot;-&quot;??_);_(@_)">
                  <c:v>1052.5752930299998</c:v>
                </c:pt>
                <c:pt idx="107" formatCode="_(* #,##0_);_(* \(#,##0\);_(* &quot;-&quot;??_);_(@_)">
                  <c:v>1052.5899775999999</c:v>
                </c:pt>
                <c:pt idx="108" formatCode="_(* #,##0_);_(* \(#,##0\);_(* &quot;-&quot;??_);_(@_)">
                  <c:v>1052.5899775999999</c:v>
                </c:pt>
                <c:pt idx="109" formatCode="_(* #,##0_);_(* \(#,##0\);_(* &quot;-&quot;??_);_(@_)">
                  <c:v>1052.5899775999999</c:v>
                </c:pt>
                <c:pt idx="110" formatCode="_(* #,##0_);_(* \(#,##0\);_(* &quot;-&quot;??_);_(@_)">
                  <c:v>1052.5899775999999</c:v>
                </c:pt>
                <c:pt idx="111" formatCode="_(* #,##0_);_(* \(#,##0\);_(* &quot;-&quot;??_);_(@_)">
                  <c:v>1052.5899775999999</c:v>
                </c:pt>
                <c:pt idx="112" formatCode="_(* #,##0_);_(* \(#,##0\);_(* &quot;-&quot;??_);_(@_)">
                  <c:v>1052.6046621699998</c:v>
                </c:pt>
                <c:pt idx="113" formatCode="_(* #,##0_);_(* \(#,##0\);_(* &quot;-&quot;??_);_(@_)">
                  <c:v>1052.6046621699998</c:v>
                </c:pt>
                <c:pt idx="114" formatCode="_(* #,##0_);_(* \(#,##0\);_(* &quot;-&quot;??_);_(@_)">
                  <c:v>1052.6046621699998</c:v>
                </c:pt>
                <c:pt idx="115" formatCode="_(* #,##0_);_(* \(#,##0\);_(* &quot;-&quot;??_);_(@_)">
                  <c:v>1052.6046621699998</c:v>
                </c:pt>
                <c:pt idx="116" formatCode="_(* #,##0_);_(* \(#,##0\);_(* &quot;-&quot;??_);_(@_)">
                  <c:v>1052.6046621699998</c:v>
                </c:pt>
                <c:pt idx="117" formatCode="_(* #,##0_);_(* \(#,##0\);_(* &quot;-&quot;??_);_(@_)">
                  <c:v>1052.6193467400001</c:v>
                </c:pt>
                <c:pt idx="118" formatCode="_(* #,##0_);_(* \(#,##0\);_(* &quot;-&quot;??_);_(@_)">
                  <c:v>1052.6193467400001</c:v>
                </c:pt>
                <c:pt idx="119" formatCode="_(* #,##0_);_(* \(#,##0\);_(* &quot;-&quot;??_);_(@_)">
                  <c:v>1052.6193467400001</c:v>
                </c:pt>
                <c:pt idx="120" formatCode="_(* #,##0_);_(* \(#,##0\);_(* &quot;-&quot;??_);_(@_)">
                  <c:v>1052.6193467400001</c:v>
                </c:pt>
                <c:pt idx="121" formatCode="_(* #,##0_);_(* \(#,##0\);_(* &quot;-&quot;??_);_(@_)">
                  <c:v>1052.6193467400001</c:v>
                </c:pt>
                <c:pt idx="122" formatCode="_(* #,##0_);_(* \(#,##0\);_(* &quot;-&quot;??_);_(@_)">
                  <c:v>1052.63403131</c:v>
                </c:pt>
                <c:pt idx="123" formatCode="_(* #,##0_);_(* \(#,##0\);_(* &quot;-&quot;??_);_(@_)">
                  <c:v>1052.63403131</c:v>
                </c:pt>
                <c:pt idx="124" formatCode="_(* #,##0_);_(* \(#,##0\);_(* &quot;-&quot;??_);_(@_)">
                  <c:v>1052.63403131</c:v>
                </c:pt>
                <c:pt idx="125" formatCode="_(* #,##0_);_(* \(#,##0\);_(* &quot;-&quot;??_);_(@_)">
                  <c:v>1052.63403131</c:v>
                </c:pt>
                <c:pt idx="126" formatCode="_(* #,##0_);_(* \(#,##0\);_(* &quot;-&quot;??_);_(@_)">
                  <c:v>1052.63403131</c:v>
                </c:pt>
                <c:pt idx="127" formatCode="_(* #,##0_);_(* \(#,##0\);_(* &quot;-&quot;??_);_(@_)">
                  <c:v>1052.6487158800001</c:v>
                </c:pt>
                <c:pt idx="128" formatCode="_(* #,##0_);_(* \(#,##0\);_(* &quot;-&quot;??_);_(@_)">
                  <c:v>1052.6487158800001</c:v>
                </c:pt>
                <c:pt idx="129" formatCode="_(* #,##0_);_(* \(#,##0\);_(* &quot;-&quot;??_);_(@_)">
                  <c:v>1052.6487158800001</c:v>
                </c:pt>
                <c:pt idx="130" formatCode="_(* #,##0_);_(* \(#,##0\);_(* &quot;-&quot;??_);_(@_)">
                  <c:v>1052.6487158800001</c:v>
                </c:pt>
                <c:pt idx="131" formatCode="_(* #,##0_);_(* \(#,##0\);_(* &quot;-&quot;??_);_(@_)">
                  <c:v>1052.6487158800001</c:v>
                </c:pt>
                <c:pt idx="132" formatCode="_(* #,##0_);_(* \(#,##0\);_(* &quot;-&quot;??_);_(@_)">
                  <c:v>1052.6487158800001</c:v>
                </c:pt>
                <c:pt idx="133" formatCode="_(* #,##0_);_(* \(#,##0\);_(* &quot;-&quot;??_);_(@_)">
                  <c:v>1052.6487158800001</c:v>
                </c:pt>
                <c:pt idx="134" formatCode="_(* #,##0_);_(* \(#,##0\);_(* &quot;-&quot;??_);_(@_)">
                  <c:v>1052.6487158800001</c:v>
                </c:pt>
                <c:pt idx="135" formatCode="_(* #,##0_);_(* \(#,##0\);_(* &quot;-&quot;??_);_(@_)">
                  <c:v>1052.6487158800001</c:v>
                </c:pt>
                <c:pt idx="136" formatCode="_(* #,##0_);_(* \(#,##0\);_(* &quot;-&quot;??_);_(@_)">
                  <c:v>1052.6487158800001</c:v>
                </c:pt>
                <c:pt idx="137" formatCode="_(* #,##0_);_(* \(#,##0\);_(* &quot;-&quot;??_);_(@_)">
                  <c:v>1052.6487158800001</c:v>
                </c:pt>
                <c:pt idx="138" formatCode="_(* #,##0_);_(* \(#,##0\);_(* &quot;-&quot;??_);_(@_)">
                  <c:v>1052.6487158800001</c:v>
                </c:pt>
                <c:pt idx="139" formatCode="_(* #,##0_);_(* \(#,##0\);_(* &quot;-&quot;??_);_(@_)">
                  <c:v>168.27048762999999</c:v>
                </c:pt>
                <c:pt idx="140" formatCode="_(* #,##0_);_(* \(#,##0\);_(* &quot;-&quot;??_);_(@_)">
                  <c:v>168.27048762999999</c:v>
                </c:pt>
                <c:pt idx="141" formatCode="_(* #,##0_);_(* \(#,##0\);_(* &quot;-&quot;??_);_(@_)">
                  <c:v>168.27048762999999</c:v>
                </c:pt>
                <c:pt idx="142" formatCode="_(* #,##0_);_(* \(#,##0\);_(* &quot;-&quot;??_);_(@_)">
                  <c:v>168.27048762999999</c:v>
                </c:pt>
                <c:pt idx="143" formatCode="_(* #,##0_);_(* \(#,##0\);_(* &quot;-&quot;??_);_(@_)">
                  <c:v>168.27048762999999</c:v>
                </c:pt>
                <c:pt idx="144" formatCode="_(* #,##0_);_(* \(#,##0\);_(* &quot;-&quot;??_);_(@_)">
                  <c:v>168.27048762999999</c:v>
                </c:pt>
                <c:pt idx="145" formatCode="_(* #,##0_);_(* \(#,##0\);_(* &quot;-&quot;??_);_(@_)">
                  <c:v>168.27048762999999</c:v>
                </c:pt>
                <c:pt idx="146" formatCode="_(* #,##0_);_(* \(#,##0\);_(* &quot;-&quot;??_);_(@_)">
                  <c:v>168.27048762999999</c:v>
                </c:pt>
                <c:pt idx="147" formatCode="_(* #,##0_);_(* \(#,##0\);_(* &quot;-&quot;??_);_(@_)">
                  <c:v>168.27048762999999</c:v>
                </c:pt>
                <c:pt idx="148" formatCode="_(* #,##0_);_(* \(#,##0\);_(* &quot;-&quot;??_);_(@_)">
                  <c:v>168.27048762999999</c:v>
                </c:pt>
                <c:pt idx="149" formatCode="_(* #,##0_);_(* \(#,##0\);_(* &quot;-&quot;??_);_(@_)">
                  <c:v>168.27048762999999</c:v>
                </c:pt>
                <c:pt idx="150" formatCode="_(* #,##0_);_(* \(#,##0\);_(* &quot;-&quot;??_);_(@_)">
                  <c:v>168.27048762999999</c:v>
                </c:pt>
                <c:pt idx="151" formatCode="_(* #,##0_);_(* \(#,##0\);_(* &quot;-&quot;??_);_(@_)">
                  <c:v>168.27048762999999</c:v>
                </c:pt>
                <c:pt idx="152" formatCode="_(* #,##0_);_(* \(#,##0\);_(* &quot;-&quot;??_);_(@_)">
                  <c:v>168.27048762999999</c:v>
                </c:pt>
                <c:pt idx="153" formatCode="_(* #,##0_);_(* \(#,##0\);_(* &quot;-&quot;??_);_(@_)">
                  <c:v>168.27048762999999</c:v>
                </c:pt>
                <c:pt idx="154" formatCode="_(* #,##0_);_(* \(#,##0\);_(* &quot;-&quot;??_);_(@_)">
                  <c:v>168.27048762999999</c:v>
                </c:pt>
                <c:pt idx="155" formatCode="_(* #,##0_);_(* \(#,##0\);_(* &quot;-&quot;??_);_(@_)">
                  <c:v>168.27048762999999</c:v>
                </c:pt>
                <c:pt idx="156" formatCode="_(* #,##0_);_(* \(#,##0\);_(* &quot;-&quot;??_);_(@_)">
                  <c:v>168.27048762999999</c:v>
                </c:pt>
                <c:pt idx="157" formatCode="_(* #,##0_);_(* \(#,##0\);_(* &quot;-&quot;??_);_(@_)">
                  <c:v>168.27048762999999</c:v>
                </c:pt>
                <c:pt idx="158" formatCode="_(* #,##0_);_(* \(#,##0\);_(* &quot;-&quot;??_);_(@_)">
                  <c:v>168.27048762999999</c:v>
                </c:pt>
                <c:pt idx="159" formatCode="_(* #,##0_);_(* \(#,##0\);_(* &quot;-&quot;??_);_(@_)">
                  <c:v>168.27048762999999</c:v>
                </c:pt>
                <c:pt idx="160" formatCode="_(* #,##0_);_(* \(#,##0\);_(* &quot;-&quot;??_);_(@_)">
                  <c:v>168.27048762999999</c:v>
                </c:pt>
                <c:pt idx="161" formatCode="_(* #,##0_);_(* \(#,##0\);_(* &quot;-&quot;??_);_(@_)">
                  <c:v>168.27048762999999</c:v>
                </c:pt>
                <c:pt idx="162" formatCode="_(* #,##0_);_(* \(#,##0\);_(* &quot;-&quot;??_);_(@_)">
                  <c:v>168.27048762999999</c:v>
                </c:pt>
                <c:pt idx="163" formatCode="_(* #,##0_);_(* \(#,##0\);_(* &quot;-&quot;??_);_(@_)">
                  <c:v>168.27048762999999</c:v>
                </c:pt>
                <c:pt idx="164" formatCode="_(* #,##0_);_(* \(#,##0\);_(* &quot;-&quot;??_);_(@_)">
                  <c:v>168.27048762999999</c:v>
                </c:pt>
                <c:pt idx="165" formatCode="_(* #,##0_);_(* \(#,##0\);_(* &quot;-&quot;??_);_(@_)">
                  <c:v>168.27048762999999</c:v>
                </c:pt>
                <c:pt idx="166" formatCode="_(* #,##0_);_(* \(#,##0\);_(* &quot;-&quot;??_);_(@_)">
                  <c:v>168.27048762999999</c:v>
                </c:pt>
                <c:pt idx="167" formatCode="_(* #,##0_);_(* \(#,##0\);_(* &quot;-&quot;??_);_(@_)">
                  <c:v>168.27048762999999</c:v>
                </c:pt>
                <c:pt idx="168" formatCode="_(* #,##0_);_(* \(#,##0\);_(* &quot;-&quot;??_);_(@_)">
                  <c:v>168.27048762999999</c:v>
                </c:pt>
                <c:pt idx="169" formatCode="_(* #,##0_);_(* \(#,##0\);_(* &quot;-&quot;??_);_(@_)">
                  <c:v>168.27048762999999</c:v>
                </c:pt>
                <c:pt idx="170" formatCode="_(* #,##0_);_(* \(#,##0\);_(* &quot;-&quot;??_);_(@_)">
                  <c:v>168.27048762999999</c:v>
                </c:pt>
                <c:pt idx="171" formatCode="_(* #,##0_);_(* \(#,##0\);_(* &quot;-&quot;??_);_(@_)">
                  <c:v>168.27048762999999</c:v>
                </c:pt>
                <c:pt idx="172" formatCode="_(* #,##0_);_(* \(#,##0\);_(* &quot;-&quot;??_);_(@_)">
                  <c:v>168.27048762999999</c:v>
                </c:pt>
                <c:pt idx="173" formatCode="_(* #,##0_);_(* \(#,##0\);_(* &quot;-&quot;??_);_(@_)">
                  <c:v>168.27048762999999</c:v>
                </c:pt>
                <c:pt idx="174" formatCode="_(* #,##0_);_(* \(#,##0\);_(* &quot;-&quot;??_);_(@_)">
                  <c:v>168.27048762999999</c:v>
                </c:pt>
                <c:pt idx="175" formatCode="_(* #,##0_);_(* \(#,##0\);_(* &quot;-&quot;??_);_(@_)">
                  <c:v>168.27048762999999</c:v>
                </c:pt>
                <c:pt idx="176" formatCode="_(* #,##0_);_(* \(#,##0\);_(* &quot;-&quot;??_);_(@_)">
                  <c:v>168.27048762999999</c:v>
                </c:pt>
                <c:pt idx="177" formatCode="_(* #,##0_);_(* \(#,##0\);_(* &quot;-&quot;??_);_(@_)">
                  <c:v>168.27048762999999</c:v>
                </c:pt>
                <c:pt idx="178" formatCode="_(* #,##0_);_(* \(#,##0\);_(* &quot;-&quot;??_);_(@_)">
                  <c:v>168.27048762999999</c:v>
                </c:pt>
                <c:pt idx="179" formatCode="_(* #,##0_);_(* \(#,##0\);_(* &quot;-&quot;??_);_(@_)">
                  <c:v>168.27048762999999</c:v>
                </c:pt>
                <c:pt idx="180" formatCode="_(* #,##0_);_(* \(#,##0\);_(* &quot;-&quot;??_);_(@_)">
                  <c:v>168.27048762999999</c:v>
                </c:pt>
                <c:pt idx="181" formatCode="_(* #,##0_);_(* \(#,##0\);_(* &quot;-&quot;??_);_(@_)">
                  <c:v>168.27048762999999</c:v>
                </c:pt>
                <c:pt idx="182" formatCode="_(* #,##0_);_(* \(#,##0\);_(* &quot;-&quot;??_);_(@_)">
                  <c:v>168.27048762999999</c:v>
                </c:pt>
                <c:pt idx="183" formatCode="_(* #,##0_);_(* \(#,##0\);_(* &quot;-&quot;??_);_(@_)">
                  <c:v>168.27048762999999</c:v>
                </c:pt>
                <c:pt idx="184" formatCode="_(* #,##0_);_(* \(#,##0\);_(* &quot;-&quot;??_);_(@_)">
                  <c:v>168.27048762999999</c:v>
                </c:pt>
                <c:pt idx="185" formatCode="_(* #,##0_);_(* \(#,##0\);_(* &quot;-&quot;??_);_(@_)">
                  <c:v>168.27048762999999</c:v>
                </c:pt>
                <c:pt idx="186" formatCode="_(* #,##0_);_(* \(#,##0\);_(* &quot;-&quot;??_);_(@_)">
                  <c:v>168.27048762999999</c:v>
                </c:pt>
                <c:pt idx="187" formatCode="_(* #,##0_);_(* \(#,##0\);_(* &quot;-&quot;??_);_(@_)">
                  <c:v>168.27048762999999</c:v>
                </c:pt>
                <c:pt idx="188" formatCode="_(* #,##0_);_(* \(#,##0\);_(* &quot;-&quot;??_);_(@_)">
                  <c:v>168.27048762999999</c:v>
                </c:pt>
                <c:pt idx="189" formatCode="_(* #,##0_);_(* \(#,##0\);_(* &quot;-&quot;??_);_(@_)">
                  <c:v>168.27048762999999</c:v>
                </c:pt>
                <c:pt idx="190" formatCode="_(* #,##0_);_(* \(#,##0\);_(* &quot;-&quot;??_);_(@_)">
                  <c:v>168.27048762999999</c:v>
                </c:pt>
                <c:pt idx="191" formatCode="_(* #,##0_);_(* \(#,##0\);_(* &quot;-&quot;??_);_(@_)">
                  <c:v>168.27048762999999</c:v>
                </c:pt>
                <c:pt idx="192" formatCode="_(* #,##0_);_(* \(#,##0\);_(* &quot;-&quot;??_);_(@_)">
                  <c:v>168.27048762999999</c:v>
                </c:pt>
                <c:pt idx="193" formatCode="_(* #,##0_);_(* \(#,##0\);_(* &quot;-&quot;??_);_(@_)">
                  <c:v>168.27048762999999</c:v>
                </c:pt>
                <c:pt idx="194" formatCode="_(* #,##0_);_(* \(#,##0\);_(* &quot;-&quot;??_);_(@_)">
                  <c:v>168.27048762999999</c:v>
                </c:pt>
                <c:pt idx="195" formatCode="_(* #,##0_);_(* \(#,##0\);_(* &quot;-&quot;??_);_(@_)">
                  <c:v>168.27048762999999</c:v>
                </c:pt>
                <c:pt idx="196" formatCode="_(* #,##0_);_(* \(#,##0\);_(* &quot;-&quot;??_);_(@_)">
                  <c:v>698.86805543999992</c:v>
                </c:pt>
                <c:pt idx="197" formatCode="_(* #,##0_);_(* \(#,##0\);_(* &quot;-&quot;??_);_(@_)">
                  <c:v>698.86805543999992</c:v>
                </c:pt>
                <c:pt idx="198" formatCode="_(* #,##0_);_(* \(#,##0\);_(* &quot;-&quot;??_);_(@_)">
                  <c:v>698.86805543999992</c:v>
                </c:pt>
                <c:pt idx="199" formatCode="_(* #,##0_);_(* \(#,##0\);_(* &quot;-&quot;??_);_(@_)">
                  <c:v>698.86805543999992</c:v>
                </c:pt>
                <c:pt idx="200" formatCode="_(* #,##0_);_(* \(#,##0\);_(* &quot;-&quot;??_);_(@_)">
                  <c:v>698.86805543999992</c:v>
                </c:pt>
                <c:pt idx="201" formatCode="_(* #,##0_);_(* \(#,##0\);_(* &quot;-&quot;??_);_(@_)">
                  <c:v>698.86805543999992</c:v>
                </c:pt>
                <c:pt idx="202" formatCode="_(* #,##0_);_(* \(#,##0\);_(* &quot;-&quot;??_);_(@_)">
                  <c:v>698.86805543999992</c:v>
                </c:pt>
                <c:pt idx="203" formatCode="_(* #,##0_);_(* \(#,##0\);_(* &quot;-&quot;??_);_(@_)">
                  <c:v>698.86805543999992</c:v>
                </c:pt>
                <c:pt idx="204" formatCode="_(* #,##0_);_(* \(#,##0\);_(* &quot;-&quot;??_);_(@_)">
                  <c:v>698.86805543999992</c:v>
                </c:pt>
                <c:pt idx="205" formatCode="_(* #,##0_);_(* \(#,##0\);_(* &quot;-&quot;??_);_(@_)">
                  <c:v>698.86805543999992</c:v>
                </c:pt>
                <c:pt idx="206" formatCode="_(* #,##0_);_(* \(#,##0\);_(* &quot;-&quot;??_);_(@_)">
                  <c:v>698.86805543999992</c:v>
                </c:pt>
                <c:pt idx="207" formatCode="_(* #,##0_);_(* \(#,##0\);_(* &quot;-&quot;??_);_(@_)">
                  <c:v>698.86805543999992</c:v>
                </c:pt>
                <c:pt idx="208" formatCode="_(* #,##0_);_(* \(#,##0\);_(* &quot;-&quot;??_);_(@_)">
                  <c:v>698.86805543999992</c:v>
                </c:pt>
                <c:pt idx="209" formatCode="_(* #,##0_);_(* \(#,##0\);_(* &quot;-&quot;??_);_(@_)">
                  <c:v>698.86805543999992</c:v>
                </c:pt>
                <c:pt idx="210" formatCode="_(* #,##0_);_(* \(#,##0\);_(* &quot;-&quot;??_);_(@_)">
                  <c:v>698.86805543999992</c:v>
                </c:pt>
                <c:pt idx="211" formatCode="_(* #,##0_);_(* \(#,##0\);_(* &quot;-&quot;??_);_(@_)">
                  <c:v>698.86805543999992</c:v>
                </c:pt>
                <c:pt idx="212" formatCode="_(* #,##0_);_(* \(#,##0\);_(* &quot;-&quot;??_);_(@_)">
                  <c:v>698.86805543999992</c:v>
                </c:pt>
                <c:pt idx="213" formatCode="_(* #,##0_);_(* \(#,##0\);_(* &quot;-&quot;??_);_(@_)">
                  <c:v>698.86805543999992</c:v>
                </c:pt>
                <c:pt idx="214" formatCode="_(* #,##0_);_(* \(#,##0\);_(* &quot;-&quot;??_);_(@_)">
                  <c:v>698.86805543999992</c:v>
                </c:pt>
                <c:pt idx="215" formatCode="_(* #,##0_);_(* \(#,##0\);_(* &quot;-&quot;??_);_(@_)">
                  <c:v>698.86805543999992</c:v>
                </c:pt>
                <c:pt idx="216" formatCode="_(* #,##0_);_(* \(#,##0\);_(* &quot;-&quot;??_);_(@_)">
                  <c:v>698.86805543999992</c:v>
                </c:pt>
                <c:pt idx="217" formatCode="_(* #,##0_);_(* \(#,##0\);_(* &quot;-&quot;??_);_(@_)">
                  <c:v>698.86805543999992</c:v>
                </c:pt>
                <c:pt idx="218" formatCode="_(* #,##0_);_(* \(#,##0\);_(* &quot;-&quot;??_);_(@_)">
                  <c:v>698.86805543999992</c:v>
                </c:pt>
                <c:pt idx="219" formatCode="_(* #,##0_);_(* \(#,##0\);_(* &quot;-&quot;??_);_(@_)">
                  <c:v>698.86805543999992</c:v>
                </c:pt>
                <c:pt idx="220" formatCode="_(* #,##0_);_(* \(#,##0\);_(* &quot;-&quot;??_);_(@_)">
                  <c:v>698.86805543999992</c:v>
                </c:pt>
                <c:pt idx="221" formatCode="_(* #,##0_);_(* \(#,##0\);_(* &quot;-&quot;??_);_(@_)">
                  <c:v>698.86805543999992</c:v>
                </c:pt>
                <c:pt idx="222" formatCode="_(* #,##0_);_(* \(#,##0\);_(* &quot;-&quot;??_);_(@_)">
                  <c:v>698.86805543999992</c:v>
                </c:pt>
                <c:pt idx="223" formatCode="_(* #,##0_);_(* \(#,##0\);_(* &quot;-&quot;??_);_(@_)">
                  <c:v>698.86805543999992</c:v>
                </c:pt>
                <c:pt idx="224" formatCode="_(* #,##0_);_(* \(#,##0\);_(* &quot;-&quot;??_);_(@_)">
                  <c:v>698.86805543999992</c:v>
                </c:pt>
                <c:pt idx="225" formatCode="_(* #,##0_);_(* \(#,##0\);_(* &quot;-&quot;??_);_(@_)">
                  <c:v>698.85337086999994</c:v>
                </c:pt>
                <c:pt idx="226" formatCode="_(* #,##0_);_(* \(#,##0\);_(* &quot;-&quot;??_);_(@_)">
                  <c:v>698.85337086999994</c:v>
                </c:pt>
                <c:pt idx="227" formatCode="_(* #,##0_);_(* \(#,##0\);_(* &quot;-&quot;??_);_(@_)">
                  <c:v>698.85337086999994</c:v>
                </c:pt>
                <c:pt idx="228" formatCode="_(* #,##0_);_(* \(#,##0\);_(* &quot;-&quot;??_);_(@_)">
                  <c:v>698.85337086999994</c:v>
                </c:pt>
                <c:pt idx="229" formatCode="_(* #,##0_);_(* \(#,##0\);_(* &quot;-&quot;??_);_(@_)">
                  <c:v>698.85337086999994</c:v>
                </c:pt>
                <c:pt idx="230" formatCode="_(* #,##0_);_(* \(#,##0\);_(* &quot;-&quot;??_);_(@_)">
                  <c:v>698.85337086999994</c:v>
                </c:pt>
                <c:pt idx="231" formatCode="_(* #,##0_);_(* \(#,##0\);_(* &quot;-&quot;??_);_(@_)">
                  <c:v>698.85337086999994</c:v>
                </c:pt>
                <c:pt idx="232" formatCode="_(* #,##0_);_(* \(#,##0\);_(* &quot;-&quot;??_);_(@_)">
                  <c:v>698.85337086999994</c:v>
                </c:pt>
                <c:pt idx="233" formatCode="_(* #,##0_);_(* \(#,##0\);_(* &quot;-&quot;??_);_(@_)">
                  <c:v>698.85337086999994</c:v>
                </c:pt>
                <c:pt idx="234" formatCode="_(* #,##0_);_(* \(#,##0\);_(* &quot;-&quot;??_);_(@_)">
                  <c:v>698.85337086999994</c:v>
                </c:pt>
                <c:pt idx="235" formatCode="_(* #,##0_);_(* \(#,##0\);_(* &quot;-&quot;??_);_(@_)">
                  <c:v>698.85337086999994</c:v>
                </c:pt>
                <c:pt idx="236" formatCode="_(* #,##0_);_(* \(#,##0\);_(* &quot;-&quot;??_);_(@_)">
                  <c:v>698.85337086999994</c:v>
                </c:pt>
                <c:pt idx="237" formatCode="_(* #,##0_);_(* \(#,##0\);_(* &quot;-&quot;??_);_(@_)">
                  <c:v>698.85337086999994</c:v>
                </c:pt>
                <c:pt idx="238" formatCode="_(* #,##0_);_(* \(#,##0\);_(* &quot;-&quot;??_);_(@_)">
                  <c:v>698.85337086999994</c:v>
                </c:pt>
                <c:pt idx="239" formatCode="_(* #,##0_);_(* \(#,##0\);_(* &quot;-&quot;??_);_(@_)">
                  <c:v>698.85337086999994</c:v>
                </c:pt>
                <c:pt idx="240" formatCode="_(* #,##0_);_(* \(#,##0\);_(* &quot;-&quot;??_);_(@_)">
                  <c:v>698.85337086999994</c:v>
                </c:pt>
                <c:pt idx="241" formatCode="_(* #,##0_);_(* \(#,##0\);_(* &quot;-&quot;??_);_(@_)">
                  <c:v>698.85337086999994</c:v>
                </c:pt>
                <c:pt idx="242" formatCode="_(* #,##0_);_(* \(#,##0\);_(* &quot;-&quot;??_);_(@_)">
                  <c:v>698.85337086999994</c:v>
                </c:pt>
                <c:pt idx="243" formatCode="_(* #,##0_);_(* \(#,##0\);_(* &quot;-&quot;??_);_(@_)">
                  <c:v>698.85337086999994</c:v>
                </c:pt>
                <c:pt idx="244" formatCode="_(* #,##0_);_(* \(#,##0\);_(* &quot;-&quot;??_);_(@_)">
                  <c:v>698.85337086999994</c:v>
                </c:pt>
                <c:pt idx="245" formatCode="_(* #,##0_);_(* \(#,##0\);_(* &quot;-&quot;??_);_(@_)">
                  <c:v>698.85337086999994</c:v>
                </c:pt>
                <c:pt idx="246" formatCode="_(* #,##0_);_(* \(#,##0\);_(* &quot;-&quot;??_);_(@_)">
                  <c:v>698.85337086999994</c:v>
                </c:pt>
                <c:pt idx="247" formatCode="_(* #,##0_);_(* \(#,##0\);_(* &quot;-&quot;??_);_(@_)">
                  <c:v>698.85337086999994</c:v>
                </c:pt>
                <c:pt idx="248" formatCode="_(* #,##0_);_(* \(#,##0\);_(* &quot;-&quot;??_);_(@_)">
                  <c:v>698.85337086999994</c:v>
                </c:pt>
                <c:pt idx="249" formatCode="_(* #,##0_);_(* \(#,##0\);_(* &quot;-&quot;??_);_(@_)">
                  <c:v>698.85337086999994</c:v>
                </c:pt>
                <c:pt idx="250" formatCode="_(* #,##0_);_(* \(#,##0\);_(* &quot;-&quot;??_);_(@_)">
                  <c:v>698.85337086999994</c:v>
                </c:pt>
                <c:pt idx="251" formatCode="_(* #,##0_);_(* \(#,##0\);_(* &quot;-&quot;??_);_(@_)">
                  <c:v>698.85337086999994</c:v>
                </c:pt>
                <c:pt idx="252" formatCode="_(* #,##0_);_(* \(#,##0\);_(* &quot;-&quot;??_);_(@_)">
                  <c:v>698.85337086999994</c:v>
                </c:pt>
                <c:pt idx="253" formatCode="_(* #,##0_);_(* \(#,##0\);_(* &quot;-&quot;??_);_(@_)">
                  <c:v>698.85337086999994</c:v>
                </c:pt>
                <c:pt idx="254" formatCode="_(* #,##0_);_(* \(#,##0\);_(* &quot;-&quot;??_);_(@_)">
                  <c:v>698.85337086999994</c:v>
                </c:pt>
                <c:pt idx="255" formatCode="_(* #,##0_);_(* \(#,##0\);_(* &quot;-&quot;??_);_(@_)">
                  <c:v>698.85337086999994</c:v>
                </c:pt>
                <c:pt idx="256" formatCode="_(* #,##0_);_(* \(#,##0\);_(* &quot;-&quot;??_);_(@_)">
                  <c:v>698.85337086999994</c:v>
                </c:pt>
                <c:pt idx="257" formatCode="_(* #,##0_);_(* \(#,##0\);_(* &quot;-&quot;??_);_(@_)">
                  <c:v>698.85337086999994</c:v>
                </c:pt>
                <c:pt idx="258" formatCode="_(* #,##0_);_(* \(#,##0\);_(* &quot;-&quot;??_);_(@_)">
                  <c:v>698.85337086999994</c:v>
                </c:pt>
                <c:pt idx="259" formatCode="_(* #,##0_);_(* \(#,##0\);_(* &quot;-&quot;??_);_(@_)">
                  <c:v>698.85337086999994</c:v>
                </c:pt>
                <c:pt idx="260" formatCode="_(* #,##0_);_(* \(#,##0\);_(* &quot;-&quot;??_);_(@_)">
                  <c:v>698.85337086999994</c:v>
                </c:pt>
                <c:pt idx="261" formatCode="_(* #,##0_);_(* \(#,##0\);_(* &quot;-&quot;??_);_(@_)">
                  <c:v>1569.3399958999998</c:v>
                </c:pt>
                <c:pt idx="262" formatCode="_(* #,##0_);_(* \(#,##0\);_(* &quot;-&quot;??_);_(@_)">
                  <c:v>1569.3399958999998</c:v>
                </c:pt>
                <c:pt idx="263" formatCode="_(* #,##0_);_(* \(#,##0\);_(* &quot;-&quot;??_);_(@_)">
                  <c:v>1569.3399958999998</c:v>
                </c:pt>
                <c:pt idx="264" formatCode="_(* #,##0_);_(* \(#,##0\);_(* &quot;-&quot;??_);_(@_)">
                  <c:v>1569.3399958999998</c:v>
                </c:pt>
                <c:pt idx="265" formatCode="_(* #,##0_);_(* \(#,##0\);_(* &quot;-&quot;??_);_(@_)">
                  <c:v>1569.3399958999998</c:v>
                </c:pt>
                <c:pt idx="266" formatCode="_(* #,##0_);_(* \(#,##0\);_(* &quot;-&quot;??_);_(@_)">
                  <c:v>1569.32531133</c:v>
                </c:pt>
                <c:pt idx="267" formatCode="_(* #,##0_);_(* \(#,##0\);_(* &quot;-&quot;??_);_(@_)">
                  <c:v>1569.32531133</c:v>
                </c:pt>
                <c:pt idx="268" formatCode="_(* #,##0_);_(* \(#,##0\);_(* &quot;-&quot;??_);_(@_)">
                  <c:v>1569.32531133</c:v>
                </c:pt>
                <c:pt idx="269" formatCode="_(* #,##0_);_(* \(#,##0\);_(* &quot;-&quot;??_);_(@_)">
                  <c:v>1569.32531133</c:v>
                </c:pt>
                <c:pt idx="270" formatCode="_(* #,##0_);_(* \(#,##0\);_(* &quot;-&quot;??_);_(@_)">
                  <c:v>1569.32531133</c:v>
                </c:pt>
                <c:pt idx="271" formatCode="_(* #,##0_);_(* \(#,##0\);_(* &quot;-&quot;??_);_(@_)">
                  <c:v>1569.32531133</c:v>
                </c:pt>
                <c:pt idx="272" formatCode="_(* #,##0_);_(* \(#,##0\);_(* &quot;-&quot;??_);_(@_)">
                  <c:v>1569.32531133</c:v>
                </c:pt>
                <c:pt idx="273" formatCode="_(* #,##0_);_(* \(#,##0\);_(* &quot;-&quot;??_);_(@_)">
                  <c:v>1569.3106267599999</c:v>
                </c:pt>
                <c:pt idx="274" formatCode="_(* #,##0_);_(* \(#,##0\);_(* &quot;-&quot;??_);_(@_)">
                  <c:v>1569.3106267599999</c:v>
                </c:pt>
                <c:pt idx="275" formatCode="_(* #,##0_);_(* \(#,##0\);_(* &quot;-&quot;??_);_(@_)">
                  <c:v>1569.3106267599999</c:v>
                </c:pt>
                <c:pt idx="276" formatCode="_(* #,##0_);_(* \(#,##0\);_(* &quot;-&quot;??_);_(@_)">
                  <c:v>1569.3106267599999</c:v>
                </c:pt>
                <c:pt idx="277" formatCode="_(* #,##0_);_(* \(#,##0\);_(* &quot;-&quot;??_);_(@_)">
                  <c:v>1569.3106267599999</c:v>
                </c:pt>
                <c:pt idx="278" formatCode="_(* #,##0_);_(* \(#,##0\);_(* &quot;-&quot;??_);_(@_)">
                  <c:v>1569.3106267599999</c:v>
                </c:pt>
                <c:pt idx="279" formatCode="_(* #,##0_);_(* \(#,##0\);_(* &quot;-&quot;??_);_(@_)">
                  <c:v>1569.3106267599999</c:v>
                </c:pt>
                <c:pt idx="280" formatCode="_(* #,##0_);_(* \(#,##0\);_(* &quot;-&quot;??_);_(@_)">
                  <c:v>1569.3106267599999</c:v>
                </c:pt>
                <c:pt idx="281" formatCode="_(* #,##0_);_(* \(#,##0\);_(* &quot;-&quot;??_);_(@_)">
                  <c:v>1569.3106267599999</c:v>
                </c:pt>
                <c:pt idx="282" formatCode="_(* #,##0_);_(* \(#,##0\);_(* &quot;-&quot;??_);_(@_)">
                  <c:v>1569.29594219</c:v>
                </c:pt>
                <c:pt idx="283" formatCode="_(* #,##0_);_(* \(#,##0\);_(* &quot;-&quot;??_);_(@_)">
                  <c:v>1569.29594219</c:v>
                </c:pt>
                <c:pt idx="284" formatCode="_(* #,##0_);_(* \(#,##0\);_(* &quot;-&quot;??_);_(@_)">
                  <c:v>1569.29594219</c:v>
                </c:pt>
                <c:pt idx="285" formatCode="_(* #,##0_);_(* \(#,##0\);_(* &quot;-&quot;??_);_(@_)">
                  <c:v>1569.29594219</c:v>
                </c:pt>
                <c:pt idx="286" formatCode="_(* #,##0_);_(* \(#,##0\);_(* &quot;-&quot;??_);_(@_)">
                  <c:v>1569.29594219</c:v>
                </c:pt>
                <c:pt idx="287" formatCode="_(* #,##0_);_(* \(#,##0\);_(* &quot;-&quot;??_);_(@_)">
                  <c:v>1569.29594219</c:v>
                </c:pt>
                <c:pt idx="288" formatCode="_(* #,##0_);_(* \(#,##0\);_(* &quot;-&quot;??_);_(@_)">
                  <c:v>1569.29594219</c:v>
                </c:pt>
                <c:pt idx="289" formatCode="_(* #,##0_);_(* \(#,##0\);_(* &quot;-&quot;??_);_(@_)">
                  <c:v>1569.2812576199999</c:v>
                </c:pt>
                <c:pt idx="290" formatCode="_(* #,##0_);_(* \(#,##0\);_(* &quot;-&quot;??_);_(@_)">
                  <c:v>1569.2812576199999</c:v>
                </c:pt>
                <c:pt idx="291" formatCode="_(* #,##0_);_(* \(#,##0\);_(* &quot;-&quot;??_);_(@_)">
                  <c:v>1569.2812576199999</c:v>
                </c:pt>
                <c:pt idx="292" formatCode="_(* #,##0_);_(* \(#,##0\);_(* &quot;-&quot;??_);_(@_)">
                  <c:v>1569.2812576199999</c:v>
                </c:pt>
                <c:pt idx="293" formatCode="_(* #,##0_);_(* \(#,##0\);_(* &quot;-&quot;??_);_(@_)">
                  <c:v>1569.2812576199999</c:v>
                </c:pt>
                <c:pt idx="294" formatCode="_(* #,##0_);_(* \(#,##0\);_(* &quot;-&quot;??_);_(@_)">
                  <c:v>1569.2812576199999</c:v>
                </c:pt>
                <c:pt idx="295" formatCode="_(* #,##0_);_(* \(#,##0\);_(* &quot;-&quot;??_);_(@_)">
                  <c:v>1569.2812576199999</c:v>
                </c:pt>
                <c:pt idx="296" formatCode="_(* #,##0_);_(* \(#,##0\);_(* &quot;-&quot;??_);_(@_)">
                  <c:v>1569.2812576199999</c:v>
                </c:pt>
                <c:pt idx="297" formatCode="_(* #,##0_);_(* \(#,##0\);_(* &quot;-&quot;??_);_(@_)">
                  <c:v>1569.26657305</c:v>
                </c:pt>
                <c:pt idx="298" formatCode="_(* #,##0_);_(* \(#,##0\);_(* &quot;-&quot;??_);_(@_)">
                  <c:v>1569.26657305</c:v>
                </c:pt>
                <c:pt idx="299" formatCode="_(* #,##0_);_(* \(#,##0\);_(* &quot;-&quot;??_);_(@_)">
                  <c:v>1569.26657305</c:v>
                </c:pt>
                <c:pt idx="300" formatCode="_(* #,##0_);_(* \(#,##0\);_(* &quot;-&quot;??_);_(@_)">
                  <c:v>1569.26657305</c:v>
                </c:pt>
                <c:pt idx="301" formatCode="_(* #,##0_);_(* \(#,##0\);_(* &quot;-&quot;??_);_(@_)">
                  <c:v>1569.26657305</c:v>
                </c:pt>
                <c:pt idx="302" formatCode="_(* #,##0_);_(* \(#,##0\);_(* &quot;-&quot;??_);_(@_)">
                  <c:v>1569.26657305</c:v>
                </c:pt>
                <c:pt idx="303" formatCode="_(* #,##0_);_(* \(#,##0\);_(* &quot;-&quot;??_);_(@_)">
                  <c:v>1569.2518884799999</c:v>
                </c:pt>
                <c:pt idx="304" formatCode="_(* #,##0_);_(* \(#,##0\);_(* &quot;-&quot;??_);_(@_)">
                  <c:v>1569.2518884799999</c:v>
                </c:pt>
                <c:pt idx="305" formatCode="_(* #,##0_);_(* \(#,##0\);_(* &quot;-&quot;??_);_(@_)">
                  <c:v>1569.2518884799999</c:v>
                </c:pt>
                <c:pt idx="306" formatCode="_(* #,##0_);_(* \(#,##0\);_(* &quot;-&quot;??_);_(@_)">
                  <c:v>1569.2518884799999</c:v>
                </c:pt>
                <c:pt idx="307" formatCode="_(* #,##0_);_(* \(#,##0\);_(* &quot;-&quot;??_);_(@_)">
                  <c:v>1569.2518884799999</c:v>
                </c:pt>
                <c:pt idx="308" formatCode="_(* #,##0_);_(* \(#,##0\);_(* &quot;-&quot;??_);_(@_)">
                  <c:v>1569.2518884799999</c:v>
                </c:pt>
                <c:pt idx="309" formatCode="_(* #,##0_);_(* \(#,##0\);_(* &quot;-&quot;??_);_(@_)">
                  <c:v>1569.2518884799999</c:v>
                </c:pt>
                <c:pt idx="310" formatCode="_(* #,##0_);_(* \(#,##0\);_(* &quot;-&quot;??_);_(@_)">
                  <c:v>1569.2372039100001</c:v>
                </c:pt>
                <c:pt idx="311" formatCode="_(* #,##0_);_(* \(#,##0\);_(* &quot;-&quot;??_);_(@_)">
                  <c:v>1569.2372039100001</c:v>
                </c:pt>
                <c:pt idx="312" formatCode="_(* #,##0_);_(* \(#,##0\);_(* &quot;-&quot;??_);_(@_)">
                  <c:v>1569.2372039100001</c:v>
                </c:pt>
                <c:pt idx="313" formatCode="_(* #,##0_);_(* \(#,##0\);_(* &quot;-&quot;??_);_(@_)">
                  <c:v>1569.2372039100001</c:v>
                </c:pt>
                <c:pt idx="314" formatCode="_(* #,##0_);_(* \(#,##0\);_(* &quot;-&quot;??_);_(@_)">
                  <c:v>1569.2372039100001</c:v>
                </c:pt>
                <c:pt idx="315" formatCode="_(* #,##0_);_(* \(#,##0\);_(* &quot;-&quot;??_);_(@_)">
                  <c:v>1569.2372039100001</c:v>
                </c:pt>
                <c:pt idx="316" formatCode="_(* #,##0_);_(* \(#,##0\);_(* &quot;-&quot;??_);_(@_)">
                  <c:v>1569.2372039100001</c:v>
                </c:pt>
                <c:pt idx="317" formatCode="_(* #,##0_);_(* \(#,##0\);_(* &quot;-&quot;??_);_(@_)">
                  <c:v>1569.2372039100001</c:v>
                </c:pt>
                <c:pt idx="318" formatCode="_(* #,##0_);_(* \(#,##0\);_(* &quot;-&quot;??_);_(@_)">
                  <c:v>1569.2372039100001</c:v>
                </c:pt>
                <c:pt idx="319" formatCode="_(* #,##0_);_(* \(#,##0\);_(* &quot;-&quot;??_);_(@_)">
                  <c:v>1569.2225193399997</c:v>
                </c:pt>
                <c:pt idx="320" formatCode="_(* #,##0_);_(* \(#,##0\);_(* &quot;-&quot;??_);_(@_)">
                  <c:v>1569.2225193399997</c:v>
                </c:pt>
                <c:pt idx="321" formatCode="_(* #,##0_);_(* \(#,##0\);_(* &quot;-&quot;??_);_(@_)">
                  <c:v>1569.2225193399997</c:v>
                </c:pt>
                <c:pt idx="322" formatCode="_(* #,##0_);_(* \(#,##0\);_(* &quot;-&quot;??_);_(@_)">
                  <c:v>1569.2225193399997</c:v>
                </c:pt>
                <c:pt idx="323" formatCode="_(* #,##0_);_(* \(#,##0\);_(* &quot;-&quot;??_);_(@_)">
                  <c:v>1569.2225193399997</c:v>
                </c:pt>
                <c:pt idx="324" formatCode="_(* #,##0_);_(* \(#,##0\);_(* &quot;-&quot;??_);_(@_)">
                  <c:v>1569.2225193399997</c:v>
                </c:pt>
                <c:pt idx="325" formatCode="_(* #,##0_);_(* \(#,##0\);_(* &quot;-&quot;??_);_(@_)">
                  <c:v>2684.9561479399999</c:v>
                </c:pt>
                <c:pt idx="326" formatCode="_(* #,##0_);_(* \(#,##0\);_(* &quot;-&quot;??_);_(@_)">
                  <c:v>2684.9561479399999</c:v>
                </c:pt>
                <c:pt idx="327" formatCode="_(* #,##0_);_(* \(#,##0\);_(* &quot;-&quot;??_);_(@_)">
                  <c:v>2684.9561479399999</c:v>
                </c:pt>
                <c:pt idx="328" formatCode="_(* #,##0_);_(* \(#,##0\);_(* &quot;-&quot;??_);_(@_)">
                  <c:v>2684.9561479399999</c:v>
                </c:pt>
                <c:pt idx="329" formatCode="_(* #,##0_);_(* \(#,##0\);_(* &quot;-&quot;??_);_(@_)">
                  <c:v>2684.9561479399999</c:v>
                </c:pt>
                <c:pt idx="330" formatCode="_(* #,##0_);_(* \(#,##0\);_(* &quot;-&quot;??_);_(@_)">
                  <c:v>2684.9414633699998</c:v>
                </c:pt>
                <c:pt idx="331" formatCode="_(* #,##0_);_(* \(#,##0\);_(* &quot;-&quot;??_);_(@_)">
                  <c:v>2684.9414633699998</c:v>
                </c:pt>
                <c:pt idx="332" formatCode="_(* #,##0_);_(* \(#,##0\);_(* &quot;-&quot;??_);_(@_)">
                  <c:v>2684.9267787999997</c:v>
                </c:pt>
                <c:pt idx="333" formatCode="_(* #,##0_);_(* \(#,##0\);_(* &quot;-&quot;??_);_(@_)">
                  <c:v>2684.9267787999997</c:v>
                </c:pt>
                <c:pt idx="334" formatCode="_(* #,##0_);_(* \(#,##0\);_(* &quot;-&quot;??_);_(@_)">
                  <c:v>2684.9267787999997</c:v>
                </c:pt>
                <c:pt idx="335" formatCode="_(* #,##0_);_(* \(#,##0\);_(* &quot;-&quot;??_);_(@_)">
                  <c:v>2684.9267787999997</c:v>
                </c:pt>
                <c:pt idx="336" formatCode="_(* #,##0_);_(* \(#,##0\);_(* &quot;-&quot;??_);_(@_)">
                  <c:v>2684.9267787999997</c:v>
                </c:pt>
                <c:pt idx="337" formatCode="_(* #,##0_);_(* \(#,##0\);_(* &quot;-&quot;??_);_(@_)">
                  <c:v>2684.9414633699998</c:v>
                </c:pt>
                <c:pt idx="338" formatCode="_(* #,##0_);_(* \(#,##0\);_(* &quot;-&quot;??_);_(@_)">
                  <c:v>2684.9414633699998</c:v>
                </c:pt>
                <c:pt idx="339" formatCode="_(* #,##0_);_(* \(#,##0\);_(* &quot;-&quot;??_);_(@_)">
                  <c:v>2684.9414633699998</c:v>
                </c:pt>
                <c:pt idx="340" formatCode="_(* #,##0_);_(* \(#,##0\);_(* &quot;-&quot;??_);_(@_)">
                  <c:v>2684.9414633699998</c:v>
                </c:pt>
                <c:pt idx="341" formatCode="_(* #,##0_);_(* \(#,##0\);_(* &quot;-&quot;??_);_(@_)">
                  <c:v>2684.9414633699998</c:v>
                </c:pt>
                <c:pt idx="342" formatCode="_(* #,##0_);_(* \(#,##0\);_(* &quot;-&quot;??_);_(@_)">
                  <c:v>2684.9414633699998</c:v>
                </c:pt>
                <c:pt idx="343" formatCode="_(* #,##0_);_(* \(#,##0\);_(* &quot;-&quot;??_);_(@_)">
                  <c:v>2684.9414633699998</c:v>
                </c:pt>
                <c:pt idx="344" formatCode="_(* #,##0_);_(* \(#,##0\);_(* &quot;-&quot;??_);_(@_)">
                  <c:v>2684.9414633699998</c:v>
                </c:pt>
                <c:pt idx="345" formatCode="_(* #,##0_);_(* \(#,##0\);_(* &quot;-&quot;??_);_(@_)">
                  <c:v>2684.9414633699998</c:v>
                </c:pt>
                <c:pt idx="346" formatCode="_(* #,##0_);_(* \(#,##0\);_(* &quot;-&quot;??_);_(@_)">
                  <c:v>2684.9414633699998</c:v>
                </c:pt>
                <c:pt idx="347" formatCode="_(* #,##0_);_(* \(#,##0\);_(* &quot;-&quot;??_);_(@_)">
                  <c:v>2684.9414633699998</c:v>
                </c:pt>
                <c:pt idx="348" formatCode="_(* #,##0_);_(* \(#,##0\);_(* &quot;-&quot;??_);_(@_)">
                  <c:v>2684.9414633699998</c:v>
                </c:pt>
                <c:pt idx="349" formatCode="_(* #,##0_);_(* \(#,##0\);_(* &quot;-&quot;??_);_(@_)">
                  <c:v>2684.9414633699998</c:v>
                </c:pt>
                <c:pt idx="350" formatCode="_(* #,##0_);_(* \(#,##0\);_(* &quot;-&quot;??_);_(@_)">
                  <c:v>2684.9414633699998</c:v>
                </c:pt>
                <c:pt idx="351" formatCode="_(* #,##0_);_(* \(#,##0\);_(* &quot;-&quot;??_);_(@_)">
                  <c:v>2684.9414633699998</c:v>
                </c:pt>
                <c:pt idx="352" formatCode="_(* #,##0_);_(* \(#,##0\);_(* &quot;-&quot;??_);_(@_)">
                  <c:v>2684.9561479399999</c:v>
                </c:pt>
                <c:pt idx="353" formatCode="_(* #,##0_);_(* \(#,##0\);_(* &quot;-&quot;??_);_(@_)">
                  <c:v>2684.9561479399999</c:v>
                </c:pt>
                <c:pt idx="354" formatCode="_(* #,##0_);_(* \(#,##0\);_(* &quot;-&quot;??_);_(@_)">
                  <c:v>2684.9561479399999</c:v>
                </c:pt>
                <c:pt idx="355" formatCode="_(* #,##0_);_(* \(#,##0\);_(* &quot;-&quot;??_);_(@_)">
                  <c:v>2684.9561479399999</c:v>
                </c:pt>
                <c:pt idx="356" formatCode="_(* #,##0_);_(* \(#,##0\);_(* &quot;-&quot;??_);_(@_)">
                  <c:v>2684.9561479399999</c:v>
                </c:pt>
                <c:pt idx="357" formatCode="_(* #,##0_);_(* \(#,##0\);_(* &quot;-&quot;??_);_(@_)">
                  <c:v>2684.9561479399999</c:v>
                </c:pt>
                <c:pt idx="358" formatCode="_(* #,##0_);_(* \(#,##0\);_(* &quot;-&quot;??_);_(@_)">
                  <c:v>2684.9561479399999</c:v>
                </c:pt>
                <c:pt idx="359" formatCode="_(* #,##0_);_(* \(#,##0\);_(* &quot;-&quot;??_);_(@_)">
                  <c:v>2684.9561479399999</c:v>
                </c:pt>
                <c:pt idx="360" formatCode="_(* #,##0_);_(* \(#,##0\);_(* &quot;-&quot;??_);_(@_)">
                  <c:v>2684.9561479399999</c:v>
                </c:pt>
                <c:pt idx="361" formatCode="_(* #,##0_);_(* \(#,##0\);_(* &quot;-&quot;??_);_(@_)">
                  <c:v>2684.9561479399999</c:v>
                </c:pt>
                <c:pt idx="362" formatCode="_(* #,##0_);_(* \(#,##0\);_(* &quot;-&quot;??_);_(@_)">
                  <c:v>2684.9561479399999</c:v>
                </c:pt>
                <c:pt idx="363" formatCode="_(* #,##0_);_(* \(#,##0\);_(* &quot;-&quot;??_);_(@_)">
                  <c:v>2684.9561479399999</c:v>
                </c:pt>
                <c:pt idx="364" formatCode="_(* #,##0_);_(* \(#,##0\);_(* &quot;-&quot;??_);_(@_)">
                  <c:v>2684.9561479399999</c:v>
                </c:pt>
                <c:pt idx="365" formatCode="_(* #,##0_);_(* \(#,##0\);_(* &quot;-&quot;??_);_(@_)">
                  <c:v>2684.9561479399999</c:v>
                </c:pt>
                <c:pt idx="366" formatCode="_(* #,##0_);_(* \(#,##0\);_(* &quot;-&quot;??_);_(@_)">
                  <c:v>2684.9561479399999</c:v>
                </c:pt>
                <c:pt idx="367" formatCode="_(* #,##0_);_(* \(#,##0\);_(* &quot;-&quot;??_);_(@_)">
                  <c:v>2684.9561479399999</c:v>
                </c:pt>
                <c:pt idx="368" formatCode="_(* #,##0_);_(* \(#,##0\);_(* &quot;-&quot;??_);_(@_)">
                  <c:v>2684.97083251</c:v>
                </c:pt>
                <c:pt idx="369" formatCode="_(* #,##0_);_(* \(#,##0\);_(* &quot;-&quot;??_);_(@_)">
                  <c:v>2684.97083251</c:v>
                </c:pt>
                <c:pt idx="370" formatCode="_(* #,##0_);_(* \(#,##0\);_(* &quot;-&quot;??_);_(@_)">
                  <c:v>2684.97083251</c:v>
                </c:pt>
                <c:pt idx="371" formatCode="_(* #,##0_);_(* \(#,##0\);_(* &quot;-&quot;??_);_(@_)">
                  <c:v>2684.9855170799997</c:v>
                </c:pt>
                <c:pt idx="372" formatCode="_(* #,##0_);_(* \(#,##0\);_(* &quot;-&quot;??_);_(@_)">
                  <c:v>2684.9855170799997</c:v>
                </c:pt>
                <c:pt idx="373" formatCode="_(* #,##0_);_(* \(#,##0\);_(* &quot;-&quot;??_);_(@_)">
                  <c:v>2684.9855170799997</c:v>
                </c:pt>
                <c:pt idx="374" formatCode="_(* #,##0_);_(* \(#,##0\);_(* &quot;-&quot;??_);_(@_)">
                  <c:v>2684.9855170799997</c:v>
                </c:pt>
                <c:pt idx="375" formatCode="_(* #,##0_);_(* \(#,##0\);_(* &quot;-&quot;??_);_(@_)">
                  <c:v>2685.0002016499998</c:v>
                </c:pt>
                <c:pt idx="376" formatCode="_(* #,##0_);_(* \(#,##0\);_(* &quot;-&quot;??_);_(@_)">
                  <c:v>2685.0002016499998</c:v>
                </c:pt>
                <c:pt idx="377" formatCode="_(* #,##0_);_(* \(#,##0\);_(* &quot;-&quot;??_);_(@_)">
                  <c:v>2685.0002016499998</c:v>
                </c:pt>
                <c:pt idx="378" formatCode="_(* #,##0_);_(* \(#,##0\);_(* &quot;-&quot;??_);_(@_)">
                  <c:v>2685.0002016499998</c:v>
                </c:pt>
                <c:pt idx="379" formatCode="_(* #,##0_);_(* \(#,##0\);_(* &quot;-&quot;??_);_(@_)">
                  <c:v>2685.0002016499998</c:v>
                </c:pt>
                <c:pt idx="380" formatCode="_(* #,##0_);_(* \(#,##0\);_(* &quot;-&quot;??_);_(@_)">
                  <c:v>2685.0148862199999</c:v>
                </c:pt>
                <c:pt idx="381" formatCode="_(* #,##0_);_(* \(#,##0\);_(* &quot;-&quot;??_);_(@_)">
                  <c:v>2685.0148862199999</c:v>
                </c:pt>
                <c:pt idx="382" formatCode="_(* #,##0_);_(* \(#,##0\);_(* &quot;-&quot;??_);_(@_)">
                  <c:v>2685.0148862199999</c:v>
                </c:pt>
                <c:pt idx="383" formatCode="_(* #,##0_);_(* \(#,##0\);_(* &quot;-&quot;??_);_(@_)">
                  <c:v>2685.0148862199999</c:v>
                </c:pt>
                <c:pt idx="384" formatCode="_(* #,##0_);_(* \(#,##0\);_(* &quot;-&quot;??_);_(@_)">
                  <c:v>2685.0148862199999</c:v>
                </c:pt>
                <c:pt idx="385" formatCode="_(* #,##0_);_(* \(#,##0\);_(* &quot;-&quot;??_);_(@_)">
                  <c:v>2685.02957079</c:v>
                </c:pt>
                <c:pt idx="386" formatCode="_(* #,##0_);_(* \(#,##0\);_(* &quot;-&quot;??_);_(@_)">
                  <c:v>2685.02957079</c:v>
                </c:pt>
                <c:pt idx="387" formatCode="_(* #,##0_);_(* \(#,##0\);_(* &quot;-&quot;??_);_(@_)">
                  <c:v>4112.5753587700001</c:v>
                </c:pt>
                <c:pt idx="388" formatCode="_(* #,##0_);_(* \(#,##0\);_(* &quot;-&quot;??_);_(@_)">
                  <c:v>4112.5753587700001</c:v>
                </c:pt>
                <c:pt idx="389" formatCode="_(* #,##0_);_(* \(#,##0\);_(* &quot;-&quot;??_);_(@_)">
                  <c:v>4112.5753587700001</c:v>
                </c:pt>
                <c:pt idx="390" formatCode="_(* #,##0_);_(* \(#,##0\);_(* &quot;-&quot;??_);_(@_)">
                  <c:v>4112.5753587700001</c:v>
                </c:pt>
                <c:pt idx="391" formatCode="_(* #,##0_);_(* \(#,##0\);_(* &quot;-&quot;??_);_(@_)">
                  <c:v>4112.5753587700001</c:v>
                </c:pt>
                <c:pt idx="392" formatCode="_(* #,##0_);_(* \(#,##0\);_(* &quot;-&quot;??_);_(@_)">
                  <c:v>4112.5753587700001</c:v>
                </c:pt>
                <c:pt idx="393" formatCode="_(* #,##0_);_(* \(#,##0\);_(* &quot;-&quot;??_);_(@_)">
                  <c:v>4112.5753587700001</c:v>
                </c:pt>
                <c:pt idx="394" formatCode="_(* #,##0_);_(* \(#,##0\);_(* &quot;-&quot;??_);_(@_)">
                  <c:v>4112.5753587700001</c:v>
                </c:pt>
                <c:pt idx="395" formatCode="_(* #,##0_);_(* \(#,##0\);_(* &quot;-&quot;??_);_(@_)">
                  <c:v>4112.5753587700001</c:v>
                </c:pt>
                <c:pt idx="396" formatCode="_(* #,##0_);_(* \(#,##0\);_(* &quot;-&quot;??_);_(@_)">
                  <c:v>4112.5753587700001</c:v>
                </c:pt>
                <c:pt idx="397" formatCode="_(* #,##0_);_(* \(#,##0\);_(* &quot;-&quot;??_);_(@_)">
                  <c:v>4112.5753587700001</c:v>
                </c:pt>
                <c:pt idx="398" formatCode="_(* #,##0_);_(* \(#,##0\);_(* &quot;-&quot;??_);_(@_)">
                  <c:v>4112.5753587700001</c:v>
                </c:pt>
                <c:pt idx="399" formatCode="_(* #,##0_);_(* \(#,##0\);_(* &quot;-&quot;??_);_(@_)">
                  <c:v>4112.5753587700001</c:v>
                </c:pt>
                <c:pt idx="400" formatCode="_(* #,##0_);_(* \(#,##0\);_(* &quot;-&quot;??_);_(@_)">
                  <c:v>4112.5753587700001</c:v>
                </c:pt>
                <c:pt idx="401" formatCode="_(* #,##0_);_(* \(#,##0\);_(* &quot;-&quot;??_);_(@_)">
                  <c:v>4112.5753587700001</c:v>
                </c:pt>
                <c:pt idx="402" formatCode="_(* #,##0_);_(* \(#,##0\);_(* &quot;-&quot;??_);_(@_)">
                  <c:v>4112.5753587700001</c:v>
                </c:pt>
                <c:pt idx="403" formatCode="_(* #,##0_);_(* \(#,##0\);_(* &quot;-&quot;??_);_(@_)">
                  <c:v>4112.5753587700001</c:v>
                </c:pt>
                <c:pt idx="404" formatCode="_(* #,##0_);_(* \(#,##0\);_(* &quot;-&quot;??_);_(@_)">
                  <c:v>4112.5753587700001</c:v>
                </c:pt>
                <c:pt idx="405" formatCode="_(* #,##0_);_(* \(#,##0\);_(* &quot;-&quot;??_);_(@_)">
                  <c:v>4112.5753587700001</c:v>
                </c:pt>
                <c:pt idx="406" formatCode="_(* #,##0_);_(* \(#,##0\);_(* &quot;-&quot;??_);_(@_)">
                  <c:v>4112.5753587700001</c:v>
                </c:pt>
                <c:pt idx="407" formatCode="_(* #,##0_);_(* \(#,##0\);_(* &quot;-&quot;??_);_(@_)">
                  <c:v>4112.5753587700001</c:v>
                </c:pt>
                <c:pt idx="408" formatCode="_(* #,##0_);_(* \(#,##0\);_(* &quot;-&quot;??_);_(@_)">
                  <c:v>4112.5753587700001</c:v>
                </c:pt>
                <c:pt idx="409" formatCode="_(* #,##0_);_(* \(#,##0\);_(* &quot;-&quot;??_);_(@_)">
                  <c:v>4112.5753587700001</c:v>
                </c:pt>
                <c:pt idx="410" formatCode="_(* #,##0_);_(* \(#,##0\);_(* &quot;-&quot;??_);_(@_)">
                  <c:v>4112.5753587700001</c:v>
                </c:pt>
                <c:pt idx="411" formatCode="_(* #,##0_);_(* \(#,##0\);_(* &quot;-&quot;??_);_(@_)">
                  <c:v>4112.5753587700001</c:v>
                </c:pt>
                <c:pt idx="412" formatCode="_(* #,##0_);_(* \(#,##0\);_(* &quot;-&quot;??_);_(@_)">
                  <c:v>4112.5753587700001</c:v>
                </c:pt>
                <c:pt idx="413" formatCode="_(* #,##0_);_(* \(#,##0\);_(* &quot;-&quot;??_);_(@_)">
                  <c:v>4112.5753587700001</c:v>
                </c:pt>
                <c:pt idx="414" formatCode="_(* #,##0_);_(* \(#,##0\);_(* &quot;-&quot;??_);_(@_)">
                  <c:v>4112.5753587700001</c:v>
                </c:pt>
                <c:pt idx="415" formatCode="_(* #,##0_);_(* \(#,##0\);_(* &quot;-&quot;??_);_(@_)">
                  <c:v>4112.5753587700001</c:v>
                </c:pt>
                <c:pt idx="416" formatCode="_(* #,##0_);_(* \(#,##0\);_(* &quot;-&quot;??_);_(@_)">
                  <c:v>4112.5753587700001</c:v>
                </c:pt>
                <c:pt idx="417" formatCode="_(* #,##0_);_(* \(#,##0\);_(* &quot;-&quot;??_);_(@_)">
                  <c:v>4112.5753587700001</c:v>
                </c:pt>
                <c:pt idx="418" formatCode="_(* #,##0_);_(* \(#,##0\);_(* &quot;-&quot;??_);_(@_)">
                  <c:v>4112.5753587700001</c:v>
                </c:pt>
                <c:pt idx="419" formatCode="_(* #,##0_);_(* \(#,##0\);_(* &quot;-&quot;??_);_(@_)">
                  <c:v>4112.5753587700001</c:v>
                </c:pt>
                <c:pt idx="420" formatCode="_(* #,##0_);_(* \(#,##0\);_(* &quot;-&quot;??_);_(@_)">
                  <c:v>4112.5753587700001</c:v>
                </c:pt>
                <c:pt idx="421" formatCode="_(* #,##0_);_(* \(#,##0\);_(* &quot;-&quot;??_);_(@_)">
                  <c:v>4112.5753587700001</c:v>
                </c:pt>
                <c:pt idx="422" formatCode="_(* #,##0_);_(* \(#,##0\);_(* &quot;-&quot;??_);_(@_)">
                  <c:v>4112.5753587700001</c:v>
                </c:pt>
                <c:pt idx="423" formatCode="_(* #,##0_);_(* \(#,##0\);_(* &quot;-&quot;??_);_(@_)">
                  <c:v>4112.5753587700001</c:v>
                </c:pt>
                <c:pt idx="424" formatCode="_(* #,##0_);_(* \(#,##0\);_(* &quot;-&quot;??_);_(@_)">
                  <c:v>4112.5753587700001</c:v>
                </c:pt>
                <c:pt idx="425" formatCode="_(* #,##0_);_(* \(#,##0\);_(* &quot;-&quot;??_);_(@_)">
                  <c:v>4112.5753587700001</c:v>
                </c:pt>
                <c:pt idx="426" formatCode="_(* #,##0_);_(* \(#,##0\);_(* &quot;-&quot;??_);_(@_)">
                  <c:v>4112.5753587700001</c:v>
                </c:pt>
                <c:pt idx="427" formatCode="_(* #,##0_);_(* \(#,##0\);_(* &quot;-&quot;??_);_(@_)">
                  <c:v>4112.5753587700001</c:v>
                </c:pt>
                <c:pt idx="428" formatCode="_(* #,##0_);_(* \(#,##0\);_(* &quot;-&quot;??_);_(@_)">
                  <c:v>4112.5753587700001</c:v>
                </c:pt>
                <c:pt idx="429" formatCode="_(* #,##0_);_(* \(#,##0\);_(* &quot;-&quot;??_);_(@_)">
                  <c:v>4112.5753587700001</c:v>
                </c:pt>
                <c:pt idx="430" formatCode="_(* #,##0_);_(* \(#,##0\);_(* &quot;-&quot;??_);_(@_)">
                  <c:v>4112.5753587700001</c:v>
                </c:pt>
                <c:pt idx="431" formatCode="_(* #,##0_);_(* \(#,##0\);_(* &quot;-&quot;??_);_(@_)">
                  <c:v>4112.5753587700001</c:v>
                </c:pt>
                <c:pt idx="432" formatCode="_(* #,##0_);_(* \(#,##0\);_(* &quot;-&quot;??_);_(@_)">
                  <c:v>4112.5753587700001</c:v>
                </c:pt>
                <c:pt idx="433" formatCode="_(* #,##0_);_(* \(#,##0\);_(* &quot;-&quot;??_);_(@_)">
                  <c:v>4112.5753587700001</c:v>
                </c:pt>
                <c:pt idx="434" formatCode="_(* #,##0_);_(* \(#,##0\);_(* &quot;-&quot;??_);_(@_)">
                  <c:v>4112.5753587700001</c:v>
                </c:pt>
                <c:pt idx="435" formatCode="_(* #,##0_);_(* \(#,##0\);_(* &quot;-&quot;??_);_(@_)">
                  <c:v>4112.5753587700001</c:v>
                </c:pt>
                <c:pt idx="436" formatCode="_(* #,##0_);_(* \(#,##0\);_(* &quot;-&quot;??_);_(@_)">
                  <c:v>4112.5753587700001</c:v>
                </c:pt>
                <c:pt idx="437" formatCode="_(* #,##0_);_(* \(#,##0\);_(* &quot;-&quot;??_);_(@_)">
                  <c:v>4112.5753587700001</c:v>
                </c:pt>
                <c:pt idx="438" formatCode="_(* #,##0_);_(* \(#,##0\);_(* &quot;-&quot;??_);_(@_)">
                  <c:v>4112.5753587700001</c:v>
                </c:pt>
                <c:pt idx="439" formatCode="_(* #,##0_);_(* \(#,##0\);_(* &quot;-&quot;??_);_(@_)">
                  <c:v>4112.5753587700001</c:v>
                </c:pt>
                <c:pt idx="440" formatCode="_(* #,##0_);_(* \(#,##0\);_(* &quot;-&quot;??_);_(@_)">
                  <c:v>4112.5753587700001</c:v>
                </c:pt>
                <c:pt idx="441" formatCode="_(* #,##0_);_(* \(#,##0\);_(* &quot;-&quot;??_);_(@_)">
                  <c:v>4112.5753587700001</c:v>
                </c:pt>
                <c:pt idx="442" formatCode="_(* #,##0_);_(* \(#,##0\);_(* &quot;-&quot;??_);_(@_)">
                  <c:v>4112.5753587700001</c:v>
                </c:pt>
                <c:pt idx="443" formatCode="_(* #,##0_);_(* \(#,##0\);_(* &quot;-&quot;??_);_(@_)">
                  <c:v>4112.5753587700001</c:v>
                </c:pt>
                <c:pt idx="444" formatCode="_(* #,##0_);_(* \(#,##0\);_(* &quot;-&quot;??_);_(@_)">
                  <c:v>4112.5753587700001</c:v>
                </c:pt>
                <c:pt idx="445" formatCode="_(* #,##0_);_(* \(#,##0\);_(* &quot;-&quot;??_);_(@_)">
                  <c:v>4112.5753587700001</c:v>
                </c:pt>
                <c:pt idx="446" formatCode="_(* #,##0_);_(* \(#,##0\);_(* &quot;-&quot;??_);_(@_)">
                  <c:v>4112.5753587700001</c:v>
                </c:pt>
                <c:pt idx="447" formatCode="_(* #,##0_);_(* \(#,##0\);_(* &quot;-&quot;??_);_(@_)">
                  <c:v>4112.5753587700001</c:v>
                </c:pt>
                <c:pt idx="448" formatCode="_(* #,##0_);_(* \(#,##0\);_(* &quot;-&quot;??_);_(@_)">
                  <c:v>4112.5753587700001</c:v>
                </c:pt>
                <c:pt idx="449" formatCode="_(* #,##0_);_(* \(#,##0\);_(* &quot;-&quot;??_);_(@_)">
                  <c:v>4112.5753587700001</c:v>
                </c:pt>
                <c:pt idx="450" formatCode="_(* #,##0_);_(* \(#,##0\);_(* &quot;-&quot;??_);_(@_)">
                  <c:v>4112.5753587700001</c:v>
                </c:pt>
                <c:pt idx="451" formatCode="_(* #,##0_);_(* \(#,##0\);_(* &quot;-&quot;??_);_(@_)">
                  <c:v>5058.8931032799992</c:v>
                </c:pt>
                <c:pt idx="452" formatCode="_(* #,##0_);_(* \(#,##0\);_(* &quot;-&quot;??_);_(@_)">
                  <c:v>5058.8931032799992</c:v>
                </c:pt>
                <c:pt idx="453" formatCode="_(* #,##0_);_(* \(#,##0\);_(* &quot;-&quot;??_);_(@_)">
                  <c:v>5058.87841871</c:v>
                </c:pt>
                <c:pt idx="454" formatCode="_(* #,##0_);_(* \(#,##0\);_(* &quot;-&quot;??_);_(@_)">
                  <c:v>5058.87841871</c:v>
                </c:pt>
                <c:pt idx="455" formatCode="_(* #,##0_);_(* \(#,##0\);_(* &quot;-&quot;??_);_(@_)">
                  <c:v>5058.8637341399999</c:v>
                </c:pt>
                <c:pt idx="456" formatCode="_(* #,##0_);_(* \(#,##0\);_(* &quot;-&quot;??_);_(@_)">
                  <c:v>5058.8637341399999</c:v>
                </c:pt>
                <c:pt idx="457" formatCode="_(* #,##0_);_(* \(#,##0\);_(* &quot;-&quot;??_);_(@_)">
                  <c:v>5058.8637341399999</c:v>
                </c:pt>
                <c:pt idx="458" formatCode="_(* #,##0_);_(* \(#,##0\);_(* &quot;-&quot;??_);_(@_)">
                  <c:v>5058.8637341399999</c:v>
                </c:pt>
                <c:pt idx="459" formatCode="_(* #,##0_);_(* \(#,##0\);_(* &quot;-&quot;??_);_(@_)">
                  <c:v>5058.8637341399999</c:v>
                </c:pt>
                <c:pt idx="460" formatCode="_(* #,##0_);_(* \(#,##0\);_(* &quot;-&quot;??_);_(@_)">
                  <c:v>5058.8637341399999</c:v>
                </c:pt>
                <c:pt idx="461" formatCode="_(* #,##0_);_(* \(#,##0\);_(* &quot;-&quot;??_);_(@_)">
                  <c:v>5058.8637341399999</c:v>
                </c:pt>
                <c:pt idx="462" formatCode="_(* #,##0_);_(* \(#,##0\);_(* &quot;-&quot;??_);_(@_)">
                  <c:v>5058.8490495699998</c:v>
                </c:pt>
                <c:pt idx="463" formatCode="_(* #,##0_);_(* \(#,##0\);_(* &quot;-&quot;??_);_(@_)">
                  <c:v>5058.8490495699998</c:v>
                </c:pt>
                <c:pt idx="464" formatCode="_(* #,##0_);_(* \(#,##0\);_(* &quot;-&quot;??_);_(@_)">
                  <c:v>5058.8490495699998</c:v>
                </c:pt>
                <c:pt idx="465" formatCode="_(* #,##0_);_(* \(#,##0\);_(* &quot;-&quot;??_);_(@_)">
                  <c:v>5058.8490495699998</c:v>
                </c:pt>
                <c:pt idx="466" formatCode="_(* #,##0_);_(* \(#,##0\);_(* &quot;-&quot;??_);_(@_)">
                  <c:v>5058.8343649999997</c:v>
                </c:pt>
                <c:pt idx="467" formatCode="_(* #,##0_);_(* \(#,##0\);_(* &quot;-&quot;??_);_(@_)">
                  <c:v>5058.8343649999997</c:v>
                </c:pt>
                <c:pt idx="468" formatCode="_(* #,##0_);_(* \(#,##0\);_(* &quot;-&quot;??_);_(@_)">
                  <c:v>5058.8343649999997</c:v>
                </c:pt>
                <c:pt idx="469" formatCode="_(* #,##0_);_(* \(#,##0\);_(* &quot;-&quot;??_);_(@_)">
                  <c:v>5058.8343649999997</c:v>
                </c:pt>
                <c:pt idx="470" formatCode="_(* #,##0_);_(* \(#,##0\);_(* &quot;-&quot;??_);_(@_)">
                  <c:v>5058.8343649999997</c:v>
                </c:pt>
                <c:pt idx="471" formatCode="_(* #,##0_);_(* \(#,##0\);_(* &quot;-&quot;??_);_(@_)">
                  <c:v>5058.8343649999997</c:v>
                </c:pt>
                <c:pt idx="472" formatCode="_(* #,##0_);_(* \(#,##0\);_(* &quot;-&quot;??_);_(@_)">
                  <c:v>5058.8196804299996</c:v>
                </c:pt>
                <c:pt idx="473" formatCode="_(* #,##0_);_(* \(#,##0\);_(* &quot;-&quot;??_);_(@_)">
                  <c:v>5058.8196804299996</c:v>
                </c:pt>
                <c:pt idx="474" formatCode="_(* #,##0_);_(* \(#,##0\);_(* &quot;-&quot;??_);_(@_)">
                  <c:v>5058.8196804299996</c:v>
                </c:pt>
                <c:pt idx="475" formatCode="_(* #,##0_);_(* \(#,##0\);_(* &quot;-&quot;??_);_(@_)">
                  <c:v>5058.8196804299996</c:v>
                </c:pt>
                <c:pt idx="476" formatCode="_(* #,##0_);_(* \(#,##0\);_(* &quot;-&quot;??_);_(@_)">
                  <c:v>5058.8196804299996</c:v>
                </c:pt>
                <c:pt idx="477" formatCode="_(* #,##0_);_(* \(#,##0\);_(* &quot;-&quot;??_);_(@_)">
                  <c:v>5058.8196804299996</c:v>
                </c:pt>
                <c:pt idx="478" formatCode="_(* #,##0_);_(* \(#,##0\);_(* &quot;-&quot;??_);_(@_)">
                  <c:v>5058.8196804299996</c:v>
                </c:pt>
                <c:pt idx="479" formatCode="_(* #,##0_);_(* \(#,##0\);_(* &quot;-&quot;??_);_(@_)">
                  <c:v>5058.8196804299996</c:v>
                </c:pt>
                <c:pt idx="480" formatCode="_(* #,##0_);_(* \(#,##0\);_(* &quot;-&quot;??_);_(@_)">
                  <c:v>5058.8196804299996</c:v>
                </c:pt>
                <c:pt idx="481" formatCode="_(* #,##0_);_(* \(#,##0\);_(* &quot;-&quot;??_);_(@_)">
                  <c:v>5058.8196804299996</c:v>
                </c:pt>
                <c:pt idx="482" formatCode="_(* #,##0_);_(* \(#,##0\);_(* &quot;-&quot;??_);_(@_)">
                  <c:v>5058.8196804299996</c:v>
                </c:pt>
                <c:pt idx="483" formatCode="_(* #,##0_);_(* \(#,##0\);_(* &quot;-&quot;??_);_(@_)">
                  <c:v>5058.8196804299996</c:v>
                </c:pt>
                <c:pt idx="484" formatCode="_(* #,##0_);_(* \(#,##0\);_(* &quot;-&quot;??_);_(@_)">
                  <c:v>5058.8196804299996</c:v>
                </c:pt>
                <c:pt idx="485" formatCode="_(* #,##0_);_(* \(#,##0\);_(* &quot;-&quot;??_);_(@_)">
                  <c:v>5058.8196804299996</c:v>
                </c:pt>
                <c:pt idx="486" formatCode="_(* #,##0_);_(* \(#,##0\);_(* &quot;-&quot;??_);_(@_)">
                  <c:v>5058.8196804299996</c:v>
                </c:pt>
                <c:pt idx="487" formatCode="_(* #,##0_);_(* \(#,##0\);_(* &quot;-&quot;??_);_(@_)">
                  <c:v>5058.8196804299996</c:v>
                </c:pt>
                <c:pt idx="488" formatCode="_(* #,##0_);_(* \(#,##0\);_(* &quot;-&quot;??_);_(@_)">
                  <c:v>5058.8196804299996</c:v>
                </c:pt>
                <c:pt idx="489" formatCode="_(* #,##0_);_(* \(#,##0\);_(* &quot;-&quot;??_);_(@_)">
                  <c:v>5058.8196804299996</c:v>
                </c:pt>
                <c:pt idx="490" formatCode="_(* #,##0_);_(* \(#,##0\);_(* &quot;-&quot;??_);_(@_)">
                  <c:v>5058.8196804299996</c:v>
                </c:pt>
                <c:pt idx="491" formatCode="_(* #,##0_);_(* \(#,##0\);_(* &quot;-&quot;??_);_(@_)">
                  <c:v>5058.8196804299996</c:v>
                </c:pt>
                <c:pt idx="492" formatCode="_(* #,##0_);_(* \(#,##0\);_(* &quot;-&quot;??_);_(@_)">
                  <c:v>5058.8196804299996</c:v>
                </c:pt>
                <c:pt idx="493" formatCode="_(* #,##0_);_(* \(#,##0\);_(* &quot;-&quot;??_);_(@_)">
                  <c:v>5058.8196804299996</c:v>
                </c:pt>
                <c:pt idx="494" formatCode="_(* #,##0_);_(* \(#,##0\);_(* &quot;-&quot;??_);_(@_)">
                  <c:v>5058.8196804299996</c:v>
                </c:pt>
                <c:pt idx="495" formatCode="_(* #,##0_);_(* \(#,##0\);_(* &quot;-&quot;??_);_(@_)">
                  <c:v>5058.8196804299996</c:v>
                </c:pt>
                <c:pt idx="496" formatCode="_(* #,##0_);_(* \(#,##0\);_(* &quot;-&quot;??_);_(@_)">
                  <c:v>5091.8159092199994</c:v>
                </c:pt>
                <c:pt idx="497" formatCode="_(* #,##0_);_(* \(#,##0\);_(* &quot;-&quot;??_);_(@_)">
                  <c:v>5091.8159092199994</c:v>
                </c:pt>
                <c:pt idx="498" formatCode="_(* #,##0_);_(* \(#,##0\);_(* &quot;-&quot;??_);_(@_)">
                  <c:v>5091.8159092199994</c:v>
                </c:pt>
                <c:pt idx="499" formatCode="_(* #,##0_);_(* \(#,##0\);_(* &quot;-&quot;??_);_(@_)">
                  <c:v>5091.8159092199994</c:v>
                </c:pt>
                <c:pt idx="500" formatCode="_(* #,##0_);_(* \(#,##0\);_(* &quot;-&quot;??_);_(@_)">
                  <c:v>5091.8159092199994</c:v>
                </c:pt>
                <c:pt idx="501" formatCode="_(* #,##0_);_(* \(#,##0\);_(* &quot;-&quot;??_);_(@_)">
                  <c:v>5091.8159092199994</c:v>
                </c:pt>
                <c:pt idx="502" formatCode="_(* #,##0_);_(* \(#,##0\);_(* &quot;-&quot;??_);_(@_)">
                  <c:v>5091.8159092199994</c:v>
                </c:pt>
                <c:pt idx="503" formatCode="_(* #,##0_);_(* \(#,##0\);_(* &quot;-&quot;??_);_(@_)">
                  <c:v>5091.8159092199994</c:v>
                </c:pt>
                <c:pt idx="504" formatCode="_(* #,##0_);_(* \(#,##0\);_(* &quot;-&quot;??_);_(@_)">
                  <c:v>5091.8159092199994</c:v>
                </c:pt>
                <c:pt idx="505" formatCode="_(* #,##0_);_(* \(#,##0\);_(* &quot;-&quot;??_);_(@_)">
                  <c:v>5091.8159092199994</c:v>
                </c:pt>
                <c:pt idx="506" formatCode="_(* #,##0_);_(* \(#,##0\);_(* &quot;-&quot;??_);_(@_)">
                  <c:v>5091.8159092199994</c:v>
                </c:pt>
                <c:pt idx="507" formatCode="_(* #,##0_);_(* \(#,##0\);_(* &quot;-&quot;??_);_(@_)">
                  <c:v>5091.8159092199994</c:v>
                </c:pt>
                <c:pt idx="508" formatCode="_(* #,##0_);_(* \(#,##0\);_(* &quot;-&quot;??_);_(@_)">
                  <c:v>5091.8159092199994</c:v>
                </c:pt>
                <c:pt idx="509" formatCode="_(* #,##0_);_(* \(#,##0\);_(* &quot;-&quot;??_);_(@_)">
                  <c:v>5091.8159092199994</c:v>
                </c:pt>
                <c:pt idx="510" formatCode="_(* #,##0_);_(* \(#,##0\);_(* &quot;-&quot;??_);_(@_)">
                  <c:v>5091.8159092199994</c:v>
                </c:pt>
                <c:pt idx="511" formatCode="_(* #,##0_);_(* \(#,##0\);_(* &quot;-&quot;??_);_(@_)">
                  <c:v>4987.1296096899996</c:v>
                </c:pt>
                <c:pt idx="512" formatCode="_(* #,##0_);_(* \(#,##0\);_(* &quot;-&quot;??_);_(@_)">
                  <c:v>4987.1296096899996</c:v>
                </c:pt>
                <c:pt idx="513" formatCode="_(* #,##0_);_(* \(#,##0\);_(* &quot;-&quot;??_);_(@_)">
                  <c:v>4987.1296096899996</c:v>
                </c:pt>
                <c:pt idx="514" formatCode="_(* #,##0_);_(* \(#,##0\);_(* &quot;-&quot;??_);_(@_)">
                  <c:v>4987.1296096899996</c:v>
                </c:pt>
                <c:pt idx="515" formatCode="_(* #,##0_);_(* \(#,##0\);_(* &quot;-&quot;??_);_(@_)">
                  <c:v>4987.1296096899996</c:v>
                </c:pt>
                <c:pt idx="516" formatCode="_(* #,##0_);_(* \(#,##0\);_(* &quot;-&quot;??_);_(@_)">
                  <c:v>4987.1296096899996</c:v>
                </c:pt>
                <c:pt idx="517" formatCode="_(* #,##0_);_(* \(#,##0\);_(* &quot;-&quot;??_);_(@_)">
                  <c:v>4987.1296096899996</c:v>
                </c:pt>
                <c:pt idx="518" formatCode="_(* #,##0_);_(* \(#,##0\);_(* &quot;-&quot;??_);_(@_)">
                  <c:v>4987.1296096899996</c:v>
                </c:pt>
                <c:pt idx="519" formatCode="_(* #,##0_);_(* \(#,##0\);_(* &quot;-&quot;??_);_(@_)">
                  <c:v>4987.1296096899996</c:v>
                </c:pt>
                <c:pt idx="520" formatCode="_(* #,##0_);_(* \(#,##0\);_(* &quot;-&quot;??_);_(@_)">
                  <c:v>4987.1296096899996</c:v>
                </c:pt>
                <c:pt idx="521" formatCode="_(* #,##0_);_(* \(#,##0\);_(* &quot;-&quot;??_);_(@_)">
                  <c:v>4987.1296096899996</c:v>
                </c:pt>
                <c:pt idx="522" formatCode="_(* #,##0_);_(* \(#,##0\);_(* &quot;-&quot;??_);_(@_)">
                  <c:v>4987.1296096899996</c:v>
                </c:pt>
                <c:pt idx="523" formatCode="_(* #,##0_);_(* \(#,##0\);_(* &quot;-&quot;??_);_(@_)">
                  <c:v>4987.1296096899996</c:v>
                </c:pt>
                <c:pt idx="524" formatCode="_(* #,##0_);_(* \(#,##0\);_(* &quot;-&quot;??_);_(@_)">
                  <c:v>4987.1296096899996</c:v>
                </c:pt>
                <c:pt idx="525" formatCode="_(* #,##0_);_(* \(#,##0\);_(* &quot;-&quot;??_);_(@_)">
                  <c:v>4987.1296096899996</c:v>
                </c:pt>
                <c:pt idx="526" formatCode="_(* #,##0_);_(* \(#,##0\);_(* &quot;-&quot;??_);_(@_)">
                  <c:v>4987.1296096899996</c:v>
                </c:pt>
                <c:pt idx="527" formatCode="_(* #,##0_);_(* \(#,##0\);_(* &quot;-&quot;??_);_(@_)">
                  <c:v>4987.1296096899996</c:v>
                </c:pt>
                <c:pt idx="528" formatCode="_(* #,##0_);_(* \(#,##0\);_(* &quot;-&quot;??_);_(@_)">
                  <c:v>4987.1296096899996</c:v>
                </c:pt>
                <c:pt idx="529" formatCode="_(* #,##0_);_(* \(#,##0\);_(* &quot;-&quot;??_);_(@_)">
                  <c:v>4987.1296096899996</c:v>
                </c:pt>
                <c:pt idx="530" formatCode="_(* #,##0_);_(* \(#,##0\);_(* &quot;-&quot;??_);_(@_)">
                  <c:v>4987.1296096899996</c:v>
                </c:pt>
                <c:pt idx="531" formatCode="_(* #,##0_);_(* \(#,##0\);_(* &quot;-&quot;??_);_(@_)">
                  <c:v>4987.1296096899996</c:v>
                </c:pt>
                <c:pt idx="532" formatCode="_(* #,##0_);_(* \(#,##0\);_(* &quot;-&quot;??_);_(@_)">
                  <c:v>4987.1296096899996</c:v>
                </c:pt>
                <c:pt idx="533" formatCode="_(* #,##0_);_(* \(#,##0\);_(* &quot;-&quot;??_);_(@_)">
                  <c:v>4986.5862805999996</c:v>
                </c:pt>
                <c:pt idx="534" formatCode="_(* #,##0_);_(* \(#,##0\);_(* &quot;-&quot;??_);_(@_)">
                  <c:v>4986.5862805999996</c:v>
                </c:pt>
                <c:pt idx="535" formatCode="_(* #,##0_);_(* \(#,##0\);_(* &quot;-&quot;??_);_(@_)">
                  <c:v>4986.5862805999996</c:v>
                </c:pt>
                <c:pt idx="536" formatCode="_(* #,##0_);_(* \(#,##0\);_(* &quot;-&quot;??_);_(@_)">
                  <c:v>4986.5862805999996</c:v>
                </c:pt>
                <c:pt idx="537" formatCode="_(* #,##0_);_(* \(#,##0\);_(* &quot;-&quot;??_);_(@_)">
                  <c:v>4986.5862805999996</c:v>
                </c:pt>
                <c:pt idx="538" formatCode="_(* #,##0_);_(* \(#,##0\);_(* &quot;-&quot;??_);_(@_)">
                  <c:v>4986.5862805999996</c:v>
                </c:pt>
                <c:pt idx="539" formatCode="_(* #,##0_);_(* \(#,##0\);_(* &quot;-&quot;??_);_(@_)">
                  <c:v>4986.5862805999996</c:v>
                </c:pt>
                <c:pt idx="540" formatCode="_(* #,##0_);_(* \(#,##0\);_(* &quot;-&quot;??_);_(@_)">
                  <c:v>4986.5862805999996</c:v>
                </c:pt>
                <c:pt idx="541" formatCode="_(* #,##0_);_(* \(#,##0\);_(* &quot;-&quot;??_);_(@_)">
                  <c:v>4986.5862805999996</c:v>
                </c:pt>
                <c:pt idx="542" formatCode="_(* #,##0_);_(* \(#,##0\);_(* &quot;-&quot;??_);_(@_)">
                  <c:v>4986.5862805999996</c:v>
                </c:pt>
                <c:pt idx="543" formatCode="_(* #,##0_);_(* \(#,##0\);_(* &quot;-&quot;??_);_(@_)">
                  <c:v>4986.5862805999996</c:v>
                </c:pt>
                <c:pt idx="544" formatCode="_(* #,##0_);_(* \(#,##0\);_(* &quot;-&quot;??_);_(@_)">
                  <c:v>4986.5862805999996</c:v>
                </c:pt>
                <c:pt idx="545" formatCode="_(* #,##0_);_(* \(#,##0\);_(* &quot;-&quot;??_);_(@_)">
                  <c:v>4986.5862805999996</c:v>
                </c:pt>
                <c:pt idx="546" formatCode="_(* #,##0_);_(* \(#,##0\);_(* &quot;-&quot;??_);_(@_)">
                  <c:v>4986.5862805999996</c:v>
                </c:pt>
                <c:pt idx="547" formatCode="_(* #,##0_);_(* \(#,##0\);_(* &quot;-&quot;??_);_(@_)">
                  <c:v>4986.5862805999996</c:v>
                </c:pt>
                <c:pt idx="548" formatCode="_(* #,##0_);_(* \(#,##0\);_(* &quot;-&quot;??_);_(@_)">
                  <c:v>4986.5862805999996</c:v>
                </c:pt>
                <c:pt idx="549" formatCode="_(* #,##0_);_(* \(#,##0\);_(* &quot;-&quot;??_);_(@_)">
                  <c:v>4986.5862805999996</c:v>
                </c:pt>
                <c:pt idx="550" formatCode="_(* #,##0_);_(* \(#,##0\);_(* &quot;-&quot;??_);_(@_)">
                  <c:v>4986.5862805999996</c:v>
                </c:pt>
                <c:pt idx="551" formatCode="_(* #,##0_);_(* \(#,##0\);_(* &quot;-&quot;??_);_(@_)">
                  <c:v>4986.5862805999996</c:v>
                </c:pt>
                <c:pt idx="552" formatCode="_(* #,##0_);_(* \(#,##0\);_(* &quot;-&quot;??_);_(@_)">
                  <c:v>4986.5862805999996</c:v>
                </c:pt>
                <c:pt idx="553" formatCode="_(* #,##0_);_(* \(#,##0\);_(* &quot;-&quot;??_);_(@_)">
                  <c:v>4986.5862805999996</c:v>
                </c:pt>
                <c:pt idx="554" formatCode="_(* #,##0_);_(* \(#,##0\);_(* &quot;-&quot;??_);_(@_)">
                  <c:v>4986.5862805999996</c:v>
                </c:pt>
                <c:pt idx="555" formatCode="_(* #,##0_);_(* \(#,##0\);_(* &quot;-&quot;??_);_(@_)">
                  <c:v>4986.5862805999996</c:v>
                </c:pt>
                <c:pt idx="556" formatCode="_(* #,##0_);_(* \(#,##0\);_(* &quot;-&quot;??_);_(@_)">
                  <c:v>4986.5862805999996</c:v>
                </c:pt>
                <c:pt idx="557" formatCode="_(* #,##0_);_(* \(#,##0\);_(* &quot;-&quot;??_);_(@_)">
                  <c:v>4986.5862805999996</c:v>
                </c:pt>
                <c:pt idx="558" formatCode="_(* #,##0_);_(* \(#,##0\);_(* &quot;-&quot;??_);_(@_)">
                  <c:v>4986.5862805999996</c:v>
                </c:pt>
                <c:pt idx="559" formatCode="_(* #,##0_);_(* \(#,##0\);_(* &quot;-&quot;??_);_(@_)">
                  <c:v>4986.5862805999996</c:v>
                </c:pt>
                <c:pt idx="560" formatCode="_(* #,##0_);_(* \(#,##0\);_(* &quot;-&quot;??_);_(@_)">
                  <c:v>4986.5862805999996</c:v>
                </c:pt>
                <c:pt idx="561" formatCode="_(* #,##0_);_(* \(#,##0\);_(* &quot;-&quot;??_);_(@_)">
                  <c:v>4986.5862805999996</c:v>
                </c:pt>
                <c:pt idx="562" formatCode="_(* #,##0_);_(* \(#,##0\);_(* &quot;-&quot;??_);_(@_)">
                  <c:v>4986.5862805999996</c:v>
                </c:pt>
                <c:pt idx="563" formatCode="_(* #,##0_);_(* \(#,##0\);_(* &quot;-&quot;??_);_(@_)">
                  <c:v>4986.5862805999996</c:v>
                </c:pt>
                <c:pt idx="564" formatCode="_(* #,##0_);_(* \(#,##0\);_(* &quot;-&quot;??_);_(@_)">
                  <c:v>4986.5862805999996</c:v>
                </c:pt>
                <c:pt idx="565" formatCode="_(* #,##0_);_(* \(#,##0\);_(* &quot;-&quot;??_);_(@_)">
                  <c:v>4986.5862805999996</c:v>
                </c:pt>
                <c:pt idx="566" formatCode="_(* #,##0_);_(* \(#,##0\);_(* &quot;-&quot;??_);_(@_)">
                  <c:v>4986.5862805999996</c:v>
                </c:pt>
                <c:pt idx="567" formatCode="_(* #,##0_);_(* \(#,##0\);_(* &quot;-&quot;??_);_(@_)">
                  <c:v>4986.5862805999996</c:v>
                </c:pt>
                <c:pt idx="568" formatCode="_(* #,##0_);_(* \(#,##0\);_(* &quot;-&quot;??_);_(@_)">
                  <c:v>4986.5862805999996</c:v>
                </c:pt>
                <c:pt idx="569" formatCode="_(* #,##0_);_(* \(#,##0\);_(* &quot;-&quot;??_);_(@_)">
                  <c:v>4986.5862805999996</c:v>
                </c:pt>
                <c:pt idx="570" formatCode="_(* #,##0_);_(* \(#,##0\);_(* &quot;-&quot;??_);_(@_)">
                  <c:v>4986.5862805999996</c:v>
                </c:pt>
                <c:pt idx="571" formatCode="_(* #,##0_);_(* \(#,##0\);_(* &quot;-&quot;??_);_(@_)">
                  <c:v>4986.5862805999996</c:v>
                </c:pt>
                <c:pt idx="572" formatCode="_(* #,##0_);_(* \(#,##0\);_(* &quot;-&quot;??_);_(@_)">
                  <c:v>4986.5862805999996</c:v>
                </c:pt>
                <c:pt idx="573" formatCode="_(* #,##0_);_(* \(#,##0\);_(* &quot;-&quot;??_);_(@_)">
                  <c:v>4986.5862805999996</c:v>
                </c:pt>
                <c:pt idx="574" formatCode="_(* #,##0_);_(* \(#,##0\);_(* &quot;-&quot;??_);_(@_)">
                  <c:v>5065.2074683800001</c:v>
                </c:pt>
                <c:pt idx="575" formatCode="_(* #,##0_);_(* \(#,##0\);_(* &quot;-&quot;??_);_(@_)">
                  <c:v>5065.3983677899996</c:v>
                </c:pt>
                <c:pt idx="576" formatCode="_(* #,##0_);_(* \(#,##0\);_(* &quot;-&quot;??_);_(@_)">
                  <c:v>5065.5892671999991</c:v>
                </c:pt>
                <c:pt idx="577" formatCode="_(* #,##0_);_(* \(#,##0\);_(* &quot;-&quot;??_);_(@_)">
                  <c:v>5065.7654820399994</c:v>
                </c:pt>
                <c:pt idx="578" formatCode="_(* #,##0_);_(* \(#,##0\);_(* &quot;-&quot;??_);_(@_)">
                  <c:v>5065.9563814499998</c:v>
                </c:pt>
                <c:pt idx="579" formatCode="_(* #,##0_);_(* \(#,##0\);_(* &quot;-&quot;??_);_(@_)">
                  <c:v>5066.5290796799991</c:v>
                </c:pt>
                <c:pt idx="580" formatCode="_(* #,##0_);_(* \(#,##0\);_(* &quot;-&quot;??_);_(@_)">
                  <c:v>5066.7199790899995</c:v>
                </c:pt>
                <c:pt idx="581" formatCode="_(* #,##0_);_(* \(#,##0\);_(* &quot;-&quot;??_);_(@_)">
                  <c:v>5066.8961939299998</c:v>
                </c:pt>
                <c:pt idx="582" formatCode="_(* #,##0_);_(* \(#,##0\);_(* &quot;-&quot;??_);_(@_)">
                  <c:v>5067.0870933399992</c:v>
                </c:pt>
                <c:pt idx="583" formatCode="_(* #,##0_);_(* \(#,##0\);_(* &quot;-&quot;??_);_(@_)">
                  <c:v>5067.2779927499996</c:v>
                </c:pt>
                <c:pt idx="584" formatCode="_(* #,##0_);_(* \(#,##0\);_(* &quot;-&quot;??_);_(@_)">
                  <c:v>5067.8506909799999</c:v>
                </c:pt>
                <c:pt idx="585" formatCode="_(* #,##0_);_(* \(#,##0\);_(* &quot;-&quot;??_);_(@_)">
                  <c:v>5068.0269058200001</c:v>
                </c:pt>
                <c:pt idx="586" formatCode="_(* #,##0_);_(* \(#,##0\);_(* &quot;-&quot;??_);_(@_)">
                  <c:v>5068.2178052299996</c:v>
                </c:pt>
                <c:pt idx="587" formatCode="_(* #,##0_);_(* \(#,##0\);_(* &quot;-&quot;??_);_(@_)">
                  <c:v>5068.40870464</c:v>
                </c:pt>
                <c:pt idx="588" formatCode="_(* #,##0_);_(* \(#,##0\);_(* &quot;-&quot;??_);_(@_)">
                  <c:v>5068.5996040499995</c:v>
                </c:pt>
                <c:pt idx="589" formatCode="_(* #,##0_);_(* \(#,##0\);_(* &quot;-&quot;??_);_(@_)">
                  <c:v>5069.1723022799997</c:v>
                </c:pt>
                <c:pt idx="590" formatCode="_(* #,##0_);_(* \(#,##0\);_(* &quot;-&quot;??_);_(@_)">
                  <c:v>5069.3485171199991</c:v>
                </c:pt>
                <c:pt idx="591" formatCode="_(* #,##0_);_(* \(#,##0\);_(* &quot;-&quot;??_);_(@_)">
                  <c:v>5069.5394165299995</c:v>
                </c:pt>
                <c:pt idx="592" formatCode="_(* #,##0_);_(* \(#,##0\);_(* &quot;-&quot;??_);_(@_)">
                  <c:v>5069.7303159399999</c:v>
                </c:pt>
                <c:pt idx="593" formatCode="_(* #,##0_);_(* \(#,##0\);_(* &quot;-&quot;??_);_(@_)">
                  <c:v>5069.9212153500002</c:v>
                </c:pt>
                <c:pt idx="594" formatCode="_(* #,##0_);_(* \(#,##0\);_(* &quot;-&quot;??_);_(@_)">
                  <c:v>5070.4792290099995</c:v>
                </c:pt>
                <c:pt idx="595" formatCode="_(* #,##0_);_(* \(#,##0\);_(* &quot;-&quot;??_);_(@_)">
                  <c:v>5070.6701284199999</c:v>
                </c:pt>
                <c:pt idx="596" formatCode="_(* #,##0_);_(* \(#,##0\);_(* &quot;-&quot;??_);_(@_)">
                  <c:v>5070.8610278299993</c:v>
                </c:pt>
                <c:pt idx="597" formatCode="_(* #,##0_);_(* \(#,##0\);_(* &quot;-&quot;??_);_(@_)">
                  <c:v>5071.0519272399997</c:v>
                </c:pt>
                <c:pt idx="598" formatCode="_(* #,##0_);_(* \(#,##0\);_(* &quot;-&quot;??_);_(@_)">
                  <c:v>5071.2428266499992</c:v>
                </c:pt>
                <c:pt idx="599" formatCode="_(* #,##0_);_(* \(#,##0\);_(* &quot;-&quot;??_);_(@_)">
                  <c:v>5071.8008403099993</c:v>
                </c:pt>
                <c:pt idx="600" formatCode="_(* #,##0_);_(* \(#,##0\);_(* &quot;-&quot;??_);_(@_)">
                  <c:v>5071.9917397199997</c:v>
                </c:pt>
                <c:pt idx="601" formatCode="_(* #,##0_);_(* \(#,##0\);_(* &quot;-&quot;??_);_(@_)">
                  <c:v>5072.1826391300001</c:v>
                </c:pt>
                <c:pt idx="602" formatCode="_(* #,##0_);_(* \(#,##0\);_(* &quot;-&quot;??_);_(@_)">
                  <c:v>5072.3735385399996</c:v>
                </c:pt>
                <c:pt idx="603" formatCode="_(* #,##0_);_(* \(#,##0\);_(* &quot;-&quot;??_);_(@_)">
                  <c:v>5072.56443795</c:v>
                </c:pt>
                <c:pt idx="604" formatCode="_(* #,##0_);_(* \(#,##0\);_(* &quot;-&quot;??_);_(@_)">
                  <c:v>5073.1224516100001</c:v>
                </c:pt>
                <c:pt idx="605" formatCode="_(* #,##0_);_(* \(#,##0\);_(* &quot;-&quot;??_);_(@_)">
                  <c:v>5073.3133510199996</c:v>
                </c:pt>
                <c:pt idx="606" formatCode="_(* #,##0_);_(* \(#,##0\);_(* &quot;-&quot;??_);_(@_)">
                  <c:v>10253.001727119999</c:v>
                </c:pt>
                <c:pt idx="607" formatCode="_(* #,##0_);_(* \(#,##0\);_(* &quot;-&quot;??_);_(@_)">
                  <c:v>10253.765324759999</c:v>
                </c:pt>
                <c:pt idx="608" formatCode="_(* #,##0_);_(* \(#,##0\);_(* &quot;-&quot;??_);_(@_)">
                  <c:v>10254.543606969999</c:v>
                </c:pt>
                <c:pt idx="609" formatCode="_(* #,##0_);_(* \(#,##0\);_(* &quot;-&quot;??_);_(@_)">
                  <c:v>10256.863769029998</c:v>
                </c:pt>
                <c:pt idx="610" formatCode="_(* #,##0_);_(* \(#,##0\);_(* &quot;-&quot;??_);_(@_)">
                  <c:v>10257.62736667</c:v>
                </c:pt>
                <c:pt idx="611" formatCode="_(* #,##0_);_(* \(#,##0\);_(* &quot;-&quot;??_);_(@_)">
                  <c:v>10258.40564888</c:v>
                </c:pt>
                <c:pt idx="612" formatCode="_(* #,##0_);_(* \(#,##0\);_(* &quot;-&quot;??_);_(@_)">
                  <c:v>10259.169246519999</c:v>
                </c:pt>
                <c:pt idx="613" formatCode="_(* #,##0_);_(* \(#,##0\);_(* &quot;-&quot;??_);_(@_)">
                  <c:v>10259.947528729999</c:v>
                </c:pt>
                <c:pt idx="614" formatCode="_(* #,##0_);_(* \(#,##0\);_(* &quot;-&quot;??_);_(@_)">
                  <c:v>10262.26769079</c:v>
                </c:pt>
                <c:pt idx="615" formatCode="_(* #,##0_);_(* \(#,##0\);_(* &quot;-&quot;??_);_(@_)">
                  <c:v>10263.031288429998</c:v>
                </c:pt>
                <c:pt idx="616" formatCode="_(* #,##0_);_(* \(#,##0\);_(* &quot;-&quot;??_);_(@_)">
                  <c:v>10263.80957064</c:v>
                </c:pt>
                <c:pt idx="617" formatCode="_(* #,##0_);_(* \(#,##0\);_(* &quot;-&quot;??_);_(@_)">
                  <c:v>10264.58785285</c:v>
                </c:pt>
                <c:pt idx="618" formatCode="_(* #,##0_);_(* \(#,##0\);_(* &quot;-&quot;??_);_(@_)">
                  <c:v>10265.351450489999</c:v>
                </c:pt>
                <c:pt idx="619" formatCode="_(* #,##0_);_(* \(#,##0\);_(* &quot;-&quot;??_);_(@_)">
                  <c:v>10267.686297119999</c:v>
                </c:pt>
                <c:pt idx="620" formatCode="_(* #,##0_);_(* \(#,##0\);_(* &quot;-&quot;??_);_(@_)">
                  <c:v>10268.44989476</c:v>
                </c:pt>
                <c:pt idx="621" formatCode="_(* #,##0_);_(* \(#,##0\);_(* &quot;-&quot;??_);_(@_)">
                  <c:v>10269.228176969998</c:v>
                </c:pt>
                <c:pt idx="622" formatCode="_(* #,##0_);_(* \(#,##0\);_(* &quot;-&quot;??_);_(@_)">
                  <c:v>10267.56882056</c:v>
                </c:pt>
                <c:pt idx="623" formatCode="_(* #,##0_);_(* \(#,##0\);_(* &quot;-&quot;??_);_(@_)">
                  <c:v>10268.347102769998</c:v>
                </c:pt>
                <c:pt idx="624" formatCode="_(* #,##0_);_(* \(#,##0\);_(* &quot;-&quot;??_);_(@_)">
                  <c:v>10270.667264829999</c:v>
                </c:pt>
                <c:pt idx="625" formatCode="_(* #,##0_);_(* \(#,##0\);_(* &quot;-&quot;??_);_(@_)">
                  <c:v>10271.430862469999</c:v>
                </c:pt>
                <c:pt idx="626" formatCode="_(* #,##0_);_(* \(#,##0\);_(* &quot;-&quot;??_);_(@_)">
                  <c:v>10272.209144679999</c:v>
                </c:pt>
                <c:pt idx="627" formatCode="_(* #,##0_);_(* \(#,##0\);_(* &quot;-&quot;??_);_(@_)">
                  <c:v>10272.98742689</c:v>
                </c:pt>
                <c:pt idx="628" formatCode="_(* #,##0_);_(* \(#,##0\);_(* &quot;-&quot;??_);_(@_)">
                  <c:v>10273.7657091</c:v>
                </c:pt>
                <c:pt idx="629" formatCode="_(* #,##0_);_(* \(#,##0\);_(* &quot;-&quot;??_);_(@_)">
                  <c:v>10276.085871159999</c:v>
                </c:pt>
                <c:pt idx="630" formatCode="_(* #,##0_);_(* \(#,##0\);_(* &quot;-&quot;??_);_(@_)">
                  <c:v>10276.864153369999</c:v>
                </c:pt>
                <c:pt idx="631" formatCode="_(* #,##0_);_(* \(#,##0\);_(* &quot;-&quot;??_);_(@_)">
                  <c:v>10277.642435579999</c:v>
                </c:pt>
                <c:pt idx="632" formatCode="_(* #,##0_);_(* \(#,##0\);_(* &quot;-&quot;??_);_(@_)">
                  <c:v>10278.406033219999</c:v>
                </c:pt>
              </c:numCache>
            </c:numRef>
          </c:val>
          <c:smooth val="1"/>
          <c:extLst>
            <c:ext xmlns:c16="http://schemas.microsoft.com/office/drawing/2014/chart" uri="{C3380CC4-5D6E-409C-BE32-E72D297353CC}">
              <c16:uniqueId val="{00000000-803C-498E-ADFB-7ED48B450286}"/>
            </c:ext>
          </c:extLst>
        </c:ser>
        <c:ser>
          <c:idx val="2"/>
          <c:order val="2"/>
          <c:tx>
            <c:strRef>
              <c:f>Diamond!$AB$2</c:f>
              <c:strCache>
                <c:ptCount val="1"/>
                <c:pt idx="0">
                  <c:v>NPAT FC</c:v>
                </c:pt>
              </c:strCache>
            </c:strRef>
          </c:tx>
          <c:spPr>
            <a:ln w="28575" cap="rnd">
              <a:solidFill>
                <a:schemeClr val="accent3"/>
              </a:solidFill>
              <a:round/>
            </a:ln>
            <a:effectLst/>
          </c:spPr>
          <c:marker>
            <c:symbol val="circle"/>
            <c:size val="5"/>
            <c:spPr>
              <a:solidFill>
                <a:srgbClr val="FFC000"/>
              </a:solidFill>
              <a:ln w="9525">
                <a:solidFill>
                  <a:schemeClr val="accent3"/>
                </a:solidFill>
              </a:ln>
              <a:effectLst/>
            </c:spPr>
          </c:marker>
          <c:cat>
            <c:numRef>
              <c:f>Diamond!$Y$3:$Y$635</c:f>
              <c:numCache>
                <c:formatCode>m/d/yy</c:formatCode>
                <c:ptCount val="633"/>
                <c:pt idx="0">
                  <c:v>45869</c:v>
                </c:pt>
                <c:pt idx="11">
                  <c:v>45657</c:v>
                </c:pt>
                <c:pt idx="53">
                  <c:v>45407</c:v>
                </c:pt>
                <c:pt idx="54">
                  <c:v>45406</c:v>
                </c:pt>
                <c:pt idx="55">
                  <c:v>45415</c:v>
                </c:pt>
                <c:pt idx="56">
                  <c:v>45414</c:v>
                </c:pt>
                <c:pt idx="57">
                  <c:v>45408</c:v>
                </c:pt>
                <c:pt idx="58">
                  <c:v>45407</c:v>
                </c:pt>
                <c:pt idx="59">
                  <c:v>45406</c:v>
                </c:pt>
                <c:pt idx="60">
                  <c:v>45405</c:v>
                </c:pt>
                <c:pt idx="61">
                  <c:v>45404</c:v>
                </c:pt>
                <c:pt idx="62">
                  <c:v>45401</c:v>
                </c:pt>
                <c:pt idx="63">
                  <c:v>45399</c:v>
                </c:pt>
                <c:pt idx="64">
                  <c:v>45398</c:v>
                </c:pt>
                <c:pt idx="65">
                  <c:v>45397</c:v>
                </c:pt>
                <c:pt idx="66">
                  <c:v>45394</c:v>
                </c:pt>
                <c:pt idx="67">
                  <c:v>45393</c:v>
                </c:pt>
                <c:pt idx="68">
                  <c:v>45392</c:v>
                </c:pt>
                <c:pt idx="69">
                  <c:v>45391</c:v>
                </c:pt>
                <c:pt idx="70">
                  <c:v>45390</c:v>
                </c:pt>
                <c:pt idx="71">
                  <c:v>45387</c:v>
                </c:pt>
                <c:pt idx="72">
                  <c:v>45386</c:v>
                </c:pt>
                <c:pt idx="73">
                  <c:v>45385</c:v>
                </c:pt>
                <c:pt idx="74">
                  <c:v>45384</c:v>
                </c:pt>
                <c:pt idx="75">
                  <c:v>45383</c:v>
                </c:pt>
                <c:pt idx="76">
                  <c:v>45380</c:v>
                </c:pt>
                <c:pt idx="77">
                  <c:v>45379</c:v>
                </c:pt>
                <c:pt idx="78">
                  <c:v>45378</c:v>
                </c:pt>
                <c:pt idx="79">
                  <c:v>45377</c:v>
                </c:pt>
                <c:pt idx="80">
                  <c:v>45376</c:v>
                </c:pt>
                <c:pt idx="81">
                  <c:v>45373</c:v>
                </c:pt>
                <c:pt idx="82">
                  <c:v>45372</c:v>
                </c:pt>
                <c:pt idx="83">
                  <c:v>45371</c:v>
                </c:pt>
                <c:pt idx="84">
                  <c:v>45370</c:v>
                </c:pt>
                <c:pt idx="85">
                  <c:v>45369</c:v>
                </c:pt>
                <c:pt idx="86">
                  <c:v>45366</c:v>
                </c:pt>
                <c:pt idx="87">
                  <c:v>45365</c:v>
                </c:pt>
                <c:pt idx="88">
                  <c:v>45364</c:v>
                </c:pt>
                <c:pt idx="89">
                  <c:v>45363</c:v>
                </c:pt>
                <c:pt idx="90">
                  <c:v>45362</c:v>
                </c:pt>
                <c:pt idx="91">
                  <c:v>45359</c:v>
                </c:pt>
                <c:pt idx="92">
                  <c:v>45358</c:v>
                </c:pt>
                <c:pt idx="93">
                  <c:v>45357</c:v>
                </c:pt>
                <c:pt idx="94">
                  <c:v>45356</c:v>
                </c:pt>
                <c:pt idx="95">
                  <c:v>45355</c:v>
                </c:pt>
                <c:pt idx="96">
                  <c:v>45352</c:v>
                </c:pt>
                <c:pt idx="97">
                  <c:v>45351</c:v>
                </c:pt>
                <c:pt idx="98">
                  <c:v>45350</c:v>
                </c:pt>
                <c:pt idx="99">
                  <c:v>45349</c:v>
                </c:pt>
                <c:pt idx="100">
                  <c:v>45348</c:v>
                </c:pt>
                <c:pt idx="101">
                  <c:v>45345</c:v>
                </c:pt>
                <c:pt idx="102">
                  <c:v>45344</c:v>
                </c:pt>
                <c:pt idx="103">
                  <c:v>45343</c:v>
                </c:pt>
                <c:pt idx="104">
                  <c:v>45342</c:v>
                </c:pt>
                <c:pt idx="105">
                  <c:v>45341</c:v>
                </c:pt>
                <c:pt idx="106">
                  <c:v>45338</c:v>
                </c:pt>
                <c:pt idx="107">
                  <c:v>45337</c:v>
                </c:pt>
                <c:pt idx="108">
                  <c:v>45329</c:v>
                </c:pt>
                <c:pt idx="109">
                  <c:v>45328</c:v>
                </c:pt>
                <c:pt idx="110">
                  <c:v>45327</c:v>
                </c:pt>
                <c:pt idx="111">
                  <c:v>45324</c:v>
                </c:pt>
                <c:pt idx="112">
                  <c:v>45323</c:v>
                </c:pt>
                <c:pt idx="113">
                  <c:v>45322</c:v>
                </c:pt>
                <c:pt idx="114">
                  <c:v>45321</c:v>
                </c:pt>
                <c:pt idx="115">
                  <c:v>45320</c:v>
                </c:pt>
                <c:pt idx="116">
                  <c:v>45317</c:v>
                </c:pt>
                <c:pt idx="117">
                  <c:v>45316</c:v>
                </c:pt>
                <c:pt idx="118">
                  <c:v>45315</c:v>
                </c:pt>
                <c:pt idx="119">
                  <c:v>45314</c:v>
                </c:pt>
                <c:pt idx="120">
                  <c:v>45313</c:v>
                </c:pt>
                <c:pt idx="121">
                  <c:v>45310</c:v>
                </c:pt>
                <c:pt idx="122">
                  <c:v>45309</c:v>
                </c:pt>
                <c:pt idx="123">
                  <c:v>45308</c:v>
                </c:pt>
                <c:pt idx="124">
                  <c:v>45307</c:v>
                </c:pt>
                <c:pt idx="125">
                  <c:v>45306</c:v>
                </c:pt>
                <c:pt idx="126">
                  <c:v>45303</c:v>
                </c:pt>
                <c:pt idx="127">
                  <c:v>45302</c:v>
                </c:pt>
                <c:pt idx="128">
                  <c:v>45301</c:v>
                </c:pt>
                <c:pt idx="129">
                  <c:v>45300</c:v>
                </c:pt>
                <c:pt idx="130">
                  <c:v>45299</c:v>
                </c:pt>
                <c:pt idx="131">
                  <c:v>45296</c:v>
                </c:pt>
                <c:pt idx="132">
                  <c:v>45295</c:v>
                </c:pt>
                <c:pt idx="133">
                  <c:v>45294</c:v>
                </c:pt>
                <c:pt idx="134">
                  <c:v>45293</c:v>
                </c:pt>
                <c:pt idx="135">
                  <c:v>45289</c:v>
                </c:pt>
                <c:pt idx="136">
                  <c:v>45288</c:v>
                </c:pt>
                <c:pt idx="137">
                  <c:v>45287</c:v>
                </c:pt>
                <c:pt idx="138">
                  <c:v>45286</c:v>
                </c:pt>
                <c:pt idx="139">
                  <c:v>45285</c:v>
                </c:pt>
                <c:pt idx="140">
                  <c:v>45282</c:v>
                </c:pt>
                <c:pt idx="141">
                  <c:v>45281</c:v>
                </c:pt>
                <c:pt idx="142">
                  <c:v>45280</c:v>
                </c:pt>
                <c:pt idx="143">
                  <c:v>45279</c:v>
                </c:pt>
                <c:pt idx="144">
                  <c:v>45278</c:v>
                </c:pt>
                <c:pt idx="145">
                  <c:v>45275</c:v>
                </c:pt>
                <c:pt idx="146">
                  <c:v>45274</c:v>
                </c:pt>
                <c:pt idx="147">
                  <c:v>45273</c:v>
                </c:pt>
                <c:pt idx="148">
                  <c:v>45272</c:v>
                </c:pt>
                <c:pt idx="149">
                  <c:v>45271</c:v>
                </c:pt>
                <c:pt idx="150">
                  <c:v>45268</c:v>
                </c:pt>
                <c:pt idx="151">
                  <c:v>45267</c:v>
                </c:pt>
                <c:pt idx="152">
                  <c:v>45266</c:v>
                </c:pt>
                <c:pt idx="153">
                  <c:v>45265</c:v>
                </c:pt>
                <c:pt idx="154">
                  <c:v>45264</c:v>
                </c:pt>
                <c:pt idx="155">
                  <c:v>45261</c:v>
                </c:pt>
                <c:pt idx="156">
                  <c:v>45260</c:v>
                </c:pt>
                <c:pt idx="157">
                  <c:v>45259</c:v>
                </c:pt>
                <c:pt idx="158">
                  <c:v>45258</c:v>
                </c:pt>
                <c:pt idx="159">
                  <c:v>45257</c:v>
                </c:pt>
                <c:pt idx="160">
                  <c:v>45254</c:v>
                </c:pt>
                <c:pt idx="161">
                  <c:v>45253</c:v>
                </c:pt>
                <c:pt idx="162">
                  <c:v>45252</c:v>
                </c:pt>
                <c:pt idx="163">
                  <c:v>45251</c:v>
                </c:pt>
                <c:pt idx="164">
                  <c:v>45250</c:v>
                </c:pt>
                <c:pt idx="165">
                  <c:v>45247</c:v>
                </c:pt>
                <c:pt idx="166">
                  <c:v>45246</c:v>
                </c:pt>
                <c:pt idx="167">
                  <c:v>45245</c:v>
                </c:pt>
                <c:pt idx="168">
                  <c:v>45244</c:v>
                </c:pt>
                <c:pt idx="169">
                  <c:v>45243</c:v>
                </c:pt>
                <c:pt idx="170">
                  <c:v>45240</c:v>
                </c:pt>
                <c:pt idx="171">
                  <c:v>45239</c:v>
                </c:pt>
                <c:pt idx="172">
                  <c:v>45238</c:v>
                </c:pt>
                <c:pt idx="173">
                  <c:v>45237</c:v>
                </c:pt>
                <c:pt idx="174">
                  <c:v>45236</c:v>
                </c:pt>
                <c:pt idx="175">
                  <c:v>45233</c:v>
                </c:pt>
                <c:pt idx="176">
                  <c:v>45232</c:v>
                </c:pt>
                <c:pt idx="177">
                  <c:v>45231</c:v>
                </c:pt>
                <c:pt idx="178">
                  <c:v>45230</c:v>
                </c:pt>
                <c:pt idx="179">
                  <c:v>45229</c:v>
                </c:pt>
                <c:pt idx="180">
                  <c:v>45226</c:v>
                </c:pt>
                <c:pt idx="181">
                  <c:v>45225</c:v>
                </c:pt>
                <c:pt idx="182">
                  <c:v>45224</c:v>
                </c:pt>
                <c:pt idx="183">
                  <c:v>45223</c:v>
                </c:pt>
                <c:pt idx="184">
                  <c:v>45222</c:v>
                </c:pt>
                <c:pt idx="185">
                  <c:v>45219</c:v>
                </c:pt>
                <c:pt idx="186">
                  <c:v>45218</c:v>
                </c:pt>
                <c:pt idx="187">
                  <c:v>45217</c:v>
                </c:pt>
                <c:pt idx="188">
                  <c:v>45216</c:v>
                </c:pt>
                <c:pt idx="189">
                  <c:v>45215</c:v>
                </c:pt>
                <c:pt idx="190">
                  <c:v>45212</c:v>
                </c:pt>
                <c:pt idx="191">
                  <c:v>45211</c:v>
                </c:pt>
                <c:pt idx="192">
                  <c:v>45210</c:v>
                </c:pt>
                <c:pt idx="193">
                  <c:v>45209</c:v>
                </c:pt>
                <c:pt idx="194">
                  <c:v>45208</c:v>
                </c:pt>
                <c:pt idx="195">
                  <c:v>45205</c:v>
                </c:pt>
                <c:pt idx="196">
                  <c:v>45204</c:v>
                </c:pt>
                <c:pt idx="197">
                  <c:v>45203</c:v>
                </c:pt>
                <c:pt idx="198">
                  <c:v>45202</c:v>
                </c:pt>
                <c:pt idx="199">
                  <c:v>45201</c:v>
                </c:pt>
                <c:pt idx="200">
                  <c:v>45198</c:v>
                </c:pt>
                <c:pt idx="201">
                  <c:v>45197</c:v>
                </c:pt>
                <c:pt idx="202">
                  <c:v>45196</c:v>
                </c:pt>
                <c:pt idx="203">
                  <c:v>45195</c:v>
                </c:pt>
                <c:pt idx="204">
                  <c:v>45194</c:v>
                </c:pt>
                <c:pt idx="205">
                  <c:v>45191</c:v>
                </c:pt>
                <c:pt idx="206">
                  <c:v>45190</c:v>
                </c:pt>
                <c:pt idx="207">
                  <c:v>45189</c:v>
                </c:pt>
                <c:pt idx="208">
                  <c:v>45188</c:v>
                </c:pt>
                <c:pt idx="209">
                  <c:v>45187</c:v>
                </c:pt>
                <c:pt idx="210">
                  <c:v>45184</c:v>
                </c:pt>
                <c:pt idx="211">
                  <c:v>45183</c:v>
                </c:pt>
                <c:pt idx="212">
                  <c:v>45182</c:v>
                </c:pt>
                <c:pt idx="213">
                  <c:v>45181</c:v>
                </c:pt>
                <c:pt idx="214">
                  <c:v>45180</c:v>
                </c:pt>
                <c:pt idx="215">
                  <c:v>45177</c:v>
                </c:pt>
                <c:pt idx="216">
                  <c:v>45176</c:v>
                </c:pt>
                <c:pt idx="217">
                  <c:v>45175</c:v>
                </c:pt>
                <c:pt idx="218">
                  <c:v>45174</c:v>
                </c:pt>
                <c:pt idx="219">
                  <c:v>45169</c:v>
                </c:pt>
                <c:pt idx="220">
                  <c:v>45168</c:v>
                </c:pt>
                <c:pt idx="221">
                  <c:v>45167</c:v>
                </c:pt>
                <c:pt idx="222">
                  <c:v>45166</c:v>
                </c:pt>
                <c:pt idx="223">
                  <c:v>45163</c:v>
                </c:pt>
                <c:pt idx="224">
                  <c:v>45162</c:v>
                </c:pt>
                <c:pt idx="225">
                  <c:v>45161</c:v>
                </c:pt>
                <c:pt idx="226">
                  <c:v>45160</c:v>
                </c:pt>
                <c:pt idx="227">
                  <c:v>45159</c:v>
                </c:pt>
                <c:pt idx="228">
                  <c:v>45156</c:v>
                </c:pt>
                <c:pt idx="229">
                  <c:v>45155</c:v>
                </c:pt>
                <c:pt idx="230">
                  <c:v>45154</c:v>
                </c:pt>
                <c:pt idx="231">
                  <c:v>45153</c:v>
                </c:pt>
                <c:pt idx="232">
                  <c:v>45152</c:v>
                </c:pt>
                <c:pt idx="233">
                  <c:v>45149</c:v>
                </c:pt>
                <c:pt idx="234">
                  <c:v>45148</c:v>
                </c:pt>
                <c:pt idx="235">
                  <c:v>45147</c:v>
                </c:pt>
                <c:pt idx="236">
                  <c:v>45146</c:v>
                </c:pt>
                <c:pt idx="237">
                  <c:v>45145</c:v>
                </c:pt>
                <c:pt idx="238">
                  <c:v>45142</c:v>
                </c:pt>
                <c:pt idx="239">
                  <c:v>45141</c:v>
                </c:pt>
                <c:pt idx="240">
                  <c:v>45140</c:v>
                </c:pt>
                <c:pt idx="241">
                  <c:v>45139</c:v>
                </c:pt>
                <c:pt idx="242">
                  <c:v>45138</c:v>
                </c:pt>
                <c:pt idx="243">
                  <c:v>45135</c:v>
                </c:pt>
                <c:pt idx="244">
                  <c:v>45134</c:v>
                </c:pt>
                <c:pt idx="245">
                  <c:v>45133</c:v>
                </c:pt>
                <c:pt idx="246">
                  <c:v>45132</c:v>
                </c:pt>
                <c:pt idx="247">
                  <c:v>45131</c:v>
                </c:pt>
                <c:pt idx="248">
                  <c:v>45128</c:v>
                </c:pt>
                <c:pt idx="249">
                  <c:v>45127</c:v>
                </c:pt>
                <c:pt idx="250">
                  <c:v>45126</c:v>
                </c:pt>
                <c:pt idx="251">
                  <c:v>45125</c:v>
                </c:pt>
                <c:pt idx="252">
                  <c:v>45124</c:v>
                </c:pt>
                <c:pt idx="253">
                  <c:v>45121</c:v>
                </c:pt>
                <c:pt idx="254">
                  <c:v>45120</c:v>
                </c:pt>
                <c:pt idx="255">
                  <c:v>45119</c:v>
                </c:pt>
                <c:pt idx="256">
                  <c:v>45118</c:v>
                </c:pt>
                <c:pt idx="257">
                  <c:v>45117</c:v>
                </c:pt>
                <c:pt idx="258">
                  <c:v>45114</c:v>
                </c:pt>
                <c:pt idx="259">
                  <c:v>45113</c:v>
                </c:pt>
                <c:pt idx="260">
                  <c:v>45112</c:v>
                </c:pt>
                <c:pt idx="261">
                  <c:v>45111</c:v>
                </c:pt>
                <c:pt idx="262">
                  <c:v>45110</c:v>
                </c:pt>
                <c:pt idx="263">
                  <c:v>45107</c:v>
                </c:pt>
                <c:pt idx="264">
                  <c:v>45106</c:v>
                </c:pt>
                <c:pt idx="265">
                  <c:v>45105</c:v>
                </c:pt>
                <c:pt idx="266">
                  <c:v>45104</c:v>
                </c:pt>
                <c:pt idx="267">
                  <c:v>45103</c:v>
                </c:pt>
                <c:pt idx="268">
                  <c:v>45100</c:v>
                </c:pt>
                <c:pt idx="269">
                  <c:v>45099</c:v>
                </c:pt>
                <c:pt idx="270">
                  <c:v>45098</c:v>
                </c:pt>
                <c:pt idx="271">
                  <c:v>45097</c:v>
                </c:pt>
                <c:pt idx="272">
                  <c:v>45096</c:v>
                </c:pt>
                <c:pt idx="273">
                  <c:v>45093</c:v>
                </c:pt>
                <c:pt idx="274">
                  <c:v>45092</c:v>
                </c:pt>
                <c:pt idx="275">
                  <c:v>45091</c:v>
                </c:pt>
                <c:pt idx="276">
                  <c:v>45090</c:v>
                </c:pt>
                <c:pt idx="277">
                  <c:v>45089</c:v>
                </c:pt>
                <c:pt idx="278">
                  <c:v>45086</c:v>
                </c:pt>
                <c:pt idx="279">
                  <c:v>45085</c:v>
                </c:pt>
                <c:pt idx="280">
                  <c:v>45084</c:v>
                </c:pt>
                <c:pt idx="281">
                  <c:v>45083</c:v>
                </c:pt>
                <c:pt idx="282">
                  <c:v>45082</c:v>
                </c:pt>
                <c:pt idx="283">
                  <c:v>45079</c:v>
                </c:pt>
                <c:pt idx="284">
                  <c:v>45078</c:v>
                </c:pt>
                <c:pt idx="285">
                  <c:v>45077</c:v>
                </c:pt>
                <c:pt idx="286">
                  <c:v>45076</c:v>
                </c:pt>
                <c:pt idx="287">
                  <c:v>45075</c:v>
                </c:pt>
                <c:pt idx="288">
                  <c:v>45072</c:v>
                </c:pt>
                <c:pt idx="289">
                  <c:v>45071</c:v>
                </c:pt>
                <c:pt idx="290">
                  <c:v>45070</c:v>
                </c:pt>
                <c:pt idx="291">
                  <c:v>45069</c:v>
                </c:pt>
                <c:pt idx="292">
                  <c:v>45068</c:v>
                </c:pt>
                <c:pt idx="293">
                  <c:v>45065</c:v>
                </c:pt>
                <c:pt idx="294">
                  <c:v>45064</c:v>
                </c:pt>
                <c:pt idx="295">
                  <c:v>45063</c:v>
                </c:pt>
                <c:pt idx="296">
                  <c:v>45062</c:v>
                </c:pt>
                <c:pt idx="297">
                  <c:v>45061</c:v>
                </c:pt>
                <c:pt idx="298">
                  <c:v>45058</c:v>
                </c:pt>
                <c:pt idx="299">
                  <c:v>45057</c:v>
                </c:pt>
                <c:pt idx="300">
                  <c:v>45056</c:v>
                </c:pt>
                <c:pt idx="301">
                  <c:v>45055</c:v>
                </c:pt>
                <c:pt idx="302">
                  <c:v>45054</c:v>
                </c:pt>
                <c:pt idx="303">
                  <c:v>45051</c:v>
                </c:pt>
                <c:pt idx="304">
                  <c:v>45050</c:v>
                </c:pt>
                <c:pt idx="305">
                  <c:v>45044</c:v>
                </c:pt>
                <c:pt idx="306">
                  <c:v>45043</c:v>
                </c:pt>
                <c:pt idx="307">
                  <c:v>45042</c:v>
                </c:pt>
                <c:pt idx="308">
                  <c:v>45041</c:v>
                </c:pt>
                <c:pt idx="309">
                  <c:v>45040</c:v>
                </c:pt>
                <c:pt idx="310">
                  <c:v>45037</c:v>
                </c:pt>
                <c:pt idx="311">
                  <c:v>45036</c:v>
                </c:pt>
                <c:pt idx="312">
                  <c:v>45035</c:v>
                </c:pt>
                <c:pt idx="313">
                  <c:v>45034</c:v>
                </c:pt>
                <c:pt idx="314">
                  <c:v>45033</c:v>
                </c:pt>
                <c:pt idx="315">
                  <c:v>45030</c:v>
                </c:pt>
                <c:pt idx="316">
                  <c:v>45029</c:v>
                </c:pt>
                <c:pt idx="317">
                  <c:v>45028</c:v>
                </c:pt>
                <c:pt idx="318">
                  <c:v>45027</c:v>
                </c:pt>
                <c:pt idx="319">
                  <c:v>45026</c:v>
                </c:pt>
                <c:pt idx="320">
                  <c:v>45023</c:v>
                </c:pt>
                <c:pt idx="321">
                  <c:v>45022</c:v>
                </c:pt>
                <c:pt idx="322">
                  <c:v>45021</c:v>
                </c:pt>
                <c:pt idx="323">
                  <c:v>45020</c:v>
                </c:pt>
                <c:pt idx="324">
                  <c:v>45019</c:v>
                </c:pt>
                <c:pt idx="325">
                  <c:v>45016</c:v>
                </c:pt>
                <c:pt idx="326">
                  <c:v>45015</c:v>
                </c:pt>
                <c:pt idx="327">
                  <c:v>45014</c:v>
                </c:pt>
                <c:pt idx="328">
                  <c:v>45013</c:v>
                </c:pt>
                <c:pt idx="329">
                  <c:v>45012</c:v>
                </c:pt>
                <c:pt idx="330">
                  <c:v>45009</c:v>
                </c:pt>
                <c:pt idx="331">
                  <c:v>45008</c:v>
                </c:pt>
                <c:pt idx="332">
                  <c:v>45007</c:v>
                </c:pt>
                <c:pt idx="333">
                  <c:v>45006</c:v>
                </c:pt>
                <c:pt idx="334">
                  <c:v>45005</c:v>
                </c:pt>
                <c:pt idx="335">
                  <c:v>45002</c:v>
                </c:pt>
                <c:pt idx="336">
                  <c:v>45001</c:v>
                </c:pt>
                <c:pt idx="337">
                  <c:v>45000</c:v>
                </c:pt>
                <c:pt idx="338">
                  <c:v>44999</c:v>
                </c:pt>
                <c:pt idx="339">
                  <c:v>44998</c:v>
                </c:pt>
                <c:pt idx="340">
                  <c:v>44995</c:v>
                </c:pt>
                <c:pt idx="341">
                  <c:v>44994</c:v>
                </c:pt>
                <c:pt idx="342">
                  <c:v>44993</c:v>
                </c:pt>
                <c:pt idx="343">
                  <c:v>44992</c:v>
                </c:pt>
                <c:pt idx="344">
                  <c:v>44991</c:v>
                </c:pt>
                <c:pt idx="345">
                  <c:v>44988</c:v>
                </c:pt>
                <c:pt idx="346">
                  <c:v>44987</c:v>
                </c:pt>
                <c:pt idx="347">
                  <c:v>44986</c:v>
                </c:pt>
                <c:pt idx="348">
                  <c:v>44985</c:v>
                </c:pt>
                <c:pt idx="349">
                  <c:v>44984</c:v>
                </c:pt>
                <c:pt idx="350">
                  <c:v>44981</c:v>
                </c:pt>
                <c:pt idx="351">
                  <c:v>44980</c:v>
                </c:pt>
                <c:pt idx="352">
                  <c:v>44979</c:v>
                </c:pt>
                <c:pt idx="353">
                  <c:v>44978</c:v>
                </c:pt>
                <c:pt idx="354">
                  <c:v>44977</c:v>
                </c:pt>
                <c:pt idx="355">
                  <c:v>44974</c:v>
                </c:pt>
                <c:pt idx="356">
                  <c:v>44973</c:v>
                </c:pt>
                <c:pt idx="357">
                  <c:v>44972</c:v>
                </c:pt>
                <c:pt idx="358">
                  <c:v>44971</c:v>
                </c:pt>
                <c:pt idx="359">
                  <c:v>44970</c:v>
                </c:pt>
                <c:pt idx="360">
                  <c:v>44967</c:v>
                </c:pt>
                <c:pt idx="361">
                  <c:v>44966</c:v>
                </c:pt>
                <c:pt idx="362">
                  <c:v>44965</c:v>
                </c:pt>
                <c:pt idx="363">
                  <c:v>44964</c:v>
                </c:pt>
                <c:pt idx="364">
                  <c:v>44963</c:v>
                </c:pt>
                <c:pt idx="365">
                  <c:v>44960</c:v>
                </c:pt>
                <c:pt idx="366">
                  <c:v>44959</c:v>
                </c:pt>
                <c:pt idx="367">
                  <c:v>44958</c:v>
                </c:pt>
                <c:pt idx="368">
                  <c:v>44957</c:v>
                </c:pt>
                <c:pt idx="369">
                  <c:v>44956</c:v>
                </c:pt>
                <c:pt idx="370">
                  <c:v>44953</c:v>
                </c:pt>
                <c:pt idx="371">
                  <c:v>44945</c:v>
                </c:pt>
                <c:pt idx="372">
                  <c:v>44944</c:v>
                </c:pt>
                <c:pt idx="373">
                  <c:v>44943</c:v>
                </c:pt>
                <c:pt idx="374">
                  <c:v>44942</c:v>
                </c:pt>
                <c:pt idx="375">
                  <c:v>44939</c:v>
                </c:pt>
                <c:pt idx="376">
                  <c:v>44938</c:v>
                </c:pt>
                <c:pt idx="377">
                  <c:v>44937</c:v>
                </c:pt>
                <c:pt idx="378">
                  <c:v>44936</c:v>
                </c:pt>
                <c:pt idx="379">
                  <c:v>44935</c:v>
                </c:pt>
                <c:pt idx="380">
                  <c:v>44932</c:v>
                </c:pt>
                <c:pt idx="381">
                  <c:v>44931</c:v>
                </c:pt>
                <c:pt idx="382">
                  <c:v>44930</c:v>
                </c:pt>
                <c:pt idx="383">
                  <c:v>44929</c:v>
                </c:pt>
                <c:pt idx="384">
                  <c:v>44925</c:v>
                </c:pt>
                <c:pt idx="385">
                  <c:v>44924</c:v>
                </c:pt>
                <c:pt idx="386">
                  <c:v>44923</c:v>
                </c:pt>
                <c:pt idx="387">
                  <c:v>44922</c:v>
                </c:pt>
                <c:pt idx="388">
                  <c:v>44921</c:v>
                </c:pt>
                <c:pt idx="389">
                  <c:v>44918</c:v>
                </c:pt>
                <c:pt idx="390">
                  <c:v>44917</c:v>
                </c:pt>
                <c:pt idx="391">
                  <c:v>44916</c:v>
                </c:pt>
                <c:pt idx="392">
                  <c:v>44915</c:v>
                </c:pt>
                <c:pt idx="393">
                  <c:v>44914</c:v>
                </c:pt>
                <c:pt idx="394">
                  <c:v>44911</c:v>
                </c:pt>
                <c:pt idx="395">
                  <c:v>44910</c:v>
                </c:pt>
                <c:pt idx="396">
                  <c:v>44909</c:v>
                </c:pt>
                <c:pt idx="397">
                  <c:v>44908</c:v>
                </c:pt>
                <c:pt idx="398">
                  <c:v>44907</c:v>
                </c:pt>
                <c:pt idx="399">
                  <c:v>44904</c:v>
                </c:pt>
                <c:pt idx="400">
                  <c:v>44903</c:v>
                </c:pt>
                <c:pt idx="401">
                  <c:v>44902</c:v>
                </c:pt>
                <c:pt idx="402">
                  <c:v>44901</c:v>
                </c:pt>
                <c:pt idx="403">
                  <c:v>44900</c:v>
                </c:pt>
                <c:pt idx="404">
                  <c:v>44897</c:v>
                </c:pt>
                <c:pt idx="405">
                  <c:v>44896</c:v>
                </c:pt>
                <c:pt idx="406">
                  <c:v>44895</c:v>
                </c:pt>
                <c:pt idx="407">
                  <c:v>44894</c:v>
                </c:pt>
                <c:pt idx="408">
                  <c:v>44893</c:v>
                </c:pt>
                <c:pt idx="409">
                  <c:v>44890</c:v>
                </c:pt>
                <c:pt idx="410">
                  <c:v>44889</c:v>
                </c:pt>
                <c:pt idx="411">
                  <c:v>44888</c:v>
                </c:pt>
                <c:pt idx="412">
                  <c:v>44887</c:v>
                </c:pt>
                <c:pt idx="413">
                  <c:v>44886</c:v>
                </c:pt>
                <c:pt idx="414">
                  <c:v>44883</c:v>
                </c:pt>
                <c:pt idx="415">
                  <c:v>44882</c:v>
                </c:pt>
                <c:pt idx="416">
                  <c:v>44881</c:v>
                </c:pt>
                <c:pt idx="417">
                  <c:v>44880</c:v>
                </c:pt>
                <c:pt idx="418">
                  <c:v>44879</c:v>
                </c:pt>
                <c:pt idx="419">
                  <c:v>44876</c:v>
                </c:pt>
                <c:pt idx="420">
                  <c:v>44875</c:v>
                </c:pt>
                <c:pt idx="421">
                  <c:v>44874</c:v>
                </c:pt>
                <c:pt idx="422">
                  <c:v>44873</c:v>
                </c:pt>
                <c:pt idx="423">
                  <c:v>44872</c:v>
                </c:pt>
                <c:pt idx="424">
                  <c:v>44869</c:v>
                </c:pt>
                <c:pt idx="425">
                  <c:v>44868</c:v>
                </c:pt>
                <c:pt idx="426">
                  <c:v>44867</c:v>
                </c:pt>
                <c:pt idx="427">
                  <c:v>44866</c:v>
                </c:pt>
                <c:pt idx="428">
                  <c:v>44865</c:v>
                </c:pt>
                <c:pt idx="429">
                  <c:v>44862</c:v>
                </c:pt>
                <c:pt idx="430">
                  <c:v>44861</c:v>
                </c:pt>
                <c:pt idx="431">
                  <c:v>44860</c:v>
                </c:pt>
                <c:pt idx="432">
                  <c:v>44859</c:v>
                </c:pt>
                <c:pt idx="433">
                  <c:v>44858</c:v>
                </c:pt>
                <c:pt idx="434">
                  <c:v>44855</c:v>
                </c:pt>
                <c:pt idx="435">
                  <c:v>44854</c:v>
                </c:pt>
                <c:pt idx="436">
                  <c:v>44853</c:v>
                </c:pt>
                <c:pt idx="437">
                  <c:v>44852</c:v>
                </c:pt>
                <c:pt idx="438">
                  <c:v>44851</c:v>
                </c:pt>
                <c:pt idx="439">
                  <c:v>44848</c:v>
                </c:pt>
                <c:pt idx="440">
                  <c:v>44847</c:v>
                </c:pt>
                <c:pt idx="441">
                  <c:v>44846</c:v>
                </c:pt>
                <c:pt idx="442">
                  <c:v>44845</c:v>
                </c:pt>
                <c:pt idx="443">
                  <c:v>44844</c:v>
                </c:pt>
                <c:pt idx="444">
                  <c:v>44841</c:v>
                </c:pt>
                <c:pt idx="445">
                  <c:v>44840</c:v>
                </c:pt>
                <c:pt idx="446">
                  <c:v>44839</c:v>
                </c:pt>
                <c:pt idx="447">
                  <c:v>44838</c:v>
                </c:pt>
                <c:pt idx="448">
                  <c:v>44837</c:v>
                </c:pt>
                <c:pt idx="449">
                  <c:v>44834</c:v>
                </c:pt>
                <c:pt idx="450">
                  <c:v>44833</c:v>
                </c:pt>
                <c:pt idx="451">
                  <c:v>44832</c:v>
                </c:pt>
                <c:pt idx="452">
                  <c:v>44831</c:v>
                </c:pt>
                <c:pt idx="453">
                  <c:v>44830</c:v>
                </c:pt>
                <c:pt idx="454">
                  <c:v>44827</c:v>
                </c:pt>
                <c:pt idx="455">
                  <c:v>44826</c:v>
                </c:pt>
                <c:pt idx="456">
                  <c:v>44825</c:v>
                </c:pt>
                <c:pt idx="457">
                  <c:v>44824</c:v>
                </c:pt>
                <c:pt idx="458">
                  <c:v>44823</c:v>
                </c:pt>
                <c:pt idx="459">
                  <c:v>44820</c:v>
                </c:pt>
                <c:pt idx="460">
                  <c:v>44819</c:v>
                </c:pt>
                <c:pt idx="461">
                  <c:v>44818</c:v>
                </c:pt>
                <c:pt idx="462">
                  <c:v>44817</c:v>
                </c:pt>
                <c:pt idx="463">
                  <c:v>44816</c:v>
                </c:pt>
                <c:pt idx="464">
                  <c:v>44813</c:v>
                </c:pt>
                <c:pt idx="465">
                  <c:v>44812</c:v>
                </c:pt>
                <c:pt idx="466">
                  <c:v>44811</c:v>
                </c:pt>
                <c:pt idx="467">
                  <c:v>44810</c:v>
                </c:pt>
                <c:pt idx="468">
                  <c:v>44809</c:v>
                </c:pt>
                <c:pt idx="469">
                  <c:v>44804</c:v>
                </c:pt>
                <c:pt idx="470">
                  <c:v>44803</c:v>
                </c:pt>
                <c:pt idx="471">
                  <c:v>44802</c:v>
                </c:pt>
                <c:pt idx="472">
                  <c:v>44799</c:v>
                </c:pt>
                <c:pt idx="473">
                  <c:v>44798</c:v>
                </c:pt>
                <c:pt idx="474">
                  <c:v>44797</c:v>
                </c:pt>
                <c:pt idx="475">
                  <c:v>44796</c:v>
                </c:pt>
                <c:pt idx="476">
                  <c:v>44795</c:v>
                </c:pt>
                <c:pt idx="477">
                  <c:v>44792</c:v>
                </c:pt>
                <c:pt idx="478">
                  <c:v>44791</c:v>
                </c:pt>
                <c:pt idx="479">
                  <c:v>44790</c:v>
                </c:pt>
                <c:pt idx="480">
                  <c:v>44789</c:v>
                </c:pt>
                <c:pt idx="481">
                  <c:v>44788</c:v>
                </c:pt>
                <c:pt idx="482">
                  <c:v>44785</c:v>
                </c:pt>
                <c:pt idx="483">
                  <c:v>44784</c:v>
                </c:pt>
                <c:pt idx="484">
                  <c:v>44783</c:v>
                </c:pt>
                <c:pt idx="485">
                  <c:v>44782</c:v>
                </c:pt>
                <c:pt idx="486">
                  <c:v>44781</c:v>
                </c:pt>
                <c:pt idx="487">
                  <c:v>44778</c:v>
                </c:pt>
                <c:pt idx="488">
                  <c:v>44777</c:v>
                </c:pt>
                <c:pt idx="489">
                  <c:v>44776</c:v>
                </c:pt>
                <c:pt idx="490">
                  <c:v>44775</c:v>
                </c:pt>
                <c:pt idx="491">
                  <c:v>44774</c:v>
                </c:pt>
                <c:pt idx="492">
                  <c:v>44771</c:v>
                </c:pt>
                <c:pt idx="493">
                  <c:v>44770</c:v>
                </c:pt>
                <c:pt idx="494">
                  <c:v>44769</c:v>
                </c:pt>
                <c:pt idx="495">
                  <c:v>44768</c:v>
                </c:pt>
                <c:pt idx="496">
                  <c:v>44767</c:v>
                </c:pt>
                <c:pt idx="497">
                  <c:v>44764</c:v>
                </c:pt>
                <c:pt idx="498">
                  <c:v>44763</c:v>
                </c:pt>
                <c:pt idx="499">
                  <c:v>44762</c:v>
                </c:pt>
                <c:pt idx="500">
                  <c:v>44761</c:v>
                </c:pt>
                <c:pt idx="501">
                  <c:v>44760</c:v>
                </c:pt>
                <c:pt idx="502">
                  <c:v>44757</c:v>
                </c:pt>
                <c:pt idx="503">
                  <c:v>44756</c:v>
                </c:pt>
                <c:pt idx="504">
                  <c:v>44755</c:v>
                </c:pt>
                <c:pt idx="505">
                  <c:v>44754</c:v>
                </c:pt>
                <c:pt idx="506">
                  <c:v>44753</c:v>
                </c:pt>
                <c:pt idx="507">
                  <c:v>44750</c:v>
                </c:pt>
                <c:pt idx="508">
                  <c:v>44749</c:v>
                </c:pt>
                <c:pt idx="509">
                  <c:v>44748</c:v>
                </c:pt>
                <c:pt idx="510">
                  <c:v>44747</c:v>
                </c:pt>
                <c:pt idx="511">
                  <c:v>44746</c:v>
                </c:pt>
                <c:pt idx="512">
                  <c:v>44743</c:v>
                </c:pt>
                <c:pt idx="513">
                  <c:v>44742</c:v>
                </c:pt>
                <c:pt idx="514">
                  <c:v>44741</c:v>
                </c:pt>
                <c:pt idx="515">
                  <c:v>44740</c:v>
                </c:pt>
                <c:pt idx="516">
                  <c:v>44739</c:v>
                </c:pt>
                <c:pt idx="517">
                  <c:v>44736</c:v>
                </c:pt>
                <c:pt idx="518">
                  <c:v>44735</c:v>
                </c:pt>
                <c:pt idx="519">
                  <c:v>44734</c:v>
                </c:pt>
                <c:pt idx="520">
                  <c:v>44733</c:v>
                </c:pt>
                <c:pt idx="521">
                  <c:v>44732</c:v>
                </c:pt>
                <c:pt idx="522">
                  <c:v>44729</c:v>
                </c:pt>
                <c:pt idx="523">
                  <c:v>44728</c:v>
                </c:pt>
                <c:pt idx="524">
                  <c:v>44727</c:v>
                </c:pt>
                <c:pt idx="525">
                  <c:v>44726</c:v>
                </c:pt>
                <c:pt idx="526">
                  <c:v>44725</c:v>
                </c:pt>
                <c:pt idx="527">
                  <c:v>44722</c:v>
                </c:pt>
                <c:pt idx="528">
                  <c:v>44721</c:v>
                </c:pt>
                <c:pt idx="529">
                  <c:v>44720</c:v>
                </c:pt>
                <c:pt idx="530">
                  <c:v>44719</c:v>
                </c:pt>
                <c:pt idx="531">
                  <c:v>44718</c:v>
                </c:pt>
                <c:pt idx="532">
                  <c:v>44715</c:v>
                </c:pt>
                <c:pt idx="533">
                  <c:v>44714</c:v>
                </c:pt>
                <c:pt idx="534">
                  <c:v>44713</c:v>
                </c:pt>
                <c:pt idx="535">
                  <c:v>44712</c:v>
                </c:pt>
                <c:pt idx="536">
                  <c:v>44711</c:v>
                </c:pt>
                <c:pt idx="537">
                  <c:v>44708</c:v>
                </c:pt>
                <c:pt idx="538">
                  <c:v>44707</c:v>
                </c:pt>
                <c:pt idx="539">
                  <c:v>44706</c:v>
                </c:pt>
                <c:pt idx="540">
                  <c:v>44705</c:v>
                </c:pt>
                <c:pt idx="541">
                  <c:v>44704</c:v>
                </c:pt>
                <c:pt idx="542">
                  <c:v>44701</c:v>
                </c:pt>
                <c:pt idx="543">
                  <c:v>44700</c:v>
                </c:pt>
                <c:pt idx="544">
                  <c:v>44699</c:v>
                </c:pt>
                <c:pt idx="545">
                  <c:v>44698</c:v>
                </c:pt>
                <c:pt idx="546">
                  <c:v>44697</c:v>
                </c:pt>
                <c:pt idx="547">
                  <c:v>44694</c:v>
                </c:pt>
                <c:pt idx="548">
                  <c:v>44693</c:v>
                </c:pt>
                <c:pt idx="549">
                  <c:v>44692</c:v>
                </c:pt>
                <c:pt idx="550">
                  <c:v>44691</c:v>
                </c:pt>
                <c:pt idx="551">
                  <c:v>44690</c:v>
                </c:pt>
                <c:pt idx="552">
                  <c:v>44687</c:v>
                </c:pt>
                <c:pt idx="553">
                  <c:v>44686</c:v>
                </c:pt>
                <c:pt idx="554">
                  <c:v>44685</c:v>
                </c:pt>
                <c:pt idx="555">
                  <c:v>44680</c:v>
                </c:pt>
                <c:pt idx="556">
                  <c:v>44679</c:v>
                </c:pt>
                <c:pt idx="557">
                  <c:v>44678</c:v>
                </c:pt>
                <c:pt idx="558">
                  <c:v>44677</c:v>
                </c:pt>
                <c:pt idx="559">
                  <c:v>44676</c:v>
                </c:pt>
                <c:pt idx="560">
                  <c:v>44673</c:v>
                </c:pt>
                <c:pt idx="561">
                  <c:v>44672</c:v>
                </c:pt>
                <c:pt idx="562">
                  <c:v>44671</c:v>
                </c:pt>
                <c:pt idx="563">
                  <c:v>44670</c:v>
                </c:pt>
                <c:pt idx="564">
                  <c:v>44669</c:v>
                </c:pt>
                <c:pt idx="565">
                  <c:v>44666</c:v>
                </c:pt>
                <c:pt idx="566">
                  <c:v>44665</c:v>
                </c:pt>
                <c:pt idx="567">
                  <c:v>44664</c:v>
                </c:pt>
                <c:pt idx="568">
                  <c:v>44663</c:v>
                </c:pt>
                <c:pt idx="569">
                  <c:v>44659</c:v>
                </c:pt>
                <c:pt idx="570">
                  <c:v>44658</c:v>
                </c:pt>
                <c:pt idx="571">
                  <c:v>44657</c:v>
                </c:pt>
                <c:pt idx="572">
                  <c:v>44656</c:v>
                </c:pt>
                <c:pt idx="573">
                  <c:v>44655</c:v>
                </c:pt>
                <c:pt idx="574">
                  <c:v>44652</c:v>
                </c:pt>
                <c:pt idx="575">
                  <c:v>44651</c:v>
                </c:pt>
                <c:pt idx="576">
                  <c:v>44650</c:v>
                </c:pt>
                <c:pt idx="577">
                  <c:v>44649</c:v>
                </c:pt>
                <c:pt idx="578">
                  <c:v>44648</c:v>
                </c:pt>
                <c:pt idx="579">
                  <c:v>44645</c:v>
                </c:pt>
                <c:pt idx="580">
                  <c:v>44644</c:v>
                </c:pt>
                <c:pt idx="581">
                  <c:v>44643</c:v>
                </c:pt>
                <c:pt idx="582">
                  <c:v>44642</c:v>
                </c:pt>
                <c:pt idx="583">
                  <c:v>44641</c:v>
                </c:pt>
                <c:pt idx="584">
                  <c:v>44638</c:v>
                </c:pt>
                <c:pt idx="585">
                  <c:v>44637</c:v>
                </c:pt>
                <c:pt idx="586">
                  <c:v>44636</c:v>
                </c:pt>
                <c:pt idx="587">
                  <c:v>44635</c:v>
                </c:pt>
                <c:pt idx="588">
                  <c:v>44634</c:v>
                </c:pt>
                <c:pt idx="589">
                  <c:v>44631</c:v>
                </c:pt>
                <c:pt idx="590">
                  <c:v>44630</c:v>
                </c:pt>
                <c:pt idx="591">
                  <c:v>44629</c:v>
                </c:pt>
                <c:pt idx="592">
                  <c:v>44628</c:v>
                </c:pt>
                <c:pt idx="593">
                  <c:v>44627</c:v>
                </c:pt>
                <c:pt idx="594">
                  <c:v>44624</c:v>
                </c:pt>
                <c:pt idx="595">
                  <c:v>44623</c:v>
                </c:pt>
                <c:pt idx="596">
                  <c:v>44622</c:v>
                </c:pt>
                <c:pt idx="597">
                  <c:v>44621</c:v>
                </c:pt>
                <c:pt idx="598">
                  <c:v>44620</c:v>
                </c:pt>
                <c:pt idx="599">
                  <c:v>44617</c:v>
                </c:pt>
                <c:pt idx="600">
                  <c:v>44616</c:v>
                </c:pt>
                <c:pt idx="601">
                  <c:v>44615</c:v>
                </c:pt>
                <c:pt idx="602">
                  <c:v>44614</c:v>
                </c:pt>
                <c:pt idx="603">
                  <c:v>44613</c:v>
                </c:pt>
                <c:pt idx="604">
                  <c:v>44610</c:v>
                </c:pt>
                <c:pt idx="605">
                  <c:v>44609</c:v>
                </c:pt>
                <c:pt idx="606">
                  <c:v>44608</c:v>
                </c:pt>
                <c:pt idx="607">
                  <c:v>44607</c:v>
                </c:pt>
                <c:pt idx="608">
                  <c:v>44606</c:v>
                </c:pt>
                <c:pt idx="609">
                  <c:v>44603</c:v>
                </c:pt>
                <c:pt idx="610">
                  <c:v>44602</c:v>
                </c:pt>
                <c:pt idx="611">
                  <c:v>44601</c:v>
                </c:pt>
                <c:pt idx="612">
                  <c:v>44600</c:v>
                </c:pt>
                <c:pt idx="613">
                  <c:v>44599</c:v>
                </c:pt>
                <c:pt idx="614">
                  <c:v>44589</c:v>
                </c:pt>
                <c:pt idx="615">
                  <c:v>44588</c:v>
                </c:pt>
                <c:pt idx="616">
                  <c:v>44587</c:v>
                </c:pt>
                <c:pt idx="617">
                  <c:v>44586</c:v>
                </c:pt>
                <c:pt idx="618">
                  <c:v>44585</c:v>
                </c:pt>
                <c:pt idx="619">
                  <c:v>44582</c:v>
                </c:pt>
                <c:pt idx="620">
                  <c:v>44581</c:v>
                </c:pt>
                <c:pt idx="621">
                  <c:v>44580</c:v>
                </c:pt>
                <c:pt idx="622">
                  <c:v>44579</c:v>
                </c:pt>
                <c:pt idx="623">
                  <c:v>44578</c:v>
                </c:pt>
                <c:pt idx="624">
                  <c:v>44575</c:v>
                </c:pt>
                <c:pt idx="625">
                  <c:v>44574</c:v>
                </c:pt>
                <c:pt idx="626">
                  <c:v>44573</c:v>
                </c:pt>
                <c:pt idx="627">
                  <c:v>44572</c:v>
                </c:pt>
                <c:pt idx="628">
                  <c:v>44571</c:v>
                </c:pt>
                <c:pt idx="629">
                  <c:v>44568</c:v>
                </c:pt>
                <c:pt idx="630">
                  <c:v>44567</c:v>
                </c:pt>
                <c:pt idx="631">
                  <c:v>44566</c:v>
                </c:pt>
                <c:pt idx="632">
                  <c:v>44565</c:v>
                </c:pt>
              </c:numCache>
            </c:numRef>
          </c:cat>
          <c:val>
            <c:numRef>
              <c:f>Diamond!$AB$3:$AB$635</c:f>
              <c:numCache>
                <c:formatCode>_(* #,##0_);_(* \(#,##0\);_(* "-"??_);_(@_)</c:formatCode>
                <c:ptCount val="633"/>
                <c:pt idx="38" formatCode="General">
                  <c:v>5.2</c:v>
                </c:pt>
              </c:numCache>
            </c:numRef>
          </c:val>
          <c:smooth val="0"/>
          <c:extLst>
            <c:ext xmlns:c16="http://schemas.microsoft.com/office/drawing/2014/chart" uri="{C3380CC4-5D6E-409C-BE32-E72D297353CC}">
              <c16:uniqueId val="{00000001-803C-498E-ADFB-7ED48B450286}"/>
            </c:ext>
          </c:extLst>
        </c:ser>
        <c:dLbls>
          <c:showLegendKey val="0"/>
          <c:showVal val="0"/>
          <c:showCatName val="0"/>
          <c:showSerName val="0"/>
          <c:showPercent val="0"/>
          <c:showBubbleSize val="0"/>
        </c:dLbls>
        <c:marker val="1"/>
        <c:smooth val="0"/>
        <c:axId val="1080211288"/>
        <c:axId val="1080214168"/>
      </c:lineChart>
      <c:lineChart>
        <c:grouping val="standard"/>
        <c:varyColors val="0"/>
        <c:ser>
          <c:idx val="1"/>
          <c:order val="1"/>
          <c:tx>
            <c:strRef>
              <c:f>Diamond!$AA$2</c:f>
              <c:strCache>
                <c:ptCount val="1"/>
                <c:pt idx="0">
                  <c:v> P/E trượt (Lần) </c:v>
                </c:pt>
              </c:strCache>
            </c:strRef>
          </c:tx>
          <c:spPr>
            <a:ln w="28575" cap="rnd">
              <a:solidFill>
                <a:schemeClr val="accent1"/>
              </a:solidFill>
              <a:round/>
            </a:ln>
            <a:effectLst/>
          </c:spPr>
          <c:marker>
            <c:symbol val="none"/>
          </c:marker>
          <c:cat>
            <c:numRef>
              <c:f>Diamond!$Y$3:$Y$635</c:f>
              <c:numCache>
                <c:formatCode>m/d/yy</c:formatCode>
                <c:ptCount val="633"/>
                <c:pt idx="0">
                  <c:v>45869</c:v>
                </c:pt>
                <c:pt idx="11">
                  <c:v>45657</c:v>
                </c:pt>
                <c:pt idx="53">
                  <c:v>45407</c:v>
                </c:pt>
                <c:pt idx="54">
                  <c:v>45406</c:v>
                </c:pt>
                <c:pt idx="55">
                  <c:v>45415</c:v>
                </c:pt>
                <c:pt idx="56">
                  <c:v>45414</c:v>
                </c:pt>
                <c:pt idx="57">
                  <c:v>45408</c:v>
                </c:pt>
                <c:pt idx="58">
                  <c:v>45407</c:v>
                </c:pt>
                <c:pt idx="59">
                  <c:v>45406</c:v>
                </c:pt>
                <c:pt idx="60">
                  <c:v>45405</c:v>
                </c:pt>
                <c:pt idx="61">
                  <c:v>45404</c:v>
                </c:pt>
                <c:pt idx="62">
                  <c:v>45401</c:v>
                </c:pt>
                <c:pt idx="63">
                  <c:v>45399</c:v>
                </c:pt>
                <c:pt idx="64">
                  <c:v>45398</c:v>
                </c:pt>
                <c:pt idx="65">
                  <c:v>45397</c:v>
                </c:pt>
                <c:pt idx="66">
                  <c:v>45394</c:v>
                </c:pt>
                <c:pt idx="67">
                  <c:v>45393</c:v>
                </c:pt>
                <c:pt idx="68">
                  <c:v>45392</c:v>
                </c:pt>
                <c:pt idx="69">
                  <c:v>45391</c:v>
                </c:pt>
                <c:pt idx="70">
                  <c:v>45390</c:v>
                </c:pt>
                <c:pt idx="71">
                  <c:v>45387</c:v>
                </c:pt>
                <c:pt idx="72">
                  <c:v>45386</c:v>
                </c:pt>
                <c:pt idx="73">
                  <c:v>45385</c:v>
                </c:pt>
                <c:pt idx="74">
                  <c:v>45384</c:v>
                </c:pt>
                <c:pt idx="75">
                  <c:v>45383</c:v>
                </c:pt>
                <c:pt idx="76">
                  <c:v>45380</c:v>
                </c:pt>
                <c:pt idx="77">
                  <c:v>45379</c:v>
                </c:pt>
                <c:pt idx="78">
                  <c:v>45378</c:v>
                </c:pt>
                <c:pt idx="79">
                  <c:v>45377</c:v>
                </c:pt>
                <c:pt idx="80">
                  <c:v>45376</c:v>
                </c:pt>
                <c:pt idx="81">
                  <c:v>45373</c:v>
                </c:pt>
                <c:pt idx="82">
                  <c:v>45372</c:v>
                </c:pt>
                <c:pt idx="83">
                  <c:v>45371</c:v>
                </c:pt>
                <c:pt idx="84">
                  <c:v>45370</c:v>
                </c:pt>
                <c:pt idx="85">
                  <c:v>45369</c:v>
                </c:pt>
                <c:pt idx="86">
                  <c:v>45366</c:v>
                </c:pt>
                <c:pt idx="87">
                  <c:v>45365</c:v>
                </c:pt>
                <c:pt idx="88">
                  <c:v>45364</c:v>
                </c:pt>
                <c:pt idx="89">
                  <c:v>45363</c:v>
                </c:pt>
                <c:pt idx="90">
                  <c:v>45362</c:v>
                </c:pt>
                <c:pt idx="91">
                  <c:v>45359</c:v>
                </c:pt>
                <c:pt idx="92">
                  <c:v>45358</c:v>
                </c:pt>
                <c:pt idx="93">
                  <c:v>45357</c:v>
                </c:pt>
                <c:pt idx="94">
                  <c:v>45356</c:v>
                </c:pt>
                <c:pt idx="95">
                  <c:v>45355</c:v>
                </c:pt>
                <c:pt idx="96">
                  <c:v>45352</c:v>
                </c:pt>
                <c:pt idx="97">
                  <c:v>45351</c:v>
                </c:pt>
                <c:pt idx="98">
                  <c:v>45350</c:v>
                </c:pt>
                <c:pt idx="99">
                  <c:v>45349</c:v>
                </c:pt>
                <c:pt idx="100">
                  <c:v>45348</c:v>
                </c:pt>
                <c:pt idx="101">
                  <c:v>45345</c:v>
                </c:pt>
                <c:pt idx="102">
                  <c:v>45344</c:v>
                </c:pt>
                <c:pt idx="103">
                  <c:v>45343</c:v>
                </c:pt>
                <c:pt idx="104">
                  <c:v>45342</c:v>
                </c:pt>
                <c:pt idx="105">
                  <c:v>45341</c:v>
                </c:pt>
                <c:pt idx="106">
                  <c:v>45338</c:v>
                </c:pt>
                <c:pt idx="107">
                  <c:v>45337</c:v>
                </c:pt>
                <c:pt idx="108">
                  <c:v>45329</c:v>
                </c:pt>
                <c:pt idx="109">
                  <c:v>45328</c:v>
                </c:pt>
                <c:pt idx="110">
                  <c:v>45327</c:v>
                </c:pt>
                <c:pt idx="111">
                  <c:v>45324</c:v>
                </c:pt>
                <c:pt idx="112">
                  <c:v>45323</c:v>
                </c:pt>
                <c:pt idx="113">
                  <c:v>45322</c:v>
                </c:pt>
                <c:pt idx="114">
                  <c:v>45321</c:v>
                </c:pt>
                <c:pt idx="115">
                  <c:v>45320</c:v>
                </c:pt>
                <c:pt idx="116">
                  <c:v>45317</c:v>
                </c:pt>
                <c:pt idx="117">
                  <c:v>45316</c:v>
                </c:pt>
                <c:pt idx="118">
                  <c:v>45315</c:v>
                </c:pt>
                <c:pt idx="119">
                  <c:v>45314</c:v>
                </c:pt>
                <c:pt idx="120">
                  <c:v>45313</c:v>
                </c:pt>
                <c:pt idx="121">
                  <c:v>45310</c:v>
                </c:pt>
                <c:pt idx="122">
                  <c:v>45309</c:v>
                </c:pt>
                <c:pt idx="123">
                  <c:v>45308</c:v>
                </c:pt>
                <c:pt idx="124">
                  <c:v>45307</c:v>
                </c:pt>
                <c:pt idx="125">
                  <c:v>45306</c:v>
                </c:pt>
                <c:pt idx="126">
                  <c:v>45303</c:v>
                </c:pt>
                <c:pt idx="127">
                  <c:v>45302</c:v>
                </c:pt>
                <c:pt idx="128">
                  <c:v>45301</c:v>
                </c:pt>
                <c:pt idx="129">
                  <c:v>45300</c:v>
                </c:pt>
                <c:pt idx="130">
                  <c:v>45299</c:v>
                </c:pt>
                <c:pt idx="131">
                  <c:v>45296</c:v>
                </c:pt>
                <c:pt idx="132">
                  <c:v>45295</c:v>
                </c:pt>
                <c:pt idx="133">
                  <c:v>45294</c:v>
                </c:pt>
                <c:pt idx="134">
                  <c:v>45293</c:v>
                </c:pt>
                <c:pt idx="135">
                  <c:v>45289</c:v>
                </c:pt>
                <c:pt idx="136">
                  <c:v>45288</c:v>
                </c:pt>
                <c:pt idx="137">
                  <c:v>45287</c:v>
                </c:pt>
                <c:pt idx="138">
                  <c:v>45286</c:v>
                </c:pt>
                <c:pt idx="139">
                  <c:v>45285</c:v>
                </c:pt>
                <c:pt idx="140">
                  <c:v>45282</c:v>
                </c:pt>
                <c:pt idx="141">
                  <c:v>45281</c:v>
                </c:pt>
                <c:pt idx="142">
                  <c:v>45280</c:v>
                </c:pt>
                <c:pt idx="143">
                  <c:v>45279</c:v>
                </c:pt>
                <c:pt idx="144">
                  <c:v>45278</c:v>
                </c:pt>
                <c:pt idx="145">
                  <c:v>45275</c:v>
                </c:pt>
                <c:pt idx="146">
                  <c:v>45274</c:v>
                </c:pt>
                <c:pt idx="147">
                  <c:v>45273</c:v>
                </c:pt>
                <c:pt idx="148">
                  <c:v>45272</c:v>
                </c:pt>
                <c:pt idx="149">
                  <c:v>45271</c:v>
                </c:pt>
                <c:pt idx="150">
                  <c:v>45268</c:v>
                </c:pt>
                <c:pt idx="151">
                  <c:v>45267</c:v>
                </c:pt>
                <c:pt idx="152">
                  <c:v>45266</c:v>
                </c:pt>
                <c:pt idx="153">
                  <c:v>45265</c:v>
                </c:pt>
                <c:pt idx="154">
                  <c:v>45264</c:v>
                </c:pt>
                <c:pt idx="155">
                  <c:v>45261</c:v>
                </c:pt>
                <c:pt idx="156">
                  <c:v>45260</c:v>
                </c:pt>
                <c:pt idx="157">
                  <c:v>45259</c:v>
                </c:pt>
                <c:pt idx="158">
                  <c:v>45258</c:v>
                </c:pt>
                <c:pt idx="159">
                  <c:v>45257</c:v>
                </c:pt>
                <c:pt idx="160">
                  <c:v>45254</c:v>
                </c:pt>
                <c:pt idx="161">
                  <c:v>45253</c:v>
                </c:pt>
                <c:pt idx="162">
                  <c:v>45252</c:v>
                </c:pt>
                <c:pt idx="163">
                  <c:v>45251</c:v>
                </c:pt>
                <c:pt idx="164">
                  <c:v>45250</c:v>
                </c:pt>
                <c:pt idx="165">
                  <c:v>45247</c:v>
                </c:pt>
                <c:pt idx="166">
                  <c:v>45246</c:v>
                </c:pt>
                <c:pt idx="167">
                  <c:v>45245</c:v>
                </c:pt>
                <c:pt idx="168">
                  <c:v>45244</c:v>
                </c:pt>
                <c:pt idx="169">
                  <c:v>45243</c:v>
                </c:pt>
                <c:pt idx="170">
                  <c:v>45240</c:v>
                </c:pt>
                <c:pt idx="171">
                  <c:v>45239</c:v>
                </c:pt>
                <c:pt idx="172">
                  <c:v>45238</c:v>
                </c:pt>
                <c:pt idx="173">
                  <c:v>45237</c:v>
                </c:pt>
                <c:pt idx="174">
                  <c:v>45236</c:v>
                </c:pt>
                <c:pt idx="175">
                  <c:v>45233</c:v>
                </c:pt>
                <c:pt idx="176">
                  <c:v>45232</c:v>
                </c:pt>
                <c:pt idx="177">
                  <c:v>45231</c:v>
                </c:pt>
                <c:pt idx="178">
                  <c:v>45230</c:v>
                </c:pt>
                <c:pt idx="179">
                  <c:v>45229</c:v>
                </c:pt>
                <c:pt idx="180">
                  <c:v>45226</c:v>
                </c:pt>
                <c:pt idx="181">
                  <c:v>45225</c:v>
                </c:pt>
                <c:pt idx="182">
                  <c:v>45224</c:v>
                </c:pt>
                <c:pt idx="183">
                  <c:v>45223</c:v>
                </c:pt>
                <c:pt idx="184">
                  <c:v>45222</c:v>
                </c:pt>
                <c:pt idx="185">
                  <c:v>45219</c:v>
                </c:pt>
                <c:pt idx="186">
                  <c:v>45218</c:v>
                </c:pt>
                <c:pt idx="187">
                  <c:v>45217</c:v>
                </c:pt>
                <c:pt idx="188">
                  <c:v>45216</c:v>
                </c:pt>
                <c:pt idx="189">
                  <c:v>45215</c:v>
                </c:pt>
                <c:pt idx="190">
                  <c:v>45212</c:v>
                </c:pt>
                <c:pt idx="191">
                  <c:v>45211</c:v>
                </c:pt>
                <c:pt idx="192">
                  <c:v>45210</c:v>
                </c:pt>
                <c:pt idx="193">
                  <c:v>45209</c:v>
                </c:pt>
                <c:pt idx="194">
                  <c:v>45208</c:v>
                </c:pt>
                <c:pt idx="195">
                  <c:v>45205</c:v>
                </c:pt>
                <c:pt idx="196">
                  <c:v>45204</c:v>
                </c:pt>
                <c:pt idx="197">
                  <c:v>45203</c:v>
                </c:pt>
                <c:pt idx="198">
                  <c:v>45202</c:v>
                </c:pt>
                <c:pt idx="199">
                  <c:v>45201</c:v>
                </c:pt>
                <c:pt idx="200">
                  <c:v>45198</c:v>
                </c:pt>
                <c:pt idx="201">
                  <c:v>45197</c:v>
                </c:pt>
                <c:pt idx="202">
                  <c:v>45196</c:v>
                </c:pt>
                <c:pt idx="203">
                  <c:v>45195</c:v>
                </c:pt>
                <c:pt idx="204">
                  <c:v>45194</c:v>
                </c:pt>
                <c:pt idx="205">
                  <c:v>45191</c:v>
                </c:pt>
                <c:pt idx="206">
                  <c:v>45190</c:v>
                </c:pt>
                <c:pt idx="207">
                  <c:v>45189</c:v>
                </c:pt>
                <c:pt idx="208">
                  <c:v>45188</c:v>
                </c:pt>
                <c:pt idx="209">
                  <c:v>45187</c:v>
                </c:pt>
                <c:pt idx="210">
                  <c:v>45184</c:v>
                </c:pt>
                <c:pt idx="211">
                  <c:v>45183</c:v>
                </c:pt>
                <c:pt idx="212">
                  <c:v>45182</c:v>
                </c:pt>
                <c:pt idx="213">
                  <c:v>45181</c:v>
                </c:pt>
                <c:pt idx="214">
                  <c:v>45180</c:v>
                </c:pt>
                <c:pt idx="215">
                  <c:v>45177</c:v>
                </c:pt>
                <c:pt idx="216">
                  <c:v>45176</c:v>
                </c:pt>
                <c:pt idx="217">
                  <c:v>45175</c:v>
                </c:pt>
                <c:pt idx="218">
                  <c:v>45174</c:v>
                </c:pt>
                <c:pt idx="219">
                  <c:v>45169</c:v>
                </c:pt>
                <c:pt idx="220">
                  <c:v>45168</c:v>
                </c:pt>
                <c:pt idx="221">
                  <c:v>45167</c:v>
                </c:pt>
                <c:pt idx="222">
                  <c:v>45166</c:v>
                </c:pt>
                <c:pt idx="223">
                  <c:v>45163</c:v>
                </c:pt>
                <c:pt idx="224">
                  <c:v>45162</c:v>
                </c:pt>
                <c:pt idx="225">
                  <c:v>45161</c:v>
                </c:pt>
                <c:pt idx="226">
                  <c:v>45160</c:v>
                </c:pt>
                <c:pt idx="227">
                  <c:v>45159</c:v>
                </c:pt>
                <c:pt idx="228">
                  <c:v>45156</c:v>
                </c:pt>
                <c:pt idx="229">
                  <c:v>45155</c:v>
                </c:pt>
                <c:pt idx="230">
                  <c:v>45154</c:v>
                </c:pt>
                <c:pt idx="231">
                  <c:v>45153</c:v>
                </c:pt>
                <c:pt idx="232">
                  <c:v>45152</c:v>
                </c:pt>
                <c:pt idx="233">
                  <c:v>45149</c:v>
                </c:pt>
                <c:pt idx="234">
                  <c:v>45148</c:v>
                </c:pt>
                <c:pt idx="235">
                  <c:v>45147</c:v>
                </c:pt>
                <c:pt idx="236">
                  <c:v>45146</c:v>
                </c:pt>
                <c:pt idx="237">
                  <c:v>45145</c:v>
                </c:pt>
                <c:pt idx="238">
                  <c:v>45142</c:v>
                </c:pt>
                <c:pt idx="239">
                  <c:v>45141</c:v>
                </c:pt>
                <c:pt idx="240">
                  <c:v>45140</c:v>
                </c:pt>
                <c:pt idx="241">
                  <c:v>45139</c:v>
                </c:pt>
                <c:pt idx="242">
                  <c:v>45138</c:v>
                </c:pt>
                <c:pt idx="243">
                  <c:v>45135</c:v>
                </c:pt>
                <c:pt idx="244">
                  <c:v>45134</c:v>
                </c:pt>
                <c:pt idx="245">
                  <c:v>45133</c:v>
                </c:pt>
                <c:pt idx="246">
                  <c:v>45132</c:v>
                </c:pt>
                <c:pt idx="247">
                  <c:v>45131</c:v>
                </c:pt>
                <c:pt idx="248">
                  <c:v>45128</c:v>
                </c:pt>
                <c:pt idx="249">
                  <c:v>45127</c:v>
                </c:pt>
                <c:pt idx="250">
                  <c:v>45126</c:v>
                </c:pt>
                <c:pt idx="251">
                  <c:v>45125</c:v>
                </c:pt>
                <c:pt idx="252">
                  <c:v>45124</c:v>
                </c:pt>
                <c:pt idx="253">
                  <c:v>45121</c:v>
                </c:pt>
                <c:pt idx="254">
                  <c:v>45120</c:v>
                </c:pt>
                <c:pt idx="255">
                  <c:v>45119</c:v>
                </c:pt>
                <c:pt idx="256">
                  <c:v>45118</c:v>
                </c:pt>
                <c:pt idx="257">
                  <c:v>45117</c:v>
                </c:pt>
                <c:pt idx="258">
                  <c:v>45114</c:v>
                </c:pt>
                <c:pt idx="259">
                  <c:v>45113</c:v>
                </c:pt>
                <c:pt idx="260">
                  <c:v>45112</c:v>
                </c:pt>
                <c:pt idx="261">
                  <c:v>45111</c:v>
                </c:pt>
                <c:pt idx="262">
                  <c:v>45110</c:v>
                </c:pt>
                <c:pt idx="263">
                  <c:v>45107</c:v>
                </c:pt>
                <c:pt idx="264">
                  <c:v>45106</c:v>
                </c:pt>
                <c:pt idx="265">
                  <c:v>45105</c:v>
                </c:pt>
                <c:pt idx="266">
                  <c:v>45104</c:v>
                </c:pt>
                <c:pt idx="267">
                  <c:v>45103</c:v>
                </c:pt>
                <c:pt idx="268">
                  <c:v>45100</c:v>
                </c:pt>
                <c:pt idx="269">
                  <c:v>45099</c:v>
                </c:pt>
                <c:pt idx="270">
                  <c:v>45098</c:v>
                </c:pt>
                <c:pt idx="271">
                  <c:v>45097</c:v>
                </c:pt>
                <c:pt idx="272">
                  <c:v>45096</c:v>
                </c:pt>
                <c:pt idx="273">
                  <c:v>45093</c:v>
                </c:pt>
                <c:pt idx="274">
                  <c:v>45092</c:v>
                </c:pt>
                <c:pt idx="275">
                  <c:v>45091</c:v>
                </c:pt>
                <c:pt idx="276">
                  <c:v>45090</c:v>
                </c:pt>
                <c:pt idx="277">
                  <c:v>45089</c:v>
                </c:pt>
                <c:pt idx="278">
                  <c:v>45086</c:v>
                </c:pt>
                <c:pt idx="279">
                  <c:v>45085</c:v>
                </c:pt>
                <c:pt idx="280">
                  <c:v>45084</c:v>
                </c:pt>
                <c:pt idx="281">
                  <c:v>45083</c:v>
                </c:pt>
                <c:pt idx="282">
                  <c:v>45082</c:v>
                </c:pt>
                <c:pt idx="283">
                  <c:v>45079</c:v>
                </c:pt>
                <c:pt idx="284">
                  <c:v>45078</c:v>
                </c:pt>
                <c:pt idx="285">
                  <c:v>45077</c:v>
                </c:pt>
                <c:pt idx="286">
                  <c:v>45076</c:v>
                </c:pt>
                <c:pt idx="287">
                  <c:v>45075</c:v>
                </c:pt>
                <c:pt idx="288">
                  <c:v>45072</c:v>
                </c:pt>
                <c:pt idx="289">
                  <c:v>45071</c:v>
                </c:pt>
                <c:pt idx="290">
                  <c:v>45070</c:v>
                </c:pt>
                <c:pt idx="291">
                  <c:v>45069</c:v>
                </c:pt>
                <c:pt idx="292">
                  <c:v>45068</c:v>
                </c:pt>
                <c:pt idx="293">
                  <c:v>45065</c:v>
                </c:pt>
                <c:pt idx="294">
                  <c:v>45064</c:v>
                </c:pt>
                <c:pt idx="295">
                  <c:v>45063</c:v>
                </c:pt>
                <c:pt idx="296">
                  <c:v>45062</c:v>
                </c:pt>
                <c:pt idx="297">
                  <c:v>45061</c:v>
                </c:pt>
                <c:pt idx="298">
                  <c:v>45058</c:v>
                </c:pt>
                <c:pt idx="299">
                  <c:v>45057</c:v>
                </c:pt>
                <c:pt idx="300">
                  <c:v>45056</c:v>
                </c:pt>
                <c:pt idx="301">
                  <c:v>45055</c:v>
                </c:pt>
                <c:pt idx="302">
                  <c:v>45054</c:v>
                </c:pt>
                <c:pt idx="303">
                  <c:v>45051</c:v>
                </c:pt>
                <c:pt idx="304">
                  <c:v>45050</c:v>
                </c:pt>
                <c:pt idx="305">
                  <c:v>45044</c:v>
                </c:pt>
                <c:pt idx="306">
                  <c:v>45043</c:v>
                </c:pt>
                <c:pt idx="307">
                  <c:v>45042</c:v>
                </c:pt>
                <c:pt idx="308">
                  <c:v>45041</c:v>
                </c:pt>
                <c:pt idx="309">
                  <c:v>45040</c:v>
                </c:pt>
                <c:pt idx="310">
                  <c:v>45037</c:v>
                </c:pt>
                <c:pt idx="311">
                  <c:v>45036</c:v>
                </c:pt>
                <c:pt idx="312">
                  <c:v>45035</c:v>
                </c:pt>
                <c:pt idx="313">
                  <c:v>45034</c:v>
                </c:pt>
                <c:pt idx="314">
                  <c:v>45033</c:v>
                </c:pt>
                <c:pt idx="315">
                  <c:v>45030</c:v>
                </c:pt>
                <c:pt idx="316">
                  <c:v>45029</c:v>
                </c:pt>
                <c:pt idx="317">
                  <c:v>45028</c:v>
                </c:pt>
                <c:pt idx="318">
                  <c:v>45027</c:v>
                </c:pt>
                <c:pt idx="319">
                  <c:v>45026</c:v>
                </c:pt>
                <c:pt idx="320">
                  <c:v>45023</c:v>
                </c:pt>
                <c:pt idx="321">
                  <c:v>45022</c:v>
                </c:pt>
                <c:pt idx="322">
                  <c:v>45021</c:v>
                </c:pt>
                <c:pt idx="323">
                  <c:v>45020</c:v>
                </c:pt>
                <c:pt idx="324">
                  <c:v>45019</c:v>
                </c:pt>
                <c:pt idx="325">
                  <c:v>45016</c:v>
                </c:pt>
                <c:pt idx="326">
                  <c:v>45015</c:v>
                </c:pt>
                <c:pt idx="327">
                  <c:v>45014</c:v>
                </c:pt>
                <c:pt idx="328">
                  <c:v>45013</c:v>
                </c:pt>
                <c:pt idx="329">
                  <c:v>45012</c:v>
                </c:pt>
                <c:pt idx="330">
                  <c:v>45009</c:v>
                </c:pt>
                <c:pt idx="331">
                  <c:v>45008</c:v>
                </c:pt>
                <c:pt idx="332">
                  <c:v>45007</c:v>
                </c:pt>
                <c:pt idx="333">
                  <c:v>45006</c:v>
                </c:pt>
                <c:pt idx="334">
                  <c:v>45005</c:v>
                </c:pt>
                <c:pt idx="335">
                  <c:v>45002</c:v>
                </c:pt>
                <c:pt idx="336">
                  <c:v>45001</c:v>
                </c:pt>
                <c:pt idx="337">
                  <c:v>45000</c:v>
                </c:pt>
                <c:pt idx="338">
                  <c:v>44999</c:v>
                </c:pt>
                <c:pt idx="339">
                  <c:v>44998</c:v>
                </c:pt>
                <c:pt idx="340">
                  <c:v>44995</c:v>
                </c:pt>
                <c:pt idx="341">
                  <c:v>44994</c:v>
                </c:pt>
                <c:pt idx="342">
                  <c:v>44993</c:v>
                </c:pt>
                <c:pt idx="343">
                  <c:v>44992</c:v>
                </c:pt>
                <c:pt idx="344">
                  <c:v>44991</c:v>
                </c:pt>
                <c:pt idx="345">
                  <c:v>44988</c:v>
                </c:pt>
                <c:pt idx="346">
                  <c:v>44987</c:v>
                </c:pt>
                <c:pt idx="347">
                  <c:v>44986</c:v>
                </c:pt>
                <c:pt idx="348">
                  <c:v>44985</c:v>
                </c:pt>
                <c:pt idx="349">
                  <c:v>44984</c:v>
                </c:pt>
                <c:pt idx="350">
                  <c:v>44981</c:v>
                </c:pt>
                <c:pt idx="351">
                  <c:v>44980</c:v>
                </c:pt>
                <c:pt idx="352">
                  <c:v>44979</c:v>
                </c:pt>
                <c:pt idx="353">
                  <c:v>44978</c:v>
                </c:pt>
                <c:pt idx="354">
                  <c:v>44977</c:v>
                </c:pt>
                <c:pt idx="355">
                  <c:v>44974</c:v>
                </c:pt>
                <c:pt idx="356">
                  <c:v>44973</c:v>
                </c:pt>
                <c:pt idx="357">
                  <c:v>44972</c:v>
                </c:pt>
                <c:pt idx="358">
                  <c:v>44971</c:v>
                </c:pt>
                <c:pt idx="359">
                  <c:v>44970</c:v>
                </c:pt>
                <c:pt idx="360">
                  <c:v>44967</c:v>
                </c:pt>
                <c:pt idx="361">
                  <c:v>44966</c:v>
                </c:pt>
                <c:pt idx="362">
                  <c:v>44965</c:v>
                </c:pt>
                <c:pt idx="363">
                  <c:v>44964</c:v>
                </c:pt>
                <c:pt idx="364">
                  <c:v>44963</c:v>
                </c:pt>
                <c:pt idx="365">
                  <c:v>44960</c:v>
                </c:pt>
                <c:pt idx="366">
                  <c:v>44959</c:v>
                </c:pt>
                <c:pt idx="367">
                  <c:v>44958</c:v>
                </c:pt>
                <c:pt idx="368">
                  <c:v>44957</c:v>
                </c:pt>
                <c:pt idx="369">
                  <c:v>44956</c:v>
                </c:pt>
                <c:pt idx="370">
                  <c:v>44953</c:v>
                </c:pt>
                <c:pt idx="371">
                  <c:v>44945</c:v>
                </c:pt>
                <c:pt idx="372">
                  <c:v>44944</c:v>
                </c:pt>
                <c:pt idx="373">
                  <c:v>44943</c:v>
                </c:pt>
                <c:pt idx="374">
                  <c:v>44942</c:v>
                </c:pt>
                <c:pt idx="375">
                  <c:v>44939</c:v>
                </c:pt>
                <c:pt idx="376">
                  <c:v>44938</c:v>
                </c:pt>
                <c:pt idx="377">
                  <c:v>44937</c:v>
                </c:pt>
                <c:pt idx="378">
                  <c:v>44936</c:v>
                </c:pt>
                <c:pt idx="379">
                  <c:v>44935</c:v>
                </c:pt>
                <c:pt idx="380">
                  <c:v>44932</c:v>
                </c:pt>
                <c:pt idx="381">
                  <c:v>44931</c:v>
                </c:pt>
                <c:pt idx="382">
                  <c:v>44930</c:v>
                </c:pt>
                <c:pt idx="383">
                  <c:v>44929</c:v>
                </c:pt>
                <c:pt idx="384">
                  <c:v>44925</c:v>
                </c:pt>
                <c:pt idx="385">
                  <c:v>44924</c:v>
                </c:pt>
                <c:pt idx="386">
                  <c:v>44923</c:v>
                </c:pt>
                <c:pt idx="387">
                  <c:v>44922</c:v>
                </c:pt>
                <c:pt idx="388">
                  <c:v>44921</c:v>
                </c:pt>
                <c:pt idx="389">
                  <c:v>44918</c:v>
                </c:pt>
                <c:pt idx="390">
                  <c:v>44917</c:v>
                </c:pt>
                <c:pt idx="391">
                  <c:v>44916</c:v>
                </c:pt>
                <c:pt idx="392">
                  <c:v>44915</c:v>
                </c:pt>
                <c:pt idx="393">
                  <c:v>44914</c:v>
                </c:pt>
                <c:pt idx="394">
                  <c:v>44911</c:v>
                </c:pt>
                <c:pt idx="395">
                  <c:v>44910</c:v>
                </c:pt>
                <c:pt idx="396">
                  <c:v>44909</c:v>
                </c:pt>
                <c:pt idx="397">
                  <c:v>44908</c:v>
                </c:pt>
                <c:pt idx="398">
                  <c:v>44907</c:v>
                </c:pt>
                <c:pt idx="399">
                  <c:v>44904</c:v>
                </c:pt>
                <c:pt idx="400">
                  <c:v>44903</c:v>
                </c:pt>
                <c:pt idx="401">
                  <c:v>44902</c:v>
                </c:pt>
                <c:pt idx="402">
                  <c:v>44901</c:v>
                </c:pt>
                <c:pt idx="403">
                  <c:v>44900</c:v>
                </c:pt>
                <c:pt idx="404">
                  <c:v>44897</c:v>
                </c:pt>
                <c:pt idx="405">
                  <c:v>44896</c:v>
                </c:pt>
                <c:pt idx="406">
                  <c:v>44895</c:v>
                </c:pt>
                <c:pt idx="407">
                  <c:v>44894</c:v>
                </c:pt>
                <c:pt idx="408">
                  <c:v>44893</c:v>
                </c:pt>
                <c:pt idx="409">
                  <c:v>44890</c:v>
                </c:pt>
                <c:pt idx="410">
                  <c:v>44889</c:v>
                </c:pt>
                <c:pt idx="411">
                  <c:v>44888</c:v>
                </c:pt>
                <c:pt idx="412">
                  <c:v>44887</c:v>
                </c:pt>
                <c:pt idx="413">
                  <c:v>44886</c:v>
                </c:pt>
                <c:pt idx="414">
                  <c:v>44883</c:v>
                </c:pt>
                <c:pt idx="415">
                  <c:v>44882</c:v>
                </c:pt>
                <c:pt idx="416">
                  <c:v>44881</c:v>
                </c:pt>
                <c:pt idx="417">
                  <c:v>44880</c:v>
                </c:pt>
                <c:pt idx="418">
                  <c:v>44879</c:v>
                </c:pt>
                <c:pt idx="419">
                  <c:v>44876</c:v>
                </c:pt>
                <c:pt idx="420">
                  <c:v>44875</c:v>
                </c:pt>
                <c:pt idx="421">
                  <c:v>44874</c:v>
                </c:pt>
                <c:pt idx="422">
                  <c:v>44873</c:v>
                </c:pt>
                <c:pt idx="423">
                  <c:v>44872</c:v>
                </c:pt>
                <c:pt idx="424">
                  <c:v>44869</c:v>
                </c:pt>
                <c:pt idx="425">
                  <c:v>44868</c:v>
                </c:pt>
                <c:pt idx="426">
                  <c:v>44867</c:v>
                </c:pt>
                <c:pt idx="427">
                  <c:v>44866</c:v>
                </c:pt>
                <c:pt idx="428">
                  <c:v>44865</c:v>
                </c:pt>
                <c:pt idx="429">
                  <c:v>44862</c:v>
                </c:pt>
                <c:pt idx="430">
                  <c:v>44861</c:v>
                </c:pt>
                <c:pt idx="431">
                  <c:v>44860</c:v>
                </c:pt>
                <c:pt idx="432">
                  <c:v>44859</c:v>
                </c:pt>
                <c:pt idx="433">
                  <c:v>44858</c:v>
                </c:pt>
                <c:pt idx="434">
                  <c:v>44855</c:v>
                </c:pt>
                <c:pt idx="435">
                  <c:v>44854</c:v>
                </c:pt>
                <c:pt idx="436">
                  <c:v>44853</c:v>
                </c:pt>
                <c:pt idx="437">
                  <c:v>44852</c:v>
                </c:pt>
                <c:pt idx="438">
                  <c:v>44851</c:v>
                </c:pt>
                <c:pt idx="439">
                  <c:v>44848</c:v>
                </c:pt>
                <c:pt idx="440">
                  <c:v>44847</c:v>
                </c:pt>
                <c:pt idx="441">
                  <c:v>44846</c:v>
                </c:pt>
                <c:pt idx="442">
                  <c:v>44845</c:v>
                </c:pt>
                <c:pt idx="443">
                  <c:v>44844</c:v>
                </c:pt>
                <c:pt idx="444">
                  <c:v>44841</c:v>
                </c:pt>
                <c:pt idx="445">
                  <c:v>44840</c:v>
                </c:pt>
                <c:pt idx="446">
                  <c:v>44839</c:v>
                </c:pt>
                <c:pt idx="447">
                  <c:v>44838</c:v>
                </c:pt>
                <c:pt idx="448">
                  <c:v>44837</c:v>
                </c:pt>
                <c:pt idx="449">
                  <c:v>44834</c:v>
                </c:pt>
                <c:pt idx="450">
                  <c:v>44833</c:v>
                </c:pt>
                <c:pt idx="451">
                  <c:v>44832</c:v>
                </c:pt>
                <c:pt idx="452">
                  <c:v>44831</c:v>
                </c:pt>
                <c:pt idx="453">
                  <c:v>44830</c:v>
                </c:pt>
                <c:pt idx="454">
                  <c:v>44827</c:v>
                </c:pt>
                <c:pt idx="455">
                  <c:v>44826</c:v>
                </c:pt>
                <c:pt idx="456">
                  <c:v>44825</c:v>
                </c:pt>
                <c:pt idx="457">
                  <c:v>44824</c:v>
                </c:pt>
                <c:pt idx="458">
                  <c:v>44823</c:v>
                </c:pt>
                <c:pt idx="459">
                  <c:v>44820</c:v>
                </c:pt>
                <c:pt idx="460">
                  <c:v>44819</c:v>
                </c:pt>
                <c:pt idx="461">
                  <c:v>44818</c:v>
                </c:pt>
                <c:pt idx="462">
                  <c:v>44817</c:v>
                </c:pt>
                <c:pt idx="463">
                  <c:v>44816</c:v>
                </c:pt>
                <c:pt idx="464">
                  <c:v>44813</c:v>
                </c:pt>
                <c:pt idx="465">
                  <c:v>44812</c:v>
                </c:pt>
                <c:pt idx="466">
                  <c:v>44811</c:v>
                </c:pt>
                <c:pt idx="467">
                  <c:v>44810</c:v>
                </c:pt>
                <c:pt idx="468">
                  <c:v>44809</c:v>
                </c:pt>
                <c:pt idx="469">
                  <c:v>44804</c:v>
                </c:pt>
                <c:pt idx="470">
                  <c:v>44803</c:v>
                </c:pt>
                <c:pt idx="471">
                  <c:v>44802</c:v>
                </c:pt>
                <c:pt idx="472">
                  <c:v>44799</c:v>
                </c:pt>
                <c:pt idx="473">
                  <c:v>44798</c:v>
                </c:pt>
                <c:pt idx="474">
                  <c:v>44797</c:v>
                </c:pt>
                <c:pt idx="475">
                  <c:v>44796</c:v>
                </c:pt>
                <c:pt idx="476">
                  <c:v>44795</c:v>
                </c:pt>
                <c:pt idx="477">
                  <c:v>44792</c:v>
                </c:pt>
                <c:pt idx="478">
                  <c:v>44791</c:v>
                </c:pt>
                <c:pt idx="479">
                  <c:v>44790</c:v>
                </c:pt>
                <c:pt idx="480">
                  <c:v>44789</c:v>
                </c:pt>
                <c:pt idx="481">
                  <c:v>44788</c:v>
                </c:pt>
                <c:pt idx="482">
                  <c:v>44785</c:v>
                </c:pt>
                <c:pt idx="483">
                  <c:v>44784</c:v>
                </c:pt>
                <c:pt idx="484">
                  <c:v>44783</c:v>
                </c:pt>
                <c:pt idx="485">
                  <c:v>44782</c:v>
                </c:pt>
                <c:pt idx="486">
                  <c:v>44781</c:v>
                </c:pt>
                <c:pt idx="487">
                  <c:v>44778</c:v>
                </c:pt>
                <c:pt idx="488">
                  <c:v>44777</c:v>
                </c:pt>
                <c:pt idx="489">
                  <c:v>44776</c:v>
                </c:pt>
                <c:pt idx="490">
                  <c:v>44775</c:v>
                </c:pt>
                <c:pt idx="491">
                  <c:v>44774</c:v>
                </c:pt>
                <c:pt idx="492">
                  <c:v>44771</c:v>
                </c:pt>
                <c:pt idx="493">
                  <c:v>44770</c:v>
                </c:pt>
                <c:pt idx="494">
                  <c:v>44769</c:v>
                </c:pt>
                <c:pt idx="495">
                  <c:v>44768</c:v>
                </c:pt>
                <c:pt idx="496">
                  <c:v>44767</c:v>
                </c:pt>
                <c:pt idx="497">
                  <c:v>44764</c:v>
                </c:pt>
                <c:pt idx="498">
                  <c:v>44763</c:v>
                </c:pt>
                <c:pt idx="499">
                  <c:v>44762</c:v>
                </c:pt>
                <c:pt idx="500">
                  <c:v>44761</c:v>
                </c:pt>
                <c:pt idx="501">
                  <c:v>44760</c:v>
                </c:pt>
                <c:pt idx="502">
                  <c:v>44757</c:v>
                </c:pt>
                <c:pt idx="503">
                  <c:v>44756</c:v>
                </c:pt>
                <c:pt idx="504">
                  <c:v>44755</c:v>
                </c:pt>
                <c:pt idx="505">
                  <c:v>44754</c:v>
                </c:pt>
                <c:pt idx="506">
                  <c:v>44753</c:v>
                </c:pt>
                <c:pt idx="507">
                  <c:v>44750</c:v>
                </c:pt>
                <c:pt idx="508">
                  <c:v>44749</c:v>
                </c:pt>
                <c:pt idx="509">
                  <c:v>44748</c:v>
                </c:pt>
                <c:pt idx="510">
                  <c:v>44747</c:v>
                </c:pt>
                <c:pt idx="511">
                  <c:v>44746</c:v>
                </c:pt>
                <c:pt idx="512">
                  <c:v>44743</c:v>
                </c:pt>
                <c:pt idx="513">
                  <c:v>44742</c:v>
                </c:pt>
                <c:pt idx="514">
                  <c:v>44741</c:v>
                </c:pt>
                <c:pt idx="515">
                  <c:v>44740</c:v>
                </c:pt>
                <c:pt idx="516">
                  <c:v>44739</c:v>
                </c:pt>
                <c:pt idx="517">
                  <c:v>44736</c:v>
                </c:pt>
                <c:pt idx="518">
                  <c:v>44735</c:v>
                </c:pt>
                <c:pt idx="519">
                  <c:v>44734</c:v>
                </c:pt>
                <c:pt idx="520">
                  <c:v>44733</c:v>
                </c:pt>
                <c:pt idx="521">
                  <c:v>44732</c:v>
                </c:pt>
                <c:pt idx="522">
                  <c:v>44729</c:v>
                </c:pt>
                <c:pt idx="523">
                  <c:v>44728</c:v>
                </c:pt>
                <c:pt idx="524">
                  <c:v>44727</c:v>
                </c:pt>
                <c:pt idx="525">
                  <c:v>44726</c:v>
                </c:pt>
                <c:pt idx="526">
                  <c:v>44725</c:v>
                </c:pt>
                <c:pt idx="527">
                  <c:v>44722</c:v>
                </c:pt>
                <c:pt idx="528">
                  <c:v>44721</c:v>
                </c:pt>
                <c:pt idx="529">
                  <c:v>44720</c:v>
                </c:pt>
                <c:pt idx="530">
                  <c:v>44719</c:v>
                </c:pt>
                <c:pt idx="531">
                  <c:v>44718</c:v>
                </c:pt>
                <c:pt idx="532">
                  <c:v>44715</c:v>
                </c:pt>
                <c:pt idx="533">
                  <c:v>44714</c:v>
                </c:pt>
                <c:pt idx="534">
                  <c:v>44713</c:v>
                </c:pt>
                <c:pt idx="535">
                  <c:v>44712</c:v>
                </c:pt>
                <c:pt idx="536">
                  <c:v>44711</c:v>
                </c:pt>
                <c:pt idx="537">
                  <c:v>44708</c:v>
                </c:pt>
                <c:pt idx="538">
                  <c:v>44707</c:v>
                </c:pt>
                <c:pt idx="539">
                  <c:v>44706</c:v>
                </c:pt>
                <c:pt idx="540">
                  <c:v>44705</c:v>
                </c:pt>
                <c:pt idx="541">
                  <c:v>44704</c:v>
                </c:pt>
                <c:pt idx="542">
                  <c:v>44701</c:v>
                </c:pt>
                <c:pt idx="543">
                  <c:v>44700</c:v>
                </c:pt>
                <c:pt idx="544">
                  <c:v>44699</c:v>
                </c:pt>
                <c:pt idx="545">
                  <c:v>44698</c:v>
                </c:pt>
                <c:pt idx="546">
                  <c:v>44697</c:v>
                </c:pt>
                <c:pt idx="547">
                  <c:v>44694</c:v>
                </c:pt>
                <c:pt idx="548">
                  <c:v>44693</c:v>
                </c:pt>
                <c:pt idx="549">
                  <c:v>44692</c:v>
                </c:pt>
                <c:pt idx="550">
                  <c:v>44691</c:v>
                </c:pt>
                <c:pt idx="551">
                  <c:v>44690</c:v>
                </c:pt>
                <c:pt idx="552">
                  <c:v>44687</c:v>
                </c:pt>
                <c:pt idx="553">
                  <c:v>44686</c:v>
                </c:pt>
                <c:pt idx="554">
                  <c:v>44685</c:v>
                </c:pt>
                <c:pt idx="555">
                  <c:v>44680</c:v>
                </c:pt>
                <c:pt idx="556">
                  <c:v>44679</c:v>
                </c:pt>
                <c:pt idx="557">
                  <c:v>44678</c:v>
                </c:pt>
                <c:pt idx="558">
                  <c:v>44677</c:v>
                </c:pt>
                <c:pt idx="559">
                  <c:v>44676</c:v>
                </c:pt>
                <c:pt idx="560">
                  <c:v>44673</c:v>
                </c:pt>
                <c:pt idx="561">
                  <c:v>44672</c:v>
                </c:pt>
                <c:pt idx="562">
                  <c:v>44671</c:v>
                </c:pt>
                <c:pt idx="563">
                  <c:v>44670</c:v>
                </c:pt>
                <c:pt idx="564">
                  <c:v>44669</c:v>
                </c:pt>
                <c:pt idx="565">
                  <c:v>44666</c:v>
                </c:pt>
                <c:pt idx="566">
                  <c:v>44665</c:v>
                </c:pt>
                <c:pt idx="567">
                  <c:v>44664</c:v>
                </c:pt>
                <c:pt idx="568">
                  <c:v>44663</c:v>
                </c:pt>
                <c:pt idx="569">
                  <c:v>44659</c:v>
                </c:pt>
                <c:pt idx="570">
                  <c:v>44658</c:v>
                </c:pt>
                <c:pt idx="571">
                  <c:v>44657</c:v>
                </c:pt>
                <c:pt idx="572">
                  <c:v>44656</c:v>
                </c:pt>
                <c:pt idx="573">
                  <c:v>44655</c:v>
                </c:pt>
                <c:pt idx="574">
                  <c:v>44652</c:v>
                </c:pt>
                <c:pt idx="575">
                  <c:v>44651</c:v>
                </c:pt>
                <c:pt idx="576">
                  <c:v>44650</c:v>
                </c:pt>
                <c:pt idx="577">
                  <c:v>44649</c:v>
                </c:pt>
                <c:pt idx="578">
                  <c:v>44648</c:v>
                </c:pt>
                <c:pt idx="579">
                  <c:v>44645</c:v>
                </c:pt>
                <c:pt idx="580">
                  <c:v>44644</c:v>
                </c:pt>
                <c:pt idx="581">
                  <c:v>44643</c:v>
                </c:pt>
                <c:pt idx="582">
                  <c:v>44642</c:v>
                </c:pt>
                <c:pt idx="583">
                  <c:v>44641</c:v>
                </c:pt>
                <c:pt idx="584">
                  <c:v>44638</c:v>
                </c:pt>
                <c:pt idx="585">
                  <c:v>44637</c:v>
                </c:pt>
                <c:pt idx="586">
                  <c:v>44636</c:v>
                </c:pt>
                <c:pt idx="587">
                  <c:v>44635</c:v>
                </c:pt>
                <c:pt idx="588">
                  <c:v>44634</c:v>
                </c:pt>
                <c:pt idx="589">
                  <c:v>44631</c:v>
                </c:pt>
                <c:pt idx="590">
                  <c:v>44630</c:v>
                </c:pt>
                <c:pt idx="591">
                  <c:v>44629</c:v>
                </c:pt>
                <c:pt idx="592">
                  <c:v>44628</c:v>
                </c:pt>
                <c:pt idx="593">
                  <c:v>44627</c:v>
                </c:pt>
                <c:pt idx="594">
                  <c:v>44624</c:v>
                </c:pt>
                <c:pt idx="595">
                  <c:v>44623</c:v>
                </c:pt>
                <c:pt idx="596">
                  <c:v>44622</c:v>
                </c:pt>
                <c:pt idx="597">
                  <c:v>44621</c:v>
                </c:pt>
                <c:pt idx="598">
                  <c:v>44620</c:v>
                </c:pt>
                <c:pt idx="599">
                  <c:v>44617</c:v>
                </c:pt>
                <c:pt idx="600">
                  <c:v>44616</c:v>
                </c:pt>
                <c:pt idx="601">
                  <c:v>44615</c:v>
                </c:pt>
                <c:pt idx="602">
                  <c:v>44614</c:v>
                </c:pt>
                <c:pt idx="603">
                  <c:v>44613</c:v>
                </c:pt>
                <c:pt idx="604">
                  <c:v>44610</c:v>
                </c:pt>
                <c:pt idx="605">
                  <c:v>44609</c:v>
                </c:pt>
                <c:pt idx="606">
                  <c:v>44608</c:v>
                </c:pt>
                <c:pt idx="607">
                  <c:v>44607</c:v>
                </c:pt>
                <c:pt idx="608">
                  <c:v>44606</c:v>
                </c:pt>
                <c:pt idx="609">
                  <c:v>44603</c:v>
                </c:pt>
                <c:pt idx="610">
                  <c:v>44602</c:v>
                </c:pt>
                <c:pt idx="611">
                  <c:v>44601</c:v>
                </c:pt>
                <c:pt idx="612">
                  <c:v>44600</c:v>
                </c:pt>
                <c:pt idx="613">
                  <c:v>44599</c:v>
                </c:pt>
                <c:pt idx="614">
                  <c:v>44589</c:v>
                </c:pt>
                <c:pt idx="615">
                  <c:v>44588</c:v>
                </c:pt>
                <c:pt idx="616">
                  <c:v>44587</c:v>
                </c:pt>
                <c:pt idx="617">
                  <c:v>44586</c:v>
                </c:pt>
                <c:pt idx="618">
                  <c:v>44585</c:v>
                </c:pt>
                <c:pt idx="619">
                  <c:v>44582</c:v>
                </c:pt>
                <c:pt idx="620">
                  <c:v>44581</c:v>
                </c:pt>
                <c:pt idx="621">
                  <c:v>44580</c:v>
                </c:pt>
                <c:pt idx="622">
                  <c:v>44579</c:v>
                </c:pt>
                <c:pt idx="623">
                  <c:v>44578</c:v>
                </c:pt>
                <c:pt idx="624">
                  <c:v>44575</c:v>
                </c:pt>
                <c:pt idx="625">
                  <c:v>44574</c:v>
                </c:pt>
                <c:pt idx="626">
                  <c:v>44573</c:v>
                </c:pt>
                <c:pt idx="627">
                  <c:v>44572</c:v>
                </c:pt>
                <c:pt idx="628">
                  <c:v>44571</c:v>
                </c:pt>
                <c:pt idx="629">
                  <c:v>44568</c:v>
                </c:pt>
                <c:pt idx="630">
                  <c:v>44567</c:v>
                </c:pt>
                <c:pt idx="631">
                  <c:v>44566</c:v>
                </c:pt>
                <c:pt idx="632">
                  <c:v>44565</c:v>
                </c:pt>
              </c:numCache>
            </c:numRef>
          </c:cat>
          <c:val>
            <c:numRef>
              <c:f>Diamond!$AA$3:$AA$635</c:f>
              <c:numCache>
                <c:formatCode>_(* #,##0.00_);_(* \(#,##0.00\);_(* "-"??_);_(@_)</c:formatCode>
                <c:ptCount val="633"/>
                <c:pt idx="36">
                  <c:v>25</c:v>
                </c:pt>
                <c:pt idx="37">
                  <c:v>1</c:v>
                </c:pt>
                <c:pt idx="38">
                  <c:v>1.5951249999999999</c:v>
                </c:pt>
                <c:pt idx="39">
                  <c:v>1.5951249999999999</c:v>
                </c:pt>
                <c:pt idx="40">
                  <c:v>-0.45139542370476393</c:v>
                </c:pt>
                <c:pt idx="55">
                  <c:v>77.7</c:v>
                </c:pt>
                <c:pt idx="56">
                  <c:v>77.56</c:v>
                </c:pt>
                <c:pt idx="57">
                  <c:v>479.11</c:v>
                </c:pt>
                <c:pt idx="58">
                  <c:v>469.51</c:v>
                </c:pt>
                <c:pt idx="59">
                  <c:v>456.42</c:v>
                </c:pt>
                <c:pt idx="60">
                  <c:v>434.61</c:v>
                </c:pt>
                <c:pt idx="61">
                  <c:v>424.13</c:v>
                </c:pt>
                <c:pt idx="62">
                  <c:v>420.64</c:v>
                </c:pt>
                <c:pt idx="63">
                  <c:v>431.12</c:v>
                </c:pt>
                <c:pt idx="64">
                  <c:v>435.48</c:v>
                </c:pt>
                <c:pt idx="65">
                  <c:v>435.48</c:v>
                </c:pt>
                <c:pt idx="66">
                  <c:v>453.81</c:v>
                </c:pt>
                <c:pt idx="67">
                  <c:v>456.42</c:v>
                </c:pt>
                <c:pt idx="68">
                  <c:v>453.81</c:v>
                </c:pt>
                <c:pt idx="69">
                  <c:v>460.79</c:v>
                </c:pt>
                <c:pt idx="70">
                  <c:v>436.35</c:v>
                </c:pt>
                <c:pt idx="71">
                  <c:v>445.08</c:v>
                </c:pt>
                <c:pt idx="72">
                  <c:v>442.46</c:v>
                </c:pt>
                <c:pt idx="73">
                  <c:v>438.1</c:v>
                </c:pt>
                <c:pt idx="74">
                  <c:v>450.32</c:v>
                </c:pt>
                <c:pt idx="75">
                  <c:v>448.57</c:v>
                </c:pt>
                <c:pt idx="76">
                  <c:v>445.95</c:v>
                </c:pt>
                <c:pt idx="77">
                  <c:v>445.08</c:v>
                </c:pt>
                <c:pt idx="78">
                  <c:v>442.46</c:v>
                </c:pt>
                <c:pt idx="79">
                  <c:v>424.57</c:v>
                </c:pt>
                <c:pt idx="80">
                  <c:v>421.52</c:v>
                </c:pt>
                <c:pt idx="81">
                  <c:v>428.5</c:v>
                </c:pt>
                <c:pt idx="82">
                  <c:v>423.26</c:v>
                </c:pt>
                <c:pt idx="83">
                  <c:v>418.9</c:v>
                </c:pt>
                <c:pt idx="84">
                  <c:v>397.08</c:v>
                </c:pt>
                <c:pt idx="85">
                  <c:v>400.57</c:v>
                </c:pt>
                <c:pt idx="86">
                  <c:v>413.23</c:v>
                </c:pt>
                <c:pt idx="87">
                  <c:v>412.36</c:v>
                </c:pt>
                <c:pt idx="88">
                  <c:v>423.7</c:v>
                </c:pt>
                <c:pt idx="89">
                  <c:v>407.99</c:v>
                </c:pt>
                <c:pt idx="90">
                  <c:v>404.94</c:v>
                </c:pt>
                <c:pt idx="91">
                  <c:v>416.72</c:v>
                </c:pt>
                <c:pt idx="92">
                  <c:v>427.63</c:v>
                </c:pt>
                <c:pt idx="93">
                  <c:v>425.01</c:v>
                </c:pt>
                <c:pt idx="94">
                  <c:v>436.36</c:v>
                </c:pt>
                <c:pt idx="95">
                  <c:v>413.67</c:v>
                </c:pt>
                <c:pt idx="96">
                  <c:v>406.68</c:v>
                </c:pt>
                <c:pt idx="97">
                  <c:v>403.19</c:v>
                </c:pt>
                <c:pt idx="98">
                  <c:v>395.34</c:v>
                </c:pt>
                <c:pt idx="99">
                  <c:v>390.54</c:v>
                </c:pt>
                <c:pt idx="100">
                  <c:v>387.05</c:v>
                </c:pt>
                <c:pt idx="101">
                  <c:v>383.99</c:v>
                </c:pt>
                <c:pt idx="102">
                  <c:v>395.34</c:v>
                </c:pt>
                <c:pt idx="103">
                  <c:v>402.32</c:v>
                </c:pt>
                <c:pt idx="104">
                  <c:v>408.43</c:v>
                </c:pt>
                <c:pt idx="105">
                  <c:v>408.43</c:v>
                </c:pt>
                <c:pt idx="106">
                  <c:v>404.07</c:v>
                </c:pt>
                <c:pt idx="107">
                  <c:v>400.14</c:v>
                </c:pt>
                <c:pt idx="108">
                  <c:v>406.68</c:v>
                </c:pt>
                <c:pt idx="109">
                  <c:v>410.18</c:v>
                </c:pt>
                <c:pt idx="110">
                  <c:v>413.67</c:v>
                </c:pt>
                <c:pt idx="111">
                  <c:v>413.67</c:v>
                </c:pt>
                <c:pt idx="112">
                  <c:v>403.19</c:v>
                </c:pt>
                <c:pt idx="113">
                  <c:v>392.72</c:v>
                </c:pt>
                <c:pt idx="114">
                  <c:v>95.39</c:v>
                </c:pt>
                <c:pt idx="115">
                  <c:v>93.71</c:v>
                </c:pt>
                <c:pt idx="116">
                  <c:v>94.34</c:v>
                </c:pt>
                <c:pt idx="117">
                  <c:v>94.97</c:v>
                </c:pt>
                <c:pt idx="118">
                  <c:v>93.29</c:v>
                </c:pt>
                <c:pt idx="119">
                  <c:v>95.39</c:v>
                </c:pt>
                <c:pt idx="120">
                  <c:v>96.97</c:v>
                </c:pt>
                <c:pt idx="121">
                  <c:v>96.76</c:v>
                </c:pt>
                <c:pt idx="122">
                  <c:v>96.34</c:v>
                </c:pt>
                <c:pt idx="123">
                  <c:v>94.34</c:v>
                </c:pt>
                <c:pt idx="124">
                  <c:v>93.08</c:v>
                </c:pt>
                <c:pt idx="125">
                  <c:v>90.14</c:v>
                </c:pt>
                <c:pt idx="126">
                  <c:v>88.04</c:v>
                </c:pt>
                <c:pt idx="127">
                  <c:v>89.2</c:v>
                </c:pt>
                <c:pt idx="128">
                  <c:v>88.78</c:v>
                </c:pt>
                <c:pt idx="129">
                  <c:v>89.72</c:v>
                </c:pt>
                <c:pt idx="130">
                  <c:v>90.77</c:v>
                </c:pt>
                <c:pt idx="131">
                  <c:v>92.14</c:v>
                </c:pt>
                <c:pt idx="132">
                  <c:v>90.77</c:v>
                </c:pt>
                <c:pt idx="133">
                  <c:v>90.77</c:v>
                </c:pt>
                <c:pt idx="134">
                  <c:v>89.2</c:v>
                </c:pt>
                <c:pt idx="135">
                  <c:v>89.93</c:v>
                </c:pt>
                <c:pt idx="136">
                  <c:v>90.46</c:v>
                </c:pt>
                <c:pt idx="137">
                  <c:v>90.04</c:v>
                </c:pt>
                <c:pt idx="138">
                  <c:v>89.72</c:v>
                </c:pt>
                <c:pt idx="139">
                  <c:v>89.62</c:v>
                </c:pt>
                <c:pt idx="140">
                  <c:v>88.99</c:v>
                </c:pt>
                <c:pt idx="141">
                  <c:v>89.62</c:v>
                </c:pt>
                <c:pt idx="142">
                  <c:v>89.09</c:v>
                </c:pt>
                <c:pt idx="143">
                  <c:v>85.41</c:v>
                </c:pt>
                <c:pt idx="144">
                  <c:v>83.21</c:v>
                </c:pt>
                <c:pt idx="145">
                  <c:v>85.62</c:v>
                </c:pt>
                <c:pt idx="146">
                  <c:v>87.41</c:v>
                </c:pt>
                <c:pt idx="147">
                  <c:v>87.62</c:v>
                </c:pt>
                <c:pt idx="148">
                  <c:v>89.3</c:v>
                </c:pt>
                <c:pt idx="149">
                  <c:v>89.3</c:v>
                </c:pt>
                <c:pt idx="150">
                  <c:v>89.51</c:v>
                </c:pt>
                <c:pt idx="151">
                  <c:v>85.83</c:v>
                </c:pt>
                <c:pt idx="152">
                  <c:v>86.05</c:v>
                </c:pt>
                <c:pt idx="153">
                  <c:v>84.05</c:v>
                </c:pt>
                <c:pt idx="154">
                  <c:v>83.94</c:v>
                </c:pt>
                <c:pt idx="155">
                  <c:v>81.42</c:v>
                </c:pt>
                <c:pt idx="156">
                  <c:v>80.900000000000006</c:v>
                </c:pt>
                <c:pt idx="157">
                  <c:v>81.53</c:v>
                </c:pt>
                <c:pt idx="158">
                  <c:v>79.849999999999994</c:v>
                </c:pt>
                <c:pt idx="159">
                  <c:v>79.849999999999994</c:v>
                </c:pt>
                <c:pt idx="160">
                  <c:v>81</c:v>
                </c:pt>
                <c:pt idx="161">
                  <c:v>78.38</c:v>
                </c:pt>
                <c:pt idx="162">
                  <c:v>83.63</c:v>
                </c:pt>
                <c:pt idx="163">
                  <c:v>85.94</c:v>
                </c:pt>
                <c:pt idx="164">
                  <c:v>85.2</c:v>
                </c:pt>
                <c:pt idx="165">
                  <c:v>86.99</c:v>
                </c:pt>
                <c:pt idx="166">
                  <c:v>87.2</c:v>
                </c:pt>
                <c:pt idx="167">
                  <c:v>88.04</c:v>
                </c:pt>
                <c:pt idx="168">
                  <c:v>87.2</c:v>
                </c:pt>
                <c:pt idx="169">
                  <c:v>84.05</c:v>
                </c:pt>
                <c:pt idx="170">
                  <c:v>82.79</c:v>
                </c:pt>
                <c:pt idx="171">
                  <c:v>84.68</c:v>
                </c:pt>
                <c:pt idx="172">
                  <c:v>83.21</c:v>
                </c:pt>
                <c:pt idx="173">
                  <c:v>80.27</c:v>
                </c:pt>
                <c:pt idx="174">
                  <c:v>79.95</c:v>
                </c:pt>
                <c:pt idx="175">
                  <c:v>81.84</c:v>
                </c:pt>
                <c:pt idx="176">
                  <c:v>77.75</c:v>
                </c:pt>
                <c:pt idx="177">
                  <c:v>73.75</c:v>
                </c:pt>
                <c:pt idx="178">
                  <c:v>79.22</c:v>
                </c:pt>
                <c:pt idx="179">
                  <c:v>37.9</c:v>
                </c:pt>
                <c:pt idx="180">
                  <c:v>39.299999999999997</c:v>
                </c:pt>
                <c:pt idx="181">
                  <c:v>39.299999999999997</c:v>
                </c:pt>
                <c:pt idx="182">
                  <c:v>40.700000000000003</c:v>
                </c:pt>
                <c:pt idx="183">
                  <c:v>40.24</c:v>
                </c:pt>
                <c:pt idx="184">
                  <c:v>40.24</c:v>
                </c:pt>
                <c:pt idx="185">
                  <c:v>41.83</c:v>
                </c:pt>
                <c:pt idx="186">
                  <c:v>40.24</c:v>
                </c:pt>
                <c:pt idx="187">
                  <c:v>41.83</c:v>
                </c:pt>
                <c:pt idx="188">
                  <c:v>43.32</c:v>
                </c:pt>
                <c:pt idx="189">
                  <c:v>45.48</c:v>
                </c:pt>
                <c:pt idx="190">
                  <c:v>46.32</c:v>
                </c:pt>
                <c:pt idx="191">
                  <c:v>45.29</c:v>
                </c:pt>
                <c:pt idx="192">
                  <c:v>46.13</c:v>
                </c:pt>
                <c:pt idx="193">
                  <c:v>45.71</c:v>
                </c:pt>
                <c:pt idx="194">
                  <c:v>44.87</c:v>
                </c:pt>
                <c:pt idx="195">
                  <c:v>45.2</c:v>
                </c:pt>
                <c:pt idx="196">
                  <c:v>43.98</c:v>
                </c:pt>
                <c:pt idx="197">
                  <c:v>46.04</c:v>
                </c:pt>
                <c:pt idx="198">
                  <c:v>45.85</c:v>
                </c:pt>
                <c:pt idx="199">
                  <c:v>48.56</c:v>
                </c:pt>
                <c:pt idx="200">
                  <c:v>49.22</c:v>
                </c:pt>
                <c:pt idx="201">
                  <c:v>49.59</c:v>
                </c:pt>
                <c:pt idx="202">
                  <c:v>48.66</c:v>
                </c:pt>
                <c:pt idx="203">
                  <c:v>48.19</c:v>
                </c:pt>
                <c:pt idx="204">
                  <c:v>47.72</c:v>
                </c:pt>
                <c:pt idx="205">
                  <c:v>48.75</c:v>
                </c:pt>
                <c:pt idx="206">
                  <c:v>50.72</c:v>
                </c:pt>
                <c:pt idx="207">
                  <c:v>52.21</c:v>
                </c:pt>
                <c:pt idx="208">
                  <c:v>51.93</c:v>
                </c:pt>
                <c:pt idx="209">
                  <c:v>51.47</c:v>
                </c:pt>
                <c:pt idx="210">
                  <c:v>52.31</c:v>
                </c:pt>
                <c:pt idx="211">
                  <c:v>53.62</c:v>
                </c:pt>
                <c:pt idx="212">
                  <c:v>53.81</c:v>
                </c:pt>
                <c:pt idx="213">
                  <c:v>52.22</c:v>
                </c:pt>
                <c:pt idx="214">
                  <c:v>51</c:v>
                </c:pt>
                <c:pt idx="215">
                  <c:v>51.93</c:v>
                </c:pt>
                <c:pt idx="216">
                  <c:v>51.47</c:v>
                </c:pt>
                <c:pt idx="217">
                  <c:v>51.47</c:v>
                </c:pt>
                <c:pt idx="218">
                  <c:v>50.81</c:v>
                </c:pt>
                <c:pt idx="219">
                  <c:v>50.34</c:v>
                </c:pt>
                <c:pt idx="220">
                  <c:v>50.34</c:v>
                </c:pt>
                <c:pt idx="221">
                  <c:v>49.5</c:v>
                </c:pt>
                <c:pt idx="222">
                  <c:v>48.38</c:v>
                </c:pt>
                <c:pt idx="223">
                  <c:v>47.26</c:v>
                </c:pt>
                <c:pt idx="224">
                  <c:v>47.07</c:v>
                </c:pt>
                <c:pt idx="225">
                  <c:v>46.51</c:v>
                </c:pt>
                <c:pt idx="226">
                  <c:v>46.79</c:v>
                </c:pt>
                <c:pt idx="227">
                  <c:v>45.85</c:v>
                </c:pt>
                <c:pt idx="228">
                  <c:v>46.98</c:v>
                </c:pt>
                <c:pt idx="229">
                  <c:v>50.44</c:v>
                </c:pt>
                <c:pt idx="230">
                  <c:v>50.34</c:v>
                </c:pt>
                <c:pt idx="231">
                  <c:v>50.53</c:v>
                </c:pt>
                <c:pt idx="232">
                  <c:v>50.72</c:v>
                </c:pt>
                <c:pt idx="233">
                  <c:v>49.88</c:v>
                </c:pt>
                <c:pt idx="234">
                  <c:v>48.66</c:v>
                </c:pt>
                <c:pt idx="235">
                  <c:v>49.22</c:v>
                </c:pt>
                <c:pt idx="236">
                  <c:v>50.16</c:v>
                </c:pt>
                <c:pt idx="237">
                  <c:v>50.35</c:v>
                </c:pt>
                <c:pt idx="238">
                  <c:v>49.6</c:v>
                </c:pt>
                <c:pt idx="239">
                  <c:v>49.32</c:v>
                </c:pt>
                <c:pt idx="240">
                  <c:v>48.38</c:v>
                </c:pt>
                <c:pt idx="241">
                  <c:v>48.38</c:v>
                </c:pt>
                <c:pt idx="242">
                  <c:v>50.25</c:v>
                </c:pt>
                <c:pt idx="243">
                  <c:v>29.81</c:v>
                </c:pt>
                <c:pt idx="244">
                  <c:v>29.59</c:v>
                </c:pt>
                <c:pt idx="245">
                  <c:v>28.77</c:v>
                </c:pt>
                <c:pt idx="246">
                  <c:v>29.31</c:v>
                </c:pt>
                <c:pt idx="247">
                  <c:v>29.81</c:v>
                </c:pt>
                <c:pt idx="248">
                  <c:v>28.71</c:v>
                </c:pt>
                <c:pt idx="249">
                  <c:v>26.85</c:v>
                </c:pt>
                <c:pt idx="250">
                  <c:v>26.53</c:v>
                </c:pt>
                <c:pt idx="251">
                  <c:v>26.28</c:v>
                </c:pt>
                <c:pt idx="252">
                  <c:v>26.61</c:v>
                </c:pt>
                <c:pt idx="253">
                  <c:v>27.05</c:v>
                </c:pt>
                <c:pt idx="254">
                  <c:v>26.99</c:v>
                </c:pt>
                <c:pt idx="255">
                  <c:v>26.88</c:v>
                </c:pt>
                <c:pt idx="256">
                  <c:v>26.69</c:v>
                </c:pt>
                <c:pt idx="257">
                  <c:v>26.12</c:v>
                </c:pt>
                <c:pt idx="258">
                  <c:v>24.89</c:v>
                </c:pt>
                <c:pt idx="259">
                  <c:v>23.63</c:v>
                </c:pt>
                <c:pt idx="260">
                  <c:v>23.71</c:v>
                </c:pt>
                <c:pt idx="261">
                  <c:v>23.65</c:v>
                </c:pt>
                <c:pt idx="262">
                  <c:v>23.52</c:v>
                </c:pt>
                <c:pt idx="263">
                  <c:v>23.68</c:v>
                </c:pt>
                <c:pt idx="264">
                  <c:v>23.35</c:v>
                </c:pt>
                <c:pt idx="265">
                  <c:v>24.01</c:v>
                </c:pt>
                <c:pt idx="266">
                  <c:v>24.17</c:v>
                </c:pt>
                <c:pt idx="267">
                  <c:v>24.26</c:v>
                </c:pt>
                <c:pt idx="268">
                  <c:v>23.46</c:v>
                </c:pt>
                <c:pt idx="269">
                  <c:v>23.54</c:v>
                </c:pt>
                <c:pt idx="270">
                  <c:v>23.35</c:v>
                </c:pt>
                <c:pt idx="271">
                  <c:v>23.24</c:v>
                </c:pt>
                <c:pt idx="272">
                  <c:v>22.7</c:v>
                </c:pt>
                <c:pt idx="273">
                  <c:v>22.62</c:v>
                </c:pt>
                <c:pt idx="274">
                  <c:v>22.81</c:v>
                </c:pt>
                <c:pt idx="275">
                  <c:v>23</c:v>
                </c:pt>
                <c:pt idx="276">
                  <c:v>23.52</c:v>
                </c:pt>
                <c:pt idx="277">
                  <c:v>23.52</c:v>
                </c:pt>
                <c:pt idx="278">
                  <c:v>22.64</c:v>
                </c:pt>
                <c:pt idx="279">
                  <c:v>22.23</c:v>
                </c:pt>
                <c:pt idx="280">
                  <c:v>22.86</c:v>
                </c:pt>
                <c:pt idx="281">
                  <c:v>22.86</c:v>
                </c:pt>
                <c:pt idx="282">
                  <c:v>22.53</c:v>
                </c:pt>
                <c:pt idx="283">
                  <c:v>22.31</c:v>
                </c:pt>
                <c:pt idx="284">
                  <c:v>21.49</c:v>
                </c:pt>
                <c:pt idx="285">
                  <c:v>21.44</c:v>
                </c:pt>
                <c:pt idx="286">
                  <c:v>21.55</c:v>
                </c:pt>
                <c:pt idx="287">
                  <c:v>21.17</c:v>
                </c:pt>
                <c:pt idx="288">
                  <c:v>20.89</c:v>
                </c:pt>
                <c:pt idx="289">
                  <c:v>20.78</c:v>
                </c:pt>
                <c:pt idx="290">
                  <c:v>20.76</c:v>
                </c:pt>
                <c:pt idx="291">
                  <c:v>20.92</c:v>
                </c:pt>
                <c:pt idx="292">
                  <c:v>21.08</c:v>
                </c:pt>
                <c:pt idx="293">
                  <c:v>20.95</c:v>
                </c:pt>
                <c:pt idx="294">
                  <c:v>20.84</c:v>
                </c:pt>
                <c:pt idx="295">
                  <c:v>20.86</c:v>
                </c:pt>
                <c:pt idx="296">
                  <c:v>21.03</c:v>
                </c:pt>
                <c:pt idx="297">
                  <c:v>21.27</c:v>
                </c:pt>
                <c:pt idx="298">
                  <c:v>21.33</c:v>
                </c:pt>
                <c:pt idx="299">
                  <c:v>21.17</c:v>
                </c:pt>
                <c:pt idx="300">
                  <c:v>21.33</c:v>
                </c:pt>
                <c:pt idx="301">
                  <c:v>20.76</c:v>
                </c:pt>
                <c:pt idx="302">
                  <c:v>20.7</c:v>
                </c:pt>
                <c:pt idx="303">
                  <c:v>20.67</c:v>
                </c:pt>
                <c:pt idx="304">
                  <c:v>20.73</c:v>
                </c:pt>
                <c:pt idx="305">
                  <c:v>14</c:v>
                </c:pt>
                <c:pt idx="306">
                  <c:v>13.8</c:v>
                </c:pt>
                <c:pt idx="307">
                  <c:v>13.71</c:v>
                </c:pt>
                <c:pt idx="308">
                  <c:v>13.46</c:v>
                </c:pt>
                <c:pt idx="309">
                  <c:v>13.71</c:v>
                </c:pt>
                <c:pt idx="310">
                  <c:v>14.03</c:v>
                </c:pt>
                <c:pt idx="311">
                  <c:v>14.43</c:v>
                </c:pt>
                <c:pt idx="312">
                  <c:v>14.46</c:v>
                </c:pt>
                <c:pt idx="313">
                  <c:v>14.26</c:v>
                </c:pt>
                <c:pt idx="314">
                  <c:v>14.23</c:v>
                </c:pt>
                <c:pt idx="315">
                  <c:v>14.28</c:v>
                </c:pt>
                <c:pt idx="316">
                  <c:v>14.66</c:v>
                </c:pt>
                <c:pt idx="317">
                  <c:v>14.55</c:v>
                </c:pt>
                <c:pt idx="318">
                  <c:v>14.53</c:v>
                </c:pt>
                <c:pt idx="319">
                  <c:v>14.64</c:v>
                </c:pt>
                <c:pt idx="320">
                  <c:v>13.93</c:v>
                </c:pt>
                <c:pt idx="321">
                  <c:v>13.96</c:v>
                </c:pt>
                <c:pt idx="322">
                  <c:v>14.19</c:v>
                </c:pt>
                <c:pt idx="323">
                  <c:v>14.21</c:v>
                </c:pt>
                <c:pt idx="324">
                  <c:v>13.93</c:v>
                </c:pt>
                <c:pt idx="325">
                  <c:v>13.76</c:v>
                </c:pt>
                <c:pt idx="326">
                  <c:v>13.78</c:v>
                </c:pt>
                <c:pt idx="327">
                  <c:v>13.82</c:v>
                </c:pt>
                <c:pt idx="328">
                  <c:v>13.96</c:v>
                </c:pt>
                <c:pt idx="329">
                  <c:v>13.6</c:v>
                </c:pt>
                <c:pt idx="330">
                  <c:v>13.55</c:v>
                </c:pt>
                <c:pt idx="331">
                  <c:v>13.5</c:v>
                </c:pt>
                <c:pt idx="332">
                  <c:v>13.55</c:v>
                </c:pt>
                <c:pt idx="333">
                  <c:v>13.75</c:v>
                </c:pt>
                <c:pt idx="334">
                  <c:v>13.6</c:v>
                </c:pt>
                <c:pt idx="335">
                  <c:v>14.07</c:v>
                </c:pt>
                <c:pt idx="336">
                  <c:v>14.07</c:v>
                </c:pt>
                <c:pt idx="337">
                  <c:v>14.28</c:v>
                </c:pt>
                <c:pt idx="338">
                  <c:v>13.78</c:v>
                </c:pt>
                <c:pt idx="339">
                  <c:v>14.07</c:v>
                </c:pt>
                <c:pt idx="340">
                  <c:v>14.19</c:v>
                </c:pt>
                <c:pt idx="341">
                  <c:v>14.28</c:v>
                </c:pt>
                <c:pt idx="342">
                  <c:v>14.07</c:v>
                </c:pt>
                <c:pt idx="343">
                  <c:v>14.18</c:v>
                </c:pt>
                <c:pt idx="344">
                  <c:v>14.07</c:v>
                </c:pt>
                <c:pt idx="345">
                  <c:v>14.07</c:v>
                </c:pt>
                <c:pt idx="346">
                  <c:v>14.39</c:v>
                </c:pt>
                <c:pt idx="347">
                  <c:v>14.57</c:v>
                </c:pt>
                <c:pt idx="348">
                  <c:v>14.28</c:v>
                </c:pt>
                <c:pt idx="349">
                  <c:v>14.46</c:v>
                </c:pt>
                <c:pt idx="350">
                  <c:v>15.03</c:v>
                </c:pt>
                <c:pt idx="351">
                  <c:v>15.35</c:v>
                </c:pt>
                <c:pt idx="352">
                  <c:v>15.35</c:v>
                </c:pt>
                <c:pt idx="353">
                  <c:v>15.89</c:v>
                </c:pt>
                <c:pt idx="354">
                  <c:v>15.82</c:v>
                </c:pt>
                <c:pt idx="355">
                  <c:v>15.44</c:v>
                </c:pt>
                <c:pt idx="356">
                  <c:v>15.46</c:v>
                </c:pt>
                <c:pt idx="357">
                  <c:v>15.26</c:v>
                </c:pt>
                <c:pt idx="358">
                  <c:v>15.18</c:v>
                </c:pt>
                <c:pt idx="359">
                  <c:v>15.18</c:v>
                </c:pt>
                <c:pt idx="360">
                  <c:v>15.03</c:v>
                </c:pt>
                <c:pt idx="361">
                  <c:v>15.71</c:v>
                </c:pt>
                <c:pt idx="362">
                  <c:v>15.89</c:v>
                </c:pt>
                <c:pt idx="363">
                  <c:v>16.32</c:v>
                </c:pt>
                <c:pt idx="364">
                  <c:v>16.84</c:v>
                </c:pt>
                <c:pt idx="365">
                  <c:v>17.07</c:v>
                </c:pt>
                <c:pt idx="366">
                  <c:v>17.82</c:v>
                </c:pt>
                <c:pt idx="367">
                  <c:v>16.82</c:v>
                </c:pt>
                <c:pt idx="368">
                  <c:v>16.600000000000001</c:v>
                </c:pt>
                <c:pt idx="369">
                  <c:v>13.41</c:v>
                </c:pt>
                <c:pt idx="370">
                  <c:v>13.32</c:v>
                </c:pt>
                <c:pt idx="371">
                  <c:v>13.24</c:v>
                </c:pt>
                <c:pt idx="372">
                  <c:v>13.05</c:v>
                </c:pt>
                <c:pt idx="373">
                  <c:v>12.5</c:v>
                </c:pt>
                <c:pt idx="374">
                  <c:v>12.16</c:v>
                </c:pt>
                <c:pt idx="375">
                  <c:v>12.21</c:v>
                </c:pt>
                <c:pt idx="376">
                  <c:v>12.22</c:v>
                </c:pt>
                <c:pt idx="377">
                  <c:v>12.35</c:v>
                </c:pt>
                <c:pt idx="378">
                  <c:v>12.25</c:v>
                </c:pt>
                <c:pt idx="379">
                  <c:v>12.19</c:v>
                </c:pt>
                <c:pt idx="380">
                  <c:v>12.53</c:v>
                </c:pt>
                <c:pt idx="381">
                  <c:v>12.66</c:v>
                </c:pt>
                <c:pt idx="382">
                  <c:v>12.63</c:v>
                </c:pt>
                <c:pt idx="383">
                  <c:v>12.76</c:v>
                </c:pt>
                <c:pt idx="384">
                  <c:v>12.45</c:v>
                </c:pt>
                <c:pt idx="385">
                  <c:v>12.45</c:v>
                </c:pt>
                <c:pt idx="386">
                  <c:v>12.48</c:v>
                </c:pt>
                <c:pt idx="387">
                  <c:v>12.71</c:v>
                </c:pt>
                <c:pt idx="388">
                  <c:v>12.37</c:v>
                </c:pt>
                <c:pt idx="389">
                  <c:v>13.29</c:v>
                </c:pt>
                <c:pt idx="390">
                  <c:v>13.5</c:v>
                </c:pt>
                <c:pt idx="391">
                  <c:v>13.47</c:v>
                </c:pt>
                <c:pt idx="392">
                  <c:v>13.5</c:v>
                </c:pt>
                <c:pt idx="393">
                  <c:v>13.69</c:v>
                </c:pt>
                <c:pt idx="394">
                  <c:v>13.89</c:v>
                </c:pt>
                <c:pt idx="395">
                  <c:v>13.64</c:v>
                </c:pt>
                <c:pt idx="396">
                  <c:v>13.48</c:v>
                </c:pt>
                <c:pt idx="397">
                  <c:v>13.47</c:v>
                </c:pt>
                <c:pt idx="398">
                  <c:v>13.32</c:v>
                </c:pt>
                <c:pt idx="399">
                  <c:v>13.41</c:v>
                </c:pt>
                <c:pt idx="400">
                  <c:v>13.35</c:v>
                </c:pt>
                <c:pt idx="401">
                  <c:v>13.02</c:v>
                </c:pt>
                <c:pt idx="402">
                  <c:v>12.87</c:v>
                </c:pt>
                <c:pt idx="403">
                  <c:v>13.82</c:v>
                </c:pt>
                <c:pt idx="404">
                  <c:v>13.64</c:v>
                </c:pt>
                <c:pt idx="405">
                  <c:v>12.79</c:v>
                </c:pt>
                <c:pt idx="406">
                  <c:v>12.8</c:v>
                </c:pt>
                <c:pt idx="407">
                  <c:v>12.42</c:v>
                </c:pt>
                <c:pt idx="408">
                  <c:v>11.65</c:v>
                </c:pt>
                <c:pt idx="409">
                  <c:v>10.97</c:v>
                </c:pt>
                <c:pt idx="410">
                  <c:v>10.94</c:v>
                </c:pt>
                <c:pt idx="411">
                  <c:v>11.76</c:v>
                </c:pt>
                <c:pt idx="412">
                  <c:v>11.67</c:v>
                </c:pt>
                <c:pt idx="413">
                  <c:v>11.8</c:v>
                </c:pt>
                <c:pt idx="414">
                  <c:v>12.16</c:v>
                </c:pt>
                <c:pt idx="415">
                  <c:v>12.05</c:v>
                </c:pt>
                <c:pt idx="416">
                  <c:v>11.67</c:v>
                </c:pt>
                <c:pt idx="417">
                  <c:v>10.92</c:v>
                </c:pt>
                <c:pt idx="418">
                  <c:v>11.72</c:v>
                </c:pt>
                <c:pt idx="419">
                  <c:v>12.4</c:v>
                </c:pt>
                <c:pt idx="420">
                  <c:v>12.21</c:v>
                </c:pt>
                <c:pt idx="421">
                  <c:v>13.12</c:v>
                </c:pt>
                <c:pt idx="422">
                  <c:v>12.86</c:v>
                </c:pt>
                <c:pt idx="423">
                  <c:v>12.36</c:v>
                </c:pt>
                <c:pt idx="424">
                  <c:v>13.28</c:v>
                </c:pt>
                <c:pt idx="425">
                  <c:v>14.28</c:v>
                </c:pt>
                <c:pt idx="426">
                  <c:v>13.84</c:v>
                </c:pt>
                <c:pt idx="427">
                  <c:v>14.45</c:v>
                </c:pt>
                <c:pt idx="428">
                  <c:v>14.88</c:v>
                </c:pt>
                <c:pt idx="429">
                  <c:v>15.66</c:v>
                </c:pt>
                <c:pt idx="430">
                  <c:v>15.69</c:v>
                </c:pt>
                <c:pt idx="431">
                  <c:v>15.28</c:v>
                </c:pt>
                <c:pt idx="432">
                  <c:v>15.31</c:v>
                </c:pt>
                <c:pt idx="433">
                  <c:v>14.9</c:v>
                </c:pt>
                <c:pt idx="434">
                  <c:v>16.02</c:v>
                </c:pt>
                <c:pt idx="435">
                  <c:v>17.2</c:v>
                </c:pt>
                <c:pt idx="436">
                  <c:v>17.37</c:v>
                </c:pt>
                <c:pt idx="437">
                  <c:v>17.37</c:v>
                </c:pt>
                <c:pt idx="438">
                  <c:v>17.34</c:v>
                </c:pt>
                <c:pt idx="439">
                  <c:v>17.64</c:v>
                </c:pt>
                <c:pt idx="440">
                  <c:v>16.96</c:v>
                </c:pt>
                <c:pt idx="441">
                  <c:v>16.93</c:v>
                </c:pt>
                <c:pt idx="442">
                  <c:v>16.309999999999999</c:v>
                </c:pt>
                <c:pt idx="443">
                  <c:v>16.809999999999999</c:v>
                </c:pt>
                <c:pt idx="444">
                  <c:v>15.9</c:v>
                </c:pt>
                <c:pt idx="445">
                  <c:v>17.079999999999998</c:v>
                </c:pt>
                <c:pt idx="446">
                  <c:v>18.309999999999999</c:v>
                </c:pt>
                <c:pt idx="447">
                  <c:v>17.96</c:v>
                </c:pt>
                <c:pt idx="448">
                  <c:v>17.55</c:v>
                </c:pt>
                <c:pt idx="449">
                  <c:v>18.84</c:v>
                </c:pt>
                <c:pt idx="450">
                  <c:v>18.84</c:v>
                </c:pt>
                <c:pt idx="451">
                  <c:v>19.14</c:v>
                </c:pt>
                <c:pt idx="452">
                  <c:v>19.760000000000002</c:v>
                </c:pt>
                <c:pt idx="453">
                  <c:v>20.02</c:v>
                </c:pt>
                <c:pt idx="454">
                  <c:v>20.440000000000001</c:v>
                </c:pt>
                <c:pt idx="455">
                  <c:v>20.64</c:v>
                </c:pt>
                <c:pt idx="456">
                  <c:v>20.61</c:v>
                </c:pt>
                <c:pt idx="457">
                  <c:v>21.11</c:v>
                </c:pt>
                <c:pt idx="458">
                  <c:v>20.76</c:v>
                </c:pt>
                <c:pt idx="459">
                  <c:v>21.2</c:v>
                </c:pt>
                <c:pt idx="460">
                  <c:v>21.76</c:v>
                </c:pt>
                <c:pt idx="461">
                  <c:v>21.7</c:v>
                </c:pt>
                <c:pt idx="462">
                  <c:v>21.82</c:v>
                </c:pt>
                <c:pt idx="463">
                  <c:v>21.79</c:v>
                </c:pt>
                <c:pt idx="464">
                  <c:v>21.2</c:v>
                </c:pt>
                <c:pt idx="465">
                  <c:v>21.06</c:v>
                </c:pt>
                <c:pt idx="466">
                  <c:v>20.82</c:v>
                </c:pt>
                <c:pt idx="467">
                  <c:v>21.47</c:v>
                </c:pt>
                <c:pt idx="468">
                  <c:v>21.35</c:v>
                </c:pt>
                <c:pt idx="469">
                  <c:v>21.79</c:v>
                </c:pt>
                <c:pt idx="470">
                  <c:v>21.59</c:v>
                </c:pt>
                <c:pt idx="471">
                  <c:v>21.79</c:v>
                </c:pt>
                <c:pt idx="472">
                  <c:v>21.26</c:v>
                </c:pt>
                <c:pt idx="473">
                  <c:v>20.14</c:v>
                </c:pt>
                <c:pt idx="474">
                  <c:v>19.670000000000002</c:v>
                </c:pt>
                <c:pt idx="475">
                  <c:v>19.7</c:v>
                </c:pt>
                <c:pt idx="476">
                  <c:v>19.579999999999998</c:v>
                </c:pt>
                <c:pt idx="477">
                  <c:v>18.88</c:v>
                </c:pt>
                <c:pt idx="478">
                  <c:v>18.989999999999998</c:v>
                </c:pt>
                <c:pt idx="479">
                  <c:v>19.14</c:v>
                </c:pt>
                <c:pt idx="480">
                  <c:v>19.440000000000001</c:v>
                </c:pt>
                <c:pt idx="481">
                  <c:v>19.14</c:v>
                </c:pt>
                <c:pt idx="482">
                  <c:v>18.55</c:v>
                </c:pt>
                <c:pt idx="483">
                  <c:v>18.55</c:v>
                </c:pt>
                <c:pt idx="484">
                  <c:v>18.73</c:v>
                </c:pt>
                <c:pt idx="485">
                  <c:v>18.64</c:v>
                </c:pt>
                <c:pt idx="486">
                  <c:v>18.52</c:v>
                </c:pt>
                <c:pt idx="487">
                  <c:v>18.46</c:v>
                </c:pt>
                <c:pt idx="488">
                  <c:v>18.46</c:v>
                </c:pt>
                <c:pt idx="489">
                  <c:v>18.2</c:v>
                </c:pt>
                <c:pt idx="490">
                  <c:v>18.260000000000002</c:v>
                </c:pt>
                <c:pt idx="491">
                  <c:v>18.05</c:v>
                </c:pt>
                <c:pt idx="492">
                  <c:v>17.68</c:v>
                </c:pt>
                <c:pt idx="493">
                  <c:v>17.97</c:v>
                </c:pt>
                <c:pt idx="494">
                  <c:v>18</c:v>
                </c:pt>
                <c:pt idx="495">
                  <c:v>18.260000000000002</c:v>
                </c:pt>
                <c:pt idx="496">
                  <c:v>18.350000000000001</c:v>
                </c:pt>
                <c:pt idx="497">
                  <c:v>18.690000000000001</c:v>
                </c:pt>
                <c:pt idx="498">
                  <c:v>18.579999999999998</c:v>
                </c:pt>
                <c:pt idx="499">
                  <c:v>17.739999999999998</c:v>
                </c:pt>
                <c:pt idx="500">
                  <c:v>17.39</c:v>
                </c:pt>
                <c:pt idx="501">
                  <c:v>17.68</c:v>
                </c:pt>
                <c:pt idx="502">
                  <c:v>17.82</c:v>
                </c:pt>
                <c:pt idx="503">
                  <c:v>18.14</c:v>
                </c:pt>
                <c:pt idx="504">
                  <c:v>18.43</c:v>
                </c:pt>
                <c:pt idx="505">
                  <c:v>18.66</c:v>
                </c:pt>
                <c:pt idx="506">
                  <c:v>18.690000000000001</c:v>
                </c:pt>
                <c:pt idx="507">
                  <c:v>18.829999999999998</c:v>
                </c:pt>
                <c:pt idx="508">
                  <c:v>18.54</c:v>
                </c:pt>
                <c:pt idx="509">
                  <c:v>18.54</c:v>
                </c:pt>
                <c:pt idx="510">
                  <c:v>18.97</c:v>
                </c:pt>
                <c:pt idx="511">
                  <c:v>19.64</c:v>
                </c:pt>
                <c:pt idx="512">
                  <c:v>20.36</c:v>
                </c:pt>
                <c:pt idx="513">
                  <c:v>20.71</c:v>
                </c:pt>
                <c:pt idx="514">
                  <c:v>21.14</c:v>
                </c:pt>
                <c:pt idx="515">
                  <c:v>21.08</c:v>
                </c:pt>
                <c:pt idx="516">
                  <c:v>20.7</c:v>
                </c:pt>
                <c:pt idx="517">
                  <c:v>20.82</c:v>
                </c:pt>
                <c:pt idx="518">
                  <c:v>20.99</c:v>
                </c:pt>
                <c:pt idx="519">
                  <c:v>20.21</c:v>
                </c:pt>
                <c:pt idx="520">
                  <c:v>21.28</c:v>
                </c:pt>
                <c:pt idx="521">
                  <c:v>21.39</c:v>
                </c:pt>
                <c:pt idx="522">
                  <c:v>22.49</c:v>
                </c:pt>
                <c:pt idx="523">
                  <c:v>22.87</c:v>
                </c:pt>
                <c:pt idx="524">
                  <c:v>21.15</c:v>
                </c:pt>
                <c:pt idx="525">
                  <c:v>20.55</c:v>
                </c:pt>
                <c:pt idx="526">
                  <c:v>20.05</c:v>
                </c:pt>
                <c:pt idx="527">
                  <c:v>21.48</c:v>
                </c:pt>
                <c:pt idx="528">
                  <c:v>21.87</c:v>
                </c:pt>
                <c:pt idx="529">
                  <c:v>21.96</c:v>
                </c:pt>
                <c:pt idx="530">
                  <c:v>21.9</c:v>
                </c:pt>
                <c:pt idx="531">
                  <c:v>22.14</c:v>
                </c:pt>
                <c:pt idx="532">
                  <c:v>21.92</c:v>
                </c:pt>
                <c:pt idx="533">
                  <c:v>21.13</c:v>
                </c:pt>
                <c:pt idx="534">
                  <c:v>20.82</c:v>
                </c:pt>
                <c:pt idx="535">
                  <c:v>20.73</c:v>
                </c:pt>
                <c:pt idx="536">
                  <c:v>20.77</c:v>
                </c:pt>
                <c:pt idx="537">
                  <c:v>20.98</c:v>
                </c:pt>
                <c:pt idx="538">
                  <c:v>19.88</c:v>
                </c:pt>
                <c:pt idx="539">
                  <c:v>19.88</c:v>
                </c:pt>
                <c:pt idx="540">
                  <c:v>19.02</c:v>
                </c:pt>
                <c:pt idx="541">
                  <c:v>18.71</c:v>
                </c:pt>
                <c:pt idx="542">
                  <c:v>19.16</c:v>
                </c:pt>
                <c:pt idx="543">
                  <c:v>19.010000000000002</c:v>
                </c:pt>
                <c:pt idx="544">
                  <c:v>19.079999999999998</c:v>
                </c:pt>
                <c:pt idx="545">
                  <c:v>18.809999999999999</c:v>
                </c:pt>
                <c:pt idx="546">
                  <c:v>17.579999999999998</c:v>
                </c:pt>
                <c:pt idx="547">
                  <c:v>17.88</c:v>
                </c:pt>
                <c:pt idx="548">
                  <c:v>19.2</c:v>
                </c:pt>
                <c:pt idx="549">
                  <c:v>20.149999999999999</c:v>
                </c:pt>
                <c:pt idx="550">
                  <c:v>20.02</c:v>
                </c:pt>
                <c:pt idx="551">
                  <c:v>19.489999999999998</c:v>
                </c:pt>
                <c:pt idx="552">
                  <c:v>20.94</c:v>
                </c:pt>
                <c:pt idx="553">
                  <c:v>21.34</c:v>
                </c:pt>
                <c:pt idx="554">
                  <c:v>21.3</c:v>
                </c:pt>
                <c:pt idx="555">
                  <c:v>21.7</c:v>
                </c:pt>
                <c:pt idx="556">
                  <c:v>21.08</c:v>
                </c:pt>
                <c:pt idx="557">
                  <c:v>21.4</c:v>
                </c:pt>
                <c:pt idx="558">
                  <c:v>21.63</c:v>
                </c:pt>
                <c:pt idx="559">
                  <c:v>21.06</c:v>
                </c:pt>
                <c:pt idx="560">
                  <c:v>22.64</c:v>
                </c:pt>
                <c:pt idx="561">
                  <c:v>22.6</c:v>
                </c:pt>
                <c:pt idx="562">
                  <c:v>22.67</c:v>
                </c:pt>
                <c:pt idx="563">
                  <c:v>22.67</c:v>
                </c:pt>
                <c:pt idx="564">
                  <c:v>23.32</c:v>
                </c:pt>
                <c:pt idx="565">
                  <c:v>23.27</c:v>
                </c:pt>
                <c:pt idx="566">
                  <c:v>23.17</c:v>
                </c:pt>
                <c:pt idx="567">
                  <c:v>22.69</c:v>
                </c:pt>
                <c:pt idx="568">
                  <c:v>22.18</c:v>
                </c:pt>
                <c:pt idx="569">
                  <c:v>21.78</c:v>
                </c:pt>
                <c:pt idx="570">
                  <c:v>22.5</c:v>
                </c:pt>
                <c:pt idx="571">
                  <c:v>23.05</c:v>
                </c:pt>
                <c:pt idx="572">
                  <c:v>22.53</c:v>
                </c:pt>
                <c:pt idx="573">
                  <c:v>22.5</c:v>
                </c:pt>
                <c:pt idx="574">
                  <c:v>22.64</c:v>
                </c:pt>
                <c:pt idx="575">
                  <c:v>21.15</c:v>
                </c:pt>
                <c:pt idx="576">
                  <c:v>20.95</c:v>
                </c:pt>
                <c:pt idx="577">
                  <c:v>21.25</c:v>
                </c:pt>
                <c:pt idx="578">
                  <c:v>20.89</c:v>
                </c:pt>
                <c:pt idx="579">
                  <c:v>20.149999999999999</c:v>
                </c:pt>
                <c:pt idx="580">
                  <c:v>19.440000000000001</c:v>
                </c:pt>
                <c:pt idx="581">
                  <c:v>19.579999999999998</c:v>
                </c:pt>
                <c:pt idx="582">
                  <c:v>19.61</c:v>
                </c:pt>
                <c:pt idx="583">
                  <c:v>19.57</c:v>
                </c:pt>
                <c:pt idx="584">
                  <c:v>19.09</c:v>
                </c:pt>
                <c:pt idx="585">
                  <c:v>18.97</c:v>
                </c:pt>
                <c:pt idx="586">
                  <c:v>19.059999999999999</c:v>
                </c:pt>
                <c:pt idx="587">
                  <c:v>19.059999999999999</c:v>
                </c:pt>
                <c:pt idx="588">
                  <c:v>19.100000000000001</c:v>
                </c:pt>
                <c:pt idx="589">
                  <c:v>19.29</c:v>
                </c:pt>
                <c:pt idx="590">
                  <c:v>19.36</c:v>
                </c:pt>
                <c:pt idx="591">
                  <c:v>19.41</c:v>
                </c:pt>
                <c:pt idx="592">
                  <c:v>19.46</c:v>
                </c:pt>
                <c:pt idx="593">
                  <c:v>19.46</c:v>
                </c:pt>
                <c:pt idx="594">
                  <c:v>19.7</c:v>
                </c:pt>
                <c:pt idx="595">
                  <c:v>19.8</c:v>
                </c:pt>
                <c:pt idx="596">
                  <c:v>19.510000000000002</c:v>
                </c:pt>
                <c:pt idx="597">
                  <c:v>19.73</c:v>
                </c:pt>
                <c:pt idx="598">
                  <c:v>19.73</c:v>
                </c:pt>
                <c:pt idx="599">
                  <c:v>19.96</c:v>
                </c:pt>
                <c:pt idx="600">
                  <c:v>19.84</c:v>
                </c:pt>
                <c:pt idx="601">
                  <c:v>19.989999999999998</c:v>
                </c:pt>
                <c:pt idx="602">
                  <c:v>19.97</c:v>
                </c:pt>
                <c:pt idx="603">
                  <c:v>19.420000000000002</c:v>
                </c:pt>
                <c:pt idx="604">
                  <c:v>19.440000000000001</c:v>
                </c:pt>
                <c:pt idx="605">
                  <c:v>19.510000000000002</c:v>
                </c:pt>
                <c:pt idx="606">
                  <c:v>19.28</c:v>
                </c:pt>
                <c:pt idx="607">
                  <c:v>19.329999999999998</c:v>
                </c:pt>
                <c:pt idx="608">
                  <c:v>19.149999999999999</c:v>
                </c:pt>
                <c:pt idx="609">
                  <c:v>19.62</c:v>
                </c:pt>
                <c:pt idx="610">
                  <c:v>19.77</c:v>
                </c:pt>
                <c:pt idx="611">
                  <c:v>19.87</c:v>
                </c:pt>
                <c:pt idx="612">
                  <c:v>19.77</c:v>
                </c:pt>
                <c:pt idx="613">
                  <c:v>19.420000000000002</c:v>
                </c:pt>
                <c:pt idx="614">
                  <c:v>19.22</c:v>
                </c:pt>
                <c:pt idx="615">
                  <c:v>21.66</c:v>
                </c:pt>
                <c:pt idx="616">
                  <c:v>21.73</c:v>
                </c:pt>
                <c:pt idx="617">
                  <c:v>21.58</c:v>
                </c:pt>
                <c:pt idx="618">
                  <c:v>21.4</c:v>
                </c:pt>
                <c:pt idx="619">
                  <c:v>21.94</c:v>
                </c:pt>
                <c:pt idx="620">
                  <c:v>22.07</c:v>
                </c:pt>
                <c:pt idx="621">
                  <c:v>21.99</c:v>
                </c:pt>
                <c:pt idx="622">
                  <c:v>21.43</c:v>
                </c:pt>
                <c:pt idx="623">
                  <c:v>21.41</c:v>
                </c:pt>
                <c:pt idx="624">
                  <c:v>22.07</c:v>
                </c:pt>
                <c:pt idx="625">
                  <c:v>22.32</c:v>
                </c:pt>
                <c:pt idx="626">
                  <c:v>22.4</c:v>
                </c:pt>
                <c:pt idx="627">
                  <c:v>21.71</c:v>
                </c:pt>
                <c:pt idx="628">
                  <c:v>21.91</c:v>
                </c:pt>
                <c:pt idx="629">
                  <c:v>22.32</c:v>
                </c:pt>
                <c:pt idx="630">
                  <c:v>22.65</c:v>
                </c:pt>
                <c:pt idx="631">
                  <c:v>22.58</c:v>
                </c:pt>
                <c:pt idx="632">
                  <c:v>22.7</c:v>
                </c:pt>
              </c:numCache>
            </c:numRef>
          </c:val>
          <c:smooth val="1"/>
          <c:extLst>
            <c:ext xmlns:c16="http://schemas.microsoft.com/office/drawing/2014/chart" uri="{C3380CC4-5D6E-409C-BE32-E72D297353CC}">
              <c16:uniqueId val="{00000002-803C-498E-ADFB-7ED48B450286}"/>
            </c:ext>
          </c:extLst>
        </c:ser>
        <c:ser>
          <c:idx val="3"/>
          <c:order val="3"/>
          <c:tx>
            <c:strRef>
              <c:f>Diamond!$AC$2</c:f>
              <c:strCache>
                <c:ptCount val="1"/>
                <c:pt idx="0">
                  <c:v>PE fw 2024</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dPt>
            <c:idx val="46"/>
            <c:marker>
              <c:symbol val="circle"/>
              <c:size val="5"/>
              <c:spPr>
                <a:solidFill>
                  <a:schemeClr val="accent4"/>
                </a:solidFill>
                <a:ln w="9525">
                  <a:solidFill>
                    <a:schemeClr val="accent1"/>
                  </a:solidFill>
                </a:ln>
                <a:effectLst/>
              </c:spPr>
            </c:marker>
            <c:bubble3D val="0"/>
            <c:spPr>
              <a:ln w="28575" cap="rnd">
                <a:solidFill>
                  <a:schemeClr val="accent1"/>
                </a:solidFill>
                <a:round/>
              </a:ln>
              <a:effectLst/>
            </c:spPr>
            <c:extLst>
              <c:ext xmlns:c16="http://schemas.microsoft.com/office/drawing/2014/chart" uri="{C3380CC4-5D6E-409C-BE32-E72D297353CC}">
                <c16:uniqueId val="{00000001-D601-46FA-8D2E-1FEBA0924361}"/>
              </c:ext>
            </c:extLst>
          </c:dPt>
          <c:cat>
            <c:numRef>
              <c:f>Diamond!$Y$3:$Y$635</c:f>
              <c:numCache>
                <c:formatCode>m/d/yy</c:formatCode>
                <c:ptCount val="633"/>
                <c:pt idx="0">
                  <c:v>45869</c:v>
                </c:pt>
                <c:pt idx="11">
                  <c:v>45657</c:v>
                </c:pt>
                <c:pt idx="53">
                  <c:v>45407</c:v>
                </c:pt>
                <c:pt idx="54">
                  <c:v>45406</c:v>
                </c:pt>
                <c:pt idx="55">
                  <c:v>45415</c:v>
                </c:pt>
                <c:pt idx="56">
                  <c:v>45414</c:v>
                </c:pt>
                <c:pt idx="57">
                  <c:v>45408</c:v>
                </c:pt>
                <c:pt idx="58">
                  <c:v>45407</c:v>
                </c:pt>
                <c:pt idx="59">
                  <c:v>45406</c:v>
                </c:pt>
                <c:pt idx="60">
                  <c:v>45405</c:v>
                </c:pt>
                <c:pt idx="61">
                  <c:v>45404</c:v>
                </c:pt>
                <c:pt idx="62">
                  <c:v>45401</c:v>
                </c:pt>
                <c:pt idx="63">
                  <c:v>45399</c:v>
                </c:pt>
                <c:pt idx="64">
                  <c:v>45398</c:v>
                </c:pt>
                <c:pt idx="65">
                  <c:v>45397</c:v>
                </c:pt>
                <c:pt idx="66">
                  <c:v>45394</c:v>
                </c:pt>
                <c:pt idx="67">
                  <c:v>45393</c:v>
                </c:pt>
                <c:pt idx="68">
                  <c:v>45392</c:v>
                </c:pt>
                <c:pt idx="69">
                  <c:v>45391</c:v>
                </c:pt>
                <c:pt idx="70">
                  <c:v>45390</c:v>
                </c:pt>
                <c:pt idx="71">
                  <c:v>45387</c:v>
                </c:pt>
                <c:pt idx="72">
                  <c:v>45386</c:v>
                </c:pt>
                <c:pt idx="73">
                  <c:v>45385</c:v>
                </c:pt>
                <c:pt idx="74">
                  <c:v>45384</c:v>
                </c:pt>
                <c:pt idx="75">
                  <c:v>45383</c:v>
                </c:pt>
                <c:pt idx="76">
                  <c:v>45380</c:v>
                </c:pt>
                <c:pt idx="77">
                  <c:v>45379</c:v>
                </c:pt>
                <c:pt idx="78">
                  <c:v>45378</c:v>
                </c:pt>
                <c:pt idx="79">
                  <c:v>45377</c:v>
                </c:pt>
                <c:pt idx="80">
                  <c:v>45376</c:v>
                </c:pt>
                <c:pt idx="81">
                  <c:v>45373</c:v>
                </c:pt>
                <c:pt idx="82">
                  <c:v>45372</c:v>
                </c:pt>
                <c:pt idx="83">
                  <c:v>45371</c:v>
                </c:pt>
                <c:pt idx="84">
                  <c:v>45370</c:v>
                </c:pt>
                <c:pt idx="85">
                  <c:v>45369</c:v>
                </c:pt>
                <c:pt idx="86">
                  <c:v>45366</c:v>
                </c:pt>
                <c:pt idx="87">
                  <c:v>45365</c:v>
                </c:pt>
                <c:pt idx="88">
                  <c:v>45364</c:v>
                </c:pt>
                <c:pt idx="89">
                  <c:v>45363</c:v>
                </c:pt>
                <c:pt idx="90">
                  <c:v>45362</c:v>
                </c:pt>
                <c:pt idx="91">
                  <c:v>45359</c:v>
                </c:pt>
                <c:pt idx="92">
                  <c:v>45358</c:v>
                </c:pt>
                <c:pt idx="93">
                  <c:v>45357</c:v>
                </c:pt>
                <c:pt idx="94">
                  <c:v>45356</c:v>
                </c:pt>
                <c:pt idx="95">
                  <c:v>45355</c:v>
                </c:pt>
                <c:pt idx="96">
                  <c:v>45352</c:v>
                </c:pt>
                <c:pt idx="97">
                  <c:v>45351</c:v>
                </c:pt>
                <c:pt idx="98">
                  <c:v>45350</c:v>
                </c:pt>
                <c:pt idx="99">
                  <c:v>45349</c:v>
                </c:pt>
                <c:pt idx="100">
                  <c:v>45348</c:v>
                </c:pt>
                <c:pt idx="101">
                  <c:v>45345</c:v>
                </c:pt>
                <c:pt idx="102">
                  <c:v>45344</c:v>
                </c:pt>
                <c:pt idx="103">
                  <c:v>45343</c:v>
                </c:pt>
                <c:pt idx="104">
                  <c:v>45342</c:v>
                </c:pt>
                <c:pt idx="105">
                  <c:v>45341</c:v>
                </c:pt>
                <c:pt idx="106">
                  <c:v>45338</c:v>
                </c:pt>
                <c:pt idx="107">
                  <c:v>45337</c:v>
                </c:pt>
                <c:pt idx="108">
                  <c:v>45329</c:v>
                </c:pt>
                <c:pt idx="109">
                  <c:v>45328</c:v>
                </c:pt>
                <c:pt idx="110">
                  <c:v>45327</c:v>
                </c:pt>
                <c:pt idx="111">
                  <c:v>45324</c:v>
                </c:pt>
                <c:pt idx="112">
                  <c:v>45323</c:v>
                </c:pt>
                <c:pt idx="113">
                  <c:v>45322</c:v>
                </c:pt>
                <c:pt idx="114">
                  <c:v>45321</c:v>
                </c:pt>
                <c:pt idx="115">
                  <c:v>45320</c:v>
                </c:pt>
                <c:pt idx="116">
                  <c:v>45317</c:v>
                </c:pt>
                <c:pt idx="117">
                  <c:v>45316</c:v>
                </c:pt>
                <c:pt idx="118">
                  <c:v>45315</c:v>
                </c:pt>
                <c:pt idx="119">
                  <c:v>45314</c:v>
                </c:pt>
                <c:pt idx="120">
                  <c:v>45313</c:v>
                </c:pt>
                <c:pt idx="121">
                  <c:v>45310</c:v>
                </c:pt>
                <c:pt idx="122">
                  <c:v>45309</c:v>
                </c:pt>
                <c:pt idx="123">
                  <c:v>45308</c:v>
                </c:pt>
                <c:pt idx="124">
                  <c:v>45307</c:v>
                </c:pt>
                <c:pt idx="125">
                  <c:v>45306</c:v>
                </c:pt>
                <c:pt idx="126">
                  <c:v>45303</c:v>
                </c:pt>
                <c:pt idx="127">
                  <c:v>45302</c:v>
                </c:pt>
                <c:pt idx="128">
                  <c:v>45301</c:v>
                </c:pt>
                <c:pt idx="129">
                  <c:v>45300</c:v>
                </c:pt>
                <c:pt idx="130">
                  <c:v>45299</c:v>
                </c:pt>
                <c:pt idx="131">
                  <c:v>45296</c:v>
                </c:pt>
                <c:pt idx="132">
                  <c:v>45295</c:v>
                </c:pt>
                <c:pt idx="133">
                  <c:v>45294</c:v>
                </c:pt>
                <c:pt idx="134">
                  <c:v>45293</c:v>
                </c:pt>
                <c:pt idx="135">
                  <c:v>45289</c:v>
                </c:pt>
                <c:pt idx="136">
                  <c:v>45288</c:v>
                </c:pt>
                <c:pt idx="137">
                  <c:v>45287</c:v>
                </c:pt>
                <c:pt idx="138">
                  <c:v>45286</c:v>
                </c:pt>
                <c:pt idx="139">
                  <c:v>45285</c:v>
                </c:pt>
                <c:pt idx="140">
                  <c:v>45282</c:v>
                </c:pt>
                <c:pt idx="141">
                  <c:v>45281</c:v>
                </c:pt>
                <c:pt idx="142">
                  <c:v>45280</c:v>
                </c:pt>
                <c:pt idx="143">
                  <c:v>45279</c:v>
                </c:pt>
                <c:pt idx="144">
                  <c:v>45278</c:v>
                </c:pt>
                <c:pt idx="145">
                  <c:v>45275</c:v>
                </c:pt>
                <c:pt idx="146">
                  <c:v>45274</c:v>
                </c:pt>
                <c:pt idx="147">
                  <c:v>45273</c:v>
                </c:pt>
                <c:pt idx="148">
                  <c:v>45272</c:v>
                </c:pt>
                <c:pt idx="149">
                  <c:v>45271</c:v>
                </c:pt>
                <c:pt idx="150">
                  <c:v>45268</c:v>
                </c:pt>
                <c:pt idx="151">
                  <c:v>45267</c:v>
                </c:pt>
                <c:pt idx="152">
                  <c:v>45266</c:v>
                </c:pt>
                <c:pt idx="153">
                  <c:v>45265</c:v>
                </c:pt>
                <c:pt idx="154">
                  <c:v>45264</c:v>
                </c:pt>
                <c:pt idx="155">
                  <c:v>45261</c:v>
                </c:pt>
                <c:pt idx="156">
                  <c:v>45260</c:v>
                </c:pt>
                <c:pt idx="157">
                  <c:v>45259</c:v>
                </c:pt>
                <c:pt idx="158">
                  <c:v>45258</c:v>
                </c:pt>
                <c:pt idx="159">
                  <c:v>45257</c:v>
                </c:pt>
                <c:pt idx="160">
                  <c:v>45254</c:v>
                </c:pt>
                <c:pt idx="161">
                  <c:v>45253</c:v>
                </c:pt>
                <c:pt idx="162">
                  <c:v>45252</c:v>
                </c:pt>
                <c:pt idx="163">
                  <c:v>45251</c:v>
                </c:pt>
                <c:pt idx="164">
                  <c:v>45250</c:v>
                </c:pt>
                <c:pt idx="165">
                  <c:v>45247</c:v>
                </c:pt>
                <c:pt idx="166">
                  <c:v>45246</c:v>
                </c:pt>
                <c:pt idx="167">
                  <c:v>45245</c:v>
                </c:pt>
                <c:pt idx="168">
                  <c:v>45244</c:v>
                </c:pt>
                <c:pt idx="169">
                  <c:v>45243</c:v>
                </c:pt>
                <c:pt idx="170">
                  <c:v>45240</c:v>
                </c:pt>
                <c:pt idx="171">
                  <c:v>45239</c:v>
                </c:pt>
                <c:pt idx="172">
                  <c:v>45238</c:v>
                </c:pt>
                <c:pt idx="173">
                  <c:v>45237</c:v>
                </c:pt>
                <c:pt idx="174">
                  <c:v>45236</c:v>
                </c:pt>
                <c:pt idx="175">
                  <c:v>45233</c:v>
                </c:pt>
                <c:pt idx="176">
                  <c:v>45232</c:v>
                </c:pt>
                <c:pt idx="177">
                  <c:v>45231</c:v>
                </c:pt>
                <c:pt idx="178">
                  <c:v>45230</c:v>
                </c:pt>
                <c:pt idx="179">
                  <c:v>45229</c:v>
                </c:pt>
                <c:pt idx="180">
                  <c:v>45226</c:v>
                </c:pt>
                <c:pt idx="181">
                  <c:v>45225</c:v>
                </c:pt>
                <c:pt idx="182">
                  <c:v>45224</c:v>
                </c:pt>
                <c:pt idx="183">
                  <c:v>45223</c:v>
                </c:pt>
                <c:pt idx="184">
                  <c:v>45222</c:v>
                </c:pt>
                <c:pt idx="185">
                  <c:v>45219</c:v>
                </c:pt>
                <c:pt idx="186">
                  <c:v>45218</c:v>
                </c:pt>
                <c:pt idx="187">
                  <c:v>45217</c:v>
                </c:pt>
                <c:pt idx="188">
                  <c:v>45216</c:v>
                </c:pt>
                <c:pt idx="189">
                  <c:v>45215</c:v>
                </c:pt>
                <c:pt idx="190">
                  <c:v>45212</c:v>
                </c:pt>
                <c:pt idx="191">
                  <c:v>45211</c:v>
                </c:pt>
                <c:pt idx="192">
                  <c:v>45210</c:v>
                </c:pt>
                <c:pt idx="193">
                  <c:v>45209</c:v>
                </c:pt>
                <c:pt idx="194">
                  <c:v>45208</c:v>
                </c:pt>
                <c:pt idx="195">
                  <c:v>45205</c:v>
                </c:pt>
                <c:pt idx="196">
                  <c:v>45204</c:v>
                </c:pt>
                <c:pt idx="197">
                  <c:v>45203</c:v>
                </c:pt>
                <c:pt idx="198">
                  <c:v>45202</c:v>
                </c:pt>
                <c:pt idx="199">
                  <c:v>45201</c:v>
                </c:pt>
                <c:pt idx="200">
                  <c:v>45198</c:v>
                </c:pt>
                <c:pt idx="201">
                  <c:v>45197</c:v>
                </c:pt>
                <c:pt idx="202">
                  <c:v>45196</c:v>
                </c:pt>
                <c:pt idx="203">
                  <c:v>45195</c:v>
                </c:pt>
                <c:pt idx="204">
                  <c:v>45194</c:v>
                </c:pt>
                <c:pt idx="205">
                  <c:v>45191</c:v>
                </c:pt>
                <c:pt idx="206">
                  <c:v>45190</c:v>
                </c:pt>
                <c:pt idx="207">
                  <c:v>45189</c:v>
                </c:pt>
                <c:pt idx="208">
                  <c:v>45188</c:v>
                </c:pt>
                <c:pt idx="209">
                  <c:v>45187</c:v>
                </c:pt>
                <c:pt idx="210">
                  <c:v>45184</c:v>
                </c:pt>
                <c:pt idx="211">
                  <c:v>45183</c:v>
                </c:pt>
                <c:pt idx="212">
                  <c:v>45182</c:v>
                </c:pt>
                <c:pt idx="213">
                  <c:v>45181</c:v>
                </c:pt>
                <c:pt idx="214">
                  <c:v>45180</c:v>
                </c:pt>
                <c:pt idx="215">
                  <c:v>45177</c:v>
                </c:pt>
                <c:pt idx="216">
                  <c:v>45176</c:v>
                </c:pt>
                <c:pt idx="217">
                  <c:v>45175</c:v>
                </c:pt>
                <c:pt idx="218">
                  <c:v>45174</c:v>
                </c:pt>
                <c:pt idx="219">
                  <c:v>45169</c:v>
                </c:pt>
                <c:pt idx="220">
                  <c:v>45168</c:v>
                </c:pt>
                <c:pt idx="221">
                  <c:v>45167</c:v>
                </c:pt>
                <c:pt idx="222">
                  <c:v>45166</c:v>
                </c:pt>
                <c:pt idx="223">
                  <c:v>45163</c:v>
                </c:pt>
                <c:pt idx="224">
                  <c:v>45162</c:v>
                </c:pt>
                <c:pt idx="225">
                  <c:v>45161</c:v>
                </c:pt>
                <c:pt idx="226">
                  <c:v>45160</c:v>
                </c:pt>
                <c:pt idx="227">
                  <c:v>45159</c:v>
                </c:pt>
                <c:pt idx="228">
                  <c:v>45156</c:v>
                </c:pt>
                <c:pt idx="229">
                  <c:v>45155</c:v>
                </c:pt>
                <c:pt idx="230">
                  <c:v>45154</c:v>
                </c:pt>
                <c:pt idx="231">
                  <c:v>45153</c:v>
                </c:pt>
                <c:pt idx="232">
                  <c:v>45152</c:v>
                </c:pt>
                <c:pt idx="233">
                  <c:v>45149</c:v>
                </c:pt>
                <c:pt idx="234">
                  <c:v>45148</c:v>
                </c:pt>
                <c:pt idx="235">
                  <c:v>45147</c:v>
                </c:pt>
                <c:pt idx="236">
                  <c:v>45146</c:v>
                </c:pt>
                <c:pt idx="237">
                  <c:v>45145</c:v>
                </c:pt>
                <c:pt idx="238">
                  <c:v>45142</c:v>
                </c:pt>
                <c:pt idx="239">
                  <c:v>45141</c:v>
                </c:pt>
                <c:pt idx="240">
                  <c:v>45140</c:v>
                </c:pt>
                <c:pt idx="241">
                  <c:v>45139</c:v>
                </c:pt>
                <c:pt idx="242">
                  <c:v>45138</c:v>
                </c:pt>
                <c:pt idx="243">
                  <c:v>45135</c:v>
                </c:pt>
                <c:pt idx="244">
                  <c:v>45134</c:v>
                </c:pt>
                <c:pt idx="245">
                  <c:v>45133</c:v>
                </c:pt>
                <c:pt idx="246">
                  <c:v>45132</c:v>
                </c:pt>
                <c:pt idx="247">
                  <c:v>45131</c:v>
                </c:pt>
                <c:pt idx="248">
                  <c:v>45128</c:v>
                </c:pt>
                <c:pt idx="249">
                  <c:v>45127</c:v>
                </c:pt>
                <c:pt idx="250">
                  <c:v>45126</c:v>
                </c:pt>
                <c:pt idx="251">
                  <c:v>45125</c:v>
                </c:pt>
                <c:pt idx="252">
                  <c:v>45124</c:v>
                </c:pt>
                <c:pt idx="253">
                  <c:v>45121</c:v>
                </c:pt>
                <c:pt idx="254">
                  <c:v>45120</c:v>
                </c:pt>
                <c:pt idx="255">
                  <c:v>45119</c:v>
                </c:pt>
                <c:pt idx="256">
                  <c:v>45118</c:v>
                </c:pt>
                <c:pt idx="257">
                  <c:v>45117</c:v>
                </c:pt>
                <c:pt idx="258">
                  <c:v>45114</c:v>
                </c:pt>
                <c:pt idx="259">
                  <c:v>45113</c:v>
                </c:pt>
                <c:pt idx="260">
                  <c:v>45112</c:v>
                </c:pt>
                <c:pt idx="261">
                  <c:v>45111</c:v>
                </c:pt>
                <c:pt idx="262">
                  <c:v>45110</c:v>
                </c:pt>
                <c:pt idx="263">
                  <c:v>45107</c:v>
                </c:pt>
                <c:pt idx="264">
                  <c:v>45106</c:v>
                </c:pt>
                <c:pt idx="265">
                  <c:v>45105</c:v>
                </c:pt>
                <c:pt idx="266">
                  <c:v>45104</c:v>
                </c:pt>
                <c:pt idx="267">
                  <c:v>45103</c:v>
                </c:pt>
                <c:pt idx="268">
                  <c:v>45100</c:v>
                </c:pt>
                <c:pt idx="269">
                  <c:v>45099</c:v>
                </c:pt>
                <c:pt idx="270">
                  <c:v>45098</c:v>
                </c:pt>
                <c:pt idx="271">
                  <c:v>45097</c:v>
                </c:pt>
                <c:pt idx="272">
                  <c:v>45096</c:v>
                </c:pt>
                <c:pt idx="273">
                  <c:v>45093</c:v>
                </c:pt>
                <c:pt idx="274">
                  <c:v>45092</c:v>
                </c:pt>
                <c:pt idx="275">
                  <c:v>45091</c:v>
                </c:pt>
                <c:pt idx="276">
                  <c:v>45090</c:v>
                </c:pt>
                <c:pt idx="277">
                  <c:v>45089</c:v>
                </c:pt>
                <c:pt idx="278">
                  <c:v>45086</c:v>
                </c:pt>
                <c:pt idx="279">
                  <c:v>45085</c:v>
                </c:pt>
                <c:pt idx="280">
                  <c:v>45084</c:v>
                </c:pt>
                <c:pt idx="281">
                  <c:v>45083</c:v>
                </c:pt>
                <c:pt idx="282">
                  <c:v>45082</c:v>
                </c:pt>
                <c:pt idx="283">
                  <c:v>45079</c:v>
                </c:pt>
                <c:pt idx="284">
                  <c:v>45078</c:v>
                </c:pt>
                <c:pt idx="285">
                  <c:v>45077</c:v>
                </c:pt>
                <c:pt idx="286">
                  <c:v>45076</c:v>
                </c:pt>
                <c:pt idx="287">
                  <c:v>45075</c:v>
                </c:pt>
                <c:pt idx="288">
                  <c:v>45072</c:v>
                </c:pt>
                <c:pt idx="289">
                  <c:v>45071</c:v>
                </c:pt>
                <c:pt idx="290">
                  <c:v>45070</c:v>
                </c:pt>
                <c:pt idx="291">
                  <c:v>45069</c:v>
                </c:pt>
                <c:pt idx="292">
                  <c:v>45068</c:v>
                </c:pt>
                <c:pt idx="293">
                  <c:v>45065</c:v>
                </c:pt>
                <c:pt idx="294">
                  <c:v>45064</c:v>
                </c:pt>
                <c:pt idx="295">
                  <c:v>45063</c:v>
                </c:pt>
                <c:pt idx="296">
                  <c:v>45062</c:v>
                </c:pt>
                <c:pt idx="297">
                  <c:v>45061</c:v>
                </c:pt>
                <c:pt idx="298">
                  <c:v>45058</c:v>
                </c:pt>
                <c:pt idx="299">
                  <c:v>45057</c:v>
                </c:pt>
                <c:pt idx="300">
                  <c:v>45056</c:v>
                </c:pt>
                <c:pt idx="301">
                  <c:v>45055</c:v>
                </c:pt>
                <c:pt idx="302">
                  <c:v>45054</c:v>
                </c:pt>
                <c:pt idx="303">
                  <c:v>45051</c:v>
                </c:pt>
                <c:pt idx="304">
                  <c:v>45050</c:v>
                </c:pt>
                <c:pt idx="305">
                  <c:v>45044</c:v>
                </c:pt>
                <c:pt idx="306">
                  <c:v>45043</c:v>
                </c:pt>
                <c:pt idx="307">
                  <c:v>45042</c:v>
                </c:pt>
                <c:pt idx="308">
                  <c:v>45041</c:v>
                </c:pt>
                <c:pt idx="309">
                  <c:v>45040</c:v>
                </c:pt>
                <c:pt idx="310">
                  <c:v>45037</c:v>
                </c:pt>
                <c:pt idx="311">
                  <c:v>45036</c:v>
                </c:pt>
                <c:pt idx="312">
                  <c:v>45035</c:v>
                </c:pt>
                <c:pt idx="313">
                  <c:v>45034</c:v>
                </c:pt>
                <c:pt idx="314">
                  <c:v>45033</c:v>
                </c:pt>
                <c:pt idx="315">
                  <c:v>45030</c:v>
                </c:pt>
                <c:pt idx="316">
                  <c:v>45029</c:v>
                </c:pt>
                <c:pt idx="317">
                  <c:v>45028</c:v>
                </c:pt>
                <c:pt idx="318">
                  <c:v>45027</c:v>
                </c:pt>
                <c:pt idx="319">
                  <c:v>45026</c:v>
                </c:pt>
                <c:pt idx="320">
                  <c:v>45023</c:v>
                </c:pt>
                <c:pt idx="321">
                  <c:v>45022</c:v>
                </c:pt>
                <c:pt idx="322">
                  <c:v>45021</c:v>
                </c:pt>
                <c:pt idx="323">
                  <c:v>45020</c:v>
                </c:pt>
                <c:pt idx="324">
                  <c:v>45019</c:v>
                </c:pt>
                <c:pt idx="325">
                  <c:v>45016</c:v>
                </c:pt>
                <c:pt idx="326">
                  <c:v>45015</c:v>
                </c:pt>
                <c:pt idx="327">
                  <c:v>45014</c:v>
                </c:pt>
                <c:pt idx="328">
                  <c:v>45013</c:v>
                </c:pt>
                <c:pt idx="329">
                  <c:v>45012</c:v>
                </c:pt>
                <c:pt idx="330">
                  <c:v>45009</c:v>
                </c:pt>
                <c:pt idx="331">
                  <c:v>45008</c:v>
                </c:pt>
                <c:pt idx="332">
                  <c:v>45007</c:v>
                </c:pt>
                <c:pt idx="333">
                  <c:v>45006</c:v>
                </c:pt>
                <c:pt idx="334">
                  <c:v>45005</c:v>
                </c:pt>
                <c:pt idx="335">
                  <c:v>45002</c:v>
                </c:pt>
                <c:pt idx="336">
                  <c:v>45001</c:v>
                </c:pt>
                <c:pt idx="337">
                  <c:v>45000</c:v>
                </c:pt>
                <c:pt idx="338">
                  <c:v>44999</c:v>
                </c:pt>
                <c:pt idx="339">
                  <c:v>44998</c:v>
                </c:pt>
                <c:pt idx="340">
                  <c:v>44995</c:v>
                </c:pt>
                <c:pt idx="341">
                  <c:v>44994</c:v>
                </c:pt>
                <c:pt idx="342">
                  <c:v>44993</c:v>
                </c:pt>
                <c:pt idx="343">
                  <c:v>44992</c:v>
                </c:pt>
                <c:pt idx="344">
                  <c:v>44991</c:v>
                </c:pt>
                <c:pt idx="345">
                  <c:v>44988</c:v>
                </c:pt>
                <c:pt idx="346">
                  <c:v>44987</c:v>
                </c:pt>
                <c:pt idx="347">
                  <c:v>44986</c:v>
                </c:pt>
                <c:pt idx="348">
                  <c:v>44985</c:v>
                </c:pt>
                <c:pt idx="349">
                  <c:v>44984</c:v>
                </c:pt>
                <c:pt idx="350">
                  <c:v>44981</c:v>
                </c:pt>
                <c:pt idx="351">
                  <c:v>44980</c:v>
                </c:pt>
                <c:pt idx="352">
                  <c:v>44979</c:v>
                </c:pt>
                <c:pt idx="353">
                  <c:v>44978</c:v>
                </c:pt>
                <c:pt idx="354">
                  <c:v>44977</c:v>
                </c:pt>
                <c:pt idx="355">
                  <c:v>44974</c:v>
                </c:pt>
                <c:pt idx="356">
                  <c:v>44973</c:v>
                </c:pt>
                <c:pt idx="357">
                  <c:v>44972</c:v>
                </c:pt>
                <c:pt idx="358">
                  <c:v>44971</c:v>
                </c:pt>
                <c:pt idx="359">
                  <c:v>44970</c:v>
                </c:pt>
                <c:pt idx="360">
                  <c:v>44967</c:v>
                </c:pt>
                <c:pt idx="361">
                  <c:v>44966</c:v>
                </c:pt>
                <c:pt idx="362">
                  <c:v>44965</c:v>
                </c:pt>
                <c:pt idx="363">
                  <c:v>44964</c:v>
                </c:pt>
                <c:pt idx="364">
                  <c:v>44963</c:v>
                </c:pt>
                <c:pt idx="365">
                  <c:v>44960</c:v>
                </c:pt>
                <c:pt idx="366">
                  <c:v>44959</c:v>
                </c:pt>
                <c:pt idx="367">
                  <c:v>44958</c:v>
                </c:pt>
                <c:pt idx="368">
                  <c:v>44957</c:v>
                </c:pt>
                <c:pt idx="369">
                  <c:v>44956</c:v>
                </c:pt>
                <c:pt idx="370">
                  <c:v>44953</c:v>
                </c:pt>
                <c:pt idx="371">
                  <c:v>44945</c:v>
                </c:pt>
                <c:pt idx="372">
                  <c:v>44944</c:v>
                </c:pt>
                <c:pt idx="373">
                  <c:v>44943</c:v>
                </c:pt>
                <c:pt idx="374">
                  <c:v>44942</c:v>
                </c:pt>
                <c:pt idx="375">
                  <c:v>44939</c:v>
                </c:pt>
                <c:pt idx="376">
                  <c:v>44938</c:v>
                </c:pt>
                <c:pt idx="377">
                  <c:v>44937</c:v>
                </c:pt>
                <c:pt idx="378">
                  <c:v>44936</c:v>
                </c:pt>
                <c:pt idx="379">
                  <c:v>44935</c:v>
                </c:pt>
                <c:pt idx="380">
                  <c:v>44932</c:v>
                </c:pt>
                <c:pt idx="381">
                  <c:v>44931</c:v>
                </c:pt>
                <c:pt idx="382">
                  <c:v>44930</c:v>
                </c:pt>
                <c:pt idx="383">
                  <c:v>44929</c:v>
                </c:pt>
                <c:pt idx="384">
                  <c:v>44925</c:v>
                </c:pt>
                <c:pt idx="385">
                  <c:v>44924</c:v>
                </c:pt>
                <c:pt idx="386">
                  <c:v>44923</c:v>
                </c:pt>
                <c:pt idx="387">
                  <c:v>44922</c:v>
                </c:pt>
                <c:pt idx="388">
                  <c:v>44921</c:v>
                </c:pt>
                <c:pt idx="389">
                  <c:v>44918</c:v>
                </c:pt>
                <c:pt idx="390">
                  <c:v>44917</c:v>
                </c:pt>
                <c:pt idx="391">
                  <c:v>44916</c:v>
                </c:pt>
                <c:pt idx="392">
                  <c:v>44915</c:v>
                </c:pt>
                <c:pt idx="393">
                  <c:v>44914</c:v>
                </c:pt>
                <c:pt idx="394">
                  <c:v>44911</c:v>
                </c:pt>
                <c:pt idx="395">
                  <c:v>44910</c:v>
                </c:pt>
                <c:pt idx="396">
                  <c:v>44909</c:v>
                </c:pt>
                <c:pt idx="397">
                  <c:v>44908</c:v>
                </c:pt>
                <c:pt idx="398">
                  <c:v>44907</c:v>
                </c:pt>
                <c:pt idx="399">
                  <c:v>44904</c:v>
                </c:pt>
                <c:pt idx="400">
                  <c:v>44903</c:v>
                </c:pt>
                <c:pt idx="401">
                  <c:v>44902</c:v>
                </c:pt>
                <c:pt idx="402">
                  <c:v>44901</c:v>
                </c:pt>
                <c:pt idx="403">
                  <c:v>44900</c:v>
                </c:pt>
                <c:pt idx="404">
                  <c:v>44897</c:v>
                </c:pt>
                <c:pt idx="405">
                  <c:v>44896</c:v>
                </c:pt>
                <c:pt idx="406">
                  <c:v>44895</c:v>
                </c:pt>
                <c:pt idx="407">
                  <c:v>44894</c:v>
                </c:pt>
                <c:pt idx="408">
                  <c:v>44893</c:v>
                </c:pt>
                <c:pt idx="409">
                  <c:v>44890</c:v>
                </c:pt>
                <c:pt idx="410">
                  <c:v>44889</c:v>
                </c:pt>
                <c:pt idx="411">
                  <c:v>44888</c:v>
                </c:pt>
                <c:pt idx="412">
                  <c:v>44887</c:v>
                </c:pt>
                <c:pt idx="413">
                  <c:v>44886</c:v>
                </c:pt>
                <c:pt idx="414">
                  <c:v>44883</c:v>
                </c:pt>
                <c:pt idx="415">
                  <c:v>44882</c:v>
                </c:pt>
                <c:pt idx="416">
                  <c:v>44881</c:v>
                </c:pt>
                <c:pt idx="417">
                  <c:v>44880</c:v>
                </c:pt>
                <c:pt idx="418">
                  <c:v>44879</c:v>
                </c:pt>
                <c:pt idx="419">
                  <c:v>44876</c:v>
                </c:pt>
                <c:pt idx="420">
                  <c:v>44875</c:v>
                </c:pt>
                <c:pt idx="421">
                  <c:v>44874</c:v>
                </c:pt>
                <c:pt idx="422">
                  <c:v>44873</c:v>
                </c:pt>
                <c:pt idx="423">
                  <c:v>44872</c:v>
                </c:pt>
                <c:pt idx="424">
                  <c:v>44869</c:v>
                </c:pt>
                <c:pt idx="425">
                  <c:v>44868</c:v>
                </c:pt>
                <c:pt idx="426">
                  <c:v>44867</c:v>
                </c:pt>
                <c:pt idx="427">
                  <c:v>44866</c:v>
                </c:pt>
                <c:pt idx="428">
                  <c:v>44865</c:v>
                </c:pt>
                <c:pt idx="429">
                  <c:v>44862</c:v>
                </c:pt>
                <c:pt idx="430">
                  <c:v>44861</c:v>
                </c:pt>
                <c:pt idx="431">
                  <c:v>44860</c:v>
                </c:pt>
                <c:pt idx="432">
                  <c:v>44859</c:v>
                </c:pt>
                <c:pt idx="433">
                  <c:v>44858</c:v>
                </c:pt>
                <c:pt idx="434">
                  <c:v>44855</c:v>
                </c:pt>
                <c:pt idx="435">
                  <c:v>44854</c:v>
                </c:pt>
                <c:pt idx="436">
                  <c:v>44853</c:v>
                </c:pt>
                <c:pt idx="437">
                  <c:v>44852</c:v>
                </c:pt>
                <c:pt idx="438">
                  <c:v>44851</c:v>
                </c:pt>
                <c:pt idx="439">
                  <c:v>44848</c:v>
                </c:pt>
                <c:pt idx="440">
                  <c:v>44847</c:v>
                </c:pt>
                <c:pt idx="441">
                  <c:v>44846</c:v>
                </c:pt>
                <c:pt idx="442">
                  <c:v>44845</c:v>
                </c:pt>
                <c:pt idx="443">
                  <c:v>44844</c:v>
                </c:pt>
                <c:pt idx="444">
                  <c:v>44841</c:v>
                </c:pt>
                <c:pt idx="445">
                  <c:v>44840</c:v>
                </c:pt>
                <c:pt idx="446">
                  <c:v>44839</c:v>
                </c:pt>
                <c:pt idx="447">
                  <c:v>44838</c:v>
                </c:pt>
                <c:pt idx="448">
                  <c:v>44837</c:v>
                </c:pt>
                <c:pt idx="449">
                  <c:v>44834</c:v>
                </c:pt>
                <c:pt idx="450">
                  <c:v>44833</c:v>
                </c:pt>
                <c:pt idx="451">
                  <c:v>44832</c:v>
                </c:pt>
                <c:pt idx="452">
                  <c:v>44831</c:v>
                </c:pt>
                <c:pt idx="453">
                  <c:v>44830</c:v>
                </c:pt>
                <c:pt idx="454">
                  <c:v>44827</c:v>
                </c:pt>
                <c:pt idx="455">
                  <c:v>44826</c:v>
                </c:pt>
                <c:pt idx="456">
                  <c:v>44825</c:v>
                </c:pt>
                <c:pt idx="457">
                  <c:v>44824</c:v>
                </c:pt>
                <c:pt idx="458">
                  <c:v>44823</c:v>
                </c:pt>
                <c:pt idx="459">
                  <c:v>44820</c:v>
                </c:pt>
                <c:pt idx="460">
                  <c:v>44819</c:v>
                </c:pt>
                <c:pt idx="461">
                  <c:v>44818</c:v>
                </c:pt>
                <c:pt idx="462">
                  <c:v>44817</c:v>
                </c:pt>
                <c:pt idx="463">
                  <c:v>44816</c:v>
                </c:pt>
                <c:pt idx="464">
                  <c:v>44813</c:v>
                </c:pt>
                <c:pt idx="465">
                  <c:v>44812</c:v>
                </c:pt>
                <c:pt idx="466">
                  <c:v>44811</c:v>
                </c:pt>
                <c:pt idx="467">
                  <c:v>44810</c:v>
                </c:pt>
                <c:pt idx="468">
                  <c:v>44809</c:v>
                </c:pt>
                <c:pt idx="469">
                  <c:v>44804</c:v>
                </c:pt>
                <c:pt idx="470">
                  <c:v>44803</c:v>
                </c:pt>
                <c:pt idx="471">
                  <c:v>44802</c:v>
                </c:pt>
                <c:pt idx="472">
                  <c:v>44799</c:v>
                </c:pt>
                <c:pt idx="473">
                  <c:v>44798</c:v>
                </c:pt>
                <c:pt idx="474">
                  <c:v>44797</c:v>
                </c:pt>
                <c:pt idx="475">
                  <c:v>44796</c:v>
                </c:pt>
                <c:pt idx="476">
                  <c:v>44795</c:v>
                </c:pt>
                <c:pt idx="477">
                  <c:v>44792</c:v>
                </c:pt>
                <c:pt idx="478">
                  <c:v>44791</c:v>
                </c:pt>
                <c:pt idx="479">
                  <c:v>44790</c:v>
                </c:pt>
                <c:pt idx="480">
                  <c:v>44789</c:v>
                </c:pt>
                <c:pt idx="481">
                  <c:v>44788</c:v>
                </c:pt>
                <c:pt idx="482">
                  <c:v>44785</c:v>
                </c:pt>
                <c:pt idx="483">
                  <c:v>44784</c:v>
                </c:pt>
                <c:pt idx="484">
                  <c:v>44783</c:v>
                </c:pt>
                <c:pt idx="485">
                  <c:v>44782</c:v>
                </c:pt>
                <c:pt idx="486">
                  <c:v>44781</c:v>
                </c:pt>
                <c:pt idx="487">
                  <c:v>44778</c:v>
                </c:pt>
                <c:pt idx="488">
                  <c:v>44777</c:v>
                </c:pt>
                <c:pt idx="489">
                  <c:v>44776</c:v>
                </c:pt>
                <c:pt idx="490">
                  <c:v>44775</c:v>
                </c:pt>
                <c:pt idx="491">
                  <c:v>44774</c:v>
                </c:pt>
                <c:pt idx="492">
                  <c:v>44771</c:v>
                </c:pt>
                <c:pt idx="493">
                  <c:v>44770</c:v>
                </c:pt>
                <c:pt idx="494">
                  <c:v>44769</c:v>
                </c:pt>
                <c:pt idx="495">
                  <c:v>44768</c:v>
                </c:pt>
                <c:pt idx="496">
                  <c:v>44767</c:v>
                </c:pt>
                <c:pt idx="497">
                  <c:v>44764</c:v>
                </c:pt>
                <c:pt idx="498">
                  <c:v>44763</c:v>
                </c:pt>
                <c:pt idx="499">
                  <c:v>44762</c:v>
                </c:pt>
                <c:pt idx="500">
                  <c:v>44761</c:v>
                </c:pt>
                <c:pt idx="501">
                  <c:v>44760</c:v>
                </c:pt>
                <c:pt idx="502">
                  <c:v>44757</c:v>
                </c:pt>
                <c:pt idx="503">
                  <c:v>44756</c:v>
                </c:pt>
                <c:pt idx="504">
                  <c:v>44755</c:v>
                </c:pt>
                <c:pt idx="505">
                  <c:v>44754</c:v>
                </c:pt>
                <c:pt idx="506">
                  <c:v>44753</c:v>
                </c:pt>
                <c:pt idx="507">
                  <c:v>44750</c:v>
                </c:pt>
                <c:pt idx="508">
                  <c:v>44749</c:v>
                </c:pt>
                <c:pt idx="509">
                  <c:v>44748</c:v>
                </c:pt>
                <c:pt idx="510">
                  <c:v>44747</c:v>
                </c:pt>
                <c:pt idx="511">
                  <c:v>44746</c:v>
                </c:pt>
                <c:pt idx="512">
                  <c:v>44743</c:v>
                </c:pt>
                <c:pt idx="513">
                  <c:v>44742</c:v>
                </c:pt>
                <c:pt idx="514">
                  <c:v>44741</c:v>
                </c:pt>
                <c:pt idx="515">
                  <c:v>44740</c:v>
                </c:pt>
                <c:pt idx="516">
                  <c:v>44739</c:v>
                </c:pt>
                <c:pt idx="517">
                  <c:v>44736</c:v>
                </c:pt>
                <c:pt idx="518">
                  <c:v>44735</c:v>
                </c:pt>
                <c:pt idx="519">
                  <c:v>44734</c:v>
                </c:pt>
                <c:pt idx="520">
                  <c:v>44733</c:v>
                </c:pt>
                <c:pt idx="521">
                  <c:v>44732</c:v>
                </c:pt>
                <c:pt idx="522">
                  <c:v>44729</c:v>
                </c:pt>
                <c:pt idx="523">
                  <c:v>44728</c:v>
                </c:pt>
                <c:pt idx="524">
                  <c:v>44727</c:v>
                </c:pt>
                <c:pt idx="525">
                  <c:v>44726</c:v>
                </c:pt>
                <c:pt idx="526">
                  <c:v>44725</c:v>
                </c:pt>
                <c:pt idx="527">
                  <c:v>44722</c:v>
                </c:pt>
                <c:pt idx="528">
                  <c:v>44721</c:v>
                </c:pt>
                <c:pt idx="529">
                  <c:v>44720</c:v>
                </c:pt>
                <c:pt idx="530">
                  <c:v>44719</c:v>
                </c:pt>
                <c:pt idx="531">
                  <c:v>44718</c:v>
                </c:pt>
                <c:pt idx="532">
                  <c:v>44715</c:v>
                </c:pt>
                <c:pt idx="533">
                  <c:v>44714</c:v>
                </c:pt>
                <c:pt idx="534">
                  <c:v>44713</c:v>
                </c:pt>
                <c:pt idx="535">
                  <c:v>44712</c:v>
                </c:pt>
                <c:pt idx="536">
                  <c:v>44711</c:v>
                </c:pt>
                <c:pt idx="537">
                  <c:v>44708</c:v>
                </c:pt>
                <c:pt idx="538">
                  <c:v>44707</c:v>
                </c:pt>
                <c:pt idx="539">
                  <c:v>44706</c:v>
                </c:pt>
                <c:pt idx="540">
                  <c:v>44705</c:v>
                </c:pt>
                <c:pt idx="541">
                  <c:v>44704</c:v>
                </c:pt>
                <c:pt idx="542">
                  <c:v>44701</c:v>
                </c:pt>
                <c:pt idx="543">
                  <c:v>44700</c:v>
                </c:pt>
                <c:pt idx="544">
                  <c:v>44699</c:v>
                </c:pt>
                <c:pt idx="545">
                  <c:v>44698</c:v>
                </c:pt>
                <c:pt idx="546">
                  <c:v>44697</c:v>
                </c:pt>
                <c:pt idx="547">
                  <c:v>44694</c:v>
                </c:pt>
                <c:pt idx="548">
                  <c:v>44693</c:v>
                </c:pt>
                <c:pt idx="549">
                  <c:v>44692</c:v>
                </c:pt>
                <c:pt idx="550">
                  <c:v>44691</c:v>
                </c:pt>
                <c:pt idx="551">
                  <c:v>44690</c:v>
                </c:pt>
                <c:pt idx="552">
                  <c:v>44687</c:v>
                </c:pt>
                <c:pt idx="553">
                  <c:v>44686</c:v>
                </c:pt>
                <c:pt idx="554">
                  <c:v>44685</c:v>
                </c:pt>
                <c:pt idx="555">
                  <c:v>44680</c:v>
                </c:pt>
                <c:pt idx="556">
                  <c:v>44679</c:v>
                </c:pt>
                <c:pt idx="557">
                  <c:v>44678</c:v>
                </c:pt>
                <c:pt idx="558">
                  <c:v>44677</c:v>
                </c:pt>
                <c:pt idx="559">
                  <c:v>44676</c:v>
                </c:pt>
                <c:pt idx="560">
                  <c:v>44673</c:v>
                </c:pt>
                <c:pt idx="561">
                  <c:v>44672</c:v>
                </c:pt>
                <c:pt idx="562">
                  <c:v>44671</c:v>
                </c:pt>
                <c:pt idx="563">
                  <c:v>44670</c:v>
                </c:pt>
                <c:pt idx="564">
                  <c:v>44669</c:v>
                </c:pt>
                <c:pt idx="565">
                  <c:v>44666</c:v>
                </c:pt>
                <c:pt idx="566">
                  <c:v>44665</c:v>
                </c:pt>
                <c:pt idx="567">
                  <c:v>44664</c:v>
                </c:pt>
                <c:pt idx="568">
                  <c:v>44663</c:v>
                </c:pt>
                <c:pt idx="569">
                  <c:v>44659</c:v>
                </c:pt>
                <c:pt idx="570">
                  <c:v>44658</c:v>
                </c:pt>
                <c:pt idx="571">
                  <c:v>44657</c:v>
                </c:pt>
                <c:pt idx="572">
                  <c:v>44656</c:v>
                </c:pt>
                <c:pt idx="573">
                  <c:v>44655</c:v>
                </c:pt>
                <c:pt idx="574">
                  <c:v>44652</c:v>
                </c:pt>
                <c:pt idx="575">
                  <c:v>44651</c:v>
                </c:pt>
                <c:pt idx="576">
                  <c:v>44650</c:v>
                </c:pt>
                <c:pt idx="577">
                  <c:v>44649</c:v>
                </c:pt>
                <c:pt idx="578">
                  <c:v>44648</c:v>
                </c:pt>
                <c:pt idx="579">
                  <c:v>44645</c:v>
                </c:pt>
                <c:pt idx="580">
                  <c:v>44644</c:v>
                </c:pt>
                <c:pt idx="581">
                  <c:v>44643</c:v>
                </c:pt>
                <c:pt idx="582">
                  <c:v>44642</c:v>
                </c:pt>
                <c:pt idx="583">
                  <c:v>44641</c:v>
                </c:pt>
                <c:pt idx="584">
                  <c:v>44638</c:v>
                </c:pt>
                <c:pt idx="585">
                  <c:v>44637</c:v>
                </c:pt>
                <c:pt idx="586">
                  <c:v>44636</c:v>
                </c:pt>
                <c:pt idx="587">
                  <c:v>44635</c:v>
                </c:pt>
                <c:pt idx="588">
                  <c:v>44634</c:v>
                </c:pt>
                <c:pt idx="589">
                  <c:v>44631</c:v>
                </c:pt>
                <c:pt idx="590">
                  <c:v>44630</c:v>
                </c:pt>
                <c:pt idx="591">
                  <c:v>44629</c:v>
                </c:pt>
                <c:pt idx="592">
                  <c:v>44628</c:v>
                </c:pt>
                <c:pt idx="593">
                  <c:v>44627</c:v>
                </c:pt>
                <c:pt idx="594">
                  <c:v>44624</c:v>
                </c:pt>
                <c:pt idx="595">
                  <c:v>44623</c:v>
                </c:pt>
                <c:pt idx="596">
                  <c:v>44622</c:v>
                </c:pt>
                <c:pt idx="597">
                  <c:v>44621</c:v>
                </c:pt>
                <c:pt idx="598">
                  <c:v>44620</c:v>
                </c:pt>
                <c:pt idx="599">
                  <c:v>44617</c:v>
                </c:pt>
                <c:pt idx="600">
                  <c:v>44616</c:v>
                </c:pt>
                <c:pt idx="601">
                  <c:v>44615</c:v>
                </c:pt>
                <c:pt idx="602">
                  <c:v>44614</c:v>
                </c:pt>
                <c:pt idx="603">
                  <c:v>44613</c:v>
                </c:pt>
                <c:pt idx="604">
                  <c:v>44610</c:v>
                </c:pt>
                <c:pt idx="605">
                  <c:v>44609</c:v>
                </c:pt>
                <c:pt idx="606">
                  <c:v>44608</c:v>
                </c:pt>
                <c:pt idx="607">
                  <c:v>44607</c:v>
                </c:pt>
                <c:pt idx="608">
                  <c:v>44606</c:v>
                </c:pt>
                <c:pt idx="609">
                  <c:v>44603</c:v>
                </c:pt>
                <c:pt idx="610">
                  <c:v>44602</c:v>
                </c:pt>
                <c:pt idx="611">
                  <c:v>44601</c:v>
                </c:pt>
                <c:pt idx="612">
                  <c:v>44600</c:v>
                </c:pt>
                <c:pt idx="613">
                  <c:v>44599</c:v>
                </c:pt>
                <c:pt idx="614">
                  <c:v>44589</c:v>
                </c:pt>
                <c:pt idx="615">
                  <c:v>44588</c:v>
                </c:pt>
                <c:pt idx="616">
                  <c:v>44587</c:v>
                </c:pt>
                <c:pt idx="617">
                  <c:v>44586</c:v>
                </c:pt>
                <c:pt idx="618">
                  <c:v>44585</c:v>
                </c:pt>
                <c:pt idx="619">
                  <c:v>44582</c:v>
                </c:pt>
                <c:pt idx="620">
                  <c:v>44581</c:v>
                </c:pt>
                <c:pt idx="621">
                  <c:v>44580</c:v>
                </c:pt>
                <c:pt idx="622">
                  <c:v>44579</c:v>
                </c:pt>
                <c:pt idx="623">
                  <c:v>44578</c:v>
                </c:pt>
                <c:pt idx="624">
                  <c:v>44575</c:v>
                </c:pt>
                <c:pt idx="625">
                  <c:v>44574</c:v>
                </c:pt>
                <c:pt idx="626">
                  <c:v>44573</c:v>
                </c:pt>
                <c:pt idx="627">
                  <c:v>44572</c:v>
                </c:pt>
                <c:pt idx="628">
                  <c:v>44571</c:v>
                </c:pt>
                <c:pt idx="629">
                  <c:v>44568</c:v>
                </c:pt>
                <c:pt idx="630">
                  <c:v>44567</c:v>
                </c:pt>
                <c:pt idx="631">
                  <c:v>44566</c:v>
                </c:pt>
                <c:pt idx="632">
                  <c:v>44565</c:v>
                </c:pt>
              </c:numCache>
            </c:numRef>
          </c:cat>
          <c:val>
            <c:numRef>
              <c:f>Diamond!$AC$3:$AC$635</c:f>
              <c:numCache>
                <c:formatCode>_(* #,##0_);_(* \(#,##0\);_(* "-"??_);_(@_)</c:formatCode>
                <c:ptCount val="633"/>
              </c:numCache>
            </c:numRef>
          </c:val>
          <c:smooth val="0"/>
          <c:extLst>
            <c:ext xmlns:c16="http://schemas.microsoft.com/office/drawing/2014/chart" uri="{C3380CC4-5D6E-409C-BE32-E72D297353CC}">
              <c16:uniqueId val="{00000003-803C-498E-ADFB-7ED48B450286}"/>
            </c:ext>
          </c:extLst>
        </c:ser>
        <c:dLbls>
          <c:showLegendKey val="0"/>
          <c:showVal val="0"/>
          <c:showCatName val="0"/>
          <c:showSerName val="0"/>
          <c:showPercent val="0"/>
          <c:showBubbleSize val="0"/>
        </c:dLbls>
        <c:marker val="1"/>
        <c:smooth val="0"/>
        <c:axId val="1080255208"/>
        <c:axId val="1080254488"/>
      </c:lineChart>
      <c:dateAx>
        <c:axId val="1080211288"/>
        <c:scaling>
          <c:orientation val="minMax"/>
        </c:scaling>
        <c:delete val="0"/>
        <c:axPos val="b"/>
        <c:numFmt formatCode="m/d/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vi-VN"/>
          </a:p>
        </c:txPr>
        <c:crossAx val="1080214168"/>
        <c:crosses val="autoZero"/>
        <c:auto val="1"/>
        <c:lblOffset val="100"/>
        <c:baseTimeUnit val="days"/>
      </c:dateAx>
      <c:valAx>
        <c:axId val="108021416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vi-VN"/>
          </a:p>
        </c:txPr>
        <c:crossAx val="1080211288"/>
        <c:crosses val="autoZero"/>
        <c:crossBetween val="between"/>
      </c:valAx>
      <c:valAx>
        <c:axId val="1080254488"/>
        <c:scaling>
          <c:orientation val="minMax"/>
          <c:max val="100"/>
        </c:scaling>
        <c:delete val="0"/>
        <c:axPos val="r"/>
        <c:numFmt formatCode="_(* #,##0.00_);_(* \(#,##0.00\);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vi-VN"/>
          </a:p>
        </c:txPr>
        <c:crossAx val="1080255208"/>
        <c:crosses val="max"/>
        <c:crossBetween val="between"/>
      </c:valAx>
      <c:dateAx>
        <c:axId val="1080255208"/>
        <c:scaling>
          <c:orientation val="minMax"/>
        </c:scaling>
        <c:delete val="1"/>
        <c:axPos val="b"/>
        <c:numFmt formatCode="m/d/yy" sourceLinked="1"/>
        <c:majorTickMark val="out"/>
        <c:minorTickMark val="none"/>
        <c:tickLblPos val="nextTo"/>
        <c:crossAx val="1080254488"/>
        <c:crosses val="autoZero"/>
        <c:auto val="1"/>
        <c:lblOffset val="100"/>
        <c:baseTimeUnit val="days"/>
      </c:date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vi-VN"/>
        </a:p>
      </c:txPr>
    </c:legend>
    <c:plotVisOnly val="1"/>
    <c:dispBlanksAs val="gap"/>
    <c:showDLblsOverMax val="0"/>
  </c:chart>
  <c:spPr>
    <a:solidFill>
      <a:schemeClr val="bg1"/>
    </a:solidFill>
    <a:ln w="9525" cap="flat" cmpd="sng" algn="ctr">
      <a:noFill/>
      <a:round/>
    </a:ln>
    <a:effectLst/>
  </c:spPr>
  <c:txPr>
    <a:bodyPr/>
    <a:lstStyle/>
    <a:p>
      <a:pPr>
        <a:defRPr/>
      </a:pPr>
      <a:endParaRPr lang="vi-VN"/>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921106736657917"/>
          <c:y val="0.15857284373274805"/>
          <c:w val="0.73436942257217852"/>
          <c:h val="0.53838279829793767"/>
        </c:manualLayout>
      </c:layout>
      <c:barChart>
        <c:barDir val="col"/>
        <c:grouping val="clustered"/>
        <c:varyColors val="0"/>
        <c:ser>
          <c:idx val="2"/>
          <c:order val="2"/>
          <c:tx>
            <c:strRef>
              <c:f>Diamond!$T$2</c:f>
              <c:strCache>
                <c:ptCount val="1"/>
                <c:pt idx="0">
                  <c:v>GT giao dịch ròng NĐTNN (Tỷ VND)</c:v>
                </c:pt>
              </c:strCache>
            </c:strRef>
          </c:tx>
          <c:spPr>
            <a:solidFill>
              <a:schemeClr val="bg1">
                <a:lumMod val="65000"/>
              </a:schemeClr>
            </a:solidFill>
            <a:ln>
              <a:solidFill>
                <a:schemeClr val="bg1">
                  <a:lumMod val="50000"/>
                </a:schemeClr>
              </a:solidFill>
            </a:ln>
            <a:effectLst/>
          </c:spPr>
          <c:invertIfNegative val="0"/>
          <c:cat>
            <c:numRef>
              <c:f>Diamond!$Q$3:$Q$183</c:f>
              <c:numCache>
                <c:formatCode>m/d/yy</c:formatCode>
                <c:ptCount val="181"/>
                <c:pt idx="0">
                  <c:v>45415</c:v>
                </c:pt>
                <c:pt idx="3">
                  <c:v>45414</c:v>
                </c:pt>
                <c:pt idx="4">
                  <c:v>45408</c:v>
                </c:pt>
                <c:pt idx="8">
                  <c:v>45407</c:v>
                </c:pt>
                <c:pt idx="9">
                  <c:v>45406</c:v>
                </c:pt>
                <c:pt idx="10">
                  <c:v>45405</c:v>
                </c:pt>
                <c:pt idx="11">
                  <c:v>45404</c:v>
                </c:pt>
                <c:pt idx="12">
                  <c:v>45401</c:v>
                </c:pt>
                <c:pt idx="13">
                  <c:v>45399</c:v>
                </c:pt>
                <c:pt idx="14">
                  <c:v>45398</c:v>
                </c:pt>
                <c:pt idx="15">
                  <c:v>45397</c:v>
                </c:pt>
                <c:pt idx="16">
                  <c:v>45394</c:v>
                </c:pt>
                <c:pt idx="17">
                  <c:v>45393</c:v>
                </c:pt>
                <c:pt idx="18">
                  <c:v>45392</c:v>
                </c:pt>
                <c:pt idx="19">
                  <c:v>45391</c:v>
                </c:pt>
                <c:pt idx="20">
                  <c:v>45390</c:v>
                </c:pt>
                <c:pt idx="21">
                  <c:v>45387</c:v>
                </c:pt>
                <c:pt idx="22">
                  <c:v>45386</c:v>
                </c:pt>
                <c:pt idx="23">
                  <c:v>45385</c:v>
                </c:pt>
                <c:pt idx="24">
                  <c:v>45384</c:v>
                </c:pt>
                <c:pt idx="25">
                  <c:v>45383</c:v>
                </c:pt>
                <c:pt idx="26">
                  <c:v>45380</c:v>
                </c:pt>
                <c:pt idx="27">
                  <c:v>45379</c:v>
                </c:pt>
                <c:pt idx="28">
                  <c:v>45378</c:v>
                </c:pt>
                <c:pt idx="29">
                  <c:v>45377</c:v>
                </c:pt>
                <c:pt idx="30">
                  <c:v>45376</c:v>
                </c:pt>
                <c:pt idx="31">
                  <c:v>45373</c:v>
                </c:pt>
                <c:pt idx="32">
                  <c:v>45372</c:v>
                </c:pt>
                <c:pt idx="33">
                  <c:v>45371</c:v>
                </c:pt>
                <c:pt idx="34">
                  <c:v>45370</c:v>
                </c:pt>
                <c:pt idx="35">
                  <c:v>45369</c:v>
                </c:pt>
                <c:pt idx="36">
                  <c:v>45366</c:v>
                </c:pt>
                <c:pt idx="37">
                  <c:v>45365</c:v>
                </c:pt>
                <c:pt idx="38">
                  <c:v>45364</c:v>
                </c:pt>
                <c:pt idx="39">
                  <c:v>45363</c:v>
                </c:pt>
                <c:pt idx="40">
                  <c:v>45362</c:v>
                </c:pt>
                <c:pt idx="41">
                  <c:v>45359</c:v>
                </c:pt>
                <c:pt idx="42">
                  <c:v>45358</c:v>
                </c:pt>
                <c:pt idx="43">
                  <c:v>45357</c:v>
                </c:pt>
                <c:pt idx="44">
                  <c:v>45356</c:v>
                </c:pt>
                <c:pt idx="45">
                  <c:v>45355</c:v>
                </c:pt>
                <c:pt idx="46">
                  <c:v>45352</c:v>
                </c:pt>
                <c:pt idx="47">
                  <c:v>45351</c:v>
                </c:pt>
                <c:pt idx="48">
                  <c:v>45350</c:v>
                </c:pt>
                <c:pt idx="49">
                  <c:v>45349</c:v>
                </c:pt>
                <c:pt idx="50">
                  <c:v>45348</c:v>
                </c:pt>
                <c:pt idx="51">
                  <c:v>45345</c:v>
                </c:pt>
                <c:pt idx="52">
                  <c:v>45344</c:v>
                </c:pt>
                <c:pt idx="53">
                  <c:v>45343</c:v>
                </c:pt>
                <c:pt idx="54">
                  <c:v>45342</c:v>
                </c:pt>
                <c:pt idx="55">
                  <c:v>45341</c:v>
                </c:pt>
                <c:pt idx="56">
                  <c:v>45338</c:v>
                </c:pt>
                <c:pt idx="57">
                  <c:v>45337</c:v>
                </c:pt>
                <c:pt idx="58">
                  <c:v>45329</c:v>
                </c:pt>
                <c:pt idx="59">
                  <c:v>45328</c:v>
                </c:pt>
                <c:pt idx="60">
                  <c:v>45327</c:v>
                </c:pt>
                <c:pt idx="61">
                  <c:v>45324</c:v>
                </c:pt>
                <c:pt idx="62">
                  <c:v>45323</c:v>
                </c:pt>
                <c:pt idx="63">
                  <c:v>45322</c:v>
                </c:pt>
                <c:pt idx="64">
                  <c:v>45321</c:v>
                </c:pt>
                <c:pt idx="65">
                  <c:v>45320</c:v>
                </c:pt>
                <c:pt idx="66">
                  <c:v>45317</c:v>
                </c:pt>
                <c:pt idx="67">
                  <c:v>45316</c:v>
                </c:pt>
                <c:pt idx="68">
                  <c:v>45315</c:v>
                </c:pt>
                <c:pt idx="69">
                  <c:v>45314</c:v>
                </c:pt>
                <c:pt idx="70">
                  <c:v>45313</c:v>
                </c:pt>
                <c:pt idx="71">
                  <c:v>45310</c:v>
                </c:pt>
                <c:pt idx="72">
                  <c:v>45309</c:v>
                </c:pt>
                <c:pt idx="73">
                  <c:v>45308</c:v>
                </c:pt>
                <c:pt idx="74">
                  <c:v>45307</c:v>
                </c:pt>
                <c:pt idx="75">
                  <c:v>45306</c:v>
                </c:pt>
                <c:pt idx="76">
                  <c:v>45303</c:v>
                </c:pt>
                <c:pt idx="77">
                  <c:v>45302</c:v>
                </c:pt>
                <c:pt idx="78">
                  <c:v>45301</c:v>
                </c:pt>
                <c:pt idx="79">
                  <c:v>45300</c:v>
                </c:pt>
                <c:pt idx="80">
                  <c:v>45299</c:v>
                </c:pt>
                <c:pt idx="81">
                  <c:v>45296</c:v>
                </c:pt>
                <c:pt idx="82">
                  <c:v>45295</c:v>
                </c:pt>
                <c:pt idx="83">
                  <c:v>45294</c:v>
                </c:pt>
                <c:pt idx="84">
                  <c:v>45293</c:v>
                </c:pt>
                <c:pt idx="85">
                  <c:v>45289</c:v>
                </c:pt>
                <c:pt idx="86">
                  <c:v>45288</c:v>
                </c:pt>
                <c:pt idx="87">
                  <c:v>45287</c:v>
                </c:pt>
                <c:pt idx="88">
                  <c:v>45286</c:v>
                </c:pt>
                <c:pt idx="89">
                  <c:v>45285</c:v>
                </c:pt>
                <c:pt idx="90">
                  <c:v>45282</c:v>
                </c:pt>
                <c:pt idx="91">
                  <c:v>45281</c:v>
                </c:pt>
                <c:pt idx="92">
                  <c:v>45280</c:v>
                </c:pt>
                <c:pt idx="93">
                  <c:v>45279</c:v>
                </c:pt>
                <c:pt idx="94">
                  <c:v>45278</c:v>
                </c:pt>
                <c:pt idx="95">
                  <c:v>45275</c:v>
                </c:pt>
                <c:pt idx="96">
                  <c:v>45274</c:v>
                </c:pt>
                <c:pt idx="97">
                  <c:v>45273</c:v>
                </c:pt>
                <c:pt idx="98">
                  <c:v>45272</c:v>
                </c:pt>
                <c:pt idx="99">
                  <c:v>45271</c:v>
                </c:pt>
                <c:pt idx="100">
                  <c:v>45268</c:v>
                </c:pt>
                <c:pt idx="101">
                  <c:v>45267</c:v>
                </c:pt>
                <c:pt idx="102">
                  <c:v>45266</c:v>
                </c:pt>
                <c:pt idx="103">
                  <c:v>45265</c:v>
                </c:pt>
                <c:pt idx="104">
                  <c:v>45264</c:v>
                </c:pt>
                <c:pt idx="105">
                  <c:v>45261</c:v>
                </c:pt>
                <c:pt idx="106">
                  <c:v>45260</c:v>
                </c:pt>
                <c:pt idx="107">
                  <c:v>45259</c:v>
                </c:pt>
                <c:pt idx="108">
                  <c:v>45258</c:v>
                </c:pt>
                <c:pt idx="109">
                  <c:v>45257</c:v>
                </c:pt>
                <c:pt idx="110">
                  <c:v>45254</c:v>
                </c:pt>
                <c:pt idx="111">
                  <c:v>45253</c:v>
                </c:pt>
                <c:pt idx="112">
                  <c:v>45252</c:v>
                </c:pt>
                <c:pt idx="113">
                  <c:v>45251</c:v>
                </c:pt>
                <c:pt idx="114">
                  <c:v>45250</c:v>
                </c:pt>
                <c:pt idx="115">
                  <c:v>45247</c:v>
                </c:pt>
                <c:pt idx="116">
                  <c:v>45246</c:v>
                </c:pt>
                <c:pt idx="117">
                  <c:v>45245</c:v>
                </c:pt>
                <c:pt idx="118">
                  <c:v>45244</c:v>
                </c:pt>
                <c:pt idx="119">
                  <c:v>45243</c:v>
                </c:pt>
                <c:pt idx="120">
                  <c:v>45240</c:v>
                </c:pt>
                <c:pt idx="121">
                  <c:v>45239</c:v>
                </c:pt>
                <c:pt idx="122">
                  <c:v>45238</c:v>
                </c:pt>
                <c:pt idx="123">
                  <c:v>45237</c:v>
                </c:pt>
                <c:pt idx="124">
                  <c:v>45236</c:v>
                </c:pt>
                <c:pt idx="125">
                  <c:v>45233</c:v>
                </c:pt>
                <c:pt idx="126">
                  <c:v>45232</c:v>
                </c:pt>
                <c:pt idx="127">
                  <c:v>45231</c:v>
                </c:pt>
                <c:pt idx="128">
                  <c:v>45230</c:v>
                </c:pt>
                <c:pt idx="129">
                  <c:v>45229</c:v>
                </c:pt>
                <c:pt idx="130">
                  <c:v>45226</c:v>
                </c:pt>
                <c:pt idx="131">
                  <c:v>45225</c:v>
                </c:pt>
                <c:pt idx="132">
                  <c:v>45224</c:v>
                </c:pt>
                <c:pt idx="133">
                  <c:v>45223</c:v>
                </c:pt>
                <c:pt idx="134">
                  <c:v>45222</c:v>
                </c:pt>
                <c:pt idx="135">
                  <c:v>45219</c:v>
                </c:pt>
                <c:pt idx="136">
                  <c:v>45218</c:v>
                </c:pt>
                <c:pt idx="137">
                  <c:v>45217</c:v>
                </c:pt>
                <c:pt idx="138">
                  <c:v>45216</c:v>
                </c:pt>
                <c:pt idx="139">
                  <c:v>45215</c:v>
                </c:pt>
                <c:pt idx="140">
                  <c:v>45212</c:v>
                </c:pt>
                <c:pt idx="141">
                  <c:v>45211</c:v>
                </c:pt>
                <c:pt idx="142">
                  <c:v>45210</c:v>
                </c:pt>
                <c:pt idx="143">
                  <c:v>45209</c:v>
                </c:pt>
                <c:pt idx="144">
                  <c:v>45208</c:v>
                </c:pt>
                <c:pt idx="145">
                  <c:v>45205</c:v>
                </c:pt>
                <c:pt idx="146">
                  <c:v>45204</c:v>
                </c:pt>
                <c:pt idx="147">
                  <c:v>45203</c:v>
                </c:pt>
                <c:pt idx="148">
                  <c:v>45202</c:v>
                </c:pt>
                <c:pt idx="149">
                  <c:v>45201</c:v>
                </c:pt>
                <c:pt idx="150">
                  <c:v>45198</c:v>
                </c:pt>
                <c:pt idx="151">
                  <c:v>45197</c:v>
                </c:pt>
                <c:pt idx="152">
                  <c:v>45196</c:v>
                </c:pt>
                <c:pt idx="153">
                  <c:v>45195</c:v>
                </c:pt>
                <c:pt idx="154">
                  <c:v>45194</c:v>
                </c:pt>
                <c:pt idx="155">
                  <c:v>45191</c:v>
                </c:pt>
                <c:pt idx="156">
                  <c:v>45190</c:v>
                </c:pt>
                <c:pt idx="157">
                  <c:v>45189</c:v>
                </c:pt>
                <c:pt idx="158">
                  <c:v>45188</c:v>
                </c:pt>
                <c:pt idx="159">
                  <c:v>45187</c:v>
                </c:pt>
                <c:pt idx="160">
                  <c:v>45184</c:v>
                </c:pt>
                <c:pt idx="161">
                  <c:v>45183</c:v>
                </c:pt>
                <c:pt idx="162">
                  <c:v>45182</c:v>
                </c:pt>
                <c:pt idx="163">
                  <c:v>45181</c:v>
                </c:pt>
                <c:pt idx="164">
                  <c:v>45180</c:v>
                </c:pt>
                <c:pt idx="165">
                  <c:v>45177</c:v>
                </c:pt>
                <c:pt idx="166">
                  <c:v>45176</c:v>
                </c:pt>
                <c:pt idx="167">
                  <c:v>45175</c:v>
                </c:pt>
                <c:pt idx="168">
                  <c:v>45174</c:v>
                </c:pt>
                <c:pt idx="169">
                  <c:v>45169</c:v>
                </c:pt>
                <c:pt idx="170">
                  <c:v>45168</c:v>
                </c:pt>
                <c:pt idx="171">
                  <c:v>45167</c:v>
                </c:pt>
                <c:pt idx="172">
                  <c:v>45166</c:v>
                </c:pt>
                <c:pt idx="173">
                  <c:v>45163</c:v>
                </c:pt>
                <c:pt idx="174">
                  <c:v>45162</c:v>
                </c:pt>
                <c:pt idx="175">
                  <c:v>45161</c:v>
                </c:pt>
                <c:pt idx="176">
                  <c:v>45160</c:v>
                </c:pt>
                <c:pt idx="177">
                  <c:v>45159</c:v>
                </c:pt>
                <c:pt idx="178">
                  <c:v>45156</c:v>
                </c:pt>
                <c:pt idx="179">
                  <c:v>45155</c:v>
                </c:pt>
                <c:pt idx="180">
                  <c:v>45154</c:v>
                </c:pt>
              </c:numCache>
            </c:numRef>
          </c:cat>
          <c:val>
            <c:numRef>
              <c:f>Diamond!$T$3:$T$256</c:f>
              <c:numCache>
                <c:formatCode>_-* #,##0_-;\-* #,##0_-;_-* "-"??_-;_-@_-</c:formatCode>
                <c:ptCount val="254"/>
                <c:pt idx="0">
                  <c:v>545.48861550000004</c:v>
                </c:pt>
                <c:pt idx="3">
                  <c:v>239.65417489999999</c:v>
                </c:pt>
                <c:pt idx="4">
                  <c:v>274.50238000000002</c:v>
                </c:pt>
                <c:pt idx="8">
                  <c:v>210.58344</c:v>
                </c:pt>
                <c:pt idx="9">
                  <c:v>160.36157</c:v>
                </c:pt>
                <c:pt idx="10">
                  <c:v>91.234372500000006</c:v>
                </c:pt>
                <c:pt idx="11">
                  <c:v>-88.58089425</c:v>
                </c:pt>
                <c:pt idx="12">
                  <c:v>-97.899574999999999</c:v>
                </c:pt>
                <c:pt idx="13">
                  <c:v>28.219829499999999</c:v>
                </c:pt>
                <c:pt idx="14">
                  <c:v>57.682315000000003</c:v>
                </c:pt>
                <c:pt idx="15">
                  <c:v>105.56281</c:v>
                </c:pt>
                <c:pt idx="16">
                  <c:v>13.30087</c:v>
                </c:pt>
                <c:pt idx="17">
                  <c:v>74.814438999999993</c:v>
                </c:pt>
                <c:pt idx="18">
                  <c:v>-48.526649599999999</c:v>
                </c:pt>
                <c:pt idx="19">
                  <c:v>276.12152659999998</c:v>
                </c:pt>
                <c:pt idx="20">
                  <c:v>16.392952900000001</c:v>
                </c:pt>
                <c:pt idx="21">
                  <c:v>120.95212859999999</c:v>
                </c:pt>
                <c:pt idx="22">
                  <c:v>110.4533028</c:v>
                </c:pt>
                <c:pt idx="23">
                  <c:v>-40.170402000000003</c:v>
                </c:pt>
                <c:pt idx="24">
                  <c:v>70.721318400000001</c:v>
                </c:pt>
                <c:pt idx="25">
                  <c:v>129.69693000000001</c:v>
                </c:pt>
                <c:pt idx="26">
                  <c:v>169.74589399999999</c:v>
                </c:pt>
                <c:pt idx="27">
                  <c:v>34.741451099999999</c:v>
                </c:pt>
                <c:pt idx="28">
                  <c:v>29.483144100000001</c:v>
                </c:pt>
                <c:pt idx="29">
                  <c:v>-140.75415285</c:v>
                </c:pt>
                <c:pt idx="30">
                  <c:v>1.7858529999999999</c:v>
                </c:pt>
                <c:pt idx="31">
                  <c:v>38.99776</c:v>
                </c:pt>
                <c:pt idx="32">
                  <c:v>51.0727695</c:v>
                </c:pt>
                <c:pt idx="33">
                  <c:v>59.750174000000001</c:v>
                </c:pt>
                <c:pt idx="34">
                  <c:v>-39.408504999999998</c:v>
                </c:pt>
                <c:pt idx="35">
                  <c:v>14.174994999999999</c:v>
                </c:pt>
                <c:pt idx="36">
                  <c:v>-7.1179050000000004</c:v>
                </c:pt>
                <c:pt idx="37">
                  <c:v>-56.243268399999998</c:v>
                </c:pt>
                <c:pt idx="38">
                  <c:v>68.469660050000002</c:v>
                </c:pt>
                <c:pt idx="39">
                  <c:v>-262.71665945000001</c:v>
                </c:pt>
                <c:pt idx="40">
                  <c:v>-32.941895000000002</c:v>
                </c:pt>
                <c:pt idx="41">
                  <c:v>-37.670825899999997</c:v>
                </c:pt>
                <c:pt idx="42">
                  <c:v>-57.118699999999997</c:v>
                </c:pt>
                <c:pt idx="43">
                  <c:v>-4.5085850000000001</c:v>
                </c:pt>
                <c:pt idx="44">
                  <c:v>211.39346879999999</c:v>
                </c:pt>
                <c:pt idx="45">
                  <c:v>75.800149750000003</c:v>
                </c:pt>
                <c:pt idx="46">
                  <c:v>138.67038500000001</c:v>
                </c:pt>
                <c:pt idx="47">
                  <c:v>12.40725495</c:v>
                </c:pt>
                <c:pt idx="48">
                  <c:v>16.982169800000001</c:v>
                </c:pt>
                <c:pt idx="49">
                  <c:v>-63.258407499999997</c:v>
                </c:pt>
                <c:pt idx="50">
                  <c:v>-81.416936300000003</c:v>
                </c:pt>
                <c:pt idx="51">
                  <c:v>-183.55081999999999</c:v>
                </c:pt>
                <c:pt idx="52">
                  <c:v>-105.4855884</c:v>
                </c:pt>
                <c:pt idx="53">
                  <c:v>-94.702995000000001</c:v>
                </c:pt>
                <c:pt idx="54">
                  <c:v>-86.214668000000003</c:v>
                </c:pt>
                <c:pt idx="55">
                  <c:v>-60.999875000000003</c:v>
                </c:pt>
                <c:pt idx="56">
                  <c:v>-52.857154999999999</c:v>
                </c:pt>
                <c:pt idx="57">
                  <c:v>-84.183430000000001</c:v>
                </c:pt>
                <c:pt idx="58">
                  <c:v>-45.059615000000001</c:v>
                </c:pt>
                <c:pt idx="59">
                  <c:v>-47.055916400000001</c:v>
                </c:pt>
                <c:pt idx="60">
                  <c:v>-1.3757900000000001</c:v>
                </c:pt>
                <c:pt idx="61">
                  <c:v>60.056845000000003</c:v>
                </c:pt>
                <c:pt idx="62">
                  <c:v>56.53228</c:v>
                </c:pt>
                <c:pt idx="63">
                  <c:v>-0.73131634999999995</c:v>
                </c:pt>
                <c:pt idx="64">
                  <c:v>-27.5944</c:v>
                </c:pt>
                <c:pt idx="65">
                  <c:v>-26.939104499999999</c:v>
                </c:pt>
                <c:pt idx="66">
                  <c:v>-11.8146912</c:v>
                </c:pt>
                <c:pt idx="67">
                  <c:v>-30.576964149999998</c:v>
                </c:pt>
                <c:pt idx="68">
                  <c:v>-63.199710099999997</c:v>
                </c:pt>
                <c:pt idx="69">
                  <c:v>-23.406455600000001</c:v>
                </c:pt>
                <c:pt idx="70">
                  <c:v>26.4543164</c:v>
                </c:pt>
                <c:pt idx="71">
                  <c:v>64.316464999999994</c:v>
                </c:pt>
                <c:pt idx="72">
                  <c:v>121.67339800000001</c:v>
                </c:pt>
                <c:pt idx="73">
                  <c:v>158.94987664999999</c:v>
                </c:pt>
                <c:pt idx="74">
                  <c:v>147.76240960000001</c:v>
                </c:pt>
                <c:pt idx="75">
                  <c:v>55.970134999999999</c:v>
                </c:pt>
                <c:pt idx="76">
                  <c:v>51.859580000000001</c:v>
                </c:pt>
                <c:pt idx="77">
                  <c:v>-28.160961</c:v>
                </c:pt>
                <c:pt idx="78">
                  <c:v>42.842488549999999</c:v>
                </c:pt>
                <c:pt idx="79">
                  <c:v>20.417330199999999</c:v>
                </c:pt>
                <c:pt idx="80">
                  <c:v>-19.89621795</c:v>
                </c:pt>
                <c:pt idx="81">
                  <c:v>-4.3661999999999999E-2</c:v>
                </c:pt>
                <c:pt idx="82">
                  <c:v>-9.1900200000000005</c:v>
                </c:pt>
                <c:pt idx="83">
                  <c:v>-19.357933450000001</c:v>
                </c:pt>
                <c:pt idx="84">
                  <c:v>14.328110000000001</c:v>
                </c:pt>
                <c:pt idx="85">
                  <c:v>-6.1281350000000003</c:v>
                </c:pt>
                <c:pt idx="86">
                  <c:v>27.746628000000001</c:v>
                </c:pt>
                <c:pt idx="87">
                  <c:v>22.341975000000001</c:v>
                </c:pt>
                <c:pt idx="88">
                  <c:v>7.2298900000000001</c:v>
                </c:pt>
                <c:pt idx="89">
                  <c:v>-10.71122965</c:v>
                </c:pt>
                <c:pt idx="90">
                  <c:v>54.89311</c:v>
                </c:pt>
                <c:pt idx="91">
                  <c:v>31.001432000000001</c:v>
                </c:pt>
                <c:pt idx="92">
                  <c:v>105.5843563</c:v>
                </c:pt>
                <c:pt idx="93">
                  <c:v>10.96053</c:v>
                </c:pt>
                <c:pt idx="94">
                  <c:v>-7.0634949999999996</c:v>
                </c:pt>
                <c:pt idx="95">
                  <c:v>-28.342894999999999</c:v>
                </c:pt>
                <c:pt idx="96">
                  <c:v>22.8230814</c:v>
                </c:pt>
                <c:pt idx="97">
                  <c:v>-34.21454</c:v>
                </c:pt>
                <c:pt idx="98">
                  <c:v>-5.6874599999999997</c:v>
                </c:pt>
                <c:pt idx="99">
                  <c:v>0.49722295</c:v>
                </c:pt>
                <c:pt idx="100">
                  <c:v>23.393553449999999</c:v>
                </c:pt>
                <c:pt idx="101">
                  <c:v>-16.99352</c:v>
                </c:pt>
                <c:pt idx="102">
                  <c:v>-14.764250000000001</c:v>
                </c:pt>
                <c:pt idx="103">
                  <c:v>3.1375E-2</c:v>
                </c:pt>
                <c:pt idx="104">
                  <c:v>-11.980409999999999</c:v>
                </c:pt>
                <c:pt idx="105">
                  <c:v>5.2297549999999999</c:v>
                </c:pt>
                <c:pt idx="106">
                  <c:v>2.1175350000000002</c:v>
                </c:pt>
                <c:pt idx="107">
                  <c:v>-121.72236475</c:v>
                </c:pt>
                <c:pt idx="108">
                  <c:v>-18.179545000000001</c:v>
                </c:pt>
                <c:pt idx="109">
                  <c:v>3.22926</c:v>
                </c:pt>
                <c:pt idx="110">
                  <c:v>5.9072550000000001</c:v>
                </c:pt>
                <c:pt idx="111">
                  <c:v>-41.396420900000003</c:v>
                </c:pt>
                <c:pt idx="112">
                  <c:v>-58.407550000000001</c:v>
                </c:pt>
                <c:pt idx="113">
                  <c:v>-23.568594999999998</c:v>
                </c:pt>
                <c:pt idx="114">
                  <c:v>-20.738724999999999</c:v>
                </c:pt>
                <c:pt idx="115">
                  <c:v>-65.124594999999999</c:v>
                </c:pt>
                <c:pt idx="116">
                  <c:v>-81.100075000000004</c:v>
                </c:pt>
                <c:pt idx="117">
                  <c:v>-40.044580000000003</c:v>
                </c:pt>
                <c:pt idx="118">
                  <c:v>-129.89184785</c:v>
                </c:pt>
                <c:pt idx="119">
                  <c:v>-47.446829999999999</c:v>
                </c:pt>
                <c:pt idx="120">
                  <c:v>7.80213</c:v>
                </c:pt>
                <c:pt idx="121">
                  <c:v>-53.959518000000003</c:v>
                </c:pt>
                <c:pt idx="122">
                  <c:v>-235.74915279999999</c:v>
                </c:pt>
                <c:pt idx="123">
                  <c:v>-121.679812</c:v>
                </c:pt>
                <c:pt idx="124">
                  <c:v>-45.605951599999997</c:v>
                </c:pt>
                <c:pt idx="125">
                  <c:v>56.545915000000001</c:v>
                </c:pt>
                <c:pt idx="126">
                  <c:v>-284.30690499999997</c:v>
                </c:pt>
                <c:pt idx="127">
                  <c:v>-187.83643280000001</c:v>
                </c:pt>
                <c:pt idx="128">
                  <c:v>-77.909562949999994</c:v>
                </c:pt>
                <c:pt idx="129">
                  <c:v>3.1147900000000002</c:v>
                </c:pt>
                <c:pt idx="130">
                  <c:v>-7.5730817999999998</c:v>
                </c:pt>
                <c:pt idx="131">
                  <c:v>64.781868000000003</c:v>
                </c:pt>
                <c:pt idx="132">
                  <c:v>-30.023783999999999</c:v>
                </c:pt>
                <c:pt idx="133">
                  <c:v>-135.18507695</c:v>
                </c:pt>
                <c:pt idx="134">
                  <c:v>-160.55307575</c:v>
                </c:pt>
                <c:pt idx="135">
                  <c:v>8.1165850000000006</c:v>
                </c:pt>
                <c:pt idx="136">
                  <c:v>-33.482393000000002</c:v>
                </c:pt>
                <c:pt idx="137">
                  <c:v>4.4736839000000002</c:v>
                </c:pt>
                <c:pt idx="138">
                  <c:v>-31.796785</c:v>
                </c:pt>
                <c:pt idx="139">
                  <c:v>-141.28778149999999</c:v>
                </c:pt>
                <c:pt idx="140">
                  <c:v>-123.303635</c:v>
                </c:pt>
                <c:pt idx="141">
                  <c:v>-237.65277</c:v>
                </c:pt>
                <c:pt idx="142">
                  <c:v>3.1995798999999998</c:v>
                </c:pt>
                <c:pt idx="143">
                  <c:v>6.98719</c:v>
                </c:pt>
                <c:pt idx="144">
                  <c:v>-10.675174999999999</c:v>
                </c:pt>
                <c:pt idx="145">
                  <c:v>-6.11557</c:v>
                </c:pt>
                <c:pt idx="146">
                  <c:v>-40.009029099999999</c:v>
                </c:pt>
                <c:pt idx="147">
                  <c:v>-32.539524999999998</c:v>
                </c:pt>
                <c:pt idx="148">
                  <c:v>35.161045000000001</c:v>
                </c:pt>
                <c:pt idx="149">
                  <c:v>-7.6501060000000001</c:v>
                </c:pt>
                <c:pt idx="150">
                  <c:v>14.795809999999999</c:v>
                </c:pt>
                <c:pt idx="151">
                  <c:v>-36.486669999999997</c:v>
                </c:pt>
                <c:pt idx="152">
                  <c:v>43.9</c:v>
                </c:pt>
                <c:pt idx="153">
                  <c:v>-38.017788000000003</c:v>
                </c:pt>
                <c:pt idx="154">
                  <c:v>56.660119999999999</c:v>
                </c:pt>
                <c:pt idx="155">
                  <c:v>-32.646575200000001</c:v>
                </c:pt>
                <c:pt idx="156">
                  <c:v>1.937853</c:v>
                </c:pt>
                <c:pt idx="157">
                  <c:v>-99.723529999999997</c:v>
                </c:pt>
                <c:pt idx="158">
                  <c:v>7.6377834</c:v>
                </c:pt>
                <c:pt idx="159">
                  <c:v>-19.575779000000001</c:v>
                </c:pt>
                <c:pt idx="160">
                  <c:v>-66.1062084</c:v>
                </c:pt>
                <c:pt idx="161">
                  <c:v>-39.386150000000001</c:v>
                </c:pt>
                <c:pt idx="162">
                  <c:v>-78.999949999999998</c:v>
                </c:pt>
                <c:pt idx="163">
                  <c:v>-6.3410919000000003</c:v>
                </c:pt>
                <c:pt idx="164">
                  <c:v>12.527937400000001</c:v>
                </c:pt>
                <c:pt idx="165">
                  <c:v>12.640487200000001</c:v>
                </c:pt>
                <c:pt idx="166">
                  <c:v>39.154845999999999</c:v>
                </c:pt>
                <c:pt idx="167">
                  <c:v>3.3040620000000001</c:v>
                </c:pt>
                <c:pt idx="168">
                  <c:v>27.681853</c:v>
                </c:pt>
                <c:pt idx="169">
                  <c:v>23.5789887</c:v>
                </c:pt>
                <c:pt idx="170">
                  <c:v>46.950288999999998</c:v>
                </c:pt>
                <c:pt idx="171">
                  <c:v>9.3431865999999992</c:v>
                </c:pt>
                <c:pt idx="172">
                  <c:v>-96.146525499999996</c:v>
                </c:pt>
                <c:pt idx="173">
                  <c:v>-132.24160599999999</c:v>
                </c:pt>
                <c:pt idx="174">
                  <c:v>-66.2965047</c:v>
                </c:pt>
                <c:pt idx="175">
                  <c:v>-11.439387099999999</c:v>
                </c:pt>
                <c:pt idx="176">
                  <c:v>-67.494758000000004</c:v>
                </c:pt>
                <c:pt idx="177">
                  <c:v>-87.784464999999997</c:v>
                </c:pt>
                <c:pt idx="178">
                  <c:v>-30.197869399999998</c:v>
                </c:pt>
                <c:pt idx="179">
                  <c:v>-51.096060000000001</c:v>
                </c:pt>
                <c:pt idx="180">
                  <c:v>-8.6182800000000004</c:v>
                </c:pt>
                <c:pt idx="181">
                  <c:v>-30.893160399999999</c:v>
                </c:pt>
                <c:pt idx="182">
                  <c:v>-24.102414</c:v>
                </c:pt>
                <c:pt idx="183">
                  <c:v>15.472770000000001</c:v>
                </c:pt>
                <c:pt idx="184">
                  <c:v>7.1314000999999996</c:v>
                </c:pt>
                <c:pt idx="185">
                  <c:v>63.069479299999998</c:v>
                </c:pt>
                <c:pt idx="186">
                  <c:v>81.081337000000005</c:v>
                </c:pt>
                <c:pt idx="187">
                  <c:v>-16.411566000000001</c:v>
                </c:pt>
                <c:pt idx="188">
                  <c:v>-15.762756400000001</c:v>
                </c:pt>
                <c:pt idx="189">
                  <c:v>-54.013987299999997</c:v>
                </c:pt>
                <c:pt idx="190">
                  <c:v>-50.361467599999997</c:v>
                </c:pt>
                <c:pt idx="191">
                  <c:v>-21.523413099999999</c:v>
                </c:pt>
                <c:pt idx="192">
                  <c:v>-6.3311599999999997</c:v>
                </c:pt>
                <c:pt idx="193">
                  <c:v>-20.07986</c:v>
                </c:pt>
                <c:pt idx="194">
                  <c:v>-23.725529999999999</c:v>
                </c:pt>
                <c:pt idx="195">
                  <c:v>62.5976176</c:v>
                </c:pt>
                <c:pt idx="196">
                  <c:v>-3.7999999999999999E-2</c:v>
                </c:pt>
                <c:pt idx="197">
                  <c:v>0</c:v>
                </c:pt>
                <c:pt idx="198">
                  <c:v>-57.733986199999997</c:v>
                </c:pt>
                <c:pt idx="199">
                  <c:v>0</c:v>
                </c:pt>
                <c:pt idx="200">
                  <c:v>31.675830000000001</c:v>
                </c:pt>
                <c:pt idx="201">
                  <c:v>-1.3732599999999999</c:v>
                </c:pt>
                <c:pt idx="202">
                  <c:v>0</c:v>
                </c:pt>
                <c:pt idx="203">
                  <c:v>-30.327681299999998</c:v>
                </c:pt>
                <c:pt idx="204">
                  <c:v>66.891577699999999</c:v>
                </c:pt>
                <c:pt idx="205">
                  <c:v>1.4840000000000001E-3</c:v>
                </c:pt>
                <c:pt idx="206">
                  <c:v>-1.6827000000000001</c:v>
                </c:pt>
                <c:pt idx="207">
                  <c:v>-44.759990000000002</c:v>
                </c:pt>
                <c:pt idx="208">
                  <c:v>9.4388360000000002</c:v>
                </c:pt>
                <c:pt idx="209">
                  <c:v>0</c:v>
                </c:pt>
                <c:pt idx="210">
                  <c:v>-18.339559999999999</c:v>
                </c:pt>
                <c:pt idx="211">
                  <c:v>-13.42075</c:v>
                </c:pt>
                <c:pt idx="212">
                  <c:v>0</c:v>
                </c:pt>
                <c:pt idx="213">
                  <c:v>-0.10349</c:v>
                </c:pt>
                <c:pt idx="214">
                  <c:v>-3.4720000000000001E-2</c:v>
                </c:pt>
                <c:pt idx="215">
                  <c:v>-5.2544300000000002</c:v>
                </c:pt>
                <c:pt idx="216">
                  <c:v>0</c:v>
                </c:pt>
                <c:pt idx="217">
                  <c:v>-8.6999999999999994E-2</c:v>
                </c:pt>
                <c:pt idx="218">
                  <c:v>0</c:v>
                </c:pt>
                <c:pt idx="219">
                  <c:v>0</c:v>
                </c:pt>
                <c:pt idx="220">
                  <c:v>0</c:v>
                </c:pt>
                <c:pt idx="221">
                  <c:v>0</c:v>
                </c:pt>
                <c:pt idx="222">
                  <c:v>0</c:v>
                </c:pt>
                <c:pt idx="223">
                  <c:v>0</c:v>
                </c:pt>
                <c:pt idx="224">
                  <c:v>-0.20174500000000001</c:v>
                </c:pt>
                <c:pt idx="225">
                  <c:v>0</c:v>
                </c:pt>
                <c:pt idx="226">
                  <c:v>0</c:v>
                </c:pt>
                <c:pt idx="227">
                  <c:v>0</c:v>
                </c:pt>
                <c:pt idx="228">
                  <c:v>0</c:v>
                </c:pt>
                <c:pt idx="229">
                  <c:v>-4.1349999999999998E-2</c:v>
                </c:pt>
                <c:pt idx="230">
                  <c:v>-0.12509999999999999</c:v>
                </c:pt>
                <c:pt idx="231">
                  <c:v>0</c:v>
                </c:pt>
                <c:pt idx="232">
                  <c:v>0</c:v>
                </c:pt>
                <c:pt idx="233">
                  <c:v>0</c:v>
                </c:pt>
                <c:pt idx="234">
                  <c:v>-0.58628000000000002</c:v>
                </c:pt>
                <c:pt idx="235">
                  <c:v>-7.8799999999999999E-3</c:v>
                </c:pt>
                <c:pt idx="236">
                  <c:v>0</c:v>
                </c:pt>
                <c:pt idx="237">
                  <c:v>0</c:v>
                </c:pt>
                <c:pt idx="238">
                  <c:v>0</c:v>
                </c:pt>
                <c:pt idx="239">
                  <c:v>0</c:v>
                </c:pt>
                <c:pt idx="240">
                  <c:v>0</c:v>
                </c:pt>
                <c:pt idx="241">
                  <c:v>0</c:v>
                </c:pt>
                <c:pt idx="242">
                  <c:v>-3.8349999999999999E-3</c:v>
                </c:pt>
                <c:pt idx="243">
                  <c:v>0</c:v>
                </c:pt>
                <c:pt idx="244">
                  <c:v>0</c:v>
                </c:pt>
                <c:pt idx="245">
                  <c:v>8.8435E-2</c:v>
                </c:pt>
                <c:pt idx="246">
                  <c:v>0</c:v>
                </c:pt>
                <c:pt idx="247">
                  <c:v>-1.5559999999999999E-2</c:v>
                </c:pt>
                <c:pt idx="248">
                  <c:v>-8.8525000000000006E-2</c:v>
                </c:pt>
                <c:pt idx="249">
                  <c:v>11.334391500000001</c:v>
                </c:pt>
                <c:pt idx="250">
                  <c:v>0</c:v>
                </c:pt>
                <c:pt idx="251">
                  <c:v>-7.5999999999999998E-2</c:v>
                </c:pt>
                <c:pt idx="252">
                  <c:v>-11.431010000000001</c:v>
                </c:pt>
                <c:pt idx="253">
                  <c:v>1.8950000000000002E-2</c:v>
                </c:pt>
              </c:numCache>
            </c:numRef>
          </c:val>
          <c:extLst>
            <c:ext xmlns:c16="http://schemas.microsoft.com/office/drawing/2014/chart" uri="{C3380CC4-5D6E-409C-BE32-E72D297353CC}">
              <c16:uniqueId val="{00000002-2F04-4D6A-A5B2-419B91DF2904}"/>
            </c:ext>
          </c:extLst>
        </c:ser>
        <c:dLbls>
          <c:showLegendKey val="0"/>
          <c:showVal val="0"/>
          <c:showCatName val="0"/>
          <c:showSerName val="0"/>
          <c:showPercent val="0"/>
          <c:showBubbleSize val="0"/>
        </c:dLbls>
        <c:gapWidth val="0"/>
        <c:overlap val="100"/>
        <c:axId val="1080222088"/>
        <c:axId val="1080221008"/>
      </c:barChart>
      <c:lineChart>
        <c:grouping val="standard"/>
        <c:varyColors val="0"/>
        <c:ser>
          <c:idx val="1"/>
          <c:order val="1"/>
          <c:tx>
            <c:strRef>
              <c:f>Diamond!$S$2</c:f>
              <c:strCache>
                <c:ptCount val="1"/>
                <c:pt idx="0">
                  <c:v>Tỷ lệ sở hữu NĐT nước ngoài (%)</c:v>
                </c:pt>
              </c:strCache>
            </c:strRef>
          </c:tx>
          <c:spPr>
            <a:ln w="19050" cap="rnd">
              <a:solidFill>
                <a:schemeClr val="accent3"/>
              </a:solidFill>
              <a:round/>
            </a:ln>
            <a:effectLst/>
          </c:spPr>
          <c:marker>
            <c:symbol val="none"/>
          </c:marker>
          <c:cat>
            <c:numRef>
              <c:f>Diamond!$Q$3:$Q$183</c:f>
              <c:numCache>
                <c:formatCode>m/d/yy</c:formatCode>
                <c:ptCount val="181"/>
                <c:pt idx="0">
                  <c:v>45415</c:v>
                </c:pt>
                <c:pt idx="3">
                  <c:v>45414</c:v>
                </c:pt>
                <c:pt idx="4">
                  <c:v>45408</c:v>
                </c:pt>
                <c:pt idx="8">
                  <c:v>45407</c:v>
                </c:pt>
                <c:pt idx="9">
                  <c:v>45406</c:v>
                </c:pt>
                <c:pt idx="10">
                  <c:v>45405</c:v>
                </c:pt>
                <c:pt idx="11">
                  <c:v>45404</c:v>
                </c:pt>
                <c:pt idx="12">
                  <c:v>45401</c:v>
                </c:pt>
                <c:pt idx="13">
                  <c:v>45399</c:v>
                </c:pt>
                <c:pt idx="14">
                  <c:v>45398</c:v>
                </c:pt>
                <c:pt idx="15">
                  <c:v>45397</c:v>
                </c:pt>
                <c:pt idx="16">
                  <c:v>45394</c:v>
                </c:pt>
                <c:pt idx="17">
                  <c:v>45393</c:v>
                </c:pt>
                <c:pt idx="18">
                  <c:v>45392</c:v>
                </c:pt>
                <c:pt idx="19">
                  <c:v>45391</c:v>
                </c:pt>
                <c:pt idx="20">
                  <c:v>45390</c:v>
                </c:pt>
                <c:pt idx="21">
                  <c:v>45387</c:v>
                </c:pt>
                <c:pt idx="22">
                  <c:v>45386</c:v>
                </c:pt>
                <c:pt idx="23">
                  <c:v>45385</c:v>
                </c:pt>
                <c:pt idx="24">
                  <c:v>45384</c:v>
                </c:pt>
                <c:pt idx="25">
                  <c:v>45383</c:v>
                </c:pt>
                <c:pt idx="26">
                  <c:v>45380</c:v>
                </c:pt>
                <c:pt idx="27">
                  <c:v>45379</c:v>
                </c:pt>
                <c:pt idx="28">
                  <c:v>45378</c:v>
                </c:pt>
                <c:pt idx="29">
                  <c:v>45377</c:v>
                </c:pt>
                <c:pt idx="30">
                  <c:v>45376</c:v>
                </c:pt>
                <c:pt idx="31">
                  <c:v>45373</c:v>
                </c:pt>
                <c:pt idx="32">
                  <c:v>45372</c:v>
                </c:pt>
                <c:pt idx="33">
                  <c:v>45371</c:v>
                </c:pt>
                <c:pt idx="34">
                  <c:v>45370</c:v>
                </c:pt>
                <c:pt idx="35">
                  <c:v>45369</c:v>
                </c:pt>
                <c:pt idx="36">
                  <c:v>45366</c:v>
                </c:pt>
                <c:pt idx="37">
                  <c:v>45365</c:v>
                </c:pt>
                <c:pt idx="38">
                  <c:v>45364</c:v>
                </c:pt>
                <c:pt idx="39">
                  <c:v>45363</c:v>
                </c:pt>
                <c:pt idx="40">
                  <c:v>45362</c:v>
                </c:pt>
                <c:pt idx="41">
                  <c:v>45359</c:v>
                </c:pt>
                <c:pt idx="42">
                  <c:v>45358</c:v>
                </c:pt>
                <c:pt idx="43">
                  <c:v>45357</c:v>
                </c:pt>
                <c:pt idx="44">
                  <c:v>45356</c:v>
                </c:pt>
                <c:pt idx="45">
                  <c:v>45355</c:v>
                </c:pt>
                <c:pt idx="46">
                  <c:v>45352</c:v>
                </c:pt>
                <c:pt idx="47">
                  <c:v>45351</c:v>
                </c:pt>
                <c:pt idx="48">
                  <c:v>45350</c:v>
                </c:pt>
                <c:pt idx="49">
                  <c:v>45349</c:v>
                </c:pt>
                <c:pt idx="50">
                  <c:v>45348</c:v>
                </c:pt>
                <c:pt idx="51">
                  <c:v>45345</c:v>
                </c:pt>
                <c:pt idx="52">
                  <c:v>45344</c:v>
                </c:pt>
                <c:pt idx="53">
                  <c:v>45343</c:v>
                </c:pt>
                <c:pt idx="54">
                  <c:v>45342</c:v>
                </c:pt>
                <c:pt idx="55">
                  <c:v>45341</c:v>
                </c:pt>
                <c:pt idx="56">
                  <c:v>45338</c:v>
                </c:pt>
                <c:pt idx="57">
                  <c:v>45337</c:v>
                </c:pt>
                <c:pt idx="58">
                  <c:v>45329</c:v>
                </c:pt>
                <c:pt idx="59">
                  <c:v>45328</c:v>
                </c:pt>
                <c:pt idx="60">
                  <c:v>45327</c:v>
                </c:pt>
                <c:pt idx="61">
                  <c:v>45324</c:v>
                </c:pt>
                <c:pt idx="62">
                  <c:v>45323</c:v>
                </c:pt>
                <c:pt idx="63">
                  <c:v>45322</c:v>
                </c:pt>
                <c:pt idx="64">
                  <c:v>45321</c:v>
                </c:pt>
                <c:pt idx="65">
                  <c:v>45320</c:v>
                </c:pt>
                <c:pt idx="66">
                  <c:v>45317</c:v>
                </c:pt>
                <c:pt idx="67">
                  <c:v>45316</c:v>
                </c:pt>
                <c:pt idx="68">
                  <c:v>45315</c:v>
                </c:pt>
                <c:pt idx="69">
                  <c:v>45314</c:v>
                </c:pt>
                <c:pt idx="70">
                  <c:v>45313</c:v>
                </c:pt>
                <c:pt idx="71">
                  <c:v>45310</c:v>
                </c:pt>
                <c:pt idx="72">
                  <c:v>45309</c:v>
                </c:pt>
                <c:pt idx="73">
                  <c:v>45308</c:v>
                </c:pt>
                <c:pt idx="74">
                  <c:v>45307</c:v>
                </c:pt>
                <c:pt idx="75">
                  <c:v>45306</c:v>
                </c:pt>
                <c:pt idx="76">
                  <c:v>45303</c:v>
                </c:pt>
                <c:pt idx="77">
                  <c:v>45302</c:v>
                </c:pt>
                <c:pt idx="78">
                  <c:v>45301</c:v>
                </c:pt>
                <c:pt idx="79">
                  <c:v>45300</c:v>
                </c:pt>
                <c:pt idx="80">
                  <c:v>45299</c:v>
                </c:pt>
                <c:pt idx="81">
                  <c:v>45296</c:v>
                </c:pt>
                <c:pt idx="82">
                  <c:v>45295</c:v>
                </c:pt>
                <c:pt idx="83">
                  <c:v>45294</c:v>
                </c:pt>
                <c:pt idx="84">
                  <c:v>45293</c:v>
                </c:pt>
                <c:pt idx="85">
                  <c:v>45289</c:v>
                </c:pt>
                <c:pt idx="86">
                  <c:v>45288</c:v>
                </c:pt>
                <c:pt idx="87">
                  <c:v>45287</c:v>
                </c:pt>
                <c:pt idx="88">
                  <c:v>45286</c:v>
                </c:pt>
                <c:pt idx="89">
                  <c:v>45285</c:v>
                </c:pt>
                <c:pt idx="90">
                  <c:v>45282</c:v>
                </c:pt>
                <c:pt idx="91">
                  <c:v>45281</c:v>
                </c:pt>
                <c:pt idx="92">
                  <c:v>45280</c:v>
                </c:pt>
                <c:pt idx="93">
                  <c:v>45279</c:v>
                </c:pt>
                <c:pt idx="94">
                  <c:v>45278</c:v>
                </c:pt>
                <c:pt idx="95">
                  <c:v>45275</c:v>
                </c:pt>
                <c:pt idx="96">
                  <c:v>45274</c:v>
                </c:pt>
                <c:pt idx="97">
                  <c:v>45273</c:v>
                </c:pt>
                <c:pt idx="98">
                  <c:v>45272</c:v>
                </c:pt>
                <c:pt idx="99">
                  <c:v>45271</c:v>
                </c:pt>
                <c:pt idx="100">
                  <c:v>45268</c:v>
                </c:pt>
                <c:pt idx="101">
                  <c:v>45267</c:v>
                </c:pt>
                <c:pt idx="102">
                  <c:v>45266</c:v>
                </c:pt>
                <c:pt idx="103">
                  <c:v>45265</c:v>
                </c:pt>
                <c:pt idx="104">
                  <c:v>45264</c:v>
                </c:pt>
                <c:pt idx="105">
                  <c:v>45261</c:v>
                </c:pt>
                <c:pt idx="106">
                  <c:v>45260</c:v>
                </c:pt>
                <c:pt idx="107">
                  <c:v>45259</c:v>
                </c:pt>
                <c:pt idx="108">
                  <c:v>45258</c:v>
                </c:pt>
                <c:pt idx="109">
                  <c:v>45257</c:v>
                </c:pt>
                <c:pt idx="110">
                  <c:v>45254</c:v>
                </c:pt>
                <c:pt idx="111">
                  <c:v>45253</c:v>
                </c:pt>
                <c:pt idx="112">
                  <c:v>45252</c:v>
                </c:pt>
                <c:pt idx="113">
                  <c:v>45251</c:v>
                </c:pt>
                <c:pt idx="114">
                  <c:v>45250</c:v>
                </c:pt>
                <c:pt idx="115">
                  <c:v>45247</c:v>
                </c:pt>
                <c:pt idx="116">
                  <c:v>45246</c:v>
                </c:pt>
                <c:pt idx="117">
                  <c:v>45245</c:v>
                </c:pt>
                <c:pt idx="118">
                  <c:v>45244</c:v>
                </c:pt>
                <c:pt idx="119">
                  <c:v>45243</c:v>
                </c:pt>
                <c:pt idx="120">
                  <c:v>45240</c:v>
                </c:pt>
                <c:pt idx="121">
                  <c:v>45239</c:v>
                </c:pt>
                <c:pt idx="122">
                  <c:v>45238</c:v>
                </c:pt>
                <c:pt idx="123">
                  <c:v>45237</c:v>
                </c:pt>
                <c:pt idx="124">
                  <c:v>45236</c:v>
                </c:pt>
                <c:pt idx="125">
                  <c:v>45233</c:v>
                </c:pt>
                <c:pt idx="126">
                  <c:v>45232</c:v>
                </c:pt>
                <c:pt idx="127">
                  <c:v>45231</c:v>
                </c:pt>
                <c:pt idx="128">
                  <c:v>45230</c:v>
                </c:pt>
                <c:pt idx="129">
                  <c:v>45229</c:v>
                </c:pt>
                <c:pt idx="130">
                  <c:v>45226</c:v>
                </c:pt>
                <c:pt idx="131">
                  <c:v>45225</c:v>
                </c:pt>
                <c:pt idx="132">
                  <c:v>45224</c:v>
                </c:pt>
                <c:pt idx="133">
                  <c:v>45223</c:v>
                </c:pt>
                <c:pt idx="134">
                  <c:v>45222</c:v>
                </c:pt>
                <c:pt idx="135">
                  <c:v>45219</c:v>
                </c:pt>
                <c:pt idx="136">
                  <c:v>45218</c:v>
                </c:pt>
                <c:pt idx="137">
                  <c:v>45217</c:v>
                </c:pt>
                <c:pt idx="138">
                  <c:v>45216</c:v>
                </c:pt>
                <c:pt idx="139">
                  <c:v>45215</c:v>
                </c:pt>
                <c:pt idx="140">
                  <c:v>45212</c:v>
                </c:pt>
                <c:pt idx="141">
                  <c:v>45211</c:v>
                </c:pt>
                <c:pt idx="142">
                  <c:v>45210</c:v>
                </c:pt>
                <c:pt idx="143">
                  <c:v>45209</c:v>
                </c:pt>
                <c:pt idx="144">
                  <c:v>45208</c:v>
                </c:pt>
                <c:pt idx="145">
                  <c:v>45205</c:v>
                </c:pt>
                <c:pt idx="146">
                  <c:v>45204</c:v>
                </c:pt>
                <c:pt idx="147">
                  <c:v>45203</c:v>
                </c:pt>
                <c:pt idx="148">
                  <c:v>45202</c:v>
                </c:pt>
                <c:pt idx="149">
                  <c:v>45201</c:v>
                </c:pt>
                <c:pt idx="150">
                  <c:v>45198</c:v>
                </c:pt>
                <c:pt idx="151">
                  <c:v>45197</c:v>
                </c:pt>
                <c:pt idx="152">
                  <c:v>45196</c:v>
                </c:pt>
                <c:pt idx="153">
                  <c:v>45195</c:v>
                </c:pt>
                <c:pt idx="154">
                  <c:v>45194</c:v>
                </c:pt>
                <c:pt idx="155">
                  <c:v>45191</c:v>
                </c:pt>
                <c:pt idx="156">
                  <c:v>45190</c:v>
                </c:pt>
                <c:pt idx="157">
                  <c:v>45189</c:v>
                </c:pt>
                <c:pt idx="158">
                  <c:v>45188</c:v>
                </c:pt>
                <c:pt idx="159">
                  <c:v>45187</c:v>
                </c:pt>
                <c:pt idx="160">
                  <c:v>45184</c:v>
                </c:pt>
                <c:pt idx="161">
                  <c:v>45183</c:v>
                </c:pt>
                <c:pt idx="162">
                  <c:v>45182</c:v>
                </c:pt>
                <c:pt idx="163">
                  <c:v>45181</c:v>
                </c:pt>
                <c:pt idx="164">
                  <c:v>45180</c:v>
                </c:pt>
                <c:pt idx="165">
                  <c:v>45177</c:v>
                </c:pt>
                <c:pt idx="166">
                  <c:v>45176</c:v>
                </c:pt>
                <c:pt idx="167">
                  <c:v>45175</c:v>
                </c:pt>
                <c:pt idx="168">
                  <c:v>45174</c:v>
                </c:pt>
                <c:pt idx="169">
                  <c:v>45169</c:v>
                </c:pt>
                <c:pt idx="170">
                  <c:v>45168</c:v>
                </c:pt>
                <c:pt idx="171">
                  <c:v>45167</c:v>
                </c:pt>
                <c:pt idx="172">
                  <c:v>45166</c:v>
                </c:pt>
                <c:pt idx="173">
                  <c:v>45163</c:v>
                </c:pt>
                <c:pt idx="174">
                  <c:v>45162</c:v>
                </c:pt>
                <c:pt idx="175">
                  <c:v>45161</c:v>
                </c:pt>
                <c:pt idx="176">
                  <c:v>45160</c:v>
                </c:pt>
                <c:pt idx="177">
                  <c:v>45159</c:v>
                </c:pt>
                <c:pt idx="178">
                  <c:v>45156</c:v>
                </c:pt>
                <c:pt idx="179">
                  <c:v>45155</c:v>
                </c:pt>
                <c:pt idx="180">
                  <c:v>45154</c:v>
                </c:pt>
              </c:numCache>
            </c:numRef>
          </c:cat>
          <c:val>
            <c:numRef>
              <c:f>Diamond!$S$3:$S$256</c:f>
              <c:numCache>
                <c:formatCode>0%</c:formatCode>
                <c:ptCount val="254"/>
                <c:pt idx="0">
                  <c:v>0.47475566435075001</c:v>
                </c:pt>
                <c:pt idx="3">
                  <c:v>0.46769696313795001</c:v>
                </c:pt>
                <c:pt idx="4">
                  <c:v>0.46456073105920997</c:v>
                </c:pt>
                <c:pt idx="8">
                  <c:v>0.46099999379790002</c:v>
                </c:pt>
                <c:pt idx="9">
                  <c:v>0.46104263490275998</c:v>
                </c:pt>
                <c:pt idx="10">
                  <c:v>0.46249889628556001</c:v>
                </c:pt>
                <c:pt idx="11">
                  <c:v>0.45966480035205998</c:v>
                </c:pt>
                <c:pt idx="12">
                  <c:v>0.45797011710823998</c:v>
                </c:pt>
                <c:pt idx="13">
                  <c:v>0.45881333812337999</c:v>
                </c:pt>
                <c:pt idx="14">
                  <c:v>0.45780579851728997</c:v>
                </c:pt>
                <c:pt idx="15">
                  <c:v>0.45667929432873999</c:v>
                </c:pt>
                <c:pt idx="16">
                  <c:v>0.45574313757223001</c:v>
                </c:pt>
                <c:pt idx="17">
                  <c:v>0.45648559847661002</c:v>
                </c:pt>
                <c:pt idx="18">
                  <c:v>0.45577460588759999</c:v>
                </c:pt>
                <c:pt idx="19">
                  <c:v>0.45551696204518999</c:v>
                </c:pt>
                <c:pt idx="20">
                  <c:v>0.45156117886461999</c:v>
                </c:pt>
                <c:pt idx="21">
                  <c:v>0.45181207598221002</c:v>
                </c:pt>
                <c:pt idx="22">
                  <c:v>0.45191844162155997</c:v>
                </c:pt>
                <c:pt idx="23">
                  <c:v>0.44959323925719002</c:v>
                </c:pt>
                <c:pt idx="24">
                  <c:v>0.44801568921504997</c:v>
                </c:pt>
                <c:pt idx="25">
                  <c:v>0.44516288176337998</c:v>
                </c:pt>
                <c:pt idx="26">
                  <c:v>0.44516288176337998</c:v>
                </c:pt>
                <c:pt idx="27">
                  <c:v>0.44298191225285999</c:v>
                </c:pt>
                <c:pt idx="28">
                  <c:v>0.44417822075009</c:v>
                </c:pt>
                <c:pt idx="29">
                  <c:v>0.44417822075009</c:v>
                </c:pt>
                <c:pt idx="30">
                  <c:v>0.44393569946618999</c:v>
                </c:pt>
                <c:pt idx="31">
                  <c:v>0.44362332330562998</c:v>
                </c:pt>
                <c:pt idx="32">
                  <c:v>0.44385772637917997</c:v>
                </c:pt>
                <c:pt idx="33">
                  <c:v>0.44227208546072999</c:v>
                </c:pt>
                <c:pt idx="34">
                  <c:v>0.44313324444065999</c:v>
                </c:pt>
                <c:pt idx="35">
                  <c:v>0.44400075858525001</c:v>
                </c:pt>
                <c:pt idx="36">
                  <c:v>0.44400075858525001</c:v>
                </c:pt>
                <c:pt idx="37">
                  <c:v>0.44828873510653</c:v>
                </c:pt>
                <c:pt idx="38">
                  <c:v>0.44828873510653</c:v>
                </c:pt>
                <c:pt idx="39">
                  <c:v>0.45015701684842002</c:v>
                </c:pt>
                <c:pt idx="40">
                  <c:v>0.44899183499103001</c:v>
                </c:pt>
                <c:pt idx="41">
                  <c:v>0.44899183499103001</c:v>
                </c:pt>
                <c:pt idx="42">
                  <c:v>0.44879289920312998</c:v>
                </c:pt>
                <c:pt idx="43">
                  <c:v>0.45028461078780002</c:v>
                </c:pt>
                <c:pt idx="44">
                  <c:v>0.44606807041747998</c:v>
                </c:pt>
                <c:pt idx="45">
                  <c:v>0.44446851647187002</c:v>
                </c:pt>
                <c:pt idx="46">
                  <c:v>0.44446851647187002</c:v>
                </c:pt>
                <c:pt idx="47">
                  <c:v>0.44294518076778999</c:v>
                </c:pt>
                <c:pt idx="48">
                  <c:v>0.44485214564531</c:v>
                </c:pt>
                <c:pt idx="49">
                  <c:v>0.44612641082913002</c:v>
                </c:pt>
                <c:pt idx="50">
                  <c:v>0.44732605271273002</c:v>
                </c:pt>
                <c:pt idx="51">
                  <c:v>0.44732605271273002</c:v>
                </c:pt>
                <c:pt idx="52">
                  <c:v>0.44927006341679998</c:v>
                </c:pt>
                <c:pt idx="53">
                  <c:v>0.45031196874667001</c:v>
                </c:pt>
                <c:pt idx="54">
                  <c:v>0.45094345344223002</c:v>
                </c:pt>
                <c:pt idx="55">
                  <c:v>0.45229416510683002</c:v>
                </c:pt>
                <c:pt idx="56">
                  <c:v>0.45229416510683002</c:v>
                </c:pt>
                <c:pt idx="57">
                  <c:v>0.45292421476521</c:v>
                </c:pt>
                <c:pt idx="58">
                  <c:v>0.45394118188223997</c:v>
                </c:pt>
                <c:pt idx="59">
                  <c:v>0.45394118188223997</c:v>
                </c:pt>
                <c:pt idx="60">
                  <c:v>0.45475935808179002</c:v>
                </c:pt>
                <c:pt idx="61">
                  <c:v>0.45419545680402001</c:v>
                </c:pt>
                <c:pt idx="62">
                  <c:v>0.45419545680402001</c:v>
                </c:pt>
                <c:pt idx="63">
                  <c:v>0.45309315075912998</c:v>
                </c:pt>
                <c:pt idx="64">
                  <c:v>0.45292986471160002</c:v>
                </c:pt>
                <c:pt idx="65">
                  <c:v>0.45317006260198001</c:v>
                </c:pt>
                <c:pt idx="66">
                  <c:v>0.45351643821014997</c:v>
                </c:pt>
                <c:pt idx="67">
                  <c:v>0.4544393406899</c:v>
                </c:pt>
                <c:pt idx="68">
                  <c:v>0.45505719321558002</c:v>
                </c:pt>
                <c:pt idx="69">
                  <c:v>0.45493457885521998</c:v>
                </c:pt>
                <c:pt idx="70">
                  <c:v>0.45492050182381</c:v>
                </c:pt>
                <c:pt idx="71">
                  <c:v>0.45486683826668001</c:v>
                </c:pt>
                <c:pt idx="72">
                  <c:v>0.45510508108971998</c:v>
                </c:pt>
                <c:pt idx="73">
                  <c:v>0.45479536589810998</c:v>
                </c:pt>
                <c:pt idx="74">
                  <c:v>0.45202314740123001</c:v>
                </c:pt>
                <c:pt idx="75">
                  <c:v>0.44776658657728002</c:v>
                </c:pt>
                <c:pt idx="76">
                  <c:v>0.44660099470928</c:v>
                </c:pt>
                <c:pt idx="77">
                  <c:v>0.44587274750652001</c:v>
                </c:pt>
                <c:pt idx="78">
                  <c:v>0.44548647376454997</c:v>
                </c:pt>
                <c:pt idx="79">
                  <c:v>0.44496164854928</c:v>
                </c:pt>
                <c:pt idx="80">
                  <c:v>0.44494627315089003</c:v>
                </c:pt>
                <c:pt idx="81">
                  <c:v>0.44496752536821998</c:v>
                </c:pt>
                <c:pt idx="82">
                  <c:v>0.44476798686469998</c:v>
                </c:pt>
                <c:pt idx="83">
                  <c:v>0.4453586071681</c:v>
                </c:pt>
                <c:pt idx="84">
                  <c:v>0.44472944586606999</c:v>
                </c:pt>
                <c:pt idx="85">
                  <c:v>0.44472944586606999</c:v>
                </c:pt>
                <c:pt idx="86">
                  <c:v>0.4451541485371</c:v>
                </c:pt>
                <c:pt idx="87">
                  <c:v>0.44496370543591002</c:v>
                </c:pt>
                <c:pt idx="89">
                  <c:v>0.44410081211104002</c:v>
                </c:pt>
                <c:pt idx="90">
                  <c:v>0.44454649365898002</c:v>
                </c:pt>
                <c:pt idx="91">
                  <c:v>0.44401798996505998</c:v>
                </c:pt>
                <c:pt idx="92">
                  <c:v>0.44153405267109003</c:v>
                </c:pt>
                <c:pt idx="93">
                  <c:v>0.44153405267109003</c:v>
                </c:pt>
                <c:pt idx="94">
                  <c:v>0.44205859292897998</c:v>
                </c:pt>
                <c:pt idx="95">
                  <c:v>0.44201410814301001</c:v>
                </c:pt>
                <c:pt idx="96">
                  <c:v>0.44243792245768998</c:v>
                </c:pt>
                <c:pt idx="97">
                  <c:v>0.44207116795481</c:v>
                </c:pt>
                <c:pt idx="98">
                  <c:v>0.44177008690357999</c:v>
                </c:pt>
                <c:pt idx="99">
                  <c:v>0.44181188065315002</c:v>
                </c:pt>
                <c:pt idx="100">
                  <c:v>0.44248327304941998</c:v>
                </c:pt>
                <c:pt idx="101">
                  <c:v>0.44247507283694998</c:v>
                </c:pt>
                <c:pt idx="102">
                  <c:v>0.44149766081148001</c:v>
                </c:pt>
                <c:pt idx="103">
                  <c:v>0.44149766081148001</c:v>
                </c:pt>
                <c:pt idx="104">
                  <c:v>0.44139249308651002</c:v>
                </c:pt>
                <c:pt idx="105">
                  <c:v>0.44129962568025</c:v>
                </c:pt>
                <c:pt idx="106">
                  <c:v>0.44347149978842998</c:v>
                </c:pt>
                <c:pt idx="107">
                  <c:v>0.44432063179006998</c:v>
                </c:pt>
                <c:pt idx="108">
                  <c:v>0.44436081283119</c:v>
                </c:pt>
                <c:pt idx="109">
                  <c:v>0.44455030607443002</c:v>
                </c:pt>
                <c:pt idx="110">
                  <c:v>0.44492157206087002</c:v>
                </c:pt>
                <c:pt idx="111">
                  <c:v>0.44533383774298002</c:v>
                </c:pt>
                <c:pt idx="112">
                  <c:v>0.44592292392330002</c:v>
                </c:pt>
                <c:pt idx="113">
                  <c:v>0.44617829220673999</c:v>
                </c:pt>
                <c:pt idx="114">
                  <c:v>0.44770182334921999</c:v>
                </c:pt>
                <c:pt idx="115">
                  <c:v>0.44926430550093999</c:v>
                </c:pt>
                <c:pt idx="116">
                  <c:v>0.45029740926942002</c:v>
                </c:pt>
                <c:pt idx="117">
                  <c:v>0.45316099043357999</c:v>
                </c:pt>
                <c:pt idx="118">
                  <c:v>0.45324941605808</c:v>
                </c:pt>
                <c:pt idx="119">
                  <c:v>0.45225669765269</c:v>
                </c:pt>
                <c:pt idx="120">
                  <c:v>0.45789990073887998</c:v>
                </c:pt>
                <c:pt idx="121">
                  <c:v>0.45789990073887998</c:v>
                </c:pt>
                <c:pt idx="122">
                  <c:v>0.46078882192628001</c:v>
                </c:pt>
                <c:pt idx="123">
                  <c:v>0.46187080442791001</c:v>
                </c:pt>
                <c:pt idx="124">
                  <c:v>0.46142957286193997</c:v>
                </c:pt>
                <c:pt idx="125">
                  <c:v>0.46762032326883002</c:v>
                </c:pt>
                <c:pt idx="126">
                  <c:v>0.47125102337626001</c:v>
                </c:pt>
                <c:pt idx="127">
                  <c:v>0.47193007887109001</c:v>
                </c:pt>
                <c:pt idx="128">
                  <c:v>0.47073211666434001</c:v>
                </c:pt>
                <c:pt idx="129">
                  <c:v>0.47040434392150998</c:v>
                </c:pt>
                <c:pt idx="130">
                  <c:v>0.47069613481535999</c:v>
                </c:pt>
                <c:pt idx="131">
                  <c:v>0.47066995017023</c:v>
                </c:pt>
                <c:pt idx="132">
                  <c:v>0.47169629286351999</c:v>
                </c:pt>
                <c:pt idx="133">
                  <c:v>0.47457440343747997</c:v>
                </c:pt>
                <c:pt idx="134">
                  <c:v>0.47464253353611002</c:v>
                </c:pt>
                <c:pt idx="135">
                  <c:v>0.47580523482921999</c:v>
                </c:pt>
                <c:pt idx="136">
                  <c:v>0.47596570888722001</c:v>
                </c:pt>
                <c:pt idx="137">
                  <c:v>0.47592613602853001</c:v>
                </c:pt>
                <c:pt idx="138">
                  <c:v>0.47711153140966001</c:v>
                </c:pt>
                <c:pt idx="139">
                  <c:v>0.47902313760743997</c:v>
                </c:pt>
                <c:pt idx="140">
                  <c:v>0.48232276643658001</c:v>
                </c:pt>
                <c:pt idx="141">
                  <c:v>0.48163168533015999</c:v>
                </c:pt>
                <c:pt idx="142">
                  <c:v>0.48144683887397999</c:v>
                </c:pt>
                <c:pt idx="143">
                  <c:v>0.48158784016076001</c:v>
                </c:pt>
                <c:pt idx="144">
                  <c:v>0.48173346226726999</c:v>
                </c:pt>
                <c:pt idx="145">
                  <c:v>0.48249222314398998</c:v>
                </c:pt>
                <c:pt idx="146">
                  <c:v>0.48302721867277998</c:v>
                </c:pt>
                <c:pt idx="147">
                  <c:v>0.48345693030692999</c:v>
                </c:pt>
                <c:pt idx="148">
                  <c:v>0.48338982523485002</c:v>
                </c:pt>
                <c:pt idx="149">
                  <c:v>0.48293293672986998</c:v>
                </c:pt>
                <c:pt idx="150">
                  <c:v>0.48334864513450998</c:v>
                </c:pt>
                <c:pt idx="151">
                  <c:v>0.48260994266085999</c:v>
                </c:pt>
                <c:pt idx="152">
                  <c:v>0.48354965420946999</c:v>
                </c:pt>
                <c:pt idx="153">
                  <c:v>0.48292185960952</c:v>
                </c:pt>
                <c:pt idx="154">
                  <c:v>0.48292131429538998</c:v>
                </c:pt>
                <c:pt idx="155">
                  <c:v>0.48258689596370002</c:v>
                </c:pt>
                <c:pt idx="156">
                  <c:v>0.48363006822638999</c:v>
                </c:pt>
                <c:pt idx="157">
                  <c:v>0.48424824602715999</c:v>
                </c:pt>
                <c:pt idx="158">
                  <c:v>0.48453730351685997</c:v>
                </c:pt>
                <c:pt idx="159">
                  <c:v>0.48418742505125001</c:v>
                </c:pt>
                <c:pt idx="160">
                  <c:v>0.48506052217383999</c:v>
                </c:pt>
                <c:pt idx="161">
                  <c:v>0.48671420298857998</c:v>
                </c:pt>
                <c:pt idx="162">
                  <c:v>0.4865015441451</c:v>
                </c:pt>
                <c:pt idx="163">
                  <c:v>0.48643594107860999</c:v>
                </c:pt>
                <c:pt idx="164">
                  <c:v>0.48716456480779002</c:v>
                </c:pt>
                <c:pt idx="165">
                  <c:v>0.48611650931856998</c:v>
                </c:pt>
                <c:pt idx="166">
                  <c:v>0.48512738602298999</c:v>
                </c:pt>
                <c:pt idx="167">
                  <c:v>0.48462877688700001</c:v>
                </c:pt>
                <c:pt idx="168">
                  <c:v>0.48469867686481999</c:v>
                </c:pt>
                <c:pt idx="169">
                  <c:v>0.48421940792995</c:v>
                </c:pt>
                <c:pt idx="170">
                  <c:v>0.48435591413359003</c:v>
                </c:pt>
                <c:pt idx="171">
                  <c:v>0.48554579913105</c:v>
                </c:pt>
                <c:pt idx="172">
                  <c:v>0.48660724420054002</c:v>
                </c:pt>
                <c:pt idx="173">
                  <c:v>0.48689575090928999</c:v>
                </c:pt>
                <c:pt idx="174">
                  <c:v>0.48755714451315002</c:v>
                </c:pt>
                <c:pt idx="175">
                  <c:v>0.48890967184146</c:v>
                </c:pt>
                <c:pt idx="176">
                  <c:v>0.4892868542812</c:v>
                </c:pt>
                <c:pt idx="177">
                  <c:v>0.48922104757610002</c:v>
                </c:pt>
                <c:pt idx="178">
                  <c:v>0.48994239293335001</c:v>
                </c:pt>
                <c:pt idx="179">
                  <c:v>0.48955784601946001</c:v>
                </c:pt>
                <c:pt idx="180">
                  <c:v>0.48986503759569</c:v>
                </c:pt>
                <c:pt idx="181">
                  <c:v>0.48999999942597999</c:v>
                </c:pt>
                <c:pt idx="182">
                  <c:v>0.48981214622523001</c:v>
                </c:pt>
                <c:pt idx="183">
                  <c:v>0.48999108852842999</c:v>
                </c:pt>
                <c:pt idx="184">
                  <c:v>0.48977357994262</c:v>
                </c:pt>
                <c:pt idx="185">
                  <c:v>0.48952534379397</c:v>
                </c:pt>
                <c:pt idx="186">
                  <c:v>0.48904658258891998</c:v>
                </c:pt>
                <c:pt idx="187">
                  <c:v>0.48827759399719001</c:v>
                </c:pt>
                <c:pt idx="188">
                  <c:v>0.48878990637157999</c:v>
                </c:pt>
                <c:pt idx="189">
                  <c:v>0.48941973599093003</c:v>
                </c:pt>
                <c:pt idx="190">
                  <c:v>0.48991854398208001</c:v>
                </c:pt>
                <c:pt idx="191">
                  <c:v>0.48974522975804002</c:v>
                </c:pt>
                <c:pt idx="192">
                  <c:v>0.48970000831965999</c:v>
                </c:pt>
                <c:pt idx="193">
                  <c:v>0.48999999942597999</c:v>
                </c:pt>
                <c:pt idx="194">
                  <c:v>0.48999999942597999</c:v>
                </c:pt>
                <c:pt idx="195">
                  <c:v>0.48999999942597999</c:v>
                </c:pt>
                <c:pt idx="196">
                  <c:v>0.48921414573060001</c:v>
                </c:pt>
                <c:pt idx="197">
                  <c:v>0.48999999942597999</c:v>
                </c:pt>
                <c:pt idx="198">
                  <c:v>0.48999999942597999</c:v>
                </c:pt>
                <c:pt idx="199">
                  <c:v>0.48997826886293</c:v>
                </c:pt>
                <c:pt idx="200">
                  <c:v>0.48999999942597999</c:v>
                </c:pt>
                <c:pt idx="201">
                  <c:v>0.48955397620252</c:v>
                </c:pt>
                <c:pt idx="202">
                  <c:v>0.48999781270265003</c:v>
                </c:pt>
                <c:pt idx="203">
                  <c:v>0.48999999942597999</c:v>
                </c:pt>
                <c:pt idx="204">
                  <c:v>0.48999288984176997</c:v>
                </c:pt>
                <c:pt idx="205">
                  <c:v>0.48907768052801998</c:v>
                </c:pt>
                <c:pt idx="206">
                  <c:v>0.48999997892545</c:v>
                </c:pt>
                <c:pt idx="207">
                  <c:v>0.48999999942597999</c:v>
                </c:pt>
                <c:pt idx="208">
                  <c:v>0.48971299198940998</c:v>
                </c:pt>
                <c:pt idx="209">
                  <c:v>0.48985443540431001</c:v>
                </c:pt>
                <c:pt idx="210">
                  <c:v>0.48999999942597999</c:v>
                </c:pt>
                <c:pt idx="211">
                  <c:v>0.48999999942597999</c:v>
                </c:pt>
                <c:pt idx="212">
                  <c:v>0.48999999942597999</c:v>
                </c:pt>
                <c:pt idx="213">
                  <c:v>0.48999999942597999</c:v>
                </c:pt>
                <c:pt idx="214">
                  <c:v>0.48999999942597999</c:v>
                </c:pt>
                <c:pt idx="215">
                  <c:v>0.48999999942597999</c:v>
                </c:pt>
                <c:pt idx="216">
                  <c:v>0.48999999942597999</c:v>
                </c:pt>
                <c:pt idx="217">
                  <c:v>0.48999999942597999</c:v>
                </c:pt>
                <c:pt idx="218">
                  <c:v>0.48999999942597999</c:v>
                </c:pt>
                <c:pt idx="219">
                  <c:v>0.48999999942597999</c:v>
                </c:pt>
                <c:pt idx="220">
                  <c:v>0.48999999942597999</c:v>
                </c:pt>
                <c:pt idx="221">
                  <c:v>0.48999999942597999</c:v>
                </c:pt>
                <c:pt idx="222">
                  <c:v>0.48999999942597999</c:v>
                </c:pt>
                <c:pt idx="223">
                  <c:v>0.48999999942597999</c:v>
                </c:pt>
                <c:pt idx="224">
                  <c:v>0.48999999942597999</c:v>
                </c:pt>
                <c:pt idx="225">
                  <c:v>0.48999999942597999</c:v>
                </c:pt>
                <c:pt idx="226">
                  <c:v>0.48999999942597999</c:v>
                </c:pt>
                <c:pt idx="227">
                  <c:v>0.48999999942597999</c:v>
                </c:pt>
                <c:pt idx="228">
                  <c:v>0.48999999942597999</c:v>
                </c:pt>
                <c:pt idx="229">
                  <c:v>0.48999999942597999</c:v>
                </c:pt>
                <c:pt idx="230">
                  <c:v>0.48999999942597999</c:v>
                </c:pt>
                <c:pt idx="231">
                  <c:v>0.48999999942597999</c:v>
                </c:pt>
                <c:pt idx="232">
                  <c:v>0.48999999942597999</c:v>
                </c:pt>
                <c:pt idx="233">
                  <c:v>0.48999999942597999</c:v>
                </c:pt>
                <c:pt idx="234">
                  <c:v>0.48999999942597999</c:v>
                </c:pt>
                <c:pt idx="235">
                  <c:v>0.48999999942597999</c:v>
                </c:pt>
                <c:pt idx="236">
                  <c:v>0.48999999942597999</c:v>
                </c:pt>
                <c:pt idx="237">
                  <c:v>0.48999999942597999</c:v>
                </c:pt>
                <c:pt idx="238">
                  <c:v>0.48999999942597999</c:v>
                </c:pt>
                <c:pt idx="239">
                  <c:v>0.48999999942597999</c:v>
                </c:pt>
                <c:pt idx="240">
                  <c:v>0.48999999942597999</c:v>
                </c:pt>
                <c:pt idx="241">
                  <c:v>0.48999999942597999</c:v>
                </c:pt>
                <c:pt idx="242">
                  <c:v>0.48999999942597999</c:v>
                </c:pt>
                <c:pt idx="243">
                  <c:v>0.48999999986337001</c:v>
                </c:pt>
                <c:pt idx="244">
                  <c:v>0.48999999986337001</c:v>
                </c:pt>
                <c:pt idx="245">
                  <c:v>0.48999999986337001</c:v>
                </c:pt>
                <c:pt idx="246">
                  <c:v>0.48999842869555998</c:v>
                </c:pt>
                <c:pt idx="247">
                  <c:v>0.48999999986337001</c:v>
                </c:pt>
                <c:pt idx="248">
                  <c:v>0.48999999986337001</c:v>
                </c:pt>
                <c:pt idx="249">
                  <c:v>0.48999999986337001</c:v>
                </c:pt>
                <c:pt idx="250">
                  <c:v>0.48980725172910999</c:v>
                </c:pt>
                <c:pt idx="251">
                  <c:v>0.48999999986337001</c:v>
                </c:pt>
                <c:pt idx="252">
                  <c:v>0.48999999986337001</c:v>
                </c:pt>
                <c:pt idx="253">
                  <c:v>0.48999999986337001</c:v>
                </c:pt>
              </c:numCache>
            </c:numRef>
          </c:val>
          <c:smooth val="0"/>
          <c:extLst>
            <c:ext xmlns:c16="http://schemas.microsoft.com/office/drawing/2014/chart" uri="{C3380CC4-5D6E-409C-BE32-E72D297353CC}">
              <c16:uniqueId val="{00000001-2F04-4D6A-A5B2-419B91DF2904}"/>
            </c:ext>
          </c:extLst>
        </c:ser>
        <c:dLbls>
          <c:showLegendKey val="0"/>
          <c:showVal val="0"/>
          <c:showCatName val="0"/>
          <c:showSerName val="0"/>
          <c:showPercent val="0"/>
          <c:showBubbleSize val="0"/>
        </c:dLbls>
        <c:marker val="1"/>
        <c:smooth val="0"/>
        <c:axId val="1080206248"/>
        <c:axId val="1080215968"/>
        <c:extLst>
          <c:ext xmlns:c15="http://schemas.microsoft.com/office/drawing/2012/chart" uri="{02D57815-91ED-43cb-92C2-25804820EDAC}">
            <c15:filteredLineSeries>
              <c15:ser>
                <c:idx val="0"/>
                <c:order val="0"/>
                <c:tx>
                  <c:strRef>
                    <c:extLst>
                      <c:ext uri="{02D57815-91ED-43cb-92C2-25804820EDAC}">
                        <c15:formulaRef>
                          <c15:sqref>Diamond!$R$2</c15:sqref>
                        </c15:formulaRef>
                      </c:ext>
                    </c:extLst>
                    <c:strCache>
                      <c:ptCount val="1"/>
                      <c:pt idx="0">
                        <c:v>Giá đóng cửa (VND)</c:v>
                      </c:pt>
                    </c:strCache>
                  </c:strRef>
                </c:tx>
                <c:spPr>
                  <a:ln w="28575" cap="rnd">
                    <a:solidFill>
                      <a:schemeClr val="accent1"/>
                    </a:solidFill>
                    <a:round/>
                  </a:ln>
                  <a:effectLst/>
                </c:spPr>
                <c:marker>
                  <c:symbol val="none"/>
                </c:marker>
                <c:cat>
                  <c:numRef>
                    <c:extLst>
                      <c:ext uri="{02D57815-91ED-43cb-92C2-25804820EDAC}">
                        <c15:formulaRef>
                          <c15:sqref>Diamond!$Q$3:$Q$183</c15:sqref>
                        </c15:formulaRef>
                      </c:ext>
                    </c:extLst>
                    <c:numCache>
                      <c:formatCode>m/d/yy</c:formatCode>
                      <c:ptCount val="181"/>
                      <c:pt idx="0">
                        <c:v>45415</c:v>
                      </c:pt>
                      <c:pt idx="3">
                        <c:v>45414</c:v>
                      </c:pt>
                      <c:pt idx="4">
                        <c:v>45408</c:v>
                      </c:pt>
                      <c:pt idx="8">
                        <c:v>45407</c:v>
                      </c:pt>
                      <c:pt idx="9">
                        <c:v>45406</c:v>
                      </c:pt>
                      <c:pt idx="10">
                        <c:v>45405</c:v>
                      </c:pt>
                      <c:pt idx="11">
                        <c:v>45404</c:v>
                      </c:pt>
                      <c:pt idx="12">
                        <c:v>45401</c:v>
                      </c:pt>
                      <c:pt idx="13">
                        <c:v>45399</c:v>
                      </c:pt>
                      <c:pt idx="14">
                        <c:v>45398</c:v>
                      </c:pt>
                      <c:pt idx="15">
                        <c:v>45397</c:v>
                      </c:pt>
                      <c:pt idx="16">
                        <c:v>45394</c:v>
                      </c:pt>
                      <c:pt idx="17">
                        <c:v>45393</c:v>
                      </c:pt>
                      <c:pt idx="18">
                        <c:v>45392</c:v>
                      </c:pt>
                      <c:pt idx="19">
                        <c:v>45391</c:v>
                      </c:pt>
                      <c:pt idx="20">
                        <c:v>45390</c:v>
                      </c:pt>
                      <c:pt idx="21">
                        <c:v>45387</c:v>
                      </c:pt>
                      <c:pt idx="22">
                        <c:v>45386</c:v>
                      </c:pt>
                      <c:pt idx="23">
                        <c:v>45385</c:v>
                      </c:pt>
                      <c:pt idx="24">
                        <c:v>45384</c:v>
                      </c:pt>
                      <c:pt idx="25">
                        <c:v>45383</c:v>
                      </c:pt>
                      <c:pt idx="26">
                        <c:v>45380</c:v>
                      </c:pt>
                      <c:pt idx="27">
                        <c:v>45379</c:v>
                      </c:pt>
                      <c:pt idx="28">
                        <c:v>45378</c:v>
                      </c:pt>
                      <c:pt idx="29">
                        <c:v>45377</c:v>
                      </c:pt>
                      <c:pt idx="30">
                        <c:v>45376</c:v>
                      </c:pt>
                      <c:pt idx="31">
                        <c:v>45373</c:v>
                      </c:pt>
                      <c:pt idx="32">
                        <c:v>45372</c:v>
                      </c:pt>
                      <c:pt idx="33">
                        <c:v>45371</c:v>
                      </c:pt>
                      <c:pt idx="34">
                        <c:v>45370</c:v>
                      </c:pt>
                      <c:pt idx="35">
                        <c:v>45369</c:v>
                      </c:pt>
                      <c:pt idx="36">
                        <c:v>45366</c:v>
                      </c:pt>
                      <c:pt idx="37">
                        <c:v>45365</c:v>
                      </c:pt>
                      <c:pt idx="38">
                        <c:v>45364</c:v>
                      </c:pt>
                      <c:pt idx="39">
                        <c:v>45363</c:v>
                      </c:pt>
                      <c:pt idx="40">
                        <c:v>45362</c:v>
                      </c:pt>
                      <c:pt idx="41">
                        <c:v>45359</c:v>
                      </c:pt>
                      <c:pt idx="42">
                        <c:v>45358</c:v>
                      </c:pt>
                      <c:pt idx="43">
                        <c:v>45357</c:v>
                      </c:pt>
                      <c:pt idx="44">
                        <c:v>45356</c:v>
                      </c:pt>
                      <c:pt idx="45">
                        <c:v>45355</c:v>
                      </c:pt>
                      <c:pt idx="46">
                        <c:v>45352</c:v>
                      </c:pt>
                      <c:pt idx="47">
                        <c:v>45351</c:v>
                      </c:pt>
                      <c:pt idx="48">
                        <c:v>45350</c:v>
                      </c:pt>
                      <c:pt idx="49">
                        <c:v>45349</c:v>
                      </c:pt>
                      <c:pt idx="50">
                        <c:v>45348</c:v>
                      </c:pt>
                      <c:pt idx="51">
                        <c:v>45345</c:v>
                      </c:pt>
                      <c:pt idx="52">
                        <c:v>45344</c:v>
                      </c:pt>
                      <c:pt idx="53">
                        <c:v>45343</c:v>
                      </c:pt>
                      <c:pt idx="54">
                        <c:v>45342</c:v>
                      </c:pt>
                      <c:pt idx="55">
                        <c:v>45341</c:v>
                      </c:pt>
                      <c:pt idx="56">
                        <c:v>45338</c:v>
                      </c:pt>
                      <c:pt idx="57">
                        <c:v>45337</c:v>
                      </c:pt>
                      <c:pt idx="58">
                        <c:v>45329</c:v>
                      </c:pt>
                      <c:pt idx="59">
                        <c:v>45328</c:v>
                      </c:pt>
                      <c:pt idx="60">
                        <c:v>45327</c:v>
                      </c:pt>
                      <c:pt idx="61">
                        <c:v>45324</c:v>
                      </c:pt>
                      <c:pt idx="62">
                        <c:v>45323</c:v>
                      </c:pt>
                      <c:pt idx="63">
                        <c:v>45322</c:v>
                      </c:pt>
                      <c:pt idx="64">
                        <c:v>45321</c:v>
                      </c:pt>
                      <c:pt idx="65">
                        <c:v>45320</c:v>
                      </c:pt>
                      <c:pt idx="66">
                        <c:v>45317</c:v>
                      </c:pt>
                      <c:pt idx="67">
                        <c:v>45316</c:v>
                      </c:pt>
                      <c:pt idx="68">
                        <c:v>45315</c:v>
                      </c:pt>
                      <c:pt idx="69">
                        <c:v>45314</c:v>
                      </c:pt>
                      <c:pt idx="70">
                        <c:v>45313</c:v>
                      </c:pt>
                      <c:pt idx="71">
                        <c:v>45310</c:v>
                      </c:pt>
                      <c:pt idx="72">
                        <c:v>45309</c:v>
                      </c:pt>
                      <c:pt idx="73">
                        <c:v>45308</c:v>
                      </c:pt>
                      <c:pt idx="74">
                        <c:v>45307</c:v>
                      </c:pt>
                      <c:pt idx="75">
                        <c:v>45306</c:v>
                      </c:pt>
                      <c:pt idx="76">
                        <c:v>45303</c:v>
                      </c:pt>
                      <c:pt idx="77">
                        <c:v>45302</c:v>
                      </c:pt>
                      <c:pt idx="78">
                        <c:v>45301</c:v>
                      </c:pt>
                      <c:pt idx="79">
                        <c:v>45300</c:v>
                      </c:pt>
                      <c:pt idx="80">
                        <c:v>45299</c:v>
                      </c:pt>
                      <c:pt idx="81">
                        <c:v>45296</c:v>
                      </c:pt>
                      <c:pt idx="82">
                        <c:v>45295</c:v>
                      </c:pt>
                      <c:pt idx="83">
                        <c:v>45294</c:v>
                      </c:pt>
                      <c:pt idx="84">
                        <c:v>45293</c:v>
                      </c:pt>
                      <c:pt idx="85">
                        <c:v>45289</c:v>
                      </c:pt>
                      <c:pt idx="86">
                        <c:v>45288</c:v>
                      </c:pt>
                      <c:pt idx="87">
                        <c:v>45287</c:v>
                      </c:pt>
                      <c:pt idx="88">
                        <c:v>45286</c:v>
                      </c:pt>
                      <c:pt idx="89">
                        <c:v>45285</c:v>
                      </c:pt>
                      <c:pt idx="90">
                        <c:v>45282</c:v>
                      </c:pt>
                      <c:pt idx="91">
                        <c:v>45281</c:v>
                      </c:pt>
                      <c:pt idx="92">
                        <c:v>45280</c:v>
                      </c:pt>
                      <c:pt idx="93">
                        <c:v>45279</c:v>
                      </c:pt>
                      <c:pt idx="94">
                        <c:v>45278</c:v>
                      </c:pt>
                      <c:pt idx="95">
                        <c:v>45275</c:v>
                      </c:pt>
                      <c:pt idx="96">
                        <c:v>45274</c:v>
                      </c:pt>
                      <c:pt idx="97">
                        <c:v>45273</c:v>
                      </c:pt>
                      <c:pt idx="98">
                        <c:v>45272</c:v>
                      </c:pt>
                      <c:pt idx="99">
                        <c:v>45271</c:v>
                      </c:pt>
                      <c:pt idx="100">
                        <c:v>45268</c:v>
                      </c:pt>
                      <c:pt idx="101">
                        <c:v>45267</c:v>
                      </c:pt>
                      <c:pt idx="102">
                        <c:v>45266</c:v>
                      </c:pt>
                      <c:pt idx="103">
                        <c:v>45265</c:v>
                      </c:pt>
                      <c:pt idx="104">
                        <c:v>45264</c:v>
                      </c:pt>
                      <c:pt idx="105">
                        <c:v>45261</c:v>
                      </c:pt>
                      <c:pt idx="106">
                        <c:v>45260</c:v>
                      </c:pt>
                      <c:pt idx="107">
                        <c:v>45259</c:v>
                      </c:pt>
                      <c:pt idx="108">
                        <c:v>45258</c:v>
                      </c:pt>
                      <c:pt idx="109">
                        <c:v>45257</c:v>
                      </c:pt>
                      <c:pt idx="110">
                        <c:v>45254</c:v>
                      </c:pt>
                      <c:pt idx="111">
                        <c:v>45253</c:v>
                      </c:pt>
                      <c:pt idx="112">
                        <c:v>45252</c:v>
                      </c:pt>
                      <c:pt idx="113">
                        <c:v>45251</c:v>
                      </c:pt>
                      <c:pt idx="114">
                        <c:v>45250</c:v>
                      </c:pt>
                      <c:pt idx="115">
                        <c:v>45247</c:v>
                      </c:pt>
                      <c:pt idx="116">
                        <c:v>45246</c:v>
                      </c:pt>
                      <c:pt idx="117">
                        <c:v>45245</c:v>
                      </c:pt>
                      <c:pt idx="118">
                        <c:v>45244</c:v>
                      </c:pt>
                      <c:pt idx="119">
                        <c:v>45243</c:v>
                      </c:pt>
                      <c:pt idx="120">
                        <c:v>45240</c:v>
                      </c:pt>
                      <c:pt idx="121">
                        <c:v>45239</c:v>
                      </c:pt>
                      <c:pt idx="122">
                        <c:v>45238</c:v>
                      </c:pt>
                      <c:pt idx="123">
                        <c:v>45237</c:v>
                      </c:pt>
                      <c:pt idx="124">
                        <c:v>45236</c:v>
                      </c:pt>
                      <c:pt idx="125">
                        <c:v>45233</c:v>
                      </c:pt>
                      <c:pt idx="126">
                        <c:v>45232</c:v>
                      </c:pt>
                      <c:pt idx="127">
                        <c:v>45231</c:v>
                      </c:pt>
                      <c:pt idx="128">
                        <c:v>45230</c:v>
                      </c:pt>
                      <c:pt idx="129">
                        <c:v>45229</c:v>
                      </c:pt>
                      <c:pt idx="130">
                        <c:v>45226</c:v>
                      </c:pt>
                      <c:pt idx="131">
                        <c:v>45225</c:v>
                      </c:pt>
                      <c:pt idx="132">
                        <c:v>45224</c:v>
                      </c:pt>
                      <c:pt idx="133">
                        <c:v>45223</c:v>
                      </c:pt>
                      <c:pt idx="134">
                        <c:v>45222</c:v>
                      </c:pt>
                      <c:pt idx="135">
                        <c:v>45219</c:v>
                      </c:pt>
                      <c:pt idx="136">
                        <c:v>45218</c:v>
                      </c:pt>
                      <c:pt idx="137">
                        <c:v>45217</c:v>
                      </c:pt>
                      <c:pt idx="138">
                        <c:v>45216</c:v>
                      </c:pt>
                      <c:pt idx="139">
                        <c:v>45215</c:v>
                      </c:pt>
                      <c:pt idx="140">
                        <c:v>45212</c:v>
                      </c:pt>
                      <c:pt idx="141">
                        <c:v>45211</c:v>
                      </c:pt>
                      <c:pt idx="142">
                        <c:v>45210</c:v>
                      </c:pt>
                      <c:pt idx="143">
                        <c:v>45209</c:v>
                      </c:pt>
                      <c:pt idx="144">
                        <c:v>45208</c:v>
                      </c:pt>
                      <c:pt idx="145">
                        <c:v>45205</c:v>
                      </c:pt>
                      <c:pt idx="146">
                        <c:v>45204</c:v>
                      </c:pt>
                      <c:pt idx="147">
                        <c:v>45203</c:v>
                      </c:pt>
                      <c:pt idx="148">
                        <c:v>45202</c:v>
                      </c:pt>
                      <c:pt idx="149">
                        <c:v>45201</c:v>
                      </c:pt>
                      <c:pt idx="150">
                        <c:v>45198</c:v>
                      </c:pt>
                      <c:pt idx="151">
                        <c:v>45197</c:v>
                      </c:pt>
                      <c:pt idx="152">
                        <c:v>45196</c:v>
                      </c:pt>
                      <c:pt idx="153">
                        <c:v>45195</c:v>
                      </c:pt>
                      <c:pt idx="154">
                        <c:v>45194</c:v>
                      </c:pt>
                      <c:pt idx="155">
                        <c:v>45191</c:v>
                      </c:pt>
                      <c:pt idx="156">
                        <c:v>45190</c:v>
                      </c:pt>
                      <c:pt idx="157">
                        <c:v>45189</c:v>
                      </c:pt>
                      <c:pt idx="158">
                        <c:v>45188</c:v>
                      </c:pt>
                      <c:pt idx="159">
                        <c:v>45187</c:v>
                      </c:pt>
                      <c:pt idx="160">
                        <c:v>45184</c:v>
                      </c:pt>
                      <c:pt idx="161">
                        <c:v>45183</c:v>
                      </c:pt>
                      <c:pt idx="162">
                        <c:v>45182</c:v>
                      </c:pt>
                      <c:pt idx="163">
                        <c:v>45181</c:v>
                      </c:pt>
                      <c:pt idx="164">
                        <c:v>45180</c:v>
                      </c:pt>
                      <c:pt idx="165">
                        <c:v>45177</c:v>
                      </c:pt>
                      <c:pt idx="166">
                        <c:v>45176</c:v>
                      </c:pt>
                      <c:pt idx="167">
                        <c:v>45175</c:v>
                      </c:pt>
                      <c:pt idx="168">
                        <c:v>45174</c:v>
                      </c:pt>
                      <c:pt idx="169">
                        <c:v>45169</c:v>
                      </c:pt>
                      <c:pt idx="170">
                        <c:v>45168</c:v>
                      </c:pt>
                      <c:pt idx="171">
                        <c:v>45167</c:v>
                      </c:pt>
                      <c:pt idx="172">
                        <c:v>45166</c:v>
                      </c:pt>
                      <c:pt idx="173">
                        <c:v>45163</c:v>
                      </c:pt>
                      <c:pt idx="174">
                        <c:v>45162</c:v>
                      </c:pt>
                      <c:pt idx="175">
                        <c:v>45161</c:v>
                      </c:pt>
                      <c:pt idx="176">
                        <c:v>45160</c:v>
                      </c:pt>
                      <c:pt idx="177">
                        <c:v>45159</c:v>
                      </c:pt>
                      <c:pt idx="178">
                        <c:v>45156</c:v>
                      </c:pt>
                      <c:pt idx="179">
                        <c:v>45155</c:v>
                      </c:pt>
                      <c:pt idx="180">
                        <c:v>45154</c:v>
                      </c:pt>
                    </c:numCache>
                  </c:numRef>
                </c:cat>
                <c:val>
                  <c:numRef>
                    <c:extLst>
                      <c:ext uri="{02D57815-91ED-43cb-92C2-25804820EDAC}">
                        <c15:formulaRef>
                          <c15:sqref>Diamond!$R$3:$R$256</c15:sqref>
                        </c15:formulaRef>
                      </c:ext>
                    </c:extLst>
                    <c:numCache>
                      <c:formatCode>General</c:formatCode>
                      <c:ptCount val="254"/>
                      <c:pt idx="0">
                        <c:v>55700</c:v>
                      </c:pt>
                      <c:pt idx="3">
                        <c:v>55600</c:v>
                      </c:pt>
                      <c:pt idx="4">
                        <c:v>54900</c:v>
                      </c:pt>
                      <c:pt idx="8">
                        <c:v>53800</c:v>
                      </c:pt>
                      <c:pt idx="9">
                        <c:v>52300</c:v>
                      </c:pt>
                      <c:pt idx="10">
                        <c:v>49800</c:v>
                      </c:pt>
                      <c:pt idx="11">
                        <c:v>48600</c:v>
                      </c:pt>
                      <c:pt idx="12">
                        <c:v>48200</c:v>
                      </c:pt>
                      <c:pt idx="13">
                        <c:v>49400</c:v>
                      </c:pt>
                      <c:pt idx="14">
                        <c:v>49900</c:v>
                      </c:pt>
                      <c:pt idx="15">
                        <c:v>49900</c:v>
                      </c:pt>
                      <c:pt idx="16">
                        <c:v>52000</c:v>
                      </c:pt>
                      <c:pt idx="17">
                        <c:v>52300</c:v>
                      </c:pt>
                      <c:pt idx="18">
                        <c:v>52000</c:v>
                      </c:pt>
                      <c:pt idx="19">
                        <c:v>52800</c:v>
                      </c:pt>
                      <c:pt idx="20">
                        <c:v>50000</c:v>
                      </c:pt>
                      <c:pt idx="21">
                        <c:v>51000</c:v>
                      </c:pt>
                      <c:pt idx="22">
                        <c:v>50700</c:v>
                      </c:pt>
                      <c:pt idx="23">
                        <c:v>50200</c:v>
                      </c:pt>
                      <c:pt idx="24">
                        <c:v>51600</c:v>
                      </c:pt>
                      <c:pt idx="25">
                        <c:v>51400</c:v>
                      </c:pt>
                      <c:pt idx="26">
                        <c:v>51100</c:v>
                      </c:pt>
                      <c:pt idx="27">
                        <c:v>51000</c:v>
                      </c:pt>
                      <c:pt idx="28">
                        <c:v>50700</c:v>
                      </c:pt>
                      <c:pt idx="29">
                        <c:v>48650</c:v>
                      </c:pt>
                      <c:pt idx="30">
                        <c:v>48300</c:v>
                      </c:pt>
                      <c:pt idx="31">
                        <c:v>49100</c:v>
                      </c:pt>
                      <c:pt idx="32">
                        <c:v>48500</c:v>
                      </c:pt>
                      <c:pt idx="33">
                        <c:v>48000</c:v>
                      </c:pt>
                      <c:pt idx="34">
                        <c:v>45500</c:v>
                      </c:pt>
                      <c:pt idx="35">
                        <c:v>45900</c:v>
                      </c:pt>
                      <c:pt idx="36">
                        <c:v>47350</c:v>
                      </c:pt>
                      <c:pt idx="37">
                        <c:v>47250</c:v>
                      </c:pt>
                      <c:pt idx="38">
                        <c:v>48550</c:v>
                      </c:pt>
                      <c:pt idx="39">
                        <c:v>46750</c:v>
                      </c:pt>
                      <c:pt idx="40">
                        <c:v>46400</c:v>
                      </c:pt>
                      <c:pt idx="41">
                        <c:v>47750</c:v>
                      </c:pt>
                      <c:pt idx="42">
                        <c:v>49000</c:v>
                      </c:pt>
                      <c:pt idx="43">
                        <c:v>48700</c:v>
                      </c:pt>
                      <c:pt idx="44">
                        <c:v>50000</c:v>
                      </c:pt>
                      <c:pt idx="45">
                        <c:v>47400</c:v>
                      </c:pt>
                      <c:pt idx="46">
                        <c:v>46600</c:v>
                      </c:pt>
                      <c:pt idx="47">
                        <c:v>46200</c:v>
                      </c:pt>
                      <c:pt idx="48">
                        <c:v>45300</c:v>
                      </c:pt>
                      <c:pt idx="49">
                        <c:v>44750</c:v>
                      </c:pt>
                      <c:pt idx="50">
                        <c:v>44350</c:v>
                      </c:pt>
                      <c:pt idx="51">
                        <c:v>44000</c:v>
                      </c:pt>
                      <c:pt idx="52">
                        <c:v>45300</c:v>
                      </c:pt>
                      <c:pt idx="53">
                        <c:v>46100</c:v>
                      </c:pt>
                      <c:pt idx="54">
                        <c:v>46800</c:v>
                      </c:pt>
                      <c:pt idx="55">
                        <c:v>46800</c:v>
                      </c:pt>
                      <c:pt idx="56">
                        <c:v>46300</c:v>
                      </c:pt>
                      <c:pt idx="57">
                        <c:v>45850</c:v>
                      </c:pt>
                      <c:pt idx="58">
                        <c:v>46600</c:v>
                      </c:pt>
                      <c:pt idx="59">
                        <c:v>47000</c:v>
                      </c:pt>
                      <c:pt idx="60">
                        <c:v>47400</c:v>
                      </c:pt>
                      <c:pt idx="61">
                        <c:v>47400</c:v>
                      </c:pt>
                      <c:pt idx="62">
                        <c:v>46200</c:v>
                      </c:pt>
                      <c:pt idx="63">
                        <c:v>45000</c:v>
                      </c:pt>
                      <c:pt idx="64">
                        <c:v>45400</c:v>
                      </c:pt>
                      <c:pt idx="65">
                        <c:v>44600</c:v>
                      </c:pt>
                      <c:pt idx="66">
                        <c:v>44900</c:v>
                      </c:pt>
                      <c:pt idx="67">
                        <c:v>45200</c:v>
                      </c:pt>
                      <c:pt idx="68">
                        <c:v>44400</c:v>
                      </c:pt>
                      <c:pt idx="69">
                        <c:v>45400</c:v>
                      </c:pt>
                      <c:pt idx="70">
                        <c:v>46150</c:v>
                      </c:pt>
                      <c:pt idx="71">
                        <c:v>46050</c:v>
                      </c:pt>
                      <c:pt idx="72">
                        <c:v>45850</c:v>
                      </c:pt>
                      <c:pt idx="73">
                        <c:v>44900</c:v>
                      </c:pt>
                      <c:pt idx="74">
                        <c:v>44300</c:v>
                      </c:pt>
                      <c:pt idx="75">
                        <c:v>42900</c:v>
                      </c:pt>
                      <c:pt idx="76">
                        <c:v>41900</c:v>
                      </c:pt>
                      <c:pt idx="77">
                        <c:v>42450</c:v>
                      </c:pt>
                      <c:pt idx="78">
                        <c:v>42250</c:v>
                      </c:pt>
                      <c:pt idx="79">
                        <c:v>42700</c:v>
                      </c:pt>
                      <c:pt idx="80">
                        <c:v>43200</c:v>
                      </c:pt>
                      <c:pt idx="81">
                        <c:v>43850</c:v>
                      </c:pt>
                      <c:pt idx="82">
                        <c:v>43200</c:v>
                      </c:pt>
                      <c:pt idx="83">
                        <c:v>43200</c:v>
                      </c:pt>
                      <c:pt idx="84">
                        <c:v>42450</c:v>
                      </c:pt>
                      <c:pt idx="85">
                        <c:v>42800</c:v>
                      </c:pt>
                      <c:pt idx="86">
                        <c:v>43050</c:v>
                      </c:pt>
                      <c:pt idx="87">
                        <c:v>42850</c:v>
                      </c:pt>
                      <c:pt idx="88">
                        <c:v>42700</c:v>
                      </c:pt>
                      <c:pt idx="89">
                        <c:v>42650</c:v>
                      </c:pt>
                      <c:pt idx="90">
                        <c:v>42350</c:v>
                      </c:pt>
                      <c:pt idx="91">
                        <c:v>42650</c:v>
                      </c:pt>
                      <c:pt idx="92">
                        <c:v>42400</c:v>
                      </c:pt>
                      <c:pt idx="93">
                        <c:v>40650</c:v>
                      </c:pt>
                      <c:pt idx="94">
                        <c:v>39600</c:v>
                      </c:pt>
                      <c:pt idx="95">
                        <c:v>40750</c:v>
                      </c:pt>
                      <c:pt idx="96">
                        <c:v>41600</c:v>
                      </c:pt>
                      <c:pt idx="97">
                        <c:v>41700</c:v>
                      </c:pt>
                      <c:pt idx="98">
                        <c:v>42500</c:v>
                      </c:pt>
                      <c:pt idx="99">
                        <c:v>42500</c:v>
                      </c:pt>
                      <c:pt idx="100">
                        <c:v>42600</c:v>
                      </c:pt>
                      <c:pt idx="101">
                        <c:v>40850</c:v>
                      </c:pt>
                      <c:pt idx="102">
                        <c:v>40950</c:v>
                      </c:pt>
                      <c:pt idx="103">
                        <c:v>40000</c:v>
                      </c:pt>
                      <c:pt idx="104">
                        <c:v>39950</c:v>
                      </c:pt>
                      <c:pt idx="105">
                        <c:v>38750</c:v>
                      </c:pt>
                      <c:pt idx="106">
                        <c:v>38500</c:v>
                      </c:pt>
                      <c:pt idx="107">
                        <c:v>38800</c:v>
                      </c:pt>
                      <c:pt idx="108">
                        <c:v>38000</c:v>
                      </c:pt>
                      <c:pt idx="109">
                        <c:v>38000</c:v>
                      </c:pt>
                      <c:pt idx="110">
                        <c:v>38550</c:v>
                      </c:pt>
                      <c:pt idx="111">
                        <c:v>37300</c:v>
                      </c:pt>
                      <c:pt idx="112">
                        <c:v>39800</c:v>
                      </c:pt>
                      <c:pt idx="113">
                        <c:v>40900</c:v>
                      </c:pt>
                      <c:pt idx="114">
                        <c:v>40550</c:v>
                      </c:pt>
                      <c:pt idx="115">
                        <c:v>41400</c:v>
                      </c:pt>
                      <c:pt idx="116">
                        <c:v>41500</c:v>
                      </c:pt>
                      <c:pt idx="117">
                        <c:v>41900</c:v>
                      </c:pt>
                      <c:pt idx="118">
                        <c:v>41500</c:v>
                      </c:pt>
                      <c:pt idx="119">
                        <c:v>40000</c:v>
                      </c:pt>
                      <c:pt idx="120">
                        <c:v>39400</c:v>
                      </c:pt>
                      <c:pt idx="121">
                        <c:v>40300</c:v>
                      </c:pt>
                      <c:pt idx="122">
                        <c:v>39600</c:v>
                      </c:pt>
                      <c:pt idx="123">
                        <c:v>38200</c:v>
                      </c:pt>
                      <c:pt idx="124">
                        <c:v>38050</c:v>
                      </c:pt>
                      <c:pt idx="125">
                        <c:v>38950</c:v>
                      </c:pt>
                      <c:pt idx="126">
                        <c:v>37000</c:v>
                      </c:pt>
                      <c:pt idx="127">
                        <c:v>35100</c:v>
                      </c:pt>
                      <c:pt idx="128">
                        <c:v>37700</c:v>
                      </c:pt>
                      <c:pt idx="129">
                        <c:v>40500</c:v>
                      </c:pt>
                      <c:pt idx="130">
                        <c:v>42000</c:v>
                      </c:pt>
                      <c:pt idx="131">
                        <c:v>42000</c:v>
                      </c:pt>
                      <c:pt idx="132">
                        <c:v>43500</c:v>
                      </c:pt>
                      <c:pt idx="133">
                        <c:v>43000</c:v>
                      </c:pt>
                      <c:pt idx="134">
                        <c:v>43000</c:v>
                      </c:pt>
                      <c:pt idx="135">
                        <c:v>44700</c:v>
                      </c:pt>
                      <c:pt idx="136">
                        <c:v>43000</c:v>
                      </c:pt>
                      <c:pt idx="137">
                        <c:v>44700</c:v>
                      </c:pt>
                      <c:pt idx="138">
                        <c:v>46300</c:v>
                      </c:pt>
                      <c:pt idx="139">
                        <c:v>48600</c:v>
                      </c:pt>
                      <c:pt idx="140">
                        <c:v>49500</c:v>
                      </c:pt>
                      <c:pt idx="141">
                        <c:v>48400</c:v>
                      </c:pt>
                      <c:pt idx="142">
                        <c:v>49300</c:v>
                      </c:pt>
                      <c:pt idx="143">
                        <c:v>48850</c:v>
                      </c:pt>
                      <c:pt idx="144">
                        <c:v>47950</c:v>
                      </c:pt>
                      <c:pt idx="145">
                        <c:v>48300</c:v>
                      </c:pt>
                      <c:pt idx="146">
                        <c:v>47000</c:v>
                      </c:pt>
                      <c:pt idx="147">
                        <c:v>49200</c:v>
                      </c:pt>
                      <c:pt idx="148">
                        <c:v>49000</c:v>
                      </c:pt>
                      <c:pt idx="149">
                        <c:v>51900</c:v>
                      </c:pt>
                      <c:pt idx="150">
                        <c:v>52600</c:v>
                      </c:pt>
                      <c:pt idx="151">
                        <c:v>53000</c:v>
                      </c:pt>
                      <c:pt idx="152">
                        <c:v>52000</c:v>
                      </c:pt>
                      <c:pt idx="153">
                        <c:v>51500</c:v>
                      </c:pt>
                      <c:pt idx="154">
                        <c:v>51000</c:v>
                      </c:pt>
                      <c:pt idx="155">
                        <c:v>52100</c:v>
                      </c:pt>
                      <c:pt idx="156">
                        <c:v>54200</c:v>
                      </c:pt>
                      <c:pt idx="157">
                        <c:v>55800</c:v>
                      </c:pt>
                      <c:pt idx="158">
                        <c:v>55500</c:v>
                      </c:pt>
                      <c:pt idx="159">
                        <c:v>55000</c:v>
                      </c:pt>
                      <c:pt idx="160">
                        <c:v>55900</c:v>
                      </c:pt>
                      <c:pt idx="161">
                        <c:v>57300</c:v>
                      </c:pt>
                      <c:pt idx="162">
                        <c:v>57500</c:v>
                      </c:pt>
                      <c:pt idx="163">
                        <c:v>55800</c:v>
                      </c:pt>
                      <c:pt idx="164">
                        <c:v>54500</c:v>
                      </c:pt>
                      <c:pt idx="165">
                        <c:v>55500</c:v>
                      </c:pt>
                      <c:pt idx="166">
                        <c:v>55000</c:v>
                      </c:pt>
                      <c:pt idx="167">
                        <c:v>55000</c:v>
                      </c:pt>
                      <c:pt idx="168">
                        <c:v>54300</c:v>
                      </c:pt>
                      <c:pt idx="169">
                        <c:v>53800</c:v>
                      </c:pt>
                      <c:pt idx="170">
                        <c:v>53800</c:v>
                      </c:pt>
                      <c:pt idx="171">
                        <c:v>52900</c:v>
                      </c:pt>
                      <c:pt idx="172">
                        <c:v>51700</c:v>
                      </c:pt>
                      <c:pt idx="173">
                        <c:v>50500</c:v>
                      </c:pt>
                      <c:pt idx="174">
                        <c:v>50300</c:v>
                      </c:pt>
                      <c:pt idx="175">
                        <c:v>49700</c:v>
                      </c:pt>
                      <c:pt idx="176">
                        <c:v>50000</c:v>
                      </c:pt>
                      <c:pt idx="177">
                        <c:v>49000</c:v>
                      </c:pt>
                      <c:pt idx="178">
                        <c:v>50200</c:v>
                      </c:pt>
                      <c:pt idx="179">
                        <c:v>53900</c:v>
                      </c:pt>
                      <c:pt idx="180">
                        <c:v>53800</c:v>
                      </c:pt>
                      <c:pt idx="181">
                        <c:v>54000</c:v>
                      </c:pt>
                      <c:pt idx="182">
                        <c:v>54200</c:v>
                      </c:pt>
                      <c:pt idx="183">
                        <c:v>53300</c:v>
                      </c:pt>
                      <c:pt idx="184">
                        <c:v>52000</c:v>
                      </c:pt>
                      <c:pt idx="185">
                        <c:v>52600</c:v>
                      </c:pt>
                      <c:pt idx="186">
                        <c:v>53600</c:v>
                      </c:pt>
                      <c:pt idx="187">
                        <c:v>53800</c:v>
                      </c:pt>
                      <c:pt idx="188">
                        <c:v>53000</c:v>
                      </c:pt>
                      <c:pt idx="189">
                        <c:v>52700</c:v>
                      </c:pt>
                      <c:pt idx="190">
                        <c:v>51700</c:v>
                      </c:pt>
                      <c:pt idx="191">
                        <c:v>51700</c:v>
                      </c:pt>
                      <c:pt idx="192">
                        <c:v>53700</c:v>
                      </c:pt>
                      <c:pt idx="193">
                        <c:v>54500</c:v>
                      </c:pt>
                      <c:pt idx="194">
                        <c:v>54100</c:v>
                      </c:pt>
                      <c:pt idx="195">
                        <c:v>52600</c:v>
                      </c:pt>
                      <c:pt idx="196">
                        <c:v>53600</c:v>
                      </c:pt>
                      <c:pt idx="197">
                        <c:v>54500</c:v>
                      </c:pt>
                      <c:pt idx="198">
                        <c:v>52500</c:v>
                      </c:pt>
                      <c:pt idx="199">
                        <c:v>49100</c:v>
                      </c:pt>
                      <c:pt idx="200">
                        <c:v>48500</c:v>
                      </c:pt>
                      <c:pt idx="201">
                        <c:v>48050</c:v>
                      </c:pt>
                      <c:pt idx="202">
                        <c:v>48650</c:v>
                      </c:pt>
                      <c:pt idx="203">
                        <c:v>49450</c:v>
                      </c:pt>
                      <c:pt idx="204">
                        <c:v>49350</c:v>
                      </c:pt>
                      <c:pt idx="205">
                        <c:v>49150</c:v>
                      </c:pt>
                      <c:pt idx="206">
                        <c:v>48800</c:v>
                      </c:pt>
                      <c:pt idx="207">
                        <c:v>47750</c:v>
                      </c:pt>
                      <c:pt idx="208">
                        <c:v>45500</c:v>
                      </c:pt>
                      <c:pt idx="209">
                        <c:v>43200</c:v>
                      </c:pt>
                      <c:pt idx="210">
                        <c:v>43350</c:v>
                      </c:pt>
                      <c:pt idx="211">
                        <c:v>43250</c:v>
                      </c:pt>
                      <c:pt idx="212">
                        <c:v>43000</c:v>
                      </c:pt>
                      <c:pt idx="213">
                        <c:v>43300</c:v>
                      </c:pt>
                      <c:pt idx="214">
                        <c:v>42700</c:v>
                      </c:pt>
                      <c:pt idx="215">
                        <c:v>43900</c:v>
                      </c:pt>
                      <c:pt idx="216">
                        <c:v>44200</c:v>
                      </c:pt>
                      <c:pt idx="217">
                        <c:v>44350</c:v>
                      </c:pt>
                      <c:pt idx="218">
                        <c:v>42900</c:v>
                      </c:pt>
                      <c:pt idx="219">
                        <c:v>43050</c:v>
                      </c:pt>
                      <c:pt idx="220">
                        <c:v>42700</c:v>
                      </c:pt>
                      <c:pt idx="221">
                        <c:v>42500</c:v>
                      </c:pt>
                      <c:pt idx="222">
                        <c:v>41500</c:v>
                      </c:pt>
                      <c:pt idx="223">
                        <c:v>41350</c:v>
                      </c:pt>
                      <c:pt idx="224">
                        <c:v>41700</c:v>
                      </c:pt>
                      <c:pt idx="225">
                        <c:v>42050</c:v>
                      </c:pt>
                      <c:pt idx="226">
                        <c:v>43000</c:v>
                      </c:pt>
                      <c:pt idx="227">
                        <c:v>43000</c:v>
                      </c:pt>
                      <c:pt idx="228">
                        <c:v>41400</c:v>
                      </c:pt>
                      <c:pt idx="229">
                        <c:v>40650</c:v>
                      </c:pt>
                      <c:pt idx="230">
                        <c:v>41800</c:v>
                      </c:pt>
                      <c:pt idx="231">
                        <c:v>41800</c:v>
                      </c:pt>
                      <c:pt idx="232">
                        <c:v>41200</c:v>
                      </c:pt>
                      <c:pt idx="233">
                        <c:v>40800</c:v>
                      </c:pt>
                      <c:pt idx="234">
                        <c:v>39300</c:v>
                      </c:pt>
                      <c:pt idx="235">
                        <c:v>39200</c:v>
                      </c:pt>
                      <c:pt idx="236">
                        <c:v>39400</c:v>
                      </c:pt>
                      <c:pt idx="237">
                        <c:v>38700</c:v>
                      </c:pt>
                      <c:pt idx="238">
                        <c:v>38200</c:v>
                      </c:pt>
                      <c:pt idx="239">
                        <c:v>38000</c:v>
                      </c:pt>
                      <c:pt idx="240">
                        <c:v>37950</c:v>
                      </c:pt>
                      <c:pt idx="241">
                        <c:v>38250</c:v>
                      </c:pt>
                      <c:pt idx="242">
                        <c:v>38550</c:v>
                      </c:pt>
                      <c:pt idx="243">
                        <c:v>38300</c:v>
                      </c:pt>
                      <c:pt idx="244">
                        <c:v>38100</c:v>
                      </c:pt>
                      <c:pt idx="245">
                        <c:v>38150</c:v>
                      </c:pt>
                      <c:pt idx="246">
                        <c:v>38450</c:v>
                      </c:pt>
                      <c:pt idx="247">
                        <c:v>38900</c:v>
                      </c:pt>
                      <c:pt idx="248">
                        <c:v>39000</c:v>
                      </c:pt>
                      <c:pt idx="249">
                        <c:v>38700</c:v>
                      </c:pt>
                      <c:pt idx="250">
                        <c:v>39000</c:v>
                      </c:pt>
                      <c:pt idx="251">
                        <c:v>37950</c:v>
                      </c:pt>
                      <c:pt idx="252">
                        <c:v>37850</c:v>
                      </c:pt>
                      <c:pt idx="253">
                        <c:v>37800</c:v>
                      </c:pt>
                    </c:numCache>
                  </c:numRef>
                </c:val>
                <c:smooth val="0"/>
                <c:extLst>
                  <c:ext xmlns:c16="http://schemas.microsoft.com/office/drawing/2014/chart" uri="{C3380CC4-5D6E-409C-BE32-E72D297353CC}">
                    <c16:uniqueId val="{00000000-2F04-4D6A-A5B2-419B91DF2904}"/>
                  </c:ext>
                </c:extLst>
              </c15:ser>
            </c15:filteredLineSeries>
          </c:ext>
        </c:extLst>
      </c:lineChart>
      <c:dateAx>
        <c:axId val="1080206248"/>
        <c:scaling>
          <c:orientation val="minMax"/>
        </c:scaling>
        <c:delete val="0"/>
        <c:axPos val="b"/>
        <c:numFmt formatCode="m/d/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Calibri (Body)"/>
                <a:ea typeface="+mn-ea"/>
                <a:cs typeface="+mn-cs"/>
              </a:defRPr>
            </a:pPr>
            <a:endParaRPr lang="vi-VN"/>
          </a:p>
        </c:txPr>
        <c:crossAx val="1080215968"/>
        <c:crosses val="autoZero"/>
        <c:auto val="1"/>
        <c:lblOffset val="100"/>
        <c:baseTimeUnit val="days"/>
      </c:dateAx>
      <c:valAx>
        <c:axId val="1080215968"/>
        <c:scaling>
          <c:orientation val="minMax"/>
          <c:max val="0.64000000000000012"/>
          <c:min val="0.39000000000000007"/>
        </c:scaling>
        <c:delete val="0"/>
        <c:axPos val="l"/>
        <c:title>
          <c:tx>
            <c:rich>
              <a:bodyPr rot="-5400000" spcFirstLastPara="1" vertOverflow="ellipsis" vert="horz" wrap="square" anchor="ctr" anchorCtr="1"/>
              <a:lstStyle/>
              <a:p>
                <a:pPr>
                  <a:defRPr sz="800" b="0" i="0" u="none" strike="noStrike" kern="1200" baseline="0">
                    <a:solidFill>
                      <a:schemeClr val="tx1">
                        <a:lumMod val="65000"/>
                        <a:lumOff val="35000"/>
                      </a:schemeClr>
                    </a:solidFill>
                    <a:latin typeface="Calibri (Body)"/>
                    <a:ea typeface="+mn-ea"/>
                    <a:cs typeface="+mn-cs"/>
                  </a:defRPr>
                </a:pPr>
                <a:r>
                  <a:rPr lang="en-US"/>
                  <a:t>Tỷ</a:t>
                </a:r>
                <a:r>
                  <a:rPr lang="en-US" baseline="0"/>
                  <a:t> lệ sở hữu nước ngoài (%)</a:t>
                </a:r>
                <a:endParaRPr lang="en-US"/>
              </a:p>
            </c:rich>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Calibri (Body)"/>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Calibri (Body)"/>
                <a:ea typeface="+mn-ea"/>
                <a:cs typeface="+mn-cs"/>
              </a:defRPr>
            </a:pPr>
            <a:endParaRPr lang="vi-VN"/>
          </a:p>
        </c:txPr>
        <c:crossAx val="1080206248"/>
        <c:crosses val="autoZero"/>
        <c:crossBetween val="between"/>
      </c:valAx>
      <c:valAx>
        <c:axId val="1080221008"/>
        <c:scaling>
          <c:orientation val="minMax"/>
        </c:scaling>
        <c:delete val="0"/>
        <c:axPos val="r"/>
        <c:title>
          <c:tx>
            <c:rich>
              <a:bodyPr rot="-5400000" spcFirstLastPara="1" vertOverflow="ellipsis" vert="horz" wrap="square" anchor="ctr" anchorCtr="1"/>
              <a:lstStyle/>
              <a:p>
                <a:pPr>
                  <a:defRPr sz="800" b="0" i="0" u="none" strike="noStrike" kern="1200" baseline="0">
                    <a:solidFill>
                      <a:schemeClr val="tx1">
                        <a:lumMod val="65000"/>
                        <a:lumOff val="35000"/>
                      </a:schemeClr>
                    </a:solidFill>
                    <a:latin typeface="Calibri (Body)"/>
                    <a:ea typeface="+mn-ea"/>
                    <a:cs typeface="+mn-cs"/>
                  </a:defRPr>
                </a:pPr>
                <a:r>
                  <a:rPr lang="en-US"/>
                  <a:t>Giao</a:t>
                </a:r>
                <a:r>
                  <a:rPr lang="en-US" baseline="0"/>
                  <a:t> dịch nước ngoài (Tỷ VND)</a:t>
                </a:r>
                <a:endParaRPr lang="en-US"/>
              </a:p>
            </c:rich>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Calibri (Body)"/>
                  <a:ea typeface="+mn-ea"/>
                  <a:cs typeface="+mn-cs"/>
                </a:defRPr>
              </a:pPr>
              <a:endParaRPr lang="en-US"/>
            </a:p>
          </c:txPr>
        </c:title>
        <c:numFmt formatCode="_-* #,##0_-;\-* #,##0_-;_-* &quot;-&quot;??_-;_-@_-" sourceLinked="1"/>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Calibri (Body)"/>
                <a:ea typeface="+mn-ea"/>
                <a:cs typeface="+mn-cs"/>
              </a:defRPr>
            </a:pPr>
            <a:endParaRPr lang="vi-VN"/>
          </a:p>
        </c:txPr>
        <c:crossAx val="1080222088"/>
        <c:crosses val="max"/>
        <c:crossBetween val="between"/>
      </c:valAx>
      <c:dateAx>
        <c:axId val="1080222088"/>
        <c:scaling>
          <c:orientation val="minMax"/>
        </c:scaling>
        <c:delete val="1"/>
        <c:axPos val="b"/>
        <c:numFmt formatCode="m/d/yy" sourceLinked="1"/>
        <c:majorTickMark val="out"/>
        <c:minorTickMark val="none"/>
        <c:tickLblPos val="nextTo"/>
        <c:crossAx val="1080221008"/>
        <c:crosses val="autoZero"/>
        <c:auto val="1"/>
        <c:lblOffset val="100"/>
        <c:baseTimeUnit val="days"/>
      </c:dateAx>
      <c:spPr>
        <a:noFill/>
        <a:ln>
          <a:noFill/>
        </a:ln>
        <a:effectLst/>
      </c:spPr>
    </c:plotArea>
    <c:legend>
      <c:legendPos val="b"/>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Calibri (Body)"/>
              <a:ea typeface="+mn-ea"/>
              <a:cs typeface="+mn-cs"/>
            </a:defRPr>
          </a:pPr>
          <a:endParaRPr lang="vi-VN"/>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sz="800">
          <a:latin typeface="Calibri (Body)"/>
        </a:defRPr>
      </a:pPr>
      <a:endParaRPr lang="vi-VN"/>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709102335414762"/>
          <c:y val="0.16298400562475213"/>
          <c:w val="0.74254569814761262"/>
          <c:h val="0.56215379965754131"/>
        </c:manualLayout>
      </c:layout>
      <c:lineChart>
        <c:grouping val="standard"/>
        <c:varyColors val="0"/>
        <c:ser>
          <c:idx val="0"/>
          <c:order val="0"/>
          <c:tx>
            <c:strRef>
              <c:f>Diamond!$Z$2</c:f>
              <c:strCache>
                <c:ptCount val="1"/>
                <c:pt idx="0">
                  <c:v>LNST Trượt (tỷ VND)</c:v>
                </c:pt>
              </c:strCache>
            </c:strRef>
          </c:tx>
          <c:spPr>
            <a:ln w="19050" cap="rnd">
              <a:solidFill>
                <a:srgbClr val="FFC000"/>
              </a:solidFill>
              <a:round/>
            </a:ln>
            <a:effectLst/>
          </c:spPr>
          <c:marker>
            <c:symbol val="none"/>
          </c:marker>
          <c:cat>
            <c:numRef>
              <c:f>Diamond!$Y$3:$Y$386</c:f>
              <c:numCache>
                <c:formatCode>m/d/yy</c:formatCode>
                <c:ptCount val="384"/>
                <c:pt idx="0">
                  <c:v>45869</c:v>
                </c:pt>
                <c:pt idx="11">
                  <c:v>45657</c:v>
                </c:pt>
                <c:pt idx="53">
                  <c:v>45407</c:v>
                </c:pt>
                <c:pt idx="54">
                  <c:v>45406</c:v>
                </c:pt>
                <c:pt idx="55">
                  <c:v>45415</c:v>
                </c:pt>
                <c:pt idx="56">
                  <c:v>45414</c:v>
                </c:pt>
                <c:pt idx="57">
                  <c:v>45408</c:v>
                </c:pt>
                <c:pt idx="58">
                  <c:v>45407</c:v>
                </c:pt>
                <c:pt idx="59">
                  <c:v>45406</c:v>
                </c:pt>
                <c:pt idx="60">
                  <c:v>45405</c:v>
                </c:pt>
                <c:pt idx="61">
                  <c:v>45404</c:v>
                </c:pt>
                <c:pt idx="62">
                  <c:v>45401</c:v>
                </c:pt>
                <c:pt idx="63">
                  <c:v>45399</c:v>
                </c:pt>
                <c:pt idx="64">
                  <c:v>45398</c:v>
                </c:pt>
                <c:pt idx="65">
                  <c:v>45397</c:v>
                </c:pt>
                <c:pt idx="66">
                  <c:v>45394</c:v>
                </c:pt>
                <c:pt idx="67">
                  <c:v>45393</c:v>
                </c:pt>
                <c:pt idx="68">
                  <c:v>45392</c:v>
                </c:pt>
                <c:pt idx="69">
                  <c:v>45391</c:v>
                </c:pt>
                <c:pt idx="70">
                  <c:v>45390</c:v>
                </c:pt>
                <c:pt idx="71">
                  <c:v>45387</c:v>
                </c:pt>
                <c:pt idx="72">
                  <c:v>45386</c:v>
                </c:pt>
                <c:pt idx="73">
                  <c:v>45385</c:v>
                </c:pt>
                <c:pt idx="74">
                  <c:v>45384</c:v>
                </c:pt>
                <c:pt idx="75">
                  <c:v>45383</c:v>
                </c:pt>
                <c:pt idx="76">
                  <c:v>45380</c:v>
                </c:pt>
                <c:pt idx="77">
                  <c:v>45379</c:v>
                </c:pt>
                <c:pt idx="78">
                  <c:v>45378</c:v>
                </c:pt>
                <c:pt idx="79">
                  <c:v>45377</c:v>
                </c:pt>
                <c:pt idx="80">
                  <c:v>45376</c:v>
                </c:pt>
                <c:pt idx="81">
                  <c:v>45373</c:v>
                </c:pt>
                <c:pt idx="82">
                  <c:v>45372</c:v>
                </c:pt>
                <c:pt idx="83">
                  <c:v>45371</c:v>
                </c:pt>
                <c:pt idx="84">
                  <c:v>45370</c:v>
                </c:pt>
                <c:pt idx="85">
                  <c:v>45369</c:v>
                </c:pt>
                <c:pt idx="86">
                  <c:v>45366</c:v>
                </c:pt>
                <c:pt idx="87">
                  <c:v>45365</c:v>
                </c:pt>
                <c:pt idx="88">
                  <c:v>45364</c:v>
                </c:pt>
                <c:pt idx="89">
                  <c:v>45363</c:v>
                </c:pt>
                <c:pt idx="90">
                  <c:v>45362</c:v>
                </c:pt>
                <c:pt idx="91">
                  <c:v>45359</c:v>
                </c:pt>
                <c:pt idx="92">
                  <c:v>45358</c:v>
                </c:pt>
                <c:pt idx="93">
                  <c:v>45357</c:v>
                </c:pt>
                <c:pt idx="94">
                  <c:v>45356</c:v>
                </c:pt>
                <c:pt idx="95">
                  <c:v>45355</c:v>
                </c:pt>
                <c:pt idx="96">
                  <c:v>45352</c:v>
                </c:pt>
                <c:pt idx="97">
                  <c:v>45351</c:v>
                </c:pt>
                <c:pt idx="98">
                  <c:v>45350</c:v>
                </c:pt>
                <c:pt idx="99">
                  <c:v>45349</c:v>
                </c:pt>
                <c:pt idx="100">
                  <c:v>45348</c:v>
                </c:pt>
                <c:pt idx="101">
                  <c:v>45345</c:v>
                </c:pt>
                <c:pt idx="102">
                  <c:v>45344</c:v>
                </c:pt>
                <c:pt idx="103">
                  <c:v>45343</c:v>
                </c:pt>
                <c:pt idx="104">
                  <c:v>45342</c:v>
                </c:pt>
                <c:pt idx="105">
                  <c:v>45341</c:v>
                </c:pt>
                <c:pt idx="106">
                  <c:v>45338</c:v>
                </c:pt>
                <c:pt idx="107">
                  <c:v>45337</c:v>
                </c:pt>
                <c:pt idx="108">
                  <c:v>45329</c:v>
                </c:pt>
                <c:pt idx="109">
                  <c:v>45328</c:v>
                </c:pt>
                <c:pt idx="110">
                  <c:v>45327</c:v>
                </c:pt>
                <c:pt idx="111">
                  <c:v>45324</c:v>
                </c:pt>
                <c:pt idx="112">
                  <c:v>45323</c:v>
                </c:pt>
                <c:pt idx="113">
                  <c:v>45322</c:v>
                </c:pt>
                <c:pt idx="114">
                  <c:v>45321</c:v>
                </c:pt>
                <c:pt idx="115">
                  <c:v>45320</c:v>
                </c:pt>
                <c:pt idx="116">
                  <c:v>45317</c:v>
                </c:pt>
                <c:pt idx="117">
                  <c:v>45316</c:v>
                </c:pt>
                <c:pt idx="118">
                  <c:v>45315</c:v>
                </c:pt>
                <c:pt idx="119">
                  <c:v>45314</c:v>
                </c:pt>
                <c:pt idx="120">
                  <c:v>45313</c:v>
                </c:pt>
                <c:pt idx="121">
                  <c:v>45310</c:v>
                </c:pt>
                <c:pt idx="122">
                  <c:v>45309</c:v>
                </c:pt>
                <c:pt idx="123">
                  <c:v>45308</c:v>
                </c:pt>
                <c:pt idx="124">
                  <c:v>45307</c:v>
                </c:pt>
                <c:pt idx="125">
                  <c:v>45306</c:v>
                </c:pt>
                <c:pt idx="126">
                  <c:v>45303</c:v>
                </c:pt>
                <c:pt idx="127">
                  <c:v>45302</c:v>
                </c:pt>
                <c:pt idx="128">
                  <c:v>45301</c:v>
                </c:pt>
                <c:pt idx="129">
                  <c:v>45300</c:v>
                </c:pt>
                <c:pt idx="130">
                  <c:v>45299</c:v>
                </c:pt>
                <c:pt idx="131">
                  <c:v>45296</c:v>
                </c:pt>
                <c:pt idx="132">
                  <c:v>45295</c:v>
                </c:pt>
                <c:pt idx="133">
                  <c:v>45294</c:v>
                </c:pt>
                <c:pt idx="134">
                  <c:v>45293</c:v>
                </c:pt>
                <c:pt idx="135">
                  <c:v>45289</c:v>
                </c:pt>
                <c:pt idx="136">
                  <c:v>45288</c:v>
                </c:pt>
                <c:pt idx="137">
                  <c:v>45287</c:v>
                </c:pt>
                <c:pt idx="138">
                  <c:v>45286</c:v>
                </c:pt>
                <c:pt idx="139">
                  <c:v>45285</c:v>
                </c:pt>
                <c:pt idx="140">
                  <c:v>45282</c:v>
                </c:pt>
                <c:pt idx="141">
                  <c:v>45281</c:v>
                </c:pt>
                <c:pt idx="142">
                  <c:v>45280</c:v>
                </c:pt>
                <c:pt idx="143">
                  <c:v>45279</c:v>
                </c:pt>
                <c:pt idx="144">
                  <c:v>45278</c:v>
                </c:pt>
                <c:pt idx="145">
                  <c:v>45275</c:v>
                </c:pt>
                <c:pt idx="146">
                  <c:v>45274</c:v>
                </c:pt>
                <c:pt idx="147">
                  <c:v>45273</c:v>
                </c:pt>
                <c:pt idx="148">
                  <c:v>45272</c:v>
                </c:pt>
                <c:pt idx="149">
                  <c:v>45271</c:v>
                </c:pt>
                <c:pt idx="150">
                  <c:v>45268</c:v>
                </c:pt>
                <c:pt idx="151">
                  <c:v>45267</c:v>
                </c:pt>
                <c:pt idx="152">
                  <c:v>45266</c:v>
                </c:pt>
                <c:pt idx="153">
                  <c:v>45265</c:v>
                </c:pt>
                <c:pt idx="154">
                  <c:v>45264</c:v>
                </c:pt>
                <c:pt idx="155">
                  <c:v>45261</c:v>
                </c:pt>
                <c:pt idx="156">
                  <c:v>45260</c:v>
                </c:pt>
                <c:pt idx="157">
                  <c:v>45259</c:v>
                </c:pt>
                <c:pt idx="158">
                  <c:v>45258</c:v>
                </c:pt>
                <c:pt idx="159">
                  <c:v>45257</c:v>
                </c:pt>
                <c:pt idx="160">
                  <c:v>45254</c:v>
                </c:pt>
                <c:pt idx="161">
                  <c:v>45253</c:v>
                </c:pt>
                <c:pt idx="162">
                  <c:v>45252</c:v>
                </c:pt>
                <c:pt idx="163">
                  <c:v>45251</c:v>
                </c:pt>
                <c:pt idx="164">
                  <c:v>45250</c:v>
                </c:pt>
                <c:pt idx="165">
                  <c:v>45247</c:v>
                </c:pt>
                <c:pt idx="166">
                  <c:v>45246</c:v>
                </c:pt>
                <c:pt idx="167">
                  <c:v>45245</c:v>
                </c:pt>
                <c:pt idx="168">
                  <c:v>45244</c:v>
                </c:pt>
                <c:pt idx="169">
                  <c:v>45243</c:v>
                </c:pt>
                <c:pt idx="170">
                  <c:v>45240</c:v>
                </c:pt>
                <c:pt idx="171">
                  <c:v>45239</c:v>
                </c:pt>
                <c:pt idx="172">
                  <c:v>45238</c:v>
                </c:pt>
                <c:pt idx="173">
                  <c:v>45237</c:v>
                </c:pt>
                <c:pt idx="174">
                  <c:v>45236</c:v>
                </c:pt>
                <c:pt idx="175">
                  <c:v>45233</c:v>
                </c:pt>
                <c:pt idx="176">
                  <c:v>45232</c:v>
                </c:pt>
                <c:pt idx="177">
                  <c:v>45231</c:v>
                </c:pt>
                <c:pt idx="178">
                  <c:v>45230</c:v>
                </c:pt>
                <c:pt idx="179">
                  <c:v>45229</c:v>
                </c:pt>
                <c:pt idx="180">
                  <c:v>45226</c:v>
                </c:pt>
                <c:pt idx="181">
                  <c:v>45225</c:v>
                </c:pt>
                <c:pt idx="182">
                  <c:v>45224</c:v>
                </c:pt>
                <c:pt idx="183">
                  <c:v>45223</c:v>
                </c:pt>
                <c:pt idx="184">
                  <c:v>45222</c:v>
                </c:pt>
                <c:pt idx="185">
                  <c:v>45219</c:v>
                </c:pt>
                <c:pt idx="186">
                  <c:v>45218</c:v>
                </c:pt>
                <c:pt idx="187">
                  <c:v>45217</c:v>
                </c:pt>
                <c:pt idx="188">
                  <c:v>45216</c:v>
                </c:pt>
                <c:pt idx="189">
                  <c:v>45215</c:v>
                </c:pt>
                <c:pt idx="190">
                  <c:v>45212</c:v>
                </c:pt>
                <c:pt idx="191">
                  <c:v>45211</c:v>
                </c:pt>
                <c:pt idx="192">
                  <c:v>45210</c:v>
                </c:pt>
                <c:pt idx="193">
                  <c:v>45209</c:v>
                </c:pt>
                <c:pt idx="194">
                  <c:v>45208</c:v>
                </c:pt>
                <c:pt idx="195">
                  <c:v>45205</c:v>
                </c:pt>
                <c:pt idx="196">
                  <c:v>45204</c:v>
                </c:pt>
                <c:pt idx="197">
                  <c:v>45203</c:v>
                </c:pt>
                <c:pt idx="198">
                  <c:v>45202</c:v>
                </c:pt>
                <c:pt idx="199">
                  <c:v>45201</c:v>
                </c:pt>
                <c:pt idx="200">
                  <c:v>45198</c:v>
                </c:pt>
                <c:pt idx="201">
                  <c:v>45197</c:v>
                </c:pt>
                <c:pt idx="202">
                  <c:v>45196</c:v>
                </c:pt>
                <c:pt idx="203">
                  <c:v>45195</c:v>
                </c:pt>
                <c:pt idx="204">
                  <c:v>45194</c:v>
                </c:pt>
                <c:pt idx="205">
                  <c:v>45191</c:v>
                </c:pt>
                <c:pt idx="206">
                  <c:v>45190</c:v>
                </c:pt>
                <c:pt idx="207">
                  <c:v>45189</c:v>
                </c:pt>
                <c:pt idx="208">
                  <c:v>45188</c:v>
                </c:pt>
                <c:pt idx="209">
                  <c:v>45187</c:v>
                </c:pt>
                <c:pt idx="210">
                  <c:v>45184</c:v>
                </c:pt>
                <c:pt idx="211">
                  <c:v>45183</c:v>
                </c:pt>
                <c:pt idx="212">
                  <c:v>45182</c:v>
                </c:pt>
                <c:pt idx="213">
                  <c:v>45181</c:v>
                </c:pt>
                <c:pt idx="214">
                  <c:v>45180</c:v>
                </c:pt>
                <c:pt idx="215">
                  <c:v>45177</c:v>
                </c:pt>
                <c:pt idx="216">
                  <c:v>45176</c:v>
                </c:pt>
                <c:pt idx="217">
                  <c:v>45175</c:v>
                </c:pt>
                <c:pt idx="218">
                  <c:v>45174</c:v>
                </c:pt>
                <c:pt idx="219">
                  <c:v>45169</c:v>
                </c:pt>
                <c:pt idx="220">
                  <c:v>45168</c:v>
                </c:pt>
                <c:pt idx="221">
                  <c:v>45167</c:v>
                </c:pt>
                <c:pt idx="222">
                  <c:v>45166</c:v>
                </c:pt>
                <c:pt idx="223">
                  <c:v>45163</c:v>
                </c:pt>
                <c:pt idx="224">
                  <c:v>45162</c:v>
                </c:pt>
                <c:pt idx="225">
                  <c:v>45161</c:v>
                </c:pt>
                <c:pt idx="226">
                  <c:v>45160</c:v>
                </c:pt>
                <c:pt idx="227">
                  <c:v>45159</c:v>
                </c:pt>
                <c:pt idx="228">
                  <c:v>45156</c:v>
                </c:pt>
                <c:pt idx="229">
                  <c:v>45155</c:v>
                </c:pt>
                <c:pt idx="230">
                  <c:v>45154</c:v>
                </c:pt>
                <c:pt idx="231">
                  <c:v>45153</c:v>
                </c:pt>
                <c:pt idx="232">
                  <c:v>45152</c:v>
                </c:pt>
                <c:pt idx="233">
                  <c:v>45149</c:v>
                </c:pt>
                <c:pt idx="234">
                  <c:v>45148</c:v>
                </c:pt>
                <c:pt idx="235">
                  <c:v>45147</c:v>
                </c:pt>
                <c:pt idx="236">
                  <c:v>45146</c:v>
                </c:pt>
                <c:pt idx="237">
                  <c:v>45145</c:v>
                </c:pt>
                <c:pt idx="238">
                  <c:v>45142</c:v>
                </c:pt>
                <c:pt idx="239">
                  <c:v>45141</c:v>
                </c:pt>
                <c:pt idx="240">
                  <c:v>45140</c:v>
                </c:pt>
                <c:pt idx="241">
                  <c:v>45139</c:v>
                </c:pt>
                <c:pt idx="242">
                  <c:v>45138</c:v>
                </c:pt>
                <c:pt idx="243">
                  <c:v>45135</c:v>
                </c:pt>
                <c:pt idx="244">
                  <c:v>45134</c:v>
                </c:pt>
                <c:pt idx="245">
                  <c:v>45133</c:v>
                </c:pt>
                <c:pt idx="246">
                  <c:v>45132</c:v>
                </c:pt>
                <c:pt idx="247">
                  <c:v>45131</c:v>
                </c:pt>
                <c:pt idx="248">
                  <c:v>45128</c:v>
                </c:pt>
                <c:pt idx="249">
                  <c:v>45127</c:v>
                </c:pt>
                <c:pt idx="250">
                  <c:v>45126</c:v>
                </c:pt>
                <c:pt idx="251">
                  <c:v>45125</c:v>
                </c:pt>
                <c:pt idx="252">
                  <c:v>45124</c:v>
                </c:pt>
                <c:pt idx="253">
                  <c:v>45121</c:v>
                </c:pt>
                <c:pt idx="254">
                  <c:v>45120</c:v>
                </c:pt>
                <c:pt idx="255">
                  <c:v>45119</c:v>
                </c:pt>
                <c:pt idx="256">
                  <c:v>45118</c:v>
                </c:pt>
                <c:pt idx="257">
                  <c:v>45117</c:v>
                </c:pt>
                <c:pt idx="258">
                  <c:v>45114</c:v>
                </c:pt>
                <c:pt idx="259">
                  <c:v>45113</c:v>
                </c:pt>
                <c:pt idx="260">
                  <c:v>45112</c:v>
                </c:pt>
                <c:pt idx="261">
                  <c:v>45111</c:v>
                </c:pt>
                <c:pt idx="262">
                  <c:v>45110</c:v>
                </c:pt>
                <c:pt idx="263">
                  <c:v>45107</c:v>
                </c:pt>
                <c:pt idx="264">
                  <c:v>45106</c:v>
                </c:pt>
                <c:pt idx="265">
                  <c:v>45105</c:v>
                </c:pt>
                <c:pt idx="266">
                  <c:v>45104</c:v>
                </c:pt>
                <c:pt idx="267">
                  <c:v>45103</c:v>
                </c:pt>
                <c:pt idx="268">
                  <c:v>45100</c:v>
                </c:pt>
                <c:pt idx="269">
                  <c:v>45099</c:v>
                </c:pt>
                <c:pt idx="270">
                  <c:v>45098</c:v>
                </c:pt>
                <c:pt idx="271">
                  <c:v>45097</c:v>
                </c:pt>
                <c:pt idx="272">
                  <c:v>45096</c:v>
                </c:pt>
                <c:pt idx="273">
                  <c:v>45093</c:v>
                </c:pt>
                <c:pt idx="274">
                  <c:v>45092</c:v>
                </c:pt>
                <c:pt idx="275">
                  <c:v>45091</c:v>
                </c:pt>
                <c:pt idx="276">
                  <c:v>45090</c:v>
                </c:pt>
                <c:pt idx="277">
                  <c:v>45089</c:v>
                </c:pt>
                <c:pt idx="278">
                  <c:v>45086</c:v>
                </c:pt>
                <c:pt idx="279">
                  <c:v>45085</c:v>
                </c:pt>
                <c:pt idx="280">
                  <c:v>45084</c:v>
                </c:pt>
                <c:pt idx="281">
                  <c:v>45083</c:v>
                </c:pt>
                <c:pt idx="282">
                  <c:v>45082</c:v>
                </c:pt>
                <c:pt idx="283">
                  <c:v>45079</c:v>
                </c:pt>
                <c:pt idx="284">
                  <c:v>45078</c:v>
                </c:pt>
                <c:pt idx="285">
                  <c:v>45077</c:v>
                </c:pt>
                <c:pt idx="286">
                  <c:v>45076</c:v>
                </c:pt>
                <c:pt idx="287">
                  <c:v>45075</c:v>
                </c:pt>
                <c:pt idx="288">
                  <c:v>45072</c:v>
                </c:pt>
                <c:pt idx="289">
                  <c:v>45071</c:v>
                </c:pt>
                <c:pt idx="290">
                  <c:v>45070</c:v>
                </c:pt>
                <c:pt idx="291">
                  <c:v>45069</c:v>
                </c:pt>
                <c:pt idx="292">
                  <c:v>45068</c:v>
                </c:pt>
                <c:pt idx="293">
                  <c:v>45065</c:v>
                </c:pt>
                <c:pt idx="294">
                  <c:v>45064</c:v>
                </c:pt>
                <c:pt idx="295">
                  <c:v>45063</c:v>
                </c:pt>
                <c:pt idx="296">
                  <c:v>45062</c:v>
                </c:pt>
                <c:pt idx="297">
                  <c:v>45061</c:v>
                </c:pt>
                <c:pt idx="298">
                  <c:v>45058</c:v>
                </c:pt>
                <c:pt idx="299">
                  <c:v>45057</c:v>
                </c:pt>
                <c:pt idx="300">
                  <c:v>45056</c:v>
                </c:pt>
                <c:pt idx="301">
                  <c:v>45055</c:v>
                </c:pt>
                <c:pt idx="302">
                  <c:v>45054</c:v>
                </c:pt>
                <c:pt idx="303">
                  <c:v>45051</c:v>
                </c:pt>
                <c:pt idx="304">
                  <c:v>45050</c:v>
                </c:pt>
                <c:pt idx="305">
                  <c:v>45044</c:v>
                </c:pt>
                <c:pt idx="306">
                  <c:v>45043</c:v>
                </c:pt>
                <c:pt idx="307">
                  <c:v>45042</c:v>
                </c:pt>
                <c:pt idx="308">
                  <c:v>45041</c:v>
                </c:pt>
                <c:pt idx="309">
                  <c:v>45040</c:v>
                </c:pt>
                <c:pt idx="310">
                  <c:v>45037</c:v>
                </c:pt>
                <c:pt idx="311">
                  <c:v>45036</c:v>
                </c:pt>
                <c:pt idx="312">
                  <c:v>45035</c:v>
                </c:pt>
                <c:pt idx="313">
                  <c:v>45034</c:v>
                </c:pt>
                <c:pt idx="314">
                  <c:v>45033</c:v>
                </c:pt>
                <c:pt idx="315">
                  <c:v>45030</c:v>
                </c:pt>
                <c:pt idx="316">
                  <c:v>45029</c:v>
                </c:pt>
                <c:pt idx="317">
                  <c:v>45028</c:v>
                </c:pt>
                <c:pt idx="318">
                  <c:v>45027</c:v>
                </c:pt>
                <c:pt idx="319">
                  <c:v>45026</c:v>
                </c:pt>
                <c:pt idx="320">
                  <c:v>45023</c:v>
                </c:pt>
                <c:pt idx="321">
                  <c:v>45022</c:v>
                </c:pt>
                <c:pt idx="322">
                  <c:v>45021</c:v>
                </c:pt>
                <c:pt idx="323">
                  <c:v>45020</c:v>
                </c:pt>
                <c:pt idx="324">
                  <c:v>45019</c:v>
                </c:pt>
                <c:pt idx="325">
                  <c:v>45016</c:v>
                </c:pt>
                <c:pt idx="326">
                  <c:v>45015</c:v>
                </c:pt>
                <c:pt idx="327">
                  <c:v>45014</c:v>
                </c:pt>
                <c:pt idx="328">
                  <c:v>45013</c:v>
                </c:pt>
                <c:pt idx="329">
                  <c:v>45012</c:v>
                </c:pt>
                <c:pt idx="330">
                  <c:v>45009</c:v>
                </c:pt>
                <c:pt idx="331">
                  <c:v>45008</c:v>
                </c:pt>
                <c:pt idx="332">
                  <c:v>45007</c:v>
                </c:pt>
                <c:pt idx="333">
                  <c:v>45006</c:v>
                </c:pt>
                <c:pt idx="334">
                  <c:v>45005</c:v>
                </c:pt>
                <c:pt idx="335">
                  <c:v>45002</c:v>
                </c:pt>
                <c:pt idx="336">
                  <c:v>45001</c:v>
                </c:pt>
                <c:pt idx="337">
                  <c:v>45000</c:v>
                </c:pt>
                <c:pt idx="338">
                  <c:v>44999</c:v>
                </c:pt>
                <c:pt idx="339">
                  <c:v>44998</c:v>
                </c:pt>
                <c:pt idx="340">
                  <c:v>44995</c:v>
                </c:pt>
                <c:pt idx="341">
                  <c:v>44994</c:v>
                </c:pt>
                <c:pt idx="342">
                  <c:v>44993</c:v>
                </c:pt>
                <c:pt idx="343">
                  <c:v>44992</c:v>
                </c:pt>
                <c:pt idx="344">
                  <c:v>44991</c:v>
                </c:pt>
                <c:pt idx="345">
                  <c:v>44988</c:v>
                </c:pt>
                <c:pt idx="346">
                  <c:v>44987</c:v>
                </c:pt>
                <c:pt idx="347">
                  <c:v>44986</c:v>
                </c:pt>
                <c:pt idx="348">
                  <c:v>44985</c:v>
                </c:pt>
                <c:pt idx="349">
                  <c:v>44984</c:v>
                </c:pt>
                <c:pt idx="350">
                  <c:v>44981</c:v>
                </c:pt>
                <c:pt idx="351">
                  <c:v>44980</c:v>
                </c:pt>
                <c:pt idx="352">
                  <c:v>44979</c:v>
                </c:pt>
                <c:pt idx="353">
                  <c:v>44978</c:v>
                </c:pt>
                <c:pt idx="354">
                  <c:v>44977</c:v>
                </c:pt>
                <c:pt idx="355">
                  <c:v>44974</c:v>
                </c:pt>
                <c:pt idx="356">
                  <c:v>44973</c:v>
                </c:pt>
                <c:pt idx="357">
                  <c:v>44972</c:v>
                </c:pt>
                <c:pt idx="358">
                  <c:v>44971</c:v>
                </c:pt>
                <c:pt idx="359">
                  <c:v>44970</c:v>
                </c:pt>
                <c:pt idx="360">
                  <c:v>44967</c:v>
                </c:pt>
                <c:pt idx="361">
                  <c:v>44966</c:v>
                </c:pt>
                <c:pt idx="362">
                  <c:v>44965</c:v>
                </c:pt>
                <c:pt idx="363">
                  <c:v>44964</c:v>
                </c:pt>
                <c:pt idx="364">
                  <c:v>44963</c:v>
                </c:pt>
                <c:pt idx="365">
                  <c:v>44960</c:v>
                </c:pt>
                <c:pt idx="366">
                  <c:v>44959</c:v>
                </c:pt>
                <c:pt idx="367">
                  <c:v>44958</c:v>
                </c:pt>
                <c:pt idx="368">
                  <c:v>44957</c:v>
                </c:pt>
                <c:pt idx="369">
                  <c:v>44956</c:v>
                </c:pt>
                <c:pt idx="370">
                  <c:v>44953</c:v>
                </c:pt>
                <c:pt idx="371">
                  <c:v>44945</c:v>
                </c:pt>
                <c:pt idx="372">
                  <c:v>44944</c:v>
                </c:pt>
                <c:pt idx="373">
                  <c:v>44943</c:v>
                </c:pt>
                <c:pt idx="374">
                  <c:v>44942</c:v>
                </c:pt>
                <c:pt idx="375">
                  <c:v>44939</c:v>
                </c:pt>
                <c:pt idx="376">
                  <c:v>44938</c:v>
                </c:pt>
                <c:pt idx="377">
                  <c:v>44937</c:v>
                </c:pt>
                <c:pt idx="378">
                  <c:v>44936</c:v>
                </c:pt>
                <c:pt idx="379">
                  <c:v>44935</c:v>
                </c:pt>
                <c:pt idx="380">
                  <c:v>44932</c:v>
                </c:pt>
                <c:pt idx="381">
                  <c:v>44931</c:v>
                </c:pt>
                <c:pt idx="382">
                  <c:v>44930</c:v>
                </c:pt>
                <c:pt idx="383">
                  <c:v>44929</c:v>
                </c:pt>
              </c:numCache>
            </c:numRef>
          </c:cat>
          <c:val>
            <c:numRef>
              <c:f>Diamond!$Z$3:$Z$386</c:f>
              <c:numCache>
                <c:formatCode>General</c:formatCode>
                <c:ptCount val="384"/>
                <c:pt idx="36">
                  <c:v>66.124999999999986</c:v>
                </c:pt>
                <c:pt idx="37">
                  <c:v>1.3224999999999998</c:v>
                </c:pt>
                <c:pt idx="55" formatCode="_(* #,##0_);_(* \(#,##0\);_(* &quot;-&quot;??_);_(@_)">
                  <c:v>1052.6487158800001</c:v>
                </c:pt>
                <c:pt idx="56" formatCode="_(* #,##0_);_(* \(#,##0\);_(* &quot;-&quot;??_);_(@_)">
                  <c:v>1052.6487158800001</c:v>
                </c:pt>
                <c:pt idx="57" formatCode="_(* #,##0_);_(* \(#,##0\);_(* &quot;-&quot;??_);_(@_)">
                  <c:v>168.27048762999999</c:v>
                </c:pt>
                <c:pt idx="58" formatCode="_(* #,##0_);_(* \(#,##0\);_(* &quot;-&quot;??_);_(@_)">
                  <c:v>2212.5829001799998</c:v>
                </c:pt>
                <c:pt idx="59" formatCode="_(* #,##0_);_(* \(#,##0\);_(* &quot;-&quot;??_);_(@_)">
                  <c:v>2212.5829001799998</c:v>
                </c:pt>
                <c:pt idx="60" formatCode="_(* #,##0_);_(* \(#,##0\);_(* &quot;-&quot;??_);_(@_)">
                  <c:v>2212.5829001799998</c:v>
                </c:pt>
                <c:pt idx="61" formatCode="_(* #,##0_);_(* \(#,##0\);_(* &quot;-&quot;??_);_(@_)">
                  <c:v>2212.5829001799998</c:v>
                </c:pt>
                <c:pt idx="62" formatCode="_(* #,##0_);_(* \(#,##0\);_(* &quot;-&quot;??_);_(@_)">
                  <c:v>2212.5829001799998</c:v>
                </c:pt>
                <c:pt idx="63" formatCode="_(* #,##0_);_(* \(#,##0\);_(* &quot;-&quot;??_);_(@_)">
                  <c:v>2212.5829001799998</c:v>
                </c:pt>
                <c:pt idx="64" formatCode="_(* #,##0_);_(* \(#,##0\);_(* &quot;-&quot;??_);_(@_)">
                  <c:v>2212.5829001799998</c:v>
                </c:pt>
                <c:pt idx="65" formatCode="_(* #,##0_);_(* \(#,##0\);_(* &quot;-&quot;??_);_(@_)">
                  <c:v>2212.5829001799998</c:v>
                </c:pt>
                <c:pt idx="66" formatCode="_(* #,##0_);_(* \(#,##0\);_(* &quot;-&quot;??_);_(@_)">
                  <c:v>2212.5829001799998</c:v>
                </c:pt>
                <c:pt idx="67" formatCode="_(* #,##0_);_(* \(#,##0\);_(* &quot;-&quot;??_);_(@_)">
                  <c:v>2212.5829001799998</c:v>
                </c:pt>
                <c:pt idx="68" formatCode="_(* #,##0_);_(* \(#,##0\);_(* &quot;-&quot;??_);_(@_)">
                  <c:v>2212.5829001799998</c:v>
                </c:pt>
                <c:pt idx="69" formatCode="_(* #,##0_);_(* \(#,##0\);_(* &quot;-&quot;??_);_(@_)">
                  <c:v>2212.5829001799998</c:v>
                </c:pt>
                <c:pt idx="70" formatCode="_(* #,##0_);_(* \(#,##0\);_(* &quot;-&quot;??_);_(@_)">
                  <c:v>2212.5829001799998</c:v>
                </c:pt>
                <c:pt idx="71" formatCode="_(* #,##0_);_(* \(#,##0\);_(* &quot;-&quot;??_);_(@_)">
                  <c:v>2212.5829001799998</c:v>
                </c:pt>
                <c:pt idx="72" formatCode="_(* #,##0_);_(* \(#,##0\);_(* &quot;-&quot;??_);_(@_)">
                  <c:v>2212.5829001799998</c:v>
                </c:pt>
                <c:pt idx="73" formatCode="_(* #,##0_);_(* \(#,##0\);_(* &quot;-&quot;??_);_(@_)">
                  <c:v>2212.5829001799998</c:v>
                </c:pt>
                <c:pt idx="74" formatCode="_(* #,##0_);_(* \(#,##0\);_(* &quot;-&quot;??_);_(@_)">
                  <c:v>2212.5829001799998</c:v>
                </c:pt>
                <c:pt idx="75" formatCode="_(* #,##0_);_(* \(#,##0\);_(* &quot;-&quot;??_);_(@_)">
                  <c:v>2212.5829001799998</c:v>
                </c:pt>
                <c:pt idx="76" formatCode="_(* #,##0_);_(* \(#,##0\);_(* &quot;-&quot;??_);_(@_)">
                  <c:v>1052.50187018</c:v>
                </c:pt>
                <c:pt idx="77" formatCode="_(* #,##0_);_(* \(#,##0\);_(* &quot;-&quot;??_);_(@_)">
                  <c:v>1052.50187018</c:v>
                </c:pt>
                <c:pt idx="78" formatCode="_(* #,##0_);_(* \(#,##0\);_(* &quot;-&quot;??_);_(@_)">
                  <c:v>1052.5165547499998</c:v>
                </c:pt>
                <c:pt idx="79" formatCode="_(* #,##0_);_(* \(#,##0\);_(* &quot;-&quot;??_);_(@_)">
                  <c:v>1052.5165547499998</c:v>
                </c:pt>
                <c:pt idx="80" formatCode="_(* #,##0_);_(* \(#,##0\);_(* &quot;-&quot;??_);_(@_)">
                  <c:v>1052.5165547499998</c:v>
                </c:pt>
                <c:pt idx="81" formatCode="_(* #,##0_);_(* \(#,##0\);_(* &quot;-&quot;??_);_(@_)">
                  <c:v>1052.5165547499998</c:v>
                </c:pt>
                <c:pt idx="82" formatCode="_(* #,##0_);_(* \(#,##0\);_(* &quot;-&quot;??_);_(@_)">
                  <c:v>1052.5165547499998</c:v>
                </c:pt>
                <c:pt idx="83" formatCode="_(* #,##0_);_(* \(#,##0\);_(* &quot;-&quot;??_);_(@_)">
                  <c:v>1052.5165547499998</c:v>
                </c:pt>
                <c:pt idx="84" formatCode="_(* #,##0_);_(* \(#,##0\);_(* &quot;-&quot;??_);_(@_)">
                  <c:v>1052.5165547499998</c:v>
                </c:pt>
                <c:pt idx="85" formatCode="_(* #,##0_);_(* \(#,##0\);_(* &quot;-&quot;??_);_(@_)">
                  <c:v>1052.5165547499998</c:v>
                </c:pt>
                <c:pt idx="86" formatCode="_(* #,##0_);_(* \(#,##0\);_(* &quot;-&quot;??_);_(@_)">
                  <c:v>1052.5312393199999</c:v>
                </c:pt>
                <c:pt idx="87" formatCode="_(* #,##0_);_(* \(#,##0\);_(* &quot;-&quot;??_);_(@_)">
                  <c:v>1052.5312393199999</c:v>
                </c:pt>
                <c:pt idx="88" formatCode="_(* #,##0_);_(* \(#,##0\);_(* &quot;-&quot;??_);_(@_)">
                  <c:v>1052.5312393199999</c:v>
                </c:pt>
                <c:pt idx="89" formatCode="_(* #,##0_);_(* \(#,##0\);_(* &quot;-&quot;??_);_(@_)">
                  <c:v>1052.5312393199999</c:v>
                </c:pt>
                <c:pt idx="90" formatCode="_(* #,##0_);_(* \(#,##0\);_(* &quot;-&quot;??_);_(@_)">
                  <c:v>1052.5312393199999</c:v>
                </c:pt>
                <c:pt idx="91" formatCode="_(* #,##0_);_(* \(#,##0\);_(* &quot;-&quot;??_);_(@_)">
                  <c:v>1052.5312393199999</c:v>
                </c:pt>
                <c:pt idx="92" formatCode="_(* #,##0_);_(* \(#,##0\);_(* &quot;-&quot;??_);_(@_)">
                  <c:v>1052.5459238899998</c:v>
                </c:pt>
                <c:pt idx="93" formatCode="_(* #,##0_);_(* \(#,##0\);_(* &quot;-&quot;??_);_(@_)">
                  <c:v>1052.5459238899998</c:v>
                </c:pt>
                <c:pt idx="94" formatCode="_(* #,##0_);_(* \(#,##0\);_(* &quot;-&quot;??_);_(@_)">
                  <c:v>1052.5459238899998</c:v>
                </c:pt>
                <c:pt idx="95" formatCode="_(* #,##0_);_(* \(#,##0\);_(* &quot;-&quot;??_);_(@_)">
                  <c:v>1052.5459238899998</c:v>
                </c:pt>
                <c:pt idx="96" formatCode="_(* #,##0_);_(* \(#,##0\);_(* &quot;-&quot;??_);_(@_)">
                  <c:v>1052.5459238899998</c:v>
                </c:pt>
                <c:pt idx="97" formatCode="_(* #,##0_);_(* \(#,##0\);_(* &quot;-&quot;??_);_(@_)">
                  <c:v>1052.5459238899998</c:v>
                </c:pt>
                <c:pt idx="98" formatCode="_(* #,##0_);_(* \(#,##0\);_(* &quot;-&quot;??_);_(@_)">
                  <c:v>1052.5606084599999</c:v>
                </c:pt>
                <c:pt idx="99" formatCode="_(* #,##0_);_(* \(#,##0\);_(* &quot;-&quot;??_);_(@_)">
                  <c:v>1052.5606084599999</c:v>
                </c:pt>
                <c:pt idx="100" formatCode="_(* #,##0_);_(* \(#,##0\);_(* &quot;-&quot;??_);_(@_)">
                  <c:v>1052.5606084599999</c:v>
                </c:pt>
                <c:pt idx="101" formatCode="_(* #,##0_);_(* \(#,##0\);_(* &quot;-&quot;??_);_(@_)">
                  <c:v>1052.5606084599999</c:v>
                </c:pt>
                <c:pt idx="102" formatCode="_(* #,##0_);_(* \(#,##0\);_(* &quot;-&quot;??_);_(@_)">
                  <c:v>1052.5606084599999</c:v>
                </c:pt>
                <c:pt idx="103" formatCode="_(* #,##0_);_(* \(#,##0\);_(* &quot;-&quot;??_);_(@_)">
                  <c:v>1052.5752930299998</c:v>
                </c:pt>
                <c:pt idx="104" formatCode="_(* #,##0_);_(* \(#,##0\);_(* &quot;-&quot;??_);_(@_)">
                  <c:v>1052.5752930299998</c:v>
                </c:pt>
                <c:pt idx="105" formatCode="_(* #,##0_);_(* \(#,##0\);_(* &quot;-&quot;??_);_(@_)">
                  <c:v>1052.5752930299998</c:v>
                </c:pt>
                <c:pt idx="106" formatCode="_(* #,##0_);_(* \(#,##0\);_(* &quot;-&quot;??_);_(@_)">
                  <c:v>1052.5752930299998</c:v>
                </c:pt>
                <c:pt idx="107" formatCode="_(* #,##0_);_(* \(#,##0\);_(* &quot;-&quot;??_);_(@_)">
                  <c:v>1052.5899775999999</c:v>
                </c:pt>
                <c:pt idx="108" formatCode="_(* #,##0_);_(* \(#,##0\);_(* &quot;-&quot;??_);_(@_)">
                  <c:v>1052.5899775999999</c:v>
                </c:pt>
                <c:pt idx="109" formatCode="_(* #,##0_);_(* \(#,##0\);_(* &quot;-&quot;??_);_(@_)">
                  <c:v>1052.5899775999999</c:v>
                </c:pt>
                <c:pt idx="110" formatCode="_(* #,##0_);_(* \(#,##0\);_(* &quot;-&quot;??_);_(@_)">
                  <c:v>1052.5899775999999</c:v>
                </c:pt>
                <c:pt idx="111" formatCode="_(* #,##0_);_(* \(#,##0\);_(* &quot;-&quot;??_);_(@_)">
                  <c:v>1052.5899775999999</c:v>
                </c:pt>
                <c:pt idx="112" formatCode="_(* #,##0_);_(* \(#,##0\);_(* &quot;-&quot;??_);_(@_)">
                  <c:v>1052.6046621699998</c:v>
                </c:pt>
                <c:pt idx="113" formatCode="_(* #,##0_);_(* \(#,##0\);_(* &quot;-&quot;??_);_(@_)">
                  <c:v>1052.6046621699998</c:v>
                </c:pt>
                <c:pt idx="114" formatCode="_(* #,##0_);_(* \(#,##0\);_(* &quot;-&quot;??_);_(@_)">
                  <c:v>1052.6046621699998</c:v>
                </c:pt>
                <c:pt idx="115" formatCode="_(* #,##0_);_(* \(#,##0\);_(* &quot;-&quot;??_);_(@_)">
                  <c:v>1052.6046621699998</c:v>
                </c:pt>
                <c:pt idx="116" formatCode="_(* #,##0_);_(* \(#,##0\);_(* &quot;-&quot;??_);_(@_)">
                  <c:v>1052.6046621699998</c:v>
                </c:pt>
                <c:pt idx="117" formatCode="_(* #,##0_);_(* \(#,##0\);_(* &quot;-&quot;??_);_(@_)">
                  <c:v>1052.6193467400001</c:v>
                </c:pt>
                <c:pt idx="118" formatCode="_(* #,##0_);_(* \(#,##0\);_(* &quot;-&quot;??_);_(@_)">
                  <c:v>1052.6193467400001</c:v>
                </c:pt>
                <c:pt idx="119" formatCode="_(* #,##0_);_(* \(#,##0\);_(* &quot;-&quot;??_);_(@_)">
                  <c:v>1052.6193467400001</c:v>
                </c:pt>
                <c:pt idx="120" formatCode="_(* #,##0_);_(* \(#,##0\);_(* &quot;-&quot;??_);_(@_)">
                  <c:v>1052.6193467400001</c:v>
                </c:pt>
                <c:pt idx="121" formatCode="_(* #,##0_);_(* \(#,##0\);_(* &quot;-&quot;??_);_(@_)">
                  <c:v>1052.6193467400001</c:v>
                </c:pt>
                <c:pt idx="122" formatCode="_(* #,##0_);_(* \(#,##0\);_(* &quot;-&quot;??_);_(@_)">
                  <c:v>1052.63403131</c:v>
                </c:pt>
                <c:pt idx="123" formatCode="_(* #,##0_);_(* \(#,##0\);_(* &quot;-&quot;??_);_(@_)">
                  <c:v>1052.63403131</c:v>
                </c:pt>
                <c:pt idx="124" formatCode="_(* #,##0_);_(* \(#,##0\);_(* &quot;-&quot;??_);_(@_)">
                  <c:v>1052.63403131</c:v>
                </c:pt>
                <c:pt idx="125" formatCode="_(* #,##0_);_(* \(#,##0\);_(* &quot;-&quot;??_);_(@_)">
                  <c:v>1052.63403131</c:v>
                </c:pt>
                <c:pt idx="126" formatCode="_(* #,##0_);_(* \(#,##0\);_(* &quot;-&quot;??_);_(@_)">
                  <c:v>1052.63403131</c:v>
                </c:pt>
                <c:pt idx="127" formatCode="_(* #,##0_);_(* \(#,##0\);_(* &quot;-&quot;??_);_(@_)">
                  <c:v>1052.6487158800001</c:v>
                </c:pt>
                <c:pt idx="128" formatCode="_(* #,##0_);_(* \(#,##0\);_(* &quot;-&quot;??_);_(@_)">
                  <c:v>1052.6487158800001</c:v>
                </c:pt>
                <c:pt idx="129" formatCode="_(* #,##0_);_(* \(#,##0\);_(* &quot;-&quot;??_);_(@_)">
                  <c:v>1052.6487158800001</c:v>
                </c:pt>
                <c:pt idx="130" formatCode="_(* #,##0_);_(* \(#,##0\);_(* &quot;-&quot;??_);_(@_)">
                  <c:v>1052.6487158800001</c:v>
                </c:pt>
                <c:pt idx="131" formatCode="_(* #,##0_);_(* \(#,##0\);_(* &quot;-&quot;??_);_(@_)">
                  <c:v>1052.6487158800001</c:v>
                </c:pt>
                <c:pt idx="132" formatCode="_(* #,##0_);_(* \(#,##0\);_(* &quot;-&quot;??_);_(@_)">
                  <c:v>1052.6487158800001</c:v>
                </c:pt>
                <c:pt idx="133" formatCode="_(* #,##0_);_(* \(#,##0\);_(* &quot;-&quot;??_);_(@_)">
                  <c:v>1052.6487158800001</c:v>
                </c:pt>
                <c:pt idx="134" formatCode="_(* #,##0_);_(* \(#,##0\);_(* &quot;-&quot;??_);_(@_)">
                  <c:v>1052.6487158800001</c:v>
                </c:pt>
                <c:pt idx="135" formatCode="_(* #,##0_);_(* \(#,##0\);_(* &quot;-&quot;??_);_(@_)">
                  <c:v>1052.6487158800001</c:v>
                </c:pt>
                <c:pt idx="136" formatCode="_(* #,##0_);_(* \(#,##0\);_(* &quot;-&quot;??_);_(@_)">
                  <c:v>1052.6487158800001</c:v>
                </c:pt>
                <c:pt idx="137" formatCode="_(* #,##0_);_(* \(#,##0\);_(* &quot;-&quot;??_);_(@_)">
                  <c:v>1052.6487158800001</c:v>
                </c:pt>
                <c:pt idx="138" formatCode="_(* #,##0_);_(* \(#,##0\);_(* &quot;-&quot;??_);_(@_)">
                  <c:v>1052.6487158800001</c:v>
                </c:pt>
                <c:pt idx="139" formatCode="_(* #,##0_);_(* \(#,##0\);_(* &quot;-&quot;??_);_(@_)">
                  <c:v>168.27048762999999</c:v>
                </c:pt>
                <c:pt idx="140" formatCode="_(* #,##0_);_(* \(#,##0\);_(* &quot;-&quot;??_);_(@_)">
                  <c:v>168.27048762999999</c:v>
                </c:pt>
                <c:pt idx="141" formatCode="_(* #,##0_);_(* \(#,##0\);_(* &quot;-&quot;??_);_(@_)">
                  <c:v>168.27048762999999</c:v>
                </c:pt>
                <c:pt idx="142" formatCode="_(* #,##0_);_(* \(#,##0\);_(* &quot;-&quot;??_);_(@_)">
                  <c:v>168.27048762999999</c:v>
                </c:pt>
                <c:pt idx="143" formatCode="_(* #,##0_);_(* \(#,##0\);_(* &quot;-&quot;??_);_(@_)">
                  <c:v>168.27048762999999</c:v>
                </c:pt>
                <c:pt idx="144" formatCode="_(* #,##0_);_(* \(#,##0\);_(* &quot;-&quot;??_);_(@_)">
                  <c:v>168.27048762999999</c:v>
                </c:pt>
                <c:pt idx="145" formatCode="_(* #,##0_);_(* \(#,##0\);_(* &quot;-&quot;??_);_(@_)">
                  <c:v>168.27048762999999</c:v>
                </c:pt>
                <c:pt idx="146" formatCode="_(* #,##0_);_(* \(#,##0\);_(* &quot;-&quot;??_);_(@_)">
                  <c:v>168.27048762999999</c:v>
                </c:pt>
                <c:pt idx="147" formatCode="_(* #,##0_);_(* \(#,##0\);_(* &quot;-&quot;??_);_(@_)">
                  <c:v>168.27048762999999</c:v>
                </c:pt>
                <c:pt idx="148" formatCode="_(* #,##0_);_(* \(#,##0\);_(* &quot;-&quot;??_);_(@_)">
                  <c:v>168.27048762999999</c:v>
                </c:pt>
                <c:pt idx="149" formatCode="_(* #,##0_);_(* \(#,##0\);_(* &quot;-&quot;??_);_(@_)">
                  <c:v>168.27048762999999</c:v>
                </c:pt>
                <c:pt idx="150" formatCode="_(* #,##0_);_(* \(#,##0\);_(* &quot;-&quot;??_);_(@_)">
                  <c:v>168.27048762999999</c:v>
                </c:pt>
                <c:pt idx="151" formatCode="_(* #,##0_);_(* \(#,##0\);_(* &quot;-&quot;??_);_(@_)">
                  <c:v>168.27048762999999</c:v>
                </c:pt>
                <c:pt idx="152" formatCode="_(* #,##0_);_(* \(#,##0\);_(* &quot;-&quot;??_);_(@_)">
                  <c:v>168.27048762999999</c:v>
                </c:pt>
                <c:pt idx="153" formatCode="_(* #,##0_);_(* \(#,##0\);_(* &quot;-&quot;??_);_(@_)">
                  <c:v>168.27048762999999</c:v>
                </c:pt>
                <c:pt idx="154" formatCode="_(* #,##0_);_(* \(#,##0\);_(* &quot;-&quot;??_);_(@_)">
                  <c:v>168.27048762999999</c:v>
                </c:pt>
                <c:pt idx="155" formatCode="_(* #,##0_);_(* \(#,##0\);_(* &quot;-&quot;??_);_(@_)">
                  <c:v>168.27048762999999</c:v>
                </c:pt>
                <c:pt idx="156" formatCode="_(* #,##0_);_(* \(#,##0\);_(* &quot;-&quot;??_);_(@_)">
                  <c:v>168.27048762999999</c:v>
                </c:pt>
                <c:pt idx="157" formatCode="_(* #,##0_);_(* \(#,##0\);_(* &quot;-&quot;??_);_(@_)">
                  <c:v>168.27048762999999</c:v>
                </c:pt>
                <c:pt idx="158" formatCode="_(* #,##0_);_(* \(#,##0\);_(* &quot;-&quot;??_);_(@_)">
                  <c:v>168.27048762999999</c:v>
                </c:pt>
                <c:pt idx="159" formatCode="_(* #,##0_);_(* \(#,##0\);_(* &quot;-&quot;??_);_(@_)">
                  <c:v>168.27048762999999</c:v>
                </c:pt>
                <c:pt idx="160" formatCode="_(* #,##0_);_(* \(#,##0\);_(* &quot;-&quot;??_);_(@_)">
                  <c:v>168.27048762999999</c:v>
                </c:pt>
                <c:pt idx="161" formatCode="_(* #,##0_);_(* \(#,##0\);_(* &quot;-&quot;??_);_(@_)">
                  <c:v>168.27048762999999</c:v>
                </c:pt>
                <c:pt idx="162" formatCode="_(* #,##0_);_(* \(#,##0\);_(* &quot;-&quot;??_);_(@_)">
                  <c:v>168.27048762999999</c:v>
                </c:pt>
                <c:pt idx="163" formatCode="_(* #,##0_);_(* \(#,##0\);_(* &quot;-&quot;??_);_(@_)">
                  <c:v>168.27048762999999</c:v>
                </c:pt>
                <c:pt idx="164" formatCode="_(* #,##0_);_(* \(#,##0\);_(* &quot;-&quot;??_);_(@_)">
                  <c:v>168.27048762999999</c:v>
                </c:pt>
                <c:pt idx="165" formatCode="_(* #,##0_);_(* \(#,##0\);_(* &quot;-&quot;??_);_(@_)">
                  <c:v>168.27048762999999</c:v>
                </c:pt>
                <c:pt idx="166" formatCode="_(* #,##0_);_(* \(#,##0\);_(* &quot;-&quot;??_);_(@_)">
                  <c:v>168.27048762999999</c:v>
                </c:pt>
                <c:pt idx="167" formatCode="_(* #,##0_);_(* \(#,##0\);_(* &quot;-&quot;??_);_(@_)">
                  <c:v>168.27048762999999</c:v>
                </c:pt>
                <c:pt idx="168" formatCode="_(* #,##0_);_(* \(#,##0\);_(* &quot;-&quot;??_);_(@_)">
                  <c:v>168.27048762999999</c:v>
                </c:pt>
                <c:pt idx="169" formatCode="_(* #,##0_);_(* \(#,##0\);_(* &quot;-&quot;??_);_(@_)">
                  <c:v>168.27048762999999</c:v>
                </c:pt>
                <c:pt idx="170" formatCode="_(* #,##0_);_(* \(#,##0\);_(* &quot;-&quot;??_);_(@_)">
                  <c:v>168.27048762999999</c:v>
                </c:pt>
                <c:pt idx="171" formatCode="_(* #,##0_);_(* \(#,##0\);_(* &quot;-&quot;??_);_(@_)">
                  <c:v>168.27048762999999</c:v>
                </c:pt>
                <c:pt idx="172" formatCode="_(* #,##0_);_(* \(#,##0\);_(* &quot;-&quot;??_);_(@_)">
                  <c:v>168.27048762999999</c:v>
                </c:pt>
                <c:pt idx="173" formatCode="_(* #,##0_);_(* \(#,##0\);_(* &quot;-&quot;??_);_(@_)">
                  <c:v>168.27048762999999</c:v>
                </c:pt>
                <c:pt idx="174" formatCode="_(* #,##0_);_(* \(#,##0\);_(* &quot;-&quot;??_);_(@_)">
                  <c:v>168.27048762999999</c:v>
                </c:pt>
                <c:pt idx="175" formatCode="_(* #,##0_);_(* \(#,##0\);_(* &quot;-&quot;??_);_(@_)">
                  <c:v>168.27048762999999</c:v>
                </c:pt>
                <c:pt idx="176" formatCode="_(* #,##0_);_(* \(#,##0\);_(* &quot;-&quot;??_);_(@_)">
                  <c:v>168.27048762999999</c:v>
                </c:pt>
                <c:pt idx="177" formatCode="_(* #,##0_);_(* \(#,##0\);_(* &quot;-&quot;??_);_(@_)">
                  <c:v>168.27048762999999</c:v>
                </c:pt>
                <c:pt idx="178" formatCode="_(* #,##0_);_(* \(#,##0\);_(* &quot;-&quot;??_);_(@_)">
                  <c:v>168.27048762999999</c:v>
                </c:pt>
                <c:pt idx="179" formatCode="_(* #,##0_);_(* \(#,##0\);_(* &quot;-&quot;??_);_(@_)">
                  <c:v>168.27048762999999</c:v>
                </c:pt>
                <c:pt idx="180" formatCode="_(* #,##0_);_(* \(#,##0\);_(* &quot;-&quot;??_);_(@_)">
                  <c:v>168.27048762999999</c:v>
                </c:pt>
                <c:pt idx="181" formatCode="_(* #,##0_);_(* \(#,##0\);_(* &quot;-&quot;??_);_(@_)">
                  <c:v>168.27048762999999</c:v>
                </c:pt>
                <c:pt idx="182" formatCode="_(* #,##0_);_(* \(#,##0\);_(* &quot;-&quot;??_);_(@_)">
                  <c:v>168.27048762999999</c:v>
                </c:pt>
                <c:pt idx="183" formatCode="_(* #,##0_);_(* \(#,##0\);_(* &quot;-&quot;??_);_(@_)">
                  <c:v>168.27048762999999</c:v>
                </c:pt>
                <c:pt idx="184" formatCode="_(* #,##0_);_(* \(#,##0\);_(* &quot;-&quot;??_);_(@_)">
                  <c:v>168.27048762999999</c:v>
                </c:pt>
                <c:pt idx="185" formatCode="_(* #,##0_);_(* \(#,##0\);_(* &quot;-&quot;??_);_(@_)">
                  <c:v>168.27048762999999</c:v>
                </c:pt>
                <c:pt idx="186" formatCode="_(* #,##0_);_(* \(#,##0\);_(* &quot;-&quot;??_);_(@_)">
                  <c:v>168.27048762999999</c:v>
                </c:pt>
                <c:pt idx="187" formatCode="_(* #,##0_);_(* \(#,##0\);_(* &quot;-&quot;??_);_(@_)">
                  <c:v>168.27048762999999</c:v>
                </c:pt>
                <c:pt idx="188" formatCode="_(* #,##0_);_(* \(#,##0\);_(* &quot;-&quot;??_);_(@_)">
                  <c:v>168.27048762999999</c:v>
                </c:pt>
                <c:pt idx="189" formatCode="_(* #,##0_);_(* \(#,##0\);_(* &quot;-&quot;??_);_(@_)">
                  <c:v>168.27048762999999</c:v>
                </c:pt>
                <c:pt idx="190" formatCode="_(* #,##0_);_(* \(#,##0\);_(* &quot;-&quot;??_);_(@_)">
                  <c:v>168.27048762999999</c:v>
                </c:pt>
                <c:pt idx="191" formatCode="_(* #,##0_);_(* \(#,##0\);_(* &quot;-&quot;??_);_(@_)">
                  <c:v>168.27048762999999</c:v>
                </c:pt>
                <c:pt idx="192" formatCode="_(* #,##0_);_(* \(#,##0\);_(* &quot;-&quot;??_);_(@_)">
                  <c:v>168.27048762999999</c:v>
                </c:pt>
                <c:pt idx="193" formatCode="_(* #,##0_);_(* \(#,##0\);_(* &quot;-&quot;??_);_(@_)">
                  <c:v>168.27048762999999</c:v>
                </c:pt>
                <c:pt idx="194" formatCode="_(* #,##0_);_(* \(#,##0\);_(* &quot;-&quot;??_);_(@_)">
                  <c:v>168.27048762999999</c:v>
                </c:pt>
                <c:pt idx="195" formatCode="_(* #,##0_);_(* \(#,##0\);_(* &quot;-&quot;??_);_(@_)">
                  <c:v>168.27048762999999</c:v>
                </c:pt>
                <c:pt idx="196" formatCode="_(* #,##0_);_(* \(#,##0\);_(* &quot;-&quot;??_);_(@_)">
                  <c:v>698.86805543999992</c:v>
                </c:pt>
                <c:pt idx="197" formatCode="_(* #,##0_);_(* \(#,##0\);_(* &quot;-&quot;??_);_(@_)">
                  <c:v>698.86805543999992</c:v>
                </c:pt>
                <c:pt idx="198" formatCode="_(* #,##0_);_(* \(#,##0\);_(* &quot;-&quot;??_);_(@_)">
                  <c:v>698.86805543999992</c:v>
                </c:pt>
                <c:pt idx="199" formatCode="_(* #,##0_);_(* \(#,##0\);_(* &quot;-&quot;??_);_(@_)">
                  <c:v>698.86805543999992</c:v>
                </c:pt>
                <c:pt idx="200" formatCode="_(* #,##0_);_(* \(#,##0\);_(* &quot;-&quot;??_);_(@_)">
                  <c:v>698.86805543999992</c:v>
                </c:pt>
                <c:pt idx="201" formatCode="_(* #,##0_);_(* \(#,##0\);_(* &quot;-&quot;??_);_(@_)">
                  <c:v>698.86805543999992</c:v>
                </c:pt>
                <c:pt idx="202" formatCode="_(* #,##0_);_(* \(#,##0\);_(* &quot;-&quot;??_);_(@_)">
                  <c:v>698.86805543999992</c:v>
                </c:pt>
                <c:pt idx="203" formatCode="_(* #,##0_);_(* \(#,##0\);_(* &quot;-&quot;??_);_(@_)">
                  <c:v>698.86805543999992</c:v>
                </c:pt>
                <c:pt idx="204" formatCode="_(* #,##0_);_(* \(#,##0\);_(* &quot;-&quot;??_);_(@_)">
                  <c:v>698.86805543999992</c:v>
                </c:pt>
                <c:pt idx="205" formatCode="_(* #,##0_);_(* \(#,##0\);_(* &quot;-&quot;??_);_(@_)">
                  <c:v>698.86805543999992</c:v>
                </c:pt>
                <c:pt idx="206" formatCode="_(* #,##0_);_(* \(#,##0\);_(* &quot;-&quot;??_);_(@_)">
                  <c:v>698.86805543999992</c:v>
                </c:pt>
                <c:pt idx="207" formatCode="_(* #,##0_);_(* \(#,##0\);_(* &quot;-&quot;??_);_(@_)">
                  <c:v>698.86805543999992</c:v>
                </c:pt>
                <c:pt idx="208" formatCode="_(* #,##0_);_(* \(#,##0\);_(* &quot;-&quot;??_);_(@_)">
                  <c:v>698.86805543999992</c:v>
                </c:pt>
                <c:pt idx="209" formatCode="_(* #,##0_);_(* \(#,##0\);_(* &quot;-&quot;??_);_(@_)">
                  <c:v>698.86805543999992</c:v>
                </c:pt>
                <c:pt idx="210" formatCode="_(* #,##0_);_(* \(#,##0\);_(* &quot;-&quot;??_);_(@_)">
                  <c:v>698.86805543999992</c:v>
                </c:pt>
                <c:pt idx="211" formatCode="_(* #,##0_);_(* \(#,##0\);_(* &quot;-&quot;??_);_(@_)">
                  <c:v>698.86805543999992</c:v>
                </c:pt>
                <c:pt idx="212" formatCode="_(* #,##0_);_(* \(#,##0\);_(* &quot;-&quot;??_);_(@_)">
                  <c:v>698.86805543999992</c:v>
                </c:pt>
                <c:pt idx="213" formatCode="_(* #,##0_);_(* \(#,##0\);_(* &quot;-&quot;??_);_(@_)">
                  <c:v>698.86805543999992</c:v>
                </c:pt>
                <c:pt idx="214" formatCode="_(* #,##0_);_(* \(#,##0\);_(* &quot;-&quot;??_);_(@_)">
                  <c:v>698.86805543999992</c:v>
                </c:pt>
                <c:pt idx="215" formatCode="_(* #,##0_);_(* \(#,##0\);_(* &quot;-&quot;??_);_(@_)">
                  <c:v>698.86805543999992</c:v>
                </c:pt>
                <c:pt idx="216" formatCode="_(* #,##0_);_(* \(#,##0\);_(* &quot;-&quot;??_);_(@_)">
                  <c:v>698.86805543999992</c:v>
                </c:pt>
                <c:pt idx="217" formatCode="_(* #,##0_);_(* \(#,##0\);_(* &quot;-&quot;??_);_(@_)">
                  <c:v>698.86805543999992</c:v>
                </c:pt>
                <c:pt idx="218" formatCode="_(* #,##0_);_(* \(#,##0\);_(* &quot;-&quot;??_);_(@_)">
                  <c:v>698.86805543999992</c:v>
                </c:pt>
                <c:pt idx="219" formatCode="_(* #,##0_);_(* \(#,##0\);_(* &quot;-&quot;??_);_(@_)">
                  <c:v>698.86805543999992</c:v>
                </c:pt>
                <c:pt idx="220" formatCode="_(* #,##0_);_(* \(#,##0\);_(* &quot;-&quot;??_);_(@_)">
                  <c:v>698.86805543999992</c:v>
                </c:pt>
                <c:pt idx="221" formatCode="_(* #,##0_);_(* \(#,##0\);_(* &quot;-&quot;??_);_(@_)">
                  <c:v>698.86805543999992</c:v>
                </c:pt>
                <c:pt idx="222" formatCode="_(* #,##0_);_(* \(#,##0\);_(* &quot;-&quot;??_);_(@_)">
                  <c:v>698.86805543999992</c:v>
                </c:pt>
                <c:pt idx="223" formatCode="_(* #,##0_);_(* \(#,##0\);_(* &quot;-&quot;??_);_(@_)">
                  <c:v>698.86805543999992</c:v>
                </c:pt>
                <c:pt idx="224" formatCode="_(* #,##0_);_(* \(#,##0\);_(* &quot;-&quot;??_);_(@_)">
                  <c:v>698.86805543999992</c:v>
                </c:pt>
                <c:pt idx="225" formatCode="_(* #,##0_);_(* \(#,##0\);_(* &quot;-&quot;??_);_(@_)">
                  <c:v>698.85337086999994</c:v>
                </c:pt>
                <c:pt idx="226" formatCode="_(* #,##0_);_(* \(#,##0\);_(* &quot;-&quot;??_);_(@_)">
                  <c:v>698.85337086999994</c:v>
                </c:pt>
                <c:pt idx="227" formatCode="_(* #,##0_);_(* \(#,##0\);_(* &quot;-&quot;??_);_(@_)">
                  <c:v>698.85337086999994</c:v>
                </c:pt>
                <c:pt idx="228" formatCode="_(* #,##0_);_(* \(#,##0\);_(* &quot;-&quot;??_);_(@_)">
                  <c:v>698.85337086999994</c:v>
                </c:pt>
                <c:pt idx="229" formatCode="_(* #,##0_);_(* \(#,##0\);_(* &quot;-&quot;??_);_(@_)">
                  <c:v>698.85337086999994</c:v>
                </c:pt>
                <c:pt idx="230" formatCode="_(* #,##0_);_(* \(#,##0\);_(* &quot;-&quot;??_);_(@_)">
                  <c:v>698.85337086999994</c:v>
                </c:pt>
                <c:pt idx="231" formatCode="_(* #,##0_);_(* \(#,##0\);_(* &quot;-&quot;??_);_(@_)">
                  <c:v>698.85337086999994</c:v>
                </c:pt>
                <c:pt idx="232" formatCode="_(* #,##0_);_(* \(#,##0\);_(* &quot;-&quot;??_);_(@_)">
                  <c:v>698.85337086999994</c:v>
                </c:pt>
                <c:pt idx="233" formatCode="_(* #,##0_);_(* \(#,##0\);_(* &quot;-&quot;??_);_(@_)">
                  <c:v>698.85337086999994</c:v>
                </c:pt>
                <c:pt idx="234" formatCode="_(* #,##0_);_(* \(#,##0\);_(* &quot;-&quot;??_);_(@_)">
                  <c:v>698.85337086999994</c:v>
                </c:pt>
                <c:pt idx="235" formatCode="_(* #,##0_);_(* \(#,##0\);_(* &quot;-&quot;??_);_(@_)">
                  <c:v>698.85337086999994</c:v>
                </c:pt>
                <c:pt idx="236" formatCode="_(* #,##0_);_(* \(#,##0\);_(* &quot;-&quot;??_);_(@_)">
                  <c:v>698.85337086999994</c:v>
                </c:pt>
                <c:pt idx="237" formatCode="_(* #,##0_);_(* \(#,##0\);_(* &quot;-&quot;??_);_(@_)">
                  <c:v>698.85337086999994</c:v>
                </c:pt>
                <c:pt idx="238" formatCode="_(* #,##0_);_(* \(#,##0\);_(* &quot;-&quot;??_);_(@_)">
                  <c:v>698.85337086999994</c:v>
                </c:pt>
                <c:pt idx="239" formatCode="_(* #,##0_);_(* \(#,##0\);_(* &quot;-&quot;??_);_(@_)">
                  <c:v>698.85337086999994</c:v>
                </c:pt>
                <c:pt idx="240" formatCode="_(* #,##0_);_(* \(#,##0\);_(* &quot;-&quot;??_);_(@_)">
                  <c:v>698.85337086999994</c:v>
                </c:pt>
                <c:pt idx="241" formatCode="_(* #,##0_);_(* \(#,##0\);_(* &quot;-&quot;??_);_(@_)">
                  <c:v>698.85337086999994</c:v>
                </c:pt>
                <c:pt idx="242" formatCode="_(* #,##0_);_(* \(#,##0\);_(* &quot;-&quot;??_);_(@_)">
                  <c:v>698.85337086999994</c:v>
                </c:pt>
                <c:pt idx="243" formatCode="_(* #,##0_);_(* \(#,##0\);_(* &quot;-&quot;??_);_(@_)">
                  <c:v>698.85337086999994</c:v>
                </c:pt>
                <c:pt idx="244" formatCode="_(* #,##0_);_(* \(#,##0\);_(* &quot;-&quot;??_);_(@_)">
                  <c:v>698.85337086999994</c:v>
                </c:pt>
                <c:pt idx="245" formatCode="_(* #,##0_);_(* \(#,##0\);_(* &quot;-&quot;??_);_(@_)">
                  <c:v>698.85337086999994</c:v>
                </c:pt>
                <c:pt idx="246" formatCode="_(* #,##0_);_(* \(#,##0\);_(* &quot;-&quot;??_);_(@_)">
                  <c:v>698.85337086999994</c:v>
                </c:pt>
                <c:pt idx="247" formatCode="_(* #,##0_);_(* \(#,##0\);_(* &quot;-&quot;??_);_(@_)">
                  <c:v>698.85337086999994</c:v>
                </c:pt>
                <c:pt idx="248" formatCode="_(* #,##0_);_(* \(#,##0\);_(* &quot;-&quot;??_);_(@_)">
                  <c:v>698.85337086999994</c:v>
                </c:pt>
                <c:pt idx="249" formatCode="_(* #,##0_);_(* \(#,##0\);_(* &quot;-&quot;??_);_(@_)">
                  <c:v>698.85337086999994</c:v>
                </c:pt>
                <c:pt idx="250" formatCode="_(* #,##0_);_(* \(#,##0\);_(* &quot;-&quot;??_);_(@_)">
                  <c:v>698.85337086999994</c:v>
                </c:pt>
                <c:pt idx="251" formatCode="_(* #,##0_);_(* \(#,##0\);_(* &quot;-&quot;??_);_(@_)">
                  <c:v>698.85337086999994</c:v>
                </c:pt>
                <c:pt idx="252" formatCode="_(* #,##0_);_(* \(#,##0\);_(* &quot;-&quot;??_);_(@_)">
                  <c:v>698.85337086999994</c:v>
                </c:pt>
                <c:pt idx="253" formatCode="_(* #,##0_);_(* \(#,##0\);_(* &quot;-&quot;??_);_(@_)">
                  <c:v>698.85337086999994</c:v>
                </c:pt>
                <c:pt idx="254" formatCode="_(* #,##0_);_(* \(#,##0\);_(* &quot;-&quot;??_);_(@_)">
                  <c:v>698.85337086999994</c:v>
                </c:pt>
                <c:pt idx="255" formatCode="_(* #,##0_);_(* \(#,##0\);_(* &quot;-&quot;??_);_(@_)">
                  <c:v>698.85337086999994</c:v>
                </c:pt>
                <c:pt idx="256" formatCode="_(* #,##0_);_(* \(#,##0\);_(* &quot;-&quot;??_);_(@_)">
                  <c:v>698.85337086999994</c:v>
                </c:pt>
                <c:pt idx="257" formatCode="_(* #,##0_);_(* \(#,##0\);_(* &quot;-&quot;??_);_(@_)">
                  <c:v>698.85337086999994</c:v>
                </c:pt>
                <c:pt idx="258" formatCode="_(* #,##0_);_(* \(#,##0\);_(* &quot;-&quot;??_);_(@_)">
                  <c:v>698.85337086999994</c:v>
                </c:pt>
                <c:pt idx="259" formatCode="_(* #,##0_);_(* \(#,##0\);_(* &quot;-&quot;??_);_(@_)">
                  <c:v>698.85337086999994</c:v>
                </c:pt>
                <c:pt idx="260" formatCode="_(* #,##0_);_(* \(#,##0\);_(* &quot;-&quot;??_);_(@_)">
                  <c:v>698.85337086999994</c:v>
                </c:pt>
                <c:pt idx="261" formatCode="_(* #,##0_);_(* \(#,##0\);_(* &quot;-&quot;??_);_(@_)">
                  <c:v>1569.3399958999998</c:v>
                </c:pt>
                <c:pt idx="262" formatCode="_(* #,##0_);_(* \(#,##0\);_(* &quot;-&quot;??_);_(@_)">
                  <c:v>1569.3399958999998</c:v>
                </c:pt>
                <c:pt idx="263" formatCode="_(* #,##0_);_(* \(#,##0\);_(* &quot;-&quot;??_);_(@_)">
                  <c:v>1569.3399958999998</c:v>
                </c:pt>
                <c:pt idx="264" formatCode="_(* #,##0_);_(* \(#,##0\);_(* &quot;-&quot;??_);_(@_)">
                  <c:v>1569.3399958999998</c:v>
                </c:pt>
                <c:pt idx="265" formatCode="_(* #,##0_);_(* \(#,##0\);_(* &quot;-&quot;??_);_(@_)">
                  <c:v>1569.3399958999998</c:v>
                </c:pt>
                <c:pt idx="266" formatCode="_(* #,##0_);_(* \(#,##0\);_(* &quot;-&quot;??_);_(@_)">
                  <c:v>1569.32531133</c:v>
                </c:pt>
                <c:pt idx="267" formatCode="_(* #,##0_);_(* \(#,##0\);_(* &quot;-&quot;??_);_(@_)">
                  <c:v>1569.32531133</c:v>
                </c:pt>
                <c:pt idx="268" formatCode="_(* #,##0_);_(* \(#,##0\);_(* &quot;-&quot;??_);_(@_)">
                  <c:v>1569.32531133</c:v>
                </c:pt>
                <c:pt idx="269" formatCode="_(* #,##0_);_(* \(#,##0\);_(* &quot;-&quot;??_);_(@_)">
                  <c:v>1569.32531133</c:v>
                </c:pt>
                <c:pt idx="270" formatCode="_(* #,##0_);_(* \(#,##0\);_(* &quot;-&quot;??_);_(@_)">
                  <c:v>1569.32531133</c:v>
                </c:pt>
                <c:pt idx="271" formatCode="_(* #,##0_);_(* \(#,##0\);_(* &quot;-&quot;??_);_(@_)">
                  <c:v>1569.32531133</c:v>
                </c:pt>
                <c:pt idx="272" formatCode="_(* #,##0_);_(* \(#,##0\);_(* &quot;-&quot;??_);_(@_)">
                  <c:v>1569.32531133</c:v>
                </c:pt>
                <c:pt idx="273" formatCode="_(* #,##0_);_(* \(#,##0\);_(* &quot;-&quot;??_);_(@_)">
                  <c:v>1569.3106267599999</c:v>
                </c:pt>
                <c:pt idx="274" formatCode="_(* #,##0_);_(* \(#,##0\);_(* &quot;-&quot;??_);_(@_)">
                  <c:v>1569.3106267599999</c:v>
                </c:pt>
                <c:pt idx="275" formatCode="_(* #,##0_);_(* \(#,##0\);_(* &quot;-&quot;??_);_(@_)">
                  <c:v>1569.3106267599999</c:v>
                </c:pt>
                <c:pt idx="276" formatCode="_(* #,##0_);_(* \(#,##0\);_(* &quot;-&quot;??_);_(@_)">
                  <c:v>1569.3106267599999</c:v>
                </c:pt>
                <c:pt idx="277" formatCode="_(* #,##0_);_(* \(#,##0\);_(* &quot;-&quot;??_);_(@_)">
                  <c:v>1569.3106267599999</c:v>
                </c:pt>
                <c:pt idx="278" formatCode="_(* #,##0_);_(* \(#,##0\);_(* &quot;-&quot;??_);_(@_)">
                  <c:v>1569.3106267599999</c:v>
                </c:pt>
                <c:pt idx="279" formatCode="_(* #,##0_);_(* \(#,##0\);_(* &quot;-&quot;??_);_(@_)">
                  <c:v>1569.3106267599999</c:v>
                </c:pt>
                <c:pt idx="280" formatCode="_(* #,##0_);_(* \(#,##0\);_(* &quot;-&quot;??_);_(@_)">
                  <c:v>1569.3106267599999</c:v>
                </c:pt>
                <c:pt idx="281" formatCode="_(* #,##0_);_(* \(#,##0\);_(* &quot;-&quot;??_);_(@_)">
                  <c:v>1569.3106267599999</c:v>
                </c:pt>
                <c:pt idx="282" formatCode="_(* #,##0_);_(* \(#,##0\);_(* &quot;-&quot;??_);_(@_)">
                  <c:v>1569.29594219</c:v>
                </c:pt>
                <c:pt idx="283" formatCode="_(* #,##0_);_(* \(#,##0\);_(* &quot;-&quot;??_);_(@_)">
                  <c:v>1569.29594219</c:v>
                </c:pt>
                <c:pt idx="284" formatCode="_(* #,##0_);_(* \(#,##0\);_(* &quot;-&quot;??_);_(@_)">
                  <c:v>1569.29594219</c:v>
                </c:pt>
                <c:pt idx="285" formatCode="_(* #,##0_);_(* \(#,##0\);_(* &quot;-&quot;??_);_(@_)">
                  <c:v>1569.29594219</c:v>
                </c:pt>
                <c:pt idx="286" formatCode="_(* #,##0_);_(* \(#,##0\);_(* &quot;-&quot;??_);_(@_)">
                  <c:v>1569.29594219</c:v>
                </c:pt>
                <c:pt idx="287" formatCode="_(* #,##0_);_(* \(#,##0\);_(* &quot;-&quot;??_);_(@_)">
                  <c:v>1569.29594219</c:v>
                </c:pt>
                <c:pt idx="288" formatCode="_(* #,##0_);_(* \(#,##0\);_(* &quot;-&quot;??_);_(@_)">
                  <c:v>1569.29594219</c:v>
                </c:pt>
                <c:pt idx="289" formatCode="_(* #,##0_);_(* \(#,##0\);_(* &quot;-&quot;??_);_(@_)">
                  <c:v>1569.2812576199999</c:v>
                </c:pt>
                <c:pt idx="290" formatCode="_(* #,##0_);_(* \(#,##0\);_(* &quot;-&quot;??_);_(@_)">
                  <c:v>1569.2812576199999</c:v>
                </c:pt>
                <c:pt idx="291" formatCode="_(* #,##0_);_(* \(#,##0\);_(* &quot;-&quot;??_);_(@_)">
                  <c:v>1569.2812576199999</c:v>
                </c:pt>
                <c:pt idx="292" formatCode="_(* #,##0_);_(* \(#,##0\);_(* &quot;-&quot;??_);_(@_)">
                  <c:v>1569.2812576199999</c:v>
                </c:pt>
                <c:pt idx="293" formatCode="_(* #,##0_);_(* \(#,##0\);_(* &quot;-&quot;??_);_(@_)">
                  <c:v>1569.2812576199999</c:v>
                </c:pt>
                <c:pt idx="294" formatCode="_(* #,##0_);_(* \(#,##0\);_(* &quot;-&quot;??_);_(@_)">
                  <c:v>1569.2812576199999</c:v>
                </c:pt>
                <c:pt idx="295" formatCode="_(* #,##0_);_(* \(#,##0\);_(* &quot;-&quot;??_);_(@_)">
                  <c:v>1569.2812576199999</c:v>
                </c:pt>
                <c:pt idx="296" formatCode="_(* #,##0_);_(* \(#,##0\);_(* &quot;-&quot;??_);_(@_)">
                  <c:v>1569.2812576199999</c:v>
                </c:pt>
                <c:pt idx="297" formatCode="_(* #,##0_);_(* \(#,##0\);_(* &quot;-&quot;??_);_(@_)">
                  <c:v>1569.26657305</c:v>
                </c:pt>
                <c:pt idx="298" formatCode="_(* #,##0_);_(* \(#,##0\);_(* &quot;-&quot;??_);_(@_)">
                  <c:v>1569.26657305</c:v>
                </c:pt>
                <c:pt idx="299" formatCode="_(* #,##0_);_(* \(#,##0\);_(* &quot;-&quot;??_);_(@_)">
                  <c:v>1569.26657305</c:v>
                </c:pt>
                <c:pt idx="300" formatCode="_(* #,##0_);_(* \(#,##0\);_(* &quot;-&quot;??_);_(@_)">
                  <c:v>1569.26657305</c:v>
                </c:pt>
                <c:pt idx="301" formatCode="_(* #,##0_);_(* \(#,##0\);_(* &quot;-&quot;??_);_(@_)">
                  <c:v>1569.26657305</c:v>
                </c:pt>
                <c:pt idx="302" formatCode="_(* #,##0_);_(* \(#,##0\);_(* &quot;-&quot;??_);_(@_)">
                  <c:v>1569.26657305</c:v>
                </c:pt>
                <c:pt idx="303" formatCode="_(* #,##0_);_(* \(#,##0\);_(* &quot;-&quot;??_);_(@_)">
                  <c:v>1569.2518884799999</c:v>
                </c:pt>
                <c:pt idx="304" formatCode="_(* #,##0_);_(* \(#,##0\);_(* &quot;-&quot;??_);_(@_)">
                  <c:v>1569.2518884799999</c:v>
                </c:pt>
                <c:pt idx="305" formatCode="_(* #,##0_);_(* \(#,##0\);_(* &quot;-&quot;??_);_(@_)">
                  <c:v>1569.2518884799999</c:v>
                </c:pt>
                <c:pt idx="306" formatCode="_(* #,##0_);_(* \(#,##0\);_(* &quot;-&quot;??_);_(@_)">
                  <c:v>1569.2518884799999</c:v>
                </c:pt>
                <c:pt idx="307" formatCode="_(* #,##0_);_(* \(#,##0\);_(* &quot;-&quot;??_);_(@_)">
                  <c:v>1569.2518884799999</c:v>
                </c:pt>
                <c:pt idx="308" formatCode="_(* #,##0_);_(* \(#,##0\);_(* &quot;-&quot;??_);_(@_)">
                  <c:v>1569.2518884799999</c:v>
                </c:pt>
                <c:pt idx="309" formatCode="_(* #,##0_);_(* \(#,##0\);_(* &quot;-&quot;??_);_(@_)">
                  <c:v>1569.2518884799999</c:v>
                </c:pt>
                <c:pt idx="310" formatCode="_(* #,##0_);_(* \(#,##0\);_(* &quot;-&quot;??_);_(@_)">
                  <c:v>1569.2372039100001</c:v>
                </c:pt>
                <c:pt idx="311" formatCode="_(* #,##0_);_(* \(#,##0\);_(* &quot;-&quot;??_);_(@_)">
                  <c:v>1569.2372039100001</c:v>
                </c:pt>
                <c:pt idx="312" formatCode="_(* #,##0_);_(* \(#,##0\);_(* &quot;-&quot;??_);_(@_)">
                  <c:v>1569.2372039100001</c:v>
                </c:pt>
                <c:pt idx="313" formatCode="_(* #,##0_);_(* \(#,##0\);_(* &quot;-&quot;??_);_(@_)">
                  <c:v>1569.2372039100001</c:v>
                </c:pt>
                <c:pt idx="314" formatCode="_(* #,##0_);_(* \(#,##0\);_(* &quot;-&quot;??_);_(@_)">
                  <c:v>1569.2372039100001</c:v>
                </c:pt>
                <c:pt idx="315" formatCode="_(* #,##0_);_(* \(#,##0\);_(* &quot;-&quot;??_);_(@_)">
                  <c:v>1569.2372039100001</c:v>
                </c:pt>
                <c:pt idx="316" formatCode="_(* #,##0_);_(* \(#,##0\);_(* &quot;-&quot;??_);_(@_)">
                  <c:v>1569.2372039100001</c:v>
                </c:pt>
                <c:pt idx="317" formatCode="_(* #,##0_);_(* \(#,##0\);_(* &quot;-&quot;??_);_(@_)">
                  <c:v>1569.2372039100001</c:v>
                </c:pt>
                <c:pt idx="318" formatCode="_(* #,##0_);_(* \(#,##0\);_(* &quot;-&quot;??_);_(@_)">
                  <c:v>1569.2372039100001</c:v>
                </c:pt>
                <c:pt idx="319" formatCode="_(* #,##0_);_(* \(#,##0\);_(* &quot;-&quot;??_);_(@_)">
                  <c:v>1569.2225193399997</c:v>
                </c:pt>
                <c:pt idx="320" formatCode="_(* #,##0_);_(* \(#,##0\);_(* &quot;-&quot;??_);_(@_)">
                  <c:v>1569.2225193399997</c:v>
                </c:pt>
                <c:pt idx="321" formatCode="_(* #,##0_);_(* \(#,##0\);_(* &quot;-&quot;??_);_(@_)">
                  <c:v>1569.2225193399997</c:v>
                </c:pt>
                <c:pt idx="322" formatCode="_(* #,##0_);_(* \(#,##0\);_(* &quot;-&quot;??_);_(@_)">
                  <c:v>1569.2225193399997</c:v>
                </c:pt>
                <c:pt idx="323" formatCode="_(* #,##0_);_(* \(#,##0\);_(* &quot;-&quot;??_);_(@_)">
                  <c:v>1569.2225193399997</c:v>
                </c:pt>
                <c:pt idx="324" formatCode="_(* #,##0_);_(* \(#,##0\);_(* &quot;-&quot;??_);_(@_)">
                  <c:v>1569.2225193399997</c:v>
                </c:pt>
                <c:pt idx="325" formatCode="_(* #,##0_);_(* \(#,##0\);_(* &quot;-&quot;??_);_(@_)">
                  <c:v>2684.9561479399999</c:v>
                </c:pt>
                <c:pt idx="326" formatCode="_(* #,##0_);_(* \(#,##0\);_(* &quot;-&quot;??_);_(@_)">
                  <c:v>2684.9561479399999</c:v>
                </c:pt>
                <c:pt idx="327" formatCode="_(* #,##0_);_(* \(#,##0\);_(* &quot;-&quot;??_);_(@_)">
                  <c:v>2684.9561479399999</c:v>
                </c:pt>
                <c:pt idx="328" formatCode="_(* #,##0_);_(* \(#,##0\);_(* &quot;-&quot;??_);_(@_)">
                  <c:v>2684.9561479399999</c:v>
                </c:pt>
                <c:pt idx="329" formatCode="_(* #,##0_);_(* \(#,##0\);_(* &quot;-&quot;??_);_(@_)">
                  <c:v>2684.9561479399999</c:v>
                </c:pt>
                <c:pt idx="330" formatCode="_(* #,##0_);_(* \(#,##0\);_(* &quot;-&quot;??_);_(@_)">
                  <c:v>2684.9414633699998</c:v>
                </c:pt>
                <c:pt idx="331" formatCode="_(* #,##0_);_(* \(#,##0\);_(* &quot;-&quot;??_);_(@_)">
                  <c:v>2684.9414633699998</c:v>
                </c:pt>
                <c:pt idx="332" formatCode="_(* #,##0_);_(* \(#,##0\);_(* &quot;-&quot;??_);_(@_)">
                  <c:v>2684.9267787999997</c:v>
                </c:pt>
                <c:pt idx="333" formatCode="_(* #,##0_);_(* \(#,##0\);_(* &quot;-&quot;??_);_(@_)">
                  <c:v>2684.9267787999997</c:v>
                </c:pt>
                <c:pt idx="334" formatCode="_(* #,##0_);_(* \(#,##0\);_(* &quot;-&quot;??_);_(@_)">
                  <c:v>2684.9267787999997</c:v>
                </c:pt>
                <c:pt idx="335" formatCode="_(* #,##0_);_(* \(#,##0\);_(* &quot;-&quot;??_);_(@_)">
                  <c:v>2684.9267787999997</c:v>
                </c:pt>
                <c:pt idx="336" formatCode="_(* #,##0_);_(* \(#,##0\);_(* &quot;-&quot;??_);_(@_)">
                  <c:v>2684.9267787999997</c:v>
                </c:pt>
                <c:pt idx="337" formatCode="_(* #,##0_);_(* \(#,##0\);_(* &quot;-&quot;??_);_(@_)">
                  <c:v>2684.9414633699998</c:v>
                </c:pt>
                <c:pt idx="338" formatCode="_(* #,##0_);_(* \(#,##0\);_(* &quot;-&quot;??_);_(@_)">
                  <c:v>2684.9414633699998</c:v>
                </c:pt>
                <c:pt idx="339" formatCode="_(* #,##0_);_(* \(#,##0\);_(* &quot;-&quot;??_);_(@_)">
                  <c:v>2684.9414633699998</c:v>
                </c:pt>
                <c:pt idx="340" formatCode="_(* #,##0_);_(* \(#,##0\);_(* &quot;-&quot;??_);_(@_)">
                  <c:v>2684.9414633699998</c:v>
                </c:pt>
                <c:pt idx="341" formatCode="_(* #,##0_);_(* \(#,##0\);_(* &quot;-&quot;??_);_(@_)">
                  <c:v>2684.9414633699998</c:v>
                </c:pt>
                <c:pt idx="342" formatCode="_(* #,##0_);_(* \(#,##0\);_(* &quot;-&quot;??_);_(@_)">
                  <c:v>2684.9414633699998</c:v>
                </c:pt>
                <c:pt idx="343" formatCode="_(* #,##0_);_(* \(#,##0\);_(* &quot;-&quot;??_);_(@_)">
                  <c:v>2684.9414633699998</c:v>
                </c:pt>
                <c:pt idx="344" formatCode="_(* #,##0_);_(* \(#,##0\);_(* &quot;-&quot;??_);_(@_)">
                  <c:v>2684.9414633699998</c:v>
                </c:pt>
                <c:pt idx="345" formatCode="_(* #,##0_);_(* \(#,##0\);_(* &quot;-&quot;??_);_(@_)">
                  <c:v>2684.9414633699998</c:v>
                </c:pt>
                <c:pt idx="346" formatCode="_(* #,##0_);_(* \(#,##0\);_(* &quot;-&quot;??_);_(@_)">
                  <c:v>2684.9414633699998</c:v>
                </c:pt>
                <c:pt idx="347" formatCode="_(* #,##0_);_(* \(#,##0\);_(* &quot;-&quot;??_);_(@_)">
                  <c:v>2684.9414633699998</c:v>
                </c:pt>
                <c:pt idx="348" formatCode="_(* #,##0_);_(* \(#,##0\);_(* &quot;-&quot;??_);_(@_)">
                  <c:v>2684.9414633699998</c:v>
                </c:pt>
                <c:pt idx="349" formatCode="_(* #,##0_);_(* \(#,##0\);_(* &quot;-&quot;??_);_(@_)">
                  <c:v>2684.9414633699998</c:v>
                </c:pt>
                <c:pt idx="350" formatCode="_(* #,##0_);_(* \(#,##0\);_(* &quot;-&quot;??_);_(@_)">
                  <c:v>2684.9414633699998</c:v>
                </c:pt>
                <c:pt idx="351" formatCode="_(* #,##0_);_(* \(#,##0\);_(* &quot;-&quot;??_);_(@_)">
                  <c:v>2684.9414633699998</c:v>
                </c:pt>
                <c:pt idx="352" formatCode="_(* #,##0_);_(* \(#,##0\);_(* &quot;-&quot;??_);_(@_)">
                  <c:v>2684.9561479399999</c:v>
                </c:pt>
                <c:pt idx="353" formatCode="_(* #,##0_);_(* \(#,##0\);_(* &quot;-&quot;??_);_(@_)">
                  <c:v>2684.9561479399999</c:v>
                </c:pt>
                <c:pt idx="354" formatCode="_(* #,##0_);_(* \(#,##0\);_(* &quot;-&quot;??_);_(@_)">
                  <c:v>2684.9561479399999</c:v>
                </c:pt>
                <c:pt idx="355" formatCode="_(* #,##0_);_(* \(#,##0\);_(* &quot;-&quot;??_);_(@_)">
                  <c:v>2684.9561479399999</c:v>
                </c:pt>
                <c:pt idx="356" formatCode="_(* #,##0_);_(* \(#,##0\);_(* &quot;-&quot;??_);_(@_)">
                  <c:v>2684.9561479399999</c:v>
                </c:pt>
                <c:pt idx="357" formatCode="_(* #,##0_);_(* \(#,##0\);_(* &quot;-&quot;??_);_(@_)">
                  <c:v>2684.9561479399999</c:v>
                </c:pt>
                <c:pt idx="358" formatCode="_(* #,##0_);_(* \(#,##0\);_(* &quot;-&quot;??_);_(@_)">
                  <c:v>2684.9561479399999</c:v>
                </c:pt>
                <c:pt idx="359" formatCode="_(* #,##0_);_(* \(#,##0\);_(* &quot;-&quot;??_);_(@_)">
                  <c:v>2684.9561479399999</c:v>
                </c:pt>
                <c:pt idx="360" formatCode="_(* #,##0_);_(* \(#,##0\);_(* &quot;-&quot;??_);_(@_)">
                  <c:v>2684.9561479399999</c:v>
                </c:pt>
                <c:pt idx="361" formatCode="_(* #,##0_);_(* \(#,##0\);_(* &quot;-&quot;??_);_(@_)">
                  <c:v>2684.9561479399999</c:v>
                </c:pt>
                <c:pt idx="362" formatCode="_(* #,##0_);_(* \(#,##0\);_(* &quot;-&quot;??_);_(@_)">
                  <c:v>2684.9561479399999</c:v>
                </c:pt>
                <c:pt idx="363" formatCode="_(* #,##0_);_(* \(#,##0\);_(* &quot;-&quot;??_);_(@_)">
                  <c:v>2684.9561479399999</c:v>
                </c:pt>
                <c:pt idx="364" formatCode="_(* #,##0_);_(* \(#,##0\);_(* &quot;-&quot;??_);_(@_)">
                  <c:v>2684.9561479399999</c:v>
                </c:pt>
                <c:pt idx="365" formatCode="_(* #,##0_);_(* \(#,##0\);_(* &quot;-&quot;??_);_(@_)">
                  <c:v>2684.9561479399999</c:v>
                </c:pt>
                <c:pt idx="366" formatCode="_(* #,##0_);_(* \(#,##0\);_(* &quot;-&quot;??_);_(@_)">
                  <c:v>2684.9561479399999</c:v>
                </c:pt>
                <c:pt idx="367" formatCode="_(* #,##0_);_(* \(#,##0\);_(* &quot;-&quot;??_);_(@_)">
                  <c:v>2684.9561479399999</c:v>
                </c:pt>
                <c:pt idx="368" formatCode="_(* #,##0_);_(* \(#,##0\);_(* &quot;-&quot;??_);_(@_)">
                  <c:v>2684.97083251</c:v>
                </c:pt>
                <c:pt idx="369" formatCode="_(* #,##0_);_(* \(#,##0\);_(* &quot;-&quot;??_);_(@_)">
                  <c:v>2684.97083251</c:v>
                </c:pt>
                <c:pt idx="370" formatCode="_(* #,##0_);_(* \(#,##0\);_(* &quot;-&quot;??_);_(@_)">
                  <c:v>2684.97083251</c:v>
                </c:pt>
                <c:pt idx="371" formatCode="_(* #,##0_);_(* \(#,##0\);_(* &quot;-&quot;??_);_(@_)">
                  <c:v>2684.9855170799997</c:v>
                </c:pt>
                <c:pt idx="372" formatCode="_(* #,##0_);_(* \(#,##0\);_(* &quot;-&quot;??_);_(@_)">
                  <c:v>2684.9855170799997</c:v>
                </c:pt>
                <c:pt idx="373" formatCode="_(* #,##0_);_(* \(#,##0\);_(* &quot;-&quot;??_);_(@_)">
                  <c:v>2684.9855170799997</c:v>
                </c:pt>
                <c:pt idx="374" formatCode="_(* #,##0_);_(* \(#,##0\);_(* &quot;-&quot;??_);_(@_)">
                  <c:v>2684.9855170799997</c:v>
                </c:pt>
                <c:pt idx="375" formatCode="_(* #,##0_);_(* \(#,##0\);_(* &quot;-&quot;??_);_(@_)">
                  <c:v>2685.0002016499998</c:v>
                </c:pt>
                <c:pt idx="376" formatCode="_(* #,##0_);_(* \(#,##0\);_(* &quot;-&quot;??_);_(@_)">
                  <c:v>2685.0002016499998</c:v>
                </c:pt>
                <c:pt idx="377" formatCode="_(* #,##0_);_(* \(#,##0\);_(* &quot;-&quot;??_);_(@_)">
                  <c:v>2685.0002016499998</c:v>
                </c:pt>
                <c:pt idx="378" formatCode="_(* #,##0_);_(* \(#,##0\);_(* &quot;-&quot;??_);_(@_)">
                  <c:v>2685.0002016499998</c:v>
                </c:pt>
                <c:pt idx="379" formatCode="_(* #,##0_);_(* \(#,##0\);_(* &quot;-&quot;??_);_(@_)">
                  <c:v>2685.0002016499998</c:v>
                </c:pt>
                <c:pt idx="380" formatCode="_(* #,##0_);_(* \(#,##0\);_(* &quot;-&quot;??_);_(@_)">
                  <c:v>2685.0148862199999</c:v>
                </c:pt>
                <c:pt idx="381" formatCode="_(* #,##0_);_(* \(#,##0\);_(* &quot;-&quot;??_);_(@_)">
                  <c:v>2685.0148862199999</c:v>
                </c:pt>
                <c:pt idx="382" formatCode="_(* #,##0_);_(* \(#,##0\);_(* &quot;-&quot;??_);_(@_)">
                  <c:v>2685.0148862199999</c:v>
                </c:pt>
                <c:pt idx="383" formatCode="_(* #,##0_);_(* \(#,##0\);_(* &quot;-&quot;??_);_(@_)">
                  <c:v>2685.0148862199999</c:v>
                </c:pt>
              </c:numCache>
            </c:numRef>
          </c:val>
          <c:smooth val="0"/>
          <c:extLst>
            <c:ext xmlns:c16="http://schemas.microsoft.com/office/drawing/2014/chart" uri="{C3380CC4-5D6E-409C-BE32-E72D297353CC}">
              <c16:uniqueId val="{00000000-C958-45AE-92D3-CEBA07ABC668}"/>
            </c:ext>
          </c:extLst>
        </c:ser>
        <c:ser>
          <c:idx val="2"/>
          <c:order val="2"/>
          <c:tx>
            <c:strRef>
              <c:f>Diamond!$AB$2</c:f>
              <c:strCache>
                <c:ptCount val="1"/>
                <c:pt idx="0">
                  <c:v>NPAT FC</c:v>
                </c:pt>
              </c:strCache>
            </c:strRef>
          </c:tx>
          <c:spPr>
            <a:ln w="28575" cap="rnd">
              <a:solidFill>
                <a:schemeClr val="accent3"/>
              </a:solidFill>
              <a:round/>
            </a:ln>
            <a:effectLst/>
          </c:spPr>
          <c:marker>
            <c:symbol val="triangle"/>
            <c:size val="4"/>
            <c:spPr>
              <a:solidFill>
                <a:srgbClr val="FFC000"/>
              </a:solidFill>
              <a:ln w="9525">
                <a:solidFill>
                  <a:schemeClr val="accent3"/>
                </a:solidFill>
              </a:ln>
              <a:effectLst/>
            </c:spPr>
          </c:marker>
          <c:dLbls>
            <c:dLbl>
              <c:idx val="46"/>
              <c:dLblPos val="l"/>
              <c:showLegendKey val="0"/>
              <c:showVal val="1"/>
              <c:showCatName val="0"/>
              <c:showSerName val="1"/>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0-9235-4BE3-AC77-BDB9A5F5F7C9}"/>
                </c:ext>
              </c:extLst>
            </c:dLbl>
            <c:numFmt formatCode="#,##0" sourceLinked="0"/>
            <c:spPr>
              <a:noFill/>
              <a:ln>
                <a:noFill/>
              </a:ln>
              <a:effectLst/>
            </c:spPr>
            <c:txPr>
              <a:bodyPr rot="0" spcFirstLastPara="1" vertOverflow="ellipsis" vert="horz" wrap="square" anchor="ctr" anchorCtr="1"/>
              <a:lstStyle/>
              <a:p>
                <a:pPr>
                  <a:defRPr sz="800" b="0" i="0" u="none" strike="noStrike" kern="1200" baseline="0">
                    <a:solidFill>
                      <a:schemeClr val="tx1">
                        <a:lumMod val="75000"/>
                        <a:lumOff val="25000"/>
                      </a:schemeClr>
                    </a:solidFill>
                    <a:latin typeface="Calibri (Body)"/>
                    <a:ea typeface="+mn-ea"/>
                    <a:cs typeface="+mn-cs"/>
                    <a:sym typeface="Wingdings 2" panose="05020102010507070707" pitchFamily="18" charset="2"/>
                  </a:defRPr>
                </a:pPr>
                <a:endParaRPr lang="vi-VN"/>
              </a:p>
            </c:txP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Diamond!$Y$3:$Y$386</c:f>
              <c:numCache>
                <c:formatCode>m/d/yy</c:formatCode>
                <c:ptCount val="384"/>
                <c:pt idx="0">
                  <c:v>45869</c:v>
                </c:pt>
                <c:pt idx="11">
                  <c:v>45657</c:v>
                </c:pt>
                <c:pt idx="53">
                  <c:v>45407</c:v>
                </c:pt>
                <c:pt idx="54">
                  <c:v>45406</c:v>
                </c:pt>
                <c:pt idx="55">
                  <c:v>45415</c:v>
                </c:pt>
                <c:pt idx="56">
                  <c:v>45414</c:v>
                </c:pt>
                <c:pt idx="57">
                  <c:v>45408</c:v>
                </c:pt>
                <c:pt idx="58">
                  <c:v>45407</c:v>
                </c:pt>
                <c:pt idx="59">
                  <c:v>45406</c:v>
                </c:pt>
                <c:pt idx="60">
                  <c:v>45405</c:v>
                </c:pt>
                <c:pt idx="61">
                  <c:v>45404</c:v>
                </c:pt>
                <c:pt idx="62">
                  <c:v>45401</c:v>
                </c:pt>
                <c:pt idx="63">
                  <c:v>45399</c:v>
                </c:pt>
                <c:pt idx="64">
                  <c:v>45398</c:v>
                </c:pt>
                <c:pt idx="65">
                  <c:v>45397</c:v>
                </c:pt>
                <c:pt idx="66">
                  <c:v>45394</c:v>
                </c:pt>
                <c:pt idx="67">
                  <c:v>45393</c:v>
                </c:pt>
                <c:pt idx="68">
                  <c:v>45392</c:v>
                </c:pt>
                <c:pt idx="69">
                  <c:v>45391</c:v>
                </c:pt>
                <c:pt idx="70">
                  <c:v>45390</c:v>
                </c:pt>
                <c:pt idx="71">
                  <c:v>45387</c:v>
                </c:pt>
                <c:pt idx="72">
                  <c:v>45386</c:v>
                </c:pt>
                <c:pt idx="73">
                  <c:v>45385</c:v>
                </c:pt>
                <c:pt idx="74">
                  <c:v>45384</c:v>
                </c:pt>
                <c:pt idx="75">
                  <c:v>45383</c:v>
                </c:pt>
                <c:pt idx="76">
                  <c:v>45380</c:v>
                </c:pt>
                <c:pt idx="77">
                  <c:v>45379</c:v>
                </c:pt>
                <c:pt idx="78">
                  <c:v>45378</c:v>
                </c:pt>
                <c:pt idx="79">
                  <c:v>45377</c:v>
                </c:pt>
                <c:pt idx="80">
                  <c:v>45376</c:v>
                </c:pt>
                <c:pt idx="81">
                  <c:v>45373</c:v>
                </c:pt>
                <c:pt idx="82">
                  <c:v>45372</c:v>
                </c:pt>
                <c:pt idx="83">
                  <c:v>45371</c:v>
                </c:pt>
                <c:pt idx="84">
                  <c:v>45370</c:v>
                </c:pt>
                <c:pt idx="85">
                  <c:v>45369</c:v>
                </c:pt>
                <c:pt idx="86">
                  <c:v>45366</c:v>
                </c:pt>
                <c:pt idx="87">
                  <c:v>45365</c:v>
                </c:pt>
                <c:pt idx="88">
                  <c:v>45364</c:v>
                </c:pt>
                <c:pt idx="89">
                  <c:v>45363</c:v>
                </c:pt>
                <c:pt idx="90">
                  <c:v>45362</c:v>
                </c:pt>
                <c:pt idx="91">
                  <c:v>45359</c:v>
                </c:pt>
                <c:pt idx="92">
                  <c:v>45358</c:v>
                </c:pt>
                <c:pt idx="93">
                  <c:v>45357</c:v>
                </c:pt>
                <c:pt idx="94">
                  <c:v>45356</c:v>
                </c:pt>
                <c:pt idx="95">
                  <c:v>45355</c:v>
                </c:pt>
                <c:pt idx="96">
                  <c:v>45352</c:v>
                </c:pt>
                <c:pt idx="97">
                  <c:v>45351</c:v>
                </c:pt>
                <c:pt idx="98">
                  <c:v>45350</c:v>
                </c:pt>
                <c:pt idx="99">
                  <c:v>45349</c:v>
                </c:pt>
                <c:pt idx="100">
                  <c:v>45348</c:v>
                </c:pt>
                <c:pt idx="101">
                  <c:v>45345</c:v>
                </c:pt>
                <c:pt idx="102">
                  <c:v>45344</c:v>
                </c:pt>
                <c:pt idx="103">
                  <c:v>45343</c:v>
                </c:pt>
                <c:pt idx="104">
                  <c:v>45342</c:v>
                </c:pt>
                <c:pt idx="105">
                  <c:v>45341</c:v>
                </c:pt>
                <c:pt idx="106">
                  <c:v>45338</c:v>
                </c:pt>
                <c:pt idx="107">
                  <c:v>45337</c:v>
                </c:pt>
                <c:pt idx="108">
                  <c:v>45329</c:v>
                </c:pt>
                <c:pt idx="109">
                  <c:v>45328</c:v>
                </c:pt>
                <c:pt idx="110">
                  <c:v>45327</c:v>
                </c:pt>
                <c:pt idx="111">
                  <c:v>45324</c:v>
                </c:pt>
                <c:pt idx="112">
                  <c:v>45323</c:v>
                </c:pt>
                <c:pt idx="113">
                  <c:v>45322</c:v>
                </c:pt>
                <c:pt idx="114">
                  <c:v>45321</c:v>
                </c:pt>
                <c:pt idx="115">
                  <c:v>45320</c:v>
                </c:pt>
                <c:pt idx="116">
                  <c:v>45317</c:v>
                </c:pt>
                <c:pt idx="117">
                  <c:v>45316</c:v>
                </c:pt>
                <c:pt idx="118">
                  <c:v>45315</c:v>
                </c:pt>
                <c:pt idx="119">
                  <c:v>45314</c:v>
                </c:pt>
                <c:pt idx="120">
                  <c:v>45313</c:v>
                </c:pt>
                <c:pt idx="121">
                  <c:v>45310</c:v>
                </c:pt>
                <c:pt idx="122">
                  <c:v>45309</c:v>
                </c:pt>
                <c:pt idx="123">
                  <c:v>45308</c:v>
                </c:pt>
                <c:pt idx="124">
                  <c:v>45307</c:v>
                </c:pt>
                <c:pt idx="125">
                  <c:v>45306</c:v>
                </c:pt>
                <c:pt idx="126">
                  <c:v>45303</c:v>
                </c:pt>
                <c:pt idx="127">
                  <c:v>45302</c:v>
                </c:pt>
                <c:pt idx="128">
                  <c:v>45301</c:v>
                </c:pt>
                <c:pt idx="129">
                  <c:v>45300</c:v>
                </c:pt>
                <c:pt idx="130">
                  <c:v>45299</c:v>
                </c:pt>
                <c:pt idx="131">
                  <c:v>45296</c:v>
                </c:pt>
                <c:pt idx="132">
                  <c:v>45295</c:v>
                </c:pt>
                <c:pt idx="133">
                  <c:v>45294</c:v>
                </c:pt>
                <c:pt idx="134">
                  <c:v>45293</c:v>
                </c:pt>
                <c:pt idx="135">
                  <c:v>45289</c:v>
                </c:pt>
                <c:pt idx="136">
                  <c:v>45288</c:v>
                </c:pt>
                <c:pt idx="137">
                  <c:v>45287</c:v>
                </c:pt>
                <c:pt idx="138">
                  <c:v>45286</c:v>
                </c:pt>
                <c:pt idx="139">
                  <c:v>45285</c:v>
                </c:pt>
                <c:pt idx="140">
                  <c:v>45282</c:v>
                </c:pt>
                <c:pt idx="141">
                  <c:v>45281</c:v>
                </c:pt>
                <c:pt idx="142">
                  <c:v>45280</c:v>
                </c:pt>
                <c:pt idx="143">
                  <c:v>45279</c:v>
                </c:pt>
                <c:pt idx="144">
                  <c:v>45278</c:v>
                </c:pt>
                <c:pt idx="145">
                  <c:v>45275</c:v>
                </c:pt>
                <c:pt idx="146">
                  <c:v>45274</c:v>
                </c:pt>
                <c:pt idx="147">
                  <c:v>45273</c:v>
                </c:pt>
                <c:pt idx="148">
                  <c:v>45272</c:v>
                </c:pt>
                <c:pt idx="149">
                  <c:v>45271</c:v>
                </c:pt>
                <c:pt idx="150">
                  <c:v>45268</c:v>
                </c:pt>
                <c:pt idx="151">
                  <c:v>45267</c:v>
                </c:pt>
                <c:pt idx="152">
                  <c:v>45266</c:v>
                </c:pt>
                <c:pt idx="153">
                  <c:v>45265</c:v>
                </c:pt>
                <c:pt idx="154">
                  <c:v>45264</c:v>
                </c:pt>
                <c:pt idx="155">
                  <c:v>45261</c:v>
                </c:pt>
                <c:pt idx="156">
                  <c:v>45260</c:v>
                </c:pt>
                <c:pt idx="157">
                  <c:v>45259</c:v>
                </c:pt>
                <c:pt idx="158">
                  <c:v>45258</c:v>
                </c:pt>
                <c:pt idx="159">
                  <c:v>45257</c:v>
                </c:pt>
                <c:pt idx="160">
                  <c:v>45254</c:v>
                </c:pt>
                <c:pt idx="161">
                  <c:v>45253</c:v>
                </c:pt>
                <c:pt idx="162">
                  <c:v>45252</c:v>
                </c:pt>
                <c:pt idx="163">
                  <c:v>45251</c:v>
                </c:pt>
                <c:pt idx="164">
                  <c:v>45250</c:v>
                </c:pt>
                <c:pt idx="165">
                  <c:v>45247</c:v>
                </c:pt>
                <c:pt idx="166">
                  <c:v>45246</c:v>
                </c:pt>
                <c:pt idx="167">
                  <c:v>45245</c:v>
                </c:pt>
                <c:pt idx="168">
                  <c:v>45244</c:v>
                </c:pt>
                <c:pt idx="169">
                  <c:v>45243</c:v>
                </c:pt>
                <c:pt idx="170">
                  <c:v>45240</c:v>
                </c:pt>
                <c:pt idx="171">
                  <c:v>45239</c:v>
                </c:pt>
                <c:pt idx="172">
                  <c:v>45238</c:v>
                </c:pt>
                <c:pt idx="173">
                  <c:v>45237</c:v>
                </c:pt>
                <c:pt idx="174">
                  <c:v>45236</c:v>
                </c:pt>
                <c:pt idx="175">
                  <c:v>45233</c:v>
                </c:pt>
                <c:pt idx="176">
                  <c:v>45232</c:v>
                </c:pt>
                <c:pt idx="177">
                  <c:v>45231</c:v>
                </c:pt>
                <c:pt idx="178">
                  <c:v>45230</c:v>
                </c:pt>
                <c:pt idx="179">
                  <c:v>45229</c:v>
                </c:pt>
                <c:pt idx="180">
                  <c:v>45226</c:v>
                </c:pt>
                <c:pt idx="181">
                  <c:v>45225</c:v>
                </c:pt>
                <c:pt idx="182">
                  <c:v>45224</c:v>
                </c:pt>
                <c:pt idx="183">
                  <c:v>45223</c:v>
                </c:pt>
                <c:pt idx="184">
                  <c:v>45222</c:v>
                </c:pt>
                <c:pt idx="185">
                  <c:v>45219</c:v>
                </c:pt>
                <c:pt idx="186">
                  <c:v>45218</c:v>
                </c:pt>
                <c:pt idx="187">
                  <c:v>45217</c:v>
                </c:pt>
                <c:pt idx="188">
                  <c:v>45216</c:v>
                </c:pt>
                <c:pt idx="189">
                  <c:v>45215</c:v>
                </c:pt>
                <c:pt idx="190">
                  <c:v>45212</c:v>
                </c:pt>
                <c:pt idx="191">
                  <c:v>45211</c:v>
                </c:pt>
                <c:pt idx="192">
                  <c:v>45210</c:v>
                </c:pt>
                <c:pt idx="193">
                  <c:v>45209</c:v>
                </c:pt>
                <c:pt idx="194">
                  <c:v>45208</c:v>
                </c:pt>
                <c:pt idx="195">
                  <c:v>45205</c:v>
                </c:pt>
                <c:pt idx="196">
                  <c:v>45204</c:v>
                </c:pt>
                <c:pt idx="197">
                  <c:v>45203</c:v>
                </c:pt>
                <c:pt idx="198">
                  <c:v>45202</c:v>
                </c:pt>
                <c:pt idx="199">
                  <c:v>45201</c:v>
                </c:pt>
                <c:pt idx="200">
                  <c:v>45198</c:v>
                </c:pt>
                <c:pt idx="201">
                  <c:v>45197</c:v>
                </c:pt>
                <c:pt idx="202">
                  <c:v>45196</c:v>
                </c:pt>
                <c:pt idx="203">
                  <c:v>45195</c:v>
                </c:pt>
                <c:pt idx="204">
                  <c:v>45194</c:v>
                </c:pt>
                <c:pt idx="205">
                  <c:v>45191</c:v>
                </c:pt>
                <c:pt idx="206">
                  <c:v>45190</c:v>
                </c:pt>
                <c:pt idx="207">
                  <c:v>45189</c:v>
                </c:pt>
                <c:pt idx="208">
                  <c:v>45188</c:v>
                </c:pt>
                <c:pt idx="209">
                  <c:v>45187</c:v>
                </c:pt>
                <c:pt idx="210">
                  <c:v>45184</c:v>
                </c:pt>
                <c:pt idx="211">
                  <c:v>45183</c:v>
                </c:pt>
                <c:pt idx="212">
                  <c:v>45182</c:v>
                </c:pt>
                <c:pt idx="213">
                  <c:v>45181</c:v>
                </c:pt>
                <c:pt idx="214">
                  <c:v>45180</c:v>
                </c:pt>
                <c:pt idx="215">
                  <c:v>45177</c:v>
                </c:pt>
                <c:pt idx="216">
                  <c:v>45176</c:v>
                </c:pt>
                <c:pt idx="217">
                  <c:v>45175</c:v>
                </c:pt>
                <c:pt idx="218">
                  <c:v>45174</c:v>
                </c:pt>
                <c:pt idx="219">
                  <c:v>45169</c:v>
                </c:pt>
                <c:pt idx="220">
                  <c:v>45168</c:v>
                </c:pt>
                <c:pt idx="221">
                  <c:v>45167</c:v>
                </c:pt>
                <c:pt idx="222">
                  <c:v>45166</c:v>
                </c:pt>
                <c:pt idx="223">
                  <c:v>45163</c:v>
                </c:pt>
                <c:pt idx="224">
                  <c:v>45162</c:v>
                </c:pt>
                <c:pt idx="225">
                  <c:v>45161</c:v>
                </c:pt>
                <c:pt idx="226">
                  <c:v>45160</c:v>
                </c:pt>
                <c:pt idx="227">
                  <c:v>45159</c:v>
                </c:pt>
                <c:pt idx="228">
                  <c:v>45156</c:v>
                </c:pt>
                <c:pt idx="229">
                  <c:v>45155</c:v>
                </c:pt>
                <c:pt idx="230">
                  <c:v>45154</c:v>
                </c:pt>
                <c:pt idx="231">
                  <c:v>45153</c:v>
                </c:pt>
                <c:pt idx="232">
                  <c:v>45152</c:v>
                </c:pt>
                <c:pt idx="233">
                  <c:v>45149</c:v>
                </c:pt>
                <c:pt idx="234">
                  <c:v>45148</c:v>
                </c:pt>
                <c:pt idx="235">
                  <c:v>45147</c:v>
                </c:pt>
                <c:pt idx="236">
                  <c:v>45146</c:v>
                </c:pt>
                <c:pt idx="237">
                  <c:v>45145</c:v>
                </c:pt>
                <c:pt idx="238">
                  <c:v>45142</c:v>
                </c:pt>
                <c:pt idx="239">
                  <c:v>45141</c:v>
                </c:pt>
                <c:pt idx="240">
                  <c:v>45140</c:v>
                </c:pt>
                <c:pt idx="241">
                  <c:v>45139</c:v>
                </c:pt>
                <c:pt idx="242">
                  <c:v>45138</c:v>
                </c:pt>
                <c:pt idx="243">
                  <c:v>45135</c:v>
                </c:pt>
                <c:pt idx="244">
                  <c:v>45134</c:v>
                </c:pt>
                <c:pt idx="245">
                  <c:v>45133</c:v>
                </c:pt>
                <c:pt idx="246">
                  <c:v>45132</c:v>
                </c:pt>
                <c:pt idx="247">
                  <c:v>45131</c:v>
                </c:pt>
                <c:pt idx="248">
                  <c:v>45128</c:v>
                </c:pt>
                <c:pt idx="249">
                  <c:v>45127</c:v>
                </c:pt>
                <c:pt idx="250">
                  <c:v>45126</c:v>
                </c:pt>
                <c:pt idx="251">
                  <c:v>45125</c:v>
                </c:pt>
                <c:pt idx="252">
                  <c:v>45124</c:v>
                </c:pt>
                <c:pt idx="253">
                  <c:v>45121</c:v>
                </c:pt>
                <c:pt idx="254">
                  <c:v>45120</c:v>
                </c:pt>
                <c:pt idx="255">
                  <c:v>45119</c:v>
                </c:pt>
                <c:pt idx="256">
                  <c:v>45118</c:v>
                </c:pt>
                <c:pt idx="257">
                  <c:v>45117</c:v>
                </c:pt>
                <c:pt idx="258">
                  <c:v>45114</c:v>
                </c:pt>
                <c:pt idx="259">
                  <c:v>45113</c:v>
                </c:pt>
                <c:pt idx="260">
                  <c:v>45112</c:v>
                </c:pt>
                <c:pt idx="261">
                  <c:v>45111</c:v>
                </c:pt>
                <c:pt idx="262">
                  <c:v>45110</c:v>
                </c:pt>
                <c:pt idx="263">
                  <c:v>45107</c:v>
                </c:pt>
                <c:pt idx="264">
                  <c:v>45106</c:v>
                </c:pt>
                <c:pt idx="265">
                  <c:v>45105</c:v>
                </c:pt>
                <c:pt idx="266">
                  <c:v>45104</c:v>
                </c:pt>
                <c:pt idx="267">
                  <c:v>45103</c:v>
                </c:pt>
                <c:pt idx="268">
                  <c:v>45100</c:v>
                </c:pt>
                <c:pt idx="269">
                  <c:v>45099</c:v>
                </c:pt>
                <c:pt idx="270">
                  <c:v>45098</c:v>
                </c:pt>
                <c:pt idx="271">
                  <c:v>45097</c:v>
                </c:pt>
                <c:pt idx="272">
                  <c:v>45096</c:v>
                </c:pt>
                <c:pt idx="273">
                  <c:v>45093</c:v>
                </c:pt>
                <c:pt idx="274">
                  <c:v>45092</c:v>
                </c:pt>
                <c:pt idx="275">
                  <c:v>45091</c:v>
                </c:pt>
                <c:pt idx="276">
                  <c:v>45090</c:v>
                </c:pt>
                <c:pt idx="277">
                  <c:v>45089</c:v>
                </c:pt>
                <c:pt idx="278">
                  <c:v>45086</c:v>
                </c:pt>
                <c:pt idx="279">
                  <c:v>45085</c:v>
                </c:pt>
                <c:pt idx="280">
                  <c:v>45084</c:v>
                </c:pt>
                <c:pt idx="281">
                  <c:v>45083</c:v>
                </c:pt>
                <c:pt idx="282">
                  <c:v>45082</c:v>
                </c:pt>
                <c:pt idx="283">
                  <c:v>45079</c:v>
                </c:pt>
                <c:pt idx="284">
                  <c:v>45078</c:v>
                </c:pt>
                <c:pt idx="285">
                  <c:v>45077</c:v>
                </c:pt>
                <c:pt idx="286">
                  <c:v>45076</c:v>
                </c:pt>
                <c:pt idx="287">
                  <c:v>45075</c:v>
                </c:pt>
                <c:pt idx="288">
                  <c:v>45072</c:v>
                </c:pt>
                <c:pt idx="289">
                  <c:v>45071</c:v>
                </c:pt>
                <c:pt idx="290">
                  <c:v>45070</c:v>
                </c:pt>
                <c:pt idx="291">
                  <c:v>45069</c:v>
                </c:pt>
                <c:pt idx="292">
                  <c:v>45068</c:v>
                </c:pt>
                <c:pt idx="293">
                  <c:v>45065</c:v>
                </c:pt>
                <c:pt idx="294">
                  <c:v>45064</c:v>
                </c:pt>
                <c:pt idx="295">
                  <c:v>45063</c:v>
                </c:pt>
                <c:pt idx="296">
                  <c:v>45062</c:v>
                </c:pt>
                <c:pt idx="297">
                  <c:v>45061</c:v>
                </c:pt>
                <c:pt idx="298">
                  <c:v>45058</c:v>
                </c:pt>
                <c:pt idx="299">
                  <c:v>45057</c:v>
                </c:pt>
                <c:pt idx="300">
                  <c:v>45056</c:v>
                </c:pt>
                <c:pt idx="301">
                  <c:v>45055</c:v>
                </c:pt>
                <c:pt idx="302">
                  <c:v>45054</c:v>
                </c:pt>
                <c:pt idx="303">
                  <c:v>45051</c:v>
                </c:pt>
                <c:pt idx="304">
                  <c:v>45050</c:v>
                </c:pt>
                <c:pt idx="305">
                  <c:v>45044</c:v>
                </c:pt>
                <c:pt idx="306">
                  <c:v>45043</c:v>
                </c:pt>
                <c:pt idx="307">
                  <c:v>45042</c:v>
                </c:pt>
                <c:pt idx="308">
                  <c:v>45041</c:v>
                </c:pt>
                <c:pt idx="309">
                  <c:v>45040</c:v>
                </c:pt>
                <c:pt idx="310">
                  <c:v>45037</c:v>
                </c:pt>
                <c:pt idx="311">
                  <c:v>45036</c:v>
                </c:pt>
                <c:pt idx="312">
                  <c:v>45035</c:v>
                </c:pt>
                <c:pt idx="313">
                  <c:v>45034</c:v>
                </c:pt>
                <c:pt idx="314">
                  <c:v>45033</c:v>
                </c:pt>
                <c:pt idx="315">
                  <c:v>45030</c:v>
                </c:pt>
                <c:pt idx="316">
                  <c:v>45029</c:v>
                </c:pt>
                <c:pt idx="317">
                  <c:v>45028</c:v>
                </c:pt>
                <c:pt idx="318">
                  <c:v>45027</c:v>
                </c:pt>
                <c:pt idx="319">
                  <c:v>45026</c:v>
                </c:pt>
                <c:pt idx="320">
                  <c:v>45023</c:v>
                </c:pt>
                <c:pt idx="321">
                  <c:v>45022</c:v>
                </c:pt>
                <c:pt idx="322">
                  <c:v>45021</c:v>
                </c:pt>
                <c:pt idx="323">
                  <c:v>45020</c:v>
                </c:pt>
                <c:pt idx="324">
                  <c:v>45019</c:v>
                </c:pt>
                <c:pt idx="325">
                  <c:v>45016</c:v>
                </c:pt>
                <c:pt idx="326">
                  <c:v>45015</c:v>
                </c:pt>
                <c:pt idx="327">
                  <c:v>45014</c:v>
                </c:pt>
                <c:pt idx="328">
                  <c:v>45013</c:v>
                </c:pt>
                <c:pt idx="329">
                  <c:v>45012</c:v>
                </c:pt>
                <c:pt idx="330">
                  <c:v>45009</c:v>
                </c:pt>
                <c:pt idx="331">
                  <c:v>45008</c:v>
                </c:pt>
                <c:pt idx="332">
                  <c:v>45007</c:v>
                </c:pt>
                <c:pt idx="333">
                  <c:v>45006</c:v>
                </c:pt>
                <c:pt idx="334">
                  <c:v>45005</c:v>
                </c:pt>
                <c:pt idx="335">
                  <c:v>45002</c:v>
                </c:pt>
                <c:pt idx="336">
                  <c:v>45001</c:v>
                </c:pt>
                <c:pt idx="337">
                  <c:v>45000</c:v>
                </c:pt>
                <c:pt idx="338">
                  <c:v>44999</c:v>
                </c:pt>
                <c:pt idx="339">
                  <c:v>44998</c:v>
                </c:pt>
                <c:pt idx="340">
                  <c:v>44995</c:v>
                </c:pt>
                <c:pt idx="341">
                  <c:v>44994</c:v>
                </c:pt>
                <c:pt idx="342">
                  <c:v>44993</c:v>
                </c:pt>
                <c:pt idx="343">
                  <c:v>44992</c:v>
                </c:pt>
                <c:pt idx="344">
                  <c:v>44991</c:v>
                </c:pt>
                <c:pt idx="345">
                  <c:v>44988</c:v>
                </c:pt>
                <c:pt idx="346">
                  <c:v>44987</c:v>
                </c:pt>
                <c:pt idx="347">
                  <c:v>44986</c:v>
                </c:pt>
                <c:pt idx="348">
                  <c:v>44985</c:v>
                </c:pt>
                <c:pt idx="349">
                  <c:v>44984</c:v>
                </c:pt>
                <c:pt idx="350">
                  <c:v>44981</c:v>
                </c:pt>
                <c:pt idx="351">
                  <c:v>44980</c:v>
                </c:pt>
                <c:pt idx="352">
                  <c:v>44979</c:v>
                </c:pt>
                <c:pt idx="353">
                  <c:v>44978</c:v>
                </c:pt>
                <c:pt idx="354">
                  <c:v>44977</c:v>
                </c:pt>
                <c:pt idx="355">
                  <c:v>44974</c:v>
                </c:pt>
                <c:pt idx="356">
                  <c:v>44973</c:v>
                </c:pt>
                <c:pt idx="357">
                  <c:v>44972</c:v>
                </c:pt>
                <c:pt idx="358">
                  <c:v>44971</c:v>
                </c:pt>
                <c:pt idx="359">
                  <c:v>44970</c:v>
                </c:pt>
                <c:pt idx="360">
                  <c:v>44967</c:v>
                </c:pt>
                <c:pt idx="361">
                  <c:v>44966</c:v>
                </c:pt>
                <c:pt idx="362">
                  <c:v>44965</c:v>
                </c:pt>
                <c:pt idx="363">
                  <c:v>44964</c:v>
                </c:pt>
                <c:pt idx="364">
                  <c:v>44963</c:v>
                </c:pt>
                <c:pt idx="365">
                  <c:v>44960</c:v>
                </c:pt>
                <c:pt idx="366">
                  <c:v>44959</c:v>
                </c:pt>
                <c:pt idx="367">
                  <c:v>44958</c:v>
                </c:pt>
                <c:pt idx="368">
                  <c:v>44957</c:v>
                </c:pt>
                <c:pt idx="369">
                  <c:v>44956</c:v>
                </c:pt>
                <c:pt idx="370">
                  <c:v>44953</c:v>
                </c:pt>
                <c:pt idx="371">
                  <c:v>44945</c:v>
                </c:pt>
                <c:pt idx="372">
                  <c:v>44944</c:v>
                </c:pt>
                <c:pt idx="373">
                  <c:v>44943</c:v>
                </c:pt>
                <c:pt idx="374">
                  <c:v>44942</c:v>
                </c:pt>
                <c:pt idx="375">
                  <c:v>44939</c:v>
                </c:pt>
                <c:pt idx="376">
                  <c:v>44938</c:v>
                </c:pt>
                <c:pt idx="377">
                  <c:v>44937</c:v>
                </c:pt>
                <c:pt idx="378">
                  <c:v>44936</c:v>
                </c:pt>
                <c:pt idx="379">
                  <c:v>44935</c:v>
                </c:pt>
                <c:pt idx="380">
                  <c:v>44932</c:v>
                </c:pt>
                <c:pt idx="381">
                  <c:v>44931</c:v>
                </c:pt>
                <c:pt idx="382">
                  <c:v>44930</c:v>
                </c:pt>
                <c:pt idx="383">
                  <c:v>44929</c:v>
                </c:pt>
              </c:numCache>
            </c:numRef>
          </c:cat>
          <c:val>
            <c:numRef>
              <c:f>Diamond!$AB$3:$AB$386</c:f>
              <c:numCache>
                <c:formatCode>_(* #,##0_);_(* \(#,##0\);_(* "-"??_);_(@_)</c:formatCode>
                <c:ptCount val="384"/>
                <c:pt idx="38" formatCode="General">
                  <c:v>5.2</c:v>
                </c:pt>
              </c:numCache>
            </c:numRef>
          </c:val>
          <c:smooth val="0"/>
          <c:extLst>
            <c:ext xmlns:c16="http://schemas.microsoft.com/office/drawing/2014/chart" uri="{C3380CC4-5D6E-409C-BE32-E72D297353CC}">
              <c16:uniqueId val="{00000002-C958-45AE-92D3-CEBA07ABC668}"/>
            </c:ext>
          </c:extLst>
        </c:ser>
        <c:dLbls>
          <c:showLegendKey val="0"/>
          <c:showVal val="0"/>
          <c:showCatName val="0"/>
          <c:showSerName val="0"/>
          <c:showPercent val="0"/>
          <c:showBubbleSize val="0"/>
        </c:dLbls>
        <c:marker val="1"/>
        <c:smooth val="0"/>
        <c:axId val="233243416"/>
        <c:axId val="233247376"/>
      </c:lineChart>
      <c:lineChart>
        <c:grouping val="standard"/>
        <c:varyColors val="0"/>
        <c:ser>
          <c:idx val="1"/>
          <c:order val="1"/>
          <c:tx>
            <c:strRef>
              <c:f>Diamond!$AA$2</c:f>
              <c:strCache>
                <c:ptCount val="1"/>
                <c:pt idx="0">
                  <c:v> P/E trượt (Lần) </c:v>
                </c:pt>
              </c:strCache>
            </c:strRef>
          </c:tx>
          <c:spPr>
            <a:ln w="19050" cap="rnd">
              <a:solidFill>
                <a:schemeClr val="accent2"/>
              </a:solidFill>
              <a:round/>
            </a:ln>
            <a:effectLst/>
          </c:spPr>
          <c:marker>
            <c:symbol val="none"/>
          </c:marker>
          <c:cat>
            <c:numRef>
              <c:f>Diamond!$Y$3:$Y$386</c:f>
              <c:numCache>
                <c:formatCode>m/d/yy</c:formatCode>
                <c:ptCount val="384"/>
                <c:pt idx="0">
                  <c:v>45869</c:v>
                </c:pt>
                <c:pt idx="11">
                  <c:v>45657</c:v>
                </c:pt>
                <c:pt idx="53">
                  <c:v>45407</c:v>
                </c:pt>
                <c:pt idx="54">
                  <c:v>45406</c:v>
                </c:pt>
                <c:pt idx="55">
                  <c:v>45415</c:v>
                </c:pt>
                <c:pt idx="56">
                  <c:v>45414</c:v>
                </c:pt>
                <c:pt idx="57">
                  <c:v>45408</c:v>
                </c:pt>
                <c:pt idx="58">
                  <c:v>45407</c:v>
                </c:pt>
                <c:pt idx="59">
                  <c:v>45406</c:v>
                </c:pt>
                <c:pt idx="60">
                  <c:v>45405</c:v>
                </c:pt>
                <c:pt idx="61">
                  <c:v>45404</c:v>
                </c:pt>
                <c:pt idx="62">
                  <c:v>45401</c:v>
                </c:pt>
                <c:pt idx="63">
                  <c:v>45399</c:v>
                </c:pt>
                <c:pt idx="64">
                  <c:v>45398</c:v>
                </c:pt>
                <c:pt idx="65">
                  <c:v>45397</c:v>
                </c:pt>
                <c:pt idx="66">
                  <c:v>45394</c:v>
                </c:pt>
                <c:pt idx="67">
                  <c:v>45393</c:v>
                </c:pt>
                <c:pt idx="68">
                  <c:v>45392</c:v>
                </c:pt>
                <c:pt idx="69">
                  <c:v>45391</c:v>
                </c:pt>
                <c:pt idx="70">
                  <c:v>45390</c:v>
                </c:pt>
                <c:pt idx="71">
                  <c:v>45387</c:v>
                </c:pt>
                <c:pt idx="72">
                  <c:v>45386</c:v>
                </c:pt>
                <c:pt idx="73">
                  <c:v>45385</c:v>
                </c:pt>
                <c:pt idx="74">
                  <c:v>45384</c:v>
                </c:pt>
                <c:pt idx="75">
                  <c:v>45383</c:v>
                </c:pt>
                <c:pt idx="76">
                  <c:v>45380</c:v>
                </c:pt>
                <c:pt idx="77">
                  <c:v>45379</c:v>
                </c:pt>
                <c:pt idx="78">
                  <c:v>45378</c:v>
                </c:pt>
                <c:pt idx="79">
                  <c:v>45377</c:v>
                </c:pt>
                <c:pt idx="80">
                  <c:v>45376</c:v>
                </c:pt>
                <c:pt idx="81">
                  <c:v>45373</c:v>
                </c:pt>
                <c:pt idx="82">
                  <c:v>45372</c:v>
                </c:pt>
                <c:pt idx="83">
                  <c:v>45371</c:v>
                </c:pt>
                <c:pt idx="84">
                  <c:v>45370</c:v>
                </c:pt>
                <c:pt idx="85">
                  <c:v>45369</c:v>
                </c:pt>
                <c:pt idx="86">
                  <c:v>45366</c:v>
                </c:pt>
                <c:pt idx="87">
                  <c:v>45365</c:v>
                </c:pt>
                <c:pt idx="88">
                  <c:v>45364</c:v>
                </c:pt>
                <c:pt idx="89">
                  <c:v>45363</c:v>
                </c:pt>
                <c:pt idx="90">
                  <c:v>45362</c:v>
                </c:pt>
                <c:pt idx="91">
                  <c:v>45359</c:v>
                </c:pt>
                <c:pt idx="92">
                  <c:v>45358</c:v>
                </c:pt>
                <c:pt idx="93">
                  <c:v>45357</c:v>
                </c:pt>
                <c:pt idx="94">
                  <c:v>45356</c:v>
                </c:pt>
                <c:pt idx="95">
                  <c:v>45355</c:v>
                </c:pt>
                <c:pt idx="96">
                  <c:v>45352</c:v>
                </c:pt>
                <c:pt idx="97">
                  <c:v>45351</c:v>
                </c:pt>
                <c:pt idx="98">
                  <c:v>45350</c:v>
                </c:pt>
                <c:pt idx="99">
                  <c:v>45349</c:v>
                </c:pt>
                <c:pt idx="100">
                  <c:v>45348</c:v>
                </c:pt>
                <c:pt idx="101">
                  <c:v>45345</c:v>
                </c:pt>
                <c:pt idx="102">
                  <c:v>45344</c:v>
                </c:pt>
                <c:pt idx="103">
                  <c:v>45343</c:v>
                </c:pt>
                <c:pt idx="104">
                  <c:v>45342</c:v>
                </c:pt>
                <c:pt idx="105">
                  <c:v>45341</c:v>
                </c:pt>
                <c:pt idx="106">
                  <c:v>45338</c:v>
                </c:pt>
                <c:pt idx="107">
                  <c:v>45337</c:v>
                </c:pt>
                <c:pt idx="108">
                  <c:v>45329</c:v>
                </c:pt>
                <c:pt idx="109">
                  <c:v>45328</c:v>
                </c:pt>
                <c:pt idx="110">
                  <c:v>45327</c:v>
                </c:pt>
                <c:pt idx="111">
                  <c:v>45324</c:v>
                </c:pt>
                <c:pt idx="112">
                  <c:v>45323</c:v>
                </c:pt>
                <c:pt idx="113">
                  <c:v>45322</c:v>
                </c:pt>
                <c:pt idx="114">
                  <c:v>45321</c:v>
                </c:pt>
                <c:pt idx="115">
                  <c:v>45320</c:v>
                </c:pt>
                <c:pt idx="116">
                  <c:v>45317</c:v>
                </c:pt>
                <c:pt idx="117">
                  <c:v>45316</c:v>
                </c:pt>
                <c:pt idx="118">
                  <c:v>45315</c:v>
                </c:pt>
                <c:pt idx="119">
                  <c:v>45314</c:v>
                </c:pt>
                <c:pt idx="120">
                  <c:v>45313</c:v>
                </c:pt>
                <c:pt idx="121">
                  <c:v>45310</c:v>
                </c:pt>
                <c:pt idx="122">
                  <c:v>45309</c:v>
                </c:pt>
                <c:pt idx="123">
                  <c:v>45308</c:v>
                </c:pt>
                <c:pt idx="124">
                  <c:v>45307</c:v>
                </c:pt>
                <c:pt idx="125">
                  <c:v>45306</c:v>
                </c:pt>
                <c:pt idx="126">
                  <c:v>45303</c:v>
                </c:pt>
                <c:pt idx="127">
                  <c:v>45302</c:v>
                </c:pt>
                <c:pt idx="128">
                  <c:v>45301</c:v>
                </c:pt>
                <c:pt idx="129">
                  <c:v>45300</c:v>
                </c:pt>
                <c:pt idx="130">
                  <c:v>45299</c:v>
                </c:pt>
                <c:pt idx="131">
                  <c:v>45296</c:v>
                </c:pt>
                <c:pt idx="132">
                  <c:v>45295</c:v>
                </c:pt>
                <c:pt idx="133">
                  <c:v>45294</c:v>
                </c:pt>
                <c:pt idx="134">
                  <c:v>45293</c:v>
                </c:pt>
                <c:pt idx="135">
                  <c:v>45289</c:v>
                </c:pt>
                <c:pt idx="136">
                  <c:v>45288</c:v>
                </c:pt>
                <c:pt idx="137">
                  <c:v>45287</c:v>
                </c:pt>
                <c:pt idx="138">
                  <c:v>45286</c:v>
                </c:pt>
                <c:pt idx="139">
                  <c:v>45285</c:v>
                </c:pt>
                <c:pt idx="140">
                  <c:v>45282</c:v>
                </c:pt>
                <c:pt idx="141">
                  <c:v>45281</c:v>
                </c:pt>
                <c:pt idx="142">
                  <c:v>45280</c:v>
                </c:pt>
                <c:pt idx="143">
                  <c:v>45279</c:v>
                </c:pt>
                <c:pt idx="144">
                  <c:v>45278</c:v>
                </c:pt>
                <c:pt idx="145">
                  <c:v>45275</c:v>
                </c:pt>
                <c:pt idx="146">
                  <c:v>45274</c:v>
                </c:pt>
                <c:pt idx="147">
                  <c:v>45273</c:v>
                </c:pt>
                <c:pt idx="148">
                  <c:v>45272</c:v>
                </c:pt>
                <c:pt idx="149">
                  <c:v>45271</c:v>
                </c:pt>
                <c:pt idx="150">
                  <c:v>45268</c:v>
                </c:pt>
                <c:pt idx="151">
                  <c:v>45267</c:v>
                </c:pt>
                <c:pt idx="152">
                  <c:v>45266</c:v>
                </c:pt>
                <c:pt idx="153">
                  <c:v>45265</c:v>
                </c:pt>
                <c:pt idx="154">
                  <c:v>45264</c:v>
                </c:pt>
                <c:pt idx="155">
                  <c:v>45261</c:v>
                </c:pt>
                <c:pt idx="156">
                  <c:v>45260</c:v>
                </c:pt>
                <c:pt idx="157">
                  <c:v>45259</c:v>
                </c:pt>
                <c:pt idx="158">
                  <c:v>45258</c:v>
                </c:pt>
                <c:pt idx="159">
                  <c:v>45257</c:v>
                </c:pt>
                <c:pt idx="160">
                  <c:v>45254</c:v>
                </c:pt>
                <c:pt idx="161">
                  <c:v>45253</c:v>
                </c:pt>
                <c:pt idx="162">
                  <c:v>45252</c:v>
                </c:pt>
                <c:pt idx="163">
                  <c:v>45251</c:v>
                </c:pt>
                <c:pt idx="164">
                  <c:v>45250</c:v>
                </c:pt>
                <c:pt idx="165">
                  <c:v>45247</c:v>
                </c:pt>
                <c:pt idx="166">
                  <c:v>45246</c:v>
                </c:pt>
                <c:pt idx="167">
                  <c:v>45245</c:v>
                </c:pt>
                <c:pt idx="168">
                  <c:v>45244</c:v>
                </c:pt>
                <c:pt idx="169">
                  <c:v>45243</c:v>
                </c:pt>
                <c:pt idx="170">
                  <c:v>45240</c:v>
                </c:pt>
                <c:pt idx="171">
                  <c:v>45239</c:v>
                </c:pt>
                <c:pt idx="172">
                  <c:v>45238</c:v>
                </c:pt>
                <c:pt idx="173">
                  <c:v>45237</c:v>
                </c:pt>
                <c:pt idx="174">
                  <c:v>45236</c:v>
                </c:pt>
                <c:pt idx="175">
                  <c:v>45233</c:v>
                </c:pt>
                <c:pt idx="176">
                  <c:v>45232</c:v>
                </c:pt>
                <c:pt idx="177">
                  <c:v>45231</c:v>
                </c:pt>
                <c:pt idx="178">
                  <c:v>45230</c:v>
                </c:pt>
                <c:pt idx="179">
                  <c:v>45229</c:v>
                </c:pt>
                <c:pt idx="180">
                  <c:v>45226</c:v>
                </c:pt>
                <c:pt idx="181">
                  <c:v>45225</c:v>
                </c:pt>
                <c:pt idx="182">
                  <c:v>45224</c:v>
                </c:pt>
                <c:pt idx="183">
                  <c:v>45223</c:v>
                </c:pt>
                <c:pt idx="184">
                  <c:v>45222</c:v>
                </c:pt>
                <c:pt idx="185">
                  <c:v>45219</c:v>
                </c:pt>
                <c:pt idx="186">
                  <c:v>45218</c:v>
                </c:pt>
                <c:pt idx="187">
                  <c:v>45217</c:v>
                </c:pt>
                <c:pt idx="188">
                  <c:v>45216</c:v>
                </c:pt>
                <c:pt idx="189">
                  <c:v>45215</c:v>
                </c:pt>
                <c:pt idx="190">
                  <c:v>45212</c:v>
                </c:pt>
                <c:pt idx="191">
                  <c:v>45211</c:v>
                </c:pt>
                <c:pt idx="192">
                  <c:v>45210</c:v>
                </c:pt>
                <c:pt idx="193">
                  <c:v>45209</c:v>
                </c:pt>
                <c:pt idx="194">
                  <c:v>45208</c:v>
                </c:pt>
                <c:pt idx="195">
                  <c:v>45205</c:v>
                </c:pt>
                <c:pt idx="196">
                  <c:v>45204</c:v>
                </c:pt>
                <c:pt idx="197">
                  <c:v>45203</c:v>
                </c:pt>
                <c:pt idx="198">
                  <c:v>45202</c:v>
                </c:pt>
                <c:pt idx="199">
                  <c:v>45201</c:v>
                </c:pt>
                <c:pt idx="200">
                  <c:v>45198</c:v>
                </c:pt>
                <c:pt idx="201">
                  <c:v>45197</c:v>
                </c:pt>
                <c:pt idx="202">
                  <c:v>45196</c:v>
                </c:pt>
                <c:pt idx="203">
                  <c:v>45195</c:v>
                </c:pt>
                <c:pt idx="204">
                  <c:v>45194</c:v>
                </c:pt>
                <c:pt idx="205">
                  <c:v>45191</c:v>
                </c:pt>
                <c:pt idx="206">
                  <c:v>45190</c:v>
                </c:pt>
                <c:pt idx="207">
                  <c:v>45189</c:v>
                </c:pt>
                <c:pt idx="208">
                  <c:v>45188</c:v>
                </c:pt>
                <c:pt idx="209">
                  <c:v>45187</c:v>
                </c:pt>
                <c:pt idx="210">
                  <c:v>45184</c:v>
                </c:pt>
                <c:pt idx="211">
                  <c:v>45183</c:v>
                </c:pt>
                <c:pt idx="212">
                  <c:v>45182</c:v>
                </c:pt>
                <c:pt idx="213">
                  <c:v>45181</c:v>
                </c:pt>
                <c:pt idx="214">
                  <c:v>45180</c:v>
                </c:pt>
                <c:pt idx="215">
                  <c:v>45177</c:v>
                </c:pt>
                <c:pt idx="216">
                  <c:v>45176</c:v>
                </c:pt>
                <c:pt idx="217">
                  <c:v>45175</c:v>
                </c:pt>
                <c:pt idx="218">
                  <c:v>45174</c:v>
                </c:pt>
                <c:pt idx="219">
                  <c:v>45169</c:v>
                </c:pt>
                <c:pt idx="220">
                  <c:v>45168</c:v>
                </c:pt>
                <c:pt idx="221">
                  <c:v>45167</c:v>
                </c:pt>
                <c:pt idx="222">
                  <c:v>45166</c:v>
                </c:pt>
                <c:pt idx="223">
                  <c:v>45163</c:v>
                </c:pt>
                <c:pt idx="224">
                  <c:v>45162</c:v>
                </c:pt>
                <c:pt idx="225">
                  <c:v>45161</c:v>
                </c:pt>
                <c:pt idx="226">
                  <c:v>45160</c:v>
                </c:pt>
                <c:pt idx="227">
                  <c:v>45159</c:v>
                </c:pt>
                <c:pt idx="228">
                  <c:v>45156</c:v>
                </c:pt>
                <c:pt idx="229">
                  <c:v>45155</c:v>
                </c:pt>
                <c:pt idx="230">
                  <c:v>45154</c:v>
                </c:pt>
                <c:pt idx="231">
                  <c:v>45153</c:v>
                </c:pt>
                <c:pt idx="232">
                  <c:v>45152</c:v>
                </c:pt>
                <c:pt idx="233">
                  <c:v>45149</c:v>
                </c:pt>
                <c:pt idx="234">
                  <c:v>45148</c:v>
                </c:pt>
                <c:pt idx="235">
                  <c:v>45147</c:v>
                </c:pt>
                <c:pt idx="236">
                  <c:v>45146</c:v>
                </c:pt>
                <c:pt idx="237">
                  <c:v>45145</c:v>
                </c:pt>
                <c:pt idx="238">
                  <c:v>45142</c:v>
                </c:pt>
                <c:pt idx="239">
                  <c:v>45141</c:v>
                </c:pt>
                <c:pt idx="240">
                  <c:v>45140</c:v>
                </c:pt>
                <c:pt idx="241">
                  <c:v>45139</c:v>
                </c:pt>
                <c:pt idx="242">
                  <c:v>45138</c:v>
                </c:pt>
                <c:pt idx="243">
                  <c:v>45135</c:v>
                </c:pt>
                <c:pt idx="244">
                  <c:v>45134</c:v>
                </c:pt>
                <c:pt idx="245">
                  <c:v>45133</c:v>
                </c:pt>
                <c:pt idx="246">
                  <c:v>45132</c:v>
                </c:pt>
                <c:pt idx="247">
                  <c:v>45131</c:v>
                </c:pt>
                <c:pt idx="248">
                  <c:v>45128</c:v>
                </c:pt>
                <c:pt idx="249">
                  <c:v>45127</c:v>
                </c:pt>
                <c:pt idx="250">
                  <c:v>45126</c:v>
                </c:pt>
                <c:pt idx="251">
                  <c:v>45125</c:v>
                </c:pt>
                <c:pt idx="252">
                  <c:v>45124</c:v>
                </c:pt>
                <c:pt idx="253">
                  <c:v>45121</c:v>
                </c:pt>
                <c:pt idx="254">
                  <c:v>45120</c:v>
                </c:pt>
                <c:pt idx="255">
                  <c:v>45119</c:v>
                </c:pt>
                <c:pt idx="256">
                  <c:v>45118</c:v>
                </c:pt>
                <c:pt idx="257">
                  <c:v>45117</c:v>
                </c:pt>
                <c:pt idx="258">
                  <c:v>45114</c:v>
                </c:pt>
                <c:pt idx="259">
                  <c:v>45113</c:v>
                </c:pt>
                <c:pt idx="260">
                  <c:v>45112</c:v>
                </c:pt>
                <c:pt idx="261">
                  <c:v>45111</c:v>
                </c:pt>
                <c:pt idx="262">
                  <c:v>45110</c:v>
                </c:pt>
                <c:pt idx="263">
                  <c:v>45107</c:v>
                </c:pt>
                <c:pt idx="264">
                  <c:v>45106</c:v>
                </c:pt>
                <c:pt idx="265">
                  <c:v>45105</c:v>
                </c:pt>
                <c:pt idx="266">
                  <c:v>45104</c:v>
                </c:pt>
                <c:pt idx="267">
                  <c:v>45103</c:v>
                </c:pt>
                <c:pt idx="268">
                  <c:v>45100</c:v>
                </c:pt>
                <c:pt idx="269">
                  <c:v>45099</c:v>
                </c:pt>
                <c:pt idx="270">
                  <c:v>45098</c:v>
                </c:pt>
                <c:pt idx="271">
                  <c:v>45097</c:v>
                </c:pt>
                <c:pt idx="272">
                  <c:v>45096</c:v>
                </c:pt>
                <c:pt idx="273">
                  <c:v>45093</c:v>
                </c:pt>
                <c:pt idx="274">
                  <c:v>45092</c:v>
                </c:pt>
                <c:pt idx="275">
                  <c:v>45091</c:v>
                </c:pt>
                <c:pt idx="276">
                  <c:v>45090</c:v>
                </c:pt>
                <c:pt idx="277">
                  <c:v>45089</c:v>
                </c:pt>
                <c:pt idx="278">
                  <c:v>45086</c:v>
                </c:pt>
                <c:pt idx="279">
                  <c:v>45085</c:v>
                </c:pt>
                <c:pt idx="280">
                  <c:v>45084</c:v>
                </c:pt>
                <c:pt idx="281">
                  <c:v>45083</c:v>
                </c:pt>
                <c:pt idx="282">
                  <c:v>45082</c:v>
                </c:pt>
                <c:pt idx="283">
                  <c:v>45079</c:v>
                </c:pt>
                <c:pt idx="284">
                  <c:v>45078</c:v>
                </c:pt>
                <c:pt idx="285">
                  <c:v>45077</c:v>
                </c:pt>
                <c:pt idx="286">
                  <c:v>45076</c:v>
                </c:pt>
                <c:pt idx="287">
                  <c:v>45075</c:v>
                </c:pt>
                <c:pt idx="288">
                  <c:v>45072</c:v>
                </c:pt>
                <c:pt idx="289">
                  <c:v>45071</c:v>
                </c:pt>
                <c:pt idx="290">
                  <c:v>45070</c:v>
                </c:pt>
                <c:pt idx="291">
                  <c:v>45069</c:v>
                </c:pt>
                <c:pt idx="292">
                  <c:v>45068</c:v>
                </c:pt>
                <c:pt idx="293">
                  <c:v>45065</c:v>
                </c:pt>
                <c:pt idx="294">
                  <c:v>45064</c:v>
                </c:pt>
                <c:pt idx="295">
                  <c:v>45063</c:v>
                </c:pt>
                <c:pt idx="296">
                  <c:v>45062</c:v>
                </c:pt>
                <c:pt idx="297">
                  <c:v>45061</c:v>
                </c:pt>
                <c:pt idx="298">
                  <c:v>45058</c:v>
                </c:pt>
                <c:pt idx="299">
                  <c:v>45057</c:v>
                </c:pt>
                <c:pt idx="300">
                  <c:v>45056</c:v>
                </c:pt>
                <c:pt idx="301">
                  <c:v>45055</c:v>
                </c:pt>
                <c:pt idx="302">
                  <c:v>45054</c:v>
                </c:pt>
                <c:pt idx="303">
                  <c:v>45051</c:v>
                </c:pt>
                <c:pt idx="304">
                  <c:v>45050</c:v>
                </c:pt>
                <c:pt idx="305">
                  <c:v>45044</c:v>
                </c:pt>
                <c:pt idx="306">
                  <c:v>45043</c:v>
                </c:pt>
                <c:pt idx="307">
                  <c:v>45042</c:v>
                </c:pt>
                <c:pt idx="308">
                  <c:v>45041</c:v>
                </c:pt>
                <c:pt idx="309">
                  <c:v>45040</c:v>
                </c:pt>
                <c:pt idx="310">
                  <c:v>45037</c:v>
                </c:pt>
                <c:pt idx="311">
                  <c:v>45036</c:v>
                </c:pt>
                <c:pt idx="312">
                  <c:v>45035</c:v>
                </c:pt>
                <c:pt idx="313">
                  <c:v>45034</c:v>
                </c:pt>
                <c:pt idx="314">
                  <c:v>45033</c:v>
                </c:pt>
                <c:pt idx="315">
                  <c:v>45030</c:v>
                </c:pt>
                <c:pt idx="316">
                  <c:v>45029</c:v>
                </c:pt>
                <c:pt idx="317">
                  <c:v>45028</c:v>
                </c:pt>
                <c:pt idx="318">
                  <c:v>45027</c:v>
                </c:pt>
                <c:pt idx="319">
                  <c:v>45026</c:v>
                </c:pt>
                <c:pt idx="320">
                  <c:v>45023</c:v>
                </c:pt>
                <c:pt idx="321">
                  <c:v>45022</c:v>
                </c:pt>
                <c:pt idx="322">
                  <c:v>45021</c:v>
                </c:pt>
                <c:pt idx="323">
                  <c:v>45020</c:v>
                </c:pt>
                <c:pt idx="324">
                  <c:v>45019</c:v>
                </c:pt>
                <c:pt idx="325">
                  <c:v>45016</c:v>
                </c:pt>
                <c:pt idx="326">
                  <c:v>45015</c:v>
                </c:pt>
                <c:pt idx="327">
                  <c:v>45014</c:v>
                </c:pt>
                <c:pt idx="328">
                  <c:v>45013</c:v>
                </c:pt>
                <c:pt idx="329">
                  <c:v>45012</c:v>
                </c:pt>
                <c:pt idx="330">
                  <c:v>45009</c:v>
                </c:pt>
                <c:pt idx="331">
                  <c:v>45008</c:v>
                </c:pt>
                <c:pt idx="332">
                  <c:v>45007</c:v>
                </c:pt>
                <c:pt idx="333">
                  <c:v>45006</c:v>
                </c:pt>
                <c:pt idx="334">
                  <c:v>45005</c:v>
                </c:pt>
                <c:pt idx="335">
                  <c:v>45002</c:v>
                </c:pt>
                <c:pt idx="336">
                  <c:v>45001</c:v>
                </c:pt>
                <c:pt idx="337">
                  <c:v>45000</c:v>
                </c:pt>
                <c:pt idx="338">
                  <c:v>44999</c:v>
                </c:pt>
                <c:pt idx="339">
                  <c:v>44998</c:v>
                </c:pt>
                <c:pt idx="340">
                  <c:v>44995</c:v>
                </c:pt>
                <c:pt idx="341">
                  <c:v>44994</c:v>
                </c:pt>
                <c:pt idx="342">
                  <c:v>44993</c:v>
                </c:pt>
                <c:pt idx="343">
                  <c:v>44992</c:v>
                </c:pt>
                <c:pt idx="344">
                  <c:v>44991</c:v>
                </c:pt>
                <c:pt idx="345">
                  <c:v>44988</c:v>
                </c:pt>
                <c:pt idx="346">
                  <c:v>44987</c:v>
                </c:pt>
                <c:pt idx="347">
                  <c:v>44986</c:v>
                </c:pt>
                <c:pt idx="348">
                  <c:v>44985</c:v>
                </c:pt>
                <c:pt idx="349">
                  <c:v>44984</c:v>
                </c:pt>
                <c:pt idx="350">
                  <c:v>44981</c:v>
                </c:pt>
                <c:pt idx="351">
                  <c:v>44980</c:v>
                </c:pt>
                <c:pt idx="352">
                  <c:v>44979</c:v>
                </c:pt>
                <c:pt idx="353">
                  <c:v>44978</c:v>
                </c:pt>
                <c:pt idx="354">
                  <c:v>44977</c:v>
                </c:pt>
                <c:pt idx="355">
                  <c:v>44974</c:v>
                </c:pt>
                <c:pt idx="356">
                  <c:v>44973</c:v>
                </c:pt>
                <c:pt idx="357">
                  <c:v>44972</c:v>
                </c:pt>
                <c:pt idx="358">
                  <c:v>44971</c:v>
                </c:pt>
                <c:pt idx="359">
                  <c:v>44970</c:v>
                </c:pt>
                <c:pt idx="360">
                  <c:v>44967</c:v>
                </c:pt>
                <c:pt idx="361">
                  <c:v>44966</c:v>
                </c:pt>
                <c:pt idx="362">
                  <c:v>44965</c:v>
                </c:pt>
                <c:pt idx="363">
                  <c:v>44964</c:v>
                </c:pt>
                <c:pt idx="364">
                  <c:v>44963</c:v>
                </c:pt>
                <c:pt idx="365">
                  <c:v>44960</c:v>
                </c:pt>
                <c:pt idx="366">
                  <c:v>44959</c:v>
                </c:pt>
                <c:pt idx="367">
                  <c:v>44958</c:v>
                </c:pt>
                <c:pt idx="368">
                  <c:v>44957</c:v>
                </c:pt>
                <c:pt idx="369">
                  <c:v>44956</c:v>
                </c:pt>
                <c:pt idx="370">
                  <c:v>44953</c:v>
                </c:pt>
                <c:pt idx="371">
                  <c:v>44945</c:v>
                </c:pt>
                <c:pt idx="372">
                  <c:v>44944</c:v>
                </c:pt>
                <c:pt idx="373">
                  <c:v>44943</c:v>
                </c:pt>
                <c:pt idx="374">
                  <c:v>44942</c:v>
                </c:pt>
                <c:pt idx="375">
                  <c:v>44939</c:v>
                </c:pt>
                <c:pt idx="376">
                  <c:v>44938</c:v>
                </c:pt>
                <c:pt idx="377">
                  <c:v>44937</c:v>
                </c:pt>
                <c:pt idx="378">
                  <c:v>44936</c:v>
                </c:pt>
                <c:pt idx="379">
                  <c:v>44935</c:v>
                </c:pt>
                <c:pt idx="380">
                  <c:v>44932</c:v>
                </c:pt>
                <c:pt idx="381">
                  <c:v>44931</c:v>
                </c:pt>
                <c:pt idx="382">
                  <c:v>44930</c:v>
                </c:pt>
                <c:pt idx="383">
                  <c:v>44929</c:v>
                </c:pt>
              </c:numCache>
            </c:numRef>
          </c:cat>
          <c:val>
            <c:numRef>
              <c:f>Diamond!$AA$3:$AA$386</c:f>
              <c:numCache>
                <c:formatCode>_(* #,##0.00_);_(* \(#,##0.00\);_(* "-"??_);_(@_)</c:formatCode>
                <c:ptCount val="384"/>
                <c:pt idx="36">
                  <c:v>25</c:v>
                </c:pt>
                <c:pt idx="37">
                  <c:v>1</c:v>
                </c:pt>
                <c:pt idx="38">
                  <c:v>1.5951249999999999</c:v>
                </c:pt>
                <c:pt idx="39">
                  <c:v>1.5951249999999999</c:v>
                </c:pt>
                <c:pt idx="40">
                  <c:v>-0.45139542370476393</c:v>
                </c:pt>
                <c:pt idx="55">
                  <c:v>77.7</c:v>
                </c:pt>
                <c:pt idx="56">
                  <c:v>77.56</c:v>
                </c:pt>
                <c:pt idx="57">
                  <c:v>479.11</c:v>
                </c:pt>
                <c:pt idx="58">
                  <c:v>469.51</c:v>
                </c:pt>
                <c:pt idx="59">
                  <c:v>456.42</c:v>
                </c:pt>
                <c:pt idx="60">
                  <c:v>434.61</c:v>
                </c:pt>
                <c:pt idx="61">
                  <c:v>424.13</c:v>
                </c:pt>
                <c:pt idx="62">
                  <c:v>420.64</c:v>
                </c:pt>
                <c:pt idx="63">
                  <c:v>431.12</c:v>
                </c:pt>
                <c:pt idx="64">
                  <c:v>435.48</c:v>
                </c:pt>
                <c:pt idx="65">
                  <c:v>435.48</c:v>
                </c:pt>
                <c:pt idx="66">
                  <c:v>453.81</c:v>
                </c:pt>
                <c:pt idx="67">
                  <c:v>456.42</c:v>
                </c:pt>
                <c:pt idx="68">
                  <c:v>453.81</c:v>
                </c:pt>
                <c:pt idx="69">
                  <c:v>460.79</c:v>
                </c:pt>
                <c:pt idx="70">
                  <c:v>436.35</c:v>
                </c:pt>
                <c:pt idx="71">
                  <c:v>445.08</c:v>
                </c:pt>
                <c:pt idx="72">
                  <c:v>442.46</c:v>
                </c:pt>
                <c:pt idx="73">
                  <c:v>438.1</c:v>
                </c:pt>
                <c:pt idx="74">
                  <c:v>450.32</c:v>
                </c:pt>
                <c:pt idx="75">
                  <c:v>448.57</c:v>
                </c:pt>
                <c:pt idx="76">
                  <c:v>445.95</c:v>
                </c:pt>
                <c:pt idx="77">
                  <c:v>445.08</c:v>
                </c:pt>
                <c:pt idx="78">
                  <c:v>442.46</c:v>
                </c:pt>
                <c:pt idx="79">
                  <c:v>424.57</c:v>
                </c:pt>
                <c:pt idx="80">
                  <c:v>421.52</c:v>
                </c:pt>
                <c:pt idx="81">
                  <c:v>428.5</c:v>
                </c:pt>
                <c:pt idx="82">
                  <c:v>423.26</c:v>
                </c:pt>
                <c:pt idx="83">
                  <c:v>418.9</c:v>
                </c:pt>
                <c:pt idx="84">
                  <c:v>397.08</c:v>
                </c:pt>
                <c:pt idx="85">
                  <c:v>400.57</c:v>
                </c:pt>
                <c:pt idx="86">
                  <c:v>413.23</c:v>
                </c:pt>
                <c:pt idx="87">
                  <c:v>412.36</c:v>
                </c:pt>
                <c:pt idx="88">
                  <c:v>423.7</c:v>
                </c:pt>
                <c:pt idx="89">
                  <c:v>407.99</c:v>
                </c:pt>
                <c:pt idx="90">
                  <c:v>404.94</c:v>
                </c:pt>
                <c:pt idx="91">
                  <c:v>416.72</c:v>
                </c:pt>
                <c:pt idx="92">
                  <c:v>427.63</c:v>
                </c:pt>
                <c:pt idx="93">
                  <c:v>425.01</c:v>
                </c:pt>
                <c:pt idx="94">
                  <c:v>436.36</c:v>
                </c:pt>
                <c:pt idx="95">
                  <c:v>413.67</c:v>
                </c:pt>
                <c:pt idx="96">
                  <c:v>406.68</c:v>
                </c:pt>
                <c:pt idx="97">
                  <c:v>403.19</c:v>
                </c:pt>
                <c:pt idx="98">
                  <c:v>395.34</c:v>
                </c:pt>
                <c:pt idx="99">
                  <c:v>390.54</c:v>
                </c:pt>
                <c:pt idx="100">
                  <c:v>387.05</c:v>
                </c:pt>
                <c:pt idx="101">
                  <c:v>383.99</c:v>
                </c:pt>
                <c:pt idx="102">
                  <c:v>395.34</c:v>
                </c:pt>
                <c:pt idx="103">
                  <c:v>402.32</c:v>
                </c:pt>
                <c:pt idx="104">
                  <c:v>408.43</c:v>
                </c:pt>
                <c:pt idx="105">
                  <c:v>408.43</c:v>
                </c:pt>
                <c:pt idx="106">
                  <c:v>404.07</c:v>
                </c:pt>
                <c:pt idx="107">
                  <c:v>400.14</c:v>
                </c:pt>
                <c:pt idx="108">
                  <c:v>406.68</c:v>
                </c:pt>
                <c:pt idx="109">
                  <c:v>410.18</c:v>
                </c:pt>
                <c:pt idx="110">
                  <c:v>413.67</c:v>
                </c:pt>
                <c:pt idx="111">
                  <c:v>413.67</c:v>
                </c:pt>
                <c:pt idx="112">
                  <c:v>403.19</c:v>
                </c:pt>
                <c:pt idx="113">
                  <c:v>392.72</c:v>
                </c:pt>
                <c:pt idx="114">
                  <c:v>95.39</c:v>
                </c:pt>
                <c:pt idx="115">
                  <c:v>93.71</c:v>
                </c:pt>
                <c:pt idx="116">
                  <c:v>94.34</c:v>
                </c:pt>
                <c:pt idx="117">
                  <c:v>94.97</c:v>
                </c:pt>
                <c:pt idx="118">
                  <c:v>93.29</c:v>
                </c:pt>
                <c:pt idx="119">
                  <c:v>95.39</c:v>
                </c:pt>
                <c:pt idx="120">
                  <c:v>96.97</c:v>
                </c:pt>
                <c:pt idx="121">
                  <c:v>96.76</c:v>
                </c:pt>
                <c:pt idx="122">
                  <c:v>96.34</c:v>
                </c:pt>
                <c:pt idx="123">
                  <c:v>94.34</c:v>
                </c:pt>
                <c:pt idx="124">
                  <c:v>93.08</c:v>
                </c:pt>
                <c:pt idx="125">
                  <c:v>90.14</c:v>
                </c:pt>
                <c:pt idx="126">
                  <c:v>88.04</c:v>
                </c:pt>
                <c:pt idx="127">
                  <c:v>89.2</c:v>
                </c:pt>
                <c:pt idx="128">
                  <c:v>88.78</c:v>
                </c:pt>
                <c:pt idx="129">
                  <c:v>89.72</c:v>
                </c:pt>
                <c:pt idx="130">
                  <c:v>90.77</c:v>
                </c:pt>
                <c:pt idx="131">
                  <c:v>92.14</c:v>
                </c:pt>
                <c:pt idx="132">
                  <c:v>90.77</c:v>
                </c:pt>
                <c:pt idx="133">
                  <c:v>90.77</c:v>
                </c:pt>
                <c:pt idx="134">
                  <c:v>89.2</c:v>
                </c:pt>
                <c:pt idx="135">
                  <c:v>89.93</c:v>
                </c:pt>
                <c:pt idx="136">
                  <c:v>90.46</c:v>
                </c:pt>
                <c:pt idx="137">
                  <c:v>90.04</c:v>
                </c:pt>
                <c:pt idx="138">
                  <c:v>89.72</c:v>
                </c:pt>
                <c:pt idx="139">
                  <c:v>89.62</c:v>
                </c:pt>
                <c:pt idx="140">
                  <c:v>88.99</c:v>
                </c:pt>
                <c:pt idx="141">
                  <c:v>89.62</c:v>
                </c:pt>
                <c:pt idx="142">
                  <c:v>89.09</c:v>
                </c:pt>
                <c:pt idx="143">
                  <c:v>85.41</c:v>
                </c:pt>
                <c:pt idx="144">
                  <c:v>83.21</c:v>
                </c:pt>
                <c:pt idx="145">
                  <c:v>85.62</c:v>
                </c:pt>
                <c:pt idx="146">
                  <c:v>87.41</c:v>
                </c:pt>
                <c:pt idx="147">
                  <c:v>87.62</c:v>
                </c:pt>
                <c:pt idx="148">
                  <c:v>89.3</c:v>
                </c:pt>
                <c:pt idx="149">
                  <c:v>89.3</c:v>
                </c:pt>
                <c:pt idx="150">
                  <c:v>89.51</c:v>
                </c:pt>
                <c:pt idx="151">
                  <c:v>85.83</c:v>
                </c:pt>
                <c:pt idx="152">
                  <c:v>86.05</c:v>
                </c:pt>
                <c:pt idx="153">
                  <c:v>84.05</c:v>
                </c:pt>
                <c:pt idx="154">
                  <c:v>83.94</c:v>
                </c:pt>
                <c:pt idx="155">
                  <c:v>81.42</c:v>
                </c:pt>
                <c:pt idx="156">
                  <c:v>80.900000000000006</c:v>
                </c:pt>
                <c:pt idx="157">
                  <c:v>81.53</c:v>
                </c:pt>
                <c:pt idx="158">
                  <c:v>79.849999999999994</c:v>
                </c:pt>
                <c:pt idx="159">
                  <c:v>79.849999999999994</c:v>
                </c:pt>
                <c:pt idx="160">
                  <c:v>81</c:v>
                </c:pt>
                <c:pt idx="161">
                  <c:v>78.38</c:v>
                </c:pt>
                <c:pt idx="162">
                  <c:v>83.63</c:v>
                </c:pt>
                <c:pt idx="163">
                  <c:v>85.94</c:v>
                </c:pt>
                <c:pt idx="164">
                  <c:v>85.2</c:v>
                </c:pt>
                <c:pt idx="165">
                  <c:v>86.99</c:v>
                </c:pt>
                <c:pt idx="166">
                  <c:v>87.2</c:v>
                </c:pt>
                <c:pt idx="167">
                  <c:v>88.04</c:v>
                </c:pt>
                <c:pt idx="168">
                  <c:v>87.2</c:v>
                </c:pt>
                <c:pt idx="169">
                  <c:v>84.05</c:v>
                </c:pt>
                <c:pt idx="170">
                  <c:v>82.79</c:v>
                </c:pt>
                <c:pt idx="171">
                  <c:v>84.68</c:v>
                </c:pt>
                <c:pt idx="172">
                  <c:v>83.21</c:v>
                </c:pt>
                <c:pt idx="173">
                  <c:v>80.27</c:v>
                </c:pt>
                <c:pt idx="174">
                  <c:v>79.95</c:v>
                </c:pt>
                <c:pt idx="175">
                  <c:v>81.84</c:v>
                </c:pt>
                <c:pt idx="176">
                  <c:v>77.75</c:v>
                </c:pt>
                <c:pt idx="177">
                  <c:v>73.75</c:v>
                </c:pt>
                <c:pt idx="178">
                  <c:v>79.22</c:v>
                </c:pt>
                <c:pt idx="179">
                  <c:v>37.9</c:v>
                </c:pt>
                <c:pt idx="180">
                  <c:v>39.299999999999997</c:v>
                </c:pt>
                <c:pt idx="181">
                  <c:v>39.299999999999997</c:v>
                </c:pt>
                <c:pt idx="182">
                  <c:v>40.700000000000003</c:v>
                </c:pt>
                <c:pt idx="183">
                  <c:v>40.24</c:v>
                </c:pt>
                <c:pt idx="184">
                  <c:v>40.24</c:v>
                </c:pt>
                <c:pt idx="185">
                  <c:v>41.83</c:v>
                </c:pt>
                <c:pt idx="186">
                  <c:v>40.24</c:v>
                </c:pt>
                <c:pt idx="187">
                  <c:v>41.83</c:v>
                </c:pt>
                <c:pt idx="188">
                  <c:v>43.32</c:v>
                </c:pt>
                <c:pt idx="189">
                  <c:v>45.48</c:v>
                </c:pt>
                <c:pt idx="190">
                  <c:v>46.32</c:v>
                </c:pt>
                <c:pt idx="191">
                  <c:v>45.29</c:v>
                </c:pt>
                <c:pt idx="192">
                  <c:v>46.13</c:v>
                </c:pt>
                <c:pt idx="193">
                  <c:v>45.71</c:v>
                </c:pt>
                <c:pt idx="194">
                  <c:v>44.87</c:v>
                </c:pt>
                <c:pt idx="195">
                  <c:v>45.2</c:v>
                </c:pt>
                <c:pt idx="196">
                  <c:v>43.98</c:v>
                </c:pt>
                <c:pt idx="197">
                  <c:v>46.04</c:v>
                </c:pt>
                <c:pt idx="198">
                  <c:v>45.85</c:v>
                </c:pt>
                <c:pt idx="199">
                  <c:v>48.56</c:v>
                </c:pt>
                <c:pt idx="200">
                  <c:v>49.22</c:v>
                </c:pt>
                <c:pt idx="201">
                  <c:v>49.59</c:v>
                </c:pt>
                <c:pt idx="202">
                  <c:v>48.66</c:v>
                </c:pt>
                <c:pt idx="203">
                  <c:v>48.19</c:v>
                </c:pt>
                <c:pt idx="204">
                  <c:v>47.72</c:v>
                </c:pt>
                <c:pt idx="205">
                  <c:v>48.75</c:v>
                </c:pt>
                <c:pt idx="206">
                  <c:v>50.72</c:v>
                </c:pt>
                <c:pt idx="207">
                  <c:v>52.21</c:v>
                </c:pt>
                <c:pt idx="208">
                  <c:v>51.93</c:v>
                </c:pt>
                <c:pt idx="209">
                  <c:v>51.47</c:v>
                </c:pt>
                <c:pt idx="210">
                  <c:v>52.31</c:v>
                </c:pt>
                <c:pt idx="211">
                  <c:v>53.62</c:v>
                </c:pt>
                <c:pt idx="212">
                  <c:v>53.81</c:v>
                </c:pt>
                <c:pt idx="213">
                  <c:v>52.22</c:v>
                </c:pt>
                <c:pt idx="214">
                  <c:v>51</c:v>
                </c:pt>
                <c:pt idx="215">
                  <c:v>51.93</c:v>
                </c:pt>
                <c:pt idx="216">
                  <c:v>51.47</c:v>
                </c:pt>
                <c:pt idx="217">
                  <c:v>51.47</c:v>
                </c:pt>
                <c:pt idx="218">
                  <c:v>50.81</c:v>
                </c:pt>
                <c:pt idx="219">
                  <c:v>50.34</c:v>
                </c:pt>
                <c:pt idx="220">
                  <c:v>50.34</c:v>
                </c:pt>
                <c:pt idx="221">
                  <c:v>49.5</c:v>
                </c:pt>
                <c:pt idx="222">
                  <c:v>48.38</c:v>
                </c:pt>
                <c:pt idx="223">
                  <c:v>47.26</c:v>
                </c:pt>
                <c:pt idx="224">
                  <c:v>47.07</c:v>
                </c:pt>
                <c:pt idx="225">
                  <c:v>46.51</c:v>
                </c:pt>
                <c:pt idx="226">
                  <c:v>46.79</c:v>
                </c:pt>
                <c:pt idx="227">
                  <c:v>45.85</c:v>
                </c:pt>
                <c:pt idx="228">
                  <c:v>46.98</c:v>
                </c:pt>
                <c:pt idx="229">
                  <c:v>50.44</c:v>
                </c:pt>
                <c:pt idx="230">
                  <c:v>50.34</c:v>
                </c:pt>
                <c:pt idx="231">
                  <c:v>50.53</c:v>
                </c:pt>
                <c:pt idx="232">
                  <c:v>50.72</c:v>
                </c:pt>
                <c:pt idx="233">
                  <c:v>49.88</c:v>
                </c:pt>
                <c:pt idx="234">
                  <c:v>48.66</c:v>
                </c:pt>
                <c:pt idx="235">
                  <c:v>49.22</c:v>
                </c:pt>
                <c:pt idx="236">
                  <c:v>50.16</c:v>
                </c:pt>
                <c:pt idx="237">
                  <c:v>50.35</c:v>
                </c:pt>
                <c:pt idx="238">
                  <c:v>49.6</c:v>
                </c:pt>
                <c:pt idx="239">
                  <c:v>49.32</c:v>
                </c:pt>
                <c:pt idx="240">
                  <c:v>48.38</c:v>
                </c:pt>
                <c:pt idx="241">
                  <c:v>48.38</c:v>
                </c:pt>
                <c:pt idx="242">
                  <c:v>50.25</c:v>
                </c:pt>
                <c:pt idx="243">
                  <c:v>29.81</c:v>
                </c:pt>
                <c:pt idx="244">
                  <c:v>29.59</c:v>
                </c:pt>
                <c:pt idx="245">
                  <c:v>28.77</c:v>
                </c:pt>
                <c:pt idx="246">
                  <c:v>29.31</c:v>
                </c:pt>
                <c:pt idx="247">
                  <c:v>29.81</c:v>
                </c:pt>
                <c:pt idx="248">
                  <c:v>28.71</c:v>
                </c:pt>
                <c:pt idx="249">
                  <c:v>26.85</c:v>
                </c:pt>
                <c:pt idx="250">
                  <c:v>26.53</c:v>
                </c:pt>
                <c:pt idx="251">
                  <c:v>26.28</c:v>
                </c:pt>
                <c:pt idx="252">
                  <c:v>26.61</c:v>
                </c:pt>
                <c:pt idx="253">
                  <c:v>27.05</c:v>
                </c:pt>
                <c:pt idx="254">
                  <c:v>26.99</c:v>
                </c:pt>
                <c:pt idx="255">
                  <c:v>26.88</c:v>
                </c:pt>
                <c:pt idx="256">
                  <c:v>26.69</c:v>
                </c:pt>
                <c:pt idx="257">
                  <c:v>26.12</c:v>
                </c:pt>
                <c:pt idx="258">
                  <c:v>24.89</c:v>
                </c:pt>
                <c:pt idx="259">
                  <c:v>23.63</c:v>
                </c:pt>
                <c:pt idx="260">
                  <c:v>23.71</c:v>
                </c:pt>
                <c:pt idx="261">
                  <c:v>23.65</c:v>
                </c:pt>
                <c:pt idx="262">
                  <c:v>23.52</c:v>
                </c:pt>
                <c:pt idx="263">
                  <c:v>23.68</c:v>
                </c:pt>
                <c:pt idx="264">
                  <c:v>23.35</c:v>
                </c:pt>
                <c:pt idx="265">
                  <c:v>24.01</c:v>
                </c:pt>
                <c:pt idx="266">
                  <c:v>24.17</c:v>
                </c:pt>
                <c:pt idx="267">
                  <c:v>24.26</c:v>
                </c:pt>
                <c:pt idx="268">
                  <c:v>23.46</c:v>
                </c:pt>
                <c:pt idx="269">
                  <c:v>23.54</c:v>
                </c:pt>
                <c:pt idx="270">
                  <c:v>23.35</c:v>
                </c:pt>
                <c:pt idx="271">
                  <c:v>23.24</c:v>
                </c:pt>
                <c:pt idx="272">
                  <c:v>22.7</c:v>
                </c:pt>
                <c:pt idx="273">
                  <c:v>22.62</c:v>
                </c:pt>
                <c:pt idx="274">
                  <c:v>22.81</c:v>
                </c:pt>
                <c:pt idx="275">
                  <c:v>23</c:v>
                </c:pt>
                <c:pt idx="276">
                  <c:v>23.52</c:v>
                </c:pt>
                <c:pt idx="277">
                  <c:v>23.52</c:v>
                </c:pt>
                <c:pt idx="278">
                  <c:v>22.64</c:v>
                </c:pt>
                <c:pt idx="279">
                  <c:v>22.23</c:v>
                </c:pt>
                <c:pt idx="280">
                  <c:v>22.86</c:v>
                </c:pt>
                <c:pt idx="281">
                  <c:v>22.86</c:v>
                </c:pt>
                <c:pt idx="282">
                  <c:v>22.53</c:v>
                </c:pt>
                <c:pt idx="283">
                  <c:v>22.31</c:v>
                </c:pt>
                <c:pt idx="284">
                  <c:v>21.49</c:v>
                </c:pt>
                <c:pt idx="285">
                  <c:v>21.44</c:v>
                </c:pt>
                <c:pt idx="286">
                  <c:v>21.55</c:v>
                </c:pt>
                <c:pt idx="287">
                  <c:v>21.17</c:v>
                </c:pt>
                <c:pt idx="288">
                  <c:v>20.89</c:v>
                </c:pt>
                <c:pt idx="289">
                  <c:v>20.78</c:v>
                </c:pt>
                <c:pt idx="290">
                  <c:v>20.76</c:v>
                </c:pt>
                <c:pt idx="291">
                  <c:v>20.92</c:v>
                </c:pt>
                <c:pt idx="292">
                  <c:v>21.08</c:v>
                </c:pt>
                <c:pt idx="293">
                  <c:v>20.95</c:v>
                </c:pt>
                <c:pt idx="294">
                  <c:v>20.84</c:v>
                </c:pt>
                <c:pt idx="295">
                  <c:v>20.86</c:v>
                </c:pt>
                <c:pt idx="296">
                  <c:v>21.03</c:v>
                </c:pt>
                <c:pt idx="297">
                  <c:v>21.27</c:v>
                </c:pt>
                <c:pt idx="298">
                  <c:v>21.33</c:v>
                </c:pt>
                <c:pt idx="299">
                  <c:v>21.17</c:v>
                </c:pt>
                <c:pt idx="300">
                  <c:v>21.33</c:v>
                </c:pt>
                <c:pt idx="301">
                  <c:v>20.76</c:v>
                </c:pt>
                <c:pt idx="302">
                  <c:v>20.7</c:v>
                </c:pt>
                <c:pt idx="303">
                  <c:v>20.67</c:v>
                </c:pt>
                <c:pt idx="304">
                  <c:v>20.73</c:v>
                </c:pt>
                <c:pt idx="305">
                  <c:v>14</c:v>
                </c:pt>
                <c:pt idx="306">
                  <c:v>13.8</c:v>
                </c:pt>
                <c:pt idx="307">
                  <c:v>13.71</c:v>
                </c:pt>
                <c:pt idx="308">
                  <c:v>13.46</c:v>
                </c:pt>
                <c:pt idx="309">
                  <c:v>13.71</c:v>
                </c:pt>
                <c:pt idx="310">
                  <c:v>14.03</c:v>
                </c:pt>
                <c:pt idx="311">
                  <c:v>14.43</c:v>
                </c:pt>
                <c:pt idx="312">
                  <c:v>14.46</c:v>
                </c:pt>
                <c:pt idx="313">
                  <c:v>14.26</c:v>
                </c:pt>
                <c:pt idx="314">
                  <c:v>14.23</c:v>
                </c:pt>
                <c:pt idx="315">
                  <c:v>14.28</c:v>
                </c:pt>
                <c:pt idx="316">
                  <c:v>14.66</c:v>
                </c:pt>
                <c:pt idx="317">
                  <c:v>14.55</c:v>
                </c:pt>
                <c:pt idx="318">
                  <c:v>14.53</c:v>
                </c:pt>
                <c:pt idx="319">
                  <c:v>14.64</c:v>
                </c:pt>
                <c:pt idx="320">
                  <c:v>13.93</c:v>
                </c:pt>
                <c:pt idx="321">
                  <c:v>13.96</c:v>
                </c:pt>
                <c:pt idx="322">
                  <c:v>14.19</c:v>
                </c:pt>
                <c:pt idx="323">
                  <c:v>14.21</c:v>
                </c:pt>
                <c:pt idx="324">
                  <c:v>13.93</c:v>
                </c:pt>
                <c:pt idx="325">
                  <c:v>13.76</c:v>
                </c:pt>
                <c:pt idx="326">
                  <c:v>13.78</c:v>
                </c:pt>
                <c:pt idx="327">
                  <c:v>13.82</c:v>
                </c:pt>
                <c:pt idx="328">
                  <c:v>13.96</c:v>
                </c:pt>
                <c:pt idx="329">
                  <c:v>13.6</c:v>
                </c:pt>
                <c:pt idx="330">
                  <c:v>13.55</c:v>
                </c:pt>
                <c:pt idx="331">
                  <c:v>13.5</c:v>
                </c:pt>
                <c:pt idx="332">
                  <c:v>13.55</c:v>
                </c:pt>
                <c:pt idx="333">
                  <c:v>13.75</c:v>
                </c:pt>
                <c:pt idx="334">
                  <c:v>13.6</c:v>
                </c:pt>
                <c:pt idx="335">
                  <c:v>14.07</c:v>
                </c:pt>
                <c:pt idx="336">
                  <c:v>14.07</c:v>
                </c:pt>
                <c:pt idx="337">
                  <c:v>14.28</c:v>
                </c:pt>
                <c:pt idx="338">
                  <c:v>13.78</c:v>
                </c:pt>
                <c:pt idx="339">
                  <c:v>14.07</c:v>
                </c:pt>
                <c:pt idx="340">
                  <c:v>14.19</c:v>
                </c:pt>
                <c:pt idx="341">
                  <c:v>14.28</c:v>
                </c:pt>
                <c:pt idx="342">
                  <c:v>14.07</c:v>
                </c:pt>
                <c:pt idx="343">
                  <c:v>14.18</c:v>
                </c:pt>
                <c:pt idx="344">
                  <c:v>14.07</c:v>
                </c:pt>
                <c:pt idx="345">
                  <c:v>14.07</c:v>
                </c:pt>
                <c:pt idx="346">
                  <c:v>14.39</c:v>
                </c:pt>
                <c:pt idx="347">
                  <c:v>14.57</c:v>
                </c:pt>
                <c:pt idx="348">
                  <c:v>14.28</c:v>
                </c:pt>
                <c:pt idx="349">
                  <c:v>14.46</c:v>
                </c:pt>
                <c:pt idx="350">
                  <c:v>15.03</c:v>
                </c:pt>
                <c:pt idx="351">
                  <c:v>15.35</c:v>
                </c:pt>
                <c:pt idx="352">
                  <c:v>15.35</c:v>
                </c:pt>
                <c:pt idx="353">
                  <c:v>15.89</c:v>
                </c:pt>
                <c:pt idx="354">
                  <c:v>15.82</c:v>
                </c:pt>
                <c:pt idx="355">
                  <c:v>15.44</c:v>
                </c:pt>
                <c:pt idx="356">
                  <c:v>15.46</c:v>
                </c:pt>
                <c:pt idx="357">
                  <c:v>15.26</c:v>
                </c:pt>
                <c:pt idx="358">
                  <c:v>15.18</c:v>
                </c:pt>
                <c:pt idx="359">
                  <c:v>15.18</c:v>
                </c:pt>
                <c:pt idx="360">
                  <c:v>15.03</c:v>
                </c:pt>
                <c:pt idx="361">
                  <c:v>15.71</c:v>
                </c:pt>
                <c:pt idx="362">
                  <c:v>15.89</c:v>
                </c:pt>
                <c:pt idx="363">
                  <c:v>16.32</c:v>
                </c:pt>
                <c:pt idx="364">
                  <c:v>16.84</c:v>
                </c:pt>
                <c:pt idx="365">
                  <c:v>17.07</c:v>
                </c:pt>
                <c:pt idx="366">
                  <c:v>17.82</c:v>
                </c:pt>
                <c:pt idx="367">
                  <c:v>16.82</c:v>
                </c:pt>
                <c:pt idx="368">
                  <c:v>16.600000000000001</c:v>
                </c:pt>
                <c:pt idx="369">
                  <c:v>13.41</c:v>
                </c:pt>
                <c:pt idx="370">
                  <c:v>13.32</c:v>
                </c:pt>
                <c:pt idx="371">
                  <c:v>13.24</c:v>
                </c:pt>
                <c:pt idx="372">
                  <c:v>13.05</c:v>
                </c:pt>
                <c:pt idx="373">
                  <c:v>12.5</c:v>
                </c:pt>
                <c:pt idx="374">
                  <c:v>12.16</c:v>
                </c:pt>
                <c:pt idx="375">
                  <c:v>12.21</c:v>
                </c:pt>
                <c:pt idx="376">
                  <c:v>12.22</c:v>
                </c:pt>
                <c:pt idx="377">
                  <c:v>12.35</c:v>
                </c:pt>
                <c:pt idx="378">
                  <c:v>12.25</c:v>
                </c:pt>
                <c:pt idx="379">
                  <c:v>12.19</c:v>
                </c:pt>
                <c:pt idx="380">
                  <c:v>12.53</c:v>
                </c:pt>
                <c:pt idx="381">
                  <c:v>12.66</c:v>
                </c:pt>
                <c:pt idx="382">
                  <c:v>12.63</c:v>
                </c:pt>
                <c:pt idx="383">
                  <c:v>12.76</c:v>
                </c:pt>
              </c:numCache>
            </c:numRef>
          </c:val>
          <c:smooth val="0"/>
          <c:extLst>
            <c:ext xmlns:c16="http://schemas.microsoft.com/office/drawing/2014/chart" uri="{C3380CC4-5D6E-409C-BE32-E72D297353CC}">
              <c16:uniqueId val="{00000003-C958-45AE-92D3-CEBA07ABC668}"/>
            </c:ext>
          </c:extLst>
        </c:ser>
        <c:ser>
          <c:idx val="3"/>
          <c:order val="3"/>
          <c:tx>
            <c:strRef>
              <c:f>Diamond!$AC$2</c:f>
              <c:strCache>
                <c:ptCount val="1"/>
                <c:pt idx="0">
                  <c:v>PE fw 2024</c:v>
                </c:pt>
              </c:strCache>
            </c:strRef>
          </c:tx>
          <c:spPr>
            <a:ln w="28575" cap="rnd">
              <a:solidFill>
                <a:schemeClr val="accent4"/>
              </a:solidFill>
              <a:round/>
            </a:ln>
            <a:effectLst/>
          </c:spPr>
          <c:marker>
            <c:symbol val="triangle"/>
            <c:size val="2"/>
            <c:spPr>
              <a:solidFill>
                <a:schemeClr val="accent4"/>
              </a:solidFill>
              <a:ln w="9525">
                <a:solidFill>
                  <a:schemeClr val="accent4"/>
                </a:solidFill>
              </a:ln>
              <a:effectLst/>
            </c:spPr>
          </c:marker>
          <c:dPt>
            <c:idx val="46"/>
            <c:marker>
              <c:symbol val="triangle"/>
              <c:size val="4"/>
              <c:spPr>
                <a:solidFill>
                  <a:schemeClr val="accent4"/>
                </a:solidFill>
                <a:ln w="9525">
                  <a:solidFill>
                    <a:schemeClr val="accent4"/>
                  </a:solidFill>
                </a:ln>
                <a:effectLst/>
              </c:spPr>
            </c:marker>
            <c:bubble3D val="0"/>
            <c:extLst>
              <c:ext xmlns:c16="http://schemas.microsoft.com/office/drawing/2014/chart" uri="{C3380CC4-5D6E-409C-BE32-E72D297353CC}">
                <c16:uniqueId val="{00000001-9235-4BE3-AC77-BDB9A5F5F7C9}"/>
              </c:ext>
            </c:extLst>
          </c:dPt>
          <c:dLbls>
            <c:numFmt formatCode="#,##0" sourceLinked="0"/>
            <c:spPr>
              <a:noFill/>
              <a:ln>
                <a:noFill/>
              </a:ln>
              <a:effectLst/>
            </c:spPr>
            <c:txPr>
              <a:bodyPr rot="0" spcFirstLastPara="1" vertOverflow="ellipsis" vert="horz" wrap="square" anchor="ctr" anchorCtr="1"/>
              <a:lstStyle/>
              <a:p>
                <a:pPr>
                  <a:defRPr sz="800" b="0" i="0" u="none" strike="noStrike" kern="1200" baseline="0">
                    <a:solidFill>
                      <a:schemeClr val="tx1">
                        <a:lumMod val="75000"/>
                        <a:lumOff val="25000"/>
                      </a:schemeClr>
                    </a:solidFill>
                    <a:latin typeface="Calibri (Body)"/>
                    <a:ea typeface="+mn-ea"/>
                    <a:cs typeface="+mn-cs"/>
                    <a:sym typeface="Wingdings 2" panose="05020102010507070707" pitchFamily="18" charset="2"/>
                  </a:defRPr>
                </a:pPr>
                <a:endParaRPr lang="vi-VN"/>
              </a:p>
            </c:txPr>
            <c:dLblPos val="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Diamond!$Y$3:$Y$386</c:f>
              <c:numCache>
                <c:formatCode>m/d/yy</c:formatCode>
                <c:ptCount val="384"/>
                <c:pt idx="0">
                  <c:v>45869</c:v>
                </c:pt>
                <c:pt idx="11">
                  <c:v>45657</c:v>
                </c:pt>
                <c:pt idx="53">
                  <c:v>45407</c:v>
                </c:pt>
                <c:pt idx="54">
                  <c:v>45406</c:v>
                </c:pt>
                <c:pt idx="55">
                  <c:v>45415</c:v>
                </c:pt>
                <c:pt idx="56">
                  <c:v>45414</c:v>
                </c:pt>
                <c:pt idx="57">
                  <c:v>45408</c:v>
                </c:pt>
                <c:pt idx="58">
                  <c:v>45407</c:v>
                </c:pt>
                <c:pt idx="59">
                  <c:v>45406</c:v>
                </c:pt>
                <c:pt idx="60">
                  <c:v>45405</c:v>
                </c:pt>
                <c:pt idx="61">
                  <c:v>45404</c:v>
                </c:pt>
                <c:pt idx="62">
                  <c:v>45401</c:v>
                </c:pt>
                <c:pt idx="63">
                  <c:v>45399</c:v>
                </c:pt>
                <c:pt idx="64">
                  <c:v>45398</c:v>
                </c:pt>
                <c:pt idx="65">
                  <c:v>45397</c:v>
                </c:pt>
                <c:pt idx="66">
                  <c:v>45394</c:v>
                </c:pt>
                <c:pt idx="67">
                  <c:v>45393</c:v>
                </c:pt>
                <c:pt idx="68">
                  <c:v>45392</c:v>
                </c:pt>
                <c:pt idx="69">
                  <c:v>45391</c:v>
                </c:pt>
                <c:pt idx="70">
                  <c:v>45390</c:v>
                </c:pt>
                <c:pt idx="71">
                  <c:v>45387</c:v>
                </c:pt>
                <c:pt idx="72">
                  <c:v>45386</c:v>
                </c:pt>
                <c:pt idx="73">
                  <c:v>45385</c:v>
                </c:pt>
                <c:pt idx="74">
                  <c:v>45384</c:v>
                </c:pt>
                <c:pt idx="75">
                  <c:v>45383</c:v>
                </c:pt>
                <c:pt idx="76">
                  <c:v>45380</c:v>
                </c:pt>
                <c:pt idx="77">
                  <c:v>45379</c:v>
                </c:pt>
                <c:pt idx="78">
                  <c:v>45378</c:v>
                </c:pt>
                <c:pt idx="79">
                  <c:v>45377</c:v>
                </c:pt>
                <c:pt idx="80">
                  <c:v>45376</c:v>
                </c:pt>
                <c:pt idx="81">
                  <c:v>45373</c:v>
                </c:pt>
                <c:pt idx="82">
                  <c:v>45372</c:v>
                </c:pt>
                <c:pt idx="83">
                  <c:v>45371</c:v>
                </c:pt>
                <c:pt idx="84">
                  <c:v>45370</c:v>
                </c:pt>
                <c:pt idx="85">
                  <c:v>45369</c:v>
                </c:pt>
                <c:pt idx="86">
                  <c:v>45366</c:v>
                </c:pt>
                <c:pt idx="87">
                  <c:v>45365</c:v>
                </c:pt>
                <c:pt idx="88">
                  <c:v>45364</c:v>
                </c:pt>
                <c:pt idx="89">
                  <c:v>45363</c:v>
                </c:pt>
                <c:pt idx="90">
                  <c:v>45362</c:v>
                </c:pt>
                <c:pt idx="91">
                  <c:v>45359</c:v>
                </c:pt>
                <c:pt idx="92">
                  <c:v>45358</c:v>
                </c:pt>
                <c:pt idx="93">
                  <c:v>45357</c:v>
                </c:pt>
                <c:pt idx="94">
                  <c:v>45356</c:v>
                </c:pt>
                <c:pt idx="95">
                  <c:v>45355</c:v>
                </c:pt>
                <c:pt idx="96">
                  <c:v>45352</c:v>
                </c:pt>
                <c:pt idx="97">
                  <c:v>45351</c:v>
                </c:pt>
                <c:pt idx="98">
                  <c:v>45350</c:v>
                </c:pt>
                <c:pt idx="99">
                  <c:v>45349</c:v>
                </c:pt>
                <c:pt idx="100">
                  <c:v>45348</c:v>
                </c:pt>
                <c:pt idx="101">
                  <c:v>45345</c:v>
                </c:pt>
                <c:pt idx="102">
                  <c:v>45344</c:v>
                </c:pt>
                <c:pt idx="103">
                  <c:v>45343</c:v>
                </c:pt>
                <c:pt idx="104">
                  <c:v>45342</c:v>
                </c:pt>
                <c:pt idx="105">
                  <c:v>45341</c:v>
                </c:pt>
                <c:pt idx="106">
                  <c:v>45338</c:v>
                </c:pt>
                <c:pt idx="107">
                  <c:v>45337</c:v>
                </c:pt>
                <c:pt idx="108">
                  <c:v>45329</c:v>
                </c:pt>
                <c:pt idx="109">
                  <c:v>45328</c:v>
                </c:pt>
                <c:pt idx="110">
                  <c:v>45327</c:v>
                </c:pt>
                <c:pt idx="111">
                  <c:v>45324</c:v>
                </c:pt>
                <c:pt idx="112">
                  <c:v>45323</c:v>
                </c:pt>
                <c:pt idx="113">
                  <c:v>45322</c:v>
                </c:pt>
                <c:pt idx="114">
                  <c:v>45321</c:v>
                </c:pt>
                <c:pt idx="115">
                  <c:v>45320</c:v>
                </c:pt>
                <c:pt idx="116">
                  <c:v>45317</c:v>
                </c:pt>
                <c:pt idx="117">
                  <c:v>45316</c:v>
                </c:pt>
                <c:pt idx="118">
                  <c:v>45315</c:v>
                </c:pt>
                <c:pt idx="119">
                  <c:v>45314</c:v>
                </c:pt>
                <c:pt idx="120">
                  <c:v>45313</c:v>
                </c:pt>
                <c:pt idx="121">
                  <c:v>45310</c:v>
                </c:pt>
                <c:pt idx="122">
                  <c:v>45309</c:v>
                </c:pt>
                <c:pt idx="123">
                  <c:v>45308</c:v>
                </c:pt>
                <c:pt idx="124">
                  <c:v>45307</c:v>
                </c:pt>
                <c:pt idx="125">
                  <c:v>45306</c:v>
                </c:pt>
                <c:pt idx="126">
                  <c:v>45303</c:v>
                </c:pt>
                <c:pt idx="127">
                  <c:v>45302</c:v>
                </c:pt>
                <c:pt idx="128">
                  <c:v>45301</c:v>
                </c:pt>
                <c:pt idx="129">
                  <c:v>45300</c:v>
                </c:pt>
                <c:pt idx="130">
                  <c:v>45299</c:v>
                </c:pt>
                <c:pt idx="131">
                  <c:v>45296</c:v>
                </c:pt>
                <c:pt idx="132">
                  <c:v>45295</c:v>
                </c:pt>
                <c:pt idx="133">
                  <c:v>45294</c:v>
                </c:pt>
                <c:pt idx="134">
                  <c:v>45293</c:v>
                </c:pt>
                <c:pt idx="135">
                  <c:v>45289</c:v>
                </c:pt>
                <c:pt idx="136">
                  <c:v>45288</c:v>
                </c:pt>
                <c:pt idx="137">
                  <c:v>45287</c:v>
                </c:pt>
                <c:pt idx="138">
                  <c:v>45286</c:v>
                </c:pt>
                <c:pt idx="139">
                  <c:v>45285</c:v>
                </c:pt>
                <c:pt idx="140">
                  <c:v>45282</c:v>
                </c:pt>
                <c:pt idx="141">
                  <c:v>45281</c:v>
                </c:pt>
                <c:pt idx="142">
                  <c:v>45280</c:v>
                </c:pt>
                <c:pt idx="143">
                  <c:v>45279</c:v>
                </c:pt>
                <c:pt idx="144">
                  <c:v>45278</c:v>
                </c:pt>
                <c:pt idx="145">
                  <c:v>45275</c:v>
                </c:pt>
                <c:pt idx="146">
                  <c:v>45274</c:v>
                </c:pt>
                <c:pt idx="147">
                  <c:v>45273</c:v>
                </c:pt>
                <c:pt idx="148">
                  <c:v>45272</c:v>
                </c:pt>
                <c:pt idx="149">
                  <c:v>45271</c:v>
                </c:pt>
                <c:pt idx="150">
                  <c:v>45268</c:v>
                </c:pt>
                <c:pt idx="151">
                  <c:v>45267</c:v>
                </c:pt>
                <c:pt idx="152">
                  <c:v>45266</c:v>
                </c:pt>
                <c:pt idx="153">
                  <c:v>45265</c:v>
                </c:pt>
                <c:pt idx="154">
                  <c:v>45264</c:v>
                </c:pt>
                <c:pt idx="155">
                  <c:v>45261</c:v>
                </c:pt>
                <c:pt idx="156">
                  <c:v>45260</c:v>
                </c:pt>
                <c:pt idx="157">
                  <c:v>45259</c:v>
                </c:pt>
                <c:pt idx="158">
                  <c:v>45258</c:v>
                </c:pt>
                <c:pt idx="159">
                  <c:v>45257</c:v>
                </c:pt>
                <c:pt idx="160">
                  <c:v>45254</c:v>
                </c:pt>
                <c:pt idx="161">
                  <c:v>45253</c:v>
                </c:pt>
                <c:pt idx="162">
                  <c:v>45252</c:v>
                </c:pt>
                <c:pt idx="163">
                  <c:v>45251</c:v>
                </c:pt>
                <c:pt idx="164">
                  <c:v>45250</c:v>
                </c:pt>
                <c:pt idx="165">
                  <c:v>45247</c:v>
                </c:pt>
                <c:pt idx="166">
                  <c:v>45246</c:v>
                </c:pt>
                <c:pt idx="167">
                  <c:v>45245</c:v>
                </c:pt>
                <c:pt idx="168">
                  <c:v>45244</c:v>
                </c:pt>
                <c:pt idx="169">
                  <c:v>45243</c:v>
                </c:pt>
                <c:pt idx="170">
                  <c:v>45240</c:v>
                </c:pt>
                <c:pt idx="171">
                  <c:v>45239</c:v>
                </c:pt>
                <c:pt idx="172">
                  <c:v>45238</c:v>
                </c:pt>
                <c:pt idx="173">
                  <c:v>45237</c:v>
                </c:pt>
                <c:pt idx="174">
                  <c:v>45236</c:v>
                </c:pt>
                <c:pt idx="175">
                  <c:v>45233</c:v>
                </c:pt>
                <c:pt idx="176">
                  <c:v>45232</c:v>
                </c:pt>
                <c:pt idx="177">
                  <c:v>45231</c:v>
                </c:pt>
                <c:pt idx="178">
                  <c:v>45230</c:v>
                </c:pt>
                <c:pt idx="179">
                  <c:v>45229</c:v>
                </c:pt>
                <c:pt idx="180">
                  <c:v>45226</c:v>
                </c:pt>
                <c:pt idx="181">
                  <c:v>45225</c:v>
                </c:pt>
                <c:pt idx="182">
                  <c:v>45224</c:v>
                </c:pt>
                <c:pt idx="183">
                  <c:v>45223</c:v>
                </c:pt>
                <c:pt idx="184">
                  <c:v>45222</c:v>
                </c:pt>
                <c:pt idx="185">
                  <c:v>45219</c:v>
                </c:pt>
                <c:pt idx="186">
                  <c:v>45218</c:v>
                </c:pt>
                <c:pt idx="187">
                  <c:v>45217</c:v>
                </c:pt>
                <c:pt idx="188">
                  <c:v>45216</c:v>
                </c:pt>
                <c:pt idx="189">
                  <c:v>45215</c:v>
                </c:pt>
                <c:pt idx="190">
                  <c:v>45212</c:v>
                </c:pt>
                <c:pt idx="191">
                  <c:v>45211</c:v>
                </c:pt>
                <c:pt idx="192">
                  <c:v>45210</c:v>
                </c:pt>
                <c:pt idx="193">
                  <c:v>45209</c:v>
                </c:pt>
                <c:pt idx="194">
                  <c:v>45208</c:v>
                </c:pt>
                <c:pt idx="195">
                  <c:v>45205</c:v>
                </c:pt>
                <c:pt idx="196">
                  <c:v>45204</c:v>
                </c:pt>
                <c:pt idx="197">
                  <c:v>45203</c:v>
                </c:pt>
                <c:pt idx="198">
                  <c:v>45202</c:v>
                </c:pt>
                <c:pt idx="199">
                  <c:v>45201</c:v>
                </c:pt>
                <c:pt idx="200">
                  <c:v>45198</c:v>
                </c:pt>
                <c:pt idx="201">
                  <c:v>45197</c:v>
                </c:pt>
                <c:pt idx="202">
                  <c:v>45196</c:v>
                </c:pt>
                <c:pt idx="203">
                  <c:v>45195</c:v>
                </c:pt>
                <c:pt idx="204">
                  <c:v>45194</c:v>
                </c:pt>
                <c:pt idx="205">
                  <c:v>45191</c:v>
                </c:pt>
                <c:pt idx="206">
                  <c:v>45190</c:v>
                </c:pt>
                <c:pt idx="207">
                  <c:v>45189</c:v>
                </c:pt>
                <c:pt idx="208">
                  <c:v>45188</c:v>
                </c:pt>
                <c:pt idx="209">
                  <c:v>45187</c:v>
                </c:pt>
                <c:pt idx="210">
                  <c:v>45184</c:v>
                </c:pt>
                <c:pt idx="211">
                  <c:v>45183</c:v>
                </c:pt>
                <c:pt idx="212">
                  <c:v>45182</c:v>
                </c:pt>
                <c:pt idx="213">
                  <c:v>45181</c:v>
                </c:pt>
                <c:pt idx="214">
                  <c:v>45180</c:v>
                </c:pt>
                <c:pt idx="215">
                  <c:v>45177</c:v>
                </c:pt>
                <c:pt idx="216">
                  <c:v>45176</c:v>
                </c:pt>
                <c:pt idx="217">
                  <c:v>45175</c:v>
                </c:pt>
                <c:pt idx="218">
                  <c:v>45174</c:v>
                </c:pt>
                <c:pt idx="219">
                  <c:v>45169</c:v>
                </c:pt>
                <c:pt idx="220">
                  <c:v>45168</c:v>
                </c:pt>
                <c:pt idx="221">
                  <c:v>45167</c:v>
                </c:pt>
                <c:pt idx="222">
                  <c:v>45166</c:v>
                </c:pt>
                <c:pt idx="223">
                  <c:v>45163</c:v>
                </c:pt>
                <c:pt idx="224">
                  <c:v>45162</c:v>
                </c:pt>
                <c:pt idx="225">
                  <c:v>45161</c:v>
                </c:pt>
                <c:pt idx="226">
                  <c:v>45160</c:v>
                </c:pt>
                <c:pt idx="227">
                  <c:v>45159</c:v>
                </c:pt>
                <c:pt idx="228">
                  <c:v>45156</c:v>
                </c:pt>
                <c:pt idx="229">
                  <c:v>45155</c:v>
                </c:pt>
                <c:pt idx="230">
                  <c:v>45154</c:v>
                </c:pt>
                <c:pt idx="231">
                  <c:v>45153</c:v>
                </c:pt>
                <c:pt idx="232">
                  <c:v>45152</c:v>
                </c:pt>
                <c:pt idx="233">
                  <c:v>45149</c:v>
                </c:pt>
                <c:pt idx="234">
                  <c:v>45148</c:v>
                </c:pt>
                <c:pt idx="235">
                  <c:v>45147</c:v>
                </c:pt>
                <c:pt idx="236">
                  <c:v>45146</c:v>
                </c:pt>
                <c:pt idx="237">
                  <c:v>45145</c:v>
                </c:pt>
                <c:pt idx="238">
                  <c:v>45142</c:v>
                </c:pt>
                <c:pt idx="239">
                  <c:v>45141</c:v>
                </c:pt>
                <c:pt idx="240">
                  <c:v>45140</c:v>
                </c:pt>
                <c:pt idx="241">
                  <c:v>45139</c:v>
                </c:pt>
                <c:pt idx="242">
                  <c:v>45138</c:v>
                </c:pt>
                <c:pt idx="243">
                  <c:v>45135</c:v>
                </c:pt>
                <c:pt idx="244">
                  <c:v>45134</c:v>
                </c:pt>
                <c:pt idx="245">
                  <c:v>45133</c:v>
                </c:pt>
                <c:pt idx="246">
                  <c:v>45132</c:v>
                </c:pt>
                <c:pt idx="247">
                  <c:v>45131</c:v>
                </c:pt>
                <c:pt idx="248">
                  <c:v>45128</c:v>
                </c:pt>
                <c:pt idx="249">
                  <c:v>45127</c:v>
                </c:pt>
                <c:pt idx="250">
                  <c:v>45126</c:v>
                </c:pt>
                <c:pt idx="251">
                  <c:v>45125</c:v>
                </c:pt>
                <c:pt idx="252">
                  <c:v>45124</c:v>
                </c:pt>
                <c:pt idx="253">
                  <c:v>45121</c:v>
                </c:pt>
                <c:pt idx="254">
                  <c:v>45120</c:v>
                </c:pt>
                <c:pt idx="255">
                  <c:v>45119</c:v>
                </c:pt>
                <c:pt idx="256">
                  <c:v>45118</c:v>
                </c:pt>
                <c:pt idx="257">
                  <c:v>45117</c:v>
                </c:pt>
                <c:pt idx="258">
                  <c:v>45114</c:v>
                </c:pt>
                <c:pt idx="259">
                  <c:v>45113</c:v>
                </c:pt>
                <c:pt idx="260">
                  <c:v>45112</c:v>
                </c:pt>
                <c:pt idx="261">
                  <c:v>45111</c:v>
                </c:pt>
                <c:pt idx="262">
                  <c:v>45110</c:v>
                </c:pt>
                <c:pt idx="263">
                  <c:v>45107</c:v>
                </c:pt>
                <c:pt idx="264">
                  <c:v>45106</c:v>
                </c:pt>
                <c:pt idx="265">
                  <c:v>45105</c:v>
                </c:pt>
                <c:pt idx="266">
                  <c:v>45104</c:v>
                </c:pt>
                <c:pt idx="267">
                  <c:v>45103</c:v>
                </c:pt>
                <c:pt idx="268">
                  <c:v>45100</c:v>
                </c:pt>
                <c:pt idx="269">
                  <c:v>45099</c:v>
                </c:pt>
                <c:pt idx="270">
                  <c:v>45098</c:v>
                </c:pt>
                <c:pt idx="271">
                  <c:v>45097</c:v>
                </c:pt>
                <c:pt idx="272">
                  <c:v>45096</c:v>
                </c:pt>
                <c:pt idx="273">
                  <c:v>45093</c:v>
                </c:pt>
                <c:pt idx="274">
                  <c:v>45092</c:v>
                </c:pt>
                <c:pt idx="275">
                  <c:v>45091</c:v>
                </c:pt>
                <c:pt idx="276">
                  <c:v>45090</c:v>
                </c:pt>
                <c:pt idx="277">
                  <c:v>45089</c:v>
                </c:pt>
                <c:pt idx="278">
                  <c:v>45086</c:v>
                </c:pt>
                <c:pt idx="279">
                  <c:v>45085</c:v>
                </c:pt>
                <c:pt idx="280">
                  <c:v>45084</c:v>
                </c:pt>
                <c:pt idx="281">
                  <c:v>45083</c:v>
                </c:pt>
                <c:pt idx="282">
                  <c:v>45082</c:v>
                </c:pt>
                <c:pt idx="283">
                  <c:v>45079</c:v>
                </c:pt>
                <c:pt idx="284">
                  <c:v>45078</c:v>
                </c:pt>
                <c:pt idx="285">
                  <c:v>45077</c:v>
                </c:pt>
                <c:pt idx="286">
                  <c:v>45076</c:v>
                </c:pt>
                <c:pt idx="287">
                  <c:v>45075</c:v>
                </c:pt>
                <c:pt idx="288">
                  <c:v>45072</c:v>
                </c:pt>
                <c:pt idx="289">
                  <c:v>45071</c:v>
                </c:pt>
                <c:pt idx="290">
                  <c:v>45070</c:v>
                </c:pt>
                <c:pt idx="291">
                  <c:v>45069</c:v>
                </c:pt>
                <c:pt idx="292">
                  <c:v>45068</c:v>
                </c:pt>
                <c:pt idx="293">
                  <c:v>45065</c:v>
                </c:pt>
                <c:pt idx="294">
                  <c:v>45064</c:v>
                </c:pt>
                <c:pt idx="295">
                  <c:v>45063</c:v>
                </c:pt>
                <c:pt idx="296">
                  <c:v>45062</c:v>
                </c:pt>
                <c:pt idx="297">
                  <c:v>45061</c:v>
                </c:pt>
                <c:pt idx="298">
                  <c:v>45058</c:v>
                </c:pt>
                <c:pt idx="299">
                  <c:v>45057</c:v>
                </c:pt>
                <c:pt idx="300">
                  <c:v>45056</c:v>
                </c:pt>
                <c:pt idx="301">
                  <c:v>45055</c:v>
                </c:pt>
                <c:pt idx="302">
                  <c:v>45054</c:v>
                </c:pt>
                <c:pt idx="303">
                  <c:v>45051</c:v>
                </c:pt>
                <c:pt idx="304">
                  <c:v>45050</c:v>
                </c:pt>
                <c:pt idx="305">
                  <c:v>45044</c:v>
                </c:pt>
                <c:pt idx="306">
                  <c:v>45043</c:v>
                </c:pt>
                <c:pt idx="307">
                  <c:v>45042</c:v>
                </c:pt>
                <c:pt idx="308">
                  <c:v>45041</c:v>
                </c:pt>
                <c:pt idx="309">
                  <c:v>45040</c:v>
                </c:pt>
                <c:pt idx="310">
                  <c:v>45037</c:v>
                </c:pt>
                <c:pt idx="311">
                  <c:v>45036</c:v>
                </c:pt>
                <c:pt idx="312">
                  <c:v>45035</c:v>
                </c:pt>
                <c:pt idx="313">
                  <c:v>45034</c:v>
                </c:pt>
                <c:pt idx="314">
                  <c:v>45033</c:v>
                </c:pt>
                <c:pt idx="315">
                  <c:v>45030</c:v>
                </c:pt>
                <c:pt idx="316">
                  <c:v>45029</c:v>
                </c:pt>
                <c:pt idx="317">
                  <c:v>45028</c:v>
                </c:pt>
                <c:pt idx="318">
                  <c:v>45027</c:v>
                </c:pt>
                <c:pt idx="319">
                  <c:v>45026</c:v>
                </c:pt>
                <c:pt idx="320">
                  <c:v>45023</c:v>
                </c:pt>
                <c:pt idx="321">
                  <c:v>45022</c:v>
                </c:pt>
                <c:pt idx="322">
                  <c:v>45021</c:v>
                </c:pt>
                <c:pt idx="323">
                  <c:v>45020</c:v>
                </c:pt>
                <c:pt idx="324">
                  <c:v>45019</c:v>
                </c:pt>
                <c:pt idx="325">
                  <c:v>45016</c:v>
                </c:pt>
                <c:pt idx="326">
                  <c:v>45015</c:v>
                </c:pt>
                <c:pt idx="327">
                  <c:v>45014</c:v>
                </c:pt>
                <c:pt idx="328">
                  <c:v>45013</c:v>
                </c:pt>
                <c:pt idx="329">
                  <c:v>45012</c:v>
                </c:pt>
                <c:pt idx="330">
                  <c:v>45009</c:v>
                </c:pt>
                <c:pt idx="331">
                  <c:v>45008</c:v>
                </c:pt>
                <c:pt idx="332">
                  <c:v>45007</c:v>
                </c:pt>
                <c:pt idx="333">
                  <c:v>45006</c:v>
                </c:pt>
                <c:pt idx="334">
                  <c:v>45005</c:v>
                </c:pt>
                <c:pt idx="335">
                  <c:v>45002</c:v>
                </c:pt>
                <c:pt idx="336">
                  <c:v>45001</c:v>
                </c:pt>
                <c:pt idx="337">
                  <c:v>45000</c:v>
                </c:pt>
                <c:pt idx="338">
                  <c:v>44999</c:v>
                </c:pt>
                <c:pt idx="339">
                  <c:v>44998</c:v>
                </c:pt>
                <c:pt idx="340">
                  <c:v>44995</c:v>
                </c:pt>
                <c:pt idx="341">
                  <c:v>44994</c:v>
                </c:pt>
                <c:pt idx="342">
                  <c:v>44993</c:v>
                </c:pt>
                <c:pt idx="343">
                  <c:v>44992</c:v>
                </c:pt>
                <c:pt idx="344">
                  <c:v>44991</c:v>
                </c:pt>
                <c:pt idx="345">
                  <c:v>44988</c:v>
                </c:pt>
                <c:pt idx="346">
                  <c:v>44987</c:v>
                </c:pt>
                <c:pt idx="347">
                  <c:v>44986</c:v>
                </c:pt>
                <c:pt idx="348">
                  <c:v>44985</c:v>
                </c:pt>
                <c:pt idx="349">
                  <c:v>44984</c:v>
                </c:pt>
                <c:pt idx="350">
                  <c:v>44981</c:v>
                </c:pt>
                <c:pt idx="351">
                  <c:v>44980</c:v>
                </c:pt>
                <c:pt idx="352">
                  <c:v>44979</c:v>
                </c:pt>
                <c:pt idx="353">
                  <c:v>44978</c:v>
                </c:pt>
                <c:pt idx="354">
                  <c:v>44977</c:v>
                </c:pt>
                <c:pt idx="355">
                  <c:v>44974</c:v>
                </c:pt>
                <c:pt idx="356">
                  <c:v>44973</c:v>
                </c:pt>
                <c:pt idx="357">
                  <c:v>44972</c:v>
                </c:pt>
                <c:pt idx="358">
                  <c:v>44971</c:v>
                </c:pt>
                <c:pt idx="359">
                  <c:v>44970</c:v>
                </c:pt>
                <c:pt idx="360">
                  <c:v>44967</c:v>
                </c:pt>
                <c:pt idx="361">
                  <c:v>44966</c:v>
                </c:pt>
                <c:pt idx="362">
                  <c:v>44965</c:v>
                </c:pt>
                <c:pt idx="363">
                  <c:v>44964</c:v>
                </c:pt>
                <c:pt idx="364">
                  <c:v>44963</c:v>
                </c:pt>
                <c:pt idx="365">
                  <c:v>44960</c:v>
                </c:pt>
                <c:pt idx="366">
                  <c:v>44959</c:v>
                </c:pt>
                <c:pt idx="367">
                  <c:v>44958</c:v>
                </c:pt>
                <c:pt idx="368">
                  <c:v>44957</c:v>
                </c:pt>
                <c:pt idx="369">
                  <c:v>44956</c:v>
                </c:pt>
                <c:pt idx="370">
                  <c:v>44953</c:v>
                </c:pt>
                <c:pt idx="371">
                  <c:v>44945</c:v>
                </c:pt>
                <c:pt idx="372">
                  <c:v>44944</c:v>
                </c:pt>
                <c:pt idx="373">
                  <c:v>44943</c:v>
                </c:pt>
                <c:pt idx="374">
                  <c:v>44942</c:v>
                </c:pt>
                <c:pt idx="375">
                  <c:v>44939</c:v>
                </c:pt>
                <c:pt idx="376">
                  <c:v>44938</c:v>
                </c:pt>
                <c:pt idx="377">
                  <c:v>44937</c:v>
                </c:pt>
                <c:pt idx="378">
                  <c:v>44936</c:v>
                </c:pt>
                <c:pt idx="379">
                  <c:v>44935</c:v>
                </c:pt>
                <c:pt idx="380">
                  <c:v>44932</c:v>
                </c:pt>
                <c:pt idx="381">
                  <c:v>44931</c:v>
                </c:pt>
                <c:pt idx="382">
                  <c:v>44930</c:v>
                </c:pt>
                <c:pt idx="383">
                  <c:v>44929</c:v>
                </c:pt>
              </c:numCache>
            </c:numRef>
          </c:cat>
          <c:val>
            <c:numRef>
              <c:f>Diamond!$AC$3:$AC$386</c:f>
              <c:numCache>
                <c:formatCode>_(* #,##0_);_(* \(#,##0\);_(* "-"??_);_(@_)</c:formatCode>
                <c:ptCount val="384"/>
              </c:numCache>
            </c:numRef>
          </c:val>
          <c:smooth val="0"/>
          <c:extLst>
            <c:ext xmlns:c16="http://schemas.microsoft.com/office/drawing/2014/chart" uri="{C3380CC4-5D6E-409C-BE32-E72D297353CC}">
              <c16:uniqueId val="{00000005-C958-45AE-92D3-CEBA07ABC668}"/>
            </c:ext>
          </c:extLst>
        </c:ser>
        <c:dLbls>
          <c:showLegendKey val="0"/>
          <c:showVal val="0"/>
          <c:showCatName val="0"/>
          <c:showSerName val="0"/>
          <c:showPercent val="0"/>
          <c:showBubbleSize val="0"/>
        </c:dLbls>
        <c:marker val="1"/>
        <c:smooth val="0"/>
        <c:axId val="233257096"/>
        <c:axId val="233254936"/>
      </c:lineChart>
      <c:dateAx>
        <c:axId val="233243416"/>
        <c:scaling>
          <c:orientation val="minMax"/>
        </c:scaling>
        <c:delete val="0"/>
        <c:axPos val="b"/>
        <c:numFmt formatCode="m/d/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Calibri (Body)"/>
                <a:ea typeface="+mn-ea"/>
                <a:cs typeface="+mn-cs"/>
                <a:sym typeface="Wingdings 2" panose="05020102010507070707" pitchFamily="18" charset="2"/>
              </a:defRPr>
            </a:pPr>
            <a:endParaRPr lang="vi-VN"/>
          </a:p>
        </c:txPr>
        <c:crossAx val="233247376"/>
        <c:crosses val="autoZero"/>
        <c:auto val="1"/>
        <c:lblOffset val="100"/>
        <c:baseTimeUnit val="days"/>
      </c:dateAx>
      <c:valAx>
        <c:axId val="233247376"/>
        <c:scaling>
          <c:orientation val="minMax"/>
          <c:max val="10000"/>
        </c:scaling>
        <c:delete val="0"/>
        <c:axPos val="l"/>
        <c:title>
          <c:tx>
            <c:rich>
              <a:bodyPr rot="-5400000" spcFirstLastPara="1" vertOverflow="ellipsis" vert="horz" wrap="square" anchor="ctr" anchorCtr="1"/>
              <a:lstStyle/>
              <a:p>
                <a:pPr>
                  <a:defRPr sz="800" b="0" i="0" u="none" strike="noStrike" kern="1200" baseline="0">
                    <a:solidFill>
                      <a:schemeClr val="tx1">
                        <a:lumMod val="65000"/>
                        <a:lumOff val="35000"/>
                      </a:schemeClr>
                    </a:solidFill>
                    <a:latin typeface="Calibri (Body)"/>
                    <a:ea typeface="+mn-ea"/>
                    <a:cs typeface="+mn-cs"/>
                    <a:sym typeface="Wingdings 2" panose="05020102010507070707" pitchFamily="18" charset="2"/>
                  </a:defRPr>
                </a:pPr>
                <a:r>
                  <a:rPr lang="en-US"/>
                  <a:t>LNST (Tỷ</a:t>
                </a:r>
                <a:r>
                  <a:rPr lang="en-US" baseline="0"/>
                  <a:t> VND)</a:t>
                </a:r>
                <a:endParaRPr lang="en-US"/>
              </a:p>
            </c:rich>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Calibri (Body)"/>
                  <a:ea typeface="+mn-ea"/>
                  <a:cs typeface="+mn-cs"/>
                  <a:sym typeface="Wingdings 2" panose="05020102010507070707" pitchFamily="18" charset="2"/>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Calibri (Body)"/>
                <a:ea typeface="+mn-ea"/>
                <a:cs typeface="+mn-cs"/>
                <a:sym typeface="Wingdings 2" panose="05020102010507070707" pitchFamily="18" charset="2"/>
              </a:defRPr>
            </a:pPr>
            <a:endParaRPr lang="vi-VN"/>
          </a:p>
        </c:txPr>
        <c:crossAx val="233243416"/>
        <c:crosses val="autoZero"/>
        <c:crossBetween val="between"/>
      </c:valAx>
      <c:valAx>
        <c:axId val="233254936"/>
        <c:scaling>
          <c:orientation val="minMax"/>
          <c:max val="150"/>
          <c:min val="0"/>
        </c:scaling>
        <c:delete val="0"/>
        <c:axPos val="r"/>
        <c:title>
          <c:tx>
            <c:rich>
              <a:bodyPr rot="-5400000" spcFirstLastPara="1" vertOverflow="ellipsis" vert="horz" wrap="square" anchor="ctr" anchorCtr="1"/>
              <a:lstStyle/>
              <a:p>
                <a:pPr>
                  <a:defRPr sz="800" b="0" i="0" u="none" strike="noStrike" kern="1200" baseline="0">
                    <a:solidFill>
                      <a:schemeClr val="tx1">
                        <a:lumMod val="65000"/>
                        <a:lumOff val="35000"/>
                      </a:schemeClr>
                    </a:solidFill>
                    <a:latin typeface="Calibri (Body)"/>
                    <a:ea typeface="+mn-ea"/>
                    <a:cs typeface="+mn-cs"/>
                    <a:sym typeface="Wingdings 2" panose="05020102010507070707" pitchFamily="18" charset="2"/>
                  </a:defRPr>
                </a:pPr>
                <a:r>
                  <a:rPr lang="en-US"/>
                  <a:t>PE</a:t>
                </a:r>
                <a:r>
                  <a:rPr lang="en-US" baseline="0"/>
                  <a:t> (lần)</a:t>
                </a:r>
                <a:endParaRPr lang="en-US"/>
              </a:p>
            </c:rich>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Calibri (Body)"/>
                  <a:ea typeface="+mn-ea"/>
                  <a:cs typeface="+mn-cs"/>
                  <a:sym typeface="Wingdings 2" panose="05020102010507070707" pitchFamily="18" charset="2"/>
                </a:defRPr>
              </a:pPr>
              <a:endParaRPr lang="en-US"/>
            </a:p>
          </c:txPr>
        </c:title>
        <c:numFmt formatCode="_(* #,##0_);_(* \(#,##0\);_(* &quot;-&quot;_);_(@_)" sourceLinked="0"/>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Calibri (Body)"/>
                <a:ea typeface="+mn-ea"/>
                <a:cs typeface="+mn-cs"/>
                <a:sym typeface="Wingdings 2" panose="05020102010507070707" pitchFamily="18" charset="2"/>
              </a:defRPr>
            </a:pPr>
            <a:endParaRPr lang="vi-VN"/>
          </a:p>
        </c:txPr>
        <c:crossAx val="233257096"/>
        <c:crosses val="max"/>
        <c:crossBetween val="between"/>
      </c:valAx>
      <c:dateAx>
        <c:axId val="233257096"/>
        <c:scaling>
          <c:orientation val="minMax"/>
        </c:scaling>
        <c:delete val="1"/>
        <c:axPos val="b"/>
        <c:numFmt formatCode="m/d/yy" sourceLinked="1"/>
        <c:majorTickMark val="out"/>
        <c:minorTickMark val="none"/>
        <c:tickLblPos val="nextTo"/>
        <c:crossAx val="233254936"/>
        <c:crosses val="autoZero"/>
        <c:auto val="1"/>
        <c:lblOffset val="100"/>
        <c:baseTimeUnit val="days"/>
      </c:dateAx>
      <c:spPr>
        <a:noFill/>
        <a:ln>
          <a:noFill/>
        </a:ln>
        <a:effectLst/>
      </c:spPr>
    </c:plotArea>
    <c:legend>
      <c:legendPos val="b"/>
      <c:legendEntry>
        <c:idx val="1"/>
        <c:delete val="1"/>
      </c:legendEntry>
      <c:legendEntry>
        <c:idx val="3"/>
        <c:delete val="1"/>
      </c:legendEntry>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Calibri (Body)"/>
              <a:ea typeface="+mn-ea"/>
              <a:cs typeface="+mn-cs"/>
              <a:sym typeface="Wingdings 2" panose="05020102010507070707" pitchFamily="18" charset="2"/>
            </a:defRPr>
          </a:pPr>
          <a:endParaRPr lang="vi-VN"/>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sz="800">
          <a:latin typeface="Calibri (Body)"/>
          <a:sym typeface="Wingdings 2" panose="05020102010507070707" pitchFamily="18" charset="2"/>
        </a:defRPr>
      </a:pPr>
      <a:endParaRPr lang="vi-VN"/>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387974074231123"/>
          <c:y val="0.31435843856681905"/>
          <c:w val="0.79981631726012414"/>
          <c:h val="0.49028816136546294"/>
        </c:manualLayout>
      </c:layout>
      <c:areaChart>
        <c:grouping val="standard"/>
        <c:varyColors val="0"/>
        <c:ser>
          <c:idx val="2"/>
          <c:order val="2"/>
          <c:tx>
            <c:strRef>
              <c:f>Diamond!$O$2</c:f>
              <c:strCache>
                <c:ptCount val="1"/>
                <c:pt idx="0">
                  <c:v> Lợi nhuận sau thuế trượt (Tỷ VND) </c:v>
                </c:pt>
              </c:strCache>
            </c:strRef>
          </c:tx>
          <c:spPr>
            <a:solidFill>
              <a:schemeClr val="tx2">
                <a:lumMod val="20000"/>
                <a:lumOff val="80000"/>
              </a:schemeClr>
            </a:solidFill>
            <a:ln w="22225">
              <a:noFill/>
              <a:tailEnd type="none"/>
            </a:ln>
            <a:effectLst/>
          </c:spPr>
          <c:cat>
            <c:numRef>
              <c:f>Diamond!$L$3:$L$481</c:f>
              <c:numCache>
                <c:formatCode>m/d/yy</c:formatCode>
                <c:ptCount val="479"/>
                <c:pt idx="0">
                  <c:v>44929</c:v>
                </c:pt>
                <c:pt idx="1">
                  <c:v>44930</c:v>
                </c:pt>
                <c:pt idx="2">
                  <c:v>44931</c:v>
                </c:pt>
                <c:pt idx="3">
                  <c:v>44932</c:v>
                </c:pt>
                <c:pt idx="4">
                  <c:v>44935</c:v>
                </c:pt>
                <c:pt idx="5">
                  <c:v>44936</c:v>
                </c:pt>
                <c:pt idx="6">
                  <c:v>44937</c:v>
                </c:pt>
                <c:pt idx="7">
                  <c:v>44938</c:v>
                </c:pt>
                <c:pt idx="8">
                  <c:v>44939</c:v>
                </c:pt>
                <c:pt idx="9">
                  <c:v>44942</c:v>
                </c:pt>
                <c:pt idx="10">
                  <c:v>44943</c:v>
                </c:pt>
                <c:pt idx="11">
                  <c:v>44944</c:v>
                </c:pt>
                <c:pt idx="12">
                  <c:v>44945</c:v>
                </c:pt>
                <c:pt idx="13">
                  <c:v>44953</c:v>
                </c:pt>
                <c:pt idx="14">
                  <c:v>44956</c:v>
                </c:pt>
                <c:pt idx="15">
                  <c:v>44957</c:v>
                </c:pt>
                <c:pt idx="16">
                  <c:v>44958</c:v>
                </c:pt>
                <c:pt idx="17">
                  <c:v>44959</c:v>
                </c:pt>
                <c:pt idx="18">
                  <c:v>44960</c:v>
                </c:pt>
                <c:pt idx="19">
                  <c:v>44963</c:v>
                </c:pt>
                <c:pt idx="20">
                  <c:v>44964</c:v>
                </c:pt>
                <c:pt idx="21">
                  <c:v>44965</c:v>
                </c:pt>
                <c:pt idx="22">
                  <c:v>44966</c:v>
                </c:pt>
                <c:pt idx="23">
                  <c:v>44967</c:v>
                </c:pt>
                <c:pt idx="24">
                  <c:v>44970</c:v>
                </c:pt>
                <c:pt idx="25">
                  <c:v>44971</c:v>
                </c:pt>
                <c:pt idx="26">
                  <c:v>44972</c:v>
                </c:pt>
                <c:pt idx="27">
                  <c:v>44973</c:v>
                </c:pt>
                <c:pt idx="28">
                  <c:v>44974</c:v>
                </c:pt>
                <c:pt idx="29">
                  <c:v>44977</c:v>
                </c:pt>
                <c:pt idx="30">
                  <c:v>44978</c:v>
                </c:pt>
                <c:pt idx="31">
                  <c:v>44979</c:v>
                </c:pt>
                <c:pt idx="32">
                  <c:v>44980</c:v>
                </c:pt>
                <c:pt idx="33">
                  <c:v>44981</c:v>
                </c:pt>
                <c:pt idx="34">
                  <c:v>44984</c:v>
                </c:pt>
                <c:pt idx="35">
                  <c:v>44985</c:v>
                </c:pt>
                <c:pt idx="36">
                  <c:v>44986</c:v>
                </c:pt>
                <c:pt idx="37">
                  <c:v>44987</c:v>
                </c:pt>
                <c:pt idx="38">
                  <c:v>44988</c:v>
                </c:pt>
                <c:pt idx="39">
                  <c:v>44991</c:v>
                </c:pt>
                <c:pt idx="40">
                  <c:v>44992</c:v>
                </c:pt>
                <c:pt idx="41">
                  <c:v>44993</c:v>
                </c:pt>
                <c:pt idx="42">
                  <c:v>44994</c:v>
                </c:pt>
                <c:pt idx="43">
                  <c:v>44995</c:v>
                </c:pt>
                <c:pt idx="44">
                  <c:v>44998</c:v>
                </c:pt>
                <c:pt idx="45">
                  <c:v>44999</c:v>
                </c:pt>
                <c:pt idx="46">
                  <c:v>45000</c:v>
                </c:pt>
                <c:pt idx="47">
                  <c:v>45001</c:v>
                </c:pt>
                <c:pt idx="48">
                  <c:v>45002</c:v>
                </c:pt>
                <c:pt idx="49">
                  <c:v>45005</c:v>
                </c:pt>
                <c:pt idx="50">
                  <c:v>45006</c:v>
                </c:pt>
                <c:pt idx="51">
                  <c:v>45007</c:v>
                </c:pt>
                <c:pt idx="52">
                  <c:v>45008</c:v>
                </c:pt>
                <c:pt idx="53">
                  <c:v>45009</c:v>
                </c:pt>
                <c:pt idx="54">
                  <c:v>45012</c:v>
                </c:pt>
                <c:pt idx="55">
                  <c:v>45013</c:v>
                </c:pt>
                <c:pt idx="56">
                  <c:v>45014</c:v>
                </c:pt>
                <c:pt idx="57">
                  <c:v>45015</c:v>
                </c:pt>
                <c:pt idx="58">
                  <c:v>45016</c:v>
                </c:pt>
                <c:pt idx="59">
                  <c:v>45019</c:v>
                </c:pt>
                <c:pt idx="60">
                  <c:v>45020</c:v>
                </c:pt>
                <c:pt idx="61">
                  <c:v>45021</c:v>
                </c:pt>
                <c:pt idx="62">
                  <c:v>45022</c:v>
                </c:pt>
                <c:pt idx="63">
                  <c:v>45023</c:v>
                </c:pt>
                <c:pt idx="64">
                  <c:v>45026</c:v>
                </c:pt>
                <c:pt idx="65">
                  <c:v>45027</c:v>
                </c:pt>
                <c:pt idx="66">
                  <c:v>45028</c:v>
                </c:pt>
                <c:pt idx="67">
                  <c:v>45029</c:v>
                </c:pt>
                <c:pt idx="68">
                  <c:v>45030</c:v>
                </c:pt>
                <c:pt idx="69">
                  <c:v>45033</c:v>
                </c:pt>
                <c:pt idx="70">
                  <c:v>45034</c:v>
                </c:pt>
                <c:pt idx="71">
                  <c:v>45035</c:v>
                </c:pt>
                <c:pt idx="72">
                  <c:v>45036</c:v>
                </c:pt>
                <c:pt idx="73">
                  <c:v>45037</c:v>
                </c:pt>
                <c:pt idx="74">
                  <c:v>45040</c:v>
                </c:pt>
                <c:pt idx="75">
                  <c:v>45041</c:v>
                </c:pt>
                <c:pt idx="76">
                  <c:v>45042</c:v>
                </c:pt>
                <c:pt idx="77">
                  <c:v>45043</c:v>
                </c:pt>
                <c:pt idx="78">
                  <c:v>45044</c:v>
                </c:pt>
                <c:pt idx="79">
                  <c:v>45050</c:v>
                </c:pt>
                <c:pt idx="80">
                  <c:v>45051</c:v>
                </c:pt>
                <c:pt idx="81">
                  <c:v>45054</c:v>
                </c:pt>
                <c:pt idx="82">
                  <c:v>45055</c:v>
                </c:pt>
                <c:pt idx="83">
                  <c:v>45056</c:v>
                </c:pt>
                <c:pt idx="84">
                  <c:v>45057</c:v>
                </c:pt>
                <c:pt idx="85">
                  <c:v>45058</c:v>
                </c:pt>
                <c:pt idx="86">
                  <c:v>45061</c:v>
                </c:pt>
                <c:pt idx="87">
                  <c:v>45062</c:v>
                </c:pt>
                <c:pt idx="88">
                  <c:v>45063</c:v>
                </c:pt>
                <c:pt idx="89">
                  <c:v>45064</c:v>
                </c:pt>
                <c:pt idx="90">
                  <c:v>45065</c:v>
                </c:pt>
                <c:pt idx="91">
                  <c:v>45068</c:v>
                </c:pt>
                <c:pt idx="92">
                  <c:v>45069</c:v>
                </c:pt>
                <c:pt idx="93">
                  <c:v>45070</c:v>
                </c:pt>
                <c:pt idx="94">
                  <c:v>45071</c:v>
                </c:pt>
                <c:pt idx="95">
                  <c:v>45072</c:v>
                </c:pt>
                <c:pt idx="96">
                  <c:v>45075</c:v>
                </c:pt>
                <c:pt idx="97">
                  <c:v>45076</c:v>
                </c:pt>
                <c:pt idx="98">
                  <c:v>45077</c:v>
                </c:pt>
                <c:pt idx="99">
                  <c:v>45078</c:v>
                </c:pt>
                <c:pt idx="100">
                  <c:v>45079</c:v>
                </c:pt>
                <c:pt idx="101">
                  <c:v>45082</c:v>
                </c:pt>
                <c:pt idx="102">
                  <c:v>45083</c:v>
                </c:pt>
                <c:pt idx="103">
                  <c:v>45084</c:v>
                </c:pt>
                <c:pt idx="104">
                  <c:v>45085</c:v>
                </c:pt>
                <c:pt idx="105">
                  <c:v>45086</c:v>
                </c:pt>
                <c:pt idx="106">
                  <c:v>45089</c:v>
                </c:pt>
                <c:pt idx="107">
                  <c:v>45090</c:v>
                </c:pt>
                <c:pt idx="108">
                  <c:v>45091</c:v>
                </c:pt>
                <c:pt idx="109">
                  <c:v>45092</c:v>
                </c:pt>
                <c:pt idx="110">
                  <c:v>45093</c:v>
                </c:pt>
                <c:pt idx="111">
                  <c:v>45096</c:v>
                </c:pt>
                <c:pt idx="112">
                  <c:v>45097</c:v>
                </c:pt>
                <c:pt idx="113">
                  <c:v>45098</c:v>
                </c:pt>
                <c:pt idx="114">
                  <c:v>45099</c:v>
                </c:pt>
                <c:pt idx="115">
                  <c:v>45100</c:v>
                </c:pt>
                <c:pt idx="116">
                  <c:v>45103</c:v>
                </c:pt>
                <c:pt idx="117">
                  <c:v>45104</c:v>
                </c:pt>
                <c:pt idx="118">
                  <c:v>45105</c:v>
                </c:pt>
                <c:pt idx="119">
                  <c:v>45106</c:v>
                </c:pt>
                <c:pt idx="120">
                  <c:v>45107</c:v>
                </c:pt>
                <c:pt idx="121">
                  <c:v>45110</c:v>
                </c:pt>
                <c:pt idx="122">
                  <c:v>45111</c:v>
                </c:pt>
                <c:pt idx="123">
                  <c:v>45112</c:v>
                </c:pt>
                <c:pt idx="124">
                  <c:v>45113</c:v>
                </c:pt>
                <c:pt idx="125">
                  <c:v>45114</c:v>
                </c:pt>
                <c:pt idx="126">
                  <c:v>45117</c:v>
                </c:pt>
                <c:pt idx="127">
                  <c:v>45118</c:v>
                </c:pt>
                <c:pt idx="128">
                  <c:v>45119</c:v>
                </c:pt>
                <c:pt idx="129">
                  <c:v>45120</c:v>
                </c:pt>
                <c:pt idx="130">
                  <c:v>45121</c:v>
                </c:pt>
                <c:pt idx="131">
                  <c:v>45124</c:v>
                </c:pt>
                <c:pt idx="132">
                  <c:v>45125</c:v>
                </c:pt>
                <c:pt idx="133">
                  <c:v>45126</c:v>
                </c:pt>
                <c:pt idx="134">
                  <c:v>45127</c:v>
                </c:pt>
                <c:pt idx="135">
                  <c:v>45128</c:v>
                </c:pt>
                <c:pt idx="136">
                  <c:v>45131</c:v>
                </c:pt>
                <c:pt idx="137">
                  <c:v>45132</c:v>
                </c:pt>
                <c:pt idx="138">
                  <c:v>45133</c:v>
                </c:pt>
                <c:pt idx="139">
                  <c:v>45134</c:v>
                </c:pt>
                <c:pt idx="140">
                  <c:v>45135</c:v>
                </c:pt>
                <c:pt idx="141">
                  <c:v>45138</c:v>
                </c:pt>
                <c:pt idx="142">
                  <c:v>45139</c:v>
                </c:pt>
                <c:pt idx="143">
                  <c:v>45140</c:v>
                </c:pt>
                <c:pt idx="144">
                  <c:v>45141</c:v>
                </c:pt>
                <c:pt idx="145">
                  <c:v>45142</c:v>
                </c:pt>
                <c:pt idx="146">
                  <c:v>45145</c:v>
                </c:pt>
                <c:pt idx="147">
                  <c:v>45146</c:v>
                </c:pt>
                <c:pt idx="148">
                  <c:v>45147</c:v>
                </c:pt>
                <c:pt idx="149">
                  <c:v>45148</c:v>
                </c:pt>
                <c:pt idx="150">
                  <c:v>45149</c:v>
                </c:pt>
                <c:pt idx="151">
                  <c:v>45152</c:v>
                </c:pt>
                <c:pt idx="152">
                  <c:v>45153</c:v>
                </c:pt>
                <c:pt idx="153">
                  <c:v>45154</c:v>
                </c:pt>
                <c:pt idx="154">
                  <c:v>45155</c:v>
                </c:pt>
                <c:pt idx="155">
                  <c:v>45156</c:v>
                </c:pt>
                <c:pt idx="156">
                  <c:v>45159</c:v>
                </c:pt>
                <c:pt idx="157">
                  <c:v>45160</c:v>
                </c:pt>
                <c:pt idx="158">
                  <c:v>45161</c:v>
                </c:pt>
                <c:pt idx="159">
                  <c:v>45162</c:v>
                </c:pt>
                <c:pt idx="160">
                  <c:v>45163</c:v>
                </c:pt>
                <c:pt idx="161">
                  <c:v>45166</c:v>
                </c:pt>
                <c:pt idx="162">
                  <c:v>45167</c:v>
                </c:pt>
                <c:pt idx="163">
                  <c:v>45168</c:v>
                </c:pt>
                <c:pt idx="164">
                  <c:v>45169</c:v>
                </c:pt>
                <c:pt idx="165">
                  <c:v>45174</c:v>
                </c:pt>
                <c:pt idx="166">
                  <c:v>45175</c:v>
                </c:pt>
                <c:pt idx="167">
                  <c:v>45176</c:v>
                </c:pt>
                <c:pt idx="168">
                  <c:v>45177</c:v>
                </c:pt>
                <c:pt idx="169">
                  <c:v>45180</c:v>
                </c:pt>
                <c:pt idx="170">
                  <c:v>45181</c:v>
                </c:pt>
                <c:pt idx="171">
                  <c:v>45182</c:v>
                </c:pt>
                <c:pt idx="172">
                  <c:v>45183</c:v>
                </c:pt>
                <c:pt idx="173">
                  <c:v>45184</c:v>
                </c:pt>
                <c:pt idx="174">
                  <c:v>45187</c:v>
                </c:pt>
                <c:pt idx="175">
                  <c:v>45188</c:v>
                </c:pt>
                <c:pt idx="176">
                  <c:v>45189</c:v>
                </c:pt>
                <c:pt idx="177">
                  <c:v>45190</c:v>
                </c:pt>
                <c:pt idx="178">
                  <c:v>45191</c:v>
                </c:pt>
                <c:pt idx="179">
                  <c:v>45194</c:v>
                </c:pt>
                <c:pt idx="180">
                  <c:v>45195</c:v>
                </c:pt>
                <c:pt idx="181">
                  <c:v>45196</c:v>
                </c:pt>
                <c:pt idx="182">
                  <c:v>45197</c:v>
                </c:pt>
                <c:pt idx="183">
                  <c:v>45198</c:v>
                </c:pt>
                <c:pt idx="184">
                  <c:v>45201</c:v>
                </c:pt>
                <c:pt idx="185">
                  <c:v>45202</c:v>
                </c:pt>
                <c:pt idx="186">
                  <c:v>45203</c:v>
                </c:pt>
                <c:pt idx="187">
                  <c:v>45204</c:v>
                </c:pt>
                <c:pt idx="188">
                  <c:v>45205</c:v>
                </c:pt>
                <c:pt idx="189">
                  <c:v>45208</c:v>
                </c:pt>
                <c:pt idx="190">
                  <c:v>45209</c:v>
                </c:pt>
                <c:pt idx="191">
                  <c:v>45210</c:v>
                </c:pt>
                <c:pt idx="192">
                  <c:v>45211</c:v>
                </c:pt>
                <c:pt idx="193">
                  <c:v>45212</c:v>
                </c:pt>
                <c:pt idx="194">
                  <c:v>45215</c:v>
                </c:pt>
                <c:pt idx="195">
                  <c:v>45216</c:v>
                </c:pt>
                <c:pt idx="196">
                  <c:v>45217</c:v>
                </c:pt>
                <c:pt idx="197">
                  <c:v>45218</c:v>
                </c:pt>
                <c:pt idx="198">
                  <c:v>45219</c:v>
                </c:pt>
                <c:pt idx="199">
                  <c:v>45222</c:v>
                </c:pt>
                <c:pt idx="200">
                  <c:v>45223</c:v>
                </c:pt>
                <c:pt idx="201">
                  <c:v>45224</c:v>
                </c:pt>
                <c:pt idx="202">
                  <c:v>45225</c:v>
                </c:pt>
                <c:pt idx="203">
                  <c:v>45226</c:v>
                </c:pt>
                <c:pt idx="204">
                  <c:v>45229</c:v>
                </c:pt>
                <c:pt idx="205">
                  <c:v>45230</c:v>
                </c:pt>
                <c:pt idx="206">
                  <c:v>45231</c:v>
                </c:pt>
                <c:pt idx="207">
                  <c:v>45232</c:v>
                </c:pt>
                <c:pt idx="208">
                  <c:v>45233</c:v>
                </c:pt>
                <c:pt idx="209">
                  <c:v>45236</c:v>
                </c:pt>
                <c:pt idx="210">
                  <c:v>45237</c:v>
                </c:pt>
                <c:pt idx="211">
                  <c:v>45238</c:v>
                </c:pt>
                <c:pt idx="212">
                  <c:v>45239</c:v>
                </c:pt>
                <c:pt idx="213">
                  <c:v>45240</c:v>
                </c:pt>
                <c:pt idx="214">
                  <c:v>45243</c:v>
                </c:pt>
                <c:pt idx="215">
                  <c:v>45244</c:v>
                </c:pt>
                <c:pt idx="216">
                  <c:v>45245</c:v>
                </c:pt>
                <c:pt idx="217">
                  <c:v>45246</c:v>
                </c:pt>
                <c:pt idx="218">
                  <c:v>45247</c:v>
                </c:pt>
                <c:pt idx="219">
                  <c:v>45250</c:v>
                </c:pt>
                <c:pt idx="220">
                  <c:v>45251</c:v>
                </c:pt>
                <c:pt idx="221">
                  <c:v>45252</c:v>
                </c:pt>
                <c:pt idx="222">
                  <c:v>45253</c:v>
                </c:pt>
                <c:pt idx="223">
                  <c:v>45254</c:v>
                </c:pt>
                <c:pt idx="224">
                  <c:v>45257</c:v>
                </c:pt>
                <c:pt idx="225">
                  <c:v>45258</c:v>
                </c:pt>
                <c:pt idx="226">
                  <c:v>45259</c:v>
                </c:pt>
                <c:pt idx="227">
                  <c:v>45260</c:v>
                </c:pt>
                <c:pt idx="228">
                  <c:v>45261</c:v>
                </c:pt>
                <c:pt idx="229">
                  <c:v>45264</c:v>
                </c:pt>
                <c:pt idx="230">
                  <c:v>45265</c:v>
                </c:pt>
                <c:pt idx="231">
                  <c:v>45266</c:v>
                </c:pt>
                <c:pt idx="232">
                  <c:v>45267</c:v>
                </c:pt>
                <c:pt idx="233">
                  <c:v>45268</c:v>
                </c:pt>
                <c:pt idx="234">
                  <c:v>45271</c:v>
                </c:pt>
                <c:pt idx="235">
                  <c:v>45272</c:v>
                </c:pt>
                <c:pt idx="236">
                  <c:v>45273</c:v>
                </c:pt>
                <c:pt idx="237">
                  <c:v>45274</c:v>
                </c:pt>
                <c:pt idx="238">
                  <c:v>45275</c:v>
                </c:pt>
                <c:pt idx="239">
                  <c:v>45278</c:v>
                </c:pt>
                <c:pt idx="240">
                  <c:v>45279</c:v>
                </c:pt>
                <c:pt idx="241">
                  <c:v>45280</c:v>
                </c:pt>
                <c:pt idx="242">
                  <c:v>45281</c:v>
                </c:pt>
                <c:pt idx="243">
                  <c:v>45282</c:v>
                </c:pt>
                <c:pt idx="244">
                  <c:v>45285</c:v>
                </c:pt>
                <c:pt idx="245">
                  <c:v>45286</c:v>
                </c:pt>
                <c:pt idx="246">
                  <c:v>45287</c:v>
                </c:pt>
                <c:pt idx="247">
                  <c:v>45288</c:v>
                </c:pt>
                <c:pt idx="248">
                  <c:v>45289</c:v>
                </c:pt>
                <c:pt idx="249">
                  <c:v>45293</c:v>
                </c:pt>
                <c:pt idx="250">
                  <c:v>45294</c:v>
                </c:pt>
                <c:pt idx="251">
                  <c:v>45295</c:v>
                </c:pt>
                <c:pt idx="252">
                  <c:v>45296</c:v>
                </c:pt>
                <c:pt idx="253">
                  <c:v>45299</c:v>
                </c:pt>
                <c:pt idx="254">
                  <c:v>45300</c:v>
                </c:pt>
                <c:pt idx="255">
                  <c:v>45301</c:v>
                </c:pt>
                <c:pt idx="256">
                  <c:v>45302</c:v>
                </c:pt>
                <c:pt idx="257">
                  <c:v>45303</c:v>
                </c:pt>
                <c:pt idx="258">
                  <c:v>45306</c:v>
                </c:pt>
                <c:pt idx="259">
                  <c:v>45307</c:v>
                </c:pt>
                <c:pt idx="260">
                  <c:v>45308</c:v>
                </c:pt>
                <c:pt idx="261">
                  <c:v>45309</c:v>
                </c:pt>
                <c:pt idx="262">
                  <c:v>45310</c:v>
                </c:pt>
                <c:pt idx="263">
                  <c:v>45313</c:v>
                </c:pt>
                <c:pt idx="264">
                  <c:v>45314</c:v>
                </c:pt>
                <c:pt idx="265">
                  <c:v>45315</c:v>
                </c:pt>
                <c:pt idx="266">
                  <c:v>45316</c:v>
                </c:pt>
                <c:pt idx="267">
                  <c:v>45317</c:v>
                </c:pt>
                <c:pt idx="268">
                  <c:v>45320</c:v>
                </c:pt>
                <c:pt idx="269">
                  <c:v>45321</c:v>
                </c:pt>
                <c:pt idx="270">
                  <c:v>45322</c:v>
                </c:pt>
                <c:pt idx="271">
                  <c:v>45323</c:v>
                </c:pt>
                <c:pt idx="272">
                  <c:v>45324</c:v>
                </c:pt>
                <c:pt idx="273">
                  <c:v>45327</c:v>
                </c:pt>
                <c:pt idx="274">
                  <c:v>45328</c:v>
                </c:pt>
                <c:pt idx="275">
                  <c:v>45329</c:v>
                </c:pt>
                <c:pt idx="276">
                  <c:v>45337</c:v>
                </c:pt>
                <c:pt idx="277">
                  <c:v>45338</c:v>
                </c:pt>
                <c:pt idx="278">
                  <c:v>45341</c:v>
                </c:pt>
                <c:pt idx="279">
                  <c:v>45342</c:v>
                </c:pt>
                <c:pt idx="280">
                  <c:v>45343</c:v>
                </c:pt>
                <c:pt idx="281">
                  <c:v>45344</c:v>
                </c:pt>
                <c:pt idx="282">
                  <c:v>45345</c:v>
                </c:pt>
                <c:pt idx="283">
                  <c:v>45348</c:v>
                </c:pt>
                <c:pt idx="284">
                  <c:v>45349</c:v>
                </c:pt>
                <c:pt idx="285">
                  <c:v>45350</c:v>
                </c:pt>
                <c:pt idx="286">
                  <c:v>45351</c:v>
                </c:pt>
                <c:pt idx="287">
                  <c:v>45352</c:v>
                </c:pt>
                <c:pt idx="288">
                  <c:v>45355</c:v>
                </c:pt>
                <c:pt idx="289">
                  <c:v>45356</c:v>
                </c:pt>
                <c:pt idx="290">
                  <c:v>45357</c:v>
                </c:pt>
                <c:pt idx="291">
                  <c:v>45358</c:v>
                </c:pt>
                <c:pt idx="292">
                  <c:v>45359</c:v>
                </c:pt>
                <c:pt idx="293">
                  <c:v>45362</c:v>
                </c:pt>
                <c:pt idx="294">
                  <c:v>45363</c:v>
                </c:pt>
                <c:pt idx="295">
                  <c:v>45364</c:v>
                </c:pt>
                <c:pt idx="296">
                  <c:v>45365</c:v>
                </c:pt>
                <c:pt idx="297">
                  <c:v>45366</c:v>
                </c:pt>
                <c:pt idx="298">
                  <c:v>45369</c:v>
                </c:pt>
                <c:pt idx="299">
                  <c:v>45370</c:v>
                </c:pt>
                <c:pt idx="300">
                  <c:v>45371</c:v>
                </c:pt>
                <c:pt idx="301">
                  <c:v>45372</c:v>
                </c:pt>
                <c:pt idx="302">
                  <c:v>45373</c:v>
                </c:pt>
                <c:pt idx="303">
                  <c:v>45376</c:v>
                </c:pt>
                <c:pt idx="304">
                  <c:v>45377</c:v>
                </c:pt>
                <c:pt idx="305">
                  <c:v>45378</c:v>
                </c:pt>
                <c:pt idx="306">
                  <c:v>45379</c:v>
                </c:pt>
                <c:pt idx="307">
                  <c:v>45380</c:v>
                </c:pt>
                <c:pt idx="308">
                  <c:v>45383</c:v>
                </c:pt>
                <c:pt idx="309">
                  <c:v>45384</c:v>
                </c:pt>
                <c:pt idx="310">
                  <c:v>45385</c:v>
                </c:pt>
                <c:pt idx="311">
                  <c:v>45386</c:v>
                </c:pt>
                <c:pt idx="312">
                  <c:v>45387</c:v>
                </c:pt>
                <c:pt idx="313">
                  <c:v>45390</c:v>
                </c:pt>
                <c:pt idx="314">
                  <c:v>45391</c:v>
                </c:pt>
                <c:pt idx="315">
                  <c:v>45392</c:v>
                </c:pt>
                <c:pt idx="316">
                  <c:v>45393</c:v>
                </c:pt>
                <c:pt idx="317">
                  <c:v>45394</c:v>
                </c:pt>
                <c:pt idx="318">
                  <c:v>45397</c:v>
                </c:pt>
                <c:pt idx="319">
                  <c:v>45398</c:v>
                </c:pt>
                <c:pt idx="320">
                  <c:v>45399</c:v>
                </c:pt>
                <c:pt idx="321">
                  <c:v>45401</c:v>
                </c:pt>
                <c:pt idx="322">
                  <c:v>45404</c:v>
                </c:pt>
                <c:pt idx="323">
                  <c:v>45405</c:v>
                </c:pt>
                <c:pt idx="324">
                  <c:v>45406</c:v>
                </c:pt>
                <c:pt idx="325">
                  <c:v>45407</c:v>
                </c:pt>
                <c:pt idx="326">
                  <c:v>45408</c:v>
                </c:pt>
                <c:pt idx="327">
                  <c:v>45414</c:v>
                </c:pt>
                <c:pt idx="328">
                  <c:v>45415</c:v>
                </c:pt>
                <c:pt idx="329">
                  <c:v>45418</c:v>
                </c:pt>
                <c:pt idx="330">
                  <c:v>45419</c:v>
                </c:pt>
                <c:pt idx="331">
                  <c:v>45420</c:v>
                </c:pt>
                <c:pt idx="332">
                  <c:v>45421</c:v>
                </c:pt>
                <c:pt idx="333">
                  <c:v>45422</c:v>
                </c:pt>
                <c:pt idx="334">
                  <c:v>45425</c:v>
                </c:pt>
                <c:pt idx="335">
                  <c:v>45426</c:v>
                </c:pt>
                <c:pt idx="336">
                  <c:v>45427</c:v>
                </c:pt>
                <c:pt idx="337">
                  <c:v>45428</c:v>
                </c:pt>
                <c:pt idx="338">
                  <c:v>45429</c:v>
                </c:pt>
                <c:pt idx="339">
                  <c:v>45432</c:v>
                </c:pt>
                <c:pt idx="340">
                  <c:v>45433</c:v>
                </c:pt>
                <c:pt idx="341">
                  <c:v>45434</c:v>
                </c:pt>
                <c:pt idx="342">
                  <c:v>45435</c:v>
                </c:pt>
                <c:pt idx="343">
                  <c:v>45436</c:v>
                </c:pt>
                <c:pt idx="344">
                  <c:v>45439</c:v>
                </c:pt>
                <c:pt idx="345">
                  <c:v>45440</c:v>
                </c:pt>
                <c:pt idx="346">
                  <c:v>45441</c:v>
                </c:pt>
                <c:pt idx="347">
                  <c:v>45442</c:v>
                </c:pt>
                <c:pt idx="348">
                  <c:v>45443</c:v>
                </c:pt>
                <c:pt idx="349">
                  <c:v>45446</c:v>
                </c:pt>
                <c:pt idx="350">
                  <c:v>45447</c:v>
                </c:pt>
                <c:pt idx="351">
                  <c:v>45448</c:v>
                </c:pt>
                <c:pt idx="352">
                  <c:v>45449</c:v>
                </c:pt>
                <c:pt idx="353">
                  <c:v>45450</c:v>
                </c:pt>
                <c:pt idx="354">
                  <c:v>45453</c:v>
                </c:pt>
                <c:pt idx="355">
                  <c:v>45454</c:v>
                </c:pt>
                <c:pt idx="356">
                  <c:v>45455</c:v>
                </c:pt>
                <c:pt idx="357">
                  <c:v>45456</c:v>
                </c:pt>
                <c:pt idx="358">
                  <c:v>45457</c:v>
                </c:pt>
                <c:pt idx="359">
                  <c:v>45460</c:v>
                </c:pt>
                <c:pt idx="360">
                  <c:v>45461</c:v>
                </c:pt>
                <c:pt idx="361">
                  <c:v>45462</c:v>
                </c:pt>
                <c:pt idx="362">
                  <c:v>45463</c:v>
                </c:pt>
                <c:pt idx="363">
                  <c:v>45464</c:v>
                </c:pt>
                <c:pt idx="364">
                  <c:v>45467</c:v>
                </c:pt>
                <c:pt idx="365">
                  <c:v>45468</c:v>
                </c:pt>
                <c:pt idx="366">
                  <c:v>45469</c:v>
                </c:pt>
                <c:pt idx="367">
                  <c:v>45470</c:v>
                </c:pt>
                <c:pt idx="368">
                  <c:v>45471</c:v>
                </c:pt>
                <c:pt idx="369">
                  <c:v>45474</c:v>
                </c:pt>
                <c:pt idx="370">
                  <c:v>45475</c:v>
                </c:pt>
                <c:pt idx="371">
                  <c:v>45476</c:v>
                </c:pt>
                <c:pt idx="372">
                  <c:v>45477</c:v>
                </c:pt>
                <c:pt idx="373">
                  <c:v>45478</c:v>
                </c:pt>
                <c:pt idx="374">
                  <c:v>45481</c:v>
                </c:pt>
                <c:pt idx="375">
                  <c:v>45482</c:v>
                </c:pt>
                <c:pt idx="376">
                  <c:v>45483</c:v>
                </c:pt>
                <c:pt idx="377">
                  <c:v>45484</c:v>
                </c:pt>
                <c:pt idx="378">
                  <c:v>45485</c:v>
                </c:pt>
                <c:pt idx="379">
                  <c:v>45488</c:v>
                </c:pt>
                <c:pt idx="380">
                  <c:v>45489</c:v>
                </c:pt>
                <c:pt idx="381">
                  <c:v>45490</c:v>
                </c:pt>
                <c:pt idx="382">
                  <c:v>45491</c:v>
                </c:pt>
                <c:pt idx="383">
                  <c:v>45492</c:v>
                </c:pt>
                <c:pt idx="384">
                  <c:v>45495</c:v>
                </c:pt>
                <c:pt idx="385">
                  <c:v>45496</c:v>
                </c:pt>
                <c:pt idx="386">
                  <c:v>45497</c:v>
                </c:pt>
                <c:pt idx="387">
                  <c:v>45498</c:v>
                </c:pt>
                <c:pt idx="388">
                  <c:v>45499</c:v>
                </c:pt>
                <c:pt idx="389">
                  <c:v>45502</c:v>
                </c:pt>
                <c:pt idx="390">
                  <c:v>45503</c:v>
                </c:pt>
                <c:pt idx="391">
                  <c:v>45504</c:v>
                </c:pt>
                <c:pt idx="392">
                  <c:v>45505</c:v>
                </c:pt>
                <c:pt idx="393">
                  <c:v>45506</c:v>
                </c:pt>
                <c:pt idx="394">
                  <c:v>45509</c:v>
                </c:pt>
                <c:pt idx="395">
                  <c:v>45510</c:v>
                </c:pt>
                <c:pt idx="396">
                  <c:v>45511</c:v>
                </c:pt>
                <c:pt idx="397">
                  <c:v>45512</c:v>
                </c:pt>
                <c:pt idx="398">
                  <c:v>45513</c:v>
                </c:pt>
                <c:pt idx="399">
                  <c:v>45516</c:v>
                </c:pt>
                <c:pt idx="400">
                  <c:v>45517</c:v>
                </c:pt>
                <c:pt idx="401">
                  <c:v>45518</c:v>
                </c:pt>
                <c:pt idx="402">
                  <c:v>45519</c:v>
                </c:pt>
                <c:pt idx="403">
                  <c:v>45520</c:v>
                </c:pt>
                <c:pt idx="404">
                  <c:v>45521</c:v>
                </c:pt>
                <c:pt idx="405">
                  <c:v>45522</c:v>
                </c:pt>
                <c:pt idx="406">
                  <c:v>45523</c:v>
                </c:pt>
                <c:pt idx="407">
                  <c:v>45524</c:v>
                </c:pt>
                <c:pt idx="408">
                  <c:v>45525</c:v>
                </c:pt>
                <c:pt idx="409">
                  <c:v>45526</c:v>
                </c:pt>
                <c:pt idx="410">
                  <c:v>45527</c:v>
                </c:pt>
                <c:pt idx="411">
                  <c:v>45530</c:v>
                </c:pt>
                <c:pt idx="412">
                  <c:v>45531</c:v>
                </c:pt>
                <c:pt idx="413">
                  <c:v>45532</c:v>
                </c:pt>
                <c:pt idx="414">
                  <c:v>45533</c:v>
                </c:pt>
                <c:pt idx="415">
                  <c:v>45534</c:v>
                </c:pt>
                <c:pt idx="416">
                  <c:v>45539</c:v>
                </c:pt>
                <c:pt idx="417">
                  <c:v>45540</c:v>
                </c:pt>
                <c:pt idx="418">
                  <c:v>45541</c:v>
                </c:pt>
                <c:pt idx="419">
                  <c:v>45544</c:v>
                </c:pt>
                <c:pt idx="420">
                  <c:v>45545</c:v>
                </c:pt>
                <c:pt idx="421">
                  <c:v>45546</c:v>
                </c:pt>
                <c:pt idx="422">
                  <c:v>45547</c:v>
                </c:pt>
                <c:pt idx="423">
                  <c:v>45548</c:v>
                </c:pt>
                <c:pt idx="424">
                  <c:v>45551</c:v>
                </c:pt>
                <c:pt idx="425">
                  <c:v>45552</c:v>
                </c:pt>
                <c:pt idx="426">
                  <c:v>45553</c:v>
                </c:pt>
                <c:pt idx="427">
                  <c:v>45554</c:v>
                </c:pt>
                <c:pt idx="428">
                  <c:v>45555</c:v>
                </c:pt>
                <c:pt idx="429">
                  <c:v>45558</c:v>
                </c:pt>
                <c:pt idx="430">
                  <c:v>45559</c:v>
                </c:pt>
                <c:pt idx="431">
                  <c:v>45560</c:v>
                </c:pt>
                <c:pt idx="432">
                  <c:v>45561</c:v>
                </c:pt>
                <c:pt idx="433">
                  <c:v>45562</c:v>
                </c:pt>
                <c:pt idx="434">
                  <c:v>45565</c:v>
                </c:pt>
                <c:pt idx="435">
                  <c:v>45566</c:v>
                </c:pt>
                <c:pt idx="436">
                  <c:v>45567</c:v>
                </c:pt>
                <c:pt idx="437">
                  <c:v>45568</c:v>
                </c:pt>
                <c:pt idx="438">
                  <c:v>45569</c:v>
                </c:pt>
                <c:pt idx="439">
                  <c:v>45572</c:v>
                </c:pt>
                <c:pt idx="440">
                  <c:v>45573</c:v>
                </c:pt>
                <c:pt idx="441">
                  <c:v>45574</c:v>
                </c:pt>
                <c:pt idx="442">
                  <c:v>45575</c:v>
                </c:pt>
                <c:pt idx="443">
                  <c:v>45576</c:v>
                </c:pt>
                <c:pt idx="444">
                  <c:v>45579</c:v>
                </c:pt>
                <c:pt idx="445">
                  <c:v>45580</c:v>
                </c:pt>
                <c:pt idx="446">
                  <c:v>45581</c:v>
                </c:pt>
                <c:pt idx="447">
                  <c:v>45582</c:v>
                </c:pt>
                <c:pt idx="448">
                  <c:v>45583</c:v>
                </c:pt>
                <c:pt idx="449">
                  <c:v>45586</c:v>
                </c:pt>
                <c:pt idx="450">
                  <c:v>45587</c:v>
                </c:pt>
                <c:pt idx="451">
                  <c:v>45588</c:v>
                </c:pt>
                <c:pt idx="452">
                  <c:v>45589</c:v>
                </c:pt>
                <c:pt idx="453">
                  <c:v>45590</c:v>
                </c:pt>
                <c:pt idx="454">
                  <c:v>45593</c:v>
                </c:pt>
                <c:pt idx="455">
                  <c:v>45594</c:v>
                </c:pt>
                <c:pt idx="456">
                  <c:v>45595</c:v>
                </c:pt>
                <c:pt idx="457">
                  <c:v>45596</c:v>
                </c:pt>
                <c:pt idx="458">
                  <c:v>45597</c:v>
                </c:pt>
                <c:pt idx="459">
                  <c:v>45600</c:v>
                </c:pt>
                <c:pt idx="460">
                  <c:v>45601</c:v>
                </c:pt>
                <c:pt idx="461">
                  <c:v>45602</c:v>
                </c:pt>
                <c:pt idx="462">
                  <c:v>45603</c:v>
                </c:pt>
                <c:pt idx="463">
                  <c:v>45604</c:v>
                </c:pt>
                <c:pt idx="464">
                  <c:v>45607</c:v>
                </c:pt>
                <c:pt idx="465">
                  <c:v>45608</c:v>
                </c:pt>
                <c:pt idx="466">
                  <c:v>45609</c:v>
                </c:pt>
                <c:pt idx="467">
                  <c:v>45610</c:v>
                </c:pt>
                <c:pt idx="468">
                  <c:v>45611</c:v>
                </c:pt>
                <c:pt idx="469">
                  <c:v>45614</c:v>
                </c:pt>
                <c:pt idx="470">
                  <c:v>45615</c:v>
                </c:pt>
                <c:pt idx="471">
                  <c:v>45656</c:v>
                </c:pt>
                <c:pt idx="472">
                  <c:v>45657</c:v>
                </c:pt>
                <c:pt idx="473">
                  <c:v>45747</c:v>
                </c:pt>
                <c:pt idx="474">
                  <c:v>45837</c:v>
                </c:pt>
                <c:pt idx="475">
                  <c:v>45927</c:v>
                </c:pt>
                <c:pt idx="476">
                  <c:v>46017</c:v>
                </c:pt>
                <c:pt idx="477">
                  <c:v>46107</c:v>
                </c:pt>
                <c:pt idx="478">
                  <c:v>46197</c:v>
                </c:pt>
              </c:numCache>
            </c:numRef>
          </c:cat>
          <c:val>
            <c:numRef>
              <c:f>Diamond!$O$3:$O$481</c:f>
              <c:numCache>
                <c:formatCode>_(* #,##0_);_(* \(#,##0\);_(* "-"??_);_(@_)</c:formatCode>
                <c:ptCount val="479"/>
                <c:pt idx="0">
                  <c:v>5043.2036863337999</c:v>
                </c:pt>
                <c:pt idx="1">
                  <c:v>5043.2020287031501</c:v>
                </c:pt>
                <c:pt idx="2">
                  <c:v>5043.2100374577703</c:v>
                </c:pt>
                <c:pt idx="3">
                  <c:v>5043.2083798567583</c:v>
                </c:pt>
                <c:pt idx="4">
                  <c:v>5043.2067222557471</c:v>
                </c:pt>
                <c:pt idx="5">
                  <c:v>5043.2050646547359</c:v>
                </c:pt>
                <c:pt idx="6">
                  <c:v>5043.2147309622515</c:v>
                </c:pt>
                <c:pt idx="7">
                  <c:v>5043.2130733564281</c:v>
                </c:pt>
                <c:pt idx="8">
                  <c:v>5043.2114157506048</c:v>
                </c:pt>
                <c:pt idx="9">
                  <c:v>5043.2097581447815</c:v>
                </c:pt>
                <c:pt idx="10">
                  <c:v>5043.2081005045084</c:v>
                </c:pt>
                <c:pt idx="11">
                  <c:v>5043.2031276870384</c:v>
                </c:pt>
                <c:pt idx="12">
                  <c:v>5043.2014700812151</c:v>
                </c:pt>
                <c:pt idx="13">
                  <c:v>5043.2144515426371</c:v>
                </c:pt>
                <c:pt idx="14">
                  <c:v>5043.2127939320035</c:v>
                </c:pt>
                <c:pt idx="15">
                  <c:v>5043.2141720364161</c:v>
                </c:pt>
                <c:pt idx="16">
                  <c:v>5043.209199190077</c:v>
                </c:pt>
                <c:pt idx="17">
                  <c:v>4099.7670353290232</c:v>
                </c:pt>
                <c:pt idx="18">
                  <c:v>4099.7670353290232</c:v>
                </c:pt>
                <c:pt idx="19">
                  <c:v>4099.7670353290232</c:v>
                </c:pt>
                <c:pt idx="20">
                  <c:v>4099.7670353290232</c:v>
                </c:pt>
                <c:pt idx="21">
                  <c:v>4099.7670353290232</c:v>
                </c:pt>
                <c:pt idx="22">
                  <c:v>4099.7670353290232</c:v>
                </c:pt>
                <c:pt idx="23">
                  <c:v>4099.7670353290232</c:v>
                </c:pt>
                <c:pt idx="24">
                  <c:v>4099.7670353290232</c:v>
                </c:pt>
                <c:pt idx="25">
                  <c:v>4099.7670353290232</c:v>
                </c:pt>
                <c:pt idx="26">
                  <c:v>4099.7670353290232</c:v>
                </c:pt>
                <c:pt idx="27">
                  <c:v>4099.7670353290232</c:v>
                </c:pt>
                <c:pt idx="28">
                  <c:v>4099.7670353290232</c:v>
                </c:pt>
                <c:pt idx="29">
                  <c:v>4099.7670353290232</c:v>
                </c:pt>
                <c:pt idx="30">
                  <c:v>4099.7670353290232</c:v>
                </c:pt>
                <c:pt idx="31">
                  <c:v>4099.7670353290232</c:v>
                </c:pt>
                <c:pt idx="32">
                  <c:v>4099.7670353290232</c:v>
                </c:pt>
                <c:pt idx="33">
                  <c:v>4099.7670353290232</c:v>
                </c:pt>
                <c:pt idx="34">
                  <c:v>4099.7670353290232</c:v>
                </c:pt>
                <c:pt idx="35">
                  <c:v>4099.7670353290232</c:v>
                </c:pt>
                <c:pt idx="36">
                  <c:v>4099.7670353290232</c:v>
                </c:pt>
                <c:pt idx="37">
                  <c:v>4099.7670353290232</c:v>
                </c:pt>
                <c:pt idx="38">
                  <c:v>4099.7670353290232</c:v>
                </c:pt>
                <c:pt idx="39">
                  <c:v>4099.7670353290232</c:v>
                </c:pt>
                <c:pt idx="40">
                  <c:v>4099.7670353290232</c:v>
                </c:pt>
                <c:pt idx="41">
                  <c:v>4099.7670353290232</c:v>
                </c:pt>
                <c:pt idx="42">
                  <c:v>4099.7670353290232</c:v>
                </c:pt>
                <c:pt idx="43">
                  <c:v>4099.7670353290232</c:v>
                </c:pt>
                <c:pt idx="44">
                  <c:v>4099.7670353290232</c:v>
                </c:pt>
                <c:pt idx="45">
                  <c:v>4099.7670353290232</c:v>
                </c:pt>
                <c:pt idx="46">
                  <c:v>4099.7670353290232</c:v>
                </c:pt>
                <c:pt idx="47">
                  <c:v>4099.7670353290232</c:v>
                </c:pt>
                <c:pt idx="48">
                  <c:v>4099.7670353290232</c:v>
                </c:pt>
                <c:pt idx="49">
                  <c:v>4099.7670353290232</c:v>
                </c:pt>
                <c:pt idx="50">
                  <c:v>4099.7670353290232</c:v>
                </c:pt>
                <c:pt idx="51">
                  <c:v>4099.7670353290232</c:v>
                </c:pt>
                <c:pt idx="52">
                  <c:v>4099.7670353290232</c:v>
                </c:pt>
                <c:pt idx="53">
                  <c:v>4099.7670353290232</c:v>
                </c:pt>
                <c:pt idx="54">
                  <c:v>4099.7670353290232</c:v>
                </c:pt>
                <c:pt idx="55">
                  <c:v>4099.7670353290232</c:v>
                </c:pt>
                <c:pt idx="56">
                  <c:v>4099.7670353290232</c:v>
                </c:pt>
                <c:pt idx="57">
                  <c:v>4099.7670353290232</c:v>
                </c:pt>
                <c:pt idx="58">
                  <c:v>4099.7670353290232</c:v>
                </c:pt>
                <c:pt idx="59">
                  <c:v>4099.7670353290232</c:v>
                </c:pt>
                <c:pt idx="60">
                  <c:v>4099.7670353290232</c:v>
                </c:pt>
                <c:pt idx="61">
                  <c:v>4099.7670353290232</c:v>
                </c:pt>
                <c:pt idx="62">
                  <c:v>4099.7670353290232</c:v>
                </c:pt>
                <c:pt idx="63">
                  <c:v>4099.7670353290232</c:v>
                </c:pt>
                <c:pt idx="64">
                  <c:v>4099.7670353290232</c:v>
                </c:pt>
                <c:pt idx="65">
                  <c:v>4099.7670353290232</c:v>
                </c:pt>
                <c:pt idx="66">
                  <c:v>4099.7670353290232</c:v>
                </c:pt>
                <c:pt idx="67">
                  <c:v>4099.7670353290232</c:v>
                </c:pt>
                <c:pt idx="68">
                  <c:v>4099.7670353290232</c:v>
                </c:pt>
                <c:pt idx="69">
                  <c:v>4099.7670353290232</c:v>
                </c:pt>
                <c:pt idx="70">
                  <c:v>4099.7670353290232</c:v>
                </c:pt>
                <c:pt idx="71">
                  <c:v>4099.7670353290232</c:v>
                </c:pt>
                <c:pt idx="72">
                  <c:v>4099.7670353290232</c:v>
                </c:pt>
                <c:pt idx="73">
                  <c:v>4099.7670353290232</c:v>
                </c:pt>
                <c:pt idx="74">
                  <c:v>4099.7670353290232</c:v>
                </c:pt>
                <c:pt idx="75">
                  <c:v>4099.7670353290232</c:v>
                </c:pt>
                <c:pt idx="76">
                  <c:v>4099.7670353290232</c:v>
                </c:pt>
                <c:pt idx="77">
                  <c:v>4099.7670353290232</c:v>
                </c:pt>
                <c:pt idx="78">
                  <c:v>4099.7670353290232</c:v>
                </c:pt>
                <c:pt idx="79">
                  <c:v>4099.7670353290232</c:v>
                </c:pt>
                <c:pt idx="80">
                  <c:v>4099.7670353290232</c:v>
                </c:pt>
                <c:pt idx="81">
                  <c:v>2676.5625883455559</c:v>
                </c:pt>
                <c:pt idx="82">
                  <c:v>2676.5651128592312</c:v>
                </c:pt>
                <c:pt idx="83">
                  <c:v>2676.5580480814083</c:v>
                </c:pt>
                <c:pt idx="84">
                  <c:v>2676.5605725812761</c:v>
                </c:pt>
                <c:pt idx="85">
                  <c:v>2676.5630970811444</c:v>
                </c:pt>
                <c:pt idx="86">
                  <c:v>2676.5656215810127</c:v>
                </c:pt>
                <c:pt idx="87">
                  <c:v>2676.568146080881</c:v>
                </c:pt>
                <c:pt idx="88">
                  <c:v>2676.5610811649908</c:v>
                </c:pt>
                <c:pt idx="89">
                  <c:v>2676.5636056510521</c:v>
                </c:pt>
                <c:pt idx="90">
                  <c:v>2676.5661301371133</c:v>
                </c:pt>
                <c:pt idx="91">
                  <c:v>2676.568654623175</c:v>
                </c:pt>
                <c:pt idx="92">
                  <c:v>2676.5711791092367</c:v>
                </c:pt>
                <c:pt idx="93">
                  <c:v>2676.5641140552793</c:v>
                </c:pt>
                <c:pt idx="94">
                  <c:v>2676.566638527534</c:v>
                </c:pt>
                <c:pt idx="95">
                  <c:v>2676.5691629997887</c:v>
                </c:pt>
                <c:pt idx="96">
                  <c:v>2676.5716874720438</c:v>
                </c:pt>
                <c:pt idx="97">
                  <c:v>2676.5595733769296</c:v>
                </c:pt>
                <c:pt idx="98">
                  <c:v>2676.5671467522739</c:v>
                </c:pt>
                <c:pt idx="99">
                  <c:v>2676.5696712107224</c:v>
                </c:pt>
                <c:pt idx="100">
                  <c:v>2676.5575570327683</c:v>
                </c:pt>
                <c:pt idx="101">
                  <c:v>2676.5582423977212</c:v>
                </c:pt>
                <c:pt idx="102">
                  <c:v>2676.5589277809581</c:v>
                </c:pt>
                <c:pt idx="103">
                  <c:v>2676.5609838758169</c:v>
                </c:pt>
                <c:pt idx="104">
                  <c:v>2676.5616692407693</c:v>
                </c:pt>
                <c:pt idx="105">
                  <c:v>2676.5623546057222</c:v>
                </c:pt>
                <c:pt idx="106">
                  <c:v>2676.5630399706752</c:v>
                </c:pt>
                <c:pt idx="107">
                  <c:v>2676.5637253356276</c:v>
                </c:pt>
                <c:pt idx="108">
                  <c:v>2676.5657814304859</c:v>
                </c:pt>
                <c:pt idx="109">
                  <c:v>2676.5664667954388</c:v>
                </c:pt>
                <c:pt idx="110">
                  <c:v>2676.5671521603917</c:v>
                </c:pt>
                <c:pt idx="111">
                  <c:v>2676.5678375253442</c:v>
                </c:pt>
                <c:pt idx="112">
                  <c:v>2676.5685228902971</c:v>
                </c:pt>
                <c:pt idx="113">
                  <c:v>2676.5705790034399</c:v>
                </c:pt>
                <c:pt idx="114">
                  <c:v>2676.5712643683928</c:v>
                </c:pt>
                <c:pt idx="115">
                  <c:v>2676.5719497333453</c:v>
                </c:pt>
                <c:pt idx="116">
                  <c:v>2676.5579963794312</c:v>
                </c:pt>
                <c:pt idx="117">
                  <c:v>2676.5586817406356</c:v>
                </c:pt>
                <c:pt idx="118">
                  <c:v>2676.5607378242489</c:v>
                </c:pt>
                <c:pt idx="119">
                  <c:v>2676.5614231854534</c:v>
                </c:pt>
                <c:pt idx="120">
                  <c:v>2676.5621085466578</c:v>
                </c:pt>
                <c:pt idx="121">
                  <c:v>2676.5627939078618</c:v>
                </c:pt>
                <c:pt idx="122">
                  <c:v>2676.5634792690666</c:v>
                </c:pt>
                <c:pt idx="123">
                  <c:v>2676.565535370964</c:v>
                </c:pt>
                <c:pt idx="124">
                  <c:v>2676.5662207321684</c:v>
                </c:pt>
                <c:pt idx="125">
                  <c:v>2676.5669060933728</c:v>
                </c:pt>
                <c:pt idx="126">
                  <c:v>2676.5675914545773</c:v>
                </c:pt>
                <c:pt idx="127">
                  <c:v>2676.5682768157808</c:v>
                </c:pt>
                <c:pt idx="128">
                  <c:v>2676.5703328993941</c:v>
                </c:pt>
                <c:pt idx="129">
                  <c:v>2676.571018260599</c:v>
                </c:pt>
                <c:pt idx="130">
                  <c:v>2676.571703621803</c:v>
                </c:pt>
                <c:pt idx="131">
                  <c:v>2676.5577501854236</c:v>
                </c:pt>
                <c:pt idx="132">
                  <c:v>2676.55843554288</c:v>
                </c:pt>
                <c:pt idx="133">
                  <c:v>2676.5604916335319</c:v>
                </c:pt>
                <c:pt idx="134">
                  <c:v>2676.5611769909879</c:v>
                </c:pt>
                <c:pt idx="135">
                  <c:v>2676.5618623484443</c:v>
                </c:pt>
                <c:pt idx="136">
                  <c:v>2676.5613445089712</c:v>
                </c:pt>
                <c:pt idx="137">
                  <c:v>2676.5597667374136</c:v>
                </c:pt>
                <c:pt idx="138">
                  <c:v>2676.5696720888359</c:v>
                </c:pt>
                <c:pt idx="139">
                  <c:v>2676.568094290365</c:v>
                </c:pt>
                <c:pt idx="140">
                  <c:v>2676.5665165101786</c:v>
                </c:pt>
                <c:pt idx="141">
                  <c:v>2676.5649387117082</c:v>
                </c:pt>
                <c:pt idx="142">
                  <c:v>2676.5633609315219</c:v>
                </c:pt>
                <c:pt idx="143">
                  <c:v>1563.9620724805616</c:v>
                </c:pt>
                <c:pt idx="144">
                  <c:v>1563.9607497747841</c:v>
                </c:pt>
                <c:pt idx="145">
                  <c:v>1563.9594270796931</c:v>
                </c:pt>
                <c:pt idx="146">
                  <c:v>1563.9581043739156</c:v>
                </c:pt>
                <c:pt idx="147">
                  <c:v>1563.9567816788242</c:v>
                </c:pt>
                <c:pt idx="148">
                  <c:v>1563.9528135721782</c:v>
                </c:pt>
                <c:pt idx="149">
                  <c:v>1563.9661261108365</c:v>
                </c:pt>
                <c:pt idx="150">
                  <c:v>1563.9648033926817</c:v>
                </c:pt>
                <c:pt idx="151">
                  <c:v>1563.9634806852127</c:v>
                </c:pt>
                <c:pt idx="152">
                  <c:v>1563.9621579670577</c:v>
                </c:pt>
                <c:pt idx="153">
                  <c:v>1563.9581898232786</c:v>
                </c:pt>
                <c:pt idx="154">
                  <c:v>1563.9568671051236</c:v>
                </c:pt>
                <c:pt idx="155">
                  <c:v>1563.9555443976549</c:v>
                </c:pt>
                <c:pt idx="156">
                  <c:v>1563.9542216794998</c:v>
                </c:pt>
                <c:pt idx="157">
                  <c:v>1563.9528989613445</c:v>
                </c:pt>
                <c:pt idx="158">
                  <c:v>1563.9635659117776</c:v>
                </c:pt>
                <c:pt idx="159">
                  <c:v>1563.9622431812447</c:v>
                </c:pt>
                <c:pt idx="160">
                  <c:v>1563.9609204507121</c:v>
                </c:pt>
                <c:pt idx="161">
                  <c:v>1563.9595977308657</c:v>
                </c:pt>
                <c:pt idx="162">
                  <c:v>1563.9582750003328</c:v>
                </c:pt>
                <c:pt idx="163">
                  <c:v>1563.9543068194209</c:v>
                </c:pt>
                <c:pt idx="164">
                  <c:v>1563.9529840888883</c:v>
                </c:pt>
                <c:pt idx="165">
                  <c:v>1563.9662963411688</c:v>
                </c:pt>
                <c:pt idx="166">
                  <c:v>1563.9649735982582</c:v>
                </c:pt>
                <c:pt idx="167">
                  <c:v>1563.9583599050786</c:v>
                </c:pt>
                <c:pt idx="168">
                  <c:v>1563.957037162168</c:v>
                </c:pt>
                <c:pt idx="169">
                  <c:v>1563.9557144192574</c:v>
                </c:pt>
                <c:pt idx="170">
                  <c:v>1563.9543916870334</c:v>
                </c:pt>
                <c:pt idx="171">
                  <c:v>1563.9650582925835</c:v>
                </c:pt>
                <c:pt idx="172">
                  <c:v>1563.9637355372954</c:v>
                </c:pt>
                <c:pt idx="173">
                  <c:v>1563.9624127926938</c:v>
                </c:pt>
                <c:pt idx="174">
                  <c:v>1563.9610900374055</c:v>
                </c:pt>
                <c:pt idx="175">
                  <c:v>1563.9597672821176</c:v>
                </c:pt>
                <c:pt idx="176">
                  <c:v>1563.9557990269391</c:v>
                </c:pt>
                <c:pt idx="177">
                  <c:v>1563.9544762823377</c:v>
                </c:pt>
                <c:pt idx="178">
                  <c:v>1563.9531535270494</c:v>
                </c:pt>
                <c:pt idx="179">
                  <c:v>1563.9664654715793</c:v>
                </c:pt>
                <c:pt idx="180">
                  <c:v>1563.9651427146005</c:v>
                </c:pt>
                <c:pt idx="181">
                  <c:v>1563.9611744222891</c:v>
                </c:pt>
                <c:pt idx="182">
                  <c:v>1563.9598516546234</c:v>
                </c:pt>
                <c:pt idx="183">
                  <c:v>1563.9585288976443</c:v>
                </c:pt>
                <c:pt idx="184">
                  <c:v>1563.9572061299782</c:v>
                </c:pt>
                <c:pt idx="185">
                  <c:v>1563.9558833623125</c:v>
                </c:pt>
                <c:pt idx="186">
                  <c:v>1563.9665496336654</c:v>
                </c:pt>
                <c:pt idx="187">
                  <c:v>1563.9652268643088</c:v>
                </c:pt>
                <c:pt idx="188">
                  <c:v>1563.9639040842649</c:v>
                </c:pt>
                <c:pt idx="189">
                  <c:v>1563.9625813042212</c:v>
                </c:pt>
                <c:pt idx="190">
                  <c:v>1563.9612585348646</c:v>
                </c:pt>
                <c:pt idx="191">
                  <c:v>1563.9572902054206</c:v>
                </c:pt>
                <c:pt idx="192">
                  <c:v>1563.9559674253769</c:v>
                </c:pt>
                <c:pt idx="193">
                  <c:v>1563.9546446453332</c:v>
                </c:pt>
                <c:pt idx="194">
                  <c:v>1563.9533218759764</c:v>
                </c:pt>
                <c:pt idx="195">
                  <c:v>1563.9655205041813</c:v>
                </c:pt>
                <c:pt idx="196">
                  <c:v>1563.9615630168682</c:v>
                </c:pt>
                <c:pt idx="197">
                  <c:v>1563.9602438473064</c:v>
                </c:pt>
                <c:pt idx="198">
                  <c:v>1563.9589246884309</c:v>
                </c:pt>
                <c:pt idx="199">
                  <c:v>1563.9576055188688</c:v>
                </c:pt>
                <c:pt idx="200">
                  <c:v>1563.9562863493065</c:v>
                </c:pt>
                <c:pt idx="201">
                  <c:v>1563.9523288619937</c:v>
                </c:pt>
                <c:pt idx="202">
                  <c:v>1563.965643973745</c:v>
                </c:pt>
                <c:pt idx="203">
                  <c:v>1563.9643248025261</c:v>
                </c:pt>
                <c:pt idx="204">
                  <c:v>1563.9630056206199</c:v>
                </c:pt>
                <c:pt idx="205">
                  <c:v>1563.961686449401</c:v>
                </c:pt>
                <c:pt idx="206">
                  <c:v>1563.9577289143701</c:v>
                </c:pt>
                <c:pt idx="207">
                  <c:v>696.45081866437909</c:v>
                </c:pt>
                <c:pt idx="208">
                  <c:v>696.45081866437909</c:v>
                </c:pt>
                <c:pt idx="209">
                  <c:v>696.45081866437909</c:v>
                </c:pt>
                <c:pt idx="210">
                  <c:v>696.45081866437909</c:v>
                </c:pt>
                <c:pt idx="211">
                  <c:v>696.45081866437909</c:v>
                </c:pt>
                <c:pt idx="212">
                  <c:v>696.45081866437909</c:v>
                </c:pt>
                <c:pt idx="213">
                  <c:v>696.45081866437909</c:v>
                </c:pt>
                <c:pt idx="214">
                  <c:v>696.45081866437909</c:v>
                </c:pt>
                <c:pt idx="215">
                  <c:v>696.45081866437909</c:v>
                </c:pt>
                <c:pt idx="216">
                  <c:v>696.45081866437909</c:v>
                </c:pt>
                <c:pt idx="217">
                  <c:v>696.45081866437909</c:v>
                </c:pt>
                <c:pt idx="218">
                  <c:v>696.45081866437909</c:v>
                </c:pt>
                <c:pt idx="219">
                  <c:v>696.45081866437909</c:v>
                </c:pt>
                <c:pt idx="220">
                  <c:v>696.45081866437909</c:v>
                </c:pt>
                <c:pt idx="221">
                  <c:v>696.45081866437909</c:v>
                </c:pt>
                <c:pt idx="222">
                  <c:v>696.45081866437909</c:v>
                </c:pt>
                <c:pt idx="223">
                  <c:v>696.45081866437909</c:v>
                </c:pt>
                <c:pt idx="224">
                  <c:v>696.45081866437909</c:v>
                </c:pt>
                <c:pt idx="225">
                  <c:v>696.45081866437909</c:v>
                </c:pt>
                <c:pt idx="226">
                  <c:v>696.45081866437909</c:v>
                </c:pt>
                <c:pt idx="227">
                  <c:v>696.45081866437909</c:v>
                </c:pt>
                <c:pt idx="228">
                  <c:v>696.45081866437909</c:v>
                </c:pt>
                <c:pt idx="229">
                  <c:v>696.44934319584684</c:v>
                </c:pt>
                <c:pt idx="230">
                  <c:v>696.44913241530799</c:v>
                </c:pt>
                <c:pt idx="231">
                  <c:v>696.44850007369098</c:v>
                </c:pt>
                <c:pt idx="232">
                  <c:v>696.44828928839274</c:v>
                </c:pt>
                <c:pt idx="233">
                  <c:v>696.44807850785389</c:v>
                </c:pt>
                <c:pt idx="234">
                  <c:v>696.44786772731482</c:v>
                </c:pt>
                <c:pt idx="235">
                  <c:v>696.44765694677585</c:v>
                </c:pt>
                <c:pt idx="236">
                  <c:v>696.44702460515884</c:v>
                </c:pt>
                <c:pt idx="237">
                  <c:v>696.44681382461988</c:v>
                </c:pt>
                <c:pt idx="238">
                  <c:v>696.44660303932176</c:v>
                </c:pt>
                <c:pt idx="239">
                  <c:v>696.44639225878268</c:v>
                </c:pt>
                <c:pt idx="240">
                  <c:v>696.44618147824372</c:v>
                </c:pt>
                <c:pt idx="241">
                  <c:v>696.44554913662671</c:v>
                </c:pt>
                <c:pt idx="242">
                  <c:v>696.44533835608775</c:v>
                </c:pt>
                <c:pt idx="243">
                  <c:v>696.45976153787524</c:v>
                </c:pt>
                <c:pt idx="244">
                  <c:v>696.45955075290726</c:v>
                </c:pt>
                <c:pt idx="245">
                  <c:v>696.45933996793917</c:v>
                </c:pt>
                <c:pt idx="246">
                  <c:v>696.45870761303513</c:v>
                </c:pt>
                <c:pt idx="247">
                  <c:v>696.45849682806727</c:v>
                </c:pt>
                <c:pt idx="248">
                  <c:v>696.45828603834002</c:v>
                </c:pt>
                <c:pt idx="249">
                  <c:v>696.45807525337193</c:v>
                </c:pt>
                <c:pt idx="250">
                  <c:v>696.45786446840407</c:v>
                </c:pt>
                <c:pt idx="251">
                  <c:v>696.45702132853194</c:v>
                </c:pt>
                <c:pt idx="252">
                  <c:v>696.45681054356407</c:v>
                </c:pt>
                <c:pt idx="253">
                  <c:v>696.45659975383683</c:v>
                </c:pt>
                <c:pt idx="254">
                  <c:v>696.45638896886885</c:v>
                </c:pt>
                <c:pt idx="255">
                  <c:v>696.45575661396481</c:v>
                </c:pt>
                <c:pt idx="256">
                  <c:v>696.45554582899683</c:v>
                </c:pt>
                <c:pt idx="257">
                  <c:v>696.45533504402897</c:v>
                </c:pt>
                <c:pt idx="258">
                  <c:v>696.45512425430161</c:v>
                </c:pt>
                <c:pt idx="259">
                  <c:v>696.45491346933363</c:v>
                </c:pt>
                <c:pt idx="260">
                  <c:v>696.4542811144297</c:v>
                </c:pt>
                <c:pt idx="261">
                  <c:v>696.45407032946162</c:v>
                </c:pt>
                <c:pt idx="262">
                  <c:v>696.45385954449353</c:v>
                </c:pt>
                <c:pt idx="263">
                  <c:v>696.4536487547665</c:v>
                </c:pt>
                <c:pt idx="264">
                  <c:v>696.45343796979841</c:v>
                </c:pt>
                <c:pt idx="265">
                  <c:v>696.45280561489437</c:v>
                </c:pt>
                <c:pt idx="266">
                  <c:v>696.45259482992651</c:v>
                </c:pt>
                <c:pt idx="267">
                  <c:v>696.45238404495842</c:v>
                </c:pt>
                <c:pt idx="268">
                  <c:v>696.45217325999033</c:v>
                </c:pt>
                <c:pt idx="269">
                  <c:v>696.4519624702632</c:v>
                </c:pt>
                <c:pt idx="270">
                  <c:v>696.45133011535927</c:v>
                </c:pt>
                <c:pt idx="271">
                  <c:v>696.45111933039118</c:v>
                </c:pt>
                <c:pt idx="272">
                  <c:v>167.67665444129881</c:v>
                </c:pt>
                <c:pt idx="273">
                  <c:v>167.67665444129881</c:v>
                </c:pt>
                <c:pt idx="274">
                  <c:v>167.67665444129881</c:v>
                </c:pt>
                <c:pt idx="275">
                  <c:v>167.67665444129881</c:v>
                </c:pt>
                <c:pt idx="276">
                  <c:v>167.67665444129881</c:v>
                </c:pt>
                <c:pt idx="277">
                  <c:v>167.67665444129881</c:v>
                </c:pt>
                <c:pt idx="278">
                  <c:v>167.67665444129881</c:v>
                </c:pt>
                <c:pt idx="279">
                  <c:v>167.67665444129881</c:v>
                </c:pt>
                <c:pt idx="280">
                  <c:v>167.67665444129881</c:v>
                </c:pt>
                <c:pt idx="281">
                  <c:v>167.67665444129881</c:v>
                </c:pt>
                <c:pt idx="282">
                  <c:v>167.67665444129881</c:v>
                </c:pt>
                <c:pt idx="283">
                  <c:v>167.67665444129881</c:v>
                </c:pt>
                <c:pt idx="284">
                  <c:v>167.67665444129881</c:v>
                </c:pt>
                <c:pt idx="285">
                  <c:v>167.67665444129881</c:v>
                </c:pt>
                <c:pt idx="286">
                  <c:v>167.67665444129881</c:v>
                </c:pt>
                <c:pt idx="287">
                  <c:v>167.67665444129881</c:v>
                </c:pt>
                <c:pt idx="288">
                  <c:v>167.67665444129881</c:v>
                </c:pt>
                <c:pt idx="289">
                  <c:v>167.67665444129881</c:v>
                </c:pt>
                <c:pt idx="290">
                  <c:v>167.67665444129881</c:v>
                </c:pt>
                <c:pt idx="291">
                  <c:v>167.67660602702381</c:v>
                </c:pt>
                <c:pt idx="292">
                  <c:v>167.67655761274881</c:v>
                </c:pt>
                <c:pt idx="293">
                  <c:v>167.67650919961969</c:v>
                </c:pt>
                <c:pt idx="294">
                  <c:v>167.67646078534469</c:v>
                </c:pt>
                <c:pt idx="295">
                  <c:v>167.67631554366559</c:v>
                </c:pt>
                <c:pt idx="296">
                  <c:v>167.6762671305365</c:v>
                </c:pt>
                <c:pt idx="297">
                  <c:v>167.67621871626147</c:v>
                </c:pt>
                <c:pt idx="298">
                  <c:v>167.67617030313241</c:v>
                </c:pt>
                <c:pt idx="299">
                  <c:v>167.67612188885738</c:v>
                </c:pt>
                <c:pt idx="300">
                  <c:v>167.67597664717832</c:v>
                </c:pt>
                <c:pt idx="301">
                  <c:v>167.67592823404922</c:v>
                </c:pt>
                <c:pt idx="302">
                  <c:v>167.6758798197742</c:v>
                </c:pt>
                <c:pt idx="303">
                  <c:v>167.67583140549922</c:v>
                </c:pt>
                <c:pt idx="304">
                  <c:v>167.6757829923701</c:v>
                </c:pt>
                <c:pt idx="305">
                  <c:v>167.67563775069104</c:v>
                </c:pt>
                <c:pt idx="306">
                  <c:v>167.67558933756192</c:v>
                </c:pt>
                <c:pt idx="307">
                  <c:v>167.67554092328692</c:v>
                </c:pt>
                <c:pt idx="308">
                  <c:v>167.67549250901192</c:v>
                </c:pt>
                <c:pt idx="309">
                  <c:v>167.6754440958828</c:v>
                </c:pt>
                <c:pt idx="310">
                  <c:v>167.6752988542037</c:v>
                </c:pt>
                <c:pt idx="311">
                  <c:v>167.6752504399287</c:v>
                </c:pt>
                <c:pt idx="312">
                  <c:v>167.67520202679961</c:v>
                </c:pt>
                <c:pt idx="313">
                  <c:v>167.67515361252461</c:v>
                </c:pt>
                <c:pt idx="314">
                  <c:v>167.67510519939552</c:v>
                </c:pt>
                <c:pt idx="315">
                  <c:v>167.6749599577164</c:v>
                </c:pt>
                <c:pt idx="316">
                  <c:v>167.67491154344143</c:v>
                </c:pt>
                <c:pt idx="317">
                  <c:v>167.6748631303123</c:v>
                </c:pt>
                <c:pt idx="318">
                  <c:v>167.67481471603733</c:v>
                </c:pt>
                <c:pt idx="319">
                  <c:v>167.67476630290821</c:v>
                </c:pt>
                <c:pt idx="320">
                  <c:v>167.67462106122909</c:v>
                </c:pt>
                <c:pt idx="321">
                  <c:v>167.67457264695412</c:v>
                </c:pt>
                <c:pt idx="322">
                  <c:v>167.674524233825</c:v>
                </c:pt>
                <c:pt idx="323">
                  <c:v>167.674427405275</c:v>
                </c:pt>
                <c:pt idx="324">
                  <c:v>167.67428216474181</c:v>
                </c:pt>
                <c:pt idx="325">
                  <c:v>167.67423375046681</c:v>
                </c:pt>
                <c:pt idx="326">
                  <c:v>167.67418533619181</c:v>
                </c:pt>
                <c:pt idx="327">
                  <c:v>167.67413692306269</c:v>
                </c:pt>
                <c:pt idx="328">
                  <c:v>167.67408850878772</c:v>
                </c:pt>
                <c:pt idx="329">
                  <c:v>1048.8411260415608</c:v>
                </c:pt>
                <c:pt idx="330">
                  <c:v>1048.8411260415608</c:v>
                </c:pt>
                <c:pt idx="331">
                  <c:v>1048.8411260415608</c:v>
                </c:pt>
                <c:pt idx="332">
                  <c:v>1048.8411260415608</c:v>
                </c:pt>
                <c:pt idx="333">
                  <c:v>1048.8411260415608</c:v>
                </c:pt>
                <c:pt idx="334">
                  <c:v>1048.8411260415608</c:v>
                </c:pt>
                <c:pt idx="335">
                  <c:v>1048.8411260415608</c:v>
                </c:pt>
                <c:pt idx="336">
                  <c:v>1048.8411260415608</c:v>
                </c:pt>
                <c:pt idx="337">
                  <c:v>1048.8411260415608</c:v>
                </c:pt>
                <c:pt idx="338">
                  <c:v>1048.8411260415608</c:v>
                </c:pt>
                <c:pt idx="339">
                  <c:v>1048.8411260415608</c:v>
                </c:pt>
                <c:pt idx="340">
                  <c:v>1048.8411260415608</c:v>
                </c:pt>
                <c:pt idx="341">
                  <c:v>1048.8353671368629</c:v>
                </c:pt>
                <c:pt idx="342">
                  <c:v>1048.8375852669419</c:v>
                </c:pt>
                <c:pt idx="343">
                  <c:v>1048.8398034041888</c:v>
                </c:pt>
                <c:pt idx="344">
                  <c:v>1048.8420215414362</c:v>
                </c:pt>
                <c:pt idx="345">
                  <c:v>1048.8442396786832</c:v>
                </c:pt>
                <c:pt idx="346">
                  <c:v>1048.8362622963577</c:v>
                </c:pt>
                <c:pt idx="347">
                  <c:v>1048.8384804026609</c:v>
                </c:pt>
                <c:pt idx="348">
                  <c:v>1048.8406985089646</c:v>
                </c:pt>
                <c:pt idx="349">
                  <c:v>1048.8429166080996</c:v>
                </c:pt>
                <c:pt idx="350">
                  <c:v>1048.8451347144032</c:v>
                </c:pt>
                <c:pt idx="351">
                  <c:v>1048.8371570226404</c:v>
                </c:pt>
                <c:pt idx="352">
                  <c:v>1048.8393750980003</c:v>
                </c:pt>
                <c:pt idx="353">
                  <c:v>1048.84159317336</c:v>
                </c:pt>
                <c:pt idx="354">
                  <c:v>1048.8438112487195</c:v>
                </c:pt>
                <c:pt idx="355">
                  <c:v>1048.8460293169112</c:v>
                </c:pt>
                <c:pt idx="356">
                  <c:v>1048.8380513157119</c:v>
                </c:pt>
                <c:pt idx="357">
                  <c:v>1048.8402693601281</c:v>
                </c:pt>
                <c:pt idx="358">
                  <c:v>1048.8424874045438</c:v>
                </c:pt>
                <c:pt idx="359">
                  <c:v>1048.84470544896</c:v>
                </c:pt>
                <c:pt idx="360">
                  <c:v>1048.8469234933759</c:v>
                </c:pt>
                <c:pt idx="361">
                  <c:v>1048.8389451755718</c:v>
                </c:pt>
                <c:pt idx="362">
                  <c:v>1048.841163189044</c:v>
                </c:pt>
                <c:pt idx="363">
                  <c:v>1048.8433812025164</c:v>
                </c:pt>
                <c:pt idx="364">
                  <c:v>1048.8455992159886</c:v>
                </c:pt>
                <c:pt idx="365">
                  <c:v>1048.8331846618021</c:v>
                </c:pt>
                <c:pt idx="366">
                  <c:v>1048.8398386093877</c:v>
                </c:pt>
                <c:pt idx="367">
                  <c:v>1048.8420565847484</c:v>
                </c:pt>
                <c:pt idx="368">
                  <c:v>1048.8442745672771</c:v>
                </c:pt>
                <c:pt idx="369">
                  <c:v>1048.8464925498056</c:v>
                </c:pt>
                <c:pt idx="370">
                  <c:v>1048.8340777480696</c:v>
                </c:pt>
                <c:pt idx="371">
                  <c:v>1048.8381560188477</c:v>
                </c:pt>
                <c:pt idx="372">
                  <c:v>1048.8397300672709</c:v>
                </c:pt>
                <c:pt idx="373">
                  <c:v>1048.8413041228619</c:v>
                </c:pt>
                <c:pt idx="374">
                  <c:v>1048.8428781784526</c:v>
                </c:pt>
                <c:pt idx="375">
                  <c:v>1048.8444522340435</c:v>
                </c:pt>
                <c:pt idx="376">
                  <c:v>1048.8345413987627</c:v>
                </c:pt>
                <c:pt idx="377">
                  <c:v>1048.8361154323932</c:v>
                </c:pt>
                <c:pt idx="378">
                  <c:v>1048.8376894660234</c:v>
                </c:pt>
                <c:pt idx="379">
                  <c:v>1048.8392634996542</c:v>
                </c:pt>
                <c:pt idx="380">
                  <c:v>1048.8408375332845</c:v>
                </c:pt>
                <c:pt idx="381">
                  <c:v>1048.845559627008</c:v>
                </c:pt>
                <c:pt idx="382">
                  <c:v>1048.8325004900701</c:v>
                </c:pt>
                <c:pt idx="383">
                  <c:v>1048.8340745017401</c:v>
                </c:pt>
                <c:pt idx="384">
                  <c:v>1048.8356485134102</c:v>
                </c:pt>
                <c:pt idx="385">
                  <c:v>1048.8372225179126</c:v>
                </c:pt>
                <c:pt idx="386">
                  <c:v>1048.8419445529225</c:v>
                </c:pt>
                <c:pt idx="387">
                  <c:v>1048.8435185645924</c:v>
                </c:pt>
                <c:pt idx="388">
                  <c:v>1048.8450925690952</c:v>
                </c:pt>
                <c:pt idx="389">
                  <c:v>1048.846666580765</c:v>
                </c:pt>
                <c:pt idx="390">
                  <c:v>1048.8336072022628</c:v>
                </c:pt>
                <c:pt idx="391">
                  <c:v>1048.8383291713917</c:v>
                </c:pt>
                <c:pt idx="392">
                  <c:v>1506.74</c:v>
                </c:pt>
                <c:pt idx="393">
                  <c:v>1506.74</c:v>
                </c:pt>
                <c:pt idx="394">
                  <c:v>1506.74</c:v>
                </c:pt>
                <c:pt idx="395">
                  <c:v>1506.74</c:v>
                </c:pt>
                <c:pt idx="396">
                  <c:v>1506.74</c:v>
                </c:pt>
                <c:pt idx="397">
                  <c:v>1506.74</c:v>
                </c:pt>
                <c:pt idx="398">
                  <c:v>1506.74</c:v>
                </c:pt>
                <c:pt idx="399">
                  <c:v>1506.74</c:v>
                </c:pt>
                <c:pt idx="400">
                  <c:v>1506.74</c:v>
                </c:pt>
                <c:pt idx="401">
                  <c:v>1506.74</c:v>
                </c:pt>
                <c:pt idx="402">
                  <c:v>1506.74</c:v>
                </c:pt>
                <c:pt idx="403">
                  <c:v>1506.74</c:v>
                </c:pt>
                <c:pt idx="404">
                  <c:v>1506.74</c:v>
                </c:pt>
                <c:pt idx="405">
                  <c:v>1506.74</c:v>
                </c:pt>
                <c:pt idx="406">
                  <c:v>1506.74</c:v>
                </c:pt>
                <c:pt idx="407">
                  <c:v>1506.74</c:v>
                </c:pt>
                <c:pt idx="408">
                  <c:v>1506.74</c:v>
                </c:pt>
                <c:pt idx="409">
                  <c:v>1506.74</c:v>
                </c:pt>
                <c:pt idx="410">
                  <c:v>1506.74</c:v>
                </c:pt>
                <c:pt idx="411">
                  <c:v>1506.74</c:v>
                </c:pt>
                <c:pt idx="412">
                  <c:v>1506.74</c:v>
                </c:pt>
                <c:pt idx="413">
                  <c:v>1506.74</c:v>
                </c:pt>
                <c:pt idx="414">
                  <c:v>1506.74</c:v>
                </c:pt>
                <c:pt idx="415">
                  <c:v>1506.74</c:v>
                </c:pt>
                <c:pt idx="416">
                  <c:v>1506.74</c:v>
                </c:pt>
                <c:pt idx="417">
                  <c:v>1506.74</c:v>
                </c:pt>
                <c:pt idx="418">
                  <c:v>1506.74</c:v>
                </c:pt>
                <c:pt idx="419">
                  <c:v>1506.74</c:v>
                </c:pt>
                <c:pt idx="420">
                  <c:v>1506.74</c:v>
                </c:pt>
                <c:pt idx="421">
                  <c:v>1506.74</c:v>
                </c:pt>
                <c:pt idx="422">
                  <c:v>1506.74</c:v>
                </c:pt>
                <c:pt idx="423">
                  <c:v>1506.74</c:v>
                </c:pt>
                <c:pt idx="424">
                  <c:v>1506.74</c:v>
                </c:pt>
                <c:pt idx="425">
                  <c:v>1506.74</c:v>
                </c:pt>
                <c:pt idx="426">
                  <c:v>1506.74</c:v>
                </c:pt>
                <c:pt idx="427">
                  <c:v>1506.74</c:v>
                </c:pt>
                <c:pt idx="428">
                  <c:v>1506.74</c:v>
                </c:pt>
                <c:pt idx="429">
                  <c:v>1506.74</c:v>
                </c:pt>
                <c:pt idx="430">
                  <c:v>1506.74</c:v>
                </c:pt>
                <c:pt idx="431">
                  <c:v>1506.74</c:v>
                </c:pt>
                <c:pt idx="432">
                  <c:v>1506.74</c:v>
                </c:pt>
                <c:pt idx="433">
                  <c:v>1506.74</c:v>
                </c:pt>
                <c:pt idx="434">
                  <c:v>1506.74</c:v>
                </c:pt>
                <c:pt idx="435">
                  <c:v>1506.74</c:v>
                </c:pt>
                <c:pt idx="436">
                  <c:v>1506.74</c:v>
                </c:pt>
                <c:pt idx="437">
                  <c:v>1506.74</c:v>
                </c:pt>
                <c:pt idx="438">
                  <c:v>1506.74</c:v>
                </c:pt>
                <c:pt idx="439">
                  <c:v>1506.74</c:v>
                </c:pt>
                <c:pt idx="440">
                  <c:v>1506.74</c:v>
                </c:pt>
                <c:pt idx="441">
                  <c:v>1506.74</c:v>
                </c:pt>
                <c:pt idx="442">
                  <c:v>1506.74</c:v>
                </c:pt>
                <c:pt idx="443">
                  <c:v>1506.74</c:v>
                </c:pt>
                <c:pt idx="444">
                  <c:v>1506.74</c:v>
                </c:pt>
                <c:pt idx="445">
                  <c:v>1506.74</c:v>
                </c:pt>
                <c:pt idx="446">
                  <c:v>1506.74</c:v>
                </c:pt>
                <c:pt idx="447">
                  <c:v>1506.74</c:v>
                </c:pt>
                <c:pt idx="448">
                  <c:v>1506.74</c:v>
                </c:pt>
                <c:pt idx="449">
                  <c:v>1506.74</c:v>
                </c:pt>
                <c:pt idx="450">
                  <c:v>1506.74</c:v>
                </c:pt>
                <c:pt idx="451">
                  <c:v>1506.74</c:v>
                </c:pt>
                <c:pt idx="452">
                  <c:v>1506.74</c:v>
                </c:pt>
                <c:pt idx="453">
                  <c:v>1506.74</c:v>
                </c:pt>
                <c:pt idx="454">
                  <c:v>1506.74</c:v>
                </c:pt>
                <c:pt idx="455">
                  <c:v>1506.74</c:v>
                </c:pt>
                <c:pt idx="456">
                  <c:v>2027.19</c:v>
                </c:pt>
                <c:pt idx="457">
                  <c:v>2027.19</c:v>
                </c:pt>
                <c:pt idx="458">
                  <c:v>2027.19</c:v>
                </c:pt>
                <c:pt idx="459">
                  <c:v>2027.19</c:v>
                </c:pt>
                <c:pt idx="460">
                  <c:v>2027.19</c:v>
                </c:pt>
                <c:pt idx="461">
                  <c:v>2027.19</c:v>
                </c:pt>
                <c:pt idx="462">
                  <c:v>2027.19</c:v>
                </c:pt>
                <c:pt idx="463">
                  <c:v>2027.19</c:v>
                </c:pt>
                <c:pt idx="464">
                  <c:v>2027.19</c:v>
                </c:pt>
                <c:pt idx="465">
                  <c:v>2027.19</c:v>
                </c:pt>
                <c:pt idx="466">
                  <c:v>2027.19</c:v>
                </c:pt>
                <c:pt idx="467">
                  <c:v>2027.19</c:v>
                </c:pt>
                <c:pt idx="468">
                  <c:v>2027.19</c:v>
                </c:pt>
                <c:pt idx="469">
                  <c:v>2027.19</c:v>
                </c:pt>
                <c:pt idx="470">
                  <c:v>2027.19</c:v>
                </c:pt>
                <c:pt idx="471">
                  <c:v>2203.7044049869523</c:v>
                </c:pt>
                <c:pt idx="472">
                  <c:v>3733.2882287200027</c:v>
                </c:pt>
                <c:pt idx="473">
                  <c:v>4378.1519234139996</c:v>
                </c:pt>
                <c:pt idx="474">
                  <c:v>4863.2970158759999</c:v>
                </c:pt>
                <c:pt idx="475">
                  <c:v>5841.1726498610005</c:v>
                </c:pt>
                <c:pt idx="476">
                  <c:v>6947.1592942152747</c:v>
                </c:pt>
                <c:pt idx="477">
                  <c:v>7319.8783711585966</c:v>
                </c:pt>
                <c:pt idx="478">
                  <c:v>7319.8783711585966</c:v>
                </c:pt>
              </c:numCache>
            </c:numRef>
          </c:val>
          <c:extLst>
            <c:ext xmlns:c16="http://schemas.microsoft.com/office/drawing/2014/chart" uri="{C3380CC4-5D6E-409C-BE32-E72D297353CC}">
              <c16:uniqueId val="{00000002-0E78-406F-8F6A-95198B4FB3B2}"/>
            </c:ext>
          </c:extLst>
        </c:ser>
        <c:dLbls>
          <c:showLegendKey val="0"/>
          <c:showVal val="0"/>
          <c:showCatName val="0"/>
          <c:showSerName val="0"/>
          <c:showPercent val="0"/>
          <c:showBubbleSize val="0"/>
        </c:dLbls>
        <c:axId val="794784224"/>
        <c:axId val="794789984"/>
      </c:areaChart>
      <c:lineChart>
        <c:grouping val="standard"/>
        <c:varyColors val="0"/>
        <c:ser>
          <c:idx val="0"/>
          <c:order val="0"/>
          <c:tx>
            <c:strRef>
              <c:f>Diamond!$M$2</c:f>
              <c:strCache>
                <c:ptCount val="1"/>
                <c:pt idx="0">
                  <c:v> Vốn hóa thị trường (tỷ VND) </c:v>
                </c:pt>
              </c:strCache>
            </c:strRef>
          </c:tx>
          <c:spPr>
            <a:ln w="22225" cap="rnd">
              <a:solidFill>
                <a:schemeClr val="bg1">
                  <a:lumMod val="50000"/>
                </a:schemeClr>
              </a:solidFill>
              <a:round/>
            </a:ln>
            <a:effectLst/>
          </c:spPr>
          <c:marker>
            <c:symbol val="none"/>
          </c:marker>
          <c:cat>
            <c:numRef>
              <c:f>Diamond!$L$3:$L$481</c:f>
              <c:numCache>
                <c:formatCode>m/d/yy</c:formatCode>
                <c:ptCount val="479"/>
                <c:pt idx="0">
                  <c:v>44929</c:v>
                </c:pt>
                <c:pt idx="1">
                  <c:v>44930</c:v>
                </c:pt>
                <c:pt idx="2">
                  <c:v>44931</c:v>
                </c:pt>
                <c:pt idx="3">
                  <c:v>44932</c:v>
                </c:pt>
                <c:pt idx="4">
                  <c:v>44935</c:v>
                </c:pt>
                <c:pt idx="5">
                  <c:v>44936</c:v>
                </c:pt>
                <c:pt idx="6">
                  <c:v>44937</c:v>
                </c:pt>
                <c:pt idx="7">
                  <c:v>44938</c:v>
                </c:pt>
                <c:pt idx="8">
                  <c:v>44939</c:v>
                </c:pt>
                <c:pt idx="9">
                  <c:v>44942</c:v>
                </c:pt>
                <c:pt idx="10">
                  <c:v>44943</c:v>
                </c:pt>
                <c:pt idx="11">
                  <c:v>44944</c:v>
                </c:pt>
                <c:pt idx="12">
                  <c:v>44945</c:v>
                </c:pt>
                <c:pt idx="13">
                  <c:v>44953</c:v>
                </c:pt>
                <c:pt idx="14">
                  <c:v>44956</c:v>
                </c:pt>
                <c:pt idx="15">
                  <c:v>44957</c:v>
                </c:pt>
                <c:pt idx="16">
                  <c:v>44958</c:v>
                </c:pt>
                <c:pt idx="17">
                  <c:v>44959</c:v>
                </c:pt>
                <c:pt idx="18">
                  <c:v>44960</c:v>
                </c:pt>
                <c:pt idx="19">
                  <c:v>44963</c:v>
                </c:pt>
                <c:pt idx="20">
                  <c:v>44964</c:v>
                </c:pt>
                <c:pt idx="21">
                  <c:v>44965</c:v>
                </c:pt>
                <c:pt idx="22">
                  <c:v>44966</c:v>
                </c:pt>
                <c:pt idx="23">
                  <c:v>44967</c:v>
                </c:pt>
                <c:pt idx="24">
                  <c:v>44970</c:v>
                </c:pt>
                <c:pt idx="25">
                  <c:v>44971</c:v>
                </c:pt>
                <c:pt idx="26">
                  <c:v>44972</c:v>
                </c:pt>
                <c:pt idx="27">
                  <c:v>44973</c:v>
                </c:pt>
                <c:pt idx="28">
                  <c:v>44974</c:v>
                </c:pt>
                <c:pt idx="29">
                  <c:v>44977</c:v>
                </c:pt>
                <c:pt idx="30">
                  <c:v>44978</c:v>
                </c:pt>
                <c:pt idx="31">
                  <c:v>44979</c:v>
                </c:pt>
                <c:pt idx="32">
                  <c:v>44980</c:v>
                </c:pt>
                <c:pt idx="33">
                  <c:v>44981</c:v>
                </c:pt>
                <c:pt idx="34">
                  <c:v>44984</c:v>
                </c:pt>
                <c:pt idx="35">
                  <c:v>44985</c:v>
                </c:pt>
                <c:pt idx="36">
                  <c:v>44986</c:v>
                </c:pt>
                <c:pt idx="37">
                  <c:v>44987</c:v>
                </c:pt>
                <c:pt idx="38">
                  <c:v>44988</c:v>
                </c:pt>
                <c:pt idx="39">
                  <c:v>44991</c:v>
                </c:pt>
                <c:pt idx="40">
                  <c:v>44992</c:v>
                </c:pt>
                <c:pt idx="41">
                  <c:v>44993</c:v>
                </c:pt>
                <c:pt idx="42">
                  <c:v>44994</c:v>
                </c:pt>
                <c:pt idx="43">
                  <c:v>44995</c:v>
                </c:pt>
                <c:pt idx="44">
                  <c:v>44998</c:v>
                </c:pt>
                <c:pt idx="45">
                  <c:v>44999</c:v>
                </c:pt>
                <c:pt idx="46">
                  <c:v>45000</c:v>
                </c:pt>
                <c:pt idx="47">
                  <c:v>45001</c:v>
                </c:pt>
                <c:pt idx="48">
                  <c:v>45002</c:v>
                </c:pt>
                <c:pt idx="49">
                  <c:v>45005</c:v>
                </c:pt>
                <c:pt idx="50">
                  <c:v>45006</c:v>
                </c:pt>
                <c:pt idx="51">
                  <c:v>45007</c:v>
                </c:pt>
                <c:pt idx="52">
                  <c:v>45008</c:v>
                </c:pt>
                <c:pt idx="53">
                  <c:v>45009</c:v>
                </c:pt>
                <c:pt idx="54">
                  <c:v>45012</c:v>
                </c:pt>
                <c:pt idx="55">
                  <c:v>45013</c:v>
                </c:pt>
                <c:pt idx="56">
                  <c:v>45014</c:v>
                </c:pt>
                <c:pt idx="57">
                  <c:v>45015</c:v>
                </c:pt>
                <c:pt idx="58">
                  <c:v>45016</c:v>
                </c:pt>
                <c:pt idx="59">
                  <c:v>45019</c:v>
                </c:pt>
                <c:pt idx="60">
                  <c:v>45020</c:v>
                </c:pt>
                <c:pt idx="61">
                  <c:v>45021</c:v>
                </c:pt>
                <c:pt idx="62">
                  <c:v>45022</c:v>
                </c:pt>
                <c:pt idx="63">
                  <c:v>45023</c:v>
                </c:pt>
                <c:pt idx="64">
                  <c:v>45026</c:v>
                </c:pt>
                <c:pt idx="65">
                  <c:v>45027</c:v>
                </c:pt>
                <c:pt idx="66">
                  <c:v>45028</c:v>
                </c:pt>
                <c:pt idx="67">
                  <c:v>45029</c:v>
                </c:pt>
                <c:pt idx="68">
                  <c:v>45030</c:v>
                </c:pt>
                <c:pt idx="69">
                  <c:v>45033</c:v>
                </c:pt>
                <c:pt idx="70">
                  <c:v>45034</c:v>
                </c:pt>
                <c:pt idx="71">
                  <c:v>45035</c:v>
                </c:pt>
                <c:pt idx="72">
                  <c:v>45036</c:v>
                </c:pt>
                <c:pt idx="73">
                  <c:v>45037</c:v>
                </c:pt>
                <c:pt idx="74">
                  <c:v>45040</c:v>
                </c:pt>
                <c:pt idx="75">
                  <c:v>45041</c:v>
                </c:pt>
                <c:pt idx="76">
                  <c:v>45042</c:v>
                </c:pt>
                <c:pt idx="77">
                  <c:v>45043</c:v>
                </c:pt>
                <c:pt idx="78">
                  <c:v>45044</c:v>
                </c:pt>
                <c:pt idx="79">
                  <c:v>45050</c:v>
                </c:pt>
                <c:pt idx="80">
                  <c:v>45051</c:v>
                </c:pt>
                <c:pt idx="81">
                  <c:v>45054</c:v>
                </c:pt>
                <c:pt idx="82">
                  <c:v>45055</c:v>
                </c:pt>
                <c:pt idx="83">
                  <c:v>45056</c:v>
                </c:pt>
                <c:pt idx="84">
                  <c:v>45057</c:v>
                </c:pt>
                <c:pt idx="85">
                  <c:v>45058</c:v>
                </c:pt>
                <c:pt idx="86">
                  <c:v>45061</c:v>
                </c:pt>
                <c:pt idx="87">
                  <c:v>45062</c:v>
                </c:pt>
                <c:pt idx="88">
                  <c:v>45063</c:v>
                </c:pt>
                <c:pt idx="89">
                  <c:v>45064</c:v>
                </c:pt>
                <c:pt idx="90">
                  <c:v>45065</c:v>
                </c:pt>
                <c:pt idx="91">
                  <c:v>45068</c:v>
                </c:pt>
                <c:pt idx="92">
                  <c:v>45069</c:v>
                </c:pt>
                <c:pt idx="93">
                  <c:v>45070</c:v>
                </c:pt>
                <c:pt idx="94">
                  <c:v>45071</c:v>
                </c:pt>
                <c:pt idx="95">
                  <c:v>45072</c:v>
                </c:pt>
                <c:pt idx="96">
                  <c:v>45075</c:v>
                </c:pt>
                <c:pt idx="97">
                  <c:v>45076</c:v>
                </c:pt>
                <c:pt idx="98">
                  <c:v>45077</c:v>
                </c:pt>
                <c:pt idx="99">
                  <c:v>45078</c:v>
                </c:pt>
                <c:pt idx="100">
                  <c:v>45079</c:v>
                </c:pt>
                <c:pt idx="101">
                  <c:v>45082</c:v>
                </c:pt>
                <c:pt idx="102">
                  <c:v>45083</c:v>
                </c:pt>
                <c:pt idx="103">
                  <c:v>45084</c:v>
                </c:pt>
                <c:pt idx="104">
                  <c:v>45085</c:v>
                </c:pt>
                <c:pt idx="105">
                  <c:v>45086</c:v>
                </c:pt>
                <c:pt idx="106">
                  <c:v>45089</c:v>
                </c:pt>
                <c:pt idx="107">
                  <c:v>45090</c:v>
                </c:pt>
                <c:pt idx="108">
                  <c:v>45091</c:v>
                </c:pt>
                <c:pt idx="109">
                  <c:v>45092</c:v>
                </c:pt>
                <c:pt idx="110">
                  <c:v>45093</c:v>
                </c:pt>
                <c:pt idx="111">
                  <c:v>45096</c:v>
                </c:pt>
                <c:pt idx="112">
                  <c:v>45097</c:v>
                </c:pt>
                <c:pt idx="113">
                  <c:v>45098</c:v>
                </c:pt>
                <c:pt idx="114">
                  <c:v>45099</c:v>
                </c:pt>
                <c:pt idx="115">
                  <c:v>45100</c:v>
                </c:pt>
                <c:pt idx="116">
                  <c:v>45103</c:v>
                </c:pt>
                <c:pt idx="117">
                  <c:v>45104</c:v>
                </c:pt>
                <c:pt idx="118">
                  <c:v>45105</c:v>
                </c:pt>
                <c:pt idx="119">
                  <c:v>45106</c:v>
                </c:pt>
                <c:pt idx="120">
                  <c:v>45107</c:v>
                </c:pt>
                <c:pt idx="121">
                  <c:v>45110</c:v>
                </c:pt>
                <c:pt idx="122">
                  <c:v>45111</c:v>
                </c:pt>
                <c:pt idx="123">
                  <c:v>45112</c:v>
                </c:pt>
                <c:pt idx="124">
                  <c:v>45113</c:v>
                </c:pt>
                <c:pt idx="125">
                  <c:v>45114</c:v>
                </c:pt>
                <c:pt idx="126">
                  <c:v>45117</c:v>
                </c:pt>
                <c:pt idx="127">
                  <c:v>45118</c:v>
                </c:pt>
                <c:pt idx="128">
                  <c:v>45119</c:v>
                </c:pt>
                <c:pt idx="129">
                  <c:v>45120</c:v>
                </c:pt>
                <c:pt idx="130">
                  <c:v>45121</c:v>
                </c:pt>
                <c:pt idx="131">
                  <c:v>45124</c:v>
                </c:pt>
                <c:pt idx="132">
                  <c:v>45125</c:v>
                </c:pt>
                <c:pt idx="133">
                  <c:v>45126</c:v>
                </c:pt>
                <c:pt idx="134">
                  <c:v>45127</c:v>
                </c:pt>
                <c:pt idx="135">
                  <c:v>45128</c:v>
                </c:pt>
                <c:pt idx="136">
                  <c:v>45131</c:v>
                </c:pt>
                <c:pt idx="137">
                  <c:v>45132</c:v>
                </c:pt>
                <c:pt idx="138">
                  <c:v>45133</c:v>
                </c:pt>
                <c:pt idx="139">
                  <c:v>45134</c:v>
                </c:pt>
                <c:pt idx="140">
                  <c:v>45135</c:v>
                </c:pt>
                <c:pt idx="141">
                  <c:v>45138</c:v>
                </c:pt>
                <c:pt idx="142">
                  <c:v>45139</c:v>
                </c:pt>
                <c:pt idx="143">
                  <c:v>45140</c:v>
                </c:pt>
                <c:pt idx="144">
                  <c:v>45141</c:v>
                </c:pt>
                <c:pt idx="145">
                  <c:v>45142</c:v>
                </c:pt>
                <c:pt idx="146">
                  <c:v>45145</c:v>
                </c:pt>
                <c:pt idx="147">
                  <c:v>45146</c:v>
                </c:pt>
                <c:pt idx="148">
                  <c:v>45147</c:v>
                </c:pt>
                <c:pt idx="149">
                  <c:v>45148</c:v>
                </c:pt>
                <c:pt idx="150">
                  <c:v>45149</c:v>
                </c:pt>
                <c:pt idx="151">
                  <c:v>45152</c:v>
                </c:pt>
                <c:pt idx="152">
                  <c:v>45153</c:v>
                </c:pt>
                <c:pt idx="153">
                  <c:v>45154</c:v>
                </c:pt>
                <c:pt idx="154">
                  <c:v>45155</c:v>
                </c:pt>
                <c:pt idx="155">
                  <c:v>45156</c:v>
                </c:pt>
                <c:pt idx="156">
                  <c:v>45159</c:v>
                </c:pt>
                <c:pt idx="157">
                  <c:v>45160</c:v>
                </c:pt>
                <c:pt idx="158">
                  <c:v>45161</c:v>
                </c:pt>
                <c:pt idx="159">
                  <c:v>45162</c:v>
                </c:pt>
                <c:pt idx="160">
                  <c:v>45163</c:v>
                </c:pt>
                <c:pt idx="161">
                  <c:v>45166</c:v>
                </c:pt>
                <c:pt idx="162">
                  <c:v>45167</c:v>
                </c:pt>
                <c:pt idx="163">
                  <c:v>45168</c:v>
                </c:pt>
                <c:pt idx="164">
                  <c:v>45169</c:v>
                </c:pt>
                <c:pt idx="165">
                  <c:v>45174</c:v>
                </c:pt>
                <c:pt idx="166">
                  <c:v>45175</c:v>
                </c:pt>
                <c:pt idx="167">
                  <c:v>45176</c:v>
                </c:pt>
                <c:pt idx="168">
                  <c:v>45177</c:v>
                </c:pt>
                <c:pt idx="169">
                  <c:v>45180</c:v>
                </c:pt>
                <c:pt idx="170">
                  <c:v>45181</c:v>
                </c:pt>
                <c:pt idx="171">
                  <c:v>45182</c:v>
                </c:pt>
                <c:pt idx="172">
                  <c:v>45183</c:v>
                </c:pt>
                <c:pt idx="173">
                  <c:v>45184</c:v>
                </c:pt>
                <c:pt idx="174">
                  <c:v>45187</c:v>
                </c:pt>
                <c:pt idx="175">
                  <c:v>45188</c:v>
                </c:pt>
                <c:pt idx="176">
                  <c:v>45189</c:v>
                </c:pt>
                <c:pt idx="177">
                  <c:v>45190</c:v>
                </c:pt>
                <c:pt idx="178">
                  <c:v>45191</c:v>
                </c:pt>
                <c:pt idx="179">
                  <c:v>45194</c:v>
                </c:pt>
                <c:pt idx="180">
                  <c:v>45195</c:v>
                </c:pt>
                <c:pt idx="181">
                  <c:v>45196</c:v>
                </c:pt>
                <c:pt idx="182">
                  <c:v>45197</c:v>
                </c:pt>
                <c:pt idx="183">
                  <c:v>45198</c:v>
                </c:pt>
                <c:pt idx="184">
                  <c:v>45201</c:v>
                </c:pt>
                <c:pt idx="185">
                  <c:v>45202</c:v>
                </c:pt>
                <c:pt idx="186">
                  <c:v>45203</c:v>
                </c:pt>
                <c:pt idx="187">
                  <c:v>45204</c:v>
                </c:pt>
                <c:pt idx="188">
                  <c:v>45205</c:v>
                </c:pt>
                <c:pt idx="189">
                  <c:v>45208</c:v>
                </c:pt>
                <c:pt idx="190">
                  <c:v>45209</c:v>
                </c:pt>
                <c:pt idx="191">
                  <c:v>45210</c:v>
                </c:pt>
                <c:pt idx="192">
                  <c:v>45211</c:v>
                </c:pt>
                <c:pt idx="193">
                  <c:v>45212</c:v>
                </c:pt>
                <c:pt idx="194">
                  <c:v>45215</c:v>
                </c:pt>
                <c:pt idx="195">
                  <c:v>45216</c:v>
                </c:pt>
                <c:pt idx="196">
                  <c:v>45217</c:v>
                </c:pt>
                <c:pt idx="197">
                  <c:v>45218</c:v>
                </c:pt>
                <c:pt idx="198">
                  <c:v>45219</c:v>
                </c:pt>
                <c:pt idx="199">
                  <c:v>45222</c:v>
                </c:pt>
                <c:pt idx="200">
                  <c:v>45223</c:v>
                </c:pt>
                <c:pt idx="201">
                  <c:v>45224</c:v>
                </c:pt>
                <c:pt idx="202">
                  <c:v>45225</c:v>
                </c:pt>
                <c:pt idx="203">
                  <c:v>45226</c:v>
                </c:pt>
                <c:pt idx="204">
                  <c:v>45229</c:v>
                </c:pt>
                <c:pt idx="205">
                  <c:v>45230</c:v>
                </c:pt>
                <c:pt idx="206">
                  <c:v>45231</c:v>
                </c:pt>
                <c:pt idx="207">
                  <c:v>45232</c:v>
                </c:pt>
                <c:pt idx="208">
                  <c:v>45233</c:v>
                </c:pt>
                <c:pt idx="209">
                  <c:v>45236</c:v>
                </c:pt>
                <c:pt idx="210">
                  <c:v>45237</c:v>
                </c:pt>
                <c:pt idx="211">
                  <c:v>45238</c:v>
                </c:pt>
                <c:pt idx="212">
                  <c:v>45239</c:v>
                </c:pt>
                <c:pt idx="213">
                  <c:v>45240</c:v>
                </c:pt>
                <c:pt idx="214">
                  <c:v>45243</c:v>
                </c:pt>
                <c:pt idx="215">
                  <c:v>45244</c:v>
                </c:pt>
                <c:pt idx="216">
                  <c:v>45245</c:v>
                </c:pt>
                <c:pt idx="217">
                  <c:v>45246</c:v>
                </c:pt>
                <c:pt idx="218">
                  <c:v>45247</c:v>
                </c:pt>
                <c:pt idx="219">
                  <c:v>45250</c:v>
                </c:pt>
                <c:pt idx="220">
                  <c:v>45251</c:v>
                </c:pt>
                <c:pt idx="221">
                  <c:v>45252</c:v>
                </c:pt>
                <c:pt idx="222">
                  <c:v>45253</c:v>
                </c:pt>
                <c:pt idx="223">
                  <c:v>45254</c:v>
                </c:pt>
                <c:pt idx="224">
                  <c:v>45257</c:v>
                </c:pt>
                <c:pt idx="225">
                  <c:v>45258</c:v>
                </c:pt>
                <c:pt idx="226">
                  <c:v>45259</c:v>
                </c:pt>
                <c:pt idx="227">
                  <c:v>45260</c:v>
                </c:pt>
                <c:pt idx="228">
                  <c:v>45261</c:v>
                </c:pt>
                <c:pt idx="229">
                  <c:v>45264</c:v>
                </c:pt>
                <c:pt idx="230">
                  <c:v>45265</c:v>
                </c:pt>
                <c:pt idx="231">
                  <c:v>45266</c:v>
                </c:pt>
                <c:pt idx="232">
                  <c:v>45267</c:v>
                </c:pt>
                <c:pt idx="233">
                  <c:v>45268</c:v>
                </c:pt>
                <c:pt idx="234">
                  <c:v>45271</c:v>
                </c:pt>
                <c:pt idx="235">
                  <c:v>45272</c:v>
                </c:pt>
                <c:pt idx="236">
                  <c:v>45273</c:v>
                </c:pt>
                <c:pt idx="237">
                  <c:v>45274</c:v>
                </c:pt>
                <c:pt idx="238">
                  <c:v>45275</c:v>
                </c:pt>
                <c:pt idx="239">
                  <c:v>45278</c:v>
                </c:pt>
                <c:pt idx="240">
                  <c:v>45279</c:v>
                </c:pt>
                <c:pt idx="241">
                  <c:v>45280</c:v>
                </c:pt>
                <c:pt idx="242">
                  <c:v>45281</c:v>
                </c:pt>
                <c:pt idx="243">
                  <c:v>45282</c:v>
                </c:pt>
                <c:pt idx="244">
                  <c:v>45285</c:v>
                </c:pt>
                <c:pt idx="245">
                  <c:v>45286</c:v>
                </c:pt>
                <c:pt idx="246">
                  <c:v>45287</c:v>
                </c:pt>
                <c:pt idx="247">
                  <c:v>45288</c:v>
                </c:pt>
                <c:pt idx="248">
                  <c:v>45289</c:v>
                </c:pt>
                <c:pt idx="249">
                  <c:v>45293</c:v>
                </c:pt>
                <c:pt idx="250">
                  <c:v>45294</c:v>
                </c:pt>
                <c:pt idx="251">
                  <c:v>45295</c:v>
                </c:pt>
                <c:pt idx="252">
                  <c:v>45296</c:v>
                </c:pt>
                <c:pt idx="253">
                  <c:v>45299</c:v>
                </c:pt>
                <c:pt idx="254">
                  <c:v>45300</c:v>
                </c:pt>
                <c:pt idx="255">
                  <c:v>45301</c:v>
                </c:pt>
                <c:pt idx="256">
                  <c:v>45302</c:v>
                </c:pt>
                <c:pt idx="257">
                  <c:v>45303</c:v>
                </c:pt>
                <c:pt idx="258">
                  <c:v>45306</c:v>
                </c:pt>
                <c:pt idx="259">
                  <c:v>45307</c:v>
                </c:pt>
                <c:pt idx="260">
                  <c:v>45308</c:v>
                </c:pt>
                <c:pt idx="261">
                  <c:v>45309</c:v>
                </c:pt>
                <c:pt idx="262">
                  <c:v>45310</c:v>
                </c:pt>
                <c:pt idx="263">
                  <c:v>45313</c:v>
                </c:pt>
                <c:pt idx="264">
                  <c:v>45314</c:v>
                </c:pt>
                <c:pt idx="265">
                  <c:v>45315</c:v>
                </c:pt>
                <c:pt idx="266">
                  <c:v>45316</c:v>
                </c:pt>
                <c:pt idx="267">
                  <c:v>45317</c:v>
                </c:pt>
                <c:pt idx="268">
                  <c:v>45320</c:v>
                </c:pt>
                <c:pt idx="269">
                  <c:v>45321</c:v>
                </c:pt>
                <c:pt idx="270">
                  <c:v>45322</c:v>
                </c:pt>
                <c:pt idx="271">
                  <c:v>45323</c:v>
                </c:pt>
                <c:pt idx="272">
                  <c:v>45324</c:v>
                </c:pt>
                <c:pt idx="273">
                  <c:v>45327</c:v>
                </c:pt>
                <c:pt idx="274">
                  <c:v>45328</c:v>
                </c:pt>
                <c:pt idx="275">
                  <c:v>45329</c:v>
                </c:pt>
                <c:pt idx="276">
                  <c:v>45337</c:v>
                </c:pt>
                <c:pt idx="277">
                  <c:v>45338</c:v>
                </c:pt>
                <c:pt idx="278">
                  <c:v>45341</c:v>
                </c:pt>
                <c:pt idx="279">
                  <c:v>45342</c:v>
                </c:pt>
                <c:pt idx="280">
                  <c:v>45343</c:v>
                </c:pt>
                <c:pt idx="281">
                  <c:v>45344</c:v>
                </c:pt>
                <c:pt idx="282">
                  <c:v>45345</c:v>
                </c:pt>
                <c:pt idx="283">
                  <c:v>45348</c:v>
                </c:pt>
                <c:pt idx="284">
                  <c:v>45349</c:v>
                </c:pt>
                <c:pt idx="285">
                  <c:v>45350</c:v>
                </c:pt>
                <c:pt idx="286">
                  <c:v>45351</c:v>
                </c:pt>
                <c:pt idx="287">
                  <c:v>45352</c:v>
                </c:pt>
                <c:pt idx="288">
                  <c:v>45355</c:v>
                </c:pt>
                <c:pt idx="289">
                  <c:v>45356</c:v>
                </c:pt>
                <c:pt idx="290">
                  <c:v>45357</c:v>
                </c:pt>
                <c:pt idx="291">
                  <c:v>45358</c:v>
                </c:pt>
                <c:pt idx="292">
                  <c:v>45359</c:v>
                </c:pt>
                <c:pt idx="293">
                  <c:v>45362</c:v>
                </c:pt>
                <c:pt idx="294">
                  <c:v>45363</c:v>
                </c:pt>
                <c:pt idx="295">
                  <c:v>45364</c:v>
                </c:pt>
                <c:pt idx="296">
                  <c:v>45365</c:v>
                </c:pt>
                <c:pt idx="297">
                  <c:v>45366</c:v>
                </c:pt>
                <c:pt idx="298">
                  <c:v>45369</c:v>
                </c:pt>
                <c:pt idx="299">
                  <c:v>45370</c:v>
                </c:pt>
                <c:pt idx="300">
                  <c:v>45371</c:v>
                </c:pt>
                <c:pt idx="301">
                  <c:v>45372</c:v>
                </c:pt>
                <c:pt idx="302">
                  <c:v>45373</c:v>
                </c:pt>
                <c:pt idx="303">
                  <c:v>45376</c:v>
                </c:pt>
                <c:pt idx="304">
                  <c:v>45377</c:v>
                </c:pt>
                <c:pt idx="305">
                  <c:v>45378</c:v>
                </c:pt>
                <c:pt idx="306">
                  <c:v>45379</c:v>
                </c:pt>
                <c:pt idx="307">
                  <c:v>45380</c:v>
                </c:pt>
                <c:pt idx="308">
                  <c:v>45383</c:v>
                </c:pt>
                <c:pt idx="309">
                  <c:v>45384</c:v>
                </c:pt>
                <c:pt idx="310">
                  <c:v>45385</c:v>
                </c:pt>
                <c:pt idx="311">
                  <c:v>45386</c:v>
                </c:pt>
                <c:pt idx="312">
                  <c:v>45387</c:v>
                </c:pt>
                <c:pt idx="313">
                  <c:v>45390</c:v>
                </c:pt>
                <c:pt idx="314">
                  <c:v>45391</c:v>
                </c:pt>
                <c:pt idx="315">
                  <c:v>45392</c:v>
                </c:pt>
                <c:pt idx="316">
                  <c:v>45393</c:v>
                </c:pt>
                <c:pt idx="317">
                  <c:v>45394</c:v>
                </c:pt>
                <c:pt idx="318">
                  <c:v>45397</c:v>
                </c:pt>
                <c:pt idx="319">
                  <c:v>45398</c:v>
                </c:pt>
                <c:pt idx="320">
                  <c:v>45399</c:v>
                </c:pt>
                <c:pt idx="321">
                  <c:v>45401</c:v>
                </c:pt>
                <c:pt idx="322">
                  <c:v>45404</c:v>
                </c:pt>
                <c:pt idx="323">
                  <c:v>45405</c:v>
                </c:pt>
                <c:pt idx="324">
                  <c:v>45406</c:v>
                </c:pt>
                <c:pt idx="325">
                  <c:v>45407</c:v>
                </c:pt>
                <c:pt idx="326">
                  <c:v>45408</c:v>
                </c:pt>
                <c:pt idx="327">
                  <c:v>45414</c:v>
                </c:pt>
                <c:pt idx="328">
                  <c:v>45415</c:v>
                </c:pt>
                <c:pt idx="329">
                  <c:v>45418</c:v>
                </c:pt>
                <c:pt idx="330">
                  <c:v>45419</c:v>
                </c:pt>
                <c:pt idx="331">
                  <c:v>45420</c:v>
                </c:pt>
                <c:pt idx="332">
                  <c:v>45421</c:v>
                </c:pt>
                <c:pt idx="333">
                  <c:v>45422</c:v>
                </c:pt>
                <c:pt idx="334">
                  <c:v>45425</c:v>
                </c:pt>
                <c:pt idx="335">
                  <c:v>45426</c:v>
                </c:pt>
                <c:pt idx="336">
                  <c:v>45427</c:v>
                </c:pt>
                <c:pt idx="337">
                  <c:v>45428</c:v>
                </c:pt>
                <c:pt idx="338">
                  <c:v>45429</c:v>
                </c:pt>
                <c:pt idx="339">
                  <c:v>45432</c:v>
                </c:pt>
                <c:pt idx="340">
                  <c:v>45433</c:v>
                </c:pt>
                <c:pt idx="341">
                  <c:v>45434</c:v>
                </c:pt>
                <c:pt idx="342">
                  <c:v>45435</c:v>
                </c:pt>
                <c:pt idx="343">
                  <c:v>45436</c:v>
                </c:pt>
                <c:pt idx="344">
                  <c:v>45439</c:v>
                </c:pt>
                <c:pt idx="345">
                  <c:v>45440</c:v>
                </c:pt>
                <c:pt idx="346">
                  <c:v>45441</c:v>
                </c:pt>
                <c:pt idx="347">
                  <c:v>45442</c:v>
                </c:pt>
                <c:pt idx="348">
                  <c:v>45443</c:v>
                </c:pt>
                <c:pt idx="349">
                  <c:v>45446</c:v>
                </c:pt>
                <c:pt idx="350">
                  <c:v>45447</c:v>
                </c:pt>
                <c:pt idx="351">
                  <c:v>45448</c:v>
                </c:pt>
                <c:pt idx="352">
                  <c:v>45449</c:v>
                </c:pt>
                <c:pt idx="353">
                  <c:v>45450</c:v>
                </c:pt>
                <c:pt idx="354">
                  <c:v>45453</c:v>
                </c:pt>
                <c:pt idx="355">
                  <c:v>45454</c:v>
                </c:pt>
                <c:pt idx="356">
                  <c:v>45455</c:v>
                </c:pt>
                <c:pt idx="357">
                  <c:v>45456</c:v>
                </c:pt>
                <c:pt idx="358">
                  <c:v>45457</c:v>
                </c:pt>
                <c:pt idx="359">
                  <c:v>45460</c:v>
                </c:pt>
                <c:pt idx="360">
                  <c:v>45461</c:v>
                </c:pt>
                <c:pt idx="361">
                  <c:v>45462</c:v>
                </c:pt>
                <c:pt idx="362">
                  <c:v>45463</c:v>
                </c:pt>
                <c:pt idx="363">
                  <c:v>45464</c:v>
                </c:pt>
                <c:pt idx="364">
                  <c:v>45467</c:v>
                </c:pt>
                <c:pt idx="365">
                  <c:v>45468</c:v>
                </c:pt>
                <c:pt idx="366">
                  <c:v>45469</c:v>
                </c:pt>
                <c:pt idx="367">
                  <c:v>45470</c:v>
                </c:pt>
                <c:pt idx="368">
                  <c:v>45471</c:v>
                </c:pt>
                <c:pt idx="369">
                  <c:v>45474</c:v>
                </c:pt>
                <c:pt idx="370">
                  <c:v>45475</c:v>
                </c:pt>
                <c:pt idx="371">
                  <c:v>45476</c:v>
                </c:pt>
                <c:pt idx="372">
                  <c:v>45477</c:v>
                </c:pt>
                <c:pt idx="373">
                  <c:v>45478</c:v>
                </c:pt>
                <c:pt idx="374">
                  <c:v>45481</c:v>
                </c:pt>
                <c:pt idx="375">
                  <c:v>45482</c:v>
                </c:pt>
                <c:pt idx="376">
                  <c:v>45483</c:v>
                </c:pt>
                <c:pt idx="377">
                  <c:v>45484</c:v>
                </c:pt>
                <c:pt idx="378">
                  <c:v>45485</c:v>
                </c:pt>
                <c:pt idx="379">
                  <c:v>45488</c:v>
                </c:pt>
                <c:pt idx="380">
                  <c:v>45489</c:v>
                </c:pt>
                <c:pt idx="381">
                  <c:v>45490</c:v>
                </c:pt>
                <c:pt idx="382">
                  <c:v>45491</c:v>
                </c:pt>
                <c:pt idx="383">
                  <c:v>45492</c:v>
                </c:pt>
                <c:pt idx="384">
                  <c:v>45495</c:v>
                </c:pt>
                <c:pt idx="385">
                  <c:v>45496</c:v>
                </c:pt>
                <c:pt idx="386">
                  <c:v>45497</c:v>
                </c:pt>
                <c:pt idx="387">
                  <c:v>45498</c:v>
                </c:pt>
                <c:pt idx="388">
                  <c:v>45499</c:v>
                </c:pt>
                <c:pt idx="389">
                  <c:v>45502</c:v>
                </c:pt>
                <c:pt idx="390">
                  <c:v>45503</c:v>
                </c:pt>
                <c:pt idx="391">
                  <c:v>45504</c:v>
                </c:pt>
                <c:pt idx="392">
                  <c:v>45505</c:v>
                </c:pt>
                <c:pt idx="393">
                  <c:v>45506</c:v>
                </c:pt>
                <c:pt idx="394">
                  <c:v>45509</c:v>
                </c:pt>
                <c:pt idx="395">
                  <c:v>45510</c:v>
                </c:pt>
                <c:pt idx="396">
                  <c:v>45511</c:v>
                </c:pt>
                <c:pt idx="397">
                  <c:v>45512</c:v>
                </c:pt>
                <c:pt idx="398">
                  <c:v>45513</c:v>
                </c:pt>
                <c:pt idx="399">
                  <c:v>45516</c:v>
                </c:pt>
                <c:pt idx="400">
                  <c:v>45517</c:v>
                </c:pt>
                <c:pt idx="401">
                  <c:v>45518</c:v>
                </c:pt>
                <c:pt idx="402">
                  <c:v>45519</c:v>
                </c:pt>
                <c:pt idx="403">
                  <c:v>45520</c:v>
                </c:pt>
                <c:pt idx="404">
                  <c:v>45521</c:v>
                </c:pt>
                <c:pt idx="405">
                  <c:v>45522</c:v>
                </c:pt>
                <c:pt idx="406">
                  <c:v>45523</c:v>
                </c:pt>
                <c:pt idx="407">
                  <c:v>45524</c:v>
                </c:pt>
                <c:pt idx="408">
                  <c:v>45525</c:v>
                </c:pt>
                <c:pt idx="409">
                  <c:v>45526</c:v>
                </c:pt>
                <c:pt idx="410">
                  <c:v>45527</c:v>
                </c:pt>
                <c:pt idx="411">
                  <c:v>45530</c:v>
                </c:pt>
                <c:pt idx="412">
                  <c:v>45531</c:v>
                </c:pt>
                <c:pt idx="413">
                  <c:v>45532</c:v>
                </c:pt>
                <c:pt idx="414">
                  <c:v>45533</c:v>
                </c:pt>
                <c:pt idx="415">
                  <c:v>45534</c:v>
                </c:pt>
                <c:pt idx="416">
                  <c:v>45539</c:v>
                </c:pt>
                <c:pt idx="417">
                  <c:v>45540</c:v>
                </c:pt>
                <c:pt idx="418">
                  <c:v>45541</c:v>
                </c:pt>
                <c:pt idx="419">
                  <c:v>45544</c:v>
                </c:pt>
                <c:pt idx="420">
                  <c:v>45545</c:v>
                </c:pt>
                <c:pt idx="421">
                  <c:v>45546</c:v>
                </c:pt>
                <c:pt idx="422">
                  <c:v>45547</c:v>
                </c:pt>
                <c:pt idx="423">
                  <c:v>45548</c:v>
                </c:pt>
                <c:pt idx="424">
                  <c:v>45551</c:v>
                </c:pt>
                <c:pt idx="425">
                  <c:v>45552</c:v>
                </c:pt>
                <c:pt idx="426">
                  <c:v>45553</c:v>
                </c:pt>
                <c:pt idx="427">
                  <c:v>45554</c:v>
                </c:pt>
                <c:pt idx="428">
                  <c:v>45555</c:v>
                </c:pt>
                <c:pt idx="429">
                  <c:v>45558</c:v>
                </c:pt>
                <c:pt idx="430">
                  <c:v>45559</c:v>
                </c:pt>
                <c:pt idx="431">
                  <c:v>45560</c:v>
                </c:pt>
                <c:pt idx="432">
                  <c:v>45561</c:v>
                </c:pt>
                <c:pt idx="433">
                  <c:v>45562</c:v>
                </c:pt>
                <c:pt idx="434">
                  <c:v>45565</c:v>
                </c:pt>
                <c:pt idx="435">
                  <c:v>45566</c:v>
                </c:pt>
                <c:pt idx="436">
                  <c:v>45567</c:v>
                </c:pt>
                <c:pt idx="437">
                  <c:v>45568</c:v>
                </c:pt>
                <c:pt idx="438">
                  <c:v>45569</c:v>
                </c:pt>
                <c:pt idx="439">
                  <c:v>45572</c:v>
                </c:pt>
                <c:pt idx="440">
                  <c:v>45573</c:v>
                </c:pt>
                <c:pt idx="441">
                  <c:v>45574</c:v>
                </c:pt>
                <c:pt idx="442">
                  <c:v>45575</c:v>
                </c:pt>
                <c:pt idx="443">
                  <c:v>45576</c:v>
                </c:pt>
                <c:pt idx="444">
                  <c:v>45579</c:v>
                </c:pt>
                <c:pt idx="445">
                  <c:v>45580</c:v>
                </c:pt>
                <c:pt idx="446">
                  <c:v>45581</c:v>
                </c:pt>
                <c:pt idx="447">
                  <c:v>45582</c:v>
                </c:pt>
                <c:pt idx="448">
                  <c:v>45583</c:v>
                </c:pt>
                <c:pt idx="449">
                  <c:v>45586</c:v>
                </c:pt>
                <c:pt idx="450">
                  <c:v>45587</c:v>
                </c:pt>
                <c:pt idx="451">
                  <c:v>45588</c:v>
                </c:pt>
                <c:pt idx="452">
                  <c:v>45589</c:v>
                </c:pt>
                <c:pt idx="453">
                  <c:v>45590</c:v>
                </c:pt>
                <c:pt idx="454">
                  <c:v>45593</c:v>
                </c:pt>
                <c:pt idx="455">
                  <c:v>45594</c:v>
                </c:pt>
                <c:pt idx="456">
                  <c:v>45595</c:v>
                </c:pt>
                <c:pt idx="457">
                  <c:v>45596</c:v>
                </c:pt>
                <c:pt idx="458">
                  <c:v>45597</c:v>
                </c:pt>
                <c:pt idx="459">
                  <c:v>45600</c:v>
                </c:pt>
                <c:pt idx="460">
                  <c:v>45601</c:v>
                </c:pt>
                <c:pt idx="461">
                  <c:v>45602</c:v>
                </c:pt>
                <c:pt idx="462">
                  <c:v>45603</c:v>
                </c:pt>
                <c:pt idx="463">
                  <c:v>45604</c:v>
                </c:pt>
                <c:pt idx="464">
                  <c:v>45607</c:v>
                </c:pt>
                <c:pt idx="465">
                  <c:v>45608</c:v>
                </c:pt>
                <c:pt idx="466">
                  <c:v>45609</c:v>
                </c:pt>
                <c:pt idx="467">
                  <c:v>45610</c:v>
                </c:pt>
                <c:pt idx="468">
                  <c:v>45611</c:v>
                </c:pt>
                <c:pt idx="469">
                  <c:v>45614</c:v>
                </c:pt>
                <c:pt idx="470">
                  <c:v>45615</c:v>
                </c:pt>
                <c:pt idx="471">
                  <c:v>45656</c:v>
                </c:pt>
                <c:pt idx="472">
                  <c:v>45657</c:v>
                </c:pt>
                <c:pt idx="473">
                  <c:v>45747</c:v>
                </c:pt>
                <c:pt idx="474">
                  <c:v>45837</c:v>
                </c:pt>
                <c:pt idx="475">
                  <c:v>45927</c:v>
                </c:pt>
                <c:pt idx="476">
                  <c:v>46017</c:v>
                </c:pt>
                <c:pt idx="477">
                  <c:v>46107</c:v>
                </c:pt>
                <c:pt idx="478">
                  <c:v>46197</c:v>
                </c:pt>
              </c:numCache>
            </c:numRef>
          </c:cat>
          <c:val>
            <c:numRef>
              <c:f>Diamond!$M$3:$M$481</c:f>
              <c:numCache>
                <c:formatCode>_-* #,##0_-;\-* #,##0_-;_-* "-"??_-;_-@_-</c:formatCode>
                <c:ptCount val="479"/>
                <c:pt idx="0">
                  <c:v>62778.861116400003</c:v>
                </c:pt>
                <c:pt idx="1">
                  <c:v>62778.861116400003</c:v>
                </c:pt>
                <c:pt idx="2">
                  <c:v>64315.406668199998</c:v>
                </c:pt>
                <c:pt idx="3">
                  <c:v>63656.887146000001</c:v>
                </c:pt>
                <c:pt idx="4">
                  <c:v>63803.224817599999</c:v>
                </c:pt>
                <c:pt idx="5">
                  <c:v>63144.705295400003</c:v>
                </c:pt>
                <c:pt idx="6">
                  <c:v>61461.822072000003</c:v>
                </c:pt>
                <c:pt idx="7">
                  <c:v>61754.4974152</c:v>
                </c:pt>
                <c:pt idx="8">
                  <c:v>62266.679265799998</c:v>
                </c:pt>
                <c:pt idx="9">
                  <c:v>61608.159743600001</c:v>
                </c:pt>
                <c:pt idx="10">
                  <c:v>61534.990907799998</c:v>
                </c:pt>
                <c:pt idx="11">
                  <c:v>61315.484400399997</c:v>
                </c:pt>
                <c:pt idx="12">
                  <c:v>62998.367623799997</c:v>
                </c:pt>
                <c:pt idx="13">
                  <c:v>65778.783384199996</c:v>
                </c:pt>
                <c:pt idx="14">
                  <c:v>66729.978249599997</c:v>
                </c:pt>
                <c:pt idx="15">
                  <c:v>67168.9912644</c:v>
                </c:pt>
                <c:pt idx="16">
                  <c:v>67608.004279200002</c:v>
                </c:pt>
                <c:pt idx="17">
                  <c:v>68047.017294000005</c:v>
                </c:pt>
                <c:pt idx="18">
                  <c:v>68925.043323599995</c:v>
                </c:pt>
                <c:pt idx="19">
                  <c:v>73022.498128399995</c:v>
                </c:pt>
                <c:pt idx="20">
                  <c:v>69949.407024800006</c:v>
                </c:pt>
                <c:pt idx="21">
                  <c:v>68998.212159400005</c:v>
                </c:pt>
                <c:pt idx="22">
                  <c:v>66876.315921200003</c:v>
                </c:pt>
                <c:pt idx="23">
                  <c:v>65120.263862</c:v>
                </c:pt>
                <c:pt idx="24">
                  <c:v>64388.575504</c:v>
                </c:pt>
                <c:pt idx="25">
                  <c:v>61608.159743600001</c:v>
                </c:pt>
                <c:pt idx="26">
                  <c:v>62193.510430000002</c:v>
                </c:pt>
                <c:pt idx="27">
                  <c:v>62193.510430000002</c:v>
                </c:pt>
                <c:pt idx="28">
                  <c:v>62559.354609000002</c:v>
                </c:pt>
                <c:pt idx="29">
                  <c:v>63364.211802799997</c:v>
                </c:pt>
                <c:pt idx="30">
                  <c:v>63291.042967000001</c:v>
                </c:pt>
                <c:pt idx="31">
                  <c:v>64827.588518800003</c:v>
                </c:pt>
                <c:pt idx="32">
                  <c:v>65120.263862</c:v>
                </c:pt>
                <c:pt idx="33">
                  <c:v>62925.198788000002</c:v>
                </c:pt>
                <c:pt idx="34">
                  <c:v>62925.198788000002</c:v>
                </c:pt>
                <c:pt idx="35">
                  <c:v>61608.159743600001</c:v>
                </c:pt>
                <c:pt idx="36">
                  <c:v>59266.756997999997</c:v>
                </c:pt>
                <c:pt idx="37">
                  <c:v>58535.068639999998</c:v>
                </c:pt>
                <c:pt idx="38">
                  <c:v>59705.7700128</c:v>
                </c:pt>
                <c:pt idx="39">
                  <c:v>58974.0816548</c:v>
                </c:pt>
                <c:pt idx="40">
                  <c:v>57657.0426104</c:v>
                </c:pt>
                <c:pt idx="41">
                  <c:v>57657.0426104</c:v>
                </c:pt>
                <c:pt idx="42">
                  <c:v>58096.055625200002</c:v>
                </c:pt>
                <c:pt idx="43">
                  <c:v>57657.0426104</c:v>
                </c:pt>
                <c:pt idx="44">
                  <c:v>58535.068639999998</c:v>
                </c:pt>
                <c:pt idx="45">
                  <c:v>58169.224460999998</c:v>
                </c:pt>
                <c:pt idx="46">
                  <c:v>57657.0426104</c:v>
                </c:pt>
                <c:pt idx="47">
                  <c:v>56486.341237599998</c:v>
                </c:pt>
                <c:pt idx="48">
                  <c:v>58535.068639999998</c:v>
                </c:pt>
                <c:pt idx="49">
                  <c:v>57657.0426104</c:v>
                </c:pt>
                <c:pt idx="50">
                  <c:v>57657.0426104</c:v>
                </c:pt>
                <c:pt idx="51">
                  <c:v>55754.652879599998</c:v>
                </c:pt>
                <c:pt idx="52">
                  <c:v>56340.003565999999</c:v>
                </c:pt>
                <c:pt idx="53">
                  <c:v>55535.146372199997</c:v>
                </c:pt>
                <c:pt idx="54">
                  <c:v>55315.639864800003</c:v>
                </c:pt>
                <c:pt idx="55">
                  <c:v>55535.146372199997</c:v>
                </c:pt>
                <c:pt idx="56">
                  <c:v>55754.652879599998</c:v>
                </c:pt>
                <c:pt idx="57">
                  <c:v>57218.029595599997</c:v>
                </c:pt>
                <c:pt idx="58">
                  <c:v>56632.678909200004</c:v>
                </c:pt>
                <c:pt idx="59">
                  <c:v>56486.341237599998</c:v>
                </c:pt>
                <c:pt idx="60">
                  <c:v>56413.172401800002</c:v>
                </c:pt>
                <c:pt idx="61">
                  <c:v>57071.691923999999</c:v>
                </c:pt>
                <c:pt idx="62">
                  <c:v>58242.393296800001</c:v>
                </c:pt>
                <c:pt idx="63">
                  <c:v>58169.224460999998</c:v>
                </c:pt>
                <c:pt idx="64">
                  <c:v>57218.029595599997</c:v>
                </c:pt>
                <c:pt idx="65">
                  <c:v>57071.691923999999</c:v>
                </c:pt>
                <c:pt idx="66">
                  <c:v>59998.445355999997</c:v>
                </c:pt>
                <c:pt idx="67">
                  <c:v>59559.432341200001</c:v>
                </c:pt>
                <c:pt idx="68">
                  <c:v>59632.601176999997</c:v>
                </c:pt>
                <c:pt idx="69">
                  <c:v>60071.614191799999</c:v>
                </c:pt>
                <c:pt idx="70">
                  <c:v>58535.068639999998</c:v>
                </c:pt>
                <c:pt idx="71">
                  <c:v>58315.562132599996</c:v>
                </c:pt>
                <c:pt idx="72">
                  <c:v>58461.899804200002</c:v>
                </c:pt>
                <c:pt idx="73">
                  <c:v>59266.756997999997</c:v>
                </c:pt>
                <c:pt idx="74">
                  <c:v>59120.419326399999</c:v>
                </c:pt>
                <c:pt idx="75">
                  <c:v>57510.704938800001</c:v>
                </c:pt>
                <c:pt idx="76">
                  <c:v>56193.665894400001</c:v>
                </c:pt>
                <c:pt idx="77">
                  <c:v>55169.302193199997</c:v>
                </c:pt>
                <c:pt idx="78">
                  <c:v>56193.665894400001</c:v>
                </c:pt>
                <c:pt idx="79">
                  <c:v>56559.510073400001</c:v>
                </c:pt>
                <c:pt idx="80">
                  <c:v>57364.367267200003</c:v>
                </c:pt>
                <c:pt idx="81">
                  <c:v>55461.977536400002</c:v>
                </c:pt>
                <c:pt idx="82">
                  <c:v>55315.639864800003</c:v>
                </c:pt>
                <c:pt idx="83">
                  <c:v>55388.808700599999</c:v>
                </c:pt>
                <c:pt idx="84">
                  <c:v>55535.146372199997</c:v>
                </c:pt>
                <c:pt idx="85">
                  <c:v>57071.691923999999</c:v>
                </c:pt>
                <c:pt idx="86">
                  <c:v>56632.678909200004</c:v>
                </c:pt>
                <c:pt idx="87">
                  <c:v>57071.691923999999</c:v>
                </c:pt>
                <c:pt idx="88">
                  <c:v>56925.3542524</c:v>
                </c:pt>
                <c:pt idx="89">
                  <c:v>56266.834730199997</c:v>
                </c:pt>
                <c:pt idx="90">
                  <c:v>55827.821715400001</c:v>
                </c:pt>
                <c:pt idx="91">
                  <c:v>55754.652879599998</c:v>
                </c:pt>
                <c:pt idx="92">
                  <c:v>56047.328222800003</c:v>
                </c:pt>
                <c:pt idx="93">
                  <c:v>56413.172401800002</c:v>
                </c:pt>
                <c:pt idx="94">
                  <c:v>55974.159387</c:v>
                </c:pt>
                <c:pt idx="95">
                  <c:v>55535.146372199997</c:v>
                </c:pt>
                <c:pt idx="96">
                  <c:v>55608.315208</c:v>
                </c:pt>
                <c:pt idx="97">
                  <c:v>55900.990551199997</c:v>
                </c:pt>
                <c:pt idx="98">
                  <c:v>56632.678909200004</c:v>
                </c:pt>
                <c:pt idx="99">
                  <c:v>57657.0426104</c:v>
                </c:pt>
                <c:pt idx="100">
                  <c:v>57350.0152848</c:v>
                </c:pt>
                <c:pt idx="101">
                  <c:v>57496.3163442</c:v>
                </c:pt>
                <c:pt idx="102">
                  <c:v>59690.832235200003</c:v>
                </c:pt>
                <c:pt idx="103">
                  <c:v>60276.036472799999</c:v>
                </c:pt>
                <c:pt idx="104">
                  <c:v>61153.842829200003</c:v>
                </c:pt>
                <c:pt idx="105">
                  <c:v>61153.842829200003</c:v>
                </c:pt>
                <c:pt idx="106">
                  <c:v>59471.380646099999</c:v>
                </c:pt>
                <c:pt idx="107">
                  <c:v>60568.6385916</c:v>
                </c:pt>
                <c:pt idx="108">
                  <c:v>62909.455542000003</c:v>
                </c:pt>
                <c:pt idx="109">
                  <c:v>62909.455542000003</c:v>
                </c:pt>
                <c:pt idx="110">
                  <c:v>61519.595477700001</c:v>
                </c:pt>
                <c:pt idx="111">
                  <c:v>61007.541769800002</c:v>
                </c:pt>
                <c:pt idx="112">
                  <c:v>60495.488061900003</c:v>
                </c:pt>
                <c:pt idx="113">
                  <c:v>60714.939651000001</c:v>
                </c:pt>
                <c:pt idx="114">
                  <c:v>62177.950245</c:v>
                </c:pt>
                <c:pt idx="115">
                  <c:v>62470.552363800001</c:v>
                </c:pt>
                <c:pt idx="116">
                  <c:v>62982.6060717</c:v>
                </c:pt>
                <c:pt idx="117">
                  <c:v>62763.154482600003</c:v>
                </c:pt>
                <c:pt idx="118">
                  <c:v>64884.519843900001</c:v>
                </c:pt>
                <c:pt idx="119">
                  <c:v>64665.068254799997</c:v>
                </c:pt>
                <c:pt idx="120">
                  <c:v>64226.165076600002</c:v>
                </c:pt>
                <c:pt idx="121">
                  <c:v>62470.552363800001</c:v>
                </c:pt>
                <c:pt idx="122">
                  <c:v>63348.358720199998</c:v>
                </c:pt>
                <c:pt idx="123">
                  <c:v>62909.455542000003</c:v>
                </c:pt>
                <c:pt idx="124">
                  <c:v>63275.208190500001</c:v>
                </c:pt>
                <c:pt idx="125">
                  <c:v>63421.509249900002</c:v>
                </c:pt>
                <c:pt idx="126">
                  <c:v>63202.057660799997</c:v>
                </c:pt>
                <c:pt idx="127">
                  <c:v>66566.982027000005</c:v>
                </c:pt>
                <c:pt idx="128">
                  <c:v>69858.755863500002</c:v>
                </c:pt>
                <c:pt idx="129">
                  <c:v>71394.916987200006</c:v>
                </c:pt>
                <c:pt idx="130">
                  <c:v>71906.970695099997</c:v>
                </c:pt>
                <c:pt idx="131">
                  <c:v>72199.572813899998</c:v>
                </c:pt>
                <c:pt idx="132">
                  <c:v>72345.873873300006</c:v>
                </c:pt>
                <c:pt idx="133">
                  <c:v>71175.465398100001</c:v>
                </c:pt>
                <c:pt idx="134">
                  <c:v>70297.659041699997</c:v>
                </c:pt>
                <c:pt idx="135">
                  <c:v>70956.013808999996</c:v>
                </c:pt>
                <c:pt idx="136">
                  <c:v>71811.698307700004</c:v>
                </c:pt>
                <c:pt idx="137">
                  <c:v>76784.402467499996</c:v>
                </c:pt>
                <c:pt idx="138">
                  <c:v>79709.522561499994</c:v>
                </c:pt>
                <c:pt idx="139">
                  <c:v>78393.218519200003</c:v>
                </c:pt>
                <c:pt idx="140">
                  <c:v>76930.658472199997</c:v>
                </c:pt>
                <c:pt idx="141">
                  <c:v>79124.498542700007</c:v>
                </c:pt>
                <c:pt idx="142">
                  <c:v>79709.522561499994</c:v>
                </c:pt>
                <c:pt idx="143">
                  <c:v>78539.474523900004</c:v>
                </c:pt>
                <c:pt idx="144">
                  <c:v>75614.354429900006</c:v>
                </c:pt>
                <c:pt idx="145">
                  <c:v>75614.354429900006</c:v>
                </c:pt>
                <c:pt idx="146">
                  <c:v>77076.914476899998</c:v>
                </c:pt>
                <c:pt idx="147">
                  <c:v>77515.682491</c:v>
                </c:pt>
                <c:pt idx="148">
                  <c:v>78685.730528600005</c:v>
                </c:pt>
                <c:pt idx="149">
                  <c:v>78393.218519200003</c:v>
                </c:pt>
                <c:pt idx="150">
                  <c:v>76930.658472199997</c:v>
                </c:pt>
                <c:pt idx="151">
                  <c:v>76053.122443999993</c:v>
                </c:pt>
                <c:pt idx="152">
                  <c:v>77954.450505100001</c:v>
                </c:pt>
                <c:pt idx="153">
                  <c:v>79270.754547400007</c:v>
                </c:pt>
                <c:pt idx="154">
                  <c:v>78978.242538000006</c:v>
                </c:pt>
                <c:pt idx="155">
                  <c:v>78685.730528600005</c:v>
                </c:pt>
                <c:pt idx="156">
                  <c:v>78831.986533300005</c:v>
                </c:pt>
                <c:pt idx="157">
                  <c:v>73420.514359399996</c:v>
                </c:pt>
                <c:pt idx="158">
                  <c:v>71665.442303000003</c:v>
                </c:pt>
                <c:pt idx="159">
                  <c:v>73128.002349999995</c:v>
                </c:pt>
                <c:pt idx="160">
                  <c:v>72689.234335899993</c:v>
                </c:pt>
                <c:pt idx="161">
                  <c:v>73566.770364099997</c:v>
                </c:pt>
                <c:pt idx="162">
                  <c:v>73859.282373499998</c:v>
                </c:pt>
                <c:pt idx="163">
                  <c:v>75614.354429900006</c:v>
                </c:pt>
                <c:pt idx="164">
                  <c:v>77369.426486299999</c:v>
                </c:pt>
                <c:pt idx="165">
                  <c:v>78685.730528600005</c:v>
                </c:pt>
                <c:pt idx="166">
                  <c:v>78685.730528600005</c:v>
                </c:pt>
                <c:pt idx="167">
                  <c:v>79417.010552099993</c:v>
                </c:pt>
                <c:pt idx="168">
                  <c:v>80440.802584999998</c:v>
                </c:pt>
                <c:pt idx="169">
                  <c:v>80440.802584999998</c:v>
                </c:pt>
                <c:pt idx="170">
                  <c:v>81172.082608500001</c:v>
                </c:pt>
                <c:pt idx="171">
                  <c:v>79709.522561499994</c:v>
                </c:pt>
                <c:pt idx="172">
                  <c:v>81610.850622600003</c:v>
                </c:pt>
                <c:pt idx="173">
                  <c:v>84097.202702499999</c:v>
                </c:pt>
                <c:pt idx="174">
                  <c:v>83804.690693099998</c:v>
                </c:pt>
                <c:pt idx="175">
                  <c:v>81757.106627300003</c:v>
                </c:pt>
                <c:pt idx="176">
                  <c:v>80440.802584999998</c:v>
                </c:pt>
                <c:pt idx="177">
                  <c:v>81172.082608500001</c:v>
                </c:pt>
                <c:pt idx="178">
                  <c:v>81610.850622600003</c:v>
                </c:pt>
                <c:pt idx="179">
                  <c:v>79270.754547400007</c:v>
                </c:pt>
                <c:pt idx="180">
                  <c:v>76199.378448699994</c:v>
                </c:pt>
                <c:pt idx="181">
                  <c:v>74590.562397000002</c:v>
                </c:pt>
                <c:pt idx="182">
                  <c:v>75321.842420500005</c:v>
                </c:pt>
                <c:pt idx="183">
                  <c:v>76053.122443999993</c:v>
                </c:pt>
                <c:pt idx="184">
                  <c:v>77515.682491</c:v>
                </c:pt>
                <c:pt idx="185">
                  <c:v>76930.658472199997</c:v>
                </c:pt>
                <c:pt idx="186">
                  <c:v>75906.866439300007</c:v>
                </c:pt>
                <c:pt idx="187">
                  <c:v>71665.442303000003</c:v>
                </c:pt>
                <c:pt idx="188">
                  <c:v>71957.954312400005</c:v>
                </c:pt>
                <c:pt idx="189">
                  <c:v>68740.322209000005</c:v>
                </c:pt>
                <c:pt idx="190">
                  <c:v>70641.650270099999</c:v>
                </c:pt>
                <c:pt idx="191">
                  <c:v>70129.754253649997</c:v>
                </c:pt>
                <c:pt idx="192">
                  <c:v>71446.058295950003</c:v>
                </c:pt>
                <c:pt idx="193">
                  <c:v>72104.210317100005</c:v>
                </c:pt>
                <c:pt idx="194">
                  <c:v>70787.9062748</c:v>
                </c:pt>
                <c:pt idx="195">
                  <c:v>72396.722326500007</c:v>
                </c:pt>
                <c:pt idx="196">
                  <c:v>71080.418284200001</c:v>
                </c:pt>
                <c:pt idx="197">
                  <c:v>67716.530176100001</c:v>
                </c:pt>
                <c:pt idx="198">
                  <c:v>65376.434100899998</c:v>
                </c:pt>
                <c:pt idx="199">
                  <c:v>62890.082021000002</c:v>
                </c:pt>
                <c:pt idx="200">
                  <c:v>65376.434100899998</c:v>
                </c:pt>
                <c:pt idx="201">
                  <c:v>62890.082021000002</c:v>
                </c:pt>
                <c:pt idx="202">
                  <c:v>62890.082021000002</c:v>
                </c:pt>
                <c:pt idx="203">
                  <c:v>63621.362044499998</c:v>
                </c:pt>
                <c:pt idx="204">
                  <c:v>61427.521974000003</c:v>
                </c:pt>
                <c:pt idx="205">
                  <c:v>61427.521974000003</c:v>
                </c:pt>
                <c:pt idx="206">
                  <c:v>59233.681903500001</c:v>
                </c:pt>
                <c:pt idx="207">
                  <c:v>55138.513771899998</c:v>
                </c:pt>
                <c:pt idx="208">
                  <c:v>51335.857649700003</c:v>
                </c:pt>
                <c:pt idx="209">
                  <c:v>54114.721739000001</c:v>
                </c:pt>
                <c:pt idx="210">
                  <c:v>56966.713830649998</c:v>
                </c:pt>
                <c:pt idx="211">
                  <c:v>55650.40978835</c:v>
                </c:pt>
                <c:pt idx="212">
                  <c:v>55869.793795400001</c:v>
                </c:pt>
                <c:pt idx="213">
                  <c:v>57917.377861200002</c:v>
                </c:pt>
                <c:pt idx="214">
                  <c:v>58941.1698941</c:v>
                </c:pt>
                <c:pt idx="215">
                  <c:v>57624.865851800001</c:v>
                </c:pt>
                <c:pt idx="216">
                  <c:v>58502.401879999998</c:v>
                </c:pt>
                <c:pt idx="217">
                  <c:v>60696.2419505</c:v>
                </c:pt>
                <c:pt idx="218">
                  <c:v>61281.265969300002</c:v>
                </c:pt>
                <c:pt idx="219">
                  <c:v>60696.2419505</c:v>
                </c:pt>
                <c:pt idx="220">
                  <c:v>60549.985945799999</c:v>
                </c:pt>
                <c:pt idx="221">
                  <c:v>59306.809905850001</c:v>
                </c:pt>
                <c:pt idx="222">
                  <c:v>59818.705922300003</c:v>
                </c:pt>
                <c:pt idx="223">
                  <c:v>58209.889870600004</c:v>
                </c:pt>
                <c:pt idx="224">
                  <c:v>54553.489753100002</c:v>
                </c:pt>
                <c:pt idx="225">
                  <c:v>56381.689811850003</c:v>
                </c:pt>
                <c:pt idx="226">
                  <c:v>55577.281786</c:v>
                </c:pt>
                <c:pt idx="227">
                  <c:v>55577.281786</c:v>
                </c:pt>
                <c:pt idx="228">
                  <c:v>56747.329823599997</c:v>
                </c:pt>
                <c:pt idx="229">
                  <c:v>56302.337937999997</c:v>
                </c:pt>
                <c:pt idx="230">
                  <c:v>56667.937534999997</c:v>
                </c:pt>
                <c:pt idx="231">
                  <c:v>58422.815600599999</c:v>
                </c:pt>
                <c:pt idx="232">
                  <c:v>58495.935519999999</c:v>
                </c:pt>
                <c:pt idx="233">
                  <c:v>59885.2139886</c:v>
                </c:pt>
                <c:pt idx="234">
                  <c:v>59738.9741498</c:v>
                </c:pt>
                <c:pt idx="235">
                  <c:v>62298.171328800003</c:v>
                </c:pt>
                <c:pt idx="236">
                  <c:v>62151.931490000003</c:v>
                </c:pt>
                <c:pt idx="237">
                  <c:v>62151.931490000003</c:v>
                </c:pt>
                <c:pt idx="238">
                  <c:v>60982.012779600002</c:v>
                </c:pt>
                <c:pt idx="239">
                  <c:v>60835.772940800001</c:v>
                </c:pt>
                <c:pt idx="240">
                  <c:v>59592.734311</c:v>
                </c:pt>
                <c:pt idx="241">
                  <c:v>57910.976164799999</c:v>
                </c:pt>
                <c:pt idx="242">
                  <c:v>59446.4944722</c:v>
                </c:pt>
                <c:pt idx="243">
                  <c:v>62005.691651200003</c:v>
                </c:pt>
                <c:pt idx="244">
                  <c:v>62371.291248200003</c:v>
                </c:pt>
                <c:pt idx="245">
                  <c:v>61932.571731800002</c:v>
                </c:pt>
                <c:pt idx="246">
                  <c:v>62371.291248200003</c:v>
                </c:pt>
                <c:pt idx="247">
                  <c:v>62444.411167600003</c:v>
                </c:pt>
                <c:pt idx="248">
                  <c:v>62663.770925800003</c:v>
                </c:pt>
                <c:pt idx="249">
                  <c:v>62956.250603400003</c:v>
                </c:pt>
                <c:pt idx="250">
                  <c:v>62590.651006400003</c:v>
                </c:pt>
                <c:pt idx="251">
                  <c:v>62078.811570600003</c:v>
                </c:pt>
                <c:pt idx="252">
                  <c:v>63175.610361599996</c:v>
                </c:pt>
                <c:pt idx="253">
                  <c:v>63175.610361599996</c:v>
                </c:pt>
                <c:pt idx="254">
                  <c:v>64126.169313799997</c:v>
                </c:pt>
                <c:pt idx="255">
                  <c:v>63175.610361599996</c:v>
                </c:pt>
                <c:pt idx="256">
                  <c:v>62444.411167600003</c:v>
                </c:pt>
                <c:pt idx="257">
                  <c:v>61786.331893000002</c:v>
                </c:pt>
                <c:pt idx="258">
                  <c:v>62078.811570600003</c:v>
                </c:pt>
                <c:pt idx="259">
                  <c:v>61274.492457200002</c:v>
                </c:pt>
                <c:pt idx="260">
                  <c:v>62736.890845200003</c:v>
                </c:pt>
                <c:pt idx="261">
                  <c:v>64784.248588399998</c:v>
                </c:pt>
                <c:pt idx="262">
                  <c:v>65661.687621200006</c:v>
                </c:pt>
                <c:pt idx="263">
                  <c:v>67050.9660898</c:v>
                </c:pt>
                <c:pt idx="264">
                  <c:v>67343.4457674</c:v>
                </c:pt>
                <c:pt idx="265">
                  <c:v>67489.685606200001</c:v>
                </c:pt>
                <c:pt idx="266">
                  <c:v>66392.886815200007</c:v>
                </c:pt>
                <c:pt idx="267">
                  <c:v>64930.488427199998</c:v>
                </c:pt>
                <c:pt idx="268">
                  <c:v>66100.407137600007</c:v>
                </c:pt>
                <c:pt idx="269">
                  <c:v>65661.687621200006</c:v>
                </c:pt>
                <c:pt idx="270">
                  <c:v>65222.968104799998</c:v>
                </c:pt>
                <c:pt idx="271">
                  <c:v>66392.886815200007</c:v>
                </c:pt>
                <c:pt idx="272">
                  <c:v>65807.927460000006</c:v>
                </c:pt>
                <c:pt idx="273">
                  <c:v>67562.805525599993</c:v>
                </c:pt>
                <c:pt idx="274">
                  <c:v>69317.683591199995</c:v>
                </c:pt>
                <c:pt idx="275">
                  <c:v>69317.683591199995</c:v>
                </c:pt>
                <c:pt idx="276">
                  <c:v>68732.724235999995</c:v>
                </c:pt>
                <c:pt idx="277">
                  <c:v>68147.764880799994</c:v>
                </c:pt>
                <c:pt idx="278">
                  <c:v>67050.9660898</c:v>
                </c:pt>
                <c:pt idx="279">
                  <c:v>67709.045364399994</c:v>
                </c:pt>
                <c:pt idx="280">
                  <c:v>68440.244558399994</c:v>
                </c:pt>
                <c:pt idx="281">
                  <c:v>68440.244558399994</c:v>
                </c:pt>
                <c:pt idx="282">
                  <c:v>67416.565686799993</c:v>
                </c:pt>
                <c:pt idx="283">
                  <c:v>66246.646976400007</c:v>
                </c:pt>
                <c:pt idx="284">
                  <c:v>64345.529071999998</c:v>
                </c:pt>
                <c:pt idx="285">
                  <c:v>64857.368507799998</c:v>
                </c:pt>
                <c:pt idx="286">
                  <c:v>65442.327862999999</c:v>
                </c:pt>
                <c:pt idx="287">
                  <c:v>66246.646976400007</c:v>
                </c:pt>
                <c:pt idx="288">
                  <c:v>67562.805525599993</c:v>
                </c:pt>
                <c:pt idx="289">
                  <c:v>68147.764880799994</c:v>
                </c:pt>
                <c:pt idx="290">
                  <c:v>69317.683591199995</c:v>
                </c:pt>
                <c:pt idx="291">
                  <c:v>73112.208849999995</c:v>
                </c:pt>
                <c:pt idx="292">
                  <c:v>71211.291419899993</c:v>
                </c:pt>
                <c:pt idx="293">
                  <c:v>71649.964672999995</c:v>
                </c:pt>
                <c:pt idx="294">
                  <c:v>69822.159451750005</c:v>
                </c:pt>
                <c:pt idx="295">
                  <c:v>67848.129812800005</c:v>
                </c:pt>
                <c:pt idx="296">
                  <c:v>68359.915274750005</c:v>
                </c:pt>
                <c:pt idx="297">
                  <c:v>70991.95479335</c:v>
                </c:pt>
                <c:pt idx="298">
                  <c:v>69091.037363249998</c:v>
                </c:pt>
                <c:pt idx="299">
                  <c:v>69237.261780949993</c:v>
                </c:pt>
                <c:pt idx="300">
                  <c:v>67117.007724299998</c:v>
                </c:pt>
                <c:pt idx="301">
                  <c:v>66532.110053500001</c:v>
                </c:pt>
                <c:pt idx="302">
                  <c:v>70187.720495999994</c:v>
                </c:pt>
                <c:pt idx="303">
                  <c:v>70918.842584500002</c:v>
                </c:pt>
                <c:pt idx="304">
                  <c:v>71796.189090700005</c:v>
                </c:pt>
                <c:pt idx="305">
                  <c:v>70626.393749099996</c:v>
                </c:pt>
                <c:pt idx="306">
                  <c:v>71138.179211049996</c:v>
                </c:pt>
                <c:pt idx="307">
                  <c:v>74135.779773899994</c:v>
                </c:pt>
                <c:pt idx="308">
                  <c:v>74574.453026999996</c:v>
                </c:pt>
                <c:pt idx="309">
                  <c:v>74720.677444700006</c:v>
                </c:pt>
                <c:pt idx="310">
                  <c:v>75159.350697799993</c:v>
                </c:pt>
                <c:pt idx="311">
                  <c:v>75451.799533199999</c:v>
                </c:pt>
                <c:pt idx="312">
                  <c:v>73404.657685400001</c:v>
                </c:pt>
                <c:pt idx="313">
                  <c:v>74135.779773899994</c:v>
                </c:pt>
                <c:pt idx="314">
                  <c:v>74574.453026999996</c:v>
                </c:pt>
                <c:pt idx="315">
                  <c:v>73112.208849999995</c:v>
                </c:pt>
                <c:pt idx="316">
                  <c:v>77206.492545600006</c:v>
                </c:pt>
                <c:pt idx="317">
                  <c:v>76036.697203999996</c:v>
                </c:pt>
                <c:pt idx="318">
                  <c:v>76475.370457099998</c:v>
                </c:pt>
                <c:pt idx="319">
                  <c:v>76036.697203999996</c:v>
                </c:pt>
                <c:pt idx="320">
                  <c:v>72965.9844323</c:v>
                </c:pt>
                <c:pt idx="321">
                  <c:v>72965.9844323</c:v>
                </c:pt>
                <c:pt idx="322">
                  <c:v>72234.862343800007</c:v>
                </c:pt>
                <c:pt idx="323">
                  <c:v>70480.1693314</c:v>
                </c:pt>
                <c:pt idx="324">
                  <c:v>71065.067002199998</c:v>
                </c:pt>
                <c:pt idx="325">
                  <c:v>72819.760014600004</c:v>
                </c:pt>
                <c:pt idx="326">
                  <c:v>76475.370457099998</c:v>
                </c:pt>
                <c:pt idx="327">
                  <c:v>78668.736722600006</c:v>
                </c:pt>
                <c:pt idx="328">
                  <c:v>80277.205317300002</c:v>
                </c:pt>
                <c:pt idx="329">
                  <c:v>81300.776241200001</c:v>
                </c:pt>
                <c:pt idx="330">
                  <c:v>81447.000658899997</c:v>
                </c:pt>
                <c:pt idx="331">
                  <c:v>85248.835519100001</c:v>
                </c:pt>
                <c:pt idx="332">
                  <c:v>86711.079696100001</c:v>
                </c:pt>
                <c:pt idx="333">
                  <c:v>86418.630860699996</c:v>
                </c:pt>
                <c:pt idx="334">
                  <c:v>86126.182025300004</c:v>
                </c:pt>
                <c:pt idx="335">
                  <c:v>86126.182025300004</c:v>
                </c:pt>
                <c:pt idx="336">
                  <c:v>85248.835519100001</c:v>
                </c:pt>
                <c:pt idx="337">
                  <c:v>87880.875037699996</c:v>
                </c:pt>
                <c:pt idx="338">
                  <c:v>88904.445961599995</c:v>
                </c:pt>
                <c:pt idx="339">
                  <c:v>87588.426202300005</c:v>
                </c:pt>
                <c:pt idx="340">
                  <c:v>87149.752949200003</c:v>
                </c:pt>
                <c:pt idx="341">
                  <c:v>87734.65062</c:v>
                </c:pt>
                <c:pt idx="342">
                  <c:v>88465.772708499993</c:v>
                </c:pt>
                <c:pt idx="343">
                  <c:v>89196.894797000001</c:v>
                </c:pt>
                <c:pt idx="344">
                  <c:v>90659.138974000001</c:v>
                </c:pt>
                <c:pt idx="345">
                  <c:v>88465.772708499993</c:v>
                </c:pt>
                <c:pt idx="346">
                  <c:v>87734.65062</c:v>
                </c:pt>
                <c:pt idx="347">
                  <c:v>89928.016885499994</c:v>
                </c:pt>
                <c:pt idx="348">
                  <c:v>88465.772708499993</c:v>
                </c:pt>
                <c:pt idx="349">
                  <c:v>91828.934315599996</c:v>
                </c:pt>
                <c:pt idx="350">
                  <c:v>92998.729657200005</c:v>
                </c:pt>
                <c:pt idx="351">
                  <c:v>93583.627328000002</c:v>
                </c:pt>
                <c:pt idx="352">
                  <c:v>93291.178492599996</c:v>
                </c:pt>
                <c:pt idx="353">
                  <c:v>90659.138974000001</c:v>
                </c:pt>
                <c:pt idx="354">
                  <c:v>90512.914556300006</c:v>
                </c:pt>
                <c:pt idx="355">
                  <c:v>90805.363391699997</c:v>
                </c:pt>
                <c:pt idx="356">
                  <c:v>92121.383151000002</c:v>
                </c:pt>
                <c:pt idx="357">
                  <c:v>91097.812227100003</c:v>
                </c:pt>
                <c:pt idx="358">
                  <c:v>92706.280821799999</c:v>
                </c:pt>
                <c:pt idx="359">
                  <c:v>93583.627328000002</c:v>
                </c:pt>
                <c:pt idx="360">
                  <c:v>92121.383151000002</c:v>
                </c:pt>
                <c:pt idx="361">
                  <c:v>90659.138974000001</c:v>
                </c:pt>
                <c:pt idx="362">
                  <c:v>90951.587809400007</c:v>
                </c:pt>
                <c:pt idx="363">
                  <c:v>92560.056404100003</c:v>
                </c:pt>
                <c:pt idx="364">
                  <c:v>92852.505239499995</c:v>
                </c:pt>
                <c:pt idx="365">
                  <c:v>92852.505239499995</c:v>
                </c:pt>
                <c:pt idx="366">
                  <c:v>90659.138974000001</c:v>
                </c:pt>
                <c:pt idx="367">
                  <c:v>90659.138974000001</c:v>
                </c:pt>
                <c:pt idx="368">
                  <c:v>91536.485480200005</c:v>
                </c:pt>
                <c:pt idx="369">
                  <c:v>92706.280821799999</c:v>
                </c:pt>
                <c:pt idx="370">
                  <c:v>91244.036644799999</c:v>
                </c:pt>
                <c:pt idx="371">
                  <c:v>96194.0325304</c:v>
                </c:pt>
                <c:pt idx="372">
                  <c:v>96486.415607999996</c:v>
                </c:pt>
                <c:pt idx="373">
                  <c:v>95755.457913999999</c:v>
                </c:pt>
                <c:pt idx="374">
                  <c:v>95170.691758800007</c:v>
                </c:pt>
                <c:pt idx="375">
                  <c:v>95901.649452800004</c:v>
                </c:pt>
                <c:pt idx="376">
                  <c:v>97948.330996000004</c:v>
                </c:pt>
                <c:pt idx="377">
                  <c:v>97655.947918399994</c:v>
                </c:pt>
                <c:pt idx="378">
                  <c:v>95316.883297599998</c:v>
                </c:pt>
                <c:pt idx="379">
                  <c:v>94732.117142400006</c:v>
                </c:pt>
                <c:pt idx="380">
                  <c:v>94732.117142400006</c:v>
                </c:pt>
                <c:pt idx="381">
                  <c:v>94001.159448399994</c:v>
                </c:pt>
                <c:pt idx="382">
                  <c:v>93708.776370799998</c:v>
                </c:pt>
                <c:pt idx="383">
                  <c:v>92831.627137999996</c:v>
                </c:pt>
                <c:pt idx="384">
                  <c:v>95024.500220000002</c:v>
                </c:pt>
                <c:pt idx="385">
                  <c:v>95901.649452800004</c:v>
                </c:pt>
                <c:pt idx="386">
                  <c:v>95463.074836400003</c:v>
                </c:pt>
                <c:pt idx="387">
                  <c:v>91369.711750000002</c:v>
                </c:pt>
                <c:pt idx="388">
                  <c:v>89761.604823200003</c:v>
                </c:pt>
                <c:pt idx="389">
                  <c:v>89176.838667999997</c:v>
                </c:pt>
                <c:pt idx="390">
                  <c:v>89176.838667999997</c:v>
                </c:pt>
                <c:pt idx="391">
                  <c:v>90638.754056000005</c:v>
                </c:pt>
                <c:pt idx="392">
                  <c:v>92100.669443999999</c:v>
                </c:pt>
                <c:pt idx="393">
                  <c:v>93270.201754399997</c:v>
                </c:pt>
                <c:pt idx="394">
                  <c:v>90784.945594799996</c:v>
                </c:pt>
                <c:pt idx="395">
                  <c:v>91954.477905199994</c:v>
                </c:pt>
                <c:pt idx="396">
                  <c:v>90053.987900799999</c:v>
                </c:pt>
                <c:pt idx="397">
                  <c:v>91077.328672400006</c:v>
                </c:pt>
                <c:pt idx="398">
                  <c:v>91077.328672400006</c:v>
                </c:pt>
                <c:pt idx="399">
                  <c:v>91223.520211199997</c:v>
                </c:pt>
                <c:pt idx="400">
                  <c:v>95901.649452800004</c:v>
                </c:pt>
                <c:pt idx="401">
                  <c:v>97363.564840799998</c:v>
                </c:pt>
                <c:pt idx="402">
                  <c:v>97509.756379600003</c:v>
                </c:pt>
                <c:pt idx="403">
                  <c:v>97363.564840799998</c:v>
                </c:pt>
                <c:pt idx="404">
                  <c:v>96340.224069200005</c:v>
                </c:pt>
                <c:pt idx="405">
                  <c:v>100872.16177200001</c:v>
                </c:pt>
                <c:pt idx="406">
                  <c:v>100872.16177200001</c:v>
                </c:pt>
                <c:pt idx="407">
                  <c:v>101603.119466</c:v>
                </c:pt>
                <c:pt idx="408">
                  <c:v>102041.6940824</c:v>
                </c:pt>
                <c:pt idx="409">
                  <c:v>102334.07716</c:v>
                </c:pt>
                <c:pt idx="410">
                  <c:v>102334.07716</c:v>
                </c:pt>
                <c:pt idx="411">
                  <c:v>102041.6940824</c:v>
                </c:pt>
                <c:pt idx="412">
                  <c:v>102041.6940824</c:v>
                </c:pt>
                <c:pt idx="413">
                  <c:v>101456.9279272</c:v>
                </c:pt>
                <c:pt idx="414">
                  <c:v>101018.3533108</c:v>
                </c:pt>
                <c:pt idx="415">
                  <c:v>102041.6940824</c:v>
                </c:pt>
                <c:pt idx="416">
                  <c:v>101018.3533108</c:v>
                </c:pt>
                <c:pt idx="417">
                  <c:v>99264.054845199993</c:v>
                </c:pt>
                <c:pt idx="418">
                  <c:v>99410.246383999998</c:v>
                </c:pt>
                <c:pt idx="419">
                  <c:v>98679.288690000001</c:v>
                </c:pt>
                <c:pt idx="420">
                  <c:v>99117.863306400002</c:v>
                </c:pt>
                <c:pt idx="421">
                  <c:v>99117.863306400002</c:v>
                </c:pt>
                <c:pt idx="422">
                  <c:v>98679.288690000001</c:v>
                </c:pt>
                <c:pt idx="423">
                  <c:v>98240.7140736</c:v>
                </c:pt>
                <c:pt idx="424">
                  <c:v>96632.607146800001</c:v>
                </c:pt>
                <c:pt idx="425">
                  <c:v>97655.947918399994</c:v>
                </c:pt>
                <c:pt idx="426">
                  <c:v>99702.629461599994</c:v>
                </c:pt>
                <c:pt idx="427">
                  <c:v>99702.629461599994</c:v>
                </c:pt>
                <c:pt idx="428">
                  <c:v>99410.246383999998</c:v>
                </c:pt>
                <c:pt idx="429">
                  <c:v>98386.905612400005</c:v>
                </c:pt>
                <c:pt idx="430">
                  <c:v>99556.437922800003</c:v>
                </c:pt>
                <c:pt idx="431">
                  <c:v>100433.58715560001</c:v>
                </c:pt>
                <c:pt idx="432">
                  <c:v>99848.821000399999</c:v>
                </c:pt>
                <c:pt idx="433">
                  <c:v>98679.288690000001</c:v>
                </c:pt>
                <c:pt idx="434">
                  <c:v>99556.437922800003</c:v>
                </c:pt>
                <c:pt idx="435">
                  <c:v>99117.863306400002</c:v>
                </c:pt>
                <c:pt idx="436">
                  <c:v>98533.097151199996</c:v>
                </c:pt>
                <c:pt idx="437">
                  <c:v>96924.990224399997</c:v>
                </c:pt>
                <c:pt idx="438">
                  <c:v>97071.181763200002</c:v>
                </c:pt>
                <c:pt idx="439">
                  <c:v>96924.990224399997</c:v>
                </c:pt>
                <c:pt idx="440">
                  <c:v>95316.883297599998</c:v>
                </c:pt>
                <c:pt idx="441">
                  <c:v>93854.967909600004</c:v>
                </c:pt>
                <c:pt idx="442">
                  <c:v>95024.500220000002</c:v>
                </c:pt>
                <c:pt idx="443">
                  <c:v>94293.542526000005</c:v>
                </c:pt>
                <c:pt idx="444">
                  <c:v>92977.818676800001</c:v>
                </c:pt>
                <c:pt idx="445">
                  <c:v>94147.3509872</c:v>
                </c:pt>
                <c:pt idx="446">
                  <c:v>95755.457913999999</c:v>
                </c:pt>
                <c:pt idx="447">
                  <c:v>96194.0325304</c:v>
                </c:pt>
                <c:pt idx="448">
                  <c:v>96047.840991599995</c:v>
                </c:pt>
                <c:pt idx="449">
                  <c:v>96194.0325304</c:v>
                </c:pt>
                <c:pt idx="450">
                  <c:v>96924.990224399997</c:v>
                </c:pt>
                <c:pt idx="451">
                  <c:v>96047.840991599995</c:v>
                </c:pt>
                <c:pt idx="452">
                  <c:v>95609.266375199993</c:v>
                </c:pt>
                <c:pt idx="453">
                  <c:v>95755.457913999999</c:v>
                </c:pt>
                <c:pt idx="454">
                  <c:v>95755.457913999999</c:v>
                </c:pt>
                <c:pt idx="455">
                  <c:v>97217.373302000007</c:v>
                </c:pt>
                <c:pt idx="456">
                  <c:v>96486.415607999996</c:v>
                </c:pt>
                <c:pt idx="457">
                  <c:v>97217.373302000007</c:v>
                </c:pt>
                <c:pt idx="458">
                  <c:v>96486.415607999996</c:v>
                </c:pt>
                <c:pt idx="459">
                  <c:v>95170.691758800007</c:v>
                </c:pt>
                <c:pt idx="460">
                  <c:v>95901.649452800004</c:v>
                </c:pt>
                <c:pt idx="461">
                  <c:v>95901.649452800004</c:v>
                </c:pt>
                <c:pt idx="462">
                  <c:v>95609.266375199993</c:v>
                </c:pt>
                <c:pt idx="463">
                  <c:v>95024.500220000002</c:v>
                </c:pt>
                <c:pt idx="464">
                  <c:v>92100.669443999999</c:v>
                </c:pt>
                <c:pt idx="465">
                  <c:v>88884.455590400001</c:v>
                </c:pt>
                <c:pt idx="466">
                  <c:v>90492.5625172</c:v>
                </c:pt>
                <c:pt idx="467">
                  <c:v>89615.413284399998</c:v>
                </c:pt>
                <c:pt idx="468">
                  <c:v>87568.731741199997</c:v>
                </c:pt>
                <c:pt idx="469">
                  <c:v>86106.816353200004</c:v>
                </c:pt>
                <c:pt idx="470">
                  <c:v>84060.134810000003</c:v>
                </c:pt>
              </c:numCache>
            </c:numRef>
          </c:val>
          <c:smooth val="0"/>
          <c:extLst>
            <c:ext xmlns:c16="http://schemas.microsoft.com/office/drawing/2014/chart" uri="{C3380CC4-5D6E-409C-BE32-E72D297353CC}">
              <c16:uniqueId val="{00000000-0E78-406F-8F6A-95198B4FB3B2}"/>
            </c:ext>
          </c:extLst>
        </c:ser>
        <c:ser>
          <c:idx val="1"/>
          <c:order val="1"/>
          <c:tx>
            <c:strRef>
              <c:f>Diamond!$N$2</c:f>
              <c:strCache>
                <c:ptCount val="1"/>
                <c:pt idx="0">
                  <c:v> BSC định giá EV MWG (Tỷ VND) </c:v>
                </c:pt>
              </c:strCache>
            </c:strRef>
          </c:tx>
          <c:spPr>
            <a:ln w="22225" cap="sq">
              <a:solidFill>
                <a:schemeClr val="accent3"/>
              </a:solidFill>
              <a:prstDash val="solid"/>
              <a:round/>
            </a:ln>
            <a:effectLst/>
          </c:spPr>
          <c:marker>
            <c:symbol val="none"/>
          </c:marker>
          <c:dPt>
            <c:idx val="474"/>
            <c:marker>
              <c:symbol val="none"/>
            </c:marker>
            <c:bubble3D val="0"/>
            <c:spPr>
              <a:ln w="22225" cap="sq">
                <a:solidFill>
                  <a:schemeClr val="accent3"/>
                </a:solidFill>
                <a:prstDash val="sysDot"/>
                <a:round/>
              </a:ln>
              <a:effectLst/>
            </c:spPr>
            <c:extLst>
              <c:ext xmlns:c16="http://schemas.microsoft.com/office/drawing/2014/chart" uri="{C3380CC4-5D6E-409C-BE32-E72D297353CC}">
                <c16:uniqueId val="{00000001-AE82-46F7-90A0-DA1B63D019A1}"/>
              </c:ext>
            </c:extLst>
          </c:dPt>
          <c:dPt>
            <c:idx val="475"/>
            <c:marker>
              <c:symbol val="none"/>
            </c:marker>
            <c:bubble3D val="0"/>
            <c:spPr>
              <a:ln w="22225" cap="sq">
                <a:solidFill>
                  <a:schemeClr val="accent3"/>
                </a:solidFill>
                <a:prstDash val="sysDot"/>
                <a:round/>
              </a:ln>
              <a:effectLst/>
            </c:spPr>
            <c:extLst>
              <c:ext xmlns:c16="http://schemas.microsoft.com/office/drawing/2014/chart" uri="{C3380CC4-5D6E-409C-BE32-E72D297353CC}">
                <c16:uniqueId val="{00000003-AE82-46F7-90A0-DA1B63D019A1}"/>
              </c:ext>
            </c:extLst>
          </c:dPt>
          <c:dPt>
            <c:idx val="476"/>
            <c:marker>
              <c:symbol val="none"/>
            </c:marker>
            <c:bubble3D val="0"/>
            <c:spPr>
              <a:ln w="22225" cap="sq">
                <a:solidFill>
                  <a:schemeClr val="accent3"/>
                </a:solidFill>
                <a:prstDash val="sysDot"/>
                <a:round/>
              </a:ln>
              <a:effectLst/>
            </c:spPr>
            <c:extLst>
              <c:ext xmlns:c16="http://schemas.microsoft.com/office/drawing/2014/chart" uri="{C3380CC4-5D6E-409C-BE32-E72D297353CC}">
                <c16:uniqueId val="{00000005-AE82-46F7-90A0-DA1B63D019A1}"/>
              </c:ext>
            </c:extLst>
          </c:dPt>
          <c:dPt>
            <c:idx val="477"/>
            <c:marker>
              <c:symbol val="none"/>
            </c:marker>
            <c:bubble3D val="0"/>
            <c:spPr>
              <a:ln w="22225" cap="sq">
                <a:solidFill>
                  <a:schemeClr val="accent3"/>
                </a:solidFill>
                <a:prstDash val="sysDot"/>
                <a:round/>
              </a:ln>
              <a:effectLst/>
            </c:spPr>
            <c:extLst>
              <c:ext xmlns:c16="http://schemas.microsoft.com/office/drawing/2014/chart" uri="{C3380CC4-5D6E-409C-BE32-E72D297353CC}">
                <c16:uniqueId val="{00000007-AE82-46F7-90A0-DA1B63D019A1}"/>
              </c:ext>
            </c:extLst>
          </c:dPt>
          <c:dPt>
            <c:idx val="478"/>
            <c:marker>
              <c:symbol val="none"/>
            </c:marker>
            <c:bubble3D val="0"/>
            <c:spPr>
              <a:ln w="22225" cap="sq">
                <a:solidFill>
                  <a:schemeClr val="accent3"/>
                </a:solidFill>
                <a:prstDash val="sysDot"/>
                <a:round/>
              </a:ln>
              <a:effectLst/>
            </c:spPr>
            <c:extLst>
              <c:ext xmlns:c16="http://schemas.microsoft.com/office/drawing/2014/chart" uri="{C3380CC4-5D6E-409C-BE32-E72D297353CC}">
                <c16:uniqueId val="{00000009-AE82-46F7-90A0-DA1B63D019A1}"/>
              </c:ext>
            </c:extLst>
          </c:dPt>
          <c:cat>
            <c:numRef>
              <c:f>Diamond!$L$3:$L$481</c:f>
              <c:numCache>
                <c:formatCode>m/d/yy</c:formatCode>
                <c:ptCount val="479"/>
                <c:pt idx="0">
                  <c:v>44929</c:v>
                </c:pt>
                <c:pt idx="1">
                  <c:v>44930</c:v>
                </c:pt>
                <c:pt idx="2">
                  <c:v>44931</c:v>
                </c:pt>
                <c:pt idx="3">
                  <c:v>44932</c:v>
                </c:pt>
                <c:pt idx="4">
                  <c:v>44935</c:v>
                </c:pt>
                <c:pt idx="5">
                  <c:v>44936</c:v>
                </c:pt>
                <c:pt idx="6">
                  <c:v>44937</c:v>
                </c:pt>
                <c:pt idx="7">
                  <c:v>44938</c:v>
                </c:pt>
                <c:pt idx="8">
                  <c:v>44939</c:v>
                </c:pt>
                <c:pt idx="9">
                  <c:v>44942</c:v>
                </c:pt>
                <c:pt idx="10">
                  <c:v>44943</c:v>
                </c:pt>
                <c:pt idx="11">
                  <c:v>44944</c:v>
                </c:pt>
                <c:pt idx="12">
                  <c:v>44945</c:v>
                </c:pt>
                <c:pt idx="13">
                  <c:v>44953</c:v>
                </c:pt>
                <c:pt idx="14">
                  <c:v>44956</c:v>
                </c:pt>
                <c:pt idx="15">
                  <c:v>44957</c:v>
                </c:pt>
                <c:pt idx="16">
                  <c:v>44958</c:v>
                </c:pt>
                <c:pt idx="17">
                  <c:v>44959</c:v>
                </c:pt>
                <c:pt idx="18">
                  <c:v>44960</c:v>
                </c:pt>
                <c:pt idx="19">
                  <c:v>44963</c:v>
                </c:pt>
                <c:pt idx="20">
                  <c:v>44964</c:v>
                </c:pt>
                <c:pt idx="21">
                  <c:v>44965</c:v>
                </c:pt>
                <c:pt idx="22">
                  <c:v>44966</c:v>
                </c:pt>
                <c:pt idx="23">
                  <c:v>44967</c:v>
                </c:pt>
                <c:pt idx="24">
                  <c:v>44970</c:v>
                </c:pt>
                <c:pt idx="25">
                  <c:v>44971</c:v>
                </c:pt>
                <c:pt idx="26">
                  <c:v>44972</c:v>
                </c:pt>
                <c:pt idx="27">
                  <c:v>44973</c:v>
                </c:pt>
                <c:pt idx="28">
                  <c:v>44974</c:v>
                </c:pt>
                <c:pt idx="29">
                  <c:v>44977</c:v>
                </c:pt>
                <c:pt idx="30">
                  <c:v>44978</c:v>
                </c:pt>
                <c:pt idx="31">
                  <c:v>44979</c:v>
                </c:pt>
                <c:pt idx="32">
                  <c:v>44980</c:v>
                </c:pt>
                <c:pt idx="33">
                  <c:v>44981</c:v>
                </c:pt>
                <c:pt idx="34">
                  <c:v>44984</c:v>
                </c:pt>
                <c:pt idx="35">
                  <c:v>44985</c:v>
                </c:pt>
                <c:pt idx="36">
                  <c:v>44986</c:v>
                </c:pt>
                <c:pt idx="37">
                  <c:v>44987</c:v>
                </c:pt>
                <c:pt idx="38">
                  <c:v>44988</c:v>
                </c:pt>
                <c:pt idx="39">
                  <c:v>44991</c:v>
                </c:pt>
                <c:pt idx="40">
                  <c:v>44992</c:v>
                </c:pt>
                <c:pt idx="41">
                  <c:v>44993</c:v>
                </c:pt>
                <c:pt idx="42">
                  <c:v>44994</c:v>
                </c:pt>
                <c:pt idx="43">
                  <c:v>44995</c:v>
                </c:pt>
                <c:pt idx="44">
                  <c:v>44998</c:v>
                </c:pt>
                <c:pt idx="45">
                  <c:v>44999</c:v>
                </c:pt>
                <c:pt idx="46">
                  <c:v>45000</c:v>
                </c:pt>
                <c:pt idx="47">
                  <c:v>45001</c:v>
                </c:pt>
                <c:pt idx="48">
                  <c:v>45002</c:v>
                </c:pt>
                <c:pt idx="49">
                  <c:v>45005</c:v>
                </c:pt>
                <c:pt idx="50">
                  <c:v>45006</c:v>
                </c:pt>
                <c:pt idx="51">
                  <c:v>45007</c:v>
                </c:pt>
                <c:pt idx="52">
                  <c:v>45008</c:v>
                </c:pt>
                <c:pt idx="53">
                  <c:v>45009</c:v>
                </c:pt>
                <c:pt idx="54">
                  <c:v>45012</c:v>
                </c:pt>
                <c:pt idx="55">
                  <c:v>45013</c:v>
                </c:pt>
                <c:pt idx="56">
                  <c:v>45014</c:v>
                </c:pt>
                <c:pt idx="57">
                  <c:v>45015</c:v>
                </c:pt>
                <c:pt idx="58">
                  <c:v>45016</c:v>
                </c:pt>
                <c:pt idx="59">
                  <c:v>45019</c:v>
                </c:pt>
                <c:pt idx="60">
                  <c:v>45020</c:v>
                </c:pt>
                <c:pt idx="61">
                  <c:v>45021</c:v>
                </c:pt>
                <c:pt idx="62">
                  <c:v>45022</c:v>
                </c:pt>
                <c:pt idx="63">
                  <c:v>45023</c:v>
                </c:pt>
                <c:pt idx="64">
                  <c:v>45026</c:v>
                </c:pt>
                <c:pt idx="65">
                  <c:v>45027</c:v>
                </c:pt>
                <c:pt idx="66">
                  <c:v>45028</c:v>
                </c:pt>
                <c:pt idx="67">
                  <c:v>45029</c:v>
                </c:pt>
                <c:pt idx="68">
                  <c:v>45030</c:v>
                </c:pt>
                <c:pt idx="69">
                  <c:v>45033</c:v>
                </c:pt>
                <c:pt idx="70">
                  <c:v>45034</c:v>
                </c:pt>
                <c:pt idx="71">
                  <c:v>45035</c:v>
                </c:pt>
                <c:pt idx="72">
                  <c:v>45036</c:v>
                </c:pt>
                <c:pt idx="73">
                  <c:v>45037</c:v>
                </c:pt>
                <c:pt idx="74">
                  <c:v>45040</c:v>
                </c:pt>
                <c:pt idx="75">
                  <c:v>45041</c:v>
                </c:pt>
                <c:pt idx="76">
                  <c:v>45042</c:v>
                </c:pt>
                <c:pt idx="77">
                  <c:v>45043</c:v>
                </c:pt>
                <c:pt idx="78">
                  <c:v>45044</c:v>
                </c:pt>
                <c:pt idx="79">
                  <c:v>45050</c:v>
                </c:pt>
                <c:pt idx="80">
                  <c:v>45051</c:v>
                </c:pt>
                <c:pt idx="81">
                  <c:v>45054</c:v>
                </c:pt>
                <c:pt idx="82">
                  <c:v>45055</c:v>
                </c:pt>
                <c:pt idx="83">
                  <c:v>45056</c:v>
                </c:pt>
                <c:pt idx="84">
                  <c:v>45057</c:v>
                </c:pt>
                <c:pt idx="85">
                  <c:v>45058</c:v>
                </c:pt>
                <c:pt idx="86">
                  <c:v>45061</c:v>
                </c:pt>
                <c:pt idx="87">
                  <c:v>45062</c:v>
                </c:pt>
                <c:pt idx="88">
                  <c:v>45063</c:v>
                </c:pt>
                <c:pt idx="89">
                  <c:v>45064</c:v>
                </c:pt>
                <c:pt idx="90">
                  <c:v>45065</c:v>
                </c:pt>
                <c:pt idx="91">
                  <c:v>45068</c:v>
                </c:pt>
                <c:pt idx="92">
                  <c:v>45069</c:v>
                </c:pt>
                <c:pt idx="93">
                  <c:v>45070</c:v>
                </c:pt>
                <c:pt idx="94">
                  <c:v>45071</c:v>
                </c:pt>
                <c:pt idx="95">
                  <c:v>45072</c:v>
                </c:pt>
                <c:pt idx="96">
                  <c:v>45075</c:v>
                </c:pt>
                <c:pt idx="97">
                  <c:v>45076</c:v>
                </c:pt>
                <c:pt idx="98">
                  <c:v>45077</c:v>
                </c:pt>
                <c:pt idx="99">
                  <c:v>45078</c:v>
                </c:pt>
                <c:pt idx="100">
                  <c:v>45079</c:v>
                </c:pt>
                <c:pt idx="101">
                  <c:v>45082</c:v>
                </c:pt>
                <c:pt idx="102">
                  <c:v>45083</c:v>
                </c:pt>
                <c:pt idx="103">
                  <c:v>45084</c:v>
                </c:pt>
                <c:pt idx="104">
                  <c:v>45085</c:v>
                </c:pt>
                <c:pt idx="105">
                  <c:v>45086</c:v>
                </c:pt>
                <c:pt idx="106">
                  <c:v>45089</c:v>
                </c:pt>
                <c:pt idx="107">
                  <c:v>45090</c:v>
                </c:pt>
                <c:pt idx="108">
                  <c:v>45091</c:v>
                </c:pt>
                <c:pt idx="109">
                  <c:v>45092</c:v>
                </c:pt>
                <c:pt idx="110">
                  <c:v>45093</c:v>
                </c:pt>
                <c:pt idx="111">
                  <c:v>45096</c:v>
                </c:pt>
                <c:pt idx="112">
                  <c:v>45097</c:v>
                </c:pt>
                <c:pt idx="113">
                  <c:v>45098</c:v>
                </c:pt>
                <c:pt idx="114">
                  <c:v>45099</c:v>
                </c:pt>
                <c:pt idx="115">
                  <c:v>45100</c:v>
                </c:pt>
                <c:pt idx="116">
                  <c:v>45103</c:v>
                </c:pt>
                <c:pt idx="117">
                  <c:v>45104</c:v>
                </c:pt>
                <c:pt idx="118">
                  <c:v>45105</c:v>
                </c:pt>
                <c:pt idx="119">
                  <c:v>45106</c:v>
                </c:pt>
                <c:pt idx="120">
                  <c:v>45107</c:v>
                </c:pt>
                <c:pt idx="121">
                  <c:v>45110</c:v>
                </c:pt>
                <c:pt idx="122">
                  <c:v>45111</c:v>
                </c:pt>
                <c:pt idx="123">
                  <c:v>45112</c:v>
                </c:pt>
                <c:pt idx="124">
                  <c:v>45113</c:v>
                </c:pt>
                <c:pt idx="125">
                  <c:v>45114</c:v>
                </c:pt>
                <c:pt idx="126">
                  <c:v>45117</c:v>
                </c:pt>
                <c:pt idx="127">
                  <c:v>45118</c:v>
                </c:pt>
                <c:pt idx="128">
                  <c:v>45119</c:v>
                </c:pt>
                <c:pt idx="129">
                  <c:v>45120</c:v>
                </c:pt>
                <c:pt idx="130">
                  <c:v>45121</c:v>
                </c:pt>
                <c:pt idx="131">
                  <c:v>45124</c:v>
                </c:pt>
                <c:pt idx="132">
                  <c:v>45125</c:v>
                </c:pt>
                <c:pt idx="133">
                  <c:v>45126</c:v>
                </c:pt>
                <c:pt idx="134">
                  <c:v>45127</c:v>
                </c:pt>
                <c:pt idx="135">
                  <c:v>45128</c:v>
                </c:pt>
                <c:pt idx="136">
                  <c:v>45131</c:v>
                </c:pt>
                <c:pt idx="137">
                  <c:v>45132</c:v>
                </c:pt>
                <c:pt idx="138">
                  <c:v>45133</c:v>
                </c:pt>
                <c:pt idx="139">
                  <c:v>45134</c:v>
                </c:pt>
                <c:pt idx="140">
                  <c:v>45135</c:v>
                </c:pt>
                <c:pt idx="141">
                  <c:v>45138</c:v>
                </c:pt>
                <c:pt idx="142">
                  <c:v>45139</c:v>
                </c:pt>
                <c:pt idx="143">
                  <c:v>45140</c:v>
                </c:pt>
                <c:pt idx="144">
                  <c:v>45141</c:v>
                </c:pt>
                <c:pt idx="145">
                  <c:v>45142</c:v>
                </c:pt>
                <c:pt idx="146">
                  <c:v>45145</c:v>
                </c:pt>
                <c:pt idx="147">
                  <c:v>45146</c:v>
                </c:pt>
                <c:pt idx="148">
                  <c:v>45147</c:v>
                </c:pt>
                <c:pt idx="149">
                  <c:v>45148</c:v>
                </c:pt>
                <c:pt idx="150">
                  <c:v>45149</c:v>
                </c:pt>
                <c:pt idx="151">
                  <c:v>45152</c:v>
                </c:pt>
                <c:pt idx="152">
                  <c:v>45153</c:v>
                </c:pt>
                <c:pt idx="153">
                  <c:v>45154</c:v>
                </c:pt>
                <c:pt idx="154">
                  <c:v>45155</c:v>
                </c:pt>
                <c:pt idx="155">
                  <c:v>45156</c:v>
                </c:pt>
                <c:pt idx="156">
                  <c:v>45159</c:v>
                </c:pt>
                <c:pt idx="157">
                  <c:v>45160</c:v>
                </c:pt>
                <c:pt idx="158">
                  <c:v>45161</c:v>
                </c:pt>
                <c:pt idx="159">
                  <c:v>45162</c:v>
                </c:pt>
                <c:pt idx="160">
                  <c:v>45163</c:v>
                </c:pt>
                <c:pt idx="161">
                  <c:v>45166</c:v>
                </c:pt>
                <c:pt idx="162">
                  <c:v>45167</c:v>
                </c:pt>
                <c:pt idx="163">
                  <c:v>45168</c:v>
                </c:pt>
                <c:pt idx="164">
                  <c:v>45169</c:v>
                </c:pt>
                <c:pt idx="165">
                  <c:v>45174</c:v>
                </c:pt>
                <c:pt idx="166">
                  <c:v>45175</c:v>
                </c:pt>
                <c:pt idx="167">
                  <c:v>45176</c:v>
                </c:pt>
                <c:pt idx="168">
                  <c:v>45177</c:v>
                </c:pt>
                <c:pt idx="169">
                  <c:v>45180</c:v>
                </c:pt>
                <c:pt idx="170">
                  <c:v>45181</c:v>
                </c:pt>
                <c:pt idx="171">
                  <c:v>45182</c:v>
                </c:pt>
                <c:pt idx="172">
                  <c:v>45183</c:v>
                </c:pt>
                <c:pt idx="173">
                  <c:v>45184</c:v>
                </c:pt>
                <c:pt idx="174">
                  <c:v>45187</c:v>
                </c:pt>
                <c:pt idx="175">
                  <c:v>45188</c:v>
                </c:pt>
                <c:pt idx="176">
                  <c:v>45189</c:v>
                </c:pt>
                <c:pt idx="177">
                  <c:v>45190</c:v>
                </c:pt>
                <c:pt idx="178">
                  <c:v>45191</c:v>
                </c:pt>
                <c:pt idx="179">
                  <c:v>45194</c:v>
                </c:pt>
                <c:pt idx="180">
                  <c:v>45195</c:v>
                </c:pt>
                <c:pt idx="181">
                  <c:v>45196</c:v>
                </c:pt>
                <c:pt idx="182">
                  <c:v>45197</c:v>
                </c:pt>
                <c:pt idx="183">
                  <c:v>45198</c:v>
                </c:pt>
                <c:pt idx="184">
                  <c:v>45201</c:v>
                </c:pt>
                <c:pt idx="185">
                  <c:v>45202</c:v>
                </c:pt>
                <c:pt idx="186">
                  <c:v>45203</c:v>
                </c:pt>
                <c:pt idx="187">
                  <c:v>45204</c:v>
                </c:pt>
                <c:pt idx="188">
                  <c:v>45205</c:v>
                </c:pt>
                <c:pt idx="189">
                  <c:v>45208</c:v>
                </c:pt>
                <c:pt idx="190">
                  <c:v>45209</c:v>
                </c:pt>
                <c:pt idx="191">
                  <c:v>45210</c:v>
                </c:pt>
                <c:pt idx="192">
                  <c:v>45211</c:v>
                </c:pt>
                <c:pt idx="193">
                  <c:v>45212</c:v>
                </c:pt>
                <c:pt idx="194">
                  <c:v>45215</c:v>
                </c:pt>
                <c:pt idx="195">
                  <c:v>45216</c:v>
                </c:pt>
                <c:pt idx="196">
                  <c:v>45217</c:v>
                </c:pt>
                <c:pt idx="197">
                  <c:v>45218</c:v>
                </c:pt>
                <c:pt idx="198">
                  <c:v>45219</c:v>
                </c:pt>
                <c:pt idx="199">
                  <c:v>45222</c:v>
                </c:pt>
                <c:pt idx="200">
                  <c:v>45223</c:v>
                </c:pt>
                <c:pt idx="201">
                  <c:v>45224</c:v>
                </c:pt>
                <c:pt idx="202">
                  <c:v>45225</c:v>
                </c:pt>
                <c:pt idx="203">
                  <c:v>45226</c:v>
                </c:pt>
                <c:pt idx="204">
                  <c:v>45229</c:v>
                </c:pt>
                <c:pt idx="205">
                  <c:v>45230</c:v>
                </c:pt>
                <c:pt idx="206">
                  <c:v>45231</c:v>
                </c:pt>
                <c:pt idx="207">
                  <c:v>45232</c:v>
                </c:pt>
                <c:pt idx="208">
                  <c:v>45233</c:v>
                </c:pt>
                <c:pt idx="209">
                  <c:v>45236</c:v>
                </c:pt>
                <c:pt idx="210">
                  <c:v>45237</c:v>
                </c:pt>
                <c:pt idx="211">
                  <c:v>45238</c:v>
                </c:pt>
                <c:pt idx="212">
                  <c:v>45239</c:v>
                </c:pt>
                <c:pt idx="213">
                  <c:v>45240</c:v>
                </c:pt>
                <c:pt idx="214">
                  <c:v>45243</c:v>
                </c:pt>
                <c:pt idx="215">
                  <c:v>45244</c:v>
                </c:pt>
                <c:pt idx="216">
                  <c:v>45245</c:v>
                </c:pt>
                <c:pt idx="217">
                  <c:v>45246</c:v>
                </c:pt>
                <c:pt idx="218">
                  <c:v>45247</c:v>
                </c:pt>
                <c:pt idx="219">
                  <c:v>45250</c:v>
                </c:pt>
                <c:pt idx="220">
                  <c:v>45251</c:v>
                </c:pt>
                <c:pt idx="221">
                  <c:v>45252</c:v>
                </c:pt>
                <c:pt idx="222">
                  <c:v>45253</c:v>
                </c:pt>
                <c:pt idx="223">
                  <c:v>45254</c:v>
                </c:pt>
                <c:pt idx="224">
                  <c:v>45257</c:v>
                </c:pt>
                <c:pt idx="225">
                  <c:v>45258</c:v>
                </c:pt>
                <c:pt idx="226">
                  <c:v>45259</c:v>
                </c:pt>
                <c:pt idx="227">
                  <c:v>45260</c:v>
                </c:pt>
                <c:pt idx="228">
                  <c:v>45261</c:v>
                </c:pt>
                <c:pt idx="229">
                  <c:v>45264</c:v>
                </c:pt>
                <c:pt idx="230">
                  <c:v>45265</c:v>
                </c:pt>
                <c:pt idx="231">
                  <c:v>45266</c:v>
                </c:pt>
                <c:pt idx="232">
                  <c:v>45267</c:v>
                </c:pt>
                <c:pt idx="233">
                  <c:v>45268</c:v>
                </c:pt>
                <c:pt idx="234">
                  <c:v>45271</c:v>
                </c:pt>
                <c:pt idx="235">
                  <c:v>45272</c:v>
                </c:pt>
                <c:pt idx="236">
                  <c:v>45273</c:v>
                </c:pt>
                <c:pt idx="237">
                  <c:v>45274</c:v>
                </c:pt>
                <c:pt idx="238">
                  <c:v>45275</c:v>
                </c:pt>
                <c:pt idx="239">
                  <c:v>45278</c:v>
                </c:pt>
                <c:pt idx="240">
                  <c:v>45279</c:v>
                </c:pt>
                <c:pt idx="241">
                  <c:v>45280</c:v>
                </c:pt>
                <c:pt idx="242">
                  <c:v>45281</c:v>
                </c:pt>
                <c:pt idx="243">
                  <c:v>45282</c:v>
                </c:pt>
                <c:pt idx="244">
                  <c:v>45285</c:v>
                </c:pt>
                <c:pt idx="245">
                  <c:v>45286</c:v>
                </c:pt>
                <c:pt idx="246">
                  <c:v>45287</c:v>
                </c:pt>
                <c:pt idx="247">
                  <c:v>45288</c:v>
                </c:pt>
                <c:pt idx="248">
                  <c:v>45289</c:v>
                </c:pt>
                <c:pt idx="249">
                  <c:v>45293</c:v>
                </c:pt>
                <c:pt idx="250">
                  <c:v>45294</c:v>
                </c:pt>
                <c:pt idx="251">
                  <c:v>45295</c:v>
                </c:pt>
                <c:pt idx="252">
                  <c:v>45296</c:v>
                </c:pt>
                <c:pt idx="253">
                  <c:v>45299</c:v>
                </c:pt>
                <c:pt idx="254">
                  <c:v>45300</c:v>
                </c:pt>
                <c:pt idx="255">
                  <c:v>45301</c:v>
                </c:pt>
                <c:pt idx="256">
                  <c:v>45302</c:v>
                </c:pt>
                <c:pt idx="257">
                  <c:v>45303</c:v>
                </c:pt>
                <c:pt idx="258">
                  <c:v>45306</c:v>
                </c:pt>
                <c:pt idx="259">
                  <c:v>45307</c:v>
                </c:pt>
                <c:pt idx="260">
                  <c:v>45308</c:v>
                </c:pt>
                <c:pt idx="261">
                  <c:v>45309</c:v>
                </c:pt>
                <c:pt idx="262">
                  <c:v>45310</c:v>
                </c:pt>
                <c:pt idx="263">
                  <c:v>45313</c:v>
                </c:pt>
                <c:pt idx="264">
                  <c:v>45314</c:v>
                </c:pt>
                <c:pt idx="265">
                  <c:v>45315</c:v>
                </c:pt>
                <c:pt idx="266">
                  <c:v>45316</c:v>
                </c:pt>
                <c:pt idx="267">
                  <c:v>45317</c:v>
                </c:pt>
                <c:pt idx="268">
                  <c:v>45320</c:v>
                </c:pt>
                <c:pt idx="269">
                  <c:v>45321</c:v>
                </c:pt>
                <c:pt idx="270">
                  <c:v>45322</c:v>
                </c:pt>
                <c:pt idx="271">
                  <c:v>45323</c:v>
                </c:pt>
                <c:pt idx="272">
                  <c:v>45324</c:v>
                </c:pt>
                <c:pt idx="273">
                  <c:v>45327</c:v>
                </c:pt>
                <c:pt idx="274">
                  <c:v>45328</c:v>
                </c:pt>
                <c:pt idx="275">
                  <c:v>45329</c:v>
                </c:pt>
                <c:pt idx="276">
                  <c:v>45337</c:v>
                </c:pt>
                <c:pt idx="277">
                  <c:v>45338</c:v>
                </c:pt>
                <c:pt idx="278">
                  <c:v>45341</c:v>
                </c:pt>
                <c:pt idx="279">
                  <c:v>45342</c:v>
                </c:pt>
                <c:pt idx="280">
                  <c:v>45343</c:v>
                </c:pt>
                <c:pt idx="281">
                  <c:v>45344</c:v>
                </c:pt>
                <c:pt idx="282">
                  <c:v>45345</c:v>
                </c:pt>
                <c:pt idx="283">
                  <c:v>45348</c:v>
                </c:pt>
                <c:pt idx="284">
                  <c:v>45349</c:v>
                </c:pt>
                <c:pt idx="285">
                  <c:v>45350</c:v>
                </c:pt>
                <c:pt idx="286">
                  <c:v>45351</c:v>
                </c:pt>
                <c:pt idx="287">
                  <c:v>45352</c:v>
                </c:pt>
                <c:pt idx="288">
                  <c:v>45355</c:v>
                </c:pt>
                <c:pt idx="289">
                  <c:v>45356</c:v>
                </c:pt>
                <c:pt idx="290">
                  <c:v>45357</c:v>
                </c:pt>
                <c:pt idx="291">
                  <c:v>45358</c:v>
                </c:pt>
                <c:pt idx="292">
                  <c:v>45359</c:v>
                </c:pt>
                <c:pt idx="293">
                  <c:v>45362</c:v>
                </c:pt>
                <c:pt idx="294">
                  <c:v>45363</c:v>
                </c:pt>
                <c:pt idx="295">
                  <c:v>45364</c:v>
                </c:pt>
                <c:pt idx="296">
                  <c:v>45365</c:v>
                </c:pt>
                <c:pt idx="297">
                  <c:v>45366</c:v>
                </c:pt>
                <c:pt idx="298">
                  <c:v>45369</c:v>
                </c:pt>
                <c:pt idx="299">
                  <c:v>45370</c:v>
                </c:pt>
                <c:pt idx="300">
                  <c:v>45371</c:v>
                </c:pt>
                <c:pt idx="301">
                  <c:v>45372</c:v>
                </c:pt>
                <c:pt idx="302">
                  <c:v>45373</c:v>
                </c:pt>
                <c:pt idx="303">
                  <c:v>45376</c:v>
                </c:pt>
                <c:pt idx="304">
                  <c:v>45377</c:v>
                </c:pt>
                <c:pt idx="305">
                  <c:v>45378</c:v>
                </c:pt>
                <c:pt idx="306">
                  <c:v>45379</c:v>
                </c:pt>
                <c:pt idx="307">
                  <c:v>45380</c:v>
                </c:pt>
                <c:pt idx="308">
                  <c:v>45383</c:v>
                </c:pt>
                <c:pt idx="309">
                  <c:v>45384</c:v>
                </c:pt>
                <c:pt idx="310">
                  <c:v>45385</c:v>
                </c:pt>
                <c:pt idx="311">
                  <c:v>45386</c:v>
                </c:pt>
                <c:pt idx="312">
                  <c:v>45387</c:v>
                </c:pt>
                <c:pt idx="313">
                  <c:v>45390</c:v>
                </c:pt>
                <c:pt idx="314">
                  <c:v>45391</c:v>
                </c:pt>
                <c:pt idx="315">
                  <c:v>45392</c:v>
                </c:pt>
                <c:pt idx="316">
                  <c:v>45393</c:v>
                </c:pt>
                <c:pt idx="317">
                  <c:v>45394</c:v>
                </c:pt>
                <c:pt idx="318">
                  <c:v>45397</c:v>
                </c:pt>
                <c:pt idx="319">
                  <c:v>45398</c:v>
                </c:pt>
                <c:pt idx="320">
                  <c:v>45399</c:v>
                </c:pt>
                <c:pt idx="321">
                  <c:v>45401</c:v>
                </c:pt>
                <c:pt idx="322">
                  <c:v>45404</c:v>
                </c:pt>
                <c:pt idx="323">
                  <c:v>45405</c:v>
                </c:pt>
                <c:pt idx="324">
                  <c:v>45406</c:v>
                </c:pt>
                <c:pt idx="325">
                  <c:v>45407</c:v>
                </c:pt>
                <c:pt idx="326">
                  <c:v>45408</c:v>
                </c:pt>
                <c:pt idx="327">
                  <c:v>45414</c:v>
                </c:pt>
                <c:pt idx="328">
                  <c:v>45415</c:v>
                </c:pt>
                <c:pt idx="329">
                  <c:v>45418</c:v>
                </c:pt>
                <c:pt idx="330">
                  <c:v>45419</c:v>
                </c:pt>
                <c:pt idx="331">
                  <c:v>45420</c:v>
                </c:pt>
                <c:pt idx="332">
                  <c:v>45421</c:v>
                </c:pt>
                <c:pt idx="333">
                  <c:v>45422</c:v>
                </c:pt>
                <c:pt idx="334">
                  <c:v>45425</c:v>
                </c:pt>
                <c:pt idx="335">
                  <c:v>45426</c:v>
                </c:pt>
                <c:pt idx="336">
                  <c:v>45427</c:v>
                </c:pt>
                <c:pt idx="337">
                  <c:v>45428</c:v>
                </c:pt>
                <c:pt idx="338">
                  <c:v>45429</c:v>
                </c:pt>
                <c:pt idx="339">
                  <c:v>45432</c:v>
                </c:pt>
                <c:pt idx="340">
                  <c:v>45433</c:v>
                </c:pt>
                <c:pt idx="341">
                  <c:v>45434</c:v>
                </c:pt>
                <c:pt idx="342">
                  <c:v>45435</c:v>
                </c:pt>
                <c:pt idx="343">
                  <c:v>45436</c:v>
                </c:pt>
                <c:pt idx="344">
                  <c:v>45439</c:v>
                </c:pt>
                <c:pt idx="345">
                  <c:v>45440</c:v>
                </c:pt>
                <c:pt idx="346">
                  <c:v>45441</c:v>
                </c:pt>
                <c:pt idx="347">
                  <c:v>45442</c:v>
                </c:pt>
                <c:pt idx="348">
                  <c:v>45443</c:v>
                </c:pt>
                <c:pt idx="349">
                  <c:v>45446</c:v>
                </c:pt>
                <c:pt idx="350">
                  <c:v>45447</c:v>
                </c:pt>
                <c:pt idx="351">
                  <c:v>45448</c:v>
                </c:pt>
                <c:pt idx="352">
                  <c:v>45449</c:v>
                </c:pt>
                <c:pt idx="353">
                  <c:v>45450</c:v>
                </c:pt>
                <c:pt idx="354">
                  <c:v>45453</c:v>
                </c:pt>
                <c:pt idx="355">
                  <c:v>45454</c:v>
                </c:pt>
                <c:pt idx="356">
                  <c:v>45455</c:v>
                </c:pt>
                <c:pt idx="357">
                  <c:v>45456</c:v>
                </c:pt>
                <c:pt idx="358">
                  <c:v>45457</c:v>
                </c:pt>
                <c:pt idx="359">
                  <c:v>45460</c:v>
                </c:pt>
                <c:pt idx="360">
                  <c:v>45461</c:v>
                </c:pt>
                <c:pt idx="361">
                  <c:v>45462</c:v>
                </c:pt>
                <c:pt idx="362">
                  <c:v>45463</c:v>
                </c:pt>
                <c:pt idx="363">
                  <c:v>45464</c:v>
                </c:pt>
                <c:pt idx="364">
                  <c:v>45467</c:v>
                </c:pt>
                <c:pt idx="365">
                  <c:v>45468</c:v>
                </c:pt>
                <c:pt idx="366">
                  <c:v>45469</c:v>
                </c:pt>
                <c:pt idx="367">
                  <c:v>45470</c:v>
                </c:pt>
                <c:pt idx="368">
                  <c:v>45471</c:v>
                </c:pt>
                <c:pt idx="369">
                  <c:v>45474</c:v>
                </c:pt>
                <c:pt idx="370">
                  <c:v>45475</c:v>
                </c:pt>
                <c:pt idx="371">
                  <c:v>45476</c:v>
                </c:pt>
                <c:pt idx="372">
                  <c:v>45477</c:v>
                </c:pt>
                <c:pt idx="373">
                  <c:v>45478</c:v>
                </c:pt>
                <c:pt idx="374">
                  <c:v>45481</c:v>
                </c:pt>
                <c:pt idx="375">
                  <c:v>45482</c:v>
                </c:pt>
                <c:pt idx="376">
                  <c:v>45483</c:v>
                </c:pt>
                <c:pt idx="377">
                  <c:v>45484</c:v>
                </c:pt>
                <c:pt idx="378">
                  <c:v>45485</c:v>
                </c:pt>
                <c:pt idx="379">
                  <c:v>45488</c:v>
                </c:pt>
                <c:pt idx="380">
                  <c:v>45489</c:v>
                </c:pt>
                <c:pt idx="381">
                  <c:v>45490</c:v>
                </c:pt>
                <c:pt idx="382">
                  <c:v>45491</c:v>
                </c:pt>
                <c:pt idx="383">
                  <c:v>45492</c:v>
                </c:pt>
                <c:pt idx="384">
                  <c:v>45495</c:v>
                </c:pt>
                <c:pt idx="385">
                  <c:v>45496</c:v>
                </c:pt>
                <c:pt idx="386">
                  <c:v>45497</c:v>
                </c:pt>
                <c:pt idx="387">
                  <c:v>45498</c:v>
                </c:pt>
                <c:pt idx="388">
                  <c:v>45499</c:v>
                </c:pt>
                <c:pt idx="389">
                  <c:v>45502</c:v>
                </c:pt>
                <c:pt idx="390">
                  <c:v>45503</c:v>
                </c:pt>
                <c:pt idx="391">
                  <c:v>45504</c:v>
                </c:pt>
                <c:pt idx="392">
                  <c:v>45505</c:v>
                </c:pt>
                <c:pt idx="393">
                  <c:v>45506</c:v>
                </c:pt>
                <c:pt idx="394">
                  <c:v>45509</c:v>
                </c:pt>
                <c:pt idx="395">
                  <c:v>45510</c:v>
                </c:pt>
                <c:pt idx="396">
                  <c:v>45511</c:v>
                </c:pt>
                <c:pt idx="397">
                  <c:v>45512</c:v>
                </c:pt>
                <c:pt idx="398">
                  <c:v>45513</c:v>
                </c:pt>
                <c:pt idx="399">
                  <c:v>45516</c:v>
                </c:pt>
                <c:pt idx="400">
                  <c:v>45517</c:v>
                </c:pt>
                <c:pt idx="401">
                  <c:v>45518</c:v>
                </c:pt>
                <c:pt idx="402">
                  <c:v>45519</c:v>
                </c:pt>
                <c:pt idx="403">
                  <c:v>45520</c:v>
                </c:pt>
                <c:pt idx="404">
                  <c:v>45521</c:v>
                </c:pt>
                <c:pt idx="405">
                  <c:v>45522</c:v>
                </c:pt>
                <c:pt idx="406">
                  <c:v>45523</c:v>
                </c:pt>
                <c:pt idx="407">
                  <c:v>45524</c:v>
                </c:pt>
                <c:pt idx="408">
                  <c:v>45525</c:v>
                </c:pt>
                <c:pt idx="409">
                  <c:v>45526</c:v>
                </c:pt>
                <c:pt idx="410">
                  <c:v>45527</c:v>
                </c:pt>
                <c:pt idx="411">
                  <c:v>45530</c:v>
                </c:pt>
                <c:pt idx="412">
                  <c:v>45531</c:v>
                </c:pt>
                <c:pt idx="413">
                  <c:v>45532</c:v>
                </c:pt>
                <c:pt idx="414">
                  <c:v>45533</c:v>
                </c:pt>
                <c:pt idx="415">
                  <c:v>45534</c:v>
                </c:pt>
                <c:pt idx="416">
                  <c:v>45539</c:v>
                </c:pt>
                <c:pt idx="417">
                  <c:v>45540</c:v>
                </c:pt>
                <c:pt idx="418">
                  <c:v>45541</c:v>
                </c:pt>
                <c:pt idx="419">
                  <c:v>45544</c:v>
                </c:pt>
                <c:pt idx="420">
                  <c:v>45545</c:v>
                </c:pt>
                <c:pt idx="421">
                  <c:v>45546</c:v>
                </c:pt>
                <c:pt idx="422">
                  <c:v>45547</c:v>
                </c:pt>
                <c:pt idx="423">
                  <c:v>45548</c:v>
                </c:pt>
                <c:pt idx="424">
                  <c:v>45551</c:v>
                </c:pt>
                <c:pt idx="425">
                  <c:v>45552</c:v>
                </c:pt>
                <c:pt idx="426">
                  <c:v>45553</c:v>
                </c:pt>
                <c:pt idx="427">
                  <c:v>45554</c:v>
                </c:pt>
                <c:pt idx="428">
                  <c:v>45555</c:v>
                </c:pt>
                <c:pt idx="429">
                  <c:v>45558</c:v>
                </c:pt>
                <c:pt idx="430">
                  <c:v>45559</c:v>
                </c:pt>
                <c:pt idx="431">
                  <c:v>45560</c:v>
                </c:pt>
                <c:pt idx="432">
                  <c:v>45561</c:v>
                </c:pt>
                <c:pt idx="433">
                  <c:v>45562</c:v>
                </c:pt>
                <c:pt idx="434">
                  <c:v>45565</c:v>
                </c:pt>
                <c:pt idx="435">
                  <c:v>45566</c:v>
                </c:pt>
                <c:pt idx="436">
                  <c:v>45567</c:v>
                </c:pt>
                <c:pt idx="437">
                  <c:v>45568</c:v>
                </c:pt>
                <c:pt idx="438">
                  <c:v>45569</c:v>
                </c:pt>
                <c:pt idx="439">
                  <c:v>45572</c:v>
                </c:pt>
                <c:pt idx="440">
                  <c:v>45573</c:v>
                </c:pt>
                <c:pt idx="441">
                  <c:v>45574</c:v>
                </c:pt>
                <c:pt idx="442">
                  <c:v>45575</c:v>
                </c:pt>
                <c:pt idx="443">
                  <c:v>45576</c:v>
                </c:pt>
                <c:pt idx="444">
                  <c:v>45579</c:v>
                </c:pt>
                <c:pt idx="445">
                  <c:v>45580</c:v>
                </c:pt>
                <c:pt idx="446">
                  <c:v>45581</c:v>
                </c:pt>
                <c:pt idx="447">
                  <c:v>45582</c:v>
                </c:pt>
                <c:pt idx="448">
                  <c:v>45583</c:v>
                </c:pt>
                <c:pt idx="449">
                  <c:v>45586</c:v>
                </c:pt>
                <c:pt idx="450">
                  <c:v>45587</c:v>
                </c:pt>
                <c:pt idx="451">
                  <c:v>45588</c:v>
                </c:pt>
                <c:pt idx="452">
                  <c:v>45589</c:v>
                </c:pt>
                <c:pt idx="453">
                  <c:v>45590</c:v>
                </c:pt>
                <c:pt idx="454">
                  <c:v>45593</c:v>
                </c:pt>
                <c:pt idx="455">
                  <c:v>45594</c:v>
                </c:pt>
                <c:pt idx="456">
                  <c:v>45595</c:v>
                </c:pt>
                <c:pt idx="457">
                  <c:v>45596</c:v>
                </c:pt>
                <c:pt idx="458">
                  <c:v>45597</c:v>
                </c:pt>
                <c:pt idx="459">
                  <c:v>45600</c:v>
                </c:pt>
                <c:pt idx="460">
                  <c:v>45601</c:v>
                </c:pt>
                <c:pt idx="461">
                  <c:v>45602</c:v>
                </c:pt>
                <c:pt idx="462">
                  <c:v>45603</c:v>
                </c:pt>
                <c:pt idx="463">
                  <c:v>45604</c:v>
                </c:pt>
                <c:pt idx="464">
                  <c:v>45607</c:v>
                </c:pt>
                <c:pt idx="465">
                  <c:v>45608</c:v>
                </c:pt>
                <c:pt idx="466">
                  <c:v>45609</c:v>
                </c:pt>
                <c:pt idx="467">
                  <c:v>45610</c:v>
                </c:pt>
                <c:pt idx="468">
                  <c:v>45611</c:v>
                </c:pt>
                <c:pt idx="469">
                  <c:v>45614</c:v>
                </c:pt>
                <c:pt idx="470">
                  <c:v>45615</c:v>
                </c:pt>
                <c:pt idx="471">
                  <c:v>45656</c:v>
                </c:pt>
                <c:pt idx="472">
                  <c:v>45657</c:v>
                </c:pt>
                <c:pt idx="473">
                  <c:v>45747</c:v>
                </c:pt>
                <c:pt idx="474">
                  <c:v>45837</c:v>
                </c:pt>
                <c:pt idx="475">
                  <c:v>45927</c:v>
                </c:pt>
                <c:pt idx="476">
                  <c:v>46017</c:v>
                </c:pt>
                <c:pt idx="477">
                  <c:v>46107</c:v>
                </c:pt>
                <c:pt idx="478">
                  <c:v>46197</c:v>
                </c:pt>
              </c:numCache>
            </c:numRef>
          </c:cat>
          <c:val>
            <c:numRef>
              <c:f>Diamond!$N$3:$N$481</c:f>
              <c:numCache>
                <c:formatCode>_-* #,##0_-;\-* #,##0_-;_-* "-"??_-;_-@_-</c:formatCode>
                <c:ptCount val="479"/>
                <c:pt idx="0">
                  <c:v>67272</c:v>
                </c:pt>
                <c:pt idx="1">
                  <c:v>67272</c:v>
                </c:pt>
                <c:pt idx="2">
                  <c:v>67272</c:v>
                </c:pt>
                <c:pt idx="3">
                  <c:v>67272</c:v>
                </c:pt>
                <c:pt idx="4">
                  <c:v>67272</c:v>
                </c:pt>
                <c:pt idx="5">
                  <c:v>67272</c:v>
                </c:pt>
                <c:pt idx="6">
                  <c:v>67272</c:v>
                </c:pt>
                <c:pt idx="7">
                  <c:v>67272</c:v>
                </c:pt>
                <c:pt idx="8">
                  <c:v>67272</c:v>
                </c:pt>
                <c:pt idx="9">
                  <c:v>67272</c:v>
                </c:pt>
                <c:pt idx="10">
                  <c:v>67272</c:v>
                </c:pt>
                <c:pt idx="11">
                  <c:v>67272</c:v>
                </c:pt>
                <c:pt idx="12">
                  <c:v>67272</c:v>
                </c:pt>
                <c:pt idx="13">
                  <c:v>67272</c:v>
                </c:pt>
                <c:pt idx="14">
                  <c:v>67272</c:v>
                </c:pt>
                <c:pt idx="15">
                  <c:v>67272</c:v>
                </c:pt>
                <c:pt idx="16">
                  <c:v>67272</c:v>
                </c:pt>
                <c:pt idx="17">
                  <c:v>67272</c:v>
                </c:pt>
                <c:pt idx="18">
                  <c:v>67272</c:v>
                </c:pt>
                <c:pt idx="19">
                  <c:v>67272</c:v>
                </c:pt>
                <c:pt idx="20">
                  <c:v>67272</c:v>
                </c:pt>
                <c:pt idx="21">
                  <c:v>67272</c:v>
                </c:pt>
                <c:pt idx="22">
                  <c:v>67272</c:v>
                </c:pt>
                <c:pt idx="23">
                  <c:v>67272</c:v>
                </c:pt>
                <c:pt idx="24">
                  <c:v>67272</c:v>
                </c:pt>
                <c:pt idx="25">
                  <c:v>67272</c:v>
                </c:pt>
                <c:pt idx="26">
                  <c:v>67272</c:v>
                </c:pt>
                <c:pt idx="27">
                  <c:v>67272</c:v>
                </c:pt>
                <c:pt idx="28">
                  <c:v>67272</c:v>
                </c:pt>
                <c:pt idx="29">
                  <c:v>67272</c:v>
                </c:pt>
                <c:pt idx="30">
                  <c:v>67272</c:v>
                </c:pt>
                <c:pt idx="31">
                  <c:v>67272</c:v>
                </c:pt>
                <c:pt idx="32">
                  <c:v>67272</c:v>
                </c:pt>
                <c:pt idx="33">
                  <c:v>67272</c:v>
                </c:pt>
                <c:pt idx="34">
                  <c:v>67272</c:v>
                </c:pt>
                <c:pt idx="35">
                  <c:v>67272</c:v>
                </c:pt>
                <c:pt idx="36">
                  <c:v>67272</c:v>
                </c:pt>
                <c:pt idx="37">
                  <c:v>67272</c:v>
                </c:pt>
                <c:pt idx="38">
                  <c:v>67272</c:v>
                </c:pt>
                <c:pt idx="39">
                  <c:v>67272</c:v>
                </c:pt>
                <c:pt idx="40">
                  <c:v>67272</c:v>
                </c:pt>
                <c:pt idx="41">
                  <c:v>67272</c:v>
                </c:pt>
                <c:pt idx="42">
                  <c:v>67272</c:v>
                </c:pt>
                <c:pt idx="43">
                  <c:v>67272</c:v>
                </c:pt>
                <c:pt idx="44">
                  <c:v>67272</c:v>
                </c:pt>
                <c:pt idx="45">
                  <c:v>67272</c:v>
                </c:pt>
                <c:pt idx="46">
                  <c:v>67272</c:v>
                </c:pt>
                <c:pt idx="47">
                  <c:v>67272</c:v>
                </c:pt>
                <c:pt idx="48">
                  <c:v>67272</c:v>
                </c:pt>
                <c:pt idx="49">
                  <c:v>67272</c:v>
                </c:pt>
                <c:pt idx="50">
                  <c:v>67272</c:v>
                </c:pt>
                <c:pt idx="51">
                  <c:v>67272</c:v>
                </c:pt>
                <c:pt idx="52">
                  <c:v>67272</c:v>
                </c:pt>
                <c:pt idx="53">
                  <c:v>67272</c:v>
                </c:pt>
                <c:pt idx="54">
                  <c:v>67272</c:v>
                </c:pt>
                <c:pt idx="55">
                  <c:v>67272</c:v>
                </c:pt>
                <c:pt idx="56">
                  <c:v>67272</c:v>
                </c:pt>
                <c:pt idx="57">
                  <c:v>67272</c:v>
                </c:pt>
                <c:pt idx="58">
                  <c:v>67272</c:v>
                </c:pt>
                <c:pt idx="59">
                  <c:v>67272</c:v>
                </c:pt>
                <c:pt idx="60">
                  <c:v>67272</c:v>
                </c:pt>
                <c:pt idx="61">
                  <c:v>67272</c:v>
                </c:pt>
                <c:pt idx="62">
                  <c:v>67272</c:v>
                </c:pt>
                <c:pt idx="63">
                  <c:v>67272</c:v>
                </c:pt>
                <c:pt idx="64">
                  <c:v>67272</c:v>
                </c:pt>
                <c:pt idx="65">
                  <c:v>67272</c:v>
                </c:pt>
                <c:pt idx="66">
                  <c:v>67272</c:v>
                </c:pt>
                <c:pt idx="67">
                  <c:v>67272</c:v>
                </c:pt>
                <c:pt idx="68">
                  <c:v>67272</c:v>
                </c:pt>
                <c:pt idx="69">
                  <c:v>67272</c:v>
                </c:pt>
                <c:pt idx="70">
                  <c:v>67272</c:v>
                </c:pt>
                <c:pt idx="71">
                  <c:v>67272</c:v>
                </c:pt>
                <c:pt idx="72">
                  <c:v>67272</c:v>
                </c:pt>
                <c:pt idx="73">
                  <c:v>67272</c:v>
                </c:pt>
                <c:pt idx="74">
                  <c:v>67272</c:v>
                </c:pt>
                <c:pt idx="75">
                  <c:v>67272</c:v>
                </c:pt>
                <c:pt idx="76">
                  <c:v>67272</c:v>
                </c:pt>
                <c:pt idx="77">
                  <c:v>67272</c:v>
                </c:pt>
                <c:pt idx="78">
                  <c:v>67272</c:v>
                </c:pt>
                <c:pt idx="79">
                  <c:v>67272</c:v>
                </c:pt>
                <c:pt idx="80">
                  <c:v>67272</c:v>
                </c:pt>
                <c:pt idx="81">
                  <c:v>67272</c:v>
                </c:pt>
                <c:pt idx="82">
                  <c:v>67272</c:v>
                </c:pt>
                <c:pt idx="83">
                  <c:v>67272</c:v>
                </c:pt>
                <c:pt idx="84">
                  <c:v>67272</c:v>
                </c:pt>
                <c:pt idx="85">
                  <c:v>67272</c:v>
                </c:pt>
                <c:pt idx="86">
                  <c:v>67272</c:v>
                </c:pt>
                <c:pt idx="87">
                  <c:v>67272</c:v>
                </c:pt>
                <c:pt idx="88">
                  <c:v>67272</c:v>
                </c:pt>
                <c:pt idx="89">
                  <c:v>67272</c:v>
                </c:pt>
                <c:pt idx="90">
                  <c:v>67272</c:v>
                </c:pt>
                <c:pt idx="91">
                  <c:v>67272</c:v>
                </c:pt>
                <c:pt idx="92">
                  <c:v>67272</c:v>
                </c:pt>
                <c:pt idx="93">
                  <c:v>67272</c:v>
                </c:pt>
                <c:pt idx="94">
                  <c:v>67272</c:v>
                </c:pt>
                <c:pt idx="95">
                  <c:v>67272</c:v>
                </c:pt>
                <c:pt idx="96">
                  <c:v>67272</c:v>
                </c:pt>
                <c:pt idx="97">
                  <c:v>67272</c:v>
                </c:pt>
                <c:pt idx="98">
                  <c:v>67272</c:v>
                </c:pt>
                <c:pt idx="99">
                  <c:v>67272</c:v>
                </c:pt>
                <c:pt idx="100">
                  <c:v>67272</c:v>
                </c:pt>
                <c:pt idx="101">
                  <c:v>67272</c:v>
                </c:pt>
                <c:pt idx="102">
                  <c:v>67272</c:v>
                </c:pt>
                <c:pt idx="103">
                  <c:v>67272</c:v>
                </c:pt>
                <c:pt idx="104">
                  <c:v>67272</c:v>
                </c:pt>
                <c:pt idx="105">
                  <c:v>67272</c:v>
                </c:pt>
                <c:pt idx="106">
                  <c:v>67272</c:v>
                </c:pt>
                <c:pt idx="107">
                  <c:v>67272</c:v>
                </c:pt>
                <c:pt idx="108">
                  <c:v>67272</c:v>
                </c:pt>
                <c:pt idx="109">
                  <c:v>67272</c:v>
                </c:pt>
                <c:pt idx="110">
                  <c:v>67272</c:v>
                </c:pt>
                <c:pt idx="111">
                  <c:v>67272</c:v>
                </c:pt>
                <c:pt idx="112">
                  <c:v>67272</c:v>
                </c:pt>
                <c:pt idx="113">
                  <c:v>67272</c:v>
                </c:pt>
                <c:pt idx="114">
                  <c:v>67272</c:v>
                </c:pt>
                <c:pt idx="115">
                  <c:v>67272</c:v>
                </c:pt>
                <c:pt idx="116">
                  <c:v>67272</c:v>
                </c:pt>
                <c:pt idx="117">
                  <c:v>67272</c:v>
                </c:pt>
                <c:pt idx="118">
                  <c:v>67272</c:v>
                </c:pt>
                <c:pt idx="119">
                  <c:v>67272</c:v>
                </c:pt>
                <c:pt idx="120">
                  <c:v>67272</c:v>
                </c:pt>
                <c:pt idx="121">
                  <c:v>67272</c:v>
                </c:pt>
                <c:pt idx="122">
                  <c:v>67272</c:v>
                </c:pt>
                <c:pt idx="123">
                  <c:v>67272</c:v>
                </c:pt>
                <c:pt idx="124">
                  <c:v>67272</c:v>
                </c:pt>
                <c:pt idx="125">
                  <c:v>67272</c:v>
                </c:pt>
                <c:pt idx="126">
                  <c:v>67272</c:v>
                </c:pt>
                <c:pt idx="127">
                  <c:v>80903.900000000009</c:v>
                </c:pt>
                <c:pt idx="128">
                  <c:v>80903.900000000009</c:v>
                </c:pt>
                <c:pt idx="129">
                  <c:v>80903.900000000009</c:v>
                </c:pt>
                <c:pt idx="130">
                  <c:v>80903.900000000009</c:v>
                </c:pt>
                <c:pt idx="131">
                  <c:v>80903.900000000009</c:v>
                </c:pt>
                <c:pt idx="132">
                  <c:v>80903.900000000009</c:v>
                </c:pt>
                <c:pt idx="133">
                  <c:v>80903.900000000009</c:v>
                </c:pt>
                <c:pt idx="134">
                  <c:v>80903.900000000009</c:v>
                </c:pt>
                <c:pt idx="135">
                  <c:v>80903.900000000009</c:v>
                </c:pt>
                <c:pt idx="136">
                  <c:v>80903.900000000009</c:v>
                </c:pt>
                <c:pt idx="137">
                  <c:v>80903.900000000009</c:v>
                </c:pt>
                <c:pt idx="138">
                  <c:v>80903.900000000009</c:v>
                </c:pt>
                <c:pt idx="139">
                  <c:v>80903.900000000009</c:v>
                </c:pt>
                <c:pt idx="140">
                  <c:v>80903.900000000009</c:v>
                </c:pt>
                <c:pt idx="141">
                  <c:v>80903.900000000009</c:v>
                </c:pt>
                <c:pt idx="142">
                  <c:v>80903.900000000009</c:v>
                </c:pt>
                <c:pt idx="143">
                  <c:v>80903.900000000009</c:v>
                </c:pt>
                <c:pt idx="144">
                  <c:v>80903.900000000009</c:v>
                </c:pt>
                <c:pt idx="145">
                  <c:v>80903.900000000009</c:v>
                </c:pt>
                <c:pt idx="146">
                  <c:v>80903.900000000009</c:v>
                </c:pt>
                <c:pt idx="147">
                  <c:v>80903.900000000009</c:v>
                </c:pt>
                <c:pt idx="148">
                  <c:v>80903.900000000009</c:v>
                </c:pt>
                <c:pt idx="149">
                  <c:v>80903.900000000009</c:v>
                </c:pt>
                <c:pt idx="150">
                  <c:v>80903.900000000009</c:v>
                </c:pt>
                <c:pt idx="151">
                  <c:v>92607.900000000009</c:v>
                </c:pt>
                <c:pt idx="152">
                  <c:v>92607.900000000009</c:v>
                </c:pt>
                <c:pt idx="153">
                  <c:v>92607.900000000009</c:v>
                </c:pt>
                <c:pt idx="154">
                  <c:v>92607.900000000009</c:v>
                </c:pt>
                <c:pt idx="155">
                  <c:v>92607.900000000009</c:v>
                </c:pt>
                <c:pt idx="156">
                  <c:v>92607.900000000009</c:v>
                </c:pt>
                <c:pt idx="157">
                  <c:v>92607.900000000009</c:v>
                </c:pt>
                <c:pt idx="158">
                  <c:v>92607.900000000009</c:v>
                </c:pt>
                <c:pt idx="159">
                  <c:v>92607.900000000009</c:v>
                </c:pt>
                <c:pt idx="160">
                  <c:v>92607.900000000009</c:v>
                </c:pt>
                <c:pt idx="161">
                  <c:v>92607.900000000009</c:v>
                </c:pt>
                <c:pt idx="162">
                  <c:v>92607.900000000009</c:v>
                </c:pt>
                <c:pt idx="163">
                  <c:v>92607.900000000009</c:v>
                </c:pt>
                <c:pt idx="164">
                  <c:v>92607.900000000009</c:v>
                </c:pt>
                <c:pt idx="165">
                  <c:v>92607.900000000009</c:v>
                </c:pt>
                <c:pt idx="166">
                  <c:v>92607.900000000009</c:v>
                </c:pt>
                <c:pt idx="167">
                  <c:v>92607.900000000009</c:v>
                </c:pt>
                <c:pt idx="168">
                  <c:v>92607.900000000009</c:v>
                </c:pt>
                <c:pt idx="169">
                  <c:v>92607.900000000009</c:v>
                </c:pt>
                <c:pt idx="170">
                  <c:v>92607.900000000009</c:v>
                </c:pt>
                <c:pt idx="171">
                  <c:v>92607.900000000009</c:v>
                </c:pt>
                <c:pt idx="172">
                  <c:v>92607.900000000009</c:v>
                </c:pt>
                <c:pt idx="173">
                  <c:v>92607.900000000009</c:v>
                </c:pt>
                <c:pt idx="174">
                  <c:v>92607.900000000009</c:v>
                </c:pt>
                <c:pt idx="175">
                  <c:v>92607.900000000009</c:v>
                </c:pt>
                <c:pt idx="176">
                  <c:v>92607.900000000009</c:v>
                </c:pt>
                <c:pt idx="177">
                  <c:v>92607.900000000009</c:v>
                </c:pt>
                <c:pt idx="178">
                  <c:v>92607.900000000009</c:v>
                </c:pt>
                <c:pt idx="179">
                  <c:v>92607.900000000009</c:v>
                </c:pt>
                <c:pt idx="180">
                  <c:v>92607.900000000009</c:v>
                </c:pt>
                <c:pt idx="181">
                  <c:v>92607.900000000009</c:v>
                </c:pt>
                <c:pt idx="182">
                  <c:v>92607.900000000009</c:v>
                </c:pt>
                <c:pt idx="183">
                  <c:v>92607.900000000009</c:v>
                </c:pt>
                <c:pt idx="184">
                  <c:v>92607.900000000009</c:v>
                </c:pt>
                <c:pt idx="185">
                  <c:v>92607.900000000009</c:v>
                </c:pt>
                <c:pt idx="186">
                  <c:v>92607.900000000009</c:v>
                </c:pt>
                <c:pt idx="187">
                  <c:v>92607.900000000009</c:v>
                </c:pt>
                <c:pt idx="188">
                  <c:v>92607.900000000009</c:v>
                </c:pt>
                <c:pt idx="189">
                  <c:v>92607.900000000009</c:v>
                </c:pt>
                <c:pt idx="190">
                  <c:v>92607.900000000009</c:v>
                </c:pt>
                <c:pt idx="191">
                  <c:v>92607.900000000009</c:v>
                </c:pt>
                <c:pt idx="192">
                  <c:v>92607.900000000009</c:v>
                </c:pt>
                <c:pt idx="193">
                  <c:v>92607.900000000009</c:v>
                </c:pt>
                <c:pt idx="194">
                  <c:v>92607.900000000009</c:v>
                </c:pt>
                <c:pt idx="195">
                  <c:v>92607.900000000009</c:v>
                </c:pt>
                <c:pt idx="196">
                  <c:v>92607.900000000009</c:v>
                </c:pt>
                <c:pt idx="197">
                  <c:v>92607.900000000009</c:v>
                </c:pt>
                <c:pt idx="198">
                  <c:v>92607.900000000009</c:v>
                </c:pt>
                <c:pt idx="199">
                  <c:v>92607.900000000009</c:v>
                </c:pt>
                <c:pt idx="200">
                  <c:v>92607.900000000009</c:v>
                </c:pt>
                <c:pt idx="201">
                  <c:v>92607.900000000009</c:v>
                </c:pt>
                <c:pt idx="202">
                  <c:v>92607.900000000009</c:v>
                </c:pt>
                <c:pt idx="203">
                  <c:v>92607.900000000009</c:v>
                </c:pt>
                <c:pt idx="204">
                  <c:v>92607.900000000009</c:v>
                </c:pt>
                <c:pt idx="205">
                  <c:v>92607.900000000009</c:v>
                </c:pt>
                <c:pt idx="206">
                  <c:v>92607.900000000009</c:v>
                </c:pt>
                <c:pt idx="207">
                  <c:v>92607.900000000009</c:v>
                </c:pt>
                <c:pt idx="208">
                  <c:v>92607.900000000009</c:v>
                </c:pt>
                <c:pt idx="209">
                  <c:v>92607.900000000009</c:v>
                </c:pt>
                <c:pt idx="210">
                  <c:v>92607.900000000009</c:v>
                </c:pt>
                <c:pt idx="211">
                  <c:v>92607.900000000009</c:v>
                </c:pt>
                <c:pt idx="212">
                  <c:v>92607.900000000009</c:v>
                </c:pt>
                <c:pt idx="213">
                  <c:v>92607.900000000009</c:v>
                </c:pt>
                <c:pt idx="214">
                  <c:v>92607.900000000009</c:v>
                </c:pt>
                <c:pt idx="215">
                  <c:v>92607.900000000009</c:v>
                </c:pt>
                <c:pt idx="216">
                  <c:v>92607.900000000009</c:v>
                </c:pt>
                <c:pt idx="217">
                  <c:v>92607.900000000009</c:v>
                </c:pt>
                <c:pt idx="218">
                  <c:v>92607.900000000009</c:v>
                </c:pt>
                <c:pt idx="219">
                  <c:v>92607.900000000009</c:v>
                </c:pt>
                <c:pt idx="220">
                  <c:v>92607.900000000009</c:v>
                </c:pt>
                <c:pt idx="221">
                  <c:v>92607.900000000009</c:v>
                </c:pt>
                <c:pt idx="222">
                  <c:v>92607.900000000009</c:v>
                </c:pt>
                <c:pt idx="223">
                  <c:v>92607.900000000009</c:v>
                </c:pt>
                <c:pt idx="224">
                  <c:v>92607.900000000009</c:v>
                </c:pt>
                <c:pt idx="225">
                  <c:v>92607.900000000009</c:v>
                </c:pt>
                <c:pt idx="226">
                  <c:v>92607.900000000009</c:v>
                </c:pt>
                <c:pt idx="227">
                  <c:v>92607.900000000009</c:v>
                </c:pt>
                <c:pt idx="228">
                  <c:v>92607.900000000009</c:v>
                </c:pt>
                <c:pt idx="229">
                  <c:v>92607.900000000009</c:v>
                </c:pt>
                <c:pt idx="230">
                  <c:v>92607.900000000009</c:v>
                </c:pt>
                <c:pt idx="231">
                  <c:v>92607.900000000009</c:v>
                </c:pt>
                <c:pt idx="232">
                  <c:v>92607.900000000009</c:v>
                </c:pt>
                <c:pt idx="233">
                  <c:v>92607.900000000009</c:v>
                </c:pt>
                <c:pt idx="234">
                  <c:v>92607.900000000009</c:v>
                </c:pt>
                <c:pt idx="235">
                  <c:v>92607.900000000009</c:v>
                </c:pt>
                <c:pt idx="236">
                  <c:v>92607.900000000009</c:v>
                </c:pt>
                <c:pt idx="237">
                  <c:v>92607.900000000009</c:v>
                </c:pt>
                <c:pt idx="238">
                  <c:v>92607.900000000009</c:v>
                </c:pt>
                <c:pt idx="239">
                  <c:v>92607.900000000009</c:v>
                </c:pt>
                <c:pt idx="240">
                  <c:v>76076</c:v>
                </c:pt>
                <c:pt idx="241">
                  <c:v>76076</c:v>
                </c:pt>
                <c:pt idx="242">
                  <c:v>76076</c:v>
                </c:pt>
                <c:pt idx="243">
                  <c:v>76076</c:v>
                </c:pt>
                <c:pt idx="244">
                  <c:v>76076</c:v>
                </c:pt>
                <c:pt idx="245">
                  <c:v>76076</c:v>
                </c:pt>
                <c:pt idx="246">
                  <c:v>76076</c:v>
                </c:pt>
                <c:pt idx="247">
                  <c:v>76076</c:v>
                </c:pt>
                <c:pt idx="248">
                  <c:v>76076</c:v>
                </c:pt>
                <c:pt idx="249">
                  <c:v>76076</c:v>
                </c:pt>
                <c:pt idx="250">
                  <c:v>76076</c:v>
                </c:pt>
                <c:pt idx="251">
                  <c:v>76076</c:v>
                </c:pt>
                <c:pt idx="252">
                  <c:v>76076</c:v>
                </c:pt>
                <c:pt idx="253">
                  <c:v>76076</c:v>
                </c:pt>
                <c:pt idx="254">
                  <c:v>76076</c:v>
                </c:pt>
                <c:pt idx="255">
                  <c:v>76076</c:v>
                </c:pt>
                <c:pt idx="256">
                  <c:v>76076</c:v>
                </c:pt>
                <c:pt idx="257">
                  <c:v>76076</c:v>
                </c:pt>
                <c:pt idx="258">
                  <c:v>76076</c:v>
                </c:pt>
                <c:pt idx="259">
                  <c:v>76076</c:v>
                </c:pt>
                <c:pt idx="260">
                  <c:v>76076</c:v>
                </c:pt>
                <c:pt idx="261">
                  <c:v>76076</c:v>
                </c:pt>
                <c:pt idx="262">
                  <c:v>76076</c:v>
                </c:pt>
                <c:pt idx="263">
                  <c:v>76076</c:v>
                </c:pt>
                <c:pt idx="264">
                  <c:v>76076</c:v>
                </c:pt>
                <c:pt idx="265">
                  <c:v>76076</c:v>
                </c:pt>
                <c:pt idx="266">
                  <c:v>76076</c:v>
                </c:pt>
                <c:pt idx="267">
                  <c:v>76076</c:v>
                </c:pt>
                <c:pt idx="268">
                  <c:v>76076</c:v>
                </c:pt>
                <c:pt idx="269">
                  <c:v>76076</c:v>
                </c:pt>
                <c:pt idx="270">
                  <c:v>76076</c:v>
                </c:pt>
                <c:pt idx="271">
                  <c:v>76076</c:v>
                </c:pt>
                <c:pt idx="272">
                  <c:v>76076</c:v>
                </c:pt>
                <c:pt idx="273">
                  <c:v>76076</c:v>
                </c:pt>
                <c:pt idx="274">
                  <c:v>76076</c:v>
                </c:pt>
                <c:pt idx="275">
                  <c:v>76076</c:v>
                </c:pt>
                <c:pt idx="276">
                  <c:v>76076</c:v>
                </c:pt>
                <c:pt idx="277">
                  <c:v>76076</c:v>
                </c:pt>
                <c:pt idx="278">
                  <c:v>76076</c:v>
                </c:pt>
                <c:pt idx="279">
                  <c:v>76076</c:v>
                </c:pt>
                <c:pt idx="280">
                  <c:v>76076</c:v>
                </c:pt>
                <c:pt idx="281">
                  <c:v>76076</c:v>
                </c:pt>
                <c:pt idx="282">
                  <c:v>76076</c:v>
                </c:pt>
                <c:pt idx="283">
                  <c:v>76076</c:v>
                </c:pt>
                <c:pt idx="284">
                  <c:v>76076</c:v>
                </c:pt>
                <c:pt idx="285">
                  <c:v>76076</c:v>
                </c:pt>
                <c:pt idx="286">
                  <c:v>76076</c:v>
                </c:pt>
                <c:pt idx="287">
                  <c:v>76076</c:v>
                </c:pt>
                <c:pt idx="288">
                  <c:v>80465</c:v>
                </c:pt>
                <c:pt idx="289">
                  <c:v>80465</c:v>
                </c:pt>
                <c:pt idx="290">
                  <c:v>80465</c:v>
                </c:pt>
                <c:pt idx="291">
                  <c:v>80465</c:v>
                </c:pt>
                <c:pt idx="292">
                  <c:v>80465</c:v>
                </c:pt>
                <c:pt idx="293">
                  <c:v>80465</c:v>
                </c:pt>
                <c:pt idx="294">
                  <c:v>80465</c:v>
                </c:pt>
                <c:pt idx="295">
                  <c:v>80465</c:v>
                </c:pt>
                <c:pt idx="296">
                  <c:v>80465</c:v>
                </c:pt>
                <c:pt idx="297">
                  <c:v>80465</c:v>
                </c:pt>
                <c:pt idx="298">
                  <c:v>80465</c:v>
                </c:pt>
                <c:pt idx="299">
                  <c:v>80465</c:v>
                </c:pt>
                <c:pt idx="300">
                  <c:v>80465</c:v>
                </c:pt>
                <c:pt idx="301">
                  <c:v>80465</c:v>
                </c:pt>
                <c:pt idx="302">
                  <c:v>80465</c:v>
                </c:pt>
                <c:pt idx="303">
                  <c:v>80465</c:v>
                </c:pt>
                <c:pt idx="304">
                  <c:v>80465</c:v>
                </c:pt>
                <c:pt idx="305">
                  <c:v>80465</c:v>
                </c:pt>
                <c:pt idx="306">
                  <c:v>80465</c:v>
                </c:pt>
                <c:pt idx="307">
                  <c:v>80465</c:v>
                </c:pt>
                <c:pt idx="308">
                  <c:v>80465</c:v>
                </c:pt>
                <c:pt idx="309">
                  <c:v>80465</c:v>
                </c:pt>
                <c:pt idx="310">
                  <c:v>80465</c:v>
                </c:pt>
                <c:pt idx="311">
                  <c:v>80465</c:v>
                </c:pt>
                <c:pt idx="312">
                  <c:v>80465</c:v>
                </c:pt>
                <c:pt idx="313">
                  <c:v>80465</c:v>
                </c:pt>
                <c:pt idx="314">
                  <c:v>80465</c:v>
                </c:pt>
                <c:pt idx="315">
                  <c:v>80465</c:v>
                </c:pt>
                <c:pt idx="316">
                  <c:v>80465</c:v>
                </c:pt>
                <c:pt idx="317">
                  <c:v>80465</c:v>
                </c:pt>
                <c:pt idx="318">
                  <c:v>80465</c:v>
                </c:pt>
                <c:pt idx="319">
                  <c:v>80465</c:v>
                </c:pt>
                <c:pt idx="320">
                  <c:v>80465</c:v>
                </c:pt>
                <c:pt idx="321">
                  <c:v>80465</c:v>
                </c:pt>
                <c:pt idx="322">
                  <c:v>80465</c:v>
                </c:pt>
                <c:pt idx="323">
                  <c:v>80465</c:v>
                </c:pt>
                <c:pt idx="324">
                  <c:v>80465</c:v>
                </c:pt>
                <c:pt idx="325">
                  <c:v>80465</c:v>
                </c:pt>
                <c:pt idx="326">
                  <c:v>80465</c:v>
                </c:pt>
                <c:pt idx="327">
                  <c:v>96638.2</c:v>
                </c:pt>
                <c:pt idx="328">
                  <c:v>101401.53153597542</c:v>
                </c:pt>
                <c:pt idx="329">
                  <c:v>101401.53153597542</c:v>
                </c:pt>
                <c:pt idx="330">
                  <c:v>101401.53153597542</c:v>
                </c:pt>
                <c:pt idx="331">
                  <c:v>101401.53153597542</c:v>
                </c:pt>
                <c:pt idx="332">
                  <c:v>101401.53153597542</c:v>
                </c:pt>
                <c:pt idx="333">
                  <c:v>101401.53153597542</c:v>
                </c:pt>
                <c:pt idx="334">
                  <c:v>101401.53153597542</c:v>
                </c:pt>
                <c:pt idx="335">
                  <c:v>101401.53153597542</c:v>
                </c:pt>
                <c:pt idx="336">
                  <c:v>101401.53153597542</c:v>
                </c:pt>
                <c:pt idx="337">
                  <c:v>101401.53153597542</c:v>
                </c:pt>
                <c:pt idx="338">
                  <c:v>101401.53153597542</c:v>
                </c:pt>
                <c:pt idx="339">
                  <c:v>101401.53153597542</c:v>
                </c:pt>
                <c:pt idx="340">
                  <c:v>101401.53153597542</c:v>
                </c:pt>
                <c:pt idx="341">
                  <c:v>101401.53153597542</c:v>
                </c:pt>
                <c:pt idx="342">
                  <c:v>101401.53153597542</c:v>
                </c:pt>
                <c:pt idx="343">
                  <c:v>101401.53153597542</c:v>
                </c:pt>
                <c:pt idx="344">
                  <c:v>101401.53153597542</c:v>
                </c:pt>
                <c:pt idx="345">
                  <c:v>101401.53153597542</c:v>
                </c:pt>
                <c:pt idx="346">
                  <c:v>101401.53153597542</c:v>
                </c:pt>
                <c:pt idx="347">
                  <c:v>101401.53153597542</c:v>
                </c:pt>
                <c:pt idx="348">
                  <c:v>101401.53153597542</c:v>
                </c:pt>
                <c:pt idx="349">
                  <c:v>101401.53153597542</c:v>
                </c:pt>
                <c:pt idx="350">
                  <c:v>101401.53153597542</c:v>
                </c:pt>
                <c:pt idx="351">
                  <c:v>101401.53153597542</c:v>
                </c:pt>
                <c:pt idx="352">
                  <c:v>101401.53153597542</c:v>
                </c:pt>
                <c:pt idx="353">
                  <c:v>101401.53153597542</c:v>
                </c:pt>
                <c:pt idx="354">
                  <c:v>101401.53153597542</c:v>
                </c:pt>
                <c:pt idx="355">
                  <c:v>101401.53153597542</c:v>
                </c:pt>
                <c:pt idx="356">
                  <c:v>101401.53153597542</c:v>
                </c:pt>
                <c:pt idx="357">
                  <c:v>101401.53153597542</c:v>
                </c:pt>
                <c:pt idx="358">
                  <c:v>101401.53153597542</c:v>
                </c:pt>
                <c:pt idx="359">
                  <c:v>101401.53153597542</c:v>
                </c:pt>
                <c:pt idx="360">
                  <c:v>101401.53153597542</c:v>
                </c:pt>
                <c:pt idx="361">
                  <c:v>101401.53153597542</c:v>
                </c:pt>
                <c:pt idx="362">
                  <c:v>101401.53153597542</c:v>
                </c:pt>
                <c:pt idx="363">
                  <c:v>101401.53153597542</c:v>
                </c:pt>
                <c:pt idx="364">
                  <c:v>101401.53153597542</c:v>
                </c:pt>
                <c:pt idx="365">
                  <c:v>101401.53153597542</c:v>
                </c:pt>
                <c:pt idx="366">
                  <c:v>101401.53153597542</c:v>
                </c:pt>
                <c:pt idx="367">
                  <c:v>101401.53153597542</c:v>
                </c:pt>
                <c:pt idx="368">
                  <c:v>101401.53153597542</c:v>
                </c:pt>
                <c:pt idx="369">
                  <c:v>101401.53153597542</c:v>
                </c:pt>
                <c:pt idx="370">
                  <c:v>101401.53153597542</c:v>
                </c:pt>
                <c:pt idx="371">
                  <c:v>101401.53153597542</c:v>
                </c:pt>
                <c:pt idx="372">
                  <c:v>101401.53153597542</c:v>
                </c:pt>
                <c:pt idx="373">
                  <c:v>101401.53153597542</c:v>
                </c:pt>
                <c:pt idx="374">
                  <c:v>101401.53153597542</c:v>
                </c:pt>
                <c:pt idx="375">
                  <c:v>101401.53153597542</c:v>
                </c:pt>
                <c:pt idx="376">
                  <c:v>101401.53153597542</c:v>
                </c:pt>
                <c:pt idx="377">
                  <c:v>101401.53153597542</c:v>
                </c:pt>
                <c:pt idx="378">
                  <c:v>101401.53153597542</c:v>
                </c:pt>
                <c:pt idx="379">
                  <c:v>101401.53153597542</c:v>
                </c:pt>
                <c:pt idx="380">
                  <c:v>101401.53153597542</c:v>
                </c:pt>
                <c:pt idx="381">
                  <c:v>101401.53153597542</c:v>
                </c:pt>
                <c:pt idx="382">
                  <c:v>101401.53153597542</c:v>
                </c:pt>
                <c:pt idx="383">
                  <c:v>101401.53153597542</c:v>
                </c:pt>
                <c:pt idx="384">
                  <c:v>101401.53153597542</c:v>
                </c:pt>
                <c:pt idx="385">
                  <c:v>101401.53153597542</c:v>
                </c:pt>
                <c:pt idx="386">
                  <c:v>101401.53153597542</c:v>
                </c:pt>
                <c:pt idx="387">
                  <c:v>101401.53153597542</c:v>
                </c:pt>
                <c:pt idx="388">
                  <c:v>101401.53153597542</c:v>
                </c:pt>
                <c:pt idx="389">
                  <c:v>101401.53153597542</c:v>
                </c:pt>
                <c:pt idx="390">
                  <c:v>101401.53153597542</c:v>
                </c:pt>
                <c:pt idx="391">
                  <c:v>101401.53153597542</c:v>
                </c:pt>
                <c:pt idx="392">
                  <c:v>101401.53153597542</c:v>
                </c:pt>
                <c:pt idx="393">
                  <c:v>101401.53153597542</c:v>
                </c:pt>
                <c:pt idx="394">
                  <c:v>101401.53153597542</c:v>
                </c:pt>
                <c:pt idx="395">
                  <c:v>101401.53153597542</c:v>
                </c:pt>
                <c:pt idx="396">
                  <c:v>101401.53153597542</c:v>
                </c:pt>
                <c:pt idx="397">
                  <c:v>101401.53153597542</c:v>
                </c:pt>
                <c:pt idx="398">
                  <c:v>101401.53153597542</c:v>
                </c:pt>
                <c:pt idx="399">
                  <c:v>101401.53153597542</c:v>
                </c:pt>
                <c:pt idx="400">
                  <c:v>101401.53153597542</c:v>
                </c:pt>
                <c:pt idx="401">
                  <c:v>101401.53153597542</c:v>
                </c:pt>
                <c:pt idx="402">
                  <c:v>99703.934552860665</c:v>
                </c:pt>
                <c:pt idx="403">
                  <c:v>99703.934552860665</c:v>
                </c:pt>
                <c:pt idx="404">
                  <c:v>99703.934552860665</c:v>
                </c:pt>
                <c:pt idx="405">
                  <c:v>99703.934552860665</c:v>
                </c:pt>
                <c:pt idx="406">
                  <c:v>99703.934552860665</c:v>
                </c:pt>
                <c:pt idx="407">
                  <c:v>99703.934552860665</c:v>
                </c:pt>
                <c:pt idx="408">
                  <c:v>99703.934552860665</c:v>
                </c:pt>
                <c:pt idx="409">
                  <c:v>99703.934552860665</c:v>
                </c:pt>
                <c:pt idx="410">
                  <c:v>99703.934552860665</c:v>
                </c:pt>
                <c:pt idx="411">
                  <c:v>99703.934552860665</c:v>
                </c:pt>
                <c:pt idx="412">
                  <c:v>99703.934552860665</c:v>
                </c:pt>
                <c:pt idx="413">
                  <c:v>99703.934552860665</c:v>
                </c:pt>
                <c:pt idx="414">
                  <c:v>99703.934552860665</c:v>
                </c:pt>
                <c:pt idx="415">
                  <c:v>99703.934552860665</c:v>
                </c:pt>
                <c:pt idx="416">
                  <c:v>99703.934552860665</c:v>
                </c:pt>
                <c:pt idx="417">
                  <c:v>99703.934552860665</c:v>
                </c:pt>
                <c:pt idx="418">
                  <c:v>99703.934552860665</c:v>
                </c:pt>
                <c:pt idx="419">
                  <c:v>99703.934552860665</c:v>
                </c:pt>
                <c:pt idx="420">
                  <c:v>99703.934552860665</c:v>
                </c:pt>
                <c:pt idx="421">
                  <c:v>99703.934552860665</c:v>
                </c:pt>
                <c:pt idx="422">
                  <c:v>99703.934552860665</c:v>
                </c:pt>
                <c:pt idx="423">
                  <c:v>99703.934552860665</c:v>
                </c:pt>
                <c:pt idx="424">
                  <c:v>99703.934552860665</c:v>
                </c:pt>
                <c:pt idx="425">
                  <c:v>99703.934552860665</c:v>
                </c:pt>
                <c:pt idx="426">
                  <c:v>99703.934552860665</c:v>
                </c:pt>
                <c:pt idx="427">
                  <c:v>99703.934552860665</c:v>
                </c:pt>
                <c:pt idx="428">
                  <c:v>99703.934552860665</c:v>
                </c:pt>
                <c:pt idx="429">
                  <c:v>99703.934552860665</c:v>
                </c:pt>
                <c:pt idx="430">
                  <c:v>99703.934552860665</c:v>
                </c:pt>
                <c:pt idx="431">
                  <c:v>99703.934552860665</c:v>
                </c:pt>
                <c:pt idx="432">
                  <c:v>99703.934552860665</c:v>
                </c:pt>
                <c:pt idx="433">
                  <c:v>99703.934552860665</c:v>
                </c:pt>
                <c:pt idx="434">
                  <c:v>99703.934552860665</c:v>
                </c:pt>
                <c:pt idx="435">
                  <c:v>99703.934552860665</c:v>
                </c:pt>
                <c:pt idx="436">
                  <c:v>99703.934552860665</c:v>
                </c:pt>
                <c:pt idx="437">
                  <c:v>99703.934552860665</c:v>
                </c:pt>
                <c:pt idx="438">
                  <c:v>99703.934552860665</c:v>
                </c:pt>
                <c:pt idx="439">
                  <c:v>99703.934552860665</c:v>
                </c:pt>
                <c:pt idx="440">
                  <c:v>99703.934552860665</c:v>
                </c:pt>
                <c:pt idx="441">
                  <c:v>99703.934552860665</c:v>
                </c:pt>
                <c:pt idx="442">
                  <c:v>99703.934552860665</c:v>
                </c:pt>
                <c:pt idx="443">
                  <c:v>99703.934552860665</c:v>
                </c:pt>
                <c:pt idx="444">
                  <c:v>99703.934552860665</c:v>
                </c:pt>
                <c:pt idx="445">
                  <c:v>99703.934552860665</c:v>
                </c:pt>
                <c:pt idx="446">
                  <c:v>99703.934552860665</c:v>
                </c:pt>
                <c:pt idx="447">
                  <c:v>99703.934552860665</c:v>
                </c:pt>
                <c:pt idx="448">
                  <c:v>99703.934552860665</c:v>
                </c:pt>
                <c:pt idx="449">
                  <c:v>99703.934552860665</c:v>
                </c:pt>
                <c:pt idx="450">
                  <c:v>99703.934552860665</c:v>
                </c:pt>
                <c:pt idx="451">
                  <c:v>99703.934552860665</c:v>
                </c:pt>
                <c:pt idx="452">
                  <c:v>99703.934552860665</c:v>
                </c:pt>
                <c:pt idx="453">
                  <c:v>99703.934552860665</c:v>
                </c:pt>
                <c:pt idx="454">
                  <c:v>99703.934552860665</c:v>
                </c:pt>
                <c:pt idx="455">
                  <c:v>99703.934552860665</c:v>
                </c:pt>
                <c:pt idx="456">
                  <c:v>99703.934552860665</c:v>
                </c:pt>
                <c:pt idx="457">
                  <c:v>99703.934552860665</c:v>
                </c:pt>
                <c:pt idx="458">
                  <c:v>99703.934552860665</c:v>
                </c:pt>
                <c:pt idx="459">
                  <c:v>99703.934552860665</c:v>
                </c:pt>
                <c:pt idx="460">
                  <c:v>99703.934552860665</c:v>
                </c:pt>
                <c:pt idx="461">
                  <c:v>99703.934552860665</c:v>
                </c:pt>
                <c:pt idx="462">
                  <c:v>99703.934552860665</c:v>
                </c:pt>
                <c:pt idx="463">
                  <c:v>99703.934552860665</c:v>
                </c:pt>
                <c:pt idx="464">
                  <c:v>99703.934552860665</c:v>
                </c:pt>
                <c:pt idx="465">
                  <c:v>99703.934552860665</c:v>
                </c:pt>
                <c:pt idx="466">
                  <c:v>99703.934552860665</c:v>
                </c:pt>
                <c:pt idx="467">
                  <c:v>99703.934552860665</c:v>
                </c:pt>
                <c:pt idx="468">
                  <c:v>99703.934552860665</c:v>
                </c:pt>
                <c:pt idx="469">
                  <c:v>99703.934552860665</c:v>
                </c:pt>
                <c:pt idx="470">
                  <c:v>99703.934552860665</c:v>
                </c:pt>
                <c:pt idx="471">
                  <c:v>99703.934552860665</c:v>
                </c:pt>
                <c:pt idx="472">
                  <c:v>99703.934552860665</c:v>
                </c:pt>
                <c:pt idx="473">
                  <c:v>123451.13213120756</c:v>
                </c:pt>
                <c:pt idx="474">
                  <c:v>123451.13213120756</c:v>
                </c:pt>
                <c:pt idx="475">
                  <c:v>123451.13213120756</c:v>
                </c:pt>
                <c:pt idx="476">
                  <c:v>123451.13213120756</c:v>
                </c:pt>
                <c:pt idx="477">
                  <c:v>137903.50027797875</c:v>
                </c:pt>
                <c:pt idx="478">
                  <c:v>137903.50027797875</c:v>
                </c:pt>
              </c:numCache>
            </c:numRef>
          </c:val>
          <c:smooth val="0"/>
          <c:extLst>
            <c:ext xmlns:c16="http://schemas.microsoft.com/office/drawing/2014/chart" uri="{C3380CC4-5D6E-409C-BE32-E72D297353CC}">
              <c16:uniqueId val="{00000001-0E78-406F-8F6A-95198B4FB3B2}"/>
            </c:ext>
          </c:extLst>
        </c:ser>
        <c:dLbls>
          <c:showLegendKey val="0"/>
          <c:showVal val="0"/>
          <c:showCatName val="0"/>
          <c:showSerName val="0"/>
          <c:showPercent val="0"/>
          <c:showBubbleSize val="0"/>
        </c:dLbls>
        <c:marker val="1"/>
        <c:smooth val="0"/>
        <c:axId val="749362592"/>
        <c:axId val="749361152"/>
      </c:lineChart>
      <c:dateAx>
        <c:axId val="749362592"/>
        <c:scaling>
          <c:orientation val="minMax"/>
        </c:scaling>
        <c:delete val="0"/>
        <c:axPos val="b"/>
        <c:numFmt formatCode="m/d/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Calibri (Body)"/>
                <a:ea typeface="+mn-ea"/>
                <a:cs typeface="+mn-cs"/>
              </a:defRPr>
            </a:pPr>
            <a:endParaRPr lang="vi-VN"/>
          </a:p>
        </c:txPr>
        <c:crossAx val="749361152"/>
        <c:crosses val="autoZero"/>
        <c:auto val="1"/>
        <c:lblOffset val="100"/>
        <c:baseTimeUnit val="days"/>
      </c:dateAx>
      <c:valAx>
        <c:axId val="749361152"/>
        <c:scaling>
          <c:orientation val="minMax"/>
          <c:min val="20000"/>
        </c:scaling>
        <c:delete val="0"/>
        <c:axPos val="l"/>
        <c:title>
          <c:tx>
            <c:rich>
              <a:bodyPr rot="-5400000" spcFirstLastPara="1" vertOverflow="ellipsis" vert="horz" wrap="square" anchor="ctr" anchorCtr="1"/>
              <a:lstStyle/>
              <a:p>
                <a:pPr>
                  <a:defRPr sz="800" b="0" i="0" u="none" strike="noStrike" kern="1200" baseline="0">
                    <a:solidFill>
                      <a:schemeClr val="tx1">
                        <a:lumMod val="65000"/>
                        <a:lumOff val="35000"/>
                      </a:schemeClr>
                    </a:solidFill>
                    <a:latin typeface="Calibri (Body)"/>
                    <a:ea typeface="+mn-ea"/>
                    <a:cs typeface="+mn-cs"/>
                  </a:defRPr>
                </a:pPr>
                <a:r>
                  <a:rPr lang="en-US"/>
                  <a:t>Gía</a:t>
                </a:r>
                <a:r>
                  <a:rPr lang="en-US" baseline="0"/>
                  <a:t> trị doanh nghiệp (tỷ VND)</a:t>
                </a:r>
                <a:endParaRPr lang="en-US"/>
              </a:p>
            </c:rich>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Calibri (Body)"/>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Calibri (Body)"/>
                <a:ea typeface="+mn-ea"/>
                <a:cs typeface="+mn-cs"/>
              </a:defRPr>
            </a:pPr>
            <a:endParaRPr lang="vi-VN"/>
          </a:p>
        </c:txPr>
        <c:crossAx val="749362592"/>
        <c:crosses val="autoZero"/>
        <c:crossBetween val="between"/>
      </c:valAx>
      <c:valAx>
        <c:axId val="794789984"/>
        <c:scaling>
          <c:orientation val="minMax"/>
          <c:max val="8000"/>
        </c:scaling>
        <c:delete val="0"/>
        <c:axPos val="r"/>
        <c:title>
          <c:tx>
            <c:rich>
              <a:bodyPr rot="-5400000" spcFirstLastPara="1" vertOverflow="ellipsis" vert="horz" wrap="square" anchor="ctr" anchorCtr="1"/>
              <a:lstStyle/>
              <a:p>
                <a:pPr>
                  <a:defRPr sz="800" b="0" i="0" u="none" strike="noStrike" kern="1200" baseline="0">
                    <a:solidFill>
                      <a:schemeClr val="tx1">
                        <a:lumMod val="65000"/>
                        <a:lumOff val="35000"/>
                      </a:schemeClr>
                    </a:solidFill>
                    <a:latin typeface="Calibri (Body)"/>
                    <a:ea typeface="+mn-ea"/>
                    <a:cs typeface="+mn-cs"/>
                  </a:defRPr>
                </a:pPr>
                <a:r>
                  <a:rPr lang="en-US"/>
                  <a:t>LNST</a:t>
                </a:r>
                <a:r>
                  <a:rPr lang="en-US" baseline="0"/>
                  <a:t> TTM</a:t>
                </a:r>
                <a:endParaRPr lang="en-US"/>
              </a:p>
            </c:rich>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Calibri (Body)"/>
                  <a:ea typeface="+mn-ea"/>
                  <a:cs typeface="+mn-cs"/>
                </a:defRPr>
              </a:pPr>
              <a:endParaRPr lang="en-US"/>
            </a:p>
          </c:txPr>
        </c:title>
        <c:numFmt formatCode="_(* #,##0_);_(* \(#,##0\);_(* &quot;-&quot;??_);_(@_)" sourceLinked="1"/>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Calibri (Body)"/>
                <a:ea typeface="+mn-ea"/>
                <a:cs typeface="+mn-cs"/>
              </a:defRPr>
            </a:pPr>
            <a:endParaRPr lang="vi-VN"/>
          </a:p>
        </c:txPr>
        <c:crossAx val="794784224"/>
        <c:crosses val="max"/>
        <c:crossBetween val="between"/>
      </c:valAx>
      <c:dateAx>
        <c:axId val="794784224"/>
        <c:scaling>
          <c:orientation val="minMax"/>
        </c:scaling>
        <c:delete val="1"/>
        <c:axPos val="b"/>
        <c:numFmt formatCode="m/d/yy" sourceLinked="1"/>
        <c:majorTickMark val="out"/>
        <c:minorTickMark val="none"/>
        <c:tickLblPos val="nextTo"/>
        <c:crossAx val="794789984"/>
        <c:crosses val="autoZero"/>
        <c:auto val="1"/>
        <c:lblOffset val="100"/>
        <c:baseTimeUnit val="days"/>
      </c:dateAx>
      <c:spPr>
        <a:noFill/>
        <a:ln>
          <a:noFill/>
        </a:ln>
        <a:effectLst/>
      </c:spPr>
    </c:plotArea>
    <c:legend>
      <c:legendPos val="b"/>
      <c:layout>
        <c:manualLayout>
          <c:xMode val="edge"/>
          <c:yMode val="edge"/>
          <c:x val="6.3001998620145841E-2"/>
          <c:y val="0.91680094336034079"/>
          <c:w val="0.9"/>
          <c:h val="5.129238243352871E-2"/>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Calibri (Body)"/>
              <a:ea typeface="+mn-ea"/>
              <a:cs typeface="+mn-cs"/>
            </a:defRPr>
          </a:pPr>
          <a:endParaRPr lang="vi-VN"/>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sz="800">
          <a:latin typeface="Calibri (Body)"/>
        </a:defRPr>
      </a:pPr>
      <a:endParaRPr lang="vi-VN"/>
    </a:p>
  </c:txPr>
  <c:printSettings>
    <c:headerFooter/>
    <c:pageMargins b="0.75" l="0.7" r="0.7" t="0.75" header="0.3" footer="0.3"/>
    <c:pageSetup/>
  </c:printSettings>
  <c:userShapes r:id="rId3"/>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vi-VN"/>
        </a:p>
      </c:txPr>
    </c:title>
    <c:autoTitleDeleted val="0"/>
    <c:plotArea>
      <c:layout/>
      <c:barChart>
        <c:barDir val="col"/>
        <c:grouping val="clustered"/>
        <c:varyColors val="0"/>
        <c:ser>
          <c:idx val="0"/>
          <c:order val="0"/>
          <c:spPr>
            <a:solidFill>
              <a:schemeClr val="accent1"/>
            </a:solidFill>
            <a:ln w="19050">
              <a:solidFill>
                <a:schemeClr val="lt1"/>
              </a:solidFill>
            </a:ln>
            <a:effectLst/>
          </c:spPr>
          <c:invertIfNegative val="0"/>
          <c:cat>
            <c:strRef>
              <c:f>'SLCH TGDĐ+ĐMX'!$K$2:$K$9</c:f>
              <c:strCache>
                <c:ptCount val="8"/>
                <c:pt idx="0">
                  <c:v>Bắc Trung Bộ</c:v>
                </c:pt>
                <c:pt idx="1">
                  <c:v>Duyên hải Nam Trung Bộ</c:v>
                </c:pt>
                <c:pt idx="2">
                  <c:v>Đông Bắc Bộ</c:v>
                </c:pt>
                <c:pt idx="3">
                  <c:v>Đồng bằng sông Cửu Long</c:v>
                </c:pt>
                <c:pt idx="4">
                  <c:v>Đồng bằng sông Hồng</c:v>
                </c:pt>
                <c:pt idx="5">
                  <c:v>Đông Nam Bộ</c:v>
                </c:pt>
                <c:pt idx="6">
                  <c:v>Tây Bắc Bộ</c:v>
                </c:pt>
                <c:pt idx="7">
                  <c:v>Tây Nguyên</c:v>
                </c:pt>
              </c:strCache>
            </c:strRef>
          </c:cat>
          <c:val>
            <c:numRef>
              <c:f>'SLCH TGDĐ+ĐMX'!$L$2:$L$9</c:f>
              <c:numCache>
                <c:formatCode>General</c:formatCode>
                <c:ptCount val="8"/>
                <c:pt idx="0">
                  <c:v>267</c:v>
                </c:pt>
                <c:pt idx="1">
                  <c:v>357</c:v>
                </c:pt>
                <c:pt idx="2">
                  <c:v>289</c:v>
                </c:pt>
                <c:pt idx="3">
                  <c:v>777</c:v>
                </c:pt>
                <c:pt idx="4">
                  <c:v>641</c:v>
                </c:pt>
                <c:pt idx="5">
                  <c:v>724</c:v>
                </c:pt>
                <c:pt idx="6">
                  <c:v>127</c:v>
                </c:pt>
                <c:pt idx="7">
                  <c:v>202</c:v>
                </c:pt>
              </c:numCache>
            </c:numRef>
          </c:val>
          <c:extLst>
            <c:ext xmlns:c16="http://schemas.microsoft.com/office/drawing/2014/chart" uri="{C3380CC4-5D6E-409C-BE32-E72D297353CC}">
              <c16:uniqueId val="{00000000-214D-4037-8FFE-5E1A1725D416}"/>
            </c:ext>
          </c:extLst>
        </c:ser>
        <c:dLbls>
          <c:showLegendKey val="0"/>
          <c:showVal val="0"/>
          <c:showCatName val="0"/>
          <c:showSerName val="0"/>
          <c:showPercent val="0"/>
          <c:showBubbleSize val="0"/>
        </c:dLbls>
        <c:gapWidth val="150"/>
        <c:axId val="1089303616"/>
        <c:axId val="1089304032"/>
      </c:barChart>
      <c:valAx>
        <c:axId val="10893040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vi-VN"/>
          </a:p>
        </c:txPr>
        <c:crossAx val="1089303616"/>
        <c:crosses val="autoZero"/>
        <c:crossBetween val="between"/>
      </c:valAx>
      <c:catAx>
        <c:axId val="108930361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vi-VN"/>
          </a:p>
        </c:txPr>
        <c:crossAx val="1089304032"/>
        <c:crosses val="autoZero"/>
        <c:auto val="1"/>
        <c:lblAlgn val="ctr"/>
        <c:lblOffset val="100"/>
        <c:noMultiLvlLbl val="0"/>
      </c:cat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vi-VN"/>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'SLCH TGDĐ+ĐMX'!$L$1</c:f>
              <c:strCache>
                <c:ptCount val="1"/>
                <c:pt idx="0">
                  <c:v>Số lượng cửa hàng TGDĐ+ĐMX</c:v>
                </c:pt>
              </c:strCache>
            </c:strRef>
          </c:tx>
          <c:spPr>
            <a:solidFill>
              <a:schemeClr val="accent1"/>
            </a:solidFill>
            <a:ln>
              <a:noFill/>
            </a:ln>
            <a:effectLst/>
          </c:spPr>
          <c:invertIfNegative val="0"/>
          <c:cat>
            <c:strRef>
              <c:f>'SLCH TGDĐ+ĐMX'!$K$2:$K$9</c:f>
              <c:strCache>
                <c:ptCount val="8"/>
                <c:pt idx="0">
                  <c:v>Bắc Trung Bộ</c:v>
                </c:pt>
                <c:pt idx="1">
                  <c:v>Duyên hải Nam Trung Bộ</c:v>
                </c:pt>
                <c:pt idx="2">
                  <c:v>Đông Bắc Bộ</c:v>
                </c:pt>
                <c:pt idx="3">
                  <c:v>Đồng bằng sông Cửu Long</c:v>
                </c:pt>
                <c:pt idx="4">
                  <c:v>Đồng bằng sông Hồng</c:v>
                </c:pt>
                <c:pt idx="5">
                  <c:v>Đông Nam Bộ</c:v>
                </c:pt>
                <c:pt idx="6">
                  <c:v>Tây Bắc Bộ</c:v>
                </c:pt>
                <c:pt idx="7">
                  <c:v>Tây Nguyên</c:v>
                </c:pt>
              </c:strCache>
            </c:strRef>
          </c:cat>
          <c:val>
            <c:numRef>
              <c:f>'SLCH TGDĐ+ĐMX'!$L$2:$L$9</c:f>
              <c:numCache>
                <c:formatCode>General</c:formatCode>
                <c:ptCount val="8"/>
                <c:pt idx="0">
                  <c:v>267</c:v>
                </c:pt>
                <c:pt idx="1">
                  <c:v>357</c:v>
                </c:pt>
                <c:pt idx="2">
                  <c:v>289</c:v>
                </c:pt>
                <c:pt idx="3">
                  <c:v>777</c:v>
                </c:pt>
                <c:pt idx="4">
                  <c:v>641</c:v>
                </c:pt>
                <c:pt idx="5">
                  <c:v>724</c:v>
                </c:pt>
                <c:pt idx="6">
                  <c:v>127</c:v>
                </c:pt>
                <c:pt idx="7">
                  <c:v>202</c:v>
                </c:pt>
              </c:numCache>
            </c:numRef>
          </c:val>
          <c:extLst>
            <c:ext xmlns:c16="http://schemas.microsoft.com/office/drawing/2014/chart" uri="{C3380CC4-5D6E-409C-BE32-E72D297353CC}">
              <c16:uniqueId val="{00000000-CD82-487E-B681-56A6DDEAC088}"/>
            </c:ext>
          </c:extLst>
        </c:ser>
        <c:dLbls>
          <c:showLegendKey val="0"/>
          <c:showVal val="0"/>
          <c:showCatName val="0"/>
          <c:showSerName val="0"/>
          <c:showPercent val="0"/>
          <c:showBubbleSize val="0"/>
        </c:dLbls>
        <c:gapWidth val="219"/>
        <c:overlap val="-27"/>
        <c:axId val="932077520"/>
        <c:axId val="932073776"/>
      </c:barChart>
      <c:lineChart>
        <c:grouping val="standard"/>
        <c:varyColors val="0"/>
        <c:ser>
          <c:idx val="1"/>
          <c:order val="1"/>
          <c:tx>
            <c:strRef>
              <c:f>'SLCH TGDĐ+ĐMX'!$M$1</c:f>
              <c:strCache>
                <c:ptCount val="1"/>
                <c:pt idx="0">
                  <c:v>Mật độ dân số/CH (ngàn người)</c:v>
                </c:pt>
              </c:strCache>
            </c:strRef>
          </c:tx>
          <c:spPr>
            <a:ln w="28575" cap="rnd">
              <a:solidFill>
                <a:schemeClr val="accent2"/>
              </a:solidFill>
              <a:round/>
            </a:ln>
            <a:effectLst/>
          </c:spPr>
          <c:marker>
            <c:symbol val="none"/>
          </c:marker>
          <c:cat>
            <c:strRef>
              <c:f>'SLCH TGDĐ+ĐMX'!$K$2:$K$9</c:f>
              <c:strCache>
                <c:ptCount val="8"/>
                <c:pt idx="0">
                  <c:v>Bắc Trung Bộ</c:v>
                </c:pt>
                <c:pt idx="1">
                  <c:v>Duyên hải Nam Trung Bộ</c:v>
                </c:pt>
                <c:pt idx="2">
                  <c:v>Đông Bắc Bộ</c:v>
                </c:pt>
                <c:pt idx="3">
                  <c:v>Đồng bằng sông Cửu Long</c:v>
                </c:pt>
                <c:pt idx="4">
                  <c:v>Đồng bằng sông Hồng</c:v>
                </c:pt>
                <c:pt idx="5">
                  <c:v>Đông Nam Bộ</c:v>
                </c:pt>
                <c:pt idx="6">
                  <c:v>Tây Bắc Bộ</c:v>
                </c:pt>
                <c:pt idx="7">
                  <c:v>Tây Nguyên</c:v>
                </c:pt>
              </c:strCache>
            </c:strRef>
          </c:cat>
          <c:val>
            <c:numRef>
              <c:f>'SLCH TGDĐ+ĐMX'!$M$2:$M$9</c:f>
              <c:numCache>
                <c:formatCode>_-* #,##0.00\ _₫_-;\-* #,##0.00\ _₫_-;_-* "-"??\ _₫_-;_-@_-</c:formatCode>
                <c:ptCount val="8"/>
                <c:pt idx="0">
                  <c:v>37.855142322097379</c:v>
                </c:pt>
                <c:pt idx="1">
                  <c:v>26.224848739495798</c:v>
                </c:pt>
                <c:pt idx="2">
                  <c:v>31.626788927335642</c:v>
                </c:pt>
                <c:pt idx="3">
                  <c:v>22.231184041184044</c:v>
                </c:pt>
                <c:pt idx="4">
                  <c:v>31.797209048361935</c:v>
                </c:pt>
                <c:pt idx="5">
                  <c:v>24.625562154696134</c:v>
                </c:pt>
                <c:pt idx="6">
                  <c:v>26.116086614173231</c:v>
                </c:pt>
                <c:pt idx="7">
                  <c:v>28.922678217821783</c:v>
                </c:pt>
              </c:numCache>
            </c:numRef>
          </c:val>
          <c:smooth val="0"/>
          <c:extLst>
            <c:ext xmlns:c16="http://schemas.microsoft.com/office/drawing/2014/chart" uri="{C3380CC4-5D6E-409C-BE32-E72D297353CC}">
              <c16:uniqueId val="{00000001-CD82-487E-B681-56A6DDEAC088}"/>
            </c:ext>
          </c:extLst>
        </c:ser>
        <c:dLbls>
          <c:showLegendKey val="0"/>
          <c:showVal val="0"/>
          <c:showCatName val="0"/>
          <c:showSerName val="0"/>
          <c:showPercent val="0"/>
          <c:showBubbleSize val="0"/>
        </c:dLbls>
        <c:marker val="1"/>
        <c:smooth val="0"/>
        <c:axId val="932076272"/>
        <c:axId val="932071696"/>
      </c:lineChart>
      <c:catAx>
        <c:axId val="9320775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Calibri (Body)"/>
                <a:ea typeface="+mn-ea"/>
                <a:cs typeface="+mn-cs"/>
              </a:defRPr>
            </a:pPr>
            <a:endParaRPr lang="vi-VN"/>
          </a:p>
        </c:txPr>
        <c:crossAx val="932073776"/>
        <c:crosses val="autoZero"/>
        <c:auto val="1"/>
        <c:lblAlgn val="ctr"/>
        <c:lblOffset val="100"/>
        <c:noMultiLvlLbl val="0"/>
      </c:catAx>
      <c:valAx>
        <c:axId val="93207377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Calibri (Body)"/>
                <a:ea typeface="+mn-ea"/>
                <a:cs typeface="+mn-cs"/>
              </a:defRPr>
            </a:pPr>
            <a:endParaRPr lang="vi-VN"/>
          </a:p>
        </c:txPr>
        <c:crossAx val="932077520"/>
        <c:crosses val="autoZero"/>
        <c:crossBetween val="between"/>
      </c:valAx>
      <c:valAx>
        <c:axId val="932071696"/>
        <c:scaling>
          <c:orientation val="minMax"/>
        </c:scaling>
        <c:delete val="0"/>
        <c:axPos val="r"/>
        <c:numFmt formatCode="_-* #,##0.00\ _₫_-;\-* #,##0.00\ _₫_-;_-* &quot;-&quot;??\ _₫_-;_-@_-" sourceLinked="1"/>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Calibri (Body)"/>
                <a:ea typeface="+mn-ea"/>
                <a:cs typeface="+mn-cs"/>
              </a:defRPr>
            </a:pPr>
            <a:endParaRPr lang="vi-VN"/>
          </a:p>
        </c:txPr>
        <c:crossAx val="932076272"/>
        <c:crosses val="max"/>
        <c:crossBetween val="between"/>
      </c:valAx>
      <c:catAx>
        <c:axId val="932076272"/>
        <c:scaling>
          <c:orientation val="minMax"/>
        </c:scaling>
        <c:delete val="1"/>
        <c:axPos val="b"/>
        <c:numFmt formatCode="General" sourceLinked="1"/>
        <c:majorTickMark val="out"/>
        <c:minorTickMark val="none"/>
        <c:tickLblPos val="nextTo"/>
        <c:crossAx val="932071696"/>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Calibri (Body)"/>
              <a:ea typeface="+mn-ea"/>
              <a:cs typeface="+mn-cs"/>
            </a:defRPr>
          </a:pPr>
          <a:endParaRPr lang="vi-VN"/>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sz="800">
          <a:latin typeface="Calibri (Body)"/>
        </a:defRPr>
      </a:pPr>
      <a:endParaRPr lang="vi-VN"/>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342825896762903"/>
          <c:y val="8.8379629629629614E-2"/>
          <c:w val="0.86806977252843398"/>
          <c:h val="0.52777850685330996"/>
        </c:manualLayout>
      </c:layout>
      <c:lineChart>
        <c:grouping val="standard"/>
        <c:varyColors val="0"/>
        <c:ser>
          <c:idx val="1"/>
          <c:order val="1"/>
          <c:tx>
            <c:v>   Lãi suất huy động bình quân trên 12 tháng (thấp nhất)</c:v>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'LS T3.23'!$B$5:$FU$5</c:f>
              <c:strCache>
                <c:ptCount val="176"/>
                <c:pt idx="0">
                  <c:v>5/2008</c:v>
                </c:pt>
                <c:pt idx="1">
                  <c:v>6/2008</c:v>
                </c:pt>
                <c:pt idx="2">
                  <c:v>7/2008</c:v>
                </c:pt>
                <c:pt idx="3">
                  <c:v>8/2008</c:v>
                </c:pt>
                <c:pt idx="4">
                  <c:v>9/2008</c:v>
                </c:pt>
                <c:pt idx="5">
                  <c:v>10/2008</c:v>
                </c:pt>
                <c:pt idx="6">
                  <c:v>11/2008</c:v>
                </c:pt>
                <c:pt idx="7">
                  <c:v>12/2008</c:v>
                </c:pt>
                <c:pt idx="8">
                  <c:v>1/2009</c:v>
                </c:pt>
                <c:pt idx="9">
                  <c:v>2/2009</c:v>
                </c:pt>
                <c:pt idx="10">
                  <c:v>3/2009</c:v>
                </c:pt>
                <c:pt idx="11">
                  <c:v>4/2009</c:v>
                </c:pt>
                <c:pt idx="12">
                  <c:v>5/2009</c:v>
                </c:pt>
                <c:pt idx="13">
                  <c:v>6/2009</c:v>
                </c:pt>
                <c:pt idx="14">
                  <c:v>7/2009</c:v>
                </c:pt>
                <c:pt idx="15">
                  <c:v>8/2009</c:v>
                </c:pt>
                <c:pt idx="16">
                  <c:v>9/2009</c:v>
                </c:pt>
                <c:pt idx="17">
                  <c:v>10/2009</c:v>
                </c:pt>
                <c:pt idx="18">
                  <c:v>11/2009</c:v>
                </c:pt>
                <c:pt idx="19">
                  <c:v>12/2009</c:v>
                </c:pt>
                <c:pt idx="20">
                  <c:v>1/2010</c:v>
                </c:pt>
                <c:pt idx="21">
                  <c:v>2/2010</c:v>
                </c:pt>
                <c:pt idx="22">
                  <c:v>3/2010</c:v>
                </c:pt>
                <c:pt idx="23">
                  <c:v>4/2010</c:v>
                </c:pt>
                <c:pt idx="24">
                  <c:v>5/2010</c:v>
                </c:pt>
                <c:pt idx="25">
                  <c:v>6/2010</c:v>
                </c:pt>
                <c:pt idx="26">
                  <c:v>7/2010</c:v>
                </c:pt>
                <c:pt idx="27">
                  <c:v>8/2010</c:v>
                </c:pt>
                <c:pt idx="28">
                  <c:v>9/2010</c:v>
                </c:pt>
                <c:pt idx="29">
                  <c:v>10/2010</c:v>
                </c:pt>
                <c:pt idx="30">
                  <c:v>11/2010</c:v>
                </c:pt>
                <c:pt idx="31">
                  <c:v>12/2010</c:v>
                </c:pt>
                <c:pt idx="32">
                  <c:v>1/2011</c:v>
                </c:pt>
                <c:pt idx="33">
                  <c:v>2/2011</c:v>
                </c:pt>
                <c:pt idx="34">
                  <c:v>3/2011</c:v>
                </c:pt>
                <c:pt idx="35">
                  <c:v>4/2011</c:v>
                </c:pt>
                <c:pt idx="36">
                  <c:v>5/2011</c:v>
                </c:pt>
                <c:pt idx="37">
                  <c:v>6/2011</c:v>
                </c:pt>
                <c:pt idx="38">
                  <c:v>7/2011</c:v>
                </c:pt>
                <c:pt idx="39">
                  <c:v>8/2011</c:v>
                </c:pt>
                <c:pt idx="40">
                  <c:v>9/2011</c:v>
                </c:pt>
                <c:pt idx="41">
                  <c:v>10/2011</c:v>
                </c:pt>
                <c:pt idx="42">
                  <c:v>11/2011</c:v>
                </c:pt>
                <c:pt idx="43">
                  <c:v>12/2011</c:v>
                </c:pt>
                <c:pt idx="44">
                  <c:v>1/2012</c:v>
                </c:pt>
                <c:pt idx="45">
                  <c:v>2/2012</c:v>
                </c:pt>
                <c:pt idx="46">
                  <c:v>3/2012</c:v>
                </c:pt>
                <c:pt idx="47">
                  <c:v>4/2012</c:v>
                </c:pt>
                <c:pt idx="48">
                  <c:v>5/2012</c:v>
                </c:pt>
                <c:pt idx="49">
                  <c:v>6/2012</c:v>
                </c:pt>
                <c:pt idx="50">
                  <c:v>7/2012</c:v>
                </c:pt>
                <c:pt idx="51">
                  <c:v>8/2012</c:v>
                </c:pt>
                <c:pt idx="52">
                  <c:v>9/2012</c:v>
                </c:pt>
                <c:pt idx="53">
                  <c:v>10/2012</c:v>
                </c:pt>
                <c:pt idx="54">
                  <c:v>11/2012</c:v>
                </c:pt>
                <c:pt idx="55">
                  <c:v>12/2012</c:v>
                </c:pt>
                <c:pt idx="56">
                  <c:v>1/2013</c:v>
                </c:pt>
                <c:pt idx="57">
                  <c:v>2/2013</c:v>
                </c:pt>
                <c:pt idx="58">
                  <c:v>3/2013</c:v>
                </c:pt>
                <c:pt idx="59">
                  <c:v>4/2013</c:v>
                </c:pt>
                <c:pt idx="60">
                  <c:v>5/2013</c:v>
                </c:pt>
                <c:pt idx="61">
                  <c:v>6/2013</c:v>
                </c:pt>
                <c:pt idx="62">
                  <c:v>7/2013</c:v>
                </c:pt>
                <c:pt idx="63">
                  <c:v>8/2013</c:v>
                </c:pt>
                <c:pt idx="64">
                  <c:v>9/2013</c:v>
                </c:pt>
                <c:pt idx="65">
                  <c:v>10/2013</c:v>
                </c:pt>
                <c:pt idx="66">
                  <c:v>11/2013</c:v>
                </c:pt>
                <c:pt idx="67">
                  <c:v>12/2013</c:v>
                </c:pt>
                <c:pt idx="68">
                  <c:v>1/2014</c:v>
                </c:pt>
                <c:pt idx="69">
                  <c:v>2/2014</c:v>
                </c:pt>
                <c:pt idx="70">
                  <c:v>3/2014</c:v>
                </c:pt>
                <c:pt idx="71">
                  <c:v>4/2014</c:v>
                </c:pt>
                <c:pt idx="72">
                  <c:v>5/2014</c:v>
                </c:pt>
                <c:pt idx="73">
                  <c:v>6/2014</c:v>
                </c:pt>
                <c:pt idx="74">
                  <c:v>7/2014</c:v>
                </c:pt>
                <c:pt idx="75">
                  <c:v>8/2014</c:v>
                </c:pt>
                <c:pt idx="76">
                  <c:v>9/2014</c:v>
                </c:pt>
                <c:pt idx="77">
                  <c:v>10/2014</c:v>
                </c:pt>
                <c:pt idx="78">
                  <c:v>11/2014</c:v>
                </c:pt>
                <c:pt idx="79">
                  <c:v>12/2014</c:v>
                </c:pt>
                <c:pt idx="80">
                  <c:v>1/2015</c:v>
                </c:pt>
                <c:pt idx="81">
                  <c:v>3/2015</c:v>
                </c:pt>
                <c:pt idx="82">
                  <c:v>4/2015</c:v>
                </c:pt>
                <c:pt idx="83">
                  <c:v>5/2015</c:v>
                </c:pt>
                <c:pt idx="84">
                  <c:v>6/2015</c:v>
                </c:pt>
                <c:pt idx="85">
                  <c:v>7/2015</c:v>
                </c:pt>
                <c:pt idx="86">
                  <c:v>8/2015</c:v>
                </c:pt>
                <c:pt idx="87">
                  <c:v>9/2015</c:v>
                </c:pt>
                <c:pt idx="88">
                  <c:v>10/2015</c:v>
                </c:pt>
                <c:pt idx="89">
                  <c:v>11/2015</c:v>
                </c:pt>
                <c:pt idx="90">
                  <c:v>12/2015</c:v>
                </c:pt>
                <c:pt idx="91">
                  <c:v>1/2016</c:v>
                </c:pt>
                <c:pt idx="92">
                  <c:v>3/2016</c:v>
                </c:pt>
                <c:pt idx="93">
                  <c:v>4/2016</c:v>
                </c:pt>
                <c:pt idx="94">
                  <c:v>5/2016</c:v>
                </c:pt>
                <c:pt idx="95">
                  <c:v>6/2016</c:v>
                </c:pt>
                <c:pt idx="96">
                  <c:v>7/2016</c:v>
                </c:pt>
                <c:pt idx="97">
                  <c:v>9/2016</c:v>
                </c:pt>
                <c:pt idx="98">
                  <c:v>10/2016</c:v>
                </c:pt>
                <c:pt idx="99">
                  <c:v>11/2016</c:v>
                </c:pt>
                <c:pt idx="100">
                  <c:v>12/2016</c:v>
                </c:pt>
                <c:pt idx="101">
                  <c:v>4/2017</c:v>
                </c:pt>
                <c:pt idx="102">
                  <c:v>6/2017</c:v>
                </c:pt>
                <c:pt idx="103">
                  <c:v>7/2017</c:v>
                </c:pt>
                <c:pt idx="104">
                  <c:v>8/2017</c:v>
                </c:pt>
                <c:pt idx="105">
                  <c:v>10/2017</c:v>
                </c:pt>
                <c:pt idx="106">
                  <c:v>11/2017</c:v>
                </c:pt>
                <c:pt idx="107">
                  <c:v>12/2017</c:v>
                </c:pt>
                <c:pt idx="108">
                  <c:v>1/2018</c:v>
                </c:pt>
                <c:pt idx="109">
                  <c:v>2/2018</c:v>
                </c:pt>
                <c:pt idx="110">
                  <c:v>3/2018</c:v>
                </c:pt>
                <c:pt idx="111">
                  <c:v>4/2018</c:v>
                </c:pt>
                <c:pt idx="112">
                  <c:v>5/2018</c:v>
                </c:pt>
                <c:pt idx="113">
                  <c:v>6/2018</c:v>
                </c:pt>
                <c:pt idx="114">
                  <c:v>7/2018</c:v>
                </c:pt>
                <c:pt idx="115">
                  <c:v>8/2018</c:v>
                </c:pt>
                <c:pt idx="116">
                  <c:v>9/2018</c:v>
                </c:pt>
                <c:pt idx="117">
                  <c:v>10/2018</c:v>
                </c:pt>
                <c:pt idx="118">
                  <c:v>11/2018</c:v>
                </c:pt>
                <c:pt idx="119">
                  <c:v>12/2018</c:v>
                </c:pt>
                <c:pt idx="120">
                  <c:v>1/2019</c:v>
                </c:pt>
                <c:pt idx="121">
                  <c:v>2/2019</c:v>
                </c:pt>
                <c:pt idx="122">
                  <c:v>3/2019</c:v>
                </c:pt>
                <c:pt idx="123">
                  <c:v>4/2019</c:v>
                </c:pt>
                <c:pt idx="124">
                  <c:v>5/2019</c:v>
                </c:pt>
                <c:pt idx="125">
                  <c:v>6/2019</c:v>
                </c:pt>
                <c:pt idx="126">
                  <c:v>7/2019</c:v>
                </c:pt>
                <c:pt idx="127">
                  <c:v>8/2019</c:v>
                </c:pt>
                <c:pt idx="128">
                  <c:v>9/2019</c:v>
                </c:pt>
                <c:pt idx="129">
                  <c:v>10/2019</c:v>
                </c:pt>
                <c:pt idx="130">
                  <c:v>11/2019</c:v>
                </c:pt>
                <c:pt idx="131">
                  <c:v>12/2019</c:v>
                </c:pt>
                <c:pt idx="132">
                  <c:v>1/2020</c:v>
                </c:pt>
                <c:pt idx="133">
                  <c:v>2/2020</c:v>
                </c:pt>
                <c:pt idx="134">
                  <c:v>3/2020</c:v>
                </c:pt>
                <c:pt idx="135">
                  <c:v>4/2020</c:v>
                </c:pt>
                <c:pt idx="136">
                  <c:v>5/2020</c:v>
                </c:pt>
                <c:pt idx="137">
                  <c:v>6/2020</c:v>
                </c:pt>
                <c:pt idx="138">
                  <c:v>7/2020</c:v>
                </c:pt>
                <c:pt idx="139">
                  <c:v>8/2020</c:v>
                </c:pt>
                <c:pt idx="140">
                  <c:v>9/2020</c:v>
                </c:pt>
                <c:pt idx="141">
                  <c:v>10/2020</c:v>
                </c:pt>
                <c:pt idx="142">
                  <c:v>11/2020</c:v>
                </c:pt>
                <c:pt idx="143">
                  <c:v>12/2020</c:v>
                </c:pt>
                <c:pt idx="144">
                  <c:v>2/2021</c:v>
                </c:pt>
                <c:pt idx="145">
                  <c:v>3/2021</c:v>
                </c:pt>
                <c:pt idx="146">
                  <c:v>4/2021</c:v>
                </c:pt>
                <c:pt idx="147">
                  <c:v>5/2021</c:v>
                </c:pt>
                <c:pt idx="148">
                  <c:v>6/2021</c:v>
                </c:pt>
                <c:pt idx="149">
                  <c:v>7/2021</c:v>
                </c:pt>
                <c:pt idx="150">
                  <c:v>8/2021</c:v>
                </c:pt>
                <c:pt idx="151">
                  <c:v>9/2021</c:v>
                </c:pt>
                <c:pt idx="152">
                  <c:v>10/2021</c:v>
                </c:pt>
                <c:pt idx="153">
                  <c:v>11/2021</c:v>
                </c:pt>
                <c:pt idx="154">
                  <c:v>12/2021</c:v>
                </c:pt>
                <c:pt idx="155">
                  <c:v>1/2022</c:v>
                </c:pt>
                <c:pt idx="156">
                  <c:v>2/2022</c:v>
                </c:pt>
                <c:pt idx="157">
                  <c:v>3/2022</c:v>
                </c:pt>
                <c:pt idx="158">
                  <c:v>4/2022</c:v>
                </c:pt>
                <c:pt idx="159">
                  <c:v>5/2022</c:v>
                </c:pt>
                <c:pt idx="160">
                  <c:v>6/2022</c:v>
                </c:pt>
                <c:pt idx="161">
                  <c:v>7/2022</c:v>
                </c:pt>
                <c:pt idx="162">
                  <c:v>8/2022</c:v>
                </c:pt>
                <c:pt idx="163">
                  <c:v>9/2022</c:v>
                </c:pt>
                <c:pt idx="164">
                  <c:v>10/2022</c:v>
                </c:pt>
                <c:pt idx="165">
                  <c:v>11/2022</c:v>
                </c:pt>
                <c:pt idx="166">
                  <c:v>12/2022</c:v>
                </c:pt>
                <c:pt idx="167">
                  <c:v>1/2023</c:v>
                </c:pt>
                <c:pt idx="168">
                  <c:v>2/2023</c:v>
                </c:pt>
                <c:pt idx="169">
                  <c:v>3/2023</c:v>
                </c:pt>
                <c:pt idx="170">
                  <c:v>4/2023</c:v>
                </c:pt>
                <c:pt idx="171">
                  <c:v>5/2023</c:v>
                </c:pt>
                <c:pt idx="172">
                  <c:v>6/2023</c:v>
                </c:pt>
                <c:pt idx="173">
                  <c:v>7/2023</c:v>
                </c:pt>
                <c:pt idx="174">
                  <c:v>8/2023</c:v>
                </c:pt>
                <c:pt idx="175">
                  <c:v>9/2023</c:v>
                </c:pt>
              </c:strCache>
            </c:strRef>
          </c:cat>
          <c:val>
            <c:numLit>
              <c:formatCode>General</c:formatCode>
              <c:ptCount val="170"/>
              <c:pt idx="0">
                <c:v>0.13020000000000001</c:v>
              </c:pt>
              <c:pt idx="1">
                <c:v>0.16078000000000001</c:v>
              </c:pt>
              <c:pt idx="2">
                <c:v>0.17299999999999999</c:v>
              </c:pt>
              <c:pt idx="3">
                <c:v>0.17372000000000001</c:v>
              </c:pt>
              <c:pt idx="4">
                <c:v>0.17219999999999999</c:v>
              </c:pt>
              <c:pt idx="5">
                <c:v>0.15134</c:v>
              </c:pt>
              <c:pt idx="6">
                <c:v>0.11849999999999999</c:v>
              </c:pt>
              <c:pt idx="7">
                <c:v>9.1524999999999995E-2</c:v>
              </c:pt>
              <c:pt idx="8">
                <c:v>7.5366669999999997E-2</c:v>
              </c:pt>
              <c:pt idx="9">
                <c:v>7.3700000000000002E-2</c:v>
              </c:pt>
              <c:pt idx="10">
                <c:v>7.5700000000000003E-2</c:v>
              </c:pt>
              <c:pt idx="11">
                <c:v>7.7100000000000002E-2</c:v>
              </c:pt>
              <c:pt idx="12">
                <c:v>7.85E-2</c:v>
              </c:pt>
              <c:pt idx="13">
                <c:v>7.9799999999999996E-2</c:v>
              </c:pt>
              <c:pt idx="14">
                <c:v>8.1799999999999998E-2</c:v>
              </c:pt>
              <c:pt idx="15">
                <c:v>8.4250000000000005E-2</c:v>
              </c:pt>
              <c:pt idx="16">
                <c:v>8.5250000000000006E-2</c:v>
              </c:pt>
              <c:pt idx="17">
                <c:v>8.6800000000000002E-2</c:v>
              </c:pt>
              <c:pt idx="18">
                <c:v>9.425E-2</c:v>
              </c:pt>
              <c:pt idx="19">
                <c:v>0.104</c:v>
              </c:pt>
              <c:pt idx="20">
                <c:v>0.104</c:v>
              </c:pt>
              <c:pt idx="21">
                <c:v>0.104</c:v>
              </c:pt>
              <c:pt idx="22">
                <c:v>0.104</c:v>
              </c:pt>
              <c:pt idx="23">
                <c:v>0.10879999999999999</c:v>
              </c:pt>
              <c:pt idx="24">
                <c:v>0.11</c:v>
              </c:pt>
              <c:pt idx="25">
                <c:v>0.105</c:v>
              </c:pt>
              <c:pt idx="26">
                <c:v>0.105</c:v>
              </c:pt>
              <c:pt idx="27">
                <c:v>0.105</c:v>
              </c:pt>
              <c:pt idx="28">
                <c:v>0.105</c:v>
              </c:pt>
              <c:pt idx="29">
                <c:v>0.105</c:v>
              </c:pt>
              <c:pt idx="30">
                <c:v>0.12</c:v>
              </c:pt>
              <c:pt idx="31">
                <c:v>0.13125000000000001</c:v>
              </c:pt>
              <c:pt idx="32">
                <c:v>0.13500000000000001</c:v>
              </c:pt>
              <c:pt idx="33">
                <c:v>0.13500000000000001</c:v>
              </c:pt>
              <c:pt idx="34">
                <c:v>0.13500000000000001</c:v>
              </c:pt>
              <c:pt idx="35">
                <c:v>0.13500000000000001</c:v>
              </c:pt>
              <c:pt idx="36">
                <c:v>0.13500000000000001</c:v>
              </c:pt>
              <c:pt idx="37">
                <c:v>0.13625000000000001</c:v>
              </c:pt>
              <c:pt idx="38">
                <c:v>0.14000000000000001</c:v>
              </c:pt>
              <c:pt idx="39">
                <c:v>0.14000000000000001</c:v>
              </c:pt>
              <c:pt idx="40">
                <c:v>0.14000000000000001</c:v>
              </c:pt>
              <c:pt idx="41">
                <c:v>0.14000000000000001</c:v>
              </c:pt>
              <c:pt idx="42">
                <c:v>0.14000000000000001</c:v>
              </c:pt>
              <c:pt idx="43">
                <c:v>0.14000000000000001</c:v>
              </c:pt>
              <c:pt idx="44">
                <c:v>0.14000000000000001</c:v>
              </c:pt>
              <c:pt idx="45">
                <c:v>0.14000000000000001</c:v>
              </c:pt>
              <c:pt idx="46">
                <c:v>0.11625000000000001</c:v>
              </c:pt>
              <c:pt idx="47">
                <c:v>0.115</c:v>
              </c:pt>
              <c:pt idx="48">
                <c:v>0.108</c:v>
              </c:pt>
              <c:pt idx="49">
                <c:v>0.09</c:v>
              </c:pt>
              <c:pt idx="50">
                <c:v>0.1</c:v>
              </c:pt>
              <c:pt idx="51">
                <c:v>0.1</c:v>
              </c:pt>
              <c:pt idx="52">
                <c:v>0.1</c:v>
              </c:pt>
              <c:pt idx="53">
                <c:v>0.11</c:v>
              </c:pt>
              <c:pt idx="54">
                <c:v>0.1</c:v>
              </c:pt>
              <c:pt idx="55">
                <c:v>0.1</c:v>
              </c:pt>
              <c:pt idx="56">
                <c:v>0.1</c:v>
              </c:pt>
              <c:pt idx="57">
                <c:v>0.1</c:v>
              </c:pt>
              <c:pt idx="58">
                <c:v>9.7000000000000003E-2</c:v>
              </c:pt>
              <c:pt idx="59">
                <c:v>9.5000000000000001E-2</c:v>
              </c:pt>
              <c:pt idx="60">
                <c:v>0.08</c:v>
              </c:pt>
              <c:pt idx="61">
                <c:v>0.08</c:v>
              </c:pt>
              <c:pt idx="62">
                <c:v>7.4999999999999997E-2</c:v>
              </c:pt>
              <c:pt idx="63">
                <c:v>7.4999999999999997E-2</c:v>
              </c:pt>
              <c:pt idx="64">
                <c:v>7.4999999999999997E-2</c:v>
              </c:pt>
              <c:pt idx="65">
                <c:v>7.4999999999999997E-2</c:v>
              </c:pt>
              <c:pt idx="66">
                <c:v>7.4999999999999997E-2</c:v>
              </c:pt>
              <c:pt idx="67">
                <c:v>7.4999999999999997E-2</c:v>
              </c:pt>
              <c:pt idx="68">
                <c:v>7.4999999999999997E-2</c:v>
              </c:pt>
              <c:pt idx="69">
                <c:v>7.4999999999999997E-2</c:v>
              </c:pt>
              <c:pt idx="70">
                <c:v>7.4999999999999997E-2</c:v>
              </c:pt>
              <c:pt idx="71">
                <c:v>7.4999999999999997E-2</c:v>
              </c:pt>
              <c:pt idx="72">
                <c:v>7.4999999999999997E-2</c:v>
              </c:pt>
              <c:pt idx="73">
                <c:v>7.4999999999999997E-2</c:v>
              </c:pt>
              <c:pt idx="74">
                <c:v>7.4999999999999997E-2</c:v>
              </c:pt>
              <c:pt idx="75">
                <c:v>7.4999999999999997E-2</c:v>
              </c:pt>
              <c:pt idx="76">
                <c:v>7.3499999999999996E-2</c:v>
              </c:pt>
              <c:pt idx="77">
                <c:v>7.0000000000000007E-2</c:v>
              </c:pt>
              <c:pt idx="78">
                <c:v>6.8000000000000005E-2</c:v>
              </c:pt>
              <c:pt idx="79">
                <c:v>6.8000000000000005E-2</c:v>
              </c:pt>
              <c:pt idx="80">
                <c:v>6.7000000000000004E-2</c:v>
              </c:pt>
              <c:pt idx="81">
                <c:v>6.4000000000000001E-2</c:v>
              </c:pt>
              <c:pt idx="82">
                <c:v>6.4000000000000001E-2</c:v>
              </c:pt>
              <c:pt idx="83">
                <c:v>6.4000000000000001E-2</c:v>
              </c:pt>
              <c:pt idx="84">
                <c:v>6.4000000000000001E-2</c:v>
              </c:pt>
              <c:pt idx="85">
                <c:v>6.4000000000000001E-2</c:v>
              </c:pt>
              <c:pt idx="86">
                <c:v>6.4000000000000001E-2</c:v>
              </c:pt>
              <c:pt idx="87">
                <c:v>6.4000000000000001E-2</c:v>
              </c:pt>
              <c:pt idx="88">
                <c:v>6.4000000000000001E-2</c:v>
              </c:pt>
              <c:pt idx="89">
                <c:v>6.4000000000000001E-2</c:v>
              </c:pt>
              <c:pt idx="90">
                <c:v>6.4000000000000001E-2</c:v>
              </c:pt>
              <c:pt idx="91">
                <c:v>6.4000000000000001E-2</c:v>
              </c:pt>
              <c:pt idx="92">
                <c:v>6.4000000000000001E-2</c:v>
              </c:pt>
              <c:pt idx="93">
                <c:v>6.4000000000000001E-2</c:v>
              </c:pt>
              <c:pt idx="94">
                <c:v>6.4000000000000001E-2</c:v>
              </c:pt>
              <c:pt idx="95">
                <c:v>6.4000000000000001E-2</c:v>
              </c:pt>
              <c:pt idx="96">
                <c:v>6.4000000000000001E-2</c:v>
              </c:pt>
              <c:pt idx="97">
                <c:v>6.4000000000000001E-2</c:v>
              </c:pt>
              <c:pt idx="98">
                <c:v>6.4000000000000001E-2</c:v>
              </c:pt>
              <c:pt idx="99">
                <c:v>6.4000000000000001E-2</c:v>
              </c:pt>
              <c:pt idx="100">
                <c:v>6.4000000000000001E-2</c:v>
              </c:pt>
              <c:pt idx="101">
                <c:v>6.4000000000000001E-2</c:v>
              </c:pt>
              <c:pt idx="102">
                <c:v>6.4000000000000001E-2</c:v>
              </c:pt>
              <c:pt idx="103">
                <c:v>6.4000000000000001E-2</c:v>
              </c:pt>
              <c:pt idx="104">
                <c:v>6.4000000000000001E-2</c:v>
              </c:pt>
              <c:pt idx="105">
                <c:v>6.4000000000000001E-2</c:v>
              </c:pt>
              <c:pt idx="106">
                <c:v>6.4250000000000002E-2</c:v>
              </c:pt>
              <c:pt idx="107">
                <c:v>6.5000000000000002E-2</c:v>
              </c:pt>
              <c:pt idx="108">
                <c:v>6.5000000000000002E-2</c:v>
              </c:pt>
              <c:pt idx="109">
                <c:v>6.5000000000000002E-2</c:v>
              </c:pt>
              <c:pt idx="110">
                <c:v>6.5000000000000002E-2</c:v>
              </c:pt>
              <c:pt idx="111">
                <c:v>6.5000000000000002E-2</c:v>
              </c:pt>
              <c:pt idx="112">
                <c:v>6.4333329999999994E-2</c:v>
              </c:pt>
              <c:pt idx="113">
                <c:v>6.5000000000000002E-2</c:v>
              </c:pt>
              <c:pt idx="114">
                <c:v>6.5000000000000002E-2</c:v>
              </c:pt>
              <c:pt idx="115">
                <c:v>6.5000000000000002E-2</c:v>
              </c:pt>
              <c:pt idx="116">
                <c:v>6.5000000000000002E-2</c:v>
              </c:pt>
              <c:pt idx="117">
                <c:v>6.5000000000000002E-2</c:v>
              </c:pt>
              <c:pt idx="118">
                <c:v>6.5000000000000002E-2</c:v>
              </c:pt>
              <c:pt idx="119">
                <c:v>6.5799999999999997E-2</c:v>
              </c:pt>
              <c:pt idx="120">
                <c:v>6.6000000000000003E-2</c:v>
              </c:pt>
              <c:pt idx="121">
                <c:v>6.6000000000000003E-2</c:v>
              </c:pt>
              <c:pt idx="122">
                <c:v>6.6000000000000003E-2</c:v>
              </c:pt>
              <c:pt idx="123">
                <c:v>6.6000000000000003E-2</c:v>
              </c:pt>
              <c:pt idx="124">
                <c:v>6.6000000000000003E-2</c:v>
              </c:pt>
              <c:pt idx="125">
                <c:v>6.6000000000000003E-2</c:v>
              </c:pt>
              <c:pt idx="126">
                <c:v>6.6000000000000003E-2</c:v>
              </c:pt>
              <c:pt idx="127">
                <c:v>6.6000000000000003E-2</c:v>
              </c:pt>
              <c:pt idx="128">
                <c:v>6.6000000000000003E-2</c:v>
              </c:pt>
              <c:pt idx="129">
                <c:v>6.6000000000000003E-2</c:v>
              </c:pt>
              <c:pt idx="130">
                <c:v>6.6000000000000003E-2</c:v>
              </c:pt>
              <c:pt idx="131">
                <c:v>6.6000000000000003E-2</c:v>
              </c:pt>
              <c:pt idx="132">
                <c:v>6.6000000000000003E-2</c:v>
              </c:pt>
              <c:pt idx="133">
                <c:v>6.6000000000000003E-2</c:v>
              </c:pt>
              <c:pt idx="134">
                <c:v>6.6000000000000003E-2</c:v>
              </c:pt>
              <c:pt idx="135">
                <c:v>6.6000000000000003E-2</c:v>
              </c:pt>
              <c:pt idx="136">
                <c:v>6.6000000000000003E-2</c:v>
              </c:pt>
              <c:pt idx="137">
                <c:v>6.5000000000000002E-2</c:v>
              </c:pt>
              <c:pt idx="138">
                <c:v>0.06</c:v>
              </c:pt>
              <c:pt idx="139">
                <c:v>0.06</c:v>
              </c:pt>
              <c:pt idx="140">
                <c:v>0.06</c:v>
              </c:pt>
              <c:pt idx="141">
                <c:v>0.06</c:v>
              </c:pt>
              <c:pt idx="142">
                <c:v>5.8000000000000003E-2</c:v>
              </c:pt>
              <c:pt idx="143">
                <c:v>5.6000000000000001E-2</c:v>
              </c:pt>
              <c:pt idx="144">
                <c:v>5.6000000000000001E-2</c:v>
              </c:pt>
              <c:pt idx="145">
                <c:v>5.6000000000000001E-2</c:v>
              </c:pt>
              <c:pt idx="146">
                <c:v>5.6000000000000001E-2</c:v>
              </c:pt>
              <c:pt idx="147">
                <c:v>5.6000000000000001E-2</c:v>
              </c:pt>
              <c:pt idx="148">
                <c:v>5.6000000000000001E-2</c:v>
              </c:pt>
              <c:pt idx="149">
                <c:v>5.3999999999999999E-2</c:v>
              </c:pt>
              <c:pt idx="150">
                <c:v>5.5E-2</c:v>
              </c:pt>
              <c:pt idx="151">
                <c:v>5.3999999999999999E-2</c:v>
              </c:pt>
              <c:pt idx="152">
                <c:v>5.5E-2</c:v>
              </c:pt>
              <c:pt idx="153">
                <c:v>5.3999999999999999E-2</c:v>
              </c:pt>
              <c:pt idx="154">
                <c:v>5.2999999999999999E-2</c:v>
              </c:pt>
              <c:pt idx="155">
                <c:v>5.3999999999999999E-2</c:v>
              </c:pt>
              <c:pt idx="156">
                <c:v>5.2999999999999999E-2</c:v>
              </c:pt>
              <c:pt idx="157">
                <c:v>5.3999999999999999E-2</c:v>
              </c:pt>
              <c:pt idx="158">
                <c:v>5.5E-2</c:v>
              </c:pt>
              <c:pt idx="159">
                <c:v>5.3999999999999999E-2</c:v>
              </c:pt>
              <c:pt idx="160">
                <c:v>5.3999999999999999E-2</c:v>
              </c:pt>
              <c:pt idx="161">
                <c:v>5.3999999999999999E-2</c:v>
              </c:pt>
              <c:pt idx="162">
                <c:v>5.5E-2</c:v>
              </c:pt>
              <c:pt idx="163">
                <c:v>5.5E-2</c:v>
              </c:pt>
              <c:pt idx="164">
                <c:v>5.6000000000000001E-2</c:v>
              </c:pt>
              <c:pt idx="165">
                <c:v>5.7000000000000002E-2</c:v>
              </c:pt>
              <c:pt idx="166">
                <c:v>0.06</c:v>
              </c:pt>
              <c:pt idx="167">
                <c:v>6.2E-2</c:v>
              </c:pt>
              <c:pt idx="168">
                <c:v>6.4000000000000001E-2</c:v>
              </c:pt>
              <c:pt idx="169">
                <c:v>6.7000000000000004E-2</c:v>
              </c:pt>
            </c:numLit>
          </c:val>
          <c:smooth val="0"/>
          <c:extLst>
            <c:ext xmlns:c16="http://schemas.microsoft.com/office/drawing/2014/chart" uri="{C3380CC4-5D6E-409C-BE32-E72D297353CC}">
              <c16:uniqueId val="{00000000-2EDC-4E40-9BC9-3991B64AA958}"/>
            </c:ext>
          </c:extLst>
        </c:ser>
        <c:ser>
          <c:idx val="3"/>
          <c:order val="3"/>
          <c:tx>
            <c:strRef>
              <c:f>'LS T3.23'!$A$10</c:f>
              <c:strCache>
                <c:ptCount val="1"/>
                <c:pt idx="0">
                  <c:v>Lãi suất cho vay ngắn hạn bình quân (%)</c:v>
                </c:pt>
              </c:strCache>
            </c:strRef>
          </c:tx>
          <c:spPr>
            <a:ln w="28575" cap="rnd">
              <a:solidFill>
                <a:schemeClr val="accent4"/>
              </a:solidFill>
              <a:round/>
            </a:ln>
            <a:effectLst/>
          </c:spPr>
          <c:marker>
            <c:symbol val="none"/>
          </c:marker>
          <c:cat>
            <c:strRef>
              <c:f>'LS T3.23'!$B$5:$FU$5</c:f>
              <c:strCache>
                <c:ptCount val="176"/>
                <c:pt idx="0">
                  <c:v>5/2008</c:v>
                </c:pt>
                <c:pt idx="1">
                  <c:v>6/2008</c:v>
                </c:pt>
                <c:pt idx="2">
                  <c:v>7/2008</c:v>
                </c:pt>
                <c:pt idx="3">
                  <c:v>8/2008</c:v>
                </c:pt>
                <c:pt idx="4">
                  <c:v>9/2008</c:v>
                </c:pt>
                <c:pt idx="5">
                  <c:v>10/2008</c:v>
                </c:pt>
                <c:pt idx="6">
                  <c:v>11/2008</c:v>
                </c:pt>
                <c:pt idx="7">
                  <c:v>12/2008</c:v>
                </c:pt>
                <c:pt idx="8">
                  <c:v>1/2009</c:v>
                </c:pt>
                <c:pt idx="9">
                  <c:v>2/2009</c:v>
                </c:pt>
                <c:pt idx="10">
                  <c:v>3/2009</c:v>
                </c:pt>
                <c:pt idx="11">
                  <c:v>4/2009</c:v>
                </c:pt>
                <c:pt idx="12">
                  <c:v>5/2009</c:v>
                </c:pt>
                <c:pt idx="13">
                  <c:v>6/2009</c:v>
                </c:pt>
                <c:pt idx="14">
                  <c:v>7/2009</c:v>
                </c:pt>
                <c:pt idx="15">
                  <c:v>8/2009</c:v>
                </c:pt>
                <c:pt idx="16">
                  <c:v>9/2009</c:v>
                </c:pt>
                <c:pt idx="17">
                  <c:v>10/2009</c:v>
                </c:pt>
                <c:pt idx="18">
                  <c:v>11/2009</c:v>
                </c:pt>
                <c:pt idx="19">
                  <c:v>12/2009</c:v>
                </c:pt>
                <c:pt idx="20">
                  <c:v>1/2010</c:v>
                </c:pt>
                <c:pt idx="21">
                  <c:v>2/2010</c:v>
                </c:pt>
                <c:pt idx="22">
                  <c:v>3/2010</c:v>
                </c:pt>
                <c:pt idx="23">
                  <c:v>4/2010</c:v>
                </c:pt>
                <c:pt idx="24">
                  <c:v>5/2010</c:v>
                </c:pt>
                <c:pt idx="25">
                  <c:v>6/2010</c:v>
                </c:pt>
                <c:pt idx="26">
                  <c:v>7/2010</c:v>
                </c:pt>
                <c:pt idx="27">
                  <c:v>8/2010</c:v>
                </c:pt>
                <c:pt idx="28">
                  <c:v>9/2010</c:v>
                </c:pt>
                <c:pt idx="29">
                  <c:v>10/2010</c:v>
                </c:pt>
                <c:pt idx="30">
                  <c:v>11/2010</c:v>
                </c:pt>
                <c:pt idx="31">
                  <c:v>12/2010</c:v>
                </c:pt>
                <c:pt idx="32">
                  <c:v>1/2011</c:v>
                </c:pt>
                <c:pt idx="33">
                  <c:v>2/2011</c:v>
                </c:pt>
                <c:pt idx="34">
                  <c:v>3/2011</c:v>
                </c:pt>
                <c:pt idx="35">
                  <c:v>4/2011</c:v>
                </c:pt>
                <c:pt idx="36">
                  <c:v>5/2011</c:v>
                </c:pt>
                <c:pt idx="37">
                  <c:v>6/2011</c:v>
                </c:pt>
                <c:pt idx="38">
                  <c:v>7/2011</c:v>
                </c:pt>
                <c:pt idx="39">
                  <c:v>8/2011</c:v>
                </c:pt>
                <c:pt idx="40">
                  <c:v>9/2011</c:v>
                </c:pt>
                <c:pt idx="41">
                  <c:v>10/2011</c:v>
                </c:pt>
                <c:pt idx="42">
                  <c:v>11/2011</c:v>
                </c:pt>
                <c:pt idx="43">
                  <c:v>12/2011</c:v>
                </c:pt>
                <c:pt idx="44">
                  <c:v>1/2012</c:v>
                </c:pt>
                <c:pt idx="45">
                  <c:v>2/2012</c:v>
                </c:pt>
                <c:pt idx="46">
                  <c:v>3/2012</c:v>
                </c:pt>
                <c:pt idx="47">
                  <c:v>4/2012</c:v>
                </c:pt>
                <c:pt idx="48">
                  <c:v>5/2012</c:v>
                </c:pt>
                <c:pt idx="49">
                  <c:v>6/2012</c:v>
                </c:pt>
                <c:pt idx="50">
                  <c:v>7/2012</c:v>
                </c:pt>
                <c:pt idx="51">
                  <c:v>8/2012</c:v>
                </c:pt>
                <c:pt idx="52">
                  <c:v>9/2012</c:v>
                </c:pt>
                <c:pt idx="53">
                  <c:v>10/2012</c:v>
                </c:pt>
                <c:pt idx="54">
                  <c:v>11/2012</c:v>
                </c:pt>
                <c:pt idx="55">
                  <c:v>12/2012</c:v>
                </c:pt>
                <c:pt idx="56">
                  <c:v>1/2013</c:v>
                </c:pt>
                <c:pt idx="57">
                  <c:v>2/2013</c:v>
                </c:pt>
                <c:pt idx="58">
                  <c:v>3/2013</c:v>
                </c:pt>
                <c:pt idx="59">
                  <c:v>4/2013</c:v>
                </c:pt>
                <c:pt idx="60">
                  <c:v>5/2013</c:v>
                </c:pt>
                <c:pt idx="61">
                  <c:v>6/2013</c:v>
                </c:pt>
                <c:pt idx="62">
                  <c:v>7/2013</c:v>
                </c:pt>
                <c:pt idx="63">
                  <c:v>8/2013</c:v>
                </c:pt>
                <c:pt idx="64">
                  <c:v>9/2013</c:v>
                </c:pt>
                <c:pt idx="65">
                  <c:v>10/2013</c:v>
                </c:pt>
                <c:pt idx="66">
                  <c:v>11/2013</c:v>
                </c:pt>
                <c:pt idx="67">
                  <c:v>12/2013</c:v>
                </c:pt>
                <c:pt idx="68">
                  <c:v>1/2014</c:v>
                </c:pt>
                <c:pt idx="69">
                  <c:v>2/2014</c:v>
                </c:pt>
                <c:pt idx="70">
                  <c:v>3/2014</c:v>
                </c:pt>
                <c:pt idx="71">
                  <c:v>4/2014</c:v>
                </c:pt>
                <c:pt idx="72">
                  <c:v>5/2014</c:v>
                </c:pt>
                <c:pt idx="73">
                  <c:v>6/2014</c:v>
                </c:pt>
                <c:pt idx="74">
                  <c:v>7/2014</c:v>
                </c:pt>
                <c:pt idx="75">
                  <c:v>8/2014</c:v>
                </c:pt>
                <c:pt idx="76">
                  <c:v>9/2014</c:v>
                </c:pt>
                <c:pt idx="77">
                  <c:v>10/2014</c:v>
                </c:pt>
                <c:pt idx="78">
                  <c:v>11/2014</c:v>
                </c:pt>
                <c:pt idx="79">
                  <c:v>12/2014</c:v>
                </c:pt>
                <c:pt idx="80">
                  <c:v>1/2015</c:v>
                </c:pt>
                <c:pt idx="81">
                  <c:v>3/2015</c:v>
                </c:pt>
                <c:pt idx="82">
                  <c:v>4/2015</c:v>
                </c:pt>
                <c:pt idx="83">
                  <c:v>5/2015</c:v>
                </c:pt>
                <c:pt idx="84">
                  <c:v>6/2015</c:v>
                </c:pt>
                <c:pt idx="85">
                  <c:v>7/2015</c:v>
                </c:pt>
                <c:pt idx="86">
                  <c:v>8/2015</c:v>
                </c:pt>
                <c:pt idx="87">
                  <c:v>9/2015</c:v>
                </c:pt>
                <c:pt idx="88">
                  <c:v>10/2015</c:v>
                </c:pt>
                <c:pt idx="89">
                  <c:v>11/2015</c:v>
                </c:pt>
                <c:pt idx="90">
                  <c:v>12/2015</c:v>
                </c:pt>
                <c:pt idx="91">
                  <c:v>1/2016</c:v>
                </c:pt>
                <c:pt idx="92">
                  <c:v>3/2016</c:v>
                </c:pt>
                <c:pt idx="93">
                  <c:v>4/2016</c:v>
                </c:pt>
                <c:pt idx="94">
                  <c:v>5/2016</c:v>
                </c:pt>
                <c:pt idx="95">
                  <c:v>6/2016</c:v>
                </c:pt>
                <c:pt idx="96">
                  <c:v>7/2016</c:v>
                </c:pt>
                <c:pt idx="97">
                  <c:v>9/2016</c:v>
                </c:pt>
                <c:pt idx="98">
                  <c:v>10/2016</c:v>
                </c:pt>
                <c:pt idx="99">
                  <c:v>11/2016</c:v>
                </c:pt>
                <c:pt idx="100">
                  <c:v>12/2016</c:v>
                </c:pt>
                <c:pt idx="101">
                  <c:v>4/2017</c:v>
                </c:pt>
                <c:pt idx="102">
                  <c:v>6/2017</c:v>
                </c:pt>
                <c:pt idx="103">
                  <c:v>7/2017</c:v>
                </c:pt>
                <c:pt idx="104">
                  <c:v>8/2017</c:v>
                </c:pt>
                <c:pt idx="105">
                  <c:v>10/2017</c:v>
                </c:pt>
                <c:pt idx="106">
                  <c:v>11/2017</c:v>
                </c:pt>
                <c:pt idx="107">
                  <c:v>12/2017</c:v>
                </c:pt>
                <c:pt idx="108">
                  <c:v>1/2018</c:v>
                </c:pt>
                <c:pt idx="109">
                  <c:v>2/2018</c:v>
                </c:pt>
                <c:pt idx="110">
                  <c:v>3/2018</c:v>
                </c:pt>
                <c:pt idx="111">
                  <c:v>4/2018</c:v>
                </c:pt>
                <c:pt idx="112">
                  <c:v>5/2018</c:v>
                </c:pt>
                <c:pt idx="113">
                  <c:v>6/2018</c:v>
                </c:pt>
                <c:pt idx="114">
                  <c:v>7/2018</c:v>
                </c:pt>
                <c:pt idx="115">
                  <c:v>8/2018</c:v>
                </c:pt>
                <c:pt idx="116">
                  <c:v>9/2018</c:v>
                </c:pt>
                <c:pt idx="117">
                  <c:v>10/2018</c:v>
                </c:pt>
                <c:pt idx="118">
                  <c:v>11/2018</c:v>
                </c:pt>
                <c:pt idx="119">
                  <c:v>12/2018</c:v>
                </c:pt>
                <c:pt idx="120">
                  <c:v>1/2019</c:v>
                </c:pt>
                <c:pt idx="121">
                  <c:v>2/2019</c:v>
                </c:pt>
                <c:pt idx="122">
                  <c:v>3/2019</c:v>
                </c:pt>
                <c:pt idx="123">
                  <c:v>4/2019</c:v>
                </c:pt>
                <c:pt idx="124">
                  <c:v>5/2019</c:v>
                </c:pt>
                <c:pt idx="125">
                  <c:v>6/2019</c:v>
                </c:pt>
                <c:pt idx="126">
                  <c:v>7/2019</c:v>
                </c:pt>
                <c:pt idx="127">
                  <c:v>8/2019</c:v>
                </c:pt>
                <c:pt idx="128">
                  <c:v>9/2019</c:v>
                </c:pt>
                <c:pt idx="129">
                  <c:v>10/2019</c:v>
                </c:pt>
                <c:pt idx="130">
                  <c:v>11/2019</c:v>
                </c:pt>
                <c:pt idx="131">
                  <c:v>12/2019</c:v>
                </c:pt>
                <c:pt idx="132">
                  <c:v>1/2020</c:v>
                </c:pt>
                <c:pt idx="133">
                  <c:v>2/2020</c:v>
                </c:pt>
                <c:pt idx="134">
                  <c:v>3/2020</c:v>
                </c:pt>
                <c:pt idx="135">
                  <c:v>4/2020</c:v>
                </c:pt>
                <c:pt idx="136">
                  <c:v>5/2020</c:v>
                </c:pt>
                <c:pt idx="137">
                  <c:v>6/2020</c:v>
                </c:pt>
                <c:pt idx="138">
                  <c:v>7/2020</c:v>
                </c:pt>
                <c:pt idx="139">
                  <c:v>8/2020</c:v>
                </c:pt>
                <c:pt idx="140">
                  <c:v>9/2020</c:v>
                </c:pt>
                <c:pt idx="141">
                  <c:v>10/2020</c:v>
                </c:pt>
                <c:pt idx="142">
                  <c:v>11/2020</c:v>
                </c:pt>
                <c:pt idx="143">
                  <c:v>12/2020</c:v>
                </c:pt>
                <c:pt idx="144">
                  <c:v>2/2021</c:v>
                </c:pt>
                <c:pt idx="145">
                  <c:v>3/2021</c:v>
                </c:pt>
                <c:pt idx="146">
                  <c:v>4/2021</c:v>
                </c:pt>
                <c:pt idx="147">
                  <c:v>5/2021</c:v>
                </c:pt>
                <c:pt idx="148">
                  <c:v>6/2021</c:v>
                </c:pt>
                <c:pt idx="149">
                  <c:v>7/2021</c:v>
                </c:pt>
                <c:pt idx="150">
                  <c:v>8/2021</c:v>
                </c:pt>
                <c:pt idx="151">
                  <c:v>9/2021</c:v>
                </c:pt>
                <c:pt idx="152">
                  <c:v>10/2021</c:v>
                </c:pt>
                <c:pt idx="153">
                  <c:v>11/2021</c:v>
                </c:pt>
                <c:pt idx="154">
                  <c:v>12/2021</c:v>
                </c:pt>
                <c:pt idx="155">
                  <c:v>1/2022</c:v>
                </c:pt>
                <c:pt idx="156">
                  <c:v>2/2022</c:v>
                </c:pt>
                <c:pt idx="157">
                  <c:v>3/2022</c:v>
                </c:pt>
                <c:pt idx="158">
                  <c:v>4/2022</c:v>
                </c:pt>
                <c:pt idx="159">
                  <c:v>5/2022</c:v>
                </c:pt>
                <c:pt idx="160">
                  <c:v>6/2022</c:v>
                </c:pt>
                <c:pt idx="161">
                  <c:v>7/2022</c:v>
                </c:pt>
                <c:pt idx="162">
                  <c:v>8/2022</c:v>
                </c:pt>
                <c:pt idx="163">
                  <c:v>9/2022</c:v>
                </c:pt>
                <c:pt idx="164">
                  <c:v>10/2022</c:v>
                </c:pt>
                <c:pt idx="165">
                  <c:v>11/2022</c:v>
                </c:pt>
                <c:pt idx="166">
                  <c:v>12/2022</c:v>
                </c:pt>
                <c:pt idx="167">
                  <c:v>1/2023</c:v>
                </c:pt>
                <c:pt idx="168">
                  <c:v>2/2023</c:v>
                </c:pt>
                <c:pt idx="169">
                  <c:v>3/2023</c:v>
                </c:pt>
                <c:pt idx="170">
                  <c:v>4/2023</c:v>
                </c:pt>
                <c:pt idx="171">
                  <c:v>5/2023</c:v>
                </c:pt>
                <c:pt idx="172">
                  <c:v>6/2023</c:v>
                </c:pt>
                <c:pt idx="173">
                  <c:v>7/2023</c:v>
                </c:pt>
                <c:pt idx="174">
                  <c:v>8/2023</c:v>
                </c:pt>
                <c:pt idx="175">
                  <c:v>9/2023</c:v>
                </c:pt>
              </c:strCache>
            </c:strRef>
          </c:cat>
          <c:val>
            <c:numRef>
              <c:f>'LS T3.23'!$B$10:$FO$10</c:f>
              <c:numCache>
                <c:formatCode>General</c:formatCode>
                <c:ptCount val="170"/>
                <c:pt idx="132" formatCode="0.0%">
                  <c:v>7.4999999999999997E-2</c:v>
                </c:pt>
                <c:pt idx="133" formatCode="0.0%">
                  <c:v>7.4999999999999997E-2</c:v>
                </c:pt>
                <c:pt idx="134" formatCode="0.0%">
                  <c:v>7.4999999999999997E-2</c:v>
                </c:pt>
                <c:pt idx="135" formatCode="0.0%">
                  <c:v>7.4999999999999997E-2</c:v>
                </c:pt>
                <c:pt idx="136" formatCode="0.0%">
                  <c:v>7.4999999999999997E-2</c:v>
                </c:pt>
                <c:pt idx="137" formatCode="0.0%">
                  <c:v>7.4999999999999997E-2</c:v>
                </c:pt>
                <c:pt idx="138" formatCode="0.0%">
                  <c:v>7.4999999999999997E-2</c:v>
                </c:pt>
                <c:pt idx="139" formatCode="0.0%">
                  <c:v>4.4999999999999998E-2</c:v>
                </c:pt>
                <c:pt idx="140" formatCode="0.0%">
                  <c:v>4.4999999999999998E-2</c:v>
                </c:pt>
                <c:pt idx="141" formatCode="0.0%">
                  <c:v>4.4999999999999998E-2</c:v>
                </c:pt>
                <c:pt idx="142" formatCode="0.0%">
                  <c:v>4.4999999999999998E-2</c:v>
                </c:pt>
                <c:pt idx="143" formatCode="0.0%">
                  <c:v>4.4999999999999998E-2</c:v>
                </c:pt>
                <c:pt idx="144" formatCode="0.0%">
                  <c:v>4.4999999999999998E-2</c:v>
                </c:pt>
                <c:pt idx="145" formatCode="0.0%">
                  <c:v>4.4999999999999998E-2</c:v>
                </c:pt>
                <c:pt idx="146" formatCode="0.0%">
                  <c:v>4.4999999999999998E-2</c:v>
                </c:pt>
                <c:pt idx="147" formatCode="0.0%">
                  <c:v>4.4999999999999998E-2</c:v>
                </c:pt>
                <c:pt idx="148" formatCode="0.0%">
                  <c:v>4.4999999999999998E-2</c:v>
                </c:pt>
                <c:pt idx="149" formatCode="0.0%">
                  <c:v>4.4999999999999998E-2</c:v>
                </c:pt>
                <c:pt idx="150" formatCode="0.0%">
                  <c:v>4.3999999999999997E-2</c:v>
                </c:pt>
                <c:pt idx="151" formatCode="0.0%">
                  <c:v>4.3999999999999997E-2</c:v>
                </c:pt>
                <c:pt idx="152" formatCode="0.0%">
                  <c:v>4.2999999999999997E-2</c:v>
                </c:pt>
                <c:pt idx="153" formatCode="0.0%">
                  <c:v>4.2999999999999997E-2</c:v>
                </c:pt>
                <c:pt idx="154" formatCode="0.0%">
                  <c:v>4.2999999999999997E-2</c:v>
                </c:pt>
                <c:pt idx="155" formatCode="0.0%">
                  <c:v>4.2999999999999997E-2</c:v>
                </c:pt>
                <c:pt idx="156" formatCode="0.0%">
                  <c:v>4.2999999999999997E-2</c:v>
                </c:pt>
                <c:pt idx="157" formatCode="0.0%">
                  <c:v>4.2999999999999997E-2</c:v>
                </c:pt>
                <c:pt idx="158" formatCode="0.0%">
                  <c:v>4.2999999999999997E-2</c:v>
                </c:pt>
                <c:pt idx="159" formatCode="0.0%">
                  <c:v>4.2999999999999997E-2</c:v>
                </c:pt>
                <c:pt idx="160" formatCode="0.0%">
                  <c:v>4.2999999999999997E-2</c:v>
                </c:pt>
                <c:pt idx="161" formatCode="0.0%">
                  <c:v>4.3999999999999997E-2</c:v>
                </c:pt>
                <c:pt idx="162" formatCode="0.0%">
                  <c:v>4.4999999999999998E-2</c:v>
                </c:pt>
                <c:pt idx="163" formatCode="0.0%">
                  <c:v>4.4999999999999998E-2</c:v>
                </c:pt>
                <c:pt idx="164" formatCode="0.0%">
                  <c:v>5.5E-2</c:v>
                </c:pt>
                <c:pt idx="165" formatCode="0.0%">
                  <c:v>5.5E-2</c:v>
                </c:pt>
                <c:pt idx="166" formatCode="0.0%">
                  <c:v>5.5E-2</c:v>
                </c:pt>
                <c:pt idx="167" formatCode="0.0%">
                  <c:v>5.5E-2</c:v>
                </c:pt>
                <c:pt idx="168" formatCode="0.0%">
                  <c:v>5.5E-2</c:v>
                </c:pt>
                <c:pt idx="169" formatCode="0.0%">
                  <c:v>5.5E-2</c:v>
                </c:pt>
              </c:numCache>
            </c:numRef>
          </c:val>
          <c:smooth val="0"/>
          <c:extLst>
            <c:ext xmlns:c16="http://schemas.microsoft.com/office/drawing/2014/chart" uri="{C3380CC4-5D6E-409C-BE32-E72D297353CC}">
              <c16:uniqueId val="{00000001-2EDC-4E40-9BC9-3991B64AA958}"/>
            </c:ext>
          </c:extLst>
        </c:ser>
        <c:ser>
          <c:idx val="2"/>
          <c:order val="2"/>
          <c:tx>
            <c:v>   Lãi suất huy động bình quân trên 12 tháng (cao nhất)</c:v>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'LS T3.23'!$B$5:$FU$5</c:f>
              <c:strCache>
                <c:ptCount val="176"/>
                <c:pt idx="0">
                  <c:v>5/2008</c:v>
                </c:pt>
                <c:pt idx="1">
                  <c:v>6/2008</c:v>
                </c:pt>
                <c:pt idx="2">
                  <c:v>7/2008</c:v>
                </c:pt>
                <c:pt idx="3">
                  <c:v>8/2008</c:v>
                </c:pt>
                <c:pt idx="4">
                  <c:v>9/2008</c:v>
                </c:pt>
                <c:pt idx="5">
                  <c:v>10/2008</c:v>
                </c:pt>
                <c:pt idx="6">
                  <c:v>11/2008</c:v>
                </c:pt>
                <c:pt idx="7">
                  <c:v>12/2008</c:v>
                </c:pt>
                <c:pt idx="8">
                  <c:v>1/2009</c:v>
                </c:pt>
                <c:pt idx="9">
                  <c:v>2/2009</c:v>
                </c:pt>
                <c:pt idx="10">
                  <c:v>3/2009</c:v>
                </c:pt>
                <c:pt idx="11">
                  <c:v>4/2009</c:v>
                </c:pt>
                <c:pt idx="12">
                  <c:v>5/2009</c:v>
                </c:pt>
                <c:pt idx="13">
                  <c:v>6/2009</c:v>
                </c:pt>
                <c:pt idx="14">
                  <c:v>7/2009</c:v>
                </c:pt>
                <c:pt idx="15">
                  <c:v>8/2009</c:v>
                </c:pt>
                <c:pt idx="16">
                  <c:v>9/2009</c:v>
                </c:pt>
                <c:pt idx="17">
                  <c:v>10/2009</c:v>
                </c:pt>
                <c:pt idx="18">
                  <c:v>11/2009</c:v>
                </c:pt>
                <c:pt idx="19">
                  <c:v>12/2009</c:v>
                </c:pt>
                <c:pt idx="20">
                  <c:v>1/2010</c:v>
                </c:pt>
                <c:pt idx="21">
                  <c:v>2/2010</c:v>
                </c:pt>
                <c:pt idx="22">
                  <c:v>3/2010</c:v>
                </c:pt>
                <c:pt idx="23">
                  <c:v>4/2010</c:v>
                </c:pt>
                <c:pt idx="24">
                  <c:v>5/2010</c:v>
                </c:pt>
                <c:pt idx="25">
                  <c:v>6/2010</c:v>
                </c:pt>
                <c:pt idx="26">
                  <c:v>7/2010</c:v>
                </c:pt>
                <c:pt idx="27">
                  <c:v>8/2010</c:v>
                </c:pt>
                <c:pt idx="28">
                  <c:v>9/2010</c:v>
                </c:pt>
                <c:pt idx="29">
                  <c:v>10/2010</c:v>
                </c:pt>
                <c:pt idx="30">
                  <c:v>11/2010</c:v>
                </c:pt>
                <c:pt idx="31">
                  <c:v>12/2010</c:v>
                </c:pt>
                <c:pt idx="32">
                  <c:v>1/2011</c:v>
                </c:pt>
                <c:pt idx="33">
                  <c:v>2/2011</c:v>
                </c:pt>
                <c:pt idx="34">
                  <c:v>3/2011</c:v>
                </c:pt>
                <c:pt idx="35">
                  <c:v>4/2011</c:v>
                </c:pt>
                <c:pt idx="36">
                  <c:v>5/2011</c:v>
                </c:pt>
                <c:pt idx="37">
                  <c:v>6/2011</c:v>
                </c:pt>
                <c:pt idx="38">
                  <c:v>7/2011</c:v>
                </c:pt>
                <c:pt idx="39">
                  <c:v>8/2011</c:v>
                </c:pt>
                <c:pt idx="40">
                  <c:v>9/2011</c:v>
                </c:pt>
                <c:pt idx="41">
                  <c:v>10/2011</c:v>
                </c:pt>
                <c:pt idx="42">
                  <c:v>11/2011</c:v>
                </c:pt>
                <c:pt idx="43">
                  <c:v>12/2011</c:v>
                </c:pt>
                <c:pt idx="44">
                  <c:v>1/2012</c:v>
                </c:pt>
                <c:pt idx="45">
                  <c:v>2/2012</c:v>
                </c:pt>
                <c:pt idx="46">
                  <c:v>3/2012</c:v>
                </c:pt>
                <c:pt idx="47">
                  <c:v>4/2012</c:v>
                </c:pt>
                <c:pt idx="48">
                  <c:v>5/2012</c:v>
                </c:pt>
                <c:pt idx="49">
                  <c:v>6/2012</c:v>
                </c:pt>
                <c:pt idx="50">
                  <c:v>7/2012</c:v>
                </c:pt>
                <c:pt idx="51">
                  <c:v>8/2012</c:v>
                </c:pt>
                <c:pt idx="52">
                  <c:v>9/2012</c:v>
                </c:pt>
                <c:pt idx="53">
                  <c:v>10/2012</c:v>
                </c:pt>
                <c:pt idx="54">
                  <c:v>11/2012</c:v>
                </c:pt>
                <c:pt idx="55">
                  <c:v>12/2012</c:v>
                </c:pt>
                <c:pt idx="56">
                  <c:v>1/2013</c:v>
                </c:pt>
                <c:pt idx="57">
                  <c:v>2/2013</c:v>
                </c:pt>
                <c:pt idx="58">
                  <c:v>3/2013</c:v>
                </c:pt>
                <c:pt idx="59">
                  <c:v>4/2013</c:v>
                </c:pt>
                <c:pt idx="60">
                  <c:v>5/2013</c:v>
                </c:pt>
                <c:pt idx="61">
                  <c:v>6/2013</c:v>
                </c:pt>
                <c:pt idx="62">
                  <c:v>7/2013</c:v>
                </c:pt>
                <c:pt idx="63">
                  <c:v>8/2013</c:v>
                </c:pt>
                <c:pt idx="64">
                  <c:v>9/2013</c:v>
                </c:pt>
                <c:pt idx="65">
                  <c:v>10/2013</c:v>
                </c:pt>
                <c:pt idx="66">
                  <c:v>11/2013</c:v>
                </c:pt>
                <c:pt idx="67">
                  <c:v>12/2013</c:v>
                </c:pt>
                <c:pt idx="68">
                  <c:v>1/2014</c:v>
                </c:pt>
                <c:pt idx="69">
                  <c:v>2/2014</c:v>
                </c:pt>
                <c:pt idx="70">
                  <c:v>3/2014</c:v>
                </c:pt>
                <c:pt idx="71">
                  <c:v>4/2014</c:v>
                </c:pt>
                <c:pt idx="72">
                  <c:v>5/2014</c:v>
                </c:pt>
                <c:pt idx="73">
                  <c:v>6/2014</c:v>
                </c:pt>
                <c:pt idx="74">
                  <c:v>7/2014</c:v>
                </c:pt>
                <c:pt idx="75">
                  <c:v>8/2014</c:v>
                </c:pt>
                <c:pt idx="76">
                  <c:v>9/2014</c:v>
                </c:pt>
                <c:pt idx="77">
                  <c:v>10/2014</c:v>
                </c:pt>
                <c:pt idx="78">
                  <c:v>11/2014</c:v>
                </c:pt>
                <c:pt idx="79">
                  <c:v>12/2014</c:v>
                </c:pt>
                <c:pt idx="80">
                  <c:v>1/2015</c:v>
                </c:pt>
                <c:pt idx="81">
                  <c:v>3/2015</c:v>
                </c:pt>
                <c:pt idx="82">
                  <c:v>4/2015</c:v>
                </c:pt>
                <c:pt idx="83">
                  <c:v>5/2015</c:v>
                </c:pt>
                <c:pt idx="84">
                  <c:v>6/2015</c:v>
                </c:pt>
                <c:pt idx="85">
                  <c:v>7/2015</c:v>
                </c:pt>
                <c:pt idx="86">
                  <c:v>8/2015</c:v>
                </c:pt>
                <c:pt idx="87">
                  <c:v>9/2015</c:v>
                </c:pt>
                <c:pt idx="88">
                  <c:v>10/2015</c:v>
                </c:pt>
                <c:pt idx="89">
                  <c:v>11/2015</c:v>
                </c:pt>
                <c:pt idx="90">
                  <c:v>12/2015</c:v>
                </c:pt>
                <c:pt idx="91">
                  <c:v>1/2016</c:v>
                </c:pt>
                <c:pt idx="92">
                  <c:v>3/2016</c:v>
                </c:pt>
                <c:pt idx="93">
                  <c:v>4/2016</c:v>
                </c:pt>
                <c:pt idx="94">
                  <c:v>5/2016</c:v>
                </c:pt>
                <c:pt idx="95">
                  <c:v>6/2016</c:v>
                </c:pt>
                <c:pt idx="96">
                  <c:v>7/2016</c:v>
                </c:pt>
                <c:pt idx="97">
                  <c:v>9/2016</c:v>
                </c:pt>
                <c:pt idx="98">
                  <c:v>10/2016</c:v>
                </c:pt>
                <c:pt idx="99">
                  <c:v>11/2016</c:v>
                </c:pt>
                <c:pt idx="100">
                  <c:v>12/2016</c:v>
                </c:pt>
                <c:pt idx="101">
                  <c:v>4/2017</c:v>
                </c:pt>
                <c:pt idx="102">
                  <c:v>6/2017</c:v>
                </c:pt>
                <c:pt idx="103">
                  <c:v>7/2017</c:v>
                </c:pt>
                <c:pt idx="104">
                  <c:v>8/2017</c:v>
                </c:pt>
                <c:pt idx="105">
                  <c:v>10/2017</c:v>
                </c:pt>
                <c:pt idx="106">
                  <c:v>11/2017</c:v>
                </c:pt>
                <c:pt idx="107">
                  <c:v>12/2017</c:v>
                </c:pt>
                <c:pt idx="108">
                  <c:v>1/2018</c:v>
                </c:pt>
                <c:pt idx="109">
                  <c:v>2/2018</c:v>
                </c:pt>
                <c:pt idx="110">
                  <c:v>3/2018</c:v>
                </c:pt>
                <c:pt idx="111">
                  <c:v>4/2018</c:v>
                </c:pt>
                <c:pt idx="112">
                  <c:v>5/2018</c:v>
                </c:pt>
                <c:pt idx="113">
                  <c:v>6/2018</c:v>
                </c:pt>
                <c:pt idx="114">
                  <c:v>7/2018</c:v>
                </c:pt>
                <c:pt idx="115">
                  <c:v>8/2018</c:v>
                </c:pt>
                <c:pt idx="116">
                  <c:v>9/2018</c:v>
                </c:pt>
                <c:pt idx="117">
                  <c:v>10/2018</c:v>
                </c:pt>
                <c:pt idx="118">
                  <c:v>11/2018</c:v>
                </c:pt>
                <c:pt idx="119">
                  <c:v>12/2018</c:v>
                </c:pt>
                <c:pt idx="120">
                  <c:v>1/2019</c:v>
                </c:pt>
                <c:pt idx="121">
                  <c:v>2/2019</c:v>
                </c:pt>
                <c:pt idx="122">
                  <c:v>3/2019</c:v>
                </c:pt>
                <c:pt idx="123">
                  <c:v>4/2019</c:v>
                </c:pt>
                <c:pt idx="124">
                  <c:v>5/2019</c:v>
                </c:pt>
                <c:pt idx="125">
                  <c:v>6/2019</c:v>
                </c:pt>
                <c:pt idx="126">
                  <c:v>7/2019</c:v>
                </c:pt>
                <c:pt idx="127">
                  <c:v>8/2019</c:v>
                </c:pt>
                <c:pt idx="128">
                  <c:v>9/2019</c:v>
                </c:pt>
                <c:pt idx="129">
                  <c:v>10/2019</c:v>
                </c:pt>
                <c:pt idx="130">
                  <c:v>11/2019</c:v>
                </c:pt>
                <c:pt idx="131">
                  <c:v>12/2019</c:v>
                </c:pt>
                <c:pt idx="132">
                  <c:v>1/2020</c:v>
                </c:pt>
                <c:pt idx="133">
                  <c:v>2/2020</c:v>
                </c:pt>
                <c:pt idx="134">
                  <c:v>3/2020</c:v>
                </c:pt>
                <c:pt idx="135">
                  <c:v>4/2020</c:v>
                </c:pt>
                <c:pt idx="136">
                  <c:v>5/2020</c:v>
                </c:pt>
                <c:pt idx="137">
                  <c:v>6/2020</c:v>
                </c:pt>
                <c:pt idx="138">
                  <c:v>7/2020</c:v>
                </c:pt>
                <c:pt idx="139">
                  <c:v>8/2020</c:v>
                </c:pt>
                <c:pt idx="140">
                  <c:v>9/2020</c:v>
                </c:pt>
                <c:pt idx="141">
                  <c:v>10/2020</c:v>
                </c:pt>
                <c:pt idx="142">
                  <c:v>11/2020</c:v>
                </c:pt>
                <c:pt idx="143">
                  <c:v>12/2020</c:v>
                </c:pt>
                <c:pt idx="144">
                  <c:v>2/2021</c:v>
                </c:pt>
                <c:pt idx="145">
                  <c:v>3/2021</c:v>
                </c:pt>
                <c:pt idx="146">
                  <c:v>4/2021</c:v>
                </c:pt>
                <c:pt idx="147">
                  <c:v>5/2021</c:v>
                </c:pt>
                <c:pt idx="148">
                  <c:v>6/2021</c:v>
                </c:pt>
                <c:pt idx="149">
                  <c:v>7/2021</c:v>
                </c:pt>
                <c:pt idx="150">
                  <c:v>8/2021</c:v>
                </c:pt>
                <c:pt idx="151">
                  <c:v>9/2021</c:v>
                </c:pt>
                <c:pt idx="152">
                  <c:v>10/2021</c:v>
                </c:pt>
                <c:pt idx="153">
                  <c:v>11/2021</c:v>
                </c:pt>
                <c:pt idx="154">
                  <c:v>12/2021</c:v>
                </c:pt>
                <c:pt idx="155">
                  <c:v>1/2022</c:v>
                </c:pt>
                <c:pt idx="156">
                  <c:v>2/2022</c:v>
                </c:pt>
                <c:pt idx="157">
                  <c:v>3/2022</c:v>
                </c:pt>
                <c:pt idx="158">
                  <c:v>4/2022</c:v>
                </c:pt>
                <c:pt idx="159">
                  <c:v>5/2022</c:v>
                </c:pt>
                <c:pt idx="160">
                  <c:v>6/2022</c:v>
                </c:pt>
                <c:pt idx="161">
                  <c:v>7/2022</c:v>
                </c:pt>
                <c:pt idx="162">
                  <c:v>8/2022</c:v>
                </c:pt>
                <c:pt idx="163">
                  <c:v>9/2022</c:v>
                </c:pt>
                <c:pt idx="164">
                  <c:v>10/2022</c:v>
                </c:pt>
                <c:pt idx="165">
                  <c:v>11/2022</c:v>
                </c:pt>
                <c:pt idx="166">
                  <c:v>12/2022</c:v>
                </c:pt>
                <c:pt idx="167">
                  <c:v>1/2023</c:v>
                </c:pt>
                <c:pt idx="168">
                  <c:v>2/2023</c:v>
                </c:pt>
                <c:pt idx="169">
                  <c:v>3/2023</c:v>
                </c:pt>
                <c:pt idx="170">
                  <c:v>4/2023</c:v>
                </c:pt>
                <c:pt idx="171">
                  <c:v>5/2023</c:v>
                </c:pt>
                <c:pt idx="172">
                  <c:v>6/2023</c:v>
                </c:pt>
                <c:pt idx="173">
                  <c:v>7/2023</c:v>
                </c:pt>
                <c:pt idx="174">
                  <c:v>8/2023</c:v>
                </c:pt>
                <c:pt idx="175">
                  <c:v>9/2023</c:v>
                </c:pt>
              </c:strCache>
            </c:strRef>
          </c:cat>
          <c:val>
            <c:numLit>
              <c:formatCode>General</c:formatCode>
              <c:ptCount val="170"/>
              <c:pt idx="0">
                <c:v>0.13496667000000001</c:v>
              </c:pt>
              <c:pt idx="1">
                <c:v>0.17238000000000001</c:v>
              </c:pt>
              <c:pt idx="2">
                <c:v>0.18675</c:v>
              </c:pt>
              <c:pt idx="3">
                <c:v>0.17698</c:v>
              </c:pt>
              <c:pt idx="4">
                <c:v>0.17465</c:v>
              </c:pt>
              <c:pt idx="5">
                <c:v>0.15142</c:v>
              </c:pt>
              <c:pt idx="6">
                <c:v>0.1242</c:v>
              </c:pt>
              <c:pt idx="7">
                <c:v>9.3024999999999997E-2</c:v>
              </c:pt>
              <c:pt idx="8">
                <c:v>7.6866669999999998E-2</c:v>
              </c:pt>
              <c:pt idx="9">
                <c:v>7.4925000000000005E-2</c:v>
              </c:pt>
              <c:pt idx="10">
                <c:v>7.8200000000000006E-2</c:v>
              </c:pt>
              <c:pt idx="11">
                <c:v>7.9375000000000001E-2</c:v>
              </c:pt>
              <c:pt idx="12">
                <c:v>8.0933329999999998E-2</c:v>
              </c:pt>
              <c:pt idx="13">
                <c:v>8.3449999999999996E-2</c:v>
              </c:pt>
              <c:pt idx="14">
                <c:v>8.6120000000000002E-2</c:v>
              </c:pt>
              <c:pt idx="15">
                <c:v>9.0499999999999997E-2</c:v>
              </c:pt>
              <c:pt idx="16">
                <c:v>9.325E-2</c:v>
              </c:pt>
              <c:pt idx="17">
                <c:v>9.5399999999999999E-2</c:v>
              </c:pt>
              <c:pt idx="18">
                <c:v>0.100425</c:v>
              </c:pt>
              <c:pt idx="19">
                <c:v>0.10489999999999999</c:v>
              </c:pt>
              <c:pt idx="20">
                <c:v>0.10489999999999999</c:v>
              </c:pt>
              <c:pt idx="21">
                <c:v>0.10489999999999999</c:v>
              </c:pt>
              <c:pt idx="22">
                <c:v>0.10489999999999999</c:v>
              </c:pt>
              <c:pt idx="23">
                <c:v>0.11298</c:v>
              </c:pt>
              <c:pt idx="24">
                <c:v>0.115</c:v>
              </c:pt>
              <c:pt idx="25">
                <c:v>0.115</c:v>
              </c:pt>
              <c:pt idx="26">
                <c:v>0.112</c:v>
              </c:pt>
              <c:pt idx="27">
                <c:v>0.112</c:v>
              </c:pt>
              <c:pt idx="28">
                <c:v>0.112</c:v>
              </c:pt>
              <c:pt idx="29">
                <c:v>0.1108</c:v>
              </c:pt>
              <c:pt idx="30">
                <c:v>0.12</c:v>
              </c:pt>
              <c:pt idx="31">
                <c:v>0.13750000000000001</c:v>
              </c:pt>
              <c:pt idx="32">
                <c:v>0.14000000000000001</c:v>
              </c:pt>
              <c:pt idx="33">
                <c:v>0.14000000000000001</c:v>
              </c:pt>
              <c:pt idx="34">
                <c:v>0.14000000000000001</c:v>
              </c:pt>
              <c:pt idx="35">
                <c:v>0.14000000000000001</c:v>
              </c:pt>
              <c:pt idx="36">
                <c:v>0.14000000000000001</c:v>
              </c:pt>
              <c:pt idx="37">
                <c:v>0.14000000000000001</c:v>
              </c:pt>
              <c:pt idx="38">
                <c:v>0.14000000000000001</c:v>
              </c:pt>
              <c:pt idx="39">
                <c:v>0.14000000000000001</c:v>
              </c:pt>
              <c:pt idx="40">
                <c:v>0.14000000000000001</c:v>
              </c:pt>
              <c:pt idx="41">
                <c:v>0.14000000000000001</c:v>
              </c:pt>
              <c:pt idx="42">
                <c:v>0.14000000000000001</c:v>
              </c:pt>
              <c:pt idx="43">
                <c:v>0.14000000000000001</c:v>
              </c:pt>
              <c:pt idx="44">
                <c:v>0.14000000000000001</c:v>
              </c:pt>
              <c:pt idx="45">
                <c:v>0.14000000000000001</c:v>
              </c:pt>
              <c:pt idx="46">
                <c:v>0.13</c:v>
              </c:pt>
              <c:pt idx="47">
                <c:v>0.1225</c:v>
              </c:pt>
              <c:pt idx="48">
                <c:v>0.11799999999999999</c:v>
              </c:pt>
              <c:pt idx="49">
                <c:v>0.115</c:v>
              </c:pt>
              <c:pt idx="50">
                <c:v>0.12</c:v>
              </c:pt>
              <c:pt idx="51">
                <c:v>0.12</c:v>
              </c:pt>
              <c:pt idx="52">
                <c:v>0.12333333</c:v>
              </c:pt>
              <c:pt idx="53">
                <c:v>0.13</c:v>
              </c:pt>
              <c:pt idx="54">
                <c:v>0.1225</c:v>
              </c:pt>
              <c:pt idx="55">
                <c:v>0.11749999999999999</c:v>
              </c:pt>
              <c:pt idx="56">
                <c:v>0.12</c:v>
              </c:pt>
              <c:pt idx="57">
                <c:v>0.12</c:v>
              </c:pt>
              <c:pt idx="58">
                <c:v>0.112</c:v>
              </c:pt>
              <c:pt idx="59">
                <c:v>0.105</c:v>
              </c:pt>
              <c:pt idx="60">
                <c:v>0.11</c:v>
              </c:pt>
              <c:pt idx="61">
                <c:v>0.1</c:v>
              </c:pt>
              <c:pt idx="62">
                <c:v>0.09</c:v>
              </c:pt>
              <c:pt idx="63">
                <c:v>0.09</c:v>
              </c:pt>
              <c:pt idx="64">
                <c:v>0.09</c:v>
              </c:pt>
              <c:pt idx="65">
                <c:v>0.09</c:v>
              </c:pt>
              <c:pt idx="66">
                <c:v>8.6249999999999993E-2</c:v>
              </c:pt>
              <c:pt idx="67">
                <c:v>8.5000000000000006E-2</c:v>
              </c:pt>
              <c:pt idx="68">
                <c:v>8.5000000000000006E-2</c:v>
              </c:pt>
              <c:pt idx="69">
                <c:v>8.5000000000000006E-2</c:v>
              </c:pt>
              <c:pt idx="70">
                <c:v>8.4199999999999997E-2</c:v>
              </c:pt>
              <c:pt idx="71">
                <c:v>8.3000000000000004E-2</c:v>
              </c:pt>
              <c:pt idx="72">
                <c:v>8.3000000000000004E-2</c:v>
              </c:pt>
              <c:pt idx="73">
                <c:v>8.3000000000000004E-2</c:v>
              </c:pt>
              <c:pt idx="74">
                <c:v>8.3000000000000004E-2</c:v>
              </c:pt>
              <c:pt idx="75">
                <c:v>0.08</c:v>
              </c:pt>
              <c:pt idx="76">
                <c:v>7.825E-2</c:v>
              </c:pt>
              <c:pt idx="77">
                <c:v>7.4999999999999997E-2</c:v>
              </c:pt>
              <c:pt idx="78">
                <c:v>7.4999999999999997E-2</c:v>
              </c:pt>
              <c:pt idx="79">
                <c:v>7.4999999999999997E-2</c:v>
              </c:pt>
              <c:pt idx="80">
                <c:v>7.2999999999999995E-2</c:v>
              </c:pt>
              <c:pt idx="81">
                <c:v>7.1999999999999995E-2</c:v>
              </c:pt>
              <c:pt idx="82">
                <c:v>7.1999999999999995E-2</c:v>
              </c:pt>
              <c:pt idx="83">
                <c:v>7.1999999999999995E-2</c:v>
              </c:pt>
              <c:pt idx="84">
                <c:v>7.1999999999999995E-2</c:v>
              </c:pt>
              <c:pt idx="85">
                <c:v>7.1999999999999995E-2</c:v>
              </c:pt>
              <c:pt idx="86">
                <c:v>7.1999999999999995E-2</c:v>
              </c:pt>
              <c:pt idx="87">
                <c:v>7.1999999999999995E-2</c:v>
              </c:pt>
              <c:pt idx="88">
                <c:v>7.1999999999999995E-2</c:v>
              </c:pt>
              <c:pt idx="89">
                <c:v>7.1999999999999995E-2</c:v>
              </c:pt>
              <c:pt idx="90">
                <c:v>7.1999999999999995E-2</c:v>
              </c:pt>
              <c:pt idx="91">
                <c:v>7.1999999999999995E-2</c:v>
              </c:pt>
              <c:pt idx="92">
                <c:v>7.1999999999999995E-2</c:v>
              </c:pt>
              <c:pt idx="93">
                <c:v>7.1999999999999995E-2</c:v>
              </c:pt>
              <c:pt idx="94">
                <c:v>7.1999999999999995E-2</c:v>
              </c:pt>
              <c:pt idx="95">
                <c:v>7.1999999999999995E-2</c:v>
              </c:pt>
              <c:pt idx="96">
                <c:v>7.1999999999999995E-2</c:v>
              </c:pt>
              <c:pt idx="97">
                <c:v>7.1999999999999995E-2</c:v>
              </c:pt>
              <c:pt idx="98">
                <c:v>7.1999999999999995E-2</c:v>
              </c:pt>
              <c:pt idx="99">
                <c:v>7.1999999999999995E-2</c:v>
              </c:pt>
              <c:pt idx="100">
                <c:v>7.1999999999999995E-2</c:v>
              </c:pt>
              <c:pt idx="101">
                <c:v>7.1999999999999995E-2</c:v>
              </c:pt>
              <c:pt idx="102">
                <c:v>7.1999999999999995E-2</c:v>
              </c:pt>
              <c:pt idx="103">
                <c:v>7.1999999999999995E-2</c:v>
              </c:pt>
              <c:pt idx="104">
                <c:v>7.1999999999999995E-2</c:v>
              </c:pt>
              <c:pt idx="105">
                <c:v>7.1999999999999995E-2</c:v>
              </c:pt>
              <c:pt idx="106">
                <c:v>7.2249999999999995E-2</c:v>
              </c:pt>
              <c:pt idx="107">
                <c:v>7.2999999999999995E-2</c:v>
              </c:pt>
              <c:pt idx="108">
                <c:v>7.2999999999999995E-2</c:v>
              </c:pt>
              <c:pt idx="109">
                <c:v>7.2999999999999995E-2</c:v>
              </c:pt>
              <c:pt idx="110">
                <c:v>7.2999999999999995E-2</c:v>
              </c:pt>
              <c:pt idx="111">
                <c:v>7.2999999999999995E-2</c:v>
              </c:pt>
              <c:pt idx="112">
                <c:v>7.2999999999999995E-2</c:v>
              </c:pt>
              <c:pt idx="113">
                <c:v>7.2999999999999995E-2</c:v>
              </c:pt>
              <c:pt idx="114">
                <c:v>7.2999999999999995E-2</c:v>
              </c:pt>
              <c:pt idx="115">
                <c:v>7.2999999999999995E-2</c:v>
              </c:pt>
              <c:pt idx="116">
                <c:v>7.2999999999999995E-2</c:v>
              </c:pt>
              <c:pt idx="117">
                <c:v>7.2999999999999995E-2</c:v>
              </c:pt>
              <c:pt idx="118">
                <c:v>7.2999999999999995E-2</c:v>
              </c:pt>
              <c:pt idx="119">
                <c:v>7.2999999999999995E-2</c:v>
              </c:pt>
              <c:pt idx="120">
                <c:v>7.2999999999999995E-2</c:v>
              </c:pt>
              <c:pt idx="121">
                <c:v>7.2999999999999995E-2</c:v>
              </c:pt>
              <c:pt idx="122">
                <c:v>7.2999999999999995E-2</c:v>
              </c:pt>
              <c:pt idx="123">
                <c:v>7.2999999999999995E-2</c:v>
              </c:pt>
              <c:pt idx="124">
                <c:v>7.2999999999999995E-2</c:v>
              </c:pt>
              <c:pt idx="125">
                <c:v>7.2999999999999995E-2</c:v>
              </c:pt>
              <c:pt idx="126">
                <c:v>7.3800000000000004E-2</c:v>
              </c:pt>
              <c:pt idx="127">
                <c:v>7.4999999999999997E-2</c:v>
              </c:pt>
              <c:pt idx="128">
                <c:v>7.4999999999999997E-2</c:v>
              </c:pt>
              <c:pt idx="129">
                <c:v>7.4999999999999997E-2</c:v>
              </c:pt>
              <c:pt idx="130">
                <c:v>7.4999999999999997E-2</c:v>
              </c:pt>
              <c:pt idx="131">
                <c:v>7.4999999999999997E-2</c:v>
              </c:pt>
              <c:pt idx="132">
                <c:v>7.4999999999999997E-2</c:v>
              </c:pt>
              <c:pt idx="133">
                <c:v>7.4999999999999997E-2</c:v>
              </c:pt>
              <c:pt idx="134">
                <c:v>7.4399999999999994E-2</c:v>
              </c:pt>
              <c:pt idx="135">
                <c:v>7.3999999999999996E-2</c:v>
              </c:pt>
              <c:pt idx="136">
                <c:v>7.3999999999999996E-2</c:v>
              </c:pt>
              <c:pt idx="137">
                <c:v>7.3599999999999999E-2</c:v>
              </c:pt>
              <c:pt idx="138">
                <c:v>7.2999999999999995E-2</c:v>
              </c:pt>
              <c:pt idx="139">
                <c:v>7.1999999999999995E-2</c:v>
              </c:pt>
              <c:pt idx="140">
                <c:v>7.0749999999999993E-2</c:v>
              </c:pt>
              <c:pt idx="141">
                <c:v>7.0000000000000007E-2</c:v>
              </c:pt>
              <c:pt idx="142">
                <c:v>6.9000000000000006E-2</c:v>
              </c:pt>
              <c:pt idx="143">
                <c:v>6.8000000000000005E-2</c:v>
              </c:pt>
              <c:pt idx="144">
                <c:v>6.7000000000000004E-2</c:v>
              </c:pt>
              <c:pt idx="145">
                <c:v>6.7000000000000004E-2</c:v>
              </c:pt>
              <c:pt idx="146">
                <c:v>6.7000000000000004E-2</c:v>
              </c:pt>
              <c:pt idx="147">
                <c:v>6.7000000000000004E-2</c:v>
              </c:pt>
              <c:pt idx="148">
                <c:v>6.7000000000000004E-2</c:v>
              </c:pt>
              <c:pt idx="149">
                <c:v>6.8000000000000005E-2</c:v>
              </c:pt>
              <c:pt idx="150">
                <c:v>6.8000000000000005E-2</c:v>
              </c:pt>
              <c:pt idx="151">
                <c:v>6.7000000000000004E-2</c:v>
              </c:pt>
              <c:pt idx="152">
                <c:v>6.6000000000000003E-2</c:v>
              </c:pt>
              <c:pt idx="153">
                <c:v>6.5000000000000002E-2</c:v>
              </c:pt>
              <c:pt idx="154">
                <c:v>6.5000000000000002E-2</c:v>
              </c:pt>
              <c:pt idx="155">
                <c:v>6.5000000000000002E-2</c:v>
              </c:pt>
              <c:pt idx="156">
                <c:v>6.5000000000000002E-2</c:v>
              </c:pt>
              <c:pt idx="157">
                <c:v>6.4000000000000001E-2</c:v>
              </c:pt>
              <c:pt idx="158">
                <c:v>6.5000000000000002E-2</c:v>
              </c:pt>
              <c:pt idx="159">
                <c:v>6.5000000000000002E-2</c:v>
              </c:pt>
              <c:pt idx="160">
                <c:v>6.6000000000000003E-2</c:v>
              </c:pt>
              <c:pt idx="161">
                <c:v>6.6000000000000003E-2</c:v>
              </c:pt>
              <c:pt idx="162">
                <c:v>6.6000000000000003E-2</c:v>
              </c:pt>
              <c:pt idx="163">
                <c:v>6.7000000000000004E-2</c:v>
              </c:pt>
              <c:pt idx="164">
                <c:v>6.8000000000000005E-2</c:v>
              </c:pt>
              <c:pt idx="165">
                <c:v>7.0000000000000007E-2</c:v>
              </c:pt>
              <c:pt idx="166">
                <c:v>7.3999999999999996E-2</c:v>
              </c:pt>
              <c:pt idx="167">
                <c:v>7.5999999999999998E-2</c:v>
              </c:pt>
              <c:pt idx="168">
                <c:v>7.6999999999999999E-2</c:v>
              </c:pt>
              <c:pt idx="169">
                <c:v>7.9000000000000001E-2</c:v>
              </c:pt>
            </c:numLit>
          </c:val>
          <c:smooth val="0"/>
          <c:extLst>
            <c:ext xmlns:c16="http://schemas.microsoft.com/office/drawing/2014/chart" uri="{C3380CC4-5D6E-409C-BE32-E72D297353CC}">
              <c16:uniqueId val="{00000002-2EDC-4E40-9BC9-3991B64AA958}"/>
            </c:ext>
          </c:extLst>
        </c:ser>
        <c:ser>
          <c:idx val="0"/>
          <c:order val="0"/>
          <c:tx>
            <c:strRef>
              <c:f>'LS T3.23'!$A$7</c:f>
              <c:strCache>
                <c:ptCount val="1"/>
                <c:pt idx="0">
                  <c:v>Lãi suất huy động bình quân 12T (%)</c:v>
                </c:pt>
              </c:strCache>
            </c:strRef>
          </c:tx>
          <c:spPr>
            <a:ln w="28575" cap="rnd">
              <a:solidFill>
                <a:schemeClr val="accent1"/>
              </a:solidFill>
              <a:round/>
            </a:ln>
            <a:effectLst/>
          </c:spPr>
          <c:marker>
            <c:symbol val="none"/>
          </c:marker>
          <c:cat>
            <c:strRef>
              <c:f>'LS T3.23'!$B$5:$FU$5</c:f>
              <c:strCache>
                <c:ptCount val="176"/>
                <c:pt idx="0">
                  <c:v>5/2008</c:v>
                </c:pt>
                <c:pt idx="1">
                  <c:v>6/2008</c:v>
                </c:pt>
                <c:pt idx="2">
                  <c:v>7/2008</c:v>
                </c:pt>
                <c:pt idx="3">
                  <c:v>8/2008</c:v>
                </c:pt>
                <c:pt idx="4">
                  <c:v>9/2008</c:v>
                </c:pt>
                <c:pt idx="5">
                  <c:v>10/2008</c:v>
                </c:pt>
                <c:pt idx="6">
                  <c:v>11/2008</c:v>
                </c:pt>
                <c:pt idx="7">
                  <c:v>12/2008</c:v>
                </c:pt>
                <c:pt idx="8">
                  <c:v>1/2009</c:v>
                </c:pt>
                <c:pt idx="9">
                  <c:v>2/2009</c:v>
                </c:pt>
                <c:pt idx="10">
                  <c:v>3/2009</c:v>
                </c:pt>
                <c:pt idx="11">
                  <c:v>4/2009</c:v>
                </c:pt>
                <c:pt idx="12">
                  <c:v>5/2009</c:v>
                </c:pt>
                <c:pt idx="13">
                  <c:v>6/2009</c:v>
                </c:pt>
                <c:pt idx="14">
                  <c:v>7/2009</c:v>
                </c:pt>
                <c:pt idx="15">
                  <c:v>8/2009</c:v>
                </c:pt>
                <c:pt idx="16">
                  <c:v>9/2009</c:v>
                </c:pt>
                <c:pt idx="17">
                  <c:v>10/2009</c:v>
                </c:pt>
                <c:pt idx="18">
                  <c:v>11/2009</c:v>
                </c:pt>
                <c:pt idx="19">
                  <c:v>12/2009</c:v>
                </c:pt>
                <c:pt idx="20">
                  <c:v>1/2010</c:v>
                </c:pt>
                <c:pt idx="21">
                  <c:v>2/2010</c:v>
                </c:pt>
                <c:pt idx="22">
                  <c:v>3/2010</c:v>
                </c:pt>
                <c:pt idx="23">
                  <c:v>4/2010</c:v>
                </c:pt>
                <c:pt idx="24">
                  <c:v>5/2010</c:v>
                </c:pt>
                <c:pt idx="25">
                  <c:v>6/2010</c:v>
                </c:pt>
                <c:pt idx="26">
                  <c:v>7/2010</c:v>
                </c:pt>
                <c:pt idx="27">
                  <c:v>8/2010</c:v>
                </c:pt>
                <c:pt idx="28">
                  <c:v>9/2010</c:v>
                </c:pt>
                <c:pt idx="29">
                  <c:v>10/2010</c:v>
                </c:pt>
                <c:pt idx="30">
                  <c:v>11/2010</c:v>
                </c:pt>
                <c:pt idx="31">
                  <c:v>12/2010</c:v>
                </c:pt>
                <c:pt idx="32">
                  <c:v>1/2011</c:v>
                </c:pt>
                <c:pt idx="33">
                  <c:v>2/2011</c:v>
                </c:pt>
                <c:pt idx="34">
                  <c:v>3/2011</c:v>
                </c:pt>
                <c:pt idx="35">
                  <c:v>4/2011</c:v>
                </c:pt>
                <c:pt idx="36">
                  <c:v>5/2011</c:v>
                </c:pt>
                <c:pt idx="37">
                  <c:v>6/2011</c:v>
                </c:pt>
                <c:pt idx="38">
                  <c:v>7/2011</c:v>
                </c:pt>
                <c:pt idx="39">
                  <c:v>8/2011</c:v>
                </c:pt>
                <c:pt idx="40">
                  <c:v>9/2011</c:v>
                </c:pt>
                <c:pt idx="41">
                  <c:v>10/2011</c:v>
                </c:pt>
                <c:pt idx="42">
                  <c:v>11/2011</c:v>
                </c:pt>
                <c:pt idx="43">
                  <c:v>12/2011</c:v>
                </c:pt>
                <c:pt idx="44">
                  <c:v>1/2012</c:v>
                </c:pt>
                <c:pt idx="45">
                  <c:v>2/2012</c:v>
                </c:pt>
                <c:pt idx="46">
                  <c:v>3/2012</c:v>
                </c:pt>
                <c:pt idx="47">
                  <c:v>4/2012</c:v>
                </c:pt>
                <c:pt idx="48">
                  <c:v>5/2012</c:v>
                </c:pt>
                <c:pt idx="49">
                  <c:v>6/2012</c:v>
                </c:pt>
                <c:pt idx="50">
                  <c:v>7/2012</c:v>
                </c:pt>
                <c:pt idx="51">
                  <c:v>8/2012</c:v>
                </c:pt>
                <c:pt idx="52">
                  <c:v>9/2012</c:v>
                </c:pt>
                <c:pt idx="53">
                  <c:v>10/2012</c:v>
                </c:pt>
                <c:pt idx="54">
                  <c:v>11/2012</c:v>
                </c:pt>
                <c:pt idx="55">
                  <c:v>12/2012</c:v>
                </c:pt>
                <c:pt idx="56">
                  <c:v>1/2013</c:v>
                </c:pt>
                <c:pt idx="57">
                  <c:v>2/2013</c:v>
                </c:pt>
                <c:pt idx="58">
                  <c:v>3/2013</c:v>
                </c:pt>
                <c:pt idx="59">
                  <c:v>4/2013</c:v>
                </c:pt>
                <c:pt idx="60">
                  <c:v>5/2013</c:v>
                </c:pt>
                <c:pt idx="61">
                  <c:v>6/2013</c:v>
                </c:pt>
                <c:pt idx="62">
                  <c:v>7/2013</c:v>
                </c:pt>
                <c:pt idx="63">
                  <c:v>8/2013</c:v>
                </c:pt>
                <c:pt idx="64">
                  <c:v>9/2013</c:v>
                </c:pt>
                <c:pt idx="65">
                  <c:v>10/2013</c:v>
                </c:pt>
                <c:pt idx="66">
                  <c:v>11/2013</c:v>
                </c:pt>
                <c:pt idx="67">
                  <c:v>12/2013</c:v>
                </c:pt>
                <c:pt idx="68">
                  <c:v>1/2014</c:v>
                </c:pt>
                <c:pt idx="69">
                  <c:v>2/2014</c:v>
                </c:pt>
                <c:pt idx="70">
                  <c:v>3/2014</c:v>
                </c:pt>
                <c:pt idx="71">
                  <c:v>4/2014</c:v>
                </c:pt>
                <c:pt idx="72">
                  <c:v>5/2014</c:v>
                </c:pt>
                <c:pt idx="73">
                  <c:v>6/2014</c:v>
                </c:pt>
                <c:pt idx="74">
                  <c:v>7/2014</c:v>
                </c:pt>
                <c:pt idx="75">
                  <c:v>8/2014</c:v>
                </c:pt>
                <c:pt idx="76">
                  <c:v>9/2014</c:v>
                </c:pt>
                <c:pt idx="77">
                  <c:v>10/2014</c:v>
                </c:pt>
                <c:pt idx="78">
                  <c:v>11/2014</c:v>
                </c:pt>
                <c:pt idx="79">
                  <c:v>12/2014</c:v>
                </c:pt>
                <c:pt idx="80">
                  <c:v>1/2015</c:v>
                </c:pt>
                <c:pt idx="81">
                  <c:v>3/2015</c:v>
                </c:pt>
                <c:pt idx="82">
                  <c:v>4/2015</c:v>
                </c:pt>
                <c:pt idx="83">
                  <c:v>5/2015</c:v>
                </c:pt>
                <c:pt idx="84">
                  <c:v>6/2015</c:v>
                </c:pt>
                <c:pt idx="85">
                  <c:v>7/2015</c:v>
                </c:pt>
                <c:pt idx="86">
                  <c:v>8/2015</c:v>
                </c:pt>
                <c:pt idx="87">
                  <c:v>9/2015</c:v>
                </c:pt>
                <c:pt idx="88">
                  <c:v>10/2015</c:v>
                </c:pt>
                <c:pt idx="89">
                  <c:v>11/2015</c:v>
                </c:pt>
                <c:pt idx="90">
                  <c:v>12/2015</c:v>
                </c:pt>
                <c:pt idx="91">
                  <c:v>1/2016</c:v>
                </c:pt>
                <c:pt idx="92">
                  <c:v>3/2016</c:v>
                </c:pt>
                <c:pt idx="93">
                  <c:v>4/2016</c:v>
                </c:pt>
                <c:pt idx="94">
                  <c:v>5/2016</c:v>
                </c:pt>
                <c:pt idx="95">
                  <c:v>6/2016</c:v>
                </c:pt>
                <c:pt idx="96">
                  <c:v>7/2016</c:v>
                </c:pt>
                <c:pt idx="97">
                  <c:v>9/2016</c:v>
                </c:pt>
                <c:pt idx="98">
                  <c:v>10/2016</c:v>
                </c:pt>
                <c:pt idx="99">
                  <c:v>11/2016</c:v>
                </c:pt>
                <c:pt idx="100">
                  <c:v>12/2016</c:v>
                </c:pt>
                <c:pt idx="101">
                  <c:v>4/2017</c:v>
                </c:pt>
                <c:pt idx="102">
                  <c:v>6/2017</c:v>
                </c:pt>
                <c:pt idx="103">
                  <c:v>7/2017</c:v>
                </c:pt>
                <c:pt idx="104">
                  <c:v>8/2017</c:v>
                </c:pt>
                <c:pt idx="105">
                  <c:v>10/2017</c:v>
                </c:pt>
                <c:pt idx="106">
                  <c:v>11/2017</c:v>
                </c:pt>
                <c:pt idx="107">
                  <c:v>12/2017</c:v>
                </c:pt>
                <c:pt idx="108">
                  <c:v>1/2018</c:v>
                </c:pt>
                <c:pt idx="109">
                  <c:v>2/2018</c:v>
                </c:pt>
                <c:pt idx="110">
                  <c:v>3/2018</c:v>
                </c:pt>
                <c:pt idx="111">
                  <c:v>4/2018</c:v>
                </c:pt>
                <c:pt idx="112">
                  <c:v>5/2018</c:v>
                </c:pt>
                <c:pt idx="113">
                  <c:v>6/2018</c:v>
                </c:pt>
                <c:pt idx="114">
                  <c:v>7/2018</c:v>
                </c:pt>
                <c:pt idx="115">
                  <c:v>8/2018</c:v>
                </c:pt>
                <c:pt idx="116">
                  <c:v>9/2018</c:v>
                </c:pt>
                <c:pt idx="117">
                  <c:v>10/2018</c:v>
                </c:pt>
                <c:pt idx="118">
                  <c:v>11/2018</c:v>
                </c:pt>
                <c:pt idx="119">
                  <c:v>12/2018</c:v>
                </c:pt>
                <c:pt idx="120">
                  <c:v>1/2019</c:v>
                </c:pt>
                <c:pt idx="121">
                  <c:v>2/2019</c:v>
                </c:pt>
                <c:pt idx="122">
                  <c:v>3/2019</c:v>
                </c:pt>
                <c:pt idx="123">
                  <c:v>4/2019</c:v>
                </c:pt>
                <c:pt idx="124">
                  <c:v>5/2019</c:v>
                </c:pt>
                <c:pt idx="125">
                  <c:v>6/2019</c:v>
                </c:pt>
                <c:pt idx="126">
                  <c:v>7/2019</c:v>
                </c:pt>
                <c:pt idx="127">
                  <c:v>8/2019</c:v>
                </c:pt>
                <c:pt idx="128">
                  <c:v>9/2019</c:v>
                </c:pt>
                <c:pt idx="129">
                  <c:v>10/2019</c:v>
                </c:pt>
                <c:pt idx="130">
                  <c:v>11/2019</c:v>
                </c:pt>
                <c:pt idx="131">
                  <c:v>12/2019</c:v>
                </c:pt>
                <c:pt idx="132">
                  <c:v>1/2020</c:v>
                </c:pt>
                <c:pt idx="133">
                  <c:v>2/2020</c:v>
                </c:pt>
                <c:pt idx="134">
                  <c:v>3/2020</c:v>
                </c:pt>
                <c:pt idx="135">
                  <c:v>4/2020</c:v>
                </c:pt>
                <c:pt idx="136">
                  <c:v>5/2020</c:v>
                </c:pt>
                <c:pt idx="137">
                  <c:v>6/2020</c:v>
                </c:pt>
                <c:pt idx="138">
                  <c:v>7/2020</c:v>
                </c:pt>
                <c:pt idx="139">
                  <c:v>8/2020</c:v>
                </c:pt>
                <c:pt idx="140">
                  <c:v>9/2020</c:v>
                </c:pt>
                <c:pt idx="141">
                  <c:v>10/2020</c:v>
                </c:pt>
                <c:pt idx="142">
                  <c:v>11/2020</c:v>
                </c:pt>
                <c:pt idx="143">
                  <c:v>12/2020</c:v>
                </c:pt>
                <c:pt idx="144">
                  <c:v>2/2021</c:v>
                </c:pt>
                <c:pt idx="145">
                  <c:v>3/2021</c:v>
                </c:pt>
                <c:pt idx="146">
                  <c:v>4/2021</c:v>
                </c:pt>
                <c:pt idx="147">
                  <c:v>5/2021</c:v>
                </c:pt>
                <c:pt idx="148">
                  <c:v>6/2021</c:v>
                </c:pt>
                <c:pt idx="149">
                  <c:v>7/2021</c:v>
                </c:pt>
                <c:pt idx="150">
                  <c:v>8/2021</c:v>
                </c:pt>
                <c:pt idx="151">
                  <c:v>9/2021</c:v>
                </c:pt>
                <c:pt idx="152">
                  <c:v>10/2021</c:v>
                </c:pt>
                <c:pt idx="153">
                  <c:v>11/2021</c:v>
                </c:pt>
                <c:pt idx="154">
                  <c:v>12/2021</c:v>
                </c:pt>
                <c:pt idx="155">
                  <c:v>1/2022</c:v>
                </c:pt>
                <c:pt idx="156">
                  <c:v>2/2022</c:v>
                </c:pt>
                <c:pt idx="157">
                  <c:v>3/2022</c:v>
                </c:pt>
                <c:pt idx="158">
                  <c:v>4/2022</c:v>
                </c:pt>
                <c:pt idx="159">
                  <c:v>5/2022</c:v>
                </c:pt>
                <c:pt idx="160">
                  <c:v>6/2022</c:v>
                </c:pt>
                <c:pt idx="161">
                  <c:v>7/2022</c:v>
                </c:pt>
                <c:pt idx="162">
                  <c:v>8/2022</c:v>
                </c:pt>
                <c:pt idx="163">
                  <c:v>9/2022</c:v>
                </c:pt>
                <c:pt idx="164">
                  <c:v>10/2022</c:v>
                </c:pt>
                <c:pt idx="165">
                  <c:v>11/2022</c:v>
                </c:pt>
                <c:pt idx="166">
                  <c:v>12/2022</c:v>
                </c:pt>
                <c:pt idx="167">
                  <c:v>1/2023</c:v>
                </c:pt>
                <c:pt idx="168">
                  <c:v>2/2023</c:v>
                </c:pt>
                <c:pt idx="169">
                  <c:v>3/2023</c:v>
                </c:pt>
                <c:pt idx="170">
                  <c:v>4/2023</c:v>
                </c:pt>
                <c:pt idx="171">
                  <c:v>5/2023</c:v>
                </c:pt>
                <c:pt idx="172">
                  <c:v>6/2023</c:v>
                </c:pt>
                <c:pt idx="173">
                  <c:v>7/2023</c:v>
                </c:pt>
                <c:pt idx="174">
                  <c:v>8/2023</c:v>
                </c:pt>
                <c:pt idx="175">
                  <c:v>9/2023</c:v>
                </c:pt>
              </c:strCache>
            </c:strRef>
          </c:cat>
          <c:val>
            <c:numRef>
              <c:f>'LS T3.23'!$B$7:$FU$7</c:f>
              <c:numCache>
                <c:formatCode>General</c:formatCode>
                <c:ptCount val="176"/>
                <c:pt idx="132" formatCode="0.00%">
                  <c:v>7.0500000000000007E-2</c:v>
                </c:pt>
                <c:pt idx="133" formatCode="0.00%">
                  <c:v>7.0500000000000007E-2</c:v>
                </c:pt>
                <c:pt idx="134" formatCode="0.00%">
                  <c:v>7.0199999999999999E-2</c:v>
                </c:pt>
                <c:pt idx="135" formatCode="0.00%">
                  <c:v>7.0000000000000007E-2</c:v>
                </c:pt>
                <c:pt idx="136" formatCode="0.00%">
                  <c:v>7.0000000000000007E-2</c:v>
                </c:pt>
                <c:pt idx="137" formatCode="0.00%">
                  <c:v>6.93E-2</c:v>
                </c:pt>
                <c:pt idx="138" formatCode="0.00%">
                  <c:v>6.6500000000000004E-2</c:v>
                </c:pt>
                <c:pt idx="139" formatCode="0.00%">
                  <c:v>6.6000000000000003E-2</c:v>
                </c:pt>
                <c:pt idx="140" formatCode="0.00%">
                  <c:v>6.5374999999999989E-2</c:v>
                </c:pt>
                <c:pt idx="141" formatCode="0.00%">
                  <c:v>6.5000000000000002E-2</c:v>
                </c:pt>
                <c:pt idx="142" formatCode="0.00%">
                  <c:v>6.3500000000000001E-2</c:v>
                </c:pt>
                <c:pt idx="143" formatCode="0.00%">
                  <c:v>6.2E-2</c:v>
                </c:pt>
                <c:pt idx="144" formatCode="0.00%">
                  <c:v>6.1499999999999999E-2</c:v>
                </c:pt>
                <c:pt idx="145" formatCode="0.00%">
                  <c:v>6.1499999999999999E-2</c:v>
                </c:pt>
                <c:pt idx="146" formatCode="0.00%">
                  <c:v>6.1499999999999999E-2</c:v>
                </c:pt>
                <c:pt idx="147" formatCode="0.00%">
                  <c:v>6.1499999999999999E-2</c:v>
                </c:pt>
                <c:pt idx="148" formatCode="0.00%">
                  <c:v>6.1499999999999999E-2</c:v>
                </c:pt>
                <c:pt idx="149" formatCode="0.00%">
                  <c:v>6.0999999999999999E-2</c:v>
                </c:pt>
                <c:pt idx="150" formatCode="0.00%">
                  <c:v>6.1499999999999999E-2</c:v>
                </c:pt>
                <c:pt idx="151" formatCode="0.00%">
                  <c:v>6.0499999999999998E-2</c:v>
                </c:pt>
                <c:pt idx="152" formatCode="0.00%">
                  <c:v>6.0499999999999998E-2</c:v>
                </c:pt>
                <c:pt idx="153" formatCode="0.00%">
                  <c:v>5.9499999999999997E-2</c:v>
                </c:pt>
                <c:pt idx="154" formatCode="0.00%">
                  <c:v>5.8999999999999997E-2</c:v>
                </c:pt>
                <c:pt idx="155" formatCode="0.00%">
                  <c:v>5.9499999999999997E-2</c:v>
                </c:pt>
                <c:pt idx="156" formatCode="0.00%">
                  <c:v>5.8999999999999997E-2</c:v>
                </c:pt>
                <c:pt idx="157" formatCode="0.00%">
                  <c:v>5.8999999999999997E-2</c:v>
                </c:pt>
                <c:pt idx="158" formatCode="0.00%">
                  <c:v>0.06</c:v>
                </c:pt>
                <c:pt idx="159" formatCode="0.00%">
                  <c:v>5.9499999999999997E-2</c:v>
                </c:pt>
                <c:pt idx="160" formatCode="0.00%">
                  <c:v>0.06</c:v>
                </c:pt>
                <c:pt idx="161" formatCode="0.00%">
                  <c:v>0.06</c:v>
                </c:pt>
                <c:pt idx="162" formatCode="0.00%">
                  <c:v>6.0499999999999998E-2</c:v>
                </c:pt>
                <c:pt idx="163" formatCode="0.00%">
                  <c:v>6.0999999999999999E-2</c:v>
                </c:pt>
                <c:pt idx="164" formatCode="0.00%">
                  <c:v>6.2E-2</c:v>
                </c:pt>
                <c:pt idx="165" formatCode="0.00%">
                  <c:v>6.3500000000000001E-2</c:v>
                </c:pt>
                <c:pt idx="166" formatCode="0.00%">
                  <c:v>6.7000000000000004E-2</c:v>
                </c:pt>
                <c:pt idx="167" formatCode="0.00%">
                  <c:v>6.9000000000000006E-2</c:v>
                </c:pt>
                <c:pt idx="168" formatCode="0.00%">
                  <c:v>7.0500000000000007E-2</c:v>
                </c:pt>
                <c:pt idx="169" formatCode="0.00%">
                  <c:v>7.3000000000000009E-2</c:v>
                </c:pt>
              </c:numCache>
            </c:numRef>
          </c:val>
          <c:smooth val="0"/>
          <c:extLst>
            <c:ext xmlns:c16="http://schemas.microsoft.com/office/drawing/2014/chart" uri="{C3380CC4-5D6E-409C-BE32-E72D297353CC}">
              <c16:uniqueId val="{00000003-2EDC-4E40-9BC9-3991B64AA958}"/>
            </c:ext>
          </c:extLst>
        </c:ser>
        <c:ser>
          <c:idx val="4"/>
          <c:order val="4"/>
          <c:tx>
            <c:strRef>
              <c:f>'LS T3.23'!$A$11</c:f>
              <c:strCache>
                <c:ptCount val="1"/>
                <c:pt idx="0">
                  <c:v>Lãi suất cho vay trung vài dài hạn bình quân (%)</c:v>
                </c:pt>
              </c:strCache>
            </c:strRef>
          </c:tx>
          <c:spPr>
            <a:ln w="28575" cap="rnd">
              <a:solidFill>
                <a:schemeClr val="accent5"/>
              </a:solidFill>
              <a:round/>
            </a:ln>
            <a:effectLst/>
          </c:spPr>
          <c:marker>
            <c:symbol val="none"/>
          </c:marker>
          <c:cat>
            <c:strRef>
              <c:f>'LS T3.23'!$B$5:$FU$5</c:f>
              <c:strCache>
                <c:ptCount val="176"/>
                <c:pt idx="0">
                  <c:v>5/2008</c:v>
                </c:pt>
                <c:pt idx="1">
                  <c:v>6/2008</c:v>
                </c:pt>
                <c:pt idx="2">
                  <c:v>7/2008</c:v>
                </c:pt>
                <c:pt idx="3">
                  <c:v>8/2008</c:v>
                </c:pt>
                <c:pt idx="4">
                  <c:v>9/2008</c:v>
                </c:pt>
                <c:pt idx="5">
                  <c:v>10/2008</c:v>
                </c:pt>
                <c:pt idx="6">
                  <c:v>11/2008</c:v>
                </c:pt>
                <c:pt idx="7">
                  <c:v>12/2008</c:v>
                </c:pt>
                <c:pt idx="8">
                  <c:v>1/2009</c:v>
                </c:pt>
                <c:pt idx="9">
                  <c:v>2/2009</c:v>
                </c:pt>
                <c:pt idx="10">
                  <c:v>3/2009</c:v>
                </c:pt>
                <c:pt idx="11">
                  <c:v>4/2009</c:v>
                </c:pt>
                <c:pt idx="12">
                  <c:v>5/2009</c:v>
                </c:pt>
                <c:pt idx="13">
                  <c:v>6/2009</c:v>
                </c:pt>
                <c:pt idx="14">
                  <c:v>7/2009</c:v>
                </c:pt>
                <c:pt idx="15">
                  <c:v>8/2009</c:v>
                </c:pt>
                <c:pt idx="16">
                  <c:v>9/2009</c:v>
                </c:pt>
                <c:pt idx="17">
                  <c:v>10/2009</c:v>
                </c:pt>
                <c:pt idx="18">
                  <c:v>11/2009</c:v>
                </c:pt>
                <c:pt idx="19">
                  <c:v>12/2009</c:v>
                </c:pt>
                <c:pt idx="20">
                  <c:v>1/2010</c:v>
                </c:pt>
                <c:pt idx="21">
                  <c:v>2/2010</c:v>
                </c:pt>
                <c:pt idx="22">
                  <c:v>3/2010</c:v>
                </c:pt>
                <c:pt idx="23">
                  <c:v>4/2010</c:v>
                </c:pt>
                <c:pt idx="24">
                  <c:v>5/2010</c:v>
                </c:pt>
                <c:pt idx="25">
                  <c:v>6/2010</c:v>
                </c:pt>
                <c:pt idx="26">
                  <c:v>7/2010</c:v>
                </c:pt>
                <c:pt idx="27">
                  <c:v>8/2010</c:v>
                </c:pt>
                <c:pt idx="28">
                  <c:v>9/2010</c:v>
                </c:pt>
                <c:pt idx="29">
                  <c:v>10/2010</c:v>
                </c:pt>
                <c:pt idx="30">
                  <c:v>11/2010</c:v>
                </c:pt>
                <c:pt idx="31">
                  <c:v>12/2010</c:v>
                </c:pt>
                <c:pt idx="32">
                  <c:v>1/2011</c:v>
                </c:pt>
                <c:pt idx="33">
                  <c:v>2/2011</c:v>
                </c:pt>
                <c:pt idx="34">
                  <c:v>3/2011</c:v>
                </c:pt>
                <c:pt idx="35">
                  <c:v>4/2011</c:v>
                </c:pt>
                <c:pt idx="36">
                  <c:v>5/2011</c:v>
                </c:pt>
                <c:pt idx="37">
                  <c:v>6/2011</c:v>
                </c:pt>
                <c:pt idx="38">
                  <c:v>7/2011</c:v>
                </c:pt>
                <c:pt idx="39">
                  <c:v>8/2011</c:v>
                </c:pt>
                <c:pt idx="40">
                  <c:v>9/2011</c:v>
                </c:pt>
                <c:pt idx="41">
                  <c:v>10/2011</c:v>
                </c:pt>
                <c:pt idx="42">
                  <c:v>11/2011</c:v>
                </c:pt>
                <c:pt idx="43">
                  <c:v>12/2011</c:v>
                </c:pt>
                <c:pt idx="44">
                  <c:v>1/2012</c:v>
                </c:pt>
                <c:pt idx="45">
                  <c:v>2/2012</c:v>
                </c:pt>
                <c:pt idx="46">
                  <c:v>3/2012</c:v>
                </c:pt>
                <c:pt idx="47">
                  <c:v>4/2012</c:v>
                </c:pt>
                <c:pt idx="48">
                  <c:v>5/2012</c:v>
                </c:pt>
                <c:pt idx="49">
                  <c:v>6/2012</c:v>
                </c:pt>
                <c:pt idx="50">
                  <c:v>7/2012</c:v>
                </c:pt>
                <c:pt idx="51">
                  <c:v>8/2012</c:v>
                </c:pt>
                <c:pt idx="52">
                  <c:v>9/2012</c:v>
                </c:pt>
                <c:pt idx="53">
                  <c:v>10/2012</c:v>
                </c:pt>
                <c:pt idx="54">
                  <c:v>11/2012</c:v>
                </c:pt>
                <c:pt idx="55">
                  <c:v>12/2012</c:v>
                </c:pt>
                <c:pt idx="56">
                  <c:v>1/2013</c:v>
                </c:pt>
                <c:pt idx="57">
                  <c:v>2/2013</c:v>
                </c:pt>
                <c:pt idx="58">
                  <c:v>3/2013</c:v>
                </c:pt>
                <c:pt idx="59">
                  <c:v>4/2013</c:v>
                </c:pt>
                <c:pt idx="60">
                  <c:v>5/2013</c:v>
                </c:pt>
                <c:pt idx="61">
                  <c:v>6/2013</c:v>
                </c:pt>
                <c:pt idx="62">
                  <c:v>7/2013</c:v>
                </c:pt>
                <c:pt idx="63">
                  <c:v>8/2013</c:v>
                </c:pt>
                <c:pt idx="64">
                  <c:v>9/2013</c:v>
                </c:pt>
                <c:pt idx="65">
                  <c:v>10/2013</c:v>
                </c:pt>
                <c:pt idx="66">
                  <c:v>11/2013</c:v>
                </c:pt>
                <c:pt idx="67">
                  <c:v>12/2013</c:v>
                </c:pt>
                <c:pt idx="68">
                  <c:v>1/2014</c:v>
                </c:pt>
                <c:pt idx="69">
                  <c:v>2/2014</c:v>
                </c:pt>
                <c:pt idx="70">
                  <c:v>3/2014</c:v>
                </c:pt>
                <c:pt idx="71">
                  <c:v>4/2014</c:v>
                </c:pt>
                <c:pt idx="72">
                  <c:v>5/2014</c:v>
                </c:pt>
                <c:pt idx="73">
                  <c:v>6/2014</c:v>
                </c:pt>
                <c:pt idx="74">
                  <c:v>7/2014</c:v>
                </c:pt>
                <c:pt idx="75">
                  <c:v>8/2014</c:v>
                </c:pt>
                <c:pt idx="76">
                  <c:v>9/2014</c:v>
                </c:pt>
                <c:pt idx="77">
                  <c:v>10/2014</c:v>
                </c:pt>
                <c:pt idx="78">
                  <c:v>11/2014</c:v>
                </c:pt>
                <c:pt idx="79">
                  <c:v>12/2014</c:v>
                </c:pt>
                <c:pt idx="80">
                  <c:v>1/2015</c:v>
                </c:pt>
                <c:pt idx="81">
                  <c:v>3/2015</c:v>
                </c:pt>
                <c:pt idx="82">
                  <c:v>4/2015</c:v>
                </c:pt>
                <c:pt idx="83">
                  <c:v>5/2015</c:v>
                </c:pt>
                <c:pt idx="84">
                  <c:v>6/2015</c:v>
                </c:pt>
                <c:pt idx="85">
                  <c:v>7/2015</c:v>
                </c:pt>
                <c:pt idx="86">
                  <c:v>8/2015</c:v>
                </c:pt>
                <c:pt idx="87">
                  <c:v>9/2015</c:v>
                </c:pt>
                <c:pt idx="88">
                  <c:v>10/2015</c:v>
                </c:pt>
                <c:pt idx="89">
                  <c:v>11/2015</c:v>
                </c:pt>
                <c:pt idx="90">
                  <c:v>12/2015</c:v>
                </c:pt>
                <c:pt idx="91">
                  <c:v>1/2016</c:v>
                </c:pt>
                <c:pt idx="92">
                  <c:v>3/2016</c:v>
                </c:pt>
                <c:pt idx="93">
                  <c:v>4/2016</c:v>
                </c:pt>
                <c:pt idx="94">
                  <c:v>5/2016</c:v>
                </c:pt>
                <c:pt idx="95">
                  <c:v>6/2016</c:v>
                </c:pt>
                <c:pt idx="96">
                  <c:v>7/2016</c:v>
                </c:pt>
                <c:pt idx="97">
                  <c:v>9/2016</c:v>
                </c:pt>
                <c:pt idx="98">
                  <c:v>10/2016</c:v>
                </c:pt>
                <c:pt idx="99">
                  <c:v>11/2016</c:v>
                </c:pt>
                <c:pt idx="100">
                  <c:v>12/2016</c:v>
                </c:pt>
                <c:pt idx="101">
                  <c:v>4/2017</c:v>
                </c:pt>
                <c:pt idx="102">
                  <c:v>6/2017</c:v>
                </c:pt>
                <c:pt idx="103">
                  <c:v>7/2017</c:v>
                </c:pt>
                <c:pt idx="104">
                  <c:v>8/2017</c:v>
                </c:pt>
                <c:pt idx="105">
                  <c:v>10/2017</c:v>
                </c:pt>
                <c:pt idx="106">
                  <c:v>11/2017</c:v>
                </c:pt>
                <c:pt idx="107">
                  <c:v>12/2017</c:v>
                </c:pt>
                <c:pt idx="108">
                  <c:v>1/2018</c:v>
                </c:pt>
                <c:pt idx="109">
                  <c:v>2/2018</c:v>
                </c:pt>
                <c:pt idx="110">
                  <c:v>3/2018</c:v>
                </c:pt>
                <c:pt idx="111">
                  <c:v>4/2018</c:v>
                </c:pt>
                <c:pt idx="112">
                  <c:v>5/2018</c:v>
                </c:pt>
                <c:pt idx="113">
                  <c:v>6/2018</c:v>
                </c:pt>
                <c:pt idx="114">
                  <c:v>7/2018</c:v>
                </c:pt>
                <c:pt idx="115">
                  <c:v>8/2018</c:v>
                </c:pt>
                <c:pt idx="116">
                  <c:v>9/2018</c:v>
                </c:pt>
                <c:pt idx="117">
                  <c:v>10/2018</c:v>
                </c:pt>
                <c:pt idx="118">
                  <c:v>11/2018</c:v>
                </c:pt>
                <c:pt idx="119">
                  <c:v>12/2018</c:v>
                </c:pt>
                <c:pt idx="120">
                  <c:v>1/2019</c:v>
                </c:pt>
                <c:pt idx="121">
                  <c:v>2/2019</c:v>
                </c:pt>
                <c:pt idx="122">
                  <c:v>3/2019</c:v>
                </c:pt>
                <c:pt idx="123">
                  <c:v>4/2019</c:v>
                </c:pt>
                <c:pt idx="124">
                  <c:v>5/2019</c:v>
                </c:pt>
                <c:pt idx="125">
                  <c:v>6/2019</c:v>
                </c:pt>
                <c:pt idx="126">
                  <c:v>7/2019</c:v>
                </c:pt>
                <c:pt idx="127">
                  <c:v>8/2019</c:v>
                </c:pt>
                <c:pt idx="128">
                  <c:v>9/2019</c:v>
                </c:pt>
                <c:pt idx="129">
                  <c:v>10/2019</c:v>
                </c:pt>
                <c:pt idx="130">
                  <c:v>11/2019</c:v>
                </c:pt>
                <c:pt idx="131">
                  <c:v>12/2019</c:v>
                </c:pt>
                <c:pt idx="132">
                  <c:v>1/2020</c:v>
                </c:pt>
                <c:pt idx="133">
                  <c:v>2/2020</c:v>
                </c:pt>
                <c:pt idx="134">
                  <c:v>3/2020</c:v>
                </c:pt>
                <c:pt idx="135">
                  <c:v>4/2020</c:v>
                </c:pt>
                <c:pt idx="136">
                  <c:v>5/2020</c:v>
                </c:pt>
                <c:pt idx="137">
                  <c:v>6/2020</c:v>
                </c:pt>
                <c:pt idx="138">
                  <c:v>7/2020</c:v>
                </c:pt>
                <c:pt idx="139">
                  <c:v>8/2020</c:v>
                </c:pt>
                <c:pt idx="140">
                  <c:v>9/2020</c:v>
                </c:pt>
                <c:pt idx="141">
                  <c:v>10/2020</c:v>
                </c:pt>
                <c:pt idx="142">
                  <c:v>11/2020</c:v>
                </c:pt>
                <c:pt idx="143">
                  <c:v>12/2020</c:v>
                </c:pt>
                <c:pt idx="144">
                  <c:v>2/2021</c:v>
                </c:pt>
                <c:pt idx="145">
                  <c:v>3/2021</c:v>
                </c:pt>
                <c:pt idx="146">
                  <c:v>4/2021</c:v>
                </c:pt>
                <c:pt idx="147">
                  <c:v>5/2021</c:v>
                </c:pt>
                <c:pt idx="148">
                  <c:v>6/2021</c:v>
                </c:pt>
                <c:pt idx="149">
                  <c:v>7/2021</c:v>
                </c:pt>
                <c:pt idx="150">
                  <c:v>8/2021</c:v>
                </c:pt>
                <c:pt idx="151">
                  <c:v>9/2021</c:v>
                </c:pt>
                <c:pt idx="152">
                  <c:v>10/2021</c:v>
                </c:pt>
                <c:pt idx="153">
                  <c:v>11/2021</c:v>
                </c:pt>
                <c:pt idx="154">
                  <c:v>12/2021</c:v>
                </c:pt>
                <c:pt idx="155">
                  <c:v>1/2022</c:v>
                </c:pt>
                <c:pt idx="156">
                  <c:v>2/2022</c:v>
                </c:pt>
                <c:pt idx="157">
                  <c:v>3/2022</c:v>
                </c:pt>
                <c:pt idx="158">
                  <c:v>4/2022</c:v>
                </c:pt>
                <c:pt idx="159">
                  <c:v>5/2022</c:v>
                </c:pt>
                <c:pt idx="160">
                  <c:v>6/2022</c:v>
                </c:pt>
                <c:pt idx="161">
                  <c:v>7/2022</c:v>
                </c:pt>
                <c:pt idx="162">
                  <c:v>8/2022</c:v>
                </c:pt>
                <c:pt idx="163">
                  <c:v>9/2022</c:v>
                </c:pt>
                <c:pt idx="164">
                  <c:v>10/2022</c:v>
                </c:pt>
                <c:pt idx="165">
                  <c:v>11/2022</c:v>
                </c:pt>
                <c:pt idx="166">
                  <c:v>12/2022</c:v>
                </c:pt>
                <c:pt idx="167">
                  <c:v>1/2023</c:v>
                </c:pt>
                <c:pt idx="168">
                  <c:v>2/2023</c:v>
                </c:pt>
                <c:pt idx="169">
                  <c:v>3/2023</c:v>
                </c:pt>
                <c:pt idx="170">
                  <c:v>4/2023</c:v>
                </c:pt>
                <c:pt idx="171">
                  <c:v>5/2023</c:v>
                </c:pt>
                <c:pt idx="172">
                  <c:v>6/2023</c:v>
                </c:pt>
                <c:pt idx="173">
                  <c:v>7/2023</c:v>
                </c:pt>
                <c:pt idx="174">
                  <c:v>8/2023</c:v>
                </c:pt>
                <c:pt idx="175">
                  <c:v>9/2023</c:v>
                </c:pt>
              </c:strCache>
            </c:strRef>
          </c:cat>
          <c:val>
            <c:numRef>
              <c:f>'LS T3.23'!$B$11:$FO$11</c:f>
              <c:numCache>
                <c:formatCode>General</c:formatCode>
                <c:ptCount val="170"/>
                <c:pt idx="132" formatCode="0.0%">
                  <c:v>0.1</c:v>
                </c:pt>
                <c:pt idx="133" formatCode="0.0%">
                  <c:v>0.1</c:v>
                </c:pt>
                <c:pt idx="134" formatCode="0.0%">
                  <c:v>0.1</c:v>
                </c:pt>
                <c:pt idx="135" formatCode="0.0%">
                  <c:v>0.1</c:v>
                </c:pt>
                <c:pt idx="136" formatCode="0.0%">
                  <c:v>0.1</c:v>
                </c:pt>
                <c:pt idx="137" formatCode="0.0%">
                  <c:v>0.1</c:v>
                </c:pt>
                <c:pt idx="138" formatCode="0.0%">
                  <c:v>0.1</c:v>
                </c:pt>
                <c:pt idx="139" formatCode="0.0%">
                  <c:v>0.1</c:v>
                </c:pt>
                <c:pt idx="140" formatCode="0.0%">
                  <c:v>0.1</c:v>
                </c:pt>
                <c:pt idx="141" formatCode="0.0%">
                  <c:v>0.1</c:v>
                </c:pt>
                <c:pt idx="142" formatCode="0.0%">
                  <c:v>0.1</c:v>
                </c:pt>
                <c:pt idx="143" formatCode="0.0%">
                  <c:v>0.1</c:v>
                </c:pt>
                <c:pt idx="144" formatCode="0.0%">
                  <c:v>0.1</c:v>
                </c:pt>
                <c:pt idx="145" formatCode="0.0%">
                  <c:v>0.1</c:v>
                </c:pt>
                <c:pt idx="146" formatCode="0.0%">
                  <c:v>0.1</c:v>
                </c:pt>
                <c:pt idx="147" formatCode="0.0%">
                  <c:v>0.1</c:v>
                </c:pt>
                <c:pt idx="148" formatCode="0.0%">
                  <c:v>0.1</c:v>
                </c:pt>
                <c:pt idx="149" formatCode="0.0%">
                  <c:v>0.1</c:v>
                </c:pt>
                <c:pt idx="150" formatCode="0.0%">
                  <c:v>8.5999999999999993E-2</c:v>
                </c:pt>
                <c:pt idx="151" formatCode="0.0%">
                  <c:v>8.5499999999999993E-2</c:v>
                </c:pt>
                <c:pt idx="152" formatCode="0.0%">
                  <c:v>8.4499999999999992E-2</c:v>
                </c:pt>
                <c:pt idx="153" formatCode="0.0%">
                  <c:v>8.4499999999999992E-2</c:v>
                </c:pt>
                <c:pt idx="154" formatCode="0.0%">
                  <c:v>8.3999999999999991E-2</c:v>
                </c:pt>
                <c:pt idx="155" formatCode="0.0%">
                  <c:v>8.4999999999999992E-2</c:v>
                </c:pt>
                <c:pt idx="156" formatCode="0.0%">
                  <c:v>8.4999999999999992E-2</c:v>
                </c:pt>
                <c:pt idx="157" formatCode="0.0%">
                  <c:v>8.4499999999999992E-2</c:v>
                </c:pt>
                <c:pt idx="158" formatCode="0.0%">
                  <c:v>8.4499999999999992E-2</c:v>
                </c:pt>
                <c:pt idx="159" formatCode="0.0%">
                  <c:v>8.4999999999999992E-2</c:v>
                </c:pt>
                <c:pt idx="160" formatCode="0.0%">
                  <c:v>8.5999999999999993E-2</c:v>
                </c:pt>
                <c:pt idx="161" formatCode="0.0%">
                  <c:v>8.5999999999999993E-2</c:v>
                </c:pt>
                <c:pt idx="162" formatCode="0.0%">
                  <c:v>8.7499999999999994E-2</c:v>
                </c:pt>
                <c:pt idx="163" formatCode="0.0%">
                  <c:v>8.7999999999999995E-2</c:v>
                </c:pt>
                <c:pt idx="164" formatCode="0.0%">
                  <c:v>9.1499999999999998E-2</c:v>
                </c:pt>
                <c:pt idx="165" formatCode="0.0%">
                  <c:v>9.5500000000000002E-2</c:v>
                </c:pt>
                <c:pt idx="166" formatCode="0.0%">
                  <c:v>9.8500000000000004E-2</c:v>
                </c:pt>
                <c:pt idx="167" formatCode="0.0%">
                  <c:v>0.10300000000000001</c:v>
                </c:pt>
                <c:pt idx="168" formatCode="0.0%">
                  <c:v>0.10400000000000001</c:v>
                </c:pt>
                <c:pt idx="169" formatCode="0.0%">
                  <c:v>0.10450000000000001</c:v>
                </c:pt>
              </c:numCache>
            </c:numRef>
          </c:val>
          <c:smooth val="0"/>
          <c:extLst>
            <c:ext xmlns:c16="http://schemas.microsoft.com/office/drawing/2014/chart" uri="{C3380CC4-5D6E-409C-BE32-E72D297353CC}">
              <c16:uniqueId val="{00000004-2EDC-4E40-9BC9-3991B64AA958}"/>
            </c:ext>
          </c:extLst>
        </c:ser>
        <c:dLbls>
          <c:showLegendKey val="0"/>
          <c:showVal val="0"/>
          <c:showCatName val="0"/>
          <c:showSerName val="0"/>
          <c:showPercent val="0"/>
          <c:showBubbleSize val="0"/>
        </c:dLbls>
        <c:smooth val="0"/>
        <c:axId val="1703008160"/>
        <c:axId val="1702999520"/>
      </c:lineChart>
      <c:catAx>
        <c:axId val="1703008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vi-VN"/>
          </a:p>
        </c:txPr>
        <c:crossAx val="1702999520"/>
        <c:crosses val="autoZero"/>
        <c:auto val="1"/>
        <c:lblAlgn val="ctr"/>
        <c:lblOffset val="100"/>
        <c:noMultiLvlLbl val="0"/>
      </c:catAx>
      <c:valAx>
        <c:axId val="170299952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vi-VN"/>
          </a:p>
        </c:txPr>
        <c:crossAx val="1703008160"/>
        <c:crosses val="autoZero"/>
        <c:crossBetween val="between"/>
      </c:valAx>
      <c:spPr>
        <a:noFill/>
        <a:ln>
          <a:noFill/>
        </a:ln>
        <a:effectLst/>
      </c:spPr>
    </c:plotArea>
    <c:legend>
      <c:legendPos val="b"/>
      <c:layout>
        <c:manualLayout>
          <c:xMode val="edge"/>
          <c:yMode val="edge"/>
          <c:x val="0"/>
          <c:y val="0.80034558180227466"/>
          <c:w val="1"/>
          <c:h val="0.171876640419947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vi-V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vi-VN"/>
    </a:p>
  </c:txPr>
  <c:printSettings>
    <c:headerFooter/>
    <c:pageMargins b="0.75" l="0.7" r="0.7" t="0.75" header="0.3" footer="0.3"/>
    <c:pageSetup/>
  </c:printSettings>
  <c:userShapes r:id="rId3"/>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'PE Grocery'!$L$2</c:f>
              <c:strCache>
                <c:ptCount val="1"/>
                <c:pt idx="0">
                  <c:v>PE Trung bình 5 năm</c:v>
                </c:pt>
              </c:strCache>
            </c:strRef>
          </c:tx>
          <c:spPr>
            <a:solidFill>
              <a:schemeClr val="bg1">
                <a:lumMod val="50000"/>
              </a:schemeClr>
            </a:solidFill>
            <a:ln>
              <a:noFill/>
            </a:ln>
            <a:effectLst/>
          </c:spPr>
          <c:invertIfNegative val="0"/>
          <c:cat>
            <c:strRef>
              <c:f>'PE Grocery'!$M$1:$V$1</c:f>
              <c:strCache>
                <c:ptCount val="10"/>
                <c:pt idx="0">
                  <c:v> CPALL TB Equity  (R1) </c:v>
                </c:pt>
                <c:pt idx="1">
                  <c:v> LPPF IJ Equity  (R2) </c:v>
                </c:pt>
                <c:pt idx="2">
                  <c:v> WMT US Equity  (R1) </c:v>
                </c:pt>
                <c:pt idx="3">
                  <c:v> AMRT IJ Equity  (L1) </c:v>
                </c:pt>
                <c:pt idx="4">
                  <c:v> BJ US Equity  (R1) </c:v>
                </c:pt>
                <c:pt idx="5">
                  <c:v> TGT US Equity  (R1) </c:v>
                </c:pt>
                <c:pt idx="6">
                  <c:v> WMT US Equity  (R1) </c:v>
                </c:pt>
                <c:pt idx="7">
                  <c:v> TGT US Equity  (R1) </c:v>
                </c:pt>
                <c:pt idx="8">
                  <c:v> BJ US Equity  (R1) </c:v>
                </c:pt>
                <c:pt idx="9">
                  <c:v> COST US Equity  (R1) </c:v>
                </c:pt>
              </c:strCache>
            </c:strRef>
          </c:cat>
          <c:val>
            <c:numRef>
              <c:f>'PE Grocery'!$M$2:$V$2</c:f>
              <c:numCache>
                <c:formatCode>General</c:formatCode>
                <c:ptCount val="10"/>
                <c:pt idx="0">
                  <c:v>34.200000000000003</c:v>
                </c:pt>
                <c:pt idx="1">
                  <c:v>7.9</c:v>
                </c:pt>
                <c:pt idx="2">
                  <c:v>22.6</c:v>
                </c:pt>
                <c:pt idx="3">
                  <c:v>36.700000000000003</c:v>
                </c:pt>
                <c:pt idx="4">
                  <c:v>17.7</c:v>
                </c:pt>
                <c:pt idx="5">
                  <c:v>16.8</c:v>
                </c:pt>
                <c:pt idx="6">
                  <c:v>22.6</c:v>
                </c:pt>
                <c:pt idx="7">
                  <c:v>16.8</c:v>
                </c:pt>
                <c:pt idx="8">
                  <c:v>17.7</c:v>
                </c:pt>
                <c:pt idx="9">
                  <c:v>35.549999999999997</c:v>
                </c:pt>
              </c:numCache>
            </c:numRef>
          </c:val>
          <c:extLst>
            <c:ext xmlns:c16="http://schemas.microsoft.com/office/drawing/2014/chart" uri="{C3380CC4-5D6E-409C-BE32-E72D297353CC}">
              <c16:uniqueId val="{00000000-755F-4F45-ACE0-05AD399C4C41}"/>
            </c:ext>
          </c:extLst>
        </c:ser>
        <c:dLbls>
          <c:showLegendKey val="0"/>
          <c:showVal val="0"/>
          <c:showCatName val="0"/>
          <c:showSerName val="0"/>
          <c:showPercent val="0"/>
          <c:showBubbleSize val="0"/>
        </c:dLbls>
        <c:gapWidth val="219"/>
        <c:axId val="1341572392"/>
        <c:axId val="1341572752"/>
      </c:barChart>
      <c:lineChart>
        <c:grouping val="standard"/>
        <c:varyColors val="0"/>
        <c:ser>
          <c:idx val="1"/>
          <c:order val="1"/>
          <c:tx>
            <c:strRef>
              <c:f>'PE Grocery'!$L$3</c:f>
              <c:strCache>
                <c:ptCount val="1"/>
                <c:pt idx="0">
                  <c:v>Trung bình ngành</c:v>
                </c:pt>
              </c:strCache>
            </c:strRef>
          </c:tx>
          <c:spPr>
            <a:ln w="22225" cap="rnd">
              <a:solidFill>
                <a:schemeClr val="accent1"/>
              </a:solidFill>
              <a:prstDash val="sysDash"/>
              <a:round/>
            </a:ln>
            <a:effectLst/>
          </c:spPr>
          <c:marker>
            <c:symbol val="none"/>
          </c:marker>
          <c:cat>
            <c:strRef>
              <c:f>'PE Grocery'!$M$1:$V$1</c:f>
              <c:strCache>
                <c:ptCount val="10"/>
                <c:pt idx="0">
                  <c:v> CPALL TB Equity  (R1) </c:v>
                </c:pt>
                <c:pt idx="1">
                  <c:v> LPPF IJ Equity  (R2) </c:v>
                </c:pt>
                <c:pt idx="2">
                  <c:v> WMT US Equity  (R1) </c:v>
                </c:pt>
                <c:pt idx="3">
                  <c:v> AMRT IJ Equity  (L1) </c:v>
                </c:pt>
                <c:pt idx="4">
                  <c:v> BJ US Equity  (R1) </c:v>
                </c:pt>
                <c:pt idx="5">
                  <c:v> TGT US Equity  (R1) </c:v>
                </c:pt>
                <c:pt idx="6">
                  <c:v> WMT US Equity  (R1) </c:v>
                </c:pt>
                <c:pt idx="7">
                  <c:v> TGT US Equity  (R1) </c:v>
                </c:pt>
                <c:pt idx="8">
                  <c:v> BJ US Equity  (R1) </c:v>
                </c:pt>
                <c:pt idx="9">
                  <c:v> COST US Equity  (R1) </c:v>
                </c:pt>
              </c:strCache>
            </c:strRef>
          </c:cat>
          <c:val>
            <c:numRef>
              <c:f>'PE Grocery'!$M$3:$V$3</c:f>
              <c:numCache>
                <c:formatCode>_(* #,##0_);_(* \(#,##0\);_(* "-"??_);_(@_)</c:formatCode>
                <c:ptCount val="10"/>
                <c:pt idx="0">
                  <c:v>22.855</c:v>
                </c:pt>
                <c:pt idx="1">
                  <c:v>22.855</c:v>
                </c:pt>
                <c:pt idx="2">
                  <c:v>22.855</c:v>
                </c:pt>
                <c:pt idx="3">
                  <c:v>22.855</c:v>
                </c:pt>
                <c:pt idx="4">
                  <c:v>22.855</c:v>
                </c:pt>
                <c:pt idx="5">
                  <c:v>22.855</c:v>
                </c:pt>
                <c:pt idx="6">
                  <c:v>22.855</c:v>
                </c:pt>
                <c:pt idx="7">
                  <c:v>22.855</c:v>
                </c:pt>
                <c:pt idx="8">
                  <c:v>22.855</c:v>
                </c:pt>
                <c:pt idx="9">
                  <c:v>22.855</c:v>
                </c:pt>
              </c:numCache>
            </c:numRef>
          </c:val>
          <c:smooth val="0"/>
          <c:extLst>
            <c:ext xmlns:c16="http://schemas.microsoft.com/office/drawing/2014/chart" uri="{C3380CC4-5D6E-409C-BE32-E72D297353CC}">
              <c16:uniqueId val="{00000001-755F-4F45-ACE0-05AD399C4C41}"/>
            </c:ext>
          </c:extLst>
        </c:ser>
        <c:dLbls>
          <c:showLegendKey val="0"/>
          <c:showVal val="0"/>
          <c:showCatName val="0"/>
          <c:showSerName val="0"/>
          <c:showPercent val="0"/>
          <c:showBubbleSize val="0"/>
        </c:dLbls>
        <c:marker val="1"/>
        <c:smooth val="0"/>
        <c:axId val="1341572392"/>
        <c:axId val="1341572752"/>
      </c:lineChart>
      <c:catAx>
        <c:axId val="1341572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vi-VN"/>
          </a:p>
        </c:txPr>
        <c:crossAx val="1341572752"/>
        <c:crosses val="autoZero"/>
        <c:auto val="1"/>
        <c:lblAlgn val="ctr"/>
        <c:lblOffset val="100"/>
        <c:noMultiLvlLbl val="0"/>
      </c:catAx>
      <c:valAx>
        <c:axId val="134157275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vi-VN"/>
          </a:p>
        </c:txPr>
        <c:crossAx val="134157239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vi-V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vi-VN"/>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vi-VN"/>
        </a:p>
      </c:txPr>
    </c:title>
    <c:autoTitleDeleted val="0"/>
    <c:plotArea>
      <c:layout/>
      <c:barChart>
        <c:barDir val="col"/>
        <c:grouping val="stacked"/>
        <c:varyColors val="0"/>
        <c:ser>
          <c:idx val="0"/>
          <c:order val="0"/>
          <c:tx>
            <c:strRef>
              <c:f>'REV CE'!$F$1</c:f>
              <c:strCache>
                <c:ptCount val="1"/>
                <c:pt idx="0">
                  <c:v>Máy tính</c:v>
                </c:pt>
              </c:strCache>
            </c:strRef>
          </c:tx>
          <c:spPr>
            <a:solidFill>
              <a:schemeClr val="accent1"/>
            </a:solidFill>
            <a:ln>
              <a:noFill/>
            </a:ln>
            <a:effectLst/>
          </c:spPr>
          <c:invertIfNegative val="0"/>
          <c:cat>
            <c:numRef>
              <c:f>'REV CE'!$E$2:$E$12</c:f>
              <c:numCache>
                <c:formatCode>General</c:formatCode>
                <c:ptCount val="11"/>
                <c:pt idx="0">
                  <c:v>2018</c:v>
                </c:pt>
                <c:pt idx="1">
                  <c:v>2019</c:v>
                </c:pt>
                <c:pt idx="2">
                  <c:v>2020</c:v>
                </c:pt>
                <c:pt idx="3">
                  <c:v>2021</c:v>
                </c:pt>
                <c:pt idx="4">
                  <c:v>2022</c:v>
                </c:pt>
                <c:pt idx="5">
                  <c:v>2023</c:v>
                </c:pt>
                <c:pt idx="6">
                  <c:v>2024</c:v>
                </c:pt>
                <c:pt idx="7">
                  <c:v>2025</c:v>
                </c:pt>
                <c:pt idx="8">
                  <c:v>2026</c:v>
                </c:pt>
                <c:pt idx="9">
                  <c:v>2027</c:v>
                </c:pt>
                <c:pt idx="10">
                  <c:v>2028</c:v>
                </c:pt>
              </c:numCache>
            </c:numRef>
          </c:cat>
          <c:val>
            <c:numRef>
              <c:f>'REV CE'!$F$2:$F$12</c:f>
              <c:numCache>
                <c:formatCode>_(* #,##0_);_(* \(#,##0\);_(* "-"??_);_(@_)</c:formatCode>
                <c:ptCount val="11"/>
                <c:pt idx="0">
                  <c:v>8490</c:v>
                </c:pt>
                <c:pt idx="1">
                  <c:v>9315</c:v>
                </c:pt>
                <c:pt idx="2">
                  <c:v>10460</c:v>
                </c:pt>
                <c:pt idx="3">
                  <c:v>10985</c:v>
                </c:pt>
                <c:pt idx="4">
                  <c:v>10585</c:v>
                </c:pt>
                <c:pt idx="5">
                  <c:v>10775</c:v>
                </c:pt>
                <c:pt idx="6">
                  <c:v>10825</c:v>
                </c:pt>
                <c:pt idx="7">
                  <c:v>11275</c:v>
                </c:pt>
                <c:pt idx="8">
                  <c:v>11725</c:v>
                </c:pt>
                <c:pt idx="9">
                  <c:v>12175</c:v>
                </c:pt>
                <c:pt idx="10">
                  <c:v>12645</c:v>
                </c:pt>
              </c:numCache>
            </c:numRef>
          </c:val>
          <c:extLst>
            <c:ext xmlns:c16="http://schemas.microsoft.com/office/drawing/2014/chart" uri="{C3380CC4-5D6E-409C-BE32-E72D297353CC}">
              <c16:uniqueId val="{00000000-5FCC-4F9E-BB8E-C7FBD8471649}"/>
            </c:ext>
          </c:extLst>
        </c:ser>
        <c:ser>
          <c:idx val="1"/>
          <c:order val="1"/>
          <c:tx>
            <c:strRef>
              <c:f>'REV CE'!$G$1</c:f>
              <c:strCache>
                <c:ptCount val="1"/>
                <c:pt idx="0">
                  <c:v>Drone</c:v>
                </c:pt>
              </c:strCache>
            </c:strRef>
          </c:tx>
          <c:spPr>
            <a:solidFill>
              <a:schemeClr val="accent2"/>
            </a:solidFill>
            <a:ln>
              <a:noFill/>
            </a:ln>
            <a:effectLst/>
          </c:spPr>
          <c:invertIfNegative val="0"/>
          <c:cat>
            <c:numRef>
              <c:f>'REV CE'!$E$2:$E$12</c:f>
              <c:numCache>
                <c:formatCode>General</c:formatCode>
                <c:ptCount val="11"/>
                <c:pt idx="0">
                  <c:v>2018</c:v>
                </c:pt>
                <c:pt idx="1">
                  <c:v>2019</c:v>
                </c:pt>
                <c:pt idx="2">
                  <c:v>2020</c:v>
                </c:pt>
                <c:pt idx="3">
                  <c:v>2021</c:v>
                </c:pt>
                <c:pt idx="4">
                  <c:v>2022</c:v>
                </c:pt>
                <c:pt idx="5">
                  <c:v>2023</c:v>
                </c:pt>
                <c:pt idx="6">
                  <c:v>2024</c:v>
                </c:pt>
                <c:pt idx="7">
                  <c:v>2025</c:v>
                </c:pt>
                <c:pt idx="8">
                  <c:v>2026</c:v>
                </c:pt>
                <c:pt idx="9">
                  <c:v>2027</c:v>
                </c:pt>
                <c:pt idx="10">
                  <c:v>2028</c:v>
                </c:pt>
              </c:numCache>
            </c:numRef>
          </c:cat>
          <c:val>
            <c:numRef>
              <c:f>'REV CE'!$G$2:$G$12</c:f>
              <c:numCache>
                <c:formatCode>_(* #,##0_);_(* \(#,##0\);_(* "-"??_);_(@_)</c:formatCode>
                <c:ptCount val="11"/>
                <c:pt idx="0">
                  <c:v>7.1950000000000003</c:v>
                </c:pt>
                <c:pt idx="1">
                  <c:v>8.8699999999999992</c:v>
                </c:pt>
                <c:pt idx="2">
                  <c:v>8.25</c:v>
                </c:pt>
                <c:pt idx="3">
                  <c:v>9.58</c:v>
                </c:pt>
                <c:pt idx="4">
                  <c:v>13.484999999999999</c:v>
                </c:pt>
                <c:pt idx="5">
                  <c:v>16.439999999999898</c:v>
                </c:pt>
                <c:pt idx="6">
                  <c:v>19.29</c:v>
                </c:pt>
                <c:pt idx="7">
                  <c:v>21.31</c:v>
                </c:pt>
                <c:pt idx="8">
                  <c:v>23.335000000000001</c:v>
                </c:pt>
                <c:pt idx="9">
                  <c:v>25.354999999999901</c:v>
                </c:pt>
                <c:pt idx="10">
                  <c:v>27.33</c:v>
                </c:pt>
              </c:numCache>
            </c:numRef>
          </c:val>
          <c:extLst>
            <c:ext xmlns:c16="http://schemas.microsoft.com/office/drawing/2014/chart" uri="{C3380CC4-5D6E-409C-BE32-E72D297353CC}">
              <c16:uniqueId val="{00000001-5FCC-4F9E-BB8E-C7FBD8471649}"/>
            </c:ext>
          </c:extLst>
        </c:ser>
        <c:ser>
          <c:idx val="2"/>
          <c:order val="2"/>
          <c:tx>
            <c:strRef>
              <c:f>'REV CE'!$H$1</c:f>
              <c:strCache>
                <c:ptCount val="1"/>
                <c:pt idx="0">
                  <c:v>Máy chơi Game</c:v>
                </c:pt>
              </c:strCache>
            </c:strRef>
          </c:tx>
          <c:spPr>
            <a:solidFill>
              <a:schemeClr val="accent3"/>
            </a:solidFill>
            <a:ln>
              <a:noFill/>
            </a:ln>
            <a:effectLst/>
          </c:spPr>
          <c:invertIfNegative val="0"/>
          <c:cat>
            <c:numRef>
              <c:f>'REV CE'!$E$2:$E$12</c:f>
              <c:numCache>
                <c:formatCode>General</c:formatCode>
                <c:ptCount val="11"/>
                <c:pt idx="0">
                  <c:v>2018</c:v>
                </c:pt>
                <c:pt idx="1">
                  <c:v>2019</c:v>
                </c:pt>
                <c:pt idx="2">
                  <c:v>2020</c:v>
                </c:pt>
                <c:pt idx="3">
                  <c:v>2021</c:v>
                </c:pt>
                <c:pt idx="4">
                  <c:v>2022</c:v>
                </c:pt>
                <c:pt idx="5">
                  <c:v>2023</c:v>
                </c:pt>
                <c:pt idx="6">
                  <c:v>2024</c:v>
                </c:pt>
                <c:pt idx="7">
                  <c:v>2025</c:v>
                </c:pt>
                <c:pt idx="8">
                  <c:v>2026</c:v>
                </c:pt>
                <c:pt idx="9">
                  <c:v>2027</c:v>
                </c:pt>
                <c:pt idx="10">
                  <c:v>2028</c:v>
                </c:pt>
              </c:numCache>
            </c:numRef>
          </c:cat>
          <c:val>
            <c:numRef>
              <c:f>'REV CE'!$H$2:$H$12</c:f>
              <c:numCache>
                <c:formatCode>_(* #,##0_);_(* \(#,##0\);_(* "-"??_);_(@_)</c:formatCode>
                <c:ptCount val="11"/>
                <c:pt idx="0">
                  <c:v>106.4</c:v>
                </c:pt>
                <c:pt idx="1">
                  <c:v>140.69999999999999</c:v>
                </c:pt>
                <c:pt idx="2">
                  <c:v>197.54999999999899</c:v>
                </c:pt>
                <c:pt idx="3">
                  <c:v>274.64999999999998</c:v>
                </c:pt>
                <c:pt idx="4">
                  <c:v>348.4</c:v>
                </c:pt>
                <c:pt idx="5">
                  <c:v>373.8</c:v>
                </c:pt>
                <c:pt idx="6">
                  <c:v>388.9</c:v>
                </c:pt>
                <c:pt idx="7">
                  <c:v>403.2</c:v>
                </c:pt>
                <c:pt idx="8">
                  <c:v>435.25</c:v>
                </c:pt>
                <c:pt idx="9">
                  <c:v>431.15</c:v>
                </c:pt>
                <c:pt idx="10">
                  <c:v>437.75</c:v>
                </c:pt>
              </c:numCache>
            </c:numRef>
          </c:val>
          <c:extLst>
            <c:ext xmlns:c16="http://schemas.microsoft.com/office/drawing/2014/chart" uri="{C3380CC4-5D6E-409C-BE32-E72D297353CC}">
              <c16:uniqueId val="{00000002-5FCC-4F9E-BB8E-C7FBD8471649}"/>
            </c:ext>
          </c:extLst>
        </c:ser>
        <c:ser>
          <c:idx val="3"/>
          <c:order val="3"/>
          <c:tx>
            <c:strRef>
              <c:f>'REV CE'!$I$1</c:f>
              <c:strCache>
                <c:ptCount val="1"/>
                <c:pt idx="0">
                  <c:v>Điện thoại</c:v>
                </c:pt>
              </c:strCache>
            </c:strRef>
          </c:tx>
          <c:spPr>
            <a:solidFill>
              <a:schemeClr val="accent4"/>
            </a:solidFill>
            <a:ln>
              <a:noFill/>
            </a:ln>
            <a:effectLst/>
          </c:spPr>
          <c:invertIfNegative val="0"/>
          <c:cat>
            <c:numRef>
              <c:f>'REV CE'!$E$2:$E$12</c:f>
              <c:numCache>
                <c:formatCode>General</c:formatCode>
                <c:ptCount val="11"/>
                <c:pt idx="0">
                  <c:v>2018</c:v>
                </c:pt>
                <c:pt idx="1">
                  <c:v>2019</c:v>
                </c:pt>
                <c:pt idx="2">
                  <c:v>2020</c:v>
                </c:pt>
                <c:pt idx="3">
                  <c:v>2021</c:v>
                </c:pt>
                <c:pt idx="4">
                  <c:v>2022</c:v>
                </c:pt>
                <c:pt idx="5">
                  <c:v>2023</c:v>
                </c:pt>
                <c:pt idx="6">
                  <c:v>2024</c:v>
                </c:pt>
                <c:pt idx="7">
                  <c:v>2025</c:v>
                </c:pt>
                <c:pt idx="8">
                  <c:v>2026</c:v>
                </c:pt>
                <c:pt idx="9">
                  <c:v>2027</c:v>
                </c:pt>
                <c:pt idx="10">
                  <c:v>2028</c:v>
                </c:pt>
              </c:numCache>
            </c:numRef>
          </c:cat>
          <c:val>
            <c:numRef>
              <c:f>'REV CE'!$I$2:$I$12</c:f>
              <c:numCache>
                <c:formatCode>_(* #,##0_);_(* \(#,##0\);_(* "-"??_);_(@_)</c:formatCode>
                <c:ptCount val="11"/>
                <c:pt idx="0">
                  <c:v>19810</c:v>
                </c:pt>
                <c:pt idx="1">
                  <c:v>21565</c:v>
                </c:pt>
                <c:pt idx="2">
                  <c:v>19905</c:v>
                </c:pt>
                <c:pt idx="3">
                  <c:v>22125</c:v>
                </c:pt>
                <c:pt idx="4">
                  <c:v>20655</c:v>
                </c:pt>
                <c:pt idx="5">
                  <c:v>21295</c:v>
                </c:pt>
                <c:pt idx="6">
                  <c:v>20920</c:v>
                </c:pt>
                <c:pt idx="7">
                  <c:v>21205</c:v>
                </c:pt>
                <c:pt idx="8">
                  <c:v>21485</c:v>
                </c:pt>
                <c:pt idx="9">
                  <c:v>21765</c:v>
                </c:pt>
                <c:pt idx="10">
                  <c:v>22060</c:v>
                </c:pt>
              </c:numCache>
            </c:numRef>
          </c:val>
          <c:extLst>
            <c:ext xmlns:c16="http://schemas.microsoft.com/office/drawing/2014/chart" uri="{C3380CC4-5D6E-409C-BE32-E72D297353CC}">
              <c16:uniqueId val="{00000003-5FCC-4F9E-BB8E-C7FBD8471649}"/>
            </c:ext>
          </c:extLst>
        </c:ser>
        <c:ser>
          <c:idx val="4"/>
          <c:order val="4"/>
          <c:tx>
            <c:strRef>
              <c:f>'REV CE'!$J$1</c:f>
              <c:strCache>
                <c:ptCount val="1"/>
                <c:pt idx="0">
                  <c:v>TV</c:v>
                </c:pt>
              </c:strCache>
            </c:strRef>
          </c:tx>
          <c:spPr>
            <a:solidFill>
              <a:schemeClr val="accent5"/>
            </a:solidFill>
            <a:ln>
              <a:noFill/>
            </a:ln>
            <a:effectLst/>
          </c:spPr>
          <c:invertIfNegative val="0"/>
          <c:cat>
            <c:numRef>
              <c:f>'REV CE'!$E$2:$E$12</c:f>
              <c:numCache>
                <c:formatCode>General</c:formatCode>
                <c:ptCount val="11"/>
                <c:pt idx="0">
                  <c:v>2018</c:v>
                </c:pt>
                <c:pt idx="1">
                  <c:v>2019</c:v>
                </c:pt>
                <c:pt idx="2">
                  <c:v>2020</c:v>
                </c:pt>
                <c:pt idx="3">
                  <c:v>2021</c:v>
                </c:pt>
                <c:pt idx="4">
                  <c:v>2022</c:v>
                </c:pt>
                <c:pt idx="5">
                  <c:v>2023</c:v>
                </c:pt>
                <c:pt idx="6">
                  <c:v>2024</c:v>
                </c:pt>
                <c:pt idx="7">
                  <c:v>2025</c:v>
                </c:pt>
                <c:pt idx="8">
                  <c:v>2026</c:v>
                </c:pt>
                <c:pt idx="9">
                  <c:v>2027</c:v>
                </c:pt>
                <c:pt idx="10">
                  <c:v>2028</c:v>
                </c:pt>
              </c:numCache>
            </c:numRef>
          </c:cat>
          <c:val>
            <c:numRef>
              <c:f>'REV CE'!$J$2:$J$12</c:f>
              <c:numCache>
                <c:formatCode>_(* #,##0_);_(* \(#,##0\);_(* "-"??_);_(@_)</c:formatCode>
                <c:ptCount val="11"/>
                <c:pt idx="0">
                  <c:v>6005</c:v>
                </c:pt>
                <c:pt idx="1">
                  <c:v>6305</c:v>
                </c:pt>
                <c:pt idx="2">
                  <c:v>6195</c:v>
                </c:pt>
                <c:pt idx="3">
                  <c:v>6595</c:v>
                </c:pt>
                <c:pt idx="4">
                  <c:v>6245</c:v>
                </c:pt>
                <c:pt idx="5">
                  <c:v>6575</c:v>
                </c:pt>
                <c:pt idx="6">
                  <c:v>6850</c:v>
                </c:pt>
                <c:pt idx="7">
                  <c:v>7085</c:v>
                </c:pt>
                <c:pt idx="8">
                  <c:v>7320</c:v>
                </c:pt>
                <c:pt idx="9">
                  <c:v>7555</c:v>
                </c:pt>
                <c:pt idx="10">
                  <c:v>7785</c:v>
                </c:pt>
              </c:numCache>
            </c:numRef>
          </c:val>
          <c:extLst>
            <c:ext xmlns:c16="http://schemas.microsoft.com/office/drawing/2014/chart" uri="{C3380CC4-5D6E-409C-BE32-E72D297353CC}">
              <c16:uniqueId val="{00000004-5FCC-4F9E-BB8E-C7FBD8471649}"/>
            </c:ext>
          </c:extLst>
        </c:ser>
        <c:ser>
          <c:idx val="5"/>
          <c:order val="5"/>
          <c:tx>
            <c:strRef>
              <c:f>'REV CE'!$K$1</c:f>
              <c:strCache>
                <c:ptCount val="1"/>
                <c:pt idx="0">
                  <c:v>TB ngoại vi</c:v>
                </c:pt>
              </c:strCache>
            </c:strRef>
          </c:tx>
          <c:spPr>
            <a:solidFill>
              <a:schemeClr val="accent6"/>
            </a:solidFill>
            <a:ln>
              <a:noFill/>
            </a:ln>
            <a:effectLst/>
          </c:spPr>
          <c:invertIfNegative val="0"/>
          <c:cat>
            <c:numRef>
              <c:f>'REV CE'!$E$2:$E$12</c:f>
              <c:numCache>
                <c:formatCode>General</c:formatCode>
                <c:ptCount val="11"/>
                <c:pt idx="0">
                  <c:v>2018</c:v>
                </c:pt>
                <c:pt idx="1">
                  <c:v>2019</c:v>
                </c:pt>
                <c:pt idx="2">
                  <c:v>2020</c:v>
                </c:pt>
                <c:pt idx="3">
                  <c:v>2021</c:v>
                </c:pt>
                <c:pt idx="4">
                  <c:v>2022</c:v>
                </c:pt>
                <c:pt idx="5">
                  <c:v>2023</c:v>
                </c:pt>
                <c:pt idx="6">
                  <c:v>2024</c:v>
                </c:pt>
                <c:pt idx="7">
                  <c:v>2025</c:v>
                </c:pt>
                <c:pt idx="8">
                  <c:v>2026</c:v>
                </c:pt>
                <c:pt idx="9">
                  <c:v>2027</c:v>
                </c:pt>
                <c:pt idx="10">
                  <c:v>2028</c:v>
                </c:pt>
              </c:numCache>
            </c:numRef>
          </c:cat>
          <c:val>
            <c:numRef>
              <c:f>'REV CE'!$K$2:$K$12</c:f>
              <c:numCache>
                <c:formatCode>_(* #,##0_);_(* \(#,##0\);_(* "-"??_);_(@_)</c:formatCode>
                <c:ptCount val="11"/>
                <c:pt idx="0">
                  <c:v>315.35000000000002</c:v>
                </c:pt>
                <c:pt idx="1">
                  <c:v>288.85000000000002</c:v>
                </c:pt>
                <c:pt idx="2">
                  <c:v>277</c:v>
                </c:pt>
                <c:pt idx="3">
                  <c:v>281.3</c:v>
                </c:pt>
                <c:pt idx="4">
                  <c:v>293.14999999999998</c:v>
                </c:pt>
                <c:pt idx="5">
                  <c:v>311.7</c:v>
                </c:pt>
                <c:pt idx="6">
                  <c:v>333</c:v>
                </c:pt>
                <c:pt idx="7">
                  <c:v>356.45</c:v>
                </c:pt>
                <c:pt idx="8">
                  <c:v>381.15</c:v>
                </c:pt>
                <c:pt idx="9">
                  <c:v>406.599999999999</c:v>
                </c:pt>
                <c:pt idx="10">
                  <c:v>432.2</c:v>
                </c:pt>
              </c:numCache>
            </c:numRef>
          </c:val>
          <c:extLst>
            <c:ext xmlns:c16="http://schemas.microsoft.com/office/drawing/2014/chart" uri="{C3380CC4-5D6E-409C-BE32-E72D297353CC}">
              <c16:uniqueId val="{00000005-5FCC-4F9E-BB8E-C7FBD8471649}"/>
            </c:ext>
          </c:extLst>
        </c:ser>
        <c:dLbls>
          <c:showLegendKey val="0"/>
          <c:showVal val="0"/>
          <c:showCatName val="0"/>
          <c:showSerName val="0"/>
          <c:showPercent val="0"/>
          <c:showBubbleSize val="0"/>
        </c:dLbls>
        <c:gapWidth val="219"/>
        <c:overlap val="100"/>
        <c:axId val="305932047"/>
        <c:axId val="305921007"/>
      </c:barChart>
      <c:catAx>
        <c:axId val="305932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vi-VN"/>
          </a:p>
        </c:txPr>
        <c:crossAx val="305921007"/>
        <c:crosses val="autoZero"/>
        <c:auto val="1"/>
        <c:lblAlgn val="ctr"/>
        <c:lblOffset val="100"/>
        <c:noMultiLvlLbl val="0"/>
      </c:catAx>
      <c:valAx>
        <c:axId val="305921007"/>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vi-VN"/>
          </a:p>
        </c:txPr>
        <c:crossAx val="3059320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vi-V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vi-VN"/>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'REV CE'!$O$17</c:f>
              <c:strCache>
                <c:ptCount val="1"/>
                <c:pt idx="0">
                  <c:v>Máy tính</c:v>
                </c:pt>
              </c:strCache>
            </c:strRef>
          </c:tx>
          <c:spPr>
            <a:solidFill>
              <a:schemeClr val="accent1"/>
            </a:solidFill>
            <a:ln>
              <a:noFill/>
            </a:ln>
            <a:effectLst/>
          </c:spPr>
          <c:invertIfNegative val="0"/>
          <c:cat>
            <c:strRef>
              <c:f>'REV CE'!$P$16:$Z$16</c:f>
              <c:strCache>
                <c:ptCount val="11"/>
                <c:pt idx="0">
                  <c:v> 2018A </c:v>
                </c:pt>
                <c:pt idx="1">
                  <c:v>2019A</c:v>
                </c:pt>
                <c:pt idx="2">
                  <c:v>2020A</c:v>
                </c:pt>
                <c:pt idx="3">
                  <c:v>2021A</c:v>
                </c:pt>
                <c:pt idx="4">
                  <c:v>2022E</c:v>
                </c:pt>
                <c:pt idx="5">
                  <c:v>2023F</c:v>
                </c:pt>
                <c:pt idx="6">
                  <c:v>2024F</c:v>
                </c:pt>
                <c:pt idx="7">
                  <c:v>2025F</c:v>
                </c:pt>
                <c:pt idx="8">
                  <c:v>2026F</c:v>
                </c:pt>
                <c:pt idx="9">
                  <c:v>2027F</c:v>
                </c:pt>
                <c:pt idx="10">
                  <c:v>2028F</c:v>
                </c:pt>
              </c:strCache>
            </c:strRef>
          </c:cat>
          <c:val>
            <c:numRef>
              <c:f>'REV CE'!$P$17:$Z$17</c:f>
              <c:numCache>
                <c:formatCode>_(* #,##0_);_(* \(#,##0\);_(* "-"??_);_(@_)</c:formatCode>
                <c:ptCount val="11"/>
                <c:pt idx="0">
                  <c:v>39054</c:v>
                </c:pt>
                <c:pt idx="1">
                  <c:v>42849</c:v>
                </c:pt>
                <c:pt idx="2">
                  <c:v>48116</c:v>
                </c:pt>
                <c:pt idx="3">
                  <c:v>50531</c:v>
                </c:pt>
                <c:pt idx="4">
                  <c:v>48691</c:v>
                </c:pt>
                <c:pt idx="5">
                  <c:v>49565</c:v>
                </c:pt>
                <c:pt idx="6">
                  <c:v>49795</c:v>
                </c:pt>
                <c:pt idx="7">
                  <c:v>51865</c:v>
                </c:pt>
                <c:pt idx="8">
                  <c:v>53935</c:v>
                </c:pt>
                <c:pt idx="9">
                  <c:v>56005</c:v>
                </c:pt>
                <c:pt idx="10">
                  <c:v>58167</c:v>
                </c:pt>
              </c:numCache>
            </c:numRef>
          </c:val>
          <c:extLst>
            <c:ext xmlns:c16="http://schemas.microsoft.com/office/drawing/2014/chart" uri="{C3380CC4-5D6E-409C-BE32-E72D297353CC}">
              <c16:uniqueId val="{00000000-3F1B-4DB6-9EEB-53E0CC93778E}"/>
            </c:ext>
          </c:extLst>
        </c:ser>
        <c:ser>
          <c:idx val="1"/>
          <c:order val="1"/>
          <c:tx>
            <c:strRef>
              <c:f>'REV CE'!$O$18</c:f>
              <c:strCache>
                <c:ptCount val="1"/>
                <c:pt idx="0">
                  <c:v>Drone</c:v>
                </c:pt>
              </c:strCache>
            </c:strRef>
          </c:tx>
          <c:spPr>
            <a:solidFill>
              <a:schemeClr val="accent2"/>
            </a:solidFill>
            <a:ln>
              <a:noFill/>
            </a:ln>
            <a:effectLst/>
          </c:spPr>
          <c:invertIfNegative val="0"/>
          <c:cat>
            <c:strRef>
              <c:f>'REV CE'!$P$16:$Z$16</c:f>
              <c:strCache>
                <c:ptCount val="11"/>
                <c:pt idx="0">
                  <c:v> 2018A </c:v>
                </c:pt>
                <c:pt idx="1">
                  <c:v>2019A</c:v>
                </c:pt>
                <c:pt idx="2">
                  <c:v>2020A</c:v>
                </c:pt>
                <c:pt idx="3">
                  <c:v>2021A</c:v>
                </c:pt>
                <c:pt idx="4">
                  <c:v>2022E</c:v>
                </c:pt>
                <c:pt idx="5">
                  <c:v>2023F</c:v>
                </c:pt>
                <c:pt idx="6">
                  <c:v>2024F</c:v>
                </c:pt>
                <c:pt idx="7">
                  <c:v>2025F</c:v>
                </c:pt>
                <c:pt idx="8">
                  <c:v>2026F</c:v>
                </c:pt>
                <c:pt idx="9">
                  <c:v>2027F</c:v>
                </c:pt>
                <c:pt idx="10">
                  <c:v>2028F</c:v>
                </c:pt>
              </c:strCache>
            </c:strRef>
          </c:cat>
          <c:val>
            <c:numRef>
              <c:f>'REV CE'!$P$18:$Z$18</c:f>
              <c:numCache>
                <c:formatCode>_(* #,##0_);_(* \(#,##0\);_(* "-"??_);_(@_)</c:formatCode>
                <c:ptCount val="11"/>
                <c:pt idx="0">
                  <c:v>33.097000000000001</c:v>
                </c:pt>
                <c:pt idx="1">
                  <c:v>40.801999999999992</c:v>
                </c:pt>
                <c:pt idx="2">
                  <c:v>37.949999999999996</c:v>
                </c:pt>
                <c:pt idx="3">
                  <c:v>44.067999999999998</c:v>
                </c:pt>
                <c:pt idx="4">
                  <c:v>62.030999999999999</c:v>
                </c:pt>
                <c:pt idx="5">
                  <c:v>75.62399999999954</c:v>
                </c:pt>
                <c:pt idx="6">
                  <c:v>88.733999999999995</c:v>
                </c:pt>
                <c:pt idx="7">
                  <c:v>98.025999999999996</c:v>
                </c:pt>
                <c:pt idx="8">
                  <c:v>107.34099999999999</c:v>
                </c:pt>
                <c:pt idx="9">
                  <c:v>116.63299999999954</c:v>
                </c:pt>
                <c:pt idx="10">
                  <c:v>125.71799999999999</c:v>
                </c:pt>
              </c:numCache>
            </c:numRef>
          </c:val>
          <c:extLst>
            <c:ext xmlns:c16="http://schemas.microsoft.com/office/drawing/2014/chart" uri="{C3380CC4-5D6E-409C-BE32-E72D297353CC}">
              <c16:uniqueId val="{00000001-3F1B-4DB6-9EEB-53E0CC93778E}"/>
            </c:ext>
          </c:extLst>
        </c:ser>
        <c:ser>
          <c:idx val="2"/>
          <c:order val="2"/>
          <c:tx>
            <c:strRef>
              <c:f>'REV CE'!$O$19</c:f>
              <c:strCache>
                <c:ptCount val="1"/>
                <c:pt idx="0">
                  <c:v>Máy chơi Game</c:v>
                </c:pt>
              </c:strCache>
            </c:strRef>
          </c:tx>
          <c:spPr>
            <a:solidFill>
              <a:schemeClr val="accent3"/>
            </a:solidFill>
            <a:ln>
              <a:noFill/>
            </a:ln>
            <a:effectLst/>
          </c:spPr>
          <c:invertIfNegative val="0"/>
          <c:cat>
            <c:strRef>
              <c:f>'REV CE'!$P$16:$Z$16</c:f>
              <c:strCache>
                <c:ptCount val="11"/>
                <c:pt idx="0">
                  <c:v> 2018A </c:v>
                </c:pt>
                <c:pt idx="1">
                  <c:v>2019A</c:v>
                </c:pt>
                <c:pt idx="2">
                  <c:v>2020A</c:v>
                </c:pt>
                <c:pt idx="3">
                  <c:v>2021A</c:v>
                </c:pt>
                <c:pt idx="4">
                  <c:v>2022E</c:v>
                </c:pt>
                <c:pt idx="5">
                  <c:v>2023F</c:v>
                </c:pt>
                <c:pt idx="6">
                  <c:v>2024F</c:v>
                </c:pt>
                <c:pt idx="7">
                  <c:v>2025F</c:v>
                </c:pt>
                <c:pt idx="8">
                  <c:v>2026F</c:v>
                </c:pt>
                <c:pt idx="9">
                  <c:v>2027F</c:v>
                </c:pt>
                <c:pt idx="10">
                  <c:v>2028F</c:v>
                </c:pt>
              </c:strCache>
            </c:strRef>
          </c:cat>
          <c:val>
            <c:numRef>
              <c:f>'REV CE'!$P$19:$Z$19</c:f>
              <c:numCache>
                <c:formatCode>_(* #,##0_);_(* \(#,##0\);_(* "-"??_);_(@_)</c:formatCode>
                <c:ptCount val="11"/>
                <c:pt idx="0">
                  <c:v>489.44000000000005</c:v>
                </c:pt>
                <c:pt idx="1">
                  <c:v>647.21999999999991</c:v>
                </c:pt>
                <c:pt idx="2">
                  <c:v>908.72999999999536</c:v>
                </c:pt>
                <c:pt idx="3">
                  <c:v>1263.3899999999999</c:v>
                </c:pt>
                <c:pt idx="4">
                  <c:v>1602.6399999999999</c:v>
                </c:pt>
                <c:pt idx="5">
                  <c:v>1719.48</c:v>
                </c:pt>
                <c:pt idx="6">
                  <c:v>1788.94</c:v>
                </c:pt>
                <c:pt idx="7">
                  <c:v>1854.72</c:v>
                </c:pt>
                <c:pt idx="8">
                  <c:v>2002.1499999999999</c:v>
                </c:pt>
                <c:pt idx="9">
                  <c:v>1983.2899999999997</c:v>
                </c:pt>
                <c:pt idx="10">
                  <c:v>2013.6499999999999</c:v>
                </c:pt>
              </c:numCache>
            </c:numRef>
          </c:val>
          <c:extLst>
            <c:ext xmlns:c16="http://schemas.microsoft.com/office/drawing/2014/chart" uri="{C3380CC4-5D6E-409C-BE32-E72D297353CC}">
              <c16:uniqueId val="{00000002-3F1B-4DB6-9EEB-53E0CC93778E}"/>
            </c:ext>
          </c:extLst>
        </c:ser>
        <c:ser>
          <c:idx val="3"/>
          <c:order val="3"/>
          <c:tx>
            <c:strRef>
              <c:f>'REV CE'!$O$20</c:f>
              <c:strCache>
                <c:ptCount val="1"/>
                <c:pt idx="0">
                  <c:v>Điện thoại</c:v>
                </c:pt>
              </c:strCache>
            </c:strRef>
          </c:tx>
          <c:spPr>
            <a:solidFill>
              <a:schemeClr val="accent4"/>
            </a:solidFill>
            <a:ln>
              <a:noFill/>
            </a:ln>
            <a:effectLst/>
          </c:spPr>
          <c:invertIfNegative val="0"/>
          <c:cat>
            <c:strRef>
              <c:f>'REV CE'!$P$16:$Z$16</c:f>
              <c:strCache>
                <c:ptCount val="11"/>
                <c:pt idx="0">
                  <c:v> 2018A </c:v>
                </c:pt>
                <c:pt idx="1">
                  <c:v>2019A</c:v>
                </c:pt>
                <c:pt idx="2">
                  <c:v>2020A</c:v>
                </c:pt>
                <c:pt idx="3">
                  <c:v>2021A</c:v>
                </c:pt>
                <c:pt idx="4">
                  <c:v>2022E</c:v>
                </c:pt>
                <c:pt idx="5">
                  <c:v>2023F</c:v>
                </c:pt>
                <c:pt idx="6">
                  <c:v>2024F</c:v>
                </c:pt>
                <c:pt idx="7">
                  <c:v>2025F</c:v>
                </c:pt>
                <c:pt idx="8">
                  <c:v>2026F</c:v>
                </c:pt>
                <c:pt idx="9">
                  <c:v>2027F</c:v>
                </c:pt>
                <c:pt idx="10">
                  <c:v>2028F</c:v>
                </c:pt>
              </c:strCache>
            </c:strRef>
          </c:cat>
          <c:val>
            <c:numRef>
              <c:f>'REV CE'!$P$20:$Z$20</c:f>
              <c:numCache>
                <c:formatCode>_(* #,##0_);_(* \(#,##0\);_(* "-"??_);_(@_)</c:formatCode>
                <c:ptCount val="11"/>
                <c:pt idx="0">
                  <c:v>91126</c:v>
                </c:pt>
                <c:pt idx="1">
                  <c:v>99199</c:v>
                </c:pt>
                <c:pt idx="2">
                  <c:v>91563</c:v>
                </c:pt>
                <c:pt idx="3">
                  <c:v>101775</c:v>
                </c:pt>
                <c:pt idx="4">
                  <c:v>95013</c:v>
                </c:pt>
                <c:pt idx="5">
                  <c:v>97957</c:v>
                </c:pt>
                <c:pt idx="6">
                  <c:v>96232</c:v>
                </c:pt>
                <c:pt idx="7">
                  <c:v>97543</c:v>
                </c:pt>
                <c:pt idx="8">
                  <c:v>98831</c:v>
                </c:pt>
                <c:pt idx="9">
                  <c:v>100119</c:v>
                </c:pt>
                <c:pt idx="10">
                  <c:v>101476</c:v>
                </c:pt>
              </c:numCache>
            </c:numRef>
          </c:val>
          <c:extLst>
            <c:ext xmlns:c16="http://schemas.microsoft.com/office/drawing/2014/chart" uri="{C3380CC4-5D6E-409C-BE32-E72D297353CC}">
              <c16:uniqueId val="{00000003-3F1B-4DB6-9EEB-53E0CC93778E}"/>
            </c:ext>
          </c:extLst>
        </c:ser>
        <c:ser>
          <c:idx val="4"/>
          <c:order val="4"/>
          <c:tx>
            <c:strRef>
              <c:f>'REV CE'!$O$21</c:f>
              <c:strCache>
                <c:ptCount val="1"/>
                <c:pt idx="0">
                  <c:v>TV</c:v>
                </c:pt>
              </c:strCache>
            </c:strRef>
          </c:tx>
          <c:spPr>
            <a:solidFill>
              <a:schemeClr val="accent5"/>
            </a:solidFill>
            <a:ln>
              <a:noFill/>
            </a:ln>
            <a:effectLst/>
          </c:spPr>
          <c:invertIfNegative val="0"/>
          <c:cat>
            <c:strRef>
              <c:f>'REV CE'!$P$16:$Z$16</c:f>
              <c:strCache>
                <c:ptCount val="11"/>
                <c:pt idx="0">
                  <c:v> 2018A </c:v>
                </c:pt>
                <c:pt idx="1">
                  <c:v>2019A</c:v>
                </c:pt>
                <c:pt idx="2">
                  <c:v>2020A</c:v>
                </c:pt>
                <c:pt idx="3">
                  <c:v>2021A</c:v>
                </c:pt>
                <c:pt idx="4">
                  <c:v>2022E</c:v>
                </c:pt>
                <c:pt idx="5">
                  <c:v>2023F</c:v>
                </c:pt>
                <c:pt idx="6">
                  <c:v>2024F</c:v>
                </c:pt>
                <c:pt idx="7">
                  <c:v>2025F</c:v>
                </c:pt>
                <c:pt idx="8">
                  <c:v>2026F</c:v>
                </c:pt>
                <c:pt idx="9">
                  <c:v>2027F</c:v>
                </c:pt>
                <c:pt idx="10">
                  <c:v>2028F</c:v>
                </c:pt>
              </c:strCache>
            </c:strRef>
          </c:cat>
          <c:val>
            <c:numRef>
              <c:f>'REV CE'!$P$21:$Z$21</c:f>
              <c:numCache>
                <c:formatCode>_(* #,##0_);_(* \(#,##0\);_(* "-"??_);_(@_)</c:formatCode>
                <c:ptCount val="11"/>
                <c:pt idx="0">
                  <c:v>27623</c:v>
                </c:pt>
                <c:pt idx="1">
                  <c:v>29003</c:v>
                </c:pt>
                <c:pt idx="2">
                  <c:v>28497</c:v>
                </c:pt>
                <c:pt idx="3">
                  <c:v>30337</c:v>
                </c:pt>
                <c:pt idx="4">
                  <c:v>28727</c:v>
                </c:pt>
                <c:pt idx="5">
                  <c:v>30245</c:v>
                </c:pt>
                <c:pt idx="6">
                  <c:v>31510</c:v>
                </c:pt>
                <c:pt idx="7">
                  <c:v>32591</c:v>
                </c:pt>
                <c:pt idx="8">
                  <c:v>33672</c:v>
                </c:pt>
                <c:pt idx="9">
                  <c:v>34753</c:v>
                </c:pt>
                <c:pt idx="10">
                  <c:v>35811</c:v>
                </c:pt>
              </c:numCache>
            </c:numRef>
          </c:val>
          <c:extLst>
            <c:ext xmlns:c16="http://schemas.microsoft.com/office/drawing/2014/chart" uri="{C3380CC4-5D6E-409C-BE32-E72D297353CC}">
              <c16:uniqueId val="{00000004-3F1B-4DB6-9EEB-53E0CC93778E}"/>
            </c:ext>
          </c:extLst>
        </c:ser>
        <c:ser>
          <c:idx val="5"/>
          <c:order val="5"/>
          <c:tx>
            <c:strRef>
              <c:f>'REV CE'!$O$22</c:f>
              <c:strCache>
                <c:ptCount val="1"/>
                <c:pt idx="0">
                  <c:v>TB ngoại vi</c:v>
                </c:pt>
              </c:strCache>
            </c:strRef>
          </c:tx>
          <c:spPr>
            <a:solidFill>
              <a:schemeClr val="accent6"/>
            </a:solidFill>
            <a:ln>
              <a:noFill/>
            </a:ln>
            <a:effectLst/>
          </c:spPr>
          <c:invertIfNegative val="0"/>
          <c:cat>
            <c:strRef>
              <c:f>'REV CE'!$P$16:$Z$16</c:f>
              <c:strCache>
                <c:ptCount val="11"/>
                <c:pt idx="0">
                  <c:v> 2018A </c:v>
                </c:pt>
                <c:pt idx="1">
                  <c:v>2019A</c:v>
                </c:pt>
                <c:pt idx="2">
                  <c:v>2020A</c:v>
                </c:pt>
                <c:pt idx="3">
                  <c:v>2021A</c:v>
                </c:pt>
                <c:pt idx="4">
                  <c:v>2022E</c:v>
                </c:pt>
                <c:pt idx="5">
                  <c:v>2023F</c:v>
                </c:pt>
                <c:pt idx="6">
                  <c:v>2024F</c:v>
                </c:pt>
                <c:pt idx="7">
                  <c:v>2025F</c:v>
                </c:pt>
                <c:pt idx="8">
                  <c:v>2026F</c:v>
                </c:pt>
                <c:pt idx="9">
                  <c:v>2027F</c:v>
                </c:pt>
                <c:pt idx="10">
                  <c:v>2028F</c:v>
                </c:pt>
              </c:strCache>
            </c:strRef>
          </c:cat>
          <c:val>
            <c:numRef>
              <c:f>'REV CE'!$P$22:$Z$22</c:f>
              <c:numCache>
                <c:formatCode>_(* #,##0_);_(* \(#,##0\);_(* "-"??_);_(@_)</c:formatCode>
                <c:ptCount val="11"/>
                <c:pt idx="0">
                  <c:v>1450.6100000000001</c:v>
                </c:pt>
                <c:pt idx="1">
                  <c:v>1328.71</c:v>
                </c:pt>
                <c:pt idx="2">
                  <c:v>1274.2</c:v>
                </c:pt>
                <c:pt idx="3">
                  <c:v>1293.98</c:v>
                </c:pt>
                <c:pt idx="4">
                  <c:v>1348.4899999999998</c:v>
                </c:pt>
                <c:pt idx="5">
                  <c:v>1433.82</c:v>
                </c:pt>
                <c:pt idx="6">
                  <c:v>1531.8</c:v>
                </c:pt>
                <c:pt idx="7">
                  <c:v>1639.6699999999998</c:v>
                </c:pt>
                <c:pt idx="8">
                  <c:v>1753.2899999999997</c:v>
                </c:pt>
                <c:pt idx="9">
                  <c:v>1870.3599999999954</c:v>
                </c:pt>
                <c:pt idx="10">
                  <c:v>1988.12</c:v>
                </c:pt>
              </c:numCache>
            </c:numRef>
          </c:val>
          <c:extLst>
            <c:ext xmlns:c16="http://schemas.microsoft.com/office/drawing/2014/chart" uri="{C3380CC4-5D6E-409C-BE32-E72D297353CC}">
              <c16:uniqueId val="{00000005-3F1B-4DB6-9EEB-53E0CC93778E}"/>
            </c:ext>
          </c:extLst>
        </c:ser>
        <c:dLbls>
          <c:showLegendKey val="0"/>
          <c:showVal val="0"/>
          <c:showCatName val="0"/>
          <c:showSerName val="0"/>
          <c:showPercent val="0"/>
          <c:showBubbleSize val="0"/>
        </c:dLbls>
        <c:gapWidth val="150"/>
        <c:overlap val="100"/>
        <c:axId val="981009679"/>
        <c:axId val="981021327"/>
      </c:barChart>
      <c:catAx>
        <c:axId val="9810096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alibri (Body)"/>
                <a:ea typeface="+mn-ea"/>
                <a:cs typeface="+mn-cs"/>
              </a:defRPr>
            </a:pPr>
            <a:endParaRPr lang="vi-VN"/>
          </a:p>
        </c:txPr>
        <c:crossAx val="981021327"/>
        <c:crosses val="autoZero"/>
        <c:auto val="1"/>
        <c:lblAlgn val="ctr"/>
        <c:lblOffset val="100"/>
        <c:noMultiLvlLbl val="0"/>
      </c:catAx>
      <c:valAx>
        <c:axId val="981021327"/>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alibri (Body)"/>
                <a:ea typeface="+mn-ea"/>
                <a:cs typeface="+mn-cs"/>
              </a:defRPr>
            </a:pPr>
            <a:endParaRPr lang="vi-VN"/>
          </a:p>
        </c:txPr>
        <c:crossAx val="98100967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Calibri (Body)"/>
              <a:ea typeface="+mn-ea"/>
              <a:cs typeface="+mn-cs"/>
            </a:defRPr>
          </a:pPr>
          <a:endParaRPr lang="vi-V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Calibri (Body)"/>
        </a:defRPr>
      </a:pPr>
      <a:endParaRPr lang="vi-VN"/>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'REV CE'!$O$17</c:f>
              <c:strCache>
                <c:ptCount val="1"/>
                <c:pt idx="0">
                  <c:v>Máy tính</c:v>
                </c:pt>
              </c:strCache>
            </c:strRef>
          </c:tx>
          <c:spPr>
            <a:solidFill>
              <a:schemeClr val="accent1"/>
            </a:solidFill>
            <a:ln>
              <a:noFill/>
            </a:ln>
            <a:effectLst/>
          </c:spPr>
          <c:invertIfNegative val="0"/>
          <c:cat>
            <c:strRef>
              <c:extLst>
                <c:ext xmlns:c15="http://schemas.microsoft.com/office/drawing/2012/chart" uri="{02D57815-91ED-43cb-92C2-25804820EDAC}">
                  <c15:fullRef>
                    <c15:sqref>'REV CE'!$P$16:$Z$16</c15:sqref>
                  </c15:fullRef>
                </c:ext>
              </c:extLst>
              <c:f>'REV CE'!$Q$16:$Z$16</c:f>
              <c:strCache>
                <c:ptCount val="10"/>
                <c:pt idx="0">
                  <c:v>2019A</c:v>
                </c:pt>
                <c:pt idx="1">
                  <c:v>2020A</c:v>
                </c:pt>
                <c:pt idx="2">
                  <c:v>2021A</c:v>
                </c:pt>
                <c:pt idx="3">
                  <c:v>2022E</c:v>
                </c:pt>
                <c:pt idx="4">
                  <c:v>2023F</c:v>
                </c:pt>
                <c:pt idx="5">
                  <c:v>2024F</c:v>
                </c:pt>
                <c:pt idx="6">
                  <c:v>2025F</c:v>
                </c:pt>
                <c:pt idx="7">
                  <c:v>2026F</c:v>
                </c:pt>
                <c:pt idx="8">
                  <c:v>2027F</c:v>
                </c:pt>
                <c:pt idx="9">
                  <c:v>2028F</c:v>
                </c:pt>
              </c:strCache>
            </c:strRef>
          </c:cat>
          <c:val>
            <c:numRef>
              <c:extLst>
                <c:ext xmlns:c15="http://schemas.microsoft.com/office/drawing/2012/chart" uri="{02D57815-91ED-43cb-92C2-25804820EDAC}">
                  <c15:fullRef>
                    <c15:sqref>'REV CE'!$P$17:$Z$17</c15:sqref>
                  </c15:fullRef>
                </c:ext>
              </c:extLst>
              <c:f>'REV CE'!$Q$17:$Z$17</c:f>
              <c:numCache>
                <c:formatCode>_(* #,##0_);_(* \(#,##0\);_(* "-"??_);_(@_)</c:formatCode>
                <c:ptCount val="10"/>
                <c:pt idx="0">
                  <c:v>42849</c:v>
                </c:pt>
                <c:pt idx="1">
                  <c:v>48116</c:v>
                </c:pt>
                <c:pt idx="2">
                  <c:v>50531</c:v>
                </c:pt>
                <c:pt idx="3">
                  <c:v>48691</c:v>
                </c:pt>
                <c:pt idx="4">
                  <c:v>49565</c:v>
                </c:pt>
                <c:pt idx="5">
                  <c:v>49795</c:v>
                </c:pt>
                <c:pt idx="6">
                  <c:v>51865</c:v>
                </c:pt>
                <c:pt idx="7">
                  <c:v>53935</c:v>
                </c:pt>
                <c:pt idx="8">
                  <c:v>56005</c:v>
                </c:pt>
                <c:pt idx="9">
                  <c:v>58167</c:v>
                </c:pt>
              </c:numCache>
            </c:numRef>
          </c:val>
          <c:extLst>
            <c:ext xmlns:c16="http://schemas.microsoft.com/office/drawing/2014/chart" uri="{C3380CC4-5D6E-409C-BE32-E72D297353CC}">
              <c16:uniqueId val="{00000000-56DB-4694-B058-3085A2260CE8}"/>
            </c:ext>
          </c:extLst>
        </c:ser>
        <c:ser>
          <c:idx val="1"/>
          <c:order val="1"/>
          <c:tx>
            <c:strRef>
              <c:f>'REV CE'!$O$18</c:f>
              <c:strCache>
                <c:ptCount val="1"/>
                <c:pt idx="0">
                  <c:v>Drone</c:v>
                </c:pt>
              </c:strCache>
            </c:strRef>
          </c:tx>
          <c:spPr>
            <a:solidFill>
              <a:schemeClr val="accent2"/>
            </a:solidFill>
            <a:ln>
              <a:noFill/>
            </a:ln>
            <a:effectLst/>
          </c:spPr>
          <c:invertIfNegative val="0"/>
          <c:cat>
            <c:strRef>
              <c:extLst>
                <c:ext xmlns:c15="http://schemas.microsoft.com/office/drawing/2012/chart" uri="{02D57815-91ED-43cb-92C2-25804820EDAC}">
                  <c15:fullRef>
                    <c15:sqref>'REV CE'!$P$16:$Z$16</c15:sqref>
                  </c15:fullRef>
                </c:ext>
              </c:extLst>
              <c:f>'REV CE'!$Q$16:$Z$16</c:f>
              <c:strCache>
                <c:ptCount val="10"/>
                <c:pt idx="0">
                  <c:v>2019A</c:v>
                </c:pt>
                <c:pt idx="1">
                  <c:v>2020A</c:v>
                </c:pt>
                <c:pt idx="2">
                  <c:v>2021A</c:v>
                </c:pt>
                <c:pt idx="3">
                  <c:v>2022E</c:v>
                </c:pt>
                <c:pt idx="4">
                  <c:v>2023F</c:v>
                </c:pt>
                <c:pt idx="5">
                  <c:v>2024F</c:v>
                </c:pt>
                <c:pt idx="6">
                  <c:v>2025F</c:v>
                </c:pt>
                <c:pt idx="7">
                  <c:v>2026F</c:v>
                </c:pt>
                <c:pt idx="8">
                  <c:v>2027F</c:v>
                </c:pt>
                <c:pt idx="9">
                  <c:v>2028F</c:v>
                </c:pt>
              </c:strCache>
            </c:strRef>
          </c:cat>
          <c:val>
            <c:numRef>
              <c:extLst>
                <c:ext xmlns:c15="http://schemas.microsoft.com/office/drawing/2012/chart" uri="{02D57815-91ED-43cb-92C2-25804820EDAC}">
                  <c15:fullRef>
                    <c15:sqref>'REV CE'!$P$18:$Z$18</c15:sqref>
                  </c15:fullRef>
                </c:ext>
              </c:extLst>
              <c:f>'REV CE'!$Q$18:$Z$18</c:f>
              <c:numCache>
                <c:formatCode>_(* #,##0_);_(* \(#,##0\);_(* "-"??_);_(@_)</c:formatCode>
                <c:ptCount val="10"/>
                <c:pt idx="0">
                  <c:v>40.801999999999992</c:v>
                </c:pt>
                <c:pt idx="1">
                  <c:v>37.949999999999996</c:v>
                </c:pt>
                <c:pt idx="2">
                  <c:v>44.067999999999998</c:v>
                </c:pt>
                <c:pt idx="3">
                  <c:v>62.030999999999999</c:v>
                </c:pt>
                <c:pt idx="4">
                  <c:v>75.62399999999954</c:v>
                </c:pt>
                <c:pt idx="5">
                  <c:v>88.733999999999995</c:v>
                </c:pt>
                <c:pt idx="6">
                  <c:v>98.025999999999996</c:v>
                </c:pt>
                <c:pt idx="7">
                  <c:v>107.34099999999999</c:v>
                </c:pt>
                <c:pt idx="8">
                  <c:v>116.63299999999954</c:v>
                </c:pt>
                <c:pt idx="9">
                  <c:v>125.71799999999999</c:v>
                </c:pt>
              </c:numCache>
            </c:numRef>
          </c:val>
          <c:extLst>
            <c:ext xmlns:c16="http://schemas.microsoft.com/office/drawing/2014/chart" uri="{C3380CC4-5D6E-409C-BE32-E72D297353CC}">
              <c16:uniqueId val="{00000001-56DB-4694-B058-3085A2260CE8}"/>
            </c:ext>
          </c:extLst>
        </c:ser>
        <c:ser>
          <c:idx val="2"/>
          <c:order val="2"/>
          <c:tx>
            <c:strRef>
              <c:f>'REV CE'!$O$19</c:f>
              <c:strCache>
                <c:ptCount val="1"/>
                <c:pt idx="0">
                  <c:v>Máy chơi Game</c:v>
                </c:pt>
              </c:strCache>
            </c:strRef>
          </c:tx>
          <c:spPr>
            <a:solidFill>
              <a:schemeClr val="accent3"/>
            </a:solidFill>
            <a:ln>
              <a:noFill/>
            </a:ln>
            <a:effectLst/>
          </c:spPr>
          <c:invertIfNegative val="0"/>
          <c:cat>
            <c:strRef>
              <c:extLst>
                <c:ext xmlns:c15="http://schemas.microsoft.com/office/drawing/2012/chart" uri="{02D57815-91ED-43cb-92C2-25804820EDAC}">
                  <c15:fullRef>
                    <c15:sqref>'REV CE'!$P$16:$Z$16</c15:sqref>
                  </c15:fullRef>
                </c:ext>
              </c:extLst>
              <c:f>'REV CE'!$Q$16:$Z$16</c:f>
              <c:strCache>
                <c:ptCount val="10"/>
                <c:pt idx="0">
                  <c:v>2019A</c:v>
                </c:pt>
                <c:pt idx="1">
                  <c:v>2020A</c:v>
                </c:pt>
                <c:pt idx="2">
                  <c:v>2021A</c:v>
                </c:pt>
                <c:pt idx="3">
                  <c:v>2022E</c:v>
                </c:pt>
                <c:pt idx="4">
                  <c:v>2023F</c:v>
                </c:pt>
                <c:pt idx="5">
                  <c:v>2024F</c:v>
                </c:pt>
                <c:pt idx="6">
                  <c:v>2025F</c:v>
                </c:pt>
                <c:pt idx="7">
                  <c:v>2026F</c:v>
                </c:pt>
                <c:pt idx="8">
                  <c:v>2027F</c:v>
                </c:pt>
                <c:pt idx="9">
                  <c:v>2028F</c:v>
                </c:pt>
              </c:strCache>
            </c:strRef>
          </c:cat>
          <c:val>
            <c:numRef>
              <c:extLst>
                <c:ext xmlns:c15="http://schemas.microsoft.com/office/drawing/2012/chart" uri="{02D57815-91ED-43cb-92C2-25804820EDAC}">
                  <c15:fullRef>
                    <c15:sqref>'REV CE'!$P$19:$Z$19</c15:sqref>
                  </c15:fullRef>
                </c:ext>
              </c:extLst>
              <c:f>'REV CE'!$Q$19:$Z$19</c:f>
              <c:numCache>
                <c:formatCode>_(* #,##0_);_(* \(#,##0\);_(* "-"??_);_(@_)</c:formatCode>
                <c:ptCount val="10"/>
                <c:pt idx="0">
                  <c:v>647.21999999999991</c:v>
                </c:pt>
                <c:pt idx="1">
                  <c:v>908.72999999999536</c:v>
                </c:pt>
                <c:pt idx="2">
                  <c:v>1263.3899999999999</c:v>
                </c:pt>
                <c:pt idx="3">
                  <c:v>1602.6399999999999</c:v>
                </c:pt>
                <c:pt idx="4">
                  <c:v>1719.48</c:v>
                </c:pt>
                <c:pt idx="5">
                  <c:v>1788.94</c:v>
                </c:pt>
                <c:pt idx="6">
                  <c:v>1854.72</c:v>
                </c:pt>
                <c:pt idx="7">
                  <c:v>2002.1499999999999</c:v>
                </c:pt>
                <c:pt idx="8">
                  <c:v>1983.2899999999997</c:v>
                </c:pt>
                <c:pt idx="9">
                  <c:v>2013.6499999999999</c:v>
                </c:pt>
              </c:numCache>
            </c:numRef>
          </c:val>
          <c:extLst>
            <c:ext xmlns:c16="http://schemas.microsoft.com/office/drawing/2014/chart" uri="{C3380CC4-5D6E-409C-BE32-E72D297353CC}">
              <c16:uniqueId val="{00000002-56DB-4694-B058-3085A2260CE8}"/>
            </c:ext>
          </c:extLst>
        </c:ser>
        <c:ser>
          <c:idx val="3"/>
          <c:order val="3"/>
          <c:tx>
            <c:strRef>
              <c:f>'REV CE'!$O$20</c:f>
              <c:strCache>
                <c:ptCount val="1"/>
                <c:pt idx="0">
                  <c:v>Điện thoại</c:v>
                </c:pt>
              </c:strCache>
            </c:strRef>
          </c:tx>
          <c:spPr>
            <a:solidFill>
              <a:schemeClr val="accent4"/>
            </a:solidFill>
            <a:ln>
              <a:noFill/>
            </a:ln>
            <a:effectLst/>
          </c:spPr>
          <c:invertIfNegative val="0"/>
          <c:cat>
            <c:strRef>
              <c:extLst>
                <c:ext xmlns:c15="http://schemas.microsoft.com/office/drawing/2012/chart" uri="{02D57815-91ED-43cb-92C2-25804820EDAC}">
                  <c15:fullRef>
                    <c15:sqref>'REV CE'!$P$16:$Z$16</c15:sqref>
                  </c15:fullRef>
                </c:ext>
              </c:extLst>
              <c:f>'REV CE'!$Q$16:$Z$16</c:f>
              <c:strCache>
                <c:ptCount val="10"/>
                <c:pt idx="0">
                  <c:v>2019A</c:v>
                </c:pt>
                <c:pt idx="1">
                  <c:v>2020A</c:v>
                </c:pt>
                <c:pt idx="2">
                  <c:v>2021A</c:v>
                </c:pt>
                <c:pt idx="3">
                  <c:v>2022E</c:v>
                </c:pt>
                <c:pt idx="4">
                  <c:v>2023F</c:v>
                </c:pt>
                <c:pt idx="5">
                  <c:v>2024F</c:v>
                </c:pt>
                <c:pt idx="6">
                  <c:v>2025F</c:v>
                </c:pt>
                <c:pt idx="7">
                  <c:v>2026F</c:v>
                </c:pt>
                <c:pt idx="8">
                  <c:v>2027F</c:v>
                </c:pt>
                <c:pt idx="9">
                  <c:v>2028F</c:v>
                </c:pt>
              </c:strCache>
            </c:strRef>
          </c:cat>
          <c:val>
            <c:numRef>
              <c:extLst>
                <c:ext xmlns:c15="http://schemas.microsoft.com/office/drawing/2012/chart" uri="{02D57815-91ED-43cb-92C2-25804820EDAC}">
                  <c15:fullRef>
                    <c15:sqref>'REV CE'!$P$20:$Z$20</c15:sqref>
                  </c15:fullRef>
                </c:ext>
              </c:extLst>
              <c:f>'REV CE'!$Q$20:$Z$20</c:f>
              <c:numCache>
                <c:formatCode>_(* #,##0_);_(* \(#,##0\);_(* "-"??_);_(@_)</c:formatCode>
                <c:ptCount val="10"/>
                <c:pt idx="0">
                  <c:v>99199</c:v>
                </c:pt>
                <c:pt idx="1">
                  <c:v>91563</c:v>
                </c:pt>
                <c:pt idx="2">
                  <c:v>101775</c:v>
                </c:pt>
                <c:pt idx="3">
                  <c:v>95013</c:v>
                </c:pt>
                <c:pt idx="4">
                  <c:v>97957</c:v>
                </c:pt>
                <c:pt idx="5">
                  <c:v>96232</c:v>
                </c:pt>
                <c:pt idx="6">
                  <c:v>97543</c:v>
                </c:pt>
                <c:pt idx="7">
                  <c:v>98831</c:v>
                </c:pt>
                <c:pt idx="8">
                  <c:v>100119</c:v>
                </c:pt>
                <c:pt idx="9">
                  <c:v>101476</c:v>
                </c:pt>
              </c:numCache>
            </c:numRef>
          </c:val>
          <c:extLst>
            <c:ext xmlns:c16="http://schemas.microsoft.com/office/drawing/2014/chart" uri="{C3380CC4-5D6E-409C-BE32-E72D297353CC}">
              <c16:uniqueId val="{00000003-56DB-4694-B058-3085A2260CE8}"/>
            </c:ext>
          </c:extLst>
        </c:ser>
        <c:ser>
          <c:idx val="4"/>
          <c:order val="4"/>
          <c:tx>
            <c:strRef>
              <c:f>'REV CE'!$O$21</c:f>
              <c:strCache>
                <c:ptCount val="1"/>
                <c:pt idx="0">
                  <c:v>TV</c:v>
                </c:pt>
              </c:strCache>
            </c:strRef>
          </c:tx>
          <c:spPr>
            <a:solidFill>
              <a:schemeClr val="accent5"/>
            </a:solidFill>
            <a:ln>
              <a:noFill/>
            </a:ln>
            <a:effectLst/>
          </c:spPr>
          <c:invertIfNegative val="0"/>
          <c:cat>
            <c:strRef>
              <c:extLst>
                <c:ext xmlns:c15="http://schemas.microsoft.com/office/drawing/2012/chart" uri="{02D57815-91ED-43cb-92C2-25804820EDAC}">
                  <c15:fullRef>
                    <c15:sqref>'REV CE'!$P$16:$Z$16</c15:sqref>
                  </c15:fullRef>
                </c:ext>
              </c:extLst>
              <c:f>'REV CE'!$Q$16:$Z$16</c:f>
              <c:strCache>
                <c:ptCount val="10"/>
                <c:pt idx="0">
                  <c:v>2019A</c:v>
                </c:pt>
                <c:pt idx="1">
                  <c:v>2020A</c:v>
                </c:pt>
                <c:pt idx="2">
                  <c:v>2021A</c:v>
                </c:pt>
                <c:pt idx="3">
                  <c:v>2022E</c:v>
                </c:pt>
                <c:pt idx="4">
                  <c:v>2023F</c:v>
                </c:pt>
                <c:pt idx="5">
                  <c:v>2024F</c:v>
                </c:pt>
                <c:pt idx="6">
                  <c:v>2025F</c:v>
                </c:pt>
                <c:pt idx="7">
                  <c:v>2026F</c:v>
                </c:pt>
                <c:pt idx="8">
                  <c:v>2027F</c:v>
                </c:pt>
                <c:pt idx="9">
                  <c:v>2028F</c:v>
                </c:pt>
              </c:strCache>
            </c:strRef>
          </c:cat>
          <c:val>
            <c:numRef>
              <c:extLst>
                <c:ext xmlns:c15="http://schemas.microsoft.com/office/drawing/2012/chart" uri="{02D57815-91ED-43cb-92C2-25804820EDAC}">
                  <c15:fullRef>
                    <c15:sqref>'REV CE'!$P$21:$Z$21</c15:sqref>
                  </c15:fullRef>
                </c:ext>
              </c:extLst>
              <c:f>'REV CE'!$Q$21:$Z$21</c:f>
              <c:numCache>
                <c:formatCode>_(* #,##0_);_(* \(#,##0\);_(* "-"??_);_(@_)</c:formatCode>
                <c:ptCount val="10"/>
                <c:pt idx="0">
                  <c:v>29003</c:v>
                </c:pt>
                <c:pt idx="1">
                  <c:v>28497</c:v>
                </c:pt>
                <c:pt idx="2">
                  <c:v>30337</c:v>
                </c:pt>
                <c:pt idx="3">
                  <c:v>28727</c:v>
                </c:pt>
                <c:pt idx="4">
                  <c:v>30245</c:v>
                </c:pt>
                <c:pt idx="5">
                  <c:v>31510</c:v>
                </c:pt>
                <c:pt idx="6">
                  <c:v>32591</c:v>
                </c:pt>
                <c:pt idx="7">
                  <c:v>33672</c:v>
                </c:pt>
                <c:pt idx="8">
                  <c:v>34753</c:v>
                </c:pt>
                <c:pt idx="9">
                  <c:v>35811</c:v>
                </c:pt>
              </c:numCache>
            </c:numRef>
          </c:val>
          <c:extLst>
            <c:ext xmlns:c16="http://schemas.microsoft.com/office/drawing/2014/chart" uri="{C3380CC4-5D6E-409C-BE32-E72D297353CC}">
              <c16:uniqueId val="{00000004-56DB-4694-B058-3085A2260CE8}"/>
            </c:ext>
          </c:extLst>
        </c:ser>
        <c:ser>
          <c:idx val="5"/>
          <c:order val="5"/>
          <c:tx>
            <c:strRef>
              <c:f>'REV CE'!$O$22</c:f>
              <c:strCache>
                <c:ptCount val="1"/>
                <c:pt idx="0">
                  <c:v>TB ngoại vi</c:v>
                </c:pt>
              </c:strCache>
            </c:strRef>
          </c:tx>
          <c:spPr>
            <a:solidFill>
              <a:schemeClr val="accent6"/>
            </a:solidFill>
            <a:ln>
              <a:noFill/>
            </a:ln>
            <a:effectLst/>
          </c:spPr>
          <c:invertIfNegative val="0"/>
          <c:cat>
            <c:strRef>
              <c:extLst>
                <c:ext xmlns:c15="http://schemas.microsoft.com/office/drawing/2012/chart" uri="{02D57815-91ED-43cb-92C2-25804820EDAC}">
                  <c15:fullRef>
                    <c15:sqref>'REV CE'!$P$16:$Z$16</c15:sqref>
                  </c15:fullRef>
                </c:ext>
              </c:extLst>
              <c:f>'REV CE'!$Q$16:$Z$16</c:f>
              <c:strCache>
                <c:ptCount val="10"/>
                <c:pt idx="0">
                  <c:v>2019A</c:v>
                </c:pt>
                <c:pt idx="1">
                  <c:v>2020A</c:v>
                </c:pt>
                <c:pt idx="2">
                  <c:v>2021A</c:v>
                </c:pt>
                <c:pt idx="3">
                  <c:v>2022E</c:v>
                </c:pt>
                <c:pt idx="4">
                  <c:v>2023F</c:v>
                </c:pt>
                <c:pt idx="5">
                  <c:v>2024F</c:v>
                </c:pt>
                <c:pt idx="6">
                  <c:v>2025F</c:v>
                </c:pt>
                <c:pt idx="7">
                  <c:v>2026F</c:v>
                </c:pt>
                <c:pt idx="8">
                  <c:v>2027F</c:v>
                </c:pt>
                <c:pt idx="9">
                  <c:v>2028F</c:v>
                </c:pt>
              </c:strCache>
            </c:strRef>
          </c:cat>
          <c:val>
            <c:numRef>
              <c:extLst>
                <c:ext xmlns:c15="http://schemas.microsoft.com/office/drawing/2012/chart" uri="{02D57815-91ED-43cb-92C2-25804820EDAC}">
                  <c15:fullRef>
                    <c15:sqref>'REV CE'!$P$22:$Z$22</c15:sqref>
                  </c15:fullRef>
                </c:ext>
              </c:extLst>
              <c:f>'REV CE'!$Q$22:$Z$22</c:f>
              <c:numCache>
                <c:formatCode>_(* #,##0_);_(* \(#,##0\);_(* "-"??_);_(@_)</c:formatCode>
                <c:ptCount val="10"/>
                <c:pt idx="0">
                  <c:v>1328.71</c:v>
                </c:pt>
                <c:pt idx="1">
                  <c:v>1274.2</c:v>
                </c:pt>
                <c:pt idx="2">
                  <c:v>1293.98</c:v>
                </c:pt>
                <c:pt idx="3">
                  <c:v>1348.4899999999998</c:v>
                </c:pt>
                <c:pt idx="4">
                  <c:v>1433.82</c:v>
                </c:pt>
                <c:pt idx="5">
                  <c:v>1531.8</c:v>
                </c:pt>
                <c:pt idx="6">
                  <c:v>1639.6699999999998</c:v>
                </c:pt>
                <c:pt idx="7">
                  <c:v>1753.2899999999997</c:v>
                </c:pt>
                <c:pt idx="8">
                  <c:v>1870.3599999999954</c:v>
                </c:pt>
                <c:pt idx="9">
                  <c:v>1988.12</c:v>
                </c:pt>
              </c:numCache>
            </c:numRef>
          </c:val>
          <c:extLst>
            <c:ext xmlns:c16="http://schemas.microsoft.com/office/drawing/2014/chart" uri="{C3380CC4-5D6E-409C-BE32-E72D297353CC}">
              <c16:uniqueId val="{00000005-56DB-4694-B058-3085A2260CE8}"/>
            </c:ext>
          </c:extLst>
        </c:ser>
        <c:dLbls>
          <c:showLegendKey val="0"/>
          <c:showVal val="0"/>
          <c:showCatName val="0"/>
          <c:showSerName val="0"/>
          <c:showPercent val="0"/>
          <c:showBubbleSize val="0"/>
        </c:dLbls>
        <c:gapWidth val="219"/>
        <c:overlap val="100"/>
        <c:axId val="1394732111"/>
        <c:axId val="1394732527"/>
      </c:barChart>
      <c:lineChart>
        <c:grouping val="standard"/>
        <c:varyColors val="0"/>
        <c:dLbls>
          <c:showLegendKey val="0"/>
          <c:showVal val="0"/>
          <c:showCatName val="0"/>
          <c:showSerName val="0"/>
          <c:showPercent val="0"/>
          <c:showBubbleSize val="0"/>
        </c:dLbls>
        <c:marker val="1"/>
        <c:smooth val="0"/>
        <c:axId val="1394734607"/>
        <c:axId val="1394730447"/>
        <c:extLst>
          <c:ext xmlns:c15="http://schemas.microsoft.com/office/drawing/2012/chart" uri="{02D57815-91ED-43cb-92C2-25804820EDAC}">
            <c15:filteredLineSeries>
              <c15:ser>
                <c:idx val="6"/>
                <c:order val="6"/>
                <c:tx>
                  <c:strRef>
                    <c:extLst>
                      <c:ext uri="{02D57815-91ED-43cb-92C2-25804820EDAC}">
                        <c15:formulaRef>
                          <c15:sqref>'REV CE'!$O$23</c15:sqref>
                        </c15:formulaRef>
                      </c:ext>
                    </c:extLst>
                    <c:strCache>
                      <c:ptCount val="1"/>
                      <c:pt idx="0">
                        <c:v>%Tăng trưởng ngành</c:v>
                      </c:pt>
                    </c:strCache>
                  </c:strRef>
                </c:tx>
                <c:spPr>
                  <a:ln w="28575" cap="rnd">
                    <a:solidFill>
                      <a:schemeClr val="accent1">
                        <a:lumMod val="60000"/>
                      </a:schemeClr>
                    </a:solidFill>
                    <a:round/>
                  </a:ln>
                  <a:effectLst/>
                </c:spPr>
                <c:marker>
                  <c:symbol val="none"/>
                </c:marker>
                <c:cat>
                  <c:strRef>
                    <c:extLst>
                      <c:ext uri="{02D57815-91ED-43cb-92C2-25804820EDAC}">
                        <c15:fullRef>
                          <c15:sqref>'REV CE'!$P$16:$Z$16</c15:sqref>
                        </c15:fullRef>
                        <c15:formulaRef>
                          <c15:sqref>'REV CE'!$Q$16:$Z$16</c15:sqref>
                        </c15:formulaRef>
                      </c:ext>
                    </c:extLst>
                    <c:strCache>
                      <c:ptCount val="10"/>
                      <c:pt idx="0">
                        <c:v>2019A</c:v>
                      </c:pt>
                      <c:pt idx="1">
                        <c:v>2020A</c:v>
                      </c:pt>
                      <c:pt idx="2">
                        <c:v>2021A</c:v>
                      </c:pt>
                      <c:pt idx="3">
                        <c:v>2022E</c:v>
                      </c:pt>
                      <c:pt idx="4">
                        <c:v>2023F</c:v>
                      </c:pt>
                      <c:pt idx="5">
                        <c:v>2024F</c:v>
                      </c:pt>
                      <c:pt idx="6">
                        <c:v>2025F</c:v>
                      </c:pt>
                      <c:pt idx="7">
                        <c:v>2026F</c:v>
                      </c:pt>
                      <c:pt idx="8">
                        <c:v>2027F</c:v>
                      </c:pt>
                      <c:pt idx="9">
                        <c:v>2028F</c:v>
                      </c:pt>
                    </c:strCache>
                  </c:strRef>
                </c:cat>
                <c:val>
                  <c:numRef>
                    <c:extLst>
                      <c:ext uri="{02D57815-91ED-43cb-92C2-25804820EDAC}">
                        <c15:fullRef>
                          <c15:sqref>'REV CE'!$P$23:$Z$23</c15:sqref>
                        </c15:fullRef>
                        <c15:formulaRef>
                          <c15:sqref>'REV CE'!$Q$23:$Z$23</c15:sqref>
                        </c15:formulaRef>
                      </c:ext>
                    </c:extLst>
                    <c:numCache>
                      <c:formatCode>0%</c:formatCode>
                      <c:ptCount val="10"/>
                      <c:pt idx="0">
                        <c:v>8.3189314793745694E-2</c:v>
                      </c:pt>
                      <c:pt idx="1">
                        <c:v>-1.5432882112674129E-2</c:v>
                      </c:pt>
                      <c:pt idx="2">
                        <c:v>8.7135151770384445E-2</c:v>
                      </c:pt>
                      <c:pt idx="3">
                        <c:v>-5.2904568179261591E-2</c:v>
                      </c:pt>
                      <c:pt idx="4">
                        <c:v>3.1644045423660394E-2</c:v>
                      </c:pt>
                      <c:pt idx="5">
                        <c:v>-2.7321057241047608E-4</c:v>
                      </c:pt>
                      <c:pt idx="6">
                        <c:v>2.5670254287464056E-2</c:v>
                      </c:pt>
                      <c:pt idx="7">
                        <c:v>2.5374907425675497E-2</c:v>
                      </c:pt>
                      <c:pt idx="8">
                        <c:v>2.3891136841944771E-2</c:v>
                      </c:pt>
                      <c:pt idx="9">
                        <c:v>2.4297002899445141E-2</c:v>
                      </c:pt>
                    </c:numCache>
                  </c:numRef>
                </c:val>
                <c:smooth val="0"/>
                <c:extLst>
                  <c:ext xmlns:c16="http://schemas.microsoft.com/office/drawing/2014/chart" uri="{C3380CC4-5D6E-409C-BE32-E72D297353CC}">
                    <c16:uniqueId val="{00000006-56DB-4694-B058-3085A2260CE8}"/>
                  </c:ext>
                </c:extLst>
              </c15:ser>
            </c15:filteredLineSeries>
          </c:ext>
        </c:extLst>
      </c:lineChart>
      <c:catAx>
        <c:axId val="13947321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Calibri (Body)"/>
                <a:ea typeface="+mn-ea"/>
                <a:cs typeface="+mn-cs"/>
              </a:defRPr>
            </a:pPr>
            <a:endParaRPr lang="vi-VN"/>
          </a:p>
        </c:txPr>
        <c:crossAx val="1394732527"/>
        <c:crosses val="autoZero"/>
        <c:auto val="1"/>
        <c:lblAlgn val="ctr"/>
        <c:lblOffset val="100"/>
        <c:noMultiLvlLbl val="0"/>
      </c:catAx>
      <c:valAx>
        <c:axId val="1394732527"/>
        <c:scaling>
          <c:orientation val="minMax"/>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Calibri (Body)"/>
                <a:ea typeface="+mn-ea"/>
                <a:cs typeface="+mn-cs"/>
              </a:defRPr>
            </a:pPr>
            <a:endParaRPr lang="vi-VN"/>
          </a:p>
        </c:txPr>
        <c:crossAx val="1394732111"/>
        <c:crosses val="autoZero"/>
        <c:crossBetween val="between"/>
      </c:valAx>
      <c:valAx>
        <c:axId val="1394730447"/>
        <c:scaling>
          <c:orientation val="minMax"/>
        </c:scaling>
        <c:delete val="0"/>
        <c:axPos val="r"/>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Calibri (Body)"/>
                <a:ea typeface="+mn-ea"/>
                <a:cs typeface="+mn-cs"/>
              </a:defRPr>
            </a:pPr>
            <a:endParaRPr lang="vi-VN"/>
          </a:p>
        </c:txPr>
        <c:crossAx val="1394734607"/>
        <c:crosses val="max"/>
        <c:crossBetween val="between"/>
      </c:valAx>
      <c:catAx>
        <c:axId val="1394734607"/>
        <c:scaling>
          <c:orientation val="minMax"/>
        </c:scaling>
        <c:delete val="1"/>
        <c:axPos val="b"/>
        <c:numFmt formatCode="General" sourceLinked="1"/>
        <c:majorTickMark val="out"/>
        <c:minorTickMark val="none"/>
        <c:tickLblPos val="nextTo"/>
        <c:crossAx val="1394730447"/>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Calibri (Body)"/>
              <a:ea typeface="+mn-ea"/>
              <a:cs typeface="+mn-cs"/>
            </a:defRPr>
          </a:pPr>
          <a:endParaRPr lang="vi-VN"/>
        </a:p>
      </c:txPr>
    </c:legend>
    <c:plotVisOnly val="1"/>
    <c:dispBlanksAs val="gap"/>
    <c:showDLblsOverMax val="0"/>
  </c:chart>
  <c:spPr>
    <a:solidFill>
      <a:schemeClr val="bg1"/>
    </a:solidFill>
    <a:ln w="9525" cap="flat" cmpd="sng" algn="ctr">
      <a:noFill/>
      <a:round/>
    </a:ln>
    <a:effectLst/>
  </c:spPr>
  <c:txPr>
    <a:bodyPr/>
    <a:lstStyle/>
    <a:p>
      <a:pPr>
        <a:defRPr sz="800">
          <a:latin typeface="Calibri (Body)"/>
        </a:defRPr>
      </a:pPr>
      <a:endParaRPr lang="vi-VN"/>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619711852949342"/>
          <c:y val="4.0506318347767474E-2"/>
          <c:w val="0.72952203470142007"/>
          <c:h val="0.74312969605731416"/>
        </c:manualLayout>
      </c:layout>
      <c:barChart>
        <c:barDir val="col"/>
        <c:grouping val="clustered"/>
        <c:varyColors val="0"/>
        <c:ser>
          <c:idx val="0"/>
          <c:order val="0"/>
          <c:tx>
            <c:strRef>
              <c:f>'REV CE'!$O$35</c:f>
              <c:strCache>
                <c:ptCount val="1"/>
                <c:pt idx="0">
                  <c:v> TGDĐ+ DMX </c:v>
                </c:pt>
              </c:strCache>
            </c:strRef>
          </c:tx>
          <c:spPr>
            <a:solidFill>
              <a:schemeClr val="accent1"/>
            </a:solidFill>
            <a:ln>
              <a:noFill/>
            </a:ln>
            <a:effectLst/>
          </c:spPr>
          <c:invertIfNegative val="0"/>
          <c:cat>
            <c:strRef>
              <c:extLst>
                <c:ext xmlns:c15="http://schemas.microsoft.com/office/drawing/2012/chart" uri="{02D57815-91ED-43cb-92C2-25804820EDAC}">
                  <c15:fullRef>
                    <c15:sqref>'REV CE'!$P$34:$W$34</c15:sqref>
                  </c15:fullRef>
                </c:ext>
              </c:extLst>
              <c:f>'REV CE'!$Q$34:$W$34</c:f>
              <c:strCache>
                <c:ptCount val="7"/>
                <c:pt idx="0">
                  <c:v> 2019A </c:v>
                </c:pt>
                <c:pt idx="1">
                  <c:v> 2020A </c:v>
                </c:pt>
                <c:pt idx="2">
                  <c:v> 2021A </c:v>
                </c:pt>
                <c:pt idx="3">
                  <c:v> 2022E </c:v>
                </c:pt>
                <c:pt idx="4">
                  <c:v> 2023F </c:v>
                </c:pt>
                <c:pt idx="5">
                  <c:v> 2024F </c:v>
                </c:pt>
                <c:pt idx="6">
                  <c:v> 2025F </c:v>
                </c:pt>
              </c:strCache>
            </c:strRef>
          </c:cat>
          <c:val>
            <c:numRef>
              <c:extLst>
                <c:ext xmlns:c15="http://schemas.microsoft.com/office/drawing/2012/chart" uri="{02D57815-91ED-43cb-92C2-25804820EDAC}">
                  <c15:fullRef>
                    <c15:sqref>'REV CE'!$P$35:$W$35</c15:sqref>
                  </c15:fullRef>
                </c:ext>
              </c:extLst>
              <c:f>'REV CE'!$Q$35:$W$35</c:f>
              <c:numCache>
                <c:formatCode>_(* #,##0_);_(* \(#,##0\);_(* "-"??_);_(@_)</c:formatCode>
                <c:ptCount val="7"/>
                <c:pt idx="0">
                  <c:v>91445.948359167087</c:v>
                </c:pt>
                <c:pt idx="1">
                  <c:v>87270.983999999997</c:v>
                </c:pt>
                <c:pt idx="2">
                  <c:v>94308.786000000007</c:v>
                </c:pt>
                <c:pt idx="3">
                  <c:v>103655.51172900001</c:v>
                </c:pt>
                <c:pt idx="4">
                  <c:v>83505.679999999993</c:v>
                </c:pt>
                <c:pt idx="5">
                  <c:v>90798.886168975005</c:v>
                </c:pt>
                <c:pt idx="6">
                  <c:v>107657.81840730226</c:v>
                </c:pt>
              </c:numCache>
            </c:numRef>
          </c:val>
          <c:extLst>
            <c:ext xmlns:c16="http://schemas.microsoft.com/office/drawing/2014/chart" uri="{C3380CC4-5D6E-409C-BE32-E72D297353CC}">
              <c16:uniqueId val="{00000000-4D3A-437A-93DB-1486A68B37F8}"/>
            </c:ext>
          </c:extLst>
        </c:ser>
        <c:dLbls>
          <c:showLegendKey val="0"/>
          <c:showVal val="0"/>
          <c:showCatName val="0"/>
          <c:showSerName val="0"/>
          <c:showPercent val="0"/>
          <c:showBubbleSize val="0"/>
        </c:dLbls>
        <c:gapWidth val="219"/>
        <c:overlap val="-27"/>
        <c:axId val="13512576"/>
        <c:axId val="13513408"/>
        <c:extLst>
          <c:ext xmlns:c15="http://schemas.microsoft.com/office/drawing/2012/chart" uri="{02D57815-91ED-43cb-92C2-25804820EDAC}">
            <c15:filteredBarSeries>
              <c15:ser>
                <c:idx val="1"/>
                <c:order val="1"/>
                <c:tx>
                  <c:strRef>
                    <c:extLst>
                      <c:ext uri="{02D57815-91ED-43cb-92C2-25804820EDAC}">
                        <c15:formulaRef>
                          <c15:sqref>'REV CE'!$O$36</c15:sqref>
                        </c15:formulaRef>
                      </c:ext>
                    </c:extLst>
                    <c:strCache>
                      <c:ptCount val="1"/>
                      <c:pt idx="0">
                        <c:v>%YoY</c:v>
                      </c:pt>
                    </c:strCache>
                  </c:strRef>
                </c:tx>
                <c:spPr>
                  <a:solidFill>
                    <a:schemeClr val="accent2"/>
                  </a:solidFill>
                  <a:ln>
                    <a:noFill/>
                  </a:ln>
                  <a:effectLst/>
                </c:spPr>
                <c:invertIfNegative val="0"/>
                <c:cat>
                  <c:strRef>
                    <c:extLst>
                      <c:ext uri="{02D57815-91ED-43cb-92C2-25804820EDAC}">
                        <c15:fullRef>
                          <c15:sqref>'REV CE'!$P$34:$W$34</c15:sqref>
                        </c15:fullRef>
                        <c15:formulaRef>
                          <c15:sqref>'REV CE'!$Q$34:$W$34</c15:sqref>
                        </c15:formulaRef>
                      </c:ext>
                    </c:extLst>
                    <c:strCache>
                      <c:ptCount val="7"/>
                      <c:pt idx="0">
                        <c:v> 2019A </c:v>
                      </c:pt>
                      <c:pt idx="1">
                        <c:v> 2020A </c:v>
                      </c:pt>
                      <c:pt idx="2">
                        <c:v> 2021A </c:v>
                      </c:pt>
                      <c:pt idx="3">
                        <c:v> 2022E </c:v>
                      </c:pt>
                      <c:pt idx="4">
                        <c:v> 2023F </c:v>
                      </c:pt>
                      <c:pt idx="5">
                        <c:v> 2024F </c:v>
                      </c:pt>
                      <c:pt idx="6">
                        <c:v> 2025F </c:v>
                      </c:pt>
                    </c:strCache>
                  </c:strRef>
                </c:cat>
                <c:val>
                  <c:numRef>
                    <c:extLst>
                      <c:ext uri="{02D57815-91ED-43cb-92C2-25804820EDAC}">
                        <c15:fullRef>
                          <c15:sqref>'REV CE'!$P$36:$W$36</c15:sqref>
                        </c15:fullRef>
                        <c15:formulaRef>
                          <c15:sqref>'REV CE'!$Q$36:$W$36</c15:sqref>
                        </c15:formulaRef>
                      </c:ext>
                    </c:extLst>
                    <c:numCache>
                      <c:formatCode>0%</c:formatCode>
                      <c:ptCount val="7"/>
                      <c:pt idx="0">
                        <c:v>0.11261004152685627</c:v>
                      </c:pt>
                      <c:pt idx="1">
                        <c:v>-4.5654995481804406E-2</c:v>
                      </c:pt>
                      <c:pt idx="2">
                        <c:v>8.0643092095764812E-2</c:v>
                      </c:pt>
                      <c:pt idx="3">
                        <c:v>9.9107687898771113E-2</c:v>
                      </c:pt>
                      <c:pt idx="4">
                        <c:v>-0.19439228452877955</c:v>
                      </c:pt>
                      <c:pt idx="5">
                        <c:v>8.7337845389379609E-2</c:v>
                      </c:pt>
                      <c:pt idx="6" formatCode="0.0%">
                        <c:v>0.18567333752258919</c:v>
                      </c:pt>
                    </c:numCache>
                  </c:numRef>
                </c:val>
                <c:extLst>
                  <c:ext xmlns:c16="http://schemas.microsoft.com/office/drawing/2014/chart" uri="{C3380CC4-5D6E-409C-BE32-E72D297353CC}">
                    <c16:uniqueId val="{00000001-4D3A-437A-93DB-1486A68B37F8}"/>
                  </c:ext>
                </c:extLst>
              </c15:ser>
            </c15:filteredBarSeries>
          </c:ext>
        </c:extLst>
      </c:barChart>
      <c:lineChart>
        <c:grouping val="standard"/>
        <c:varyColors val="0"/>
        <c:ser>
          <c:idx val="2"/>
          <c:order val="2"/>
          <c:tx>
            <c:strRef>
              <c:f>'REV CE'!$O$37</c:f>
              <c:strCache>
                <c:ptCount val="1"/>
                <c:pt idx="0">
                  <c:v>Thị phần MWG (%)</c:v>
                </c:pt>
              </c:strCache>
            </c:strRef>
          </c:tx>
          <c:spPr>
            <a:ln w="28575" cap="rnd">
              <a:solidFill>
                <a:schemeClr val="accent3"/>
              </a:solidFill>
              <a:round/>
            </a:ln>
            <a:effectLst/>
          </c:spPr>
          <c:marker>
            <c:symbol val="none"/>
          </c:marker>
          <c:cat>
            <c:strRef>
              <c:extLst>
                <c:ext xmlns:c15="http://schemas.microsoft.com/office/drawing/2012/chart" uri="{02D57815-91ED-43cb-92C2-25804820EDAC}">
                  <c15:fullRef>
                    <c15:sqref>'REV CE'!$P$34:$W$34</c15:sqref>
                  </c15:fullRef>
                </c:ext>
              </c:extLst>
              <c:f>'REV CE'!$Q$34:$W$34</c:f>
              <c:strCache>
                <c:ptCount val="7"/>
                <c:pt idx="0">
                  <c:v> 2019A </c:v>
                </c:pt>
                <c:pt idx="1">
                  <c:v> 2020A </c:v>
                </c:pt>
                <c:pt idx="2">
                  <c:v> 2021A </c:v>
                </c:pt>
                <c:pt idx="3">
                  <c:v> 2022E </c:v>
                </c:pt>
                <c:pt idx="4">
                  <c:v> 2023F </c:v>
                </c:pt>
                <c:pt idx="5">
                  <c:v> 2024F </c:v>
                </c:pt>
                <c:pt idx="6">
                  <c:v> 2025F </c:v>
                </c:pt>
              </c:strCache>
            </c:strRef>
          </c:cat>
          <c:val>
            <c:numRef>
              <c:extLst>
                <c:ext xmlns:c15="http://schemas.microsoft.com/office/drawing/2012/chart" uri="{02D57815-91ED-43cb-92C2-25804820EDAC}">
                  <c15:fullRef>
                    <c15:sqref>'REV CE'!$P$37:$W$37</c15:sqref>
                  </c15:fullRef>
                </c:ext>
              </c:extLst>
              <c:f>'REV CE'!$Q$37:$W$37</c:f>
              <c:numCache>
                <c:formatCode>0.0%</c:formatCode>
                <c:ptCount val="7"/>
                <c:pt idx="0">
                  <c:v>0.52838217353779227</c:v>
                </c:pt>
                <c:pt idx="1">
                  <c:v>0.51216303960495047</c:v>
                </c:pt>
                <c:pt idx="2">
                  <c:v>0.50910454866126675</c:v>
                </c:pt>
                <c:pt idx="3">
                  <c:v>0.52117314835752726</c:v>
                </c:pt>
                <c:pt idx="4">
                  <c:v>0.48026905031259459</c:v>
                </c:pt>
                <c:pt idx="5">
                  <c:v>0.49266987508052262</c:v>
                </c:pt>
                <c:pt idx="6">
                  <c:v>0.56952566640373903</c:v>
                </c:pt>
              </c:numCache>
            </c:numRef>
          </c:val>
          <c:smooth val="0"/>
          <c:extLst>
            <c:ext xmlns:c16="http://schemas.microsoft.com/office/drawing/2014/chart" uri="{C3380CC4-5D6E-409C-BE32-E72D297353CC}">
              <c16:uniqueId val="{00000002-4D3A-437A-93DB-1486A68B37F8}"/>
            </c:ext>
          </c:extLst>
        </c:ser>
        <c:dLbls>
          <c:showLegendKey val="0"/>
          <c:showVal val="0"/>
          <c:showCatName val="0"/>
          <c:showSerName val="0"/>
          <c:showPercent val="0"/>
          <c:showBubbleSize val="0"/>
        </c:dLbls>
        <c:marker val="1"/>
        <c:smooth val="0"/>
        <c:axId val="884118368"/>
        <c:axId val="884117952"/>
      </c:lineChart>
      <c:catAx>
        <c:axId val="135125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vi-VN"/>
          </a:p>
        </c:txPr>
        <c:crossAx val="13513408"/>
        <c:crosses val="autoZero"/>
        <c:auto val="1"/>
        <c:lblAlgn val="ctr"/>
        <c:lblOffset val="100"/>
        <c:noMultiLvlLbl val="0"/>
      </c:catAx>
      <c:valAx>
        <c:axId val="13513408"/>
        <c:scaling>
          <c:orientation val="minMax"/>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vi-VN"/>
          </a:p>
        </c:txPr>
        <c:crossAx val="13512576"/>
        <c:crosses val="autoZero"/>
        <c:crossBetween val="between"/>
      </c:valAx>
      <c:valAx>
        <c:axId val="884117952"/>
        <c:scaling>
          <c:orientation val="minMax"/>
        </c:scaling>
        <c:delete val="0"/>
        <c:axPos val="r"/>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vi-VN"/>
          </a:p>
        </c:txPr>
        <c:crossAx val="884118368"/>
        <c:crosses val="max"/>
        <c:crossBetween val="between"/>
      </c:valAx>
      <c:catAx>
        <c:axId val="884118368"/>
        <c:scaling>
          <c:orientation val="minMax"/>
        </c:scaling>
        <c:delete val="1"/>
        <c:axPos val="b"/>
        <c:numFmt formatCode="General" sourceLinked="1"/>
        <c:majorTickMark val="none"/>
        <c:minorTickMark val="none"/>
        <c:tickLblPos val="nextTo"/>
        <c:crossAx val="884117952"/>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vi-V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vi-VN"/>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vi-VN"/>
        </a:p>
      </c:txPr>
    </c:title>
    <c:autoTitleDeleted val="0"/>
    <c:plotArea>
      <c:layout/>
      <c:barChart>
        <c:barDir val="col"/>
        <c:grouping val="clustered"/>
        <c:varyColors val="0"/>
        <c:ser>
          <c:idx val="0"/>
          <c:order val="0"/>
          <c:tx>
            <c:strRef>
              <c:f>'REV CE'!$P$42</c:f>
              <c:strCache>
                <c:ptCount val="1"/>
                <c:pt idx="0">
                  <c:v>TGDĐ</c:v>
                </c:pt>
              </c:strCache>
            </c:strRef>
          </c:tx>
          <c:spPr>
            <a:solidFill>
              <a:schemeClr val="accent1"/>
            </a:solidFill>
            <a:ln>
              <a:noFill/>
            </a:ln>
            <a:effectLst/>
          </c:spPr>
          <c:invertIfNegative val="0"/>
          <c:cat>
            <c:strRef>
              <c:f>'REV CE'!$Q$41:$W$41</c:f>
              <c:strCache>
                <c:ptCount val="7"/>
                <c:pt idx="0">
                  <c:v> 2018A </c:v>
                </c:pt>
                <c:pt idx="1">
                  <c:v> 2019A </c:v>
                </c:pt>
                <c:pt idx="2">
                  <c:v> 2020A </c:v>
                </c:pt>
                <c:pt idx="3">
                  <c:v> 2021A </c:v>
                </c:pt>
                <c:pt idx="4">
                  <c:v> 2022E </c:v>
                </c:pt>
                <c:pt idx="5">
                  <c:v> 2023F </c:v>
                </c:pt>
                <c:pt idx="6">
                  <c:v> 2024F </c:v>
                </c:pt>
              </c:strCache>
            </c:strRef>
          </c:cat>
          <c:val>
            <c:numRef>
              <c:f>'REV CE'!$Q$42:$W$42</c:f>
              <c:numCache>
                <c:formatCode>General</c:formatCode>
                <c:ptCount val="7"/>
                <c:pt idx="0">
                  <c:v>1032</c:v>
                </c:pt>
                <c:pt idx="1">
                  <c:v>996</c:v>
                </c:pt>
                <c:pt idx="2">
                  <c:v>913</c:v>
                </c:pt>
                <c:pt idx="3">
                  <c:v>970</c:v>
                </c:pt>
                <c:pt idx="4">
                  <c:v>1190</c:v>
                </c:pt>
                <c:pt idx="5">
                  <c:v>1101</c:v>
                </c:pt>
                <c:pt idx="6">
                  <c:v>1109</c:v>
                </c:pt>
              </c:numCache>
            </c:numRef>
          </c:val>
          <c:extLst>
            <c:ext xmlns:c16="http://schemas.microsoft.com/office/drawing/2014/chart" uri="{C3380CC4-5D6E-409C-BE32-E72D297353CC}">
              <c16:uniqueId val="{00000000-D9E6-4C93-9C5F-B5BD4252777E}"/>
            </c:ext>
          </c:extLst>
        </c:ser>
        <c:ser>
          <c:idx val="1"/>
          <c:order val="1"/>
          <c:tx>
            <c:strRef>
              <c:f>'REV CE'!$P$43</c:f>
              <c:strCache>
                <c:ptCount val="1"/>
                <c:pt idx="0">
                  <c:v>ĐMX</c:v>
                </c:pt>
              </c:strCache>
            </c:strRef>
          </c:tx>
          <c:spPr>
            <a:solidFill>
              <a:schemeClr val="accent2"/>
            </a:solidFill>
            <a:ln>
              <a:noFill/>
            </a:ln>
            <a:effectLst/>
          </c:spPr>
          <c:invertIfNegative val="0"/>
          <c:cat>
            <c:strRef>
              <c:f>'REV CE'!$Q$41:$W$41</c:f>
              <c:strCache>
                <c:ptCount val="7"/>
                <c:pt idx="0">
                  <c:v> 2018A </c:v>
                </c:pt>
                <c:pt idx="1">
                  <c:v> 2019A </c:v>
                </c:pt>
                <c:pt idx="2">
                  <c:v> 2020A </c:v>
                </c:pt>
                <c:pt idx="3">
                  <c:v> 2021A </c:v>
                </c:pt>
                <c:pt idx="4">
                  <c:v> 2022E </c:v>
                </c:pt>
                <c:pt idx="5">
                  <c:v> 2023F </c:v>
                </c:pt>
                <c:pt idx="6">
                  <c:v> 2024F </c:v>
                </c:pt>
              </c:strCache>
            </c:strRef>
          </c:cat>
          <c:val>
            <c:numRef>
              <c:f>'REV CE'!$Q$43:$W$43</c:f>
              <c:numCache>
                <c:formatCode>General</c:formatCode>
                <c:ptCount val="7"/>
                <c:pt idx="0">
                  <c:v>750</c:v>
                </c:pt>
                <c:pt idx="1">
                  <c:v>1018</c:v>
                </c:pt>
                <c:pt idx="2">
                  <c:v>1427</c:v>
                </c:pt>
                <c:pt idx="3">
                  <c:v>1992</c:v>
                </c:pt>
                <c:pt idx="4" formatCode="_(* #,##0_);_(* \(#,##0\);_(* &quot;-&quot;??_);_(@_)">
                  <c:v>2284</c:v>
                </c:pt>
                <c:pt idx="5">
                  <c:v>2148</c:v>
                </c:pt>
                <c:pt idx="6">
                  <c:v>1990</c:v>
                </c:pt>
              </c:numCache>
            </c:numRef>
          </c:val>
          <c:extLst>
            <c:ext xmlns:c16="http://schemas.microsoft.com/office/drawing/2014/chart" uri="{C3380CC4-5D6E-409C-BE32-E72D297353CC}">
              <c16:uniqueId val="{00000001-D9E6-4C93-9C5F-B5BD4252777E}"/>
            </c:ext>
          </c:extLst>
        </c:ser>
        <c:dLbls>
          <c:showLegendKey val="0"/>
          <c:showVal val="0"/>
          <c:showCatName val="0"/>
          <c:showSerName val="0"/>
          <c:showPercent val="0"/>
          <c:showBubbleSize val="0"/>
        </c:dLbls>
        <c:gapWidth val="219"/>
        <c:overlap val="-27"/>
        <c:axId val="998764496"/>
        <c:axId val="998761584"/>
      </c:barChart>
      <c:catAx>
        <c:axId val="998764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vi-VN"/>
          </a:p>
        </c:txPr>
        <c:crossAx val="998761584"/>
        <c:crosses val="autoZero"/>
        <c:auto val="1"/>
        <c:lblAlgn val="ctr"/>
        <c:lblOffset val="100"/>
        <c:noMultiLvlLbl val="0"/>
      </c:catAx>
      <c:valAx>
        <c:axId val="9987615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vi-VN"/>
          </a:p>
        </c:txPr>
        <c:crossAx val="9987644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vi-V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vi-VN"/>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'biểu đồ'!$K$2</c:f>
              <c:strCache>
                <c:ptCount val="1"/>
                <c:pt idx="0">
                  <c:v>TGDĐ</c:v>
                </c:pt>
              </c:strCache>
            </c:strRef>
          </c:tx>
          <c:spPr>
            <a:solidFill>
              <a:schemeClr val="accent1"/>
            </a:solidFill>
            <a:ln>
              <a:noFill/>
            </a:ln>
            <a:effectLst/>
          </c:spPr>
          <c:invertIfNegative val="0"/>
          <c:cat>
            <c:strRef>
              <c:f>'biểu đồ'!$L$1:$P$1</c:f>
              <c:strCache>
                <c:ptCount val="5"/>
                <c:pt idx="0">
                  <c:v>Q1/2022</c:v>
                </c:pt>
                <c:pt idx="1">
                  <c:v>Q2/2022</c:v>
                </c:pt>
                <c:pt idx="2">
                  <c:v>Q3/2022</c:v>
                </c:pt>
                <c:pt idx="3">
                  <c:v>Q4/2022</c:v>
                </c:pt>
                <c:pt idx="4">
                  <c:v>Q1/2023</c:v>
                </c:pt>
              </c:strCache>
            </c:strRef>
          </c:cat>
          <c:val>
            <c:numRef>
              <c:f>'biểu đồ'!$L$2:$P$2</c:f>
              <c:numCache>
                <c:formatCode>_(* #,##0_);_(* \(#,##0\);_(* "-"??_);_(@_)</c:formatCode>
                <c:ptCount val="5"/>
                <c:pt idx="0">
                  <c:v>9604.3690000000006</c:v>
                </c:pt>
                <c:pt idx="1">
                  <c:v>8395.6309999999994</c:v>
                </c:pt>
                <c:pt idx="2">
                  <c:v>7529.5768730895661</c:v>
                </c:pt>
                <c:pt idx="3">
                  <c:v>6552.4664335500038</c:v>
                </c:pt>
                <c:pt idx="4">
                  <c:v>5706.7949636169196</c:v>
                </c:pt>
              </c:numCache>
            </c:numRef>
          </c:val>
          <c:extLst>
            <c:ext xmlns:c16="http://schemas.microsoft.com/office/drawing/2014/chart" uri="{C3380CC4-5D6E-409C-BE32-E72D297353CC}">
              <c16:uniqueId val="{00000000-AE5E-46A3-B76A-F478C0BD7309}"/>
            </c:ext>
          </c:extLst>
        </c:ser>
        <c:ser>
          <c:idx val="1"/>
          <c:order val="1"/>
          <c:tx>
            <c:strRef>
              <c:f>'biểu đồ'!$K$3</c:f>
              <c:strCache>
                <c:ptCount val="1"/>
                <c:pt idx="0">
                  <c:v>ĐMX</c:v>
                </c:pt>
              </c:strCache>
            </c:strRef>
          </c:tx>
          <c:spPr>
            <a:solidFill>
              <a:schemeClr val="accent3"/>
            </a:solidFill>
            <a:ln>
              <a:noFill/>
            </a:ln>
            <a:effectLst/>
          </c:spPr>
          <c:invertIfNegative val="0"/>
          <c:cat>
            <c:strRef>
              <c:f>'biểu đồ'!$L$1:$P$1</c:f>
              <c:strCache>
                <c:ptCount val="5"/>
                <c:pt idx="0">
                  <c:v>Q1/2022</c:v>
                </c:pt>
                <c:pt idx="1">
                  <c:v>Q2/2022</c:v>
                </c:pt>
                <c:pt idx="2">
                  <c:v>Q3/2022</c:v>
                </c:pt>
                <c:pt idx="3">
                  <c:v>Q4/2022</c:v>
                </c:pt>
                <c:pt idx="4">
                  <c:v>Q1/2023</c:v>
                </c:pt>
              </c:strCache>
            </c:strRef>
          </c:cat>
          <c:val>
            <c:numRef>
              <c:f>'biểu đồ'!$L$3:$P$3</c:f>
              <c:numCache>
                <c:formatCode>_(* #,##0_);_(* \(#,##0\);_(* "-"??_);_(@_)</c:formatCode>
                <c:ptCount val="5"/>
                <c:pt idx="0">
                  <c:v>20213.726463204832</c:v>
                </c:pt>
                <c:pt idx="1">
                  <c:v>18265.117191273552</c:v>
                </c:pt>
                <c:pt idx="2">
                  <c:v>15521.156345521616</c:v>
                </c:pt>
                <c:pt idx="3">
                  <c:v>14970.269709</c:v>
                </c:pt>
                <c:pt idx="4">
                  <c:v>13306.07</c:v>
                </c:pt>
              </c:numCache>
            </c:numRef>
          </c:val>
          <c:extLst>
            <c:ext xmlns:c16="http://schemas.microsoft.com/office/drawing/2014/chart" uri="{C3380CC4-5D6E-409C-BE32-E72D297353CC}">
              <c16:uniqueId val="{00000001-AE5E-46A3-B76A-F478C0BD7309}"/>
            </c:ext>
          </c:extLst>
        </c:ser>
        <c:ser>
          <c:idx val="2"/>
          <c:order val="2"/>
          <c:tx>
            <c:strRef>
              <c:f>'biểu đồ'!$K$4</c:f>
              <c:strCache>
                <c:ptCount val="1"/>
                <c:pt idx="0">
                  <c:v>BHX</c:v>
                </c:pt>
              </c:strCache>
            </c:strRef>
          </c:tx>
          <c:spPr>
            <a:solidFill>
              <a:schemeClr val="accent5"/>
            </a:solidFill>
            <a:ln>
              <a:noFill/>
            </a:ln>
            <a:effectLst/>
          </c:spPr>
          <c:invertIfNegative val="0"/>
          <c:cat>
            <c:strRef>
              <c:f>'biểu đồ'!$L$1:$P$1</c:f>
              <c:strCache>
                <c:ptCount val="5"/>
                <c:pt idx="0">
                  <c:v>Q1/2022</c:v>
                </c:pt>
                <c:pt idx="1">
                  <c:v>Q2/2022</c:v>
                </c:pt>
                <c:pt idx="2">
                  <c:v>Q3/2022</c:v>
                </c:pt>
                <c:pt idx="3">
                  <c:v>Q4/2022</c:v>
                </c:pt>
                <c:pt idx="4">
                  <c:v>Q1/2023</c:v>
                </c:pt>
              </c:strCache>
            </c:strRef>
          </c:cat>
          <c:val>
            <c:numRef>
              <c:f>'biểu đồ'!$L$4:$P$4</c:f>
              <c:numCache>
                <c:formatCode>_(* #,##0_);_(* \(#,##0\);_(* "-"??_);_(@_)</c:formatCode>
                <c:ptCount val="5"/>
                <c:pt idx="0">
                  <c:v>6040</c:v>
                </c:pt>
                <c:pt idx="1">
                  <c:v>6775.5240000000013</c:v>
                </c:pt>
                <c:pt idx="2">
                  <c:v>7121.2509999999984</c:v>
                </c:pt>
                <c:pt idx="3">
                  <c:v>7144.3947310000003</c:v>
                </c:pt>
                <c:pt idx="4">
                  <c:v>6369.64</c:v>
                </c:pt>
              </c:numCache>
            </c:numRef>
          </c:val>
          <c:extLst>
            <c:ext xmlns:c16="http://schemas.microsoft.com/office/drawing/2014/chart" uri="{C3380CC4-5D6E-409C-BE32-E72D297353CC}">
              <c16:uniqueId val="{00000002-AE5E-46A3-B76A-F478C0BD7309}"/>
            </c:ext>
          </c:extLst>
        </c:ser>
        <c:ser>
          <c:idx val="3"/>
          <c:order val="3"/>
          <c:tx>
            <c:strRef>
              <c:f>'biểu đồ'!$K$5</c:f>
              <c:strCache>
                <c:ptCount val="1"/>
                <c:pt idx="0">
                  <c:v>Khác</c:v>
                </c:pt>
              </c:strCache>
            </c:strRef>
          </c:tx>
          <c:spPr>
            <a:solidFill>
              <a:schemeClr val="accent1">
                <a:lumMod val="60000"/>
              </a:schemeClr>
            </a:solidFill>
            <a:ln>
              <a:noFill/>
            </a:ln>
            <a:effectLst/>
          </c:spPr>
          <c:invertIfNegative val="0"/>
          <c:cat>
            <c:strRef>
              <c:f>'biểu đồ'!$L$1:$P$1</c:f>
              <c:strCache>
                <c:ptCount val="5"/>
                <c:pt idx="0">
                  <c:v>Q1/2022</c:v>
                </c:pt>
                <c:pt idx="1">
                  <c:v>Q2/2022</c:v>
                </c:pt>
                <c:pt idx="2">
                  <c:v>Q3/2022</c:v>
                </c:pt>
                <c:pt idx="3">
                  <c:v>Q4/2022</c:v>
                </c:pt>
                <c:pt idx="4">
                  <c:v>Q1/2023</c:v>
                </c:pt>
              </c:strCache>
            </c:strRef>
          </c:cat>
          <c:val>
            <c:numRef>
              <c:f>'biểu đồ'!$L$5:$P$5</c:f>
              <c:numCache>
                <c:formatCode>_(* #,##0_);_(* \(#,##0\);_(* "-"??_);_(@_)</c:formatCode>
                <c:ptCount val="5"/>
                <c:pt idx="0">
                  <c:v>961.07842241416802</c:v>
                </c:pt>
                <c:pt idx="1">
                  <c:v>1266.5681507624395</c:v>
                </c:pt>
                <c:pt idx="2">
                  <c:v>2150.4722375858219</c:v>
                </c:pt>
                <c:pt idx="3">
                  <c:v>2210.6473301549922</c:v>
                </c:pt>
                <c:pt idx="4">
                  <c:v>1697.8254084573127</c:v>
                </c:pt>
              </c:numCache>
            </c:numRef>
          </c:val>
          <c:extLst>
            <c:ext xmlns:c16="http://schemas.microsoft.com/office/drawing/2014/chart" uri="{C3380CC4-5D6E-409C-BE32-E72D297353CC}">
              <c16:uniqueId val="{00000003-AE5E-46A3-B76A-F478C0BD7309}"/>
            </c:ext>
          </c:extLst>
        </c:ser>
        <c:dLbls>
          <c:showLegendKey val="0"/>
          <c:showVal val="0"/>
          <c:showCatName val="0"/>
          <c:showSerName val="0"/>
          <c:showPercent val="0"/>
          <c:showBubbleSize val="0"/>
        </c:dLbls>
        <c:gapWidth val="150"/>
        <c:overlap val="100"/>
        <c:axId val="1022462575"/>
        <c:axId val="1022460911"/>
      </c:barChart>
      <c:catAx>
        <c:axId val="10224625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Calibri (Body)"/>
                <a:ea typeface="+mn-ea"/>
                <a:cs typeface="+mn-cs"/>
              </a:defRPr>
            </a:pPr>
            <a:endParaRPr lang="vi-VN"/>
          </a:p>
        </c:txPr>
        <c:crossAx val="1022460911"/>
        <c:crosses val="autoZero"/>
        <c:auto val="1"/>
        <c:lblAlgn val="ctr"/>
        <c:lblOffset val="100"/>
        <c:noMultiLvlLbl val="0"/>
      </c:catAx>
      <c:valAx>
        <c:axId val="1022460911"/>
        <c:scaling>
          <c:orientation val="minMax"/>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Calibri (Body)"/>
                <a:ea typeface="+mn-ea"/>
                <a:cs typeface="+mn-cs"/>
              </a:defRPr>
            </a:pPr>
            <a:endParaRPr lang="vi-VN"/>
          </a:p>
        </c:txPr>
        <c:crossAx val="10224625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Calibri (Body)"/>
              <a:ea typeface="+mn-ea"/>
              <a:cs typeface="+mn-cs"/>
            </a:defRPr>
          </a:pPr>
          <a:endParaRPr lang="vi-VN"/>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sz="800">
          <a:latin typeface="Calibri (Body)"/>
        </a:defRPr>
      </a:pPr>
      <a:endParaRPr lang="vi-VN"/>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'biểu đồ'!$K$11</c:f>
              <c:strCache>
                <c:ptCount val="1"/>
                <c:pt idx="0">
                  <c:v>MWG_LHS</c:v>
                </c:pt>
              </c:strCache>
            </c:strRef>
          </c:tx>
          <c:spPr>
            <a:solidFill>
              <a:schemeClr val="accent1"/>
            </a:solidFill>
            <a:ln>
              <a:noFill/>
            </a:ln>
            <a:effectLst/>
          </c:spPr>
          <c:invertIfNegative val="0"/>
          <c:cat>
            <c:strRef>
              <c:f>'biểu đồ'!$L$10:$T$10</c:f>
              <c:strCache>
                <c:ptCount val="9"/>
                <c:pt idx="0">
                  <c:v>Q1/2021</c:v>
                </c:pt>
                <c:pt idx="1">
                  <c:v>Q2/2021</c:v>
                </c:pt>
                <c:pt idx="2">
                  <c:v>Q3/2021</c:v>
                </c:pt>
                <c:pt idx="3">
                  <c:v>Q4/2021</c:v>
                </c:pt>
                <c:pt idx="4">
                  <c:v>Q1/2022</c:v>
                </c:pt>
                <c:pt idx="5">
                  <c:v>Q2/2022</c:v>
                </c:pt>
                <c:pt idx="6">
                  <c:v>Q3/2022</c:v>
                </c:pt>
                <c:pt idx="7">
                  <c:v>Q4/2022</c:v>
                </c:pt>
                <c:pt idx="8">
                  <c:v>Q1/2023</c:v>
                </c:pt>
              </c:strCache>
            </c:strRef>
          </c:cat>
          <c:val>
            <c:numRef>
              <c:f>'biểu đồ'!$L$11:$T$11</c:f>
              <c:numCache>
                <c:formatCode>_(* #,##0_);_(* \(#,##0\);_(* "-"??_);_(@_)</c:formatCode>
                <c:ptCount val="9"/>
                <c:pt idx="0">
                  <c:v>108.97745441480599</c:v>
                </c:pt>
                <c:pt idx="1">
                  <c:v>99.991198732998399</c:v>
                </c:pt>
                <c:pt idx="2">
                  <c:v>102.01973205650452</c:v>
                </c:pt>
                <c:pt idx="3">
                  <c:v>120.98819077279971</c:v>
                </c:pt>
                <c:pt idx="4">
                  <c:v>164.32301344034005</c:v>
                </c:pt>
                <c:pt idx="5">
                  <c:v>112.3755102590505</c:v>
                </c:pt>
                <c:pt idx="6">
                  <c:v>105.98205838194741</c:v>
                </c:pt>
                <c:pt idx="7">
                  <c:v>99.544029318368118</c:v>
                </c:pt>
                <c:pt idx="8">
                  <c:v>88.520984229752074</c:v>
                </c:pt>
              </c:numCache>
            </c:numRef>
          </c:val>
          <c:extLst>
            <c:ext xmlns:c16="http://schemas.microsoft.com/office/drawing/2014/chart" uri="{C3380CC4-5D6E-409C-BE32-E72D297353CC}">
              <c16:uniqueId val="{00000000-11CA-496E-B115-A993E51E90EC}"/>
            </c:ext>
          </c:extLst>
        </c:ser>
        <c:ser>
          <c:idx val="1"/>
          <c:order val="1"/>
          <c:tx>
            <c:strRef>
              <c:f>'biểu đồ'!$K$12</c:f>
              <c:strCache>
                <c:ptCount val="1"/>
                <c:pt idx="0">
                  <c:v>FRT_LHS</c:v>
                </c:pt>
              </c:strCache>
            </c:strRef>
          </c:tx>
          <c:spPr>
            <a:solidFill>
              <a:schemeClr val="bg1">
                <a:lumMod val="50000"/>
              </a:schemeClr>
            </a:solidFill>
            <a:ln>
              <a:noFill/>
            </a:ln>
            <a:effectLst/>
          </c:spPr>
          <c:invertIfNegative val="0"/>
          <c:cat>
            <c:strRef>
              <c:f>'biểu đồ'!$L$10:$T$10</c:f>
              <c:strCache>
                <c:ptCount val="9"/>
                <c:pt idx="0">
                  <c:v>Q1/2021</c:v>
                </c:pt>
                <c:pt idx="1">
                  <c:v>Q2/2021</c:v>
                </c:pt>
                <c:pt idx="2">
                  <c:v>Q3/2021</c:v>
                </c:pt>
                <c:pt idx="3">
                  <c:v>Q4/2021</c:v>
                </c:pt>
                <c:pt idx="4">
                  <c:v>Q1/2022</c:v>
                </c:pt>
                <c:pt idx="5">
                  <c:v>Q2/2022</c:v>
                </c:pt>
                <c:pt idx="6">
                  <c:v>Q3/2022</c:v>
                </c:pt>
                <c:pt idx="7">
                  <c:v>Q4/2022</c:v>
                </c:pt>
                <c:pt idx="8">
                  <c:v>Q1/2023</c:v>
                </c:pt>
              </c:strCache>
            </c:strRef>
          </c:cat>
          <c:val>
            <c:numRef>
              <c:f>'biểu đồ'!$L$12:$T$12</c:f>
              <c:numCache>
                <c:formatCode>_(* #,##0_);_(* \(#,##0\);_(* "-"??_);_(@_)</c:formatCode>
                <c:ptCount val="9"/>
                <c:pt idx="0">
                  <c:v>48.478409644545209</c:v>
                </c:pt>
                <c:pt idx="1">
                  <c:v>44.707739984385462</c:v>
                </c:pt>
                <c:pt idx="2">
                  <c:v>43.149056472608379</c:v>
                </c:pt>
                <c:pt idx="3">
                  <c:v>44.396630843369969</c:v>
                </c:pt>
                <c:pt idx="4">
                  <c:v>46.906323881167438</c:v>
                </c:pt>
                <c:pt idx="5">
                  <c:v>50.573219455245059</c:v>
                </c:pt>
                <c:pt idx="6">
                  <c:v>53.410401754452757</c:v>
                </c:pt>
                <c:pt idx="7">
                  <c:v>58.91257095017329</c:v>
                </c:pt>
                <c:pt idx="8">
                  <c:v>63.38253657805808</c:v>
                </c:pt>
              </c:numCache>
            </c:numRef>
          </c:val>
          <c:extLst>
            <c:ext xmlns:c16="http://schemas.microsoft.com/office/drawing/2014/chart" uri="{C3380CC4-5D6E-409C-BE32-E72D297353CC}">
              <c16:uniqueId val="{00000001-11CA-496E-B115-A993E51E90EC}"/>
            </c:ext>
          </c:extLst>
        </c:ser>
        <c:ser>
          <c:idx val="2"/>
          <c:order val="2"/>
          <c:tx>
            <c:strRef>
              <c:f>'biểu đồ'!$K$13</c:f>
              <c:strCache>
                <c:ptCount val="1"/>
                <c:pt idx="0">
                  <c:v>PSD_LHS</c:v>
                </c:pt>
              </c:strCache>
            </c:strRef>
          </c:tx>
          <c:spPr>
            <a:solidFill>
              <a:schemeClr val="bg1">
                <a:lumMod val="65000"/>
              </a:schemeClr>
            </a:solidFill>
            <a:ln>
              <a:noFill/>
            </a:ln>
            <a:effectLst/>
          </c:spPr>
          <c:invertIfNegative val="0"/>
          <c:cat>
            <c:strRef>
              <c:f>'biểu đồ'!$L$10:$T$10</c:f>
              <c:strCache>
                <c:ptCount val="9"/>
                <c:pt idx="0">
                  <c:v>Q1/2021</c:v>
                </c:pt>
                <c:pt idx="1">
                  <c:v>Q2/2021</c:v>
                </c:pt>
                <c:pt idx="2">
                  <c:v>Q3/2021</c:v>
                </c:pt>
                <c:pt idx="3">
                  <c:v>Q4/2021</c:v>
                </c:pt>
                <c:pt idx="4">
                  <c:v>Q1/2022</c:v>
                </c:pt>
                <c:pt idx="5">
                  <c:v>Q2/2022</c:v>
                </c:pt>
                <c:pt idx="6">
                  <c:v>Q3/2022</c:v>
                </c:pt>
                <c:pt idx="7">
                  <c:v>Q4/2022</c:v>
                </c:pt>
                <c:pt idx="8">
                  <c:v>Q1/2023</c:v>
                </c:pt>
              </c:strCache>
            </c:strRef>
          </c:cat>
          <c:val>
            <c:numRef>
              <c:f>'biểu đồ'!$L$13:$T$13</c:f>
              <c:numCache>
                <c:formatCode>_(* #,##0_);_(* \(#,##0\);_(* "-"??_);_(@_)</c:formatCode>
                <c:ptCount val="9"/>
                <c:pt idx="0">
                  <c:v>37.103798767077393</c:v>
                </c:pt>
                <c:pt idx="1">
                  <c:v>23.171823246264829</c:v>
                </c:pt>
                <c:pt idx="2">
                  <c:v>20.118041169500412</c:v>
                </c:pt>
                <c:pt idx="3">
                  <c:v>21.078715974577534</c:v>
                </c:pt>
                <c:pt idx="4">
                  <c:v>26.248034789546981</c:v>
                </c:pt>
                <c:pt idx="5">
                  <c:v>36.230166884859436</c:v>
                </c:pt>
                <c:pt idx="6">
                  <c:v>40.960441697179235</c:v>
                </c:pt>
                <c:pt idx="7">
                  <c:v>52.005366444810086</c:v>
                </c:pt>
                <c:pt idx="8">
                  <c:v>56.785578393762329</c:v>
                </c:pt>
              </c:numCache>
            </c:numRef>
          </c:val>
          <c:extLst>
            <c:ext xmlns:c16="http://schemas.microsoft.com/office/drawing/2014/chart" uri="{C3380CC4-5D6E-409C-BE32-E72D297353CC}">
              <c16:uniqueId val="{00000002-11CA-496E-B115-A993E51E90EC}"/>
            </c:ext>
          </c:extLst>
        </c:ser>
        <c:ser>
          <c:idx val="3"/>
          <c:order val="3"/>
          <c:tx>
            <c:strRef>
              <c:f>'biểu đồ'!$K$14</c:f>
              <c:strCache>
                <c:ptCount val="1"/>
                <c:pt idx="0">
                  <c:v>DGW_LHS</c:v>
                </c:pt>
              </c:strCache>
            </c:strRef>
          </c:tx>
          <c:spPr>
            <a:solidFill>
              <a:schemeClr val="bg1">
                <a:lumMod val="75000"/>
              </a:schemeClr>
            </a:solidFill>
            <a:ln>
              <a:noFill/>
            </a:ln>
            <a:effectLst/>
          </c:spPr>
          <c:invertIfNegative val="0"/>
          <c:cat>
            <c:strRef>
              <c:f>'biểu đồ'!$L$10:$T$10</c:f>
              <c:strCache>
                <c:ptCount val="9"/>
                <c:pt idx="0">
                  <c:v>Q1/2021</c:v>
                </c:pt>
                <c:pt idx="1">
                  <c:v>Q2/2021</c:v>
                </c:pt>
                <c:pt idx="2">
                  <c:v>Q3/2021</c:v>
                </c:pt>
                <c:pt idx="3">
                  <c:v>Q4/2021</c:v>
                </c:pt>
                <c:pt idx="4">
                  <c:v>Q1/2022</c:v>
                </c:pt>
                <c:pt idx="5">
                  <c:v>Q2/2022</c:v>
                </c:pt>
                <c:pt idx="6">
                  <c:v>Q3/2022</c:v>
                </c:pt>
                <c:pt idx="7">
                  <c:v>Q4/2022</c:v>
                </c:pt>
                <c:pt idx="8">
                  <c:v>Q1/2023</c:v>
                </c:pt>
              </c:strCache>
            </c:strRef>
          </c:cat>
          <c:val>
            <c:numRef>
              <c:f>'biểu đồ'!$L$14:$T$14</c:f>
              <c:numCache>
                <c:formatCode>_(* #,##0_);_(* \(#,##0\);_(* "-"??_);_(@_)</c:formatCode>
                <c:ptCount val="9"/>
                <c:pt idx="0">
                  <c:v>19.874770697728046</c:v>
                </c:pt>
                <c:pt idx="1">
                  <c:v>17.660388958214973</c:v>
                </c:pt>
                <c:pt idx="2">
                  <c:v>18.198844436239849</c:v>
                </c:pt>
                <c:pt idx="3">
                  <c:v>23.580911128747861</c:v>
                </c:pt>
                <c:pt idx="4">
                  <c:v>32.829775196873229</c:v>
                </c:pt>
                <c:pt idx="5">
                  <c:v>41.206152647212804</c:v>
                </c:pt>
                <c:pt idx="6">
                  <c:v>43.941626778204942</c:v>
                </c:pt>
                <c:pt idx="7">
                  <c:v>53.305365634485405</c:v>
                </c:pt>
                <c:pt idx="8">
                  <c:v>59.55272791909217</c:v>
                </c:pt>
              </c:numCache>
            </c:numRef>
          </c:val>
          <c:extLst>
            <c:ext xmlns:c16="http://schemas.microsoft.com/office/drawing/2014/chart" uri="{C3380CC4-5D6E-409C-BE32-E72D297353CC}">
              <c16:uniqueId val="{00000003-11CA-496E-B115-A993E51E90EC}"/>
            </c:ext>
          </c:extLst>
        </c:ser>
        <c:dLbls>
          <c:showLegendKey val="0"/>
          <c:showVal val="0"/>
          <c:showCatName val="0"/>
          <c:showSerName val="0"/>
          <c:showPercent val="0"/>
          <c:showBubbleSize val="0"/>
        </c:dLbls>
        <c:gapWidth val="150"/>
        <c:overlap val="100"/>
        <c:axId val="1171609743"/>
        <c:axId val="1171608911"/>
      </c:barChart>
      <c:lineChart>
        <c:grouping val="standard"/>
        <c:varyColors val="0"/>
        <c:ser>
          <c:idx val="4"/>
          <c:order val="4"/>
          <c:tx>
            <c:strRef>
              <c:f>'biểu đồ'!$K$15</c:f>
              <c:strCache>
                <c:ptCount val="1"/>
                <c:pt idx="0">
                  <c:v>% Tổng DT các DN (YoY)_RHS</c:v>
                </c:pt>
              </c:strCache>
            </c:strRef>
          </c:tx>
          <c:spPr>
            <a:ln w="28575" cap="rnd">
              <a:solidFill>
                <a:schemeClr val="accent3">
                  <a:lumMod val="60000"/>
                </a:schemeClr>
              </a:solidFill>
              <a:round/>
            </a:ln>
            <a:effectLst/>
          </c:spPr>
          <c:marker>
            <c:symbol val="none"/>
          </c:marker>
          <c:cat>
            <c:strRef>
              <c:f>'biểu đồ'!$L$10:$T$10</c:f>
              <c:strCache>
                <c:ptCount val="9"/>
                <c:pt idx="0">
                  <c:v>Q1/2021</c:v>
                </c:pt>
                <c:pt idx="1">
                  <c:v>Q2/2021</c:v>
                </c:pt>
                <c:pt idx="2">
                  <c:v>Q3/2021</c:v>
                </c:pt>
                <c:pt idx="3">
                  <c:v>Q4/2021</c:v>
                </c:pt>
                <c:pt idx="4">
                  <c:v>Q1/2022</c:v>
                </c:pt>
                <c:pt idx="5">
                  <c:v>Q2/2022</c:v>
                </c:pt>
                <c:pt idx="6">
                  <c:v>Q3/2022</c:v>
                </c:pt>
                <c:pt idx="7">
                  <c:v>Q4/2022</c:v>
                </c:pt>
                <c:pt idx="8">
                  <c:v>Q1/2023</c:v>
                </c:pt>
              </c:strCache>
            </c:strRef>
          </c:cat>
          <c:val>
            <c:numRef>
              <c:f>'biểu đồ'!$L$15:$T$15</c:f>
              <c:numCache>
                <c:formatCode>0%</c:formatCode>
                <c:ptCount val="9"/>
                <c:pt idx="0">
                  <c:v>9.2972436200649211E-2</c:v>
                </c:pt>
                <c:pt idx="1">
                  <c:v>0.17868083521726219</c:v>
                </c:pt>
                <c:pt idx="2">
                  <c:v>-0.15887862198376068</c:v>
                </c:pt>
                <c:pt idx="3">
                  <c:v>0.57110952749833555</c:v>
                </c:pt>
                <c:pt idx="4">
                  <c:v>0.24396495433390486</c:v>
                </c:pt>
                <c:pt idx="5">
                  <c:v>0.12180138245657113</c:v>
                </c:pt>
                <c:pt idx="6">
                  <c:v>0.47825478205490235</c:v>
                </c:pt>
                <c:pt idx="7">
                  <c:v>-0.30689129111377578</c:v>
                </c:pt>
                <c:pt idx="8">
                  <c:v>-0.32297019651827041</c:v>
                </c:pt>
              </c:numCache>
            </c:numRef>
          </c:val>
          <c:smooth val="0"/>
          <c:extLst>
            <c:ext xmlns:c16="http://schemas.microsoft.com/office/drawing/2014/chart" uri="{C3380CC4-5D6E-409C-BE32-E72D297353CC}">
              <c16:uniqueId val="{00000001-67D7-441D-A4D9-59AD4D8D81FF}"/>
            </c:ext>
          </c:extLst>
        </c:ser>
        <c:dLbls>
          <c:showLegendKey val="0"/>
          <c:showVal val="0"/>
          <c:showCatName val="0"/>
          <c:showSerName val="0"/>
          <c:showPercent val="0"/>
          <c:showBubbleSize val="0"/>
        </c:dLbls>
        <c:marker val="1"/>
        <c:smooth val="0"/>
        <c:axId val="1678890015"/>
        <c:axId val="1678885855"/>
      </c:lineChart>
      <c:catAx>
        <c:axId val="117160974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vi-VN"/>
          </a:p>
        </c:txPr>
        <c:crossAx val="1171608911"/>
        <c:crosses val="autoZero"/>
        <c:auto val="1"/>
        <c:lblAlgn val="ctr"/>
        <c:lblOffset val="100"/>
        <c:noMultiLvlLbl val="0"/>
      </c:catAx>
      <c:valAx>
        <c:axId val="1171608911"/>
        <c:scaling>
          <c:orientation val="minMax"/>
        </c:scaling>
        <c:delete val="1"/>
        <c:axPos val="l"/>
        <c:numFmt formatCode="_(* #,##0_);_(* \(#,##0\);_(* &quot;-&quot;??_);_(@_)" sourceLinked="1"/>
        <c:majorTickMark val="out"/>
        <c:minorTickMark val="none"/>
        <c:tickLblPos val="nextTo"/>
        <c:crossAx val="1171609743"/>
        <c:crosses val="autoZero"/>
        <c:crossBetween val="between"/>
      </c:valAx>
      <c:valAx>
        <c:axId val="1678885855"/>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vi-VN"/>
          </a:p>
        </c:txPr>
        <c:crossAx val="1678890015"/>
        <c:crosses val="max"/>
        <c:crossBetween val="between"/>
      </c:valAx>
      <c:catAx>
        <c:axId val="1678890015"/>
        <c:scaling>
          <c:orientation val="minMax"/>
        </c:scaling>
        <c:delete val="1"/>
        <c:axPos val="b"/>
        <c:numFmt formatCode="General" sourceLinked="1"/>
        <c:majorTickMark val="out"/>
        <c:minorTickMark val="none"/>
        <c:tickLblPos val="nextTo"/>
        <c:crossAx val="1678885855"/>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vi-V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vi-VN"/>
    </a:p>
  </c:txPr>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'biểu đồ'!$L$25</c:f>
              <c:strCache>
                <c:ptCount val="1"/>
                <c:pt idx="0">
                  <c:v>Q1/2022</c:v>
                </c:pt>
              </c:strCache>
            </c:strRef>
          </c:tx>
          <c:spPr>
            <a:solidFill>
              <a:schemeClr val="accent1"/>
            </a:solidFill>
            <a:ln>
              <a:noFill/>
            </a:ln>
            <a:effectLst/>
          </c:spPr>
          <c:invertIfNegative val="0"/>
          <c:cat>
            <c:strRef>
              <c:f>'biểu đồ'!$K$26:$K$29</c:f>
              <c:strCache>
                <c:ptCount val="4"/>
                <c:pt idx="0">
                  <c:v>MWG_LHS</c:v>
                </c:pt>
                <c:pt idx="1">
                  <c:v>FRT_LHS</c:v>
                </c:pt>
                <c:pt idx="2">
                  <c:v>PSD_LHS</c:v>
                </c:pt>
                <c:pt idx="3">
                  <c:v>DGW_LHS</c:v>
                </c:pt>
              </c:strCache>
            </c:strRef>
          </c:cat>
          <c:val>
            <c:numRef>
              <c:f>'biểu đồ'!$L$26:$L$29</c:f>
              <c:numCache>
                <c:formatCode>_(* #,##0_);_(* \(#,##0\);_(* "-"??_);_(@_)</c:formatCode>
                <c:ptCount val="4"/>
                <c:pt idx="0" formatCode="#,##0">
                  <c:v>29818.095463204831</c:v>
                </c:pt>
                <c:pt idx="1">
                  <c:v>5646</c:v>
                </c:pt>
                <c:pt idx="2">
                  <c:v>2234.9339661150002</c:v>
                </c:pt>
                <c:pt idx="3">
                  <c:v>7008.7001923730004</c:v>
                </c:pt>
              </c:numCache>
            </c:numRef>
          </c:val>
          <c:extLst>
            <c:ext xmlns:c16="http://schemas.microsoft.com/office/drawing/2014/chart" uri="{C3380CC4-5D6E-409C-BE32-E72D297353CC}">
              <c16:uniqueId val="{00000000-8787-4194-BAC1-F2AFE04D44D5}"/>
            </c:ext>
          </c:extLst>
        </c:ser>
        <c:ser>
          <c:idx val="1"/>
          <c:order val="1"/>
          <c:tx>
            <c:strRef>
              <c:f>'biểu đồ'!$M$25</c:f>
              <c:strCache>
                <c:ptCount val="1"/>
                <c:pt idx="0">
                  <c:v>Q1/2023</c:v>
                </c:pt>
              </c:strCache>
            </c:strRef>
          </c:tx>
          <c:spPr>
            <a:solidFill>
              <a:schemeClr val="accent2"/>
            </a:solidFill>
            <a:ln>
              <a:noFill/>
            </a:ln>
            <a:effectLst/>
          </c:spPr>
          <c:invertIfNegative val="0"/>
          <c:cat>
            <c:strRef>
              <c:f>'biểu đồ'!$K$26:$K$29</c:f>
              <c:strCache>
                <c:ptCount val="4"/>
                <c:pt idx="0">
                  <c:v>MWG_LHS</c:v>
                </c:pt>
                <c:pt idx="1">
                  <c:v>FRT_LHS</c:v>
                </c:pt>
                <c:pt idx="2">
                  <c:v>PSD_LHS</c:v>
                </c:pt>
                <c:pt idx="3">
                  <c:v>DGW_LHS</c:v>
                </c:pt>
              </c:strCache>
            </c:strRef>
          </c:cat>
          <c:val>
            <c:numRef>
              <c:f>'biểu đồ'!$M$26:$M$29</c:f>
              <c:numCache>
                <c:formatCode>_(* #,##0_);_(* \(#,##0\);_(* "-"??_);_(@_)</c:formatCode>
                <c:ptCount val="4"/>
                <c:pt idx="0">
                  <c:v>19012.864963616921</c:v>
                </c:pt>
                <c:pt idx="1">
                  <c:v>4513</c:v>
                </c:pt>
                <c:pt idx="2">
                  <c:v>1849.928186717</c:v>
                </c:pt>
                <c:pt idx="3">
                  <c:v>3959.9272131719999</c:v>
                </c:pt>
              </c:numCache>
            </c:numRef>
          </c:val>
          <c:extLst>
            <c:ext xmlns:c16="http://schemas.microsoft.com/office/drawing/2014/chart" uri="{C3380CC4-5D6E-409C-BE32-E72D297353CC}">
              <c16:uniqueId val="{00000001-8787-4194-BAC1-F2AFE04D44D5}"/>
            </c:ext>
          </c:extLst>
        </c:ser>
        <c:dLbls>
          <c:showLegendKey val="0"/>
          <c:showVal val="0"/>
          <c:showCatName val="0"/>
          <c:showSerName val="0"/>
          <c:showPercent val="0"/>
          <c:showBubbleSize val="0"/>
        </c:dLbls>
        <c:gapWidth val="219"/>
        <c:overlap val="-27"/>
        <c:axId val="1099047279"/>
        <c:axId val="1099047695"/>
      </c:barChart>
      <c:lineChart>
        <c:grouping val="standard"/>
        <c:varyColors val="0"/>
        <c:ser>
          <c:idx val="2"/>
          <c:order val="2"/>
          <c:tx>
            <c:strRef>
              <c:f>'biểu đồ'!$N$25</c:f>
              <c:strCache>
                <c:ptCount val="1"/>
                <c:pt idx="0">
                  <c:v>%YoY</c:v>
                </c:pt>
              </c:strCache>
            </c:strRef>
          </c:tx>
          <c:spPr>
            <a:ln w="28575" cap="rnd">
              <a:noFill/>
              <a:round/>
            </a:ln>
            <a:effectLst/>
          </c:spPr>
          <c:marker>
            <c:symbol val="circle"/>
            <c:size val="5"/>
            <c:spPr>
              <a:solidFill>
                <a:schemeClr val="accent2"/>
              </a:solidFill>
              <a:ln w="9525">
                <a:noFill/>
              </a:ln>
              <a:effectLst/>
            </c:spPr>
          </c:marker>
          <c:dLbls>
            <c:dLbl>
              <c:idx val="0"/>
              <c:layout>
                <c:manualLayout>
                  <c:x val="-5.9144666414878706E-2"/>
                  <c:y val="-0.5001313382617848"/>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9005-485D-88E9-7E1EC3314E6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vi-VN"/>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'biểu đồ'!$K$26:$K$29</c:f>
              <c:strCache>
                <c:ptCount val="4"/>
                <c:pt idx="0">
                  <c:v>MWG_LHS</c:v>
                </c:pt>
                <c:pt idx="1">
                  <c:v>FRT_LHS</c:v>
                </c:pt>
                <c:pt idx="2">
                  <c:v>PSD_LHS</c:v>
                </c:pt>
                <c:pt idx="3">
                  <c:v>DGW_LHS</c:v>
                </c:pt>
              </c:strCache>
            </c:strRef>
          </c:cat>
          <c:val>
            <c:numRef>
              <c:f>'biểu đồ'!$N$26:$N$29</c:f>
              <c:numCache>
                <c:formatCode>0%</c:formatCode>
                <c:ptCount val="4"/>
                <c:pt idx="0">
                  <c:v>-0.36237158449376594</c:v>
                </c:pt>
                <c:pt idx="1">
                  <c:v>-0.20067304286220333</c:v>
                </c:pt>
                <c:pt idx="2">
                  <c:v>-0.17226718338674596</c:v>
                </c:pt>
                <c:pt idx="3">
                  <c:v>-0.43499834427483897</c:v>
                </c:pt>
              </c:numCache>
            </c:numRef>
          </c:val>
          <c:smooth val="0"/>
          <c:extLst>
            <c:ext xmlns:c16="http://schemas.microsoft.com/office/drawing/2014/chart" uri="{C3380CC4-5D6E-409C-BE32-E72D297353CC}">
              <c16:uniqueId val="{00000002-8787-4194-BAC1-F2AFE04D44D5}"/>
            </c:ext>
          </c:extLst>
        </c:ser>
        <c:dLbls>
          <c:showLegendKey val="0"/>
          <c:showVal val="0"/>
          <c:showCatName val="0"/>
          <c:showSerName val="0"/>
          <c:showPercent val="0"/>
          <c:showBubbleSize val="0"/>
        </c:dLbls>
        <c:marker val="1"/>
        <c:smooth val="0"/>
        <c:axId val="1099043951"/>
        <c:axId val="1099043535"/>
      </c:lineChart>
      <c:catAx>
        <c:axId val="10990472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vi-VN"/>
          </a:p>
        </c:txPr>
        <c:crossAx val="1099047695"/>
        <c:crosses val="autoZero"/>
        <c:auto val="1"/>
        <c:lblAlgn val="ctr"/>
        <c:lblOffset val="100"/>
        <c:noMultiLvlLbl val="0"/>
      </c:catAx>
      <c:valAx>
        <c:axId val="1099047695"/>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vi-VN"/>
          </a:p>
        </c:txPr>
        <c:crossAx val="1099047279"/>
        <c:crosses val="autoZero"/>
        <c:crossBetween val="between"/>
      </c:valAx>
      <c:valAx>
        <c:axId val="1099043535"/>
        <c:scaling>
          <c:orientation val="minMax"/>
        </c:scaling>
        <c:delete val="0"/>
        <c:axPos val="r"/>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vi-VN"/>
          </a:p>
        </c:txPr>
        <c:crossAx val="1099043951"/>
        <c:crosses val="max"/>
        <c:crossBetween val="between"/>
      </c:valAx>
      <c:catAx>
        <c:axId val="1099043951"/>
        <c:scaling>
          <c:orientation val="minMax"/>
        </c:scaling>
        <c:delete val="1"/>
        <c:axPos val="b"/>
        <c:numFmt formatCode="General" sourceLinked="1"/>
        <c:majorTickMark val="none"/>
        <c:minorTickMark val="none"/>
        <c:tickLblPos val="nextTo"/>
        <c:crossAx val="1099043535"/>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vi-V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vi-VN"/>
    </a:p>
  </c:txPr>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'biểu đồ'!$J$33</c:f>
              <c:strCache>
                <c:ptCount val="1"/>
                <c:pt idx="0">
                  <c:v>Số lượng cửa hàng_RHS</c:v>
                </c:pt>
              </c:strCache>
            </c:strRef>
          </c:tx>
          <c:spPr>
            <a:solidFill>
              <a:schemeClr val="accent1"/>
            </a:solidFill>
            <a:ln>
              <a:noFill/>
            </a:ln>
            <a:effectLst/>
          </c:spPr>
          <c:invertIfNegative val="0"/>
          <c:cat>
            <c:strRef>
              <c:f>'biểu đồ'!$K$31:$O$31</c:f>
              <c:strCache>
                <c:ptCount val="5"/>
                <c:pt idx="0">
                  <c:v>Q1/2022</c:v>
                </c:pt>
                <c:pt idx="1">
                  <c:v>Q2/2022</c:v>
                </c:pt>
                <c:pt idx="2">
                  <c:v>Q3/2022</c:v>
                </c:pt>
                <c:pt idx="3">
                  <c:v>Q4/2022</c:v>
                </c:pt>
                <c:pt idx="4">
                  <c:v>Q1/2023</c:v>
                </c:pt>
              </c:strCache>
            </c:strRef>
          </c:cat>
          <c:val>
            <c:numRef>
              <c:f>'biểu đồ'!$K$33:$O$33</c:f>
              <c:numCache>
                <c:formatCode>General</c:formatCode>
                <c:ptCount val="5"/>
                <c:pt idx="0">
                  <c:v>2127</c:v>
                </c:pt>
                <c:pt idx="1">
                  <c:v>1889</c:v>
                </c:pt>
                <c:pt idx="2">
                  <c:v>1727</c:v>
                </c:pt>
                <c:pt idx="3">
                  <c:v>1728</c:v>
                </c:pt>
                <c:pt idx="4">
                  <c:v>1710</c:v>
                </c:pt>
              </c:numCache>
            </c:numRef>
          </c:val>
          <c:extLst>
            <c:ext xmlns:c16="http://schemas.microsoft.com/office/drawing/2014/chart" uri="{C3380CC4-5D6E-409C-BE32-E72D297353CC}">
              <c16:uniqueId val="{00000000-038D-4C83-B2E0-2AE66394C0E2}"/>
            </c:ext>
          </c:extLst>
        </c:ser>
        <c:dLbls>
          <c:showLegendKey val="0"/>
          <c:showVal val="0"/>
          <c:showCatName val="0"/>
          <c:showSerName val="0"/>
          <c:showPercent val="0"/>
          <c:showBubbleSize val="0"/>
        </c:dLbls>
        <c:gapWidth val="219"/>
        <c:overlap val="-27"/>
        <c:axId val="449899263"/>
        <c:axId val="449893023"/>
      </c:barChart>
      <c:lineChart>
        <c:grouping val="standard"/>
        <c:varyColors val="0"/>
        <c:ser>
          <c:idx val="1"/>
          <c:order val="1"/>
          <c:tx>
            <c:strRef>
              <c:f>'biểu đồ'!$J$34</c:f>
              <c:strCache>
                <c:ptCount val="1"/>
                <c:pt idx="0">
                  <c:v>SSSG (%) </c:v>
                </c:pt>
              </c:strCache>
            </c:strRef>
          </c:tx>
          <c:spPr>
            <a:ln w="28575" cap="rnd">
              <a:noFill/>
              <a:round/>
            </a:ln>
            <a:effectLst/>
          </c:spPr>
          <c:marker>
            <c:symbol val="circle"/>
            <c:size val="5"/>
            <c:spPr>
              <a:solidFill>
                <a:schemeClr val="accent3"/>
              </a:solidFill>
              <a:ln w="9525">
                <a:solidFill>
                  <a:schemeClr val="accent3"/>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Calibri (Body)"/>
                    <a:ea typeface="+mn-ea"/>
                    <a:cs typeface="+mn-cs"/>
                  </a:defRPr>
                </a:pPr>
                <a:endParaRPr lang="vi-VN"/>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'biểu đồ'!$K$31:$O$31</c:f>
              <c:strCache>
                <c:ptCount val="5"/>
                <c:pt idx="0">
                  <c:v>Q1/2022</c:v>
                </c:pt>
                <c:pt idx="1">
                  <c:v>Q2/2022</c:v>
                </c:pt>
                <c:pt idx="2">
                  <c:v>Q3/2022</c:v>
                </c:pt>
                <c:pt idx="3">
                  <c:v>Q4/2022</c:v>
                </c:pt>
                <c:pt idx="4">
                  <c:v>Q1/2023</c:v>
                </c:pt>
              </c:strCache>
            </c:strRef>
          </c:cat>
          <c:val>
            <c:numRef>
              <c:f>'biểu đồ'!$K$34:$O$34</c:f>
              <c:numCache>
                <c:formatCode>0%</c:formatCode>
                <c:ptCount val="5"/>
                <c:pt idx="0">
                  <c:v>-0.13</c:v>
                </c:pt>
                <c:pt idx="1">
                  <c:v>-0.19</c:v>
                </c:pt>
                <c:pt idx="2">
                  <c:v>-0.21</c:v>
                </c:pt>
                <c:pt idx="3">
                  <c:v>0.35</c:v>
                </c:pt>
                <c:pt idx="4">
                  <c:v>0.16</c:v>
                </c:pt>
              </c:numCache>
            </c:numRef>
          </c:val>
          <c:smooth val="0"/>
          <c:extLst>
            <c:ext xmlns:c16="http://schemas.microsoft.com/office/drawing/2014/chart" uri="{C3380CC4-5D6E-409C-BE32-E72D297353CC}">
              <c16:uniqueId val="{00000001-038D-4C83-B2E0-2AE66394C0E2}"/>
            </c:ext>
          </c:extLst>
        </c:ser>
        <c:ser>
          <c:idx val="2"/>
          <c:order val="2"/>
          <c:tx>
            <c:strRef>
              <c:f>'biểu đồ'!$J$35</c:f>
              <c:strCache>
                <c:ptCount val="1"/>
                <c:pt idx="0">
                  <c:v>Biên lợi nhuận gộp (%)</c:v>
                </c:pt>
              </c:strCache>
            </c:strRef>
          </c:tx>
          <c:spPr>
            <a:ln w="28575" cap="rnd">
              <a:solidFill>
                <a:schemeClr val="accent5"/>
              </a:solidFill>
              <a:round/>
            </a:ln>
            <a:effectLst/>
          </c:spPr>
          <c:marker>
            <c:symbol val="none"/>
          </c:marker>
          <c:cat>
            <c:strRef>
              <c:f>'biểu đồ'!$K$31:$O$31</c:f>
              <c:strCache>
                <c:ptCount val="5"/>
                <c:pt idx="0">
                  <c:v>Q1/2022</c:v>
                </c:pt>
                <c:pt idx="1">
                  <c:v>Q2/2022</c:v>
                </c:pt>
                <c:pt idx="2">
                  <c:v>Q3/2022</c:v>
                </c:pt>
                <c:pt idx="3">
                  <c:v>Q4/2022</c:v>
                </c:pt>
                <c:pt idx="4">
                  <c:v>Q1/2023</c:v>
                </c:pt>
              </c:strCache>
            </c:strRef>
          </c:cat>
          <c:val>
            <c:numRef>
              <c:f>'biểu đồ'!$K$35:$O$35</c:f>
              <c:numCache>
                <c:formatCode>0%</c:formatCode>
                <c:ptCount val="5"/>
                <c:pt idx="0">
                  <c:v>0.25</c:v>
                </c:pt>
                <c:pt idx="1">
                  <c:v>0.25</c:v>
                </c:pt>
                <c:pt idx="2">
                  <c:v>0.25</c:v>
                </c:pt>
                <c:pt idx="3">
                  <c:v>0.27</c:v>
                </c:pt>
                <c:pt idx="4">
                  <c:v>0.26</c:v>
                </c:pt>
              </c:numCache>
            </c:numRef>
          </c:val>
          <c:smooth val="0"/>
          <c:extLst>
            <c:ext xmlns:c16="http://schemas.microsoft.com/office/drawing/2014/chart" uri="{C3380CC4-5D6E-409C-BE32-E72D297353CC}">
              <c16:uniqueId val="{00000002-038D-4C83-B2E0-2AE66394C0E2}"/>
            </c:ext>
          </c:extLst>
        </c:ser>
        <c:dLbls>
          <c:showLegendKey val="0"/>
          <c:showVal val="0"/>
          <c:showCatName val="0"/>
          <c:showSerName val="0"/>
          <c:showPercent val="0"/>
          <c:showBubbleSize val="0"/>
        </c:dLbls>
        <c:marker val="1"/>
        <c:smooth val="0"/>
        <c:axId val="449908415"/>
        <c:axId val="449907167"/>
      </c:lineChart>
      <c:catAx>
        <c:axId val="4498992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Calibri (Body)"/>
                <a:ea typeface="+mn-ea"/>
                <a:cs typeface="+mn-cs"/>
              </a:defRPr>
            </a:pPr>
            <a:endParaRPr lang="vi-VN"/>
          </a:p>
        </c:txPr>
        <c:crossAx val="449893023"/>
        <c:crosses val="autoZero"/>
        <c:auto val="1"/>
        <c:lblAlgn val="ctr"/>
        <c:lblOffset val="100"/>
        <c:noMultiLvlLbl val="0"/>
      </c:catAx>
      <c:valAx>
        <c:axId val="44989302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Calibri (Body)"/>
                <a:ea typeface="+mn-ea"/>
                <a:cs typeface="+mn-cs"/>
              </a:defRPr>
            </a:pPr>
            <a:endParaRPr lang="vi-VN"/>
          </a:p>
        </c:txPr>
        <c:crossAx val="449899263"/>
        <c:crosses val="autoZero"/>
        <c:crossBetween val="between"/>
      </c:valAx>
      <c:valAx>
        <c:axId val="449907167"/>
        <c:scaling>
          <c:orientation val="minMax"/>
        </c:scaling>
        <c:delete val="0"/>
        <c:axPos val="r"/>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Calibri (Body)"/>
                <a:ea typeface="+mn-ea"/>
                <a:cs typeface="+mn-cs"/>
              </a:defRPr>
            </a:pPr>
            <a:endParaRPr lang="vi-VN"/>
          </a:p>
        </c:txPr>
        <c:crossAx val="449908415"/>
        <c:crosses val="max"/>
        <c:crossBetween val="between"/>
      </c:valAx>
      <c:catAx>
        <c:axId val="449908415"/>
        <c:scaling>
          <c:orientation val="minMax"/>
        </c:scaling>
        <c:delete val="1"/>
        <c:axPos val="b"/>
        <c:numFmt formatCode="General" sourceLinked="1"/>
        <c:majorTickMark val="none"/>
        <c:minorTickMark val="none"/>
        <c:tickLblPos val="nextTo"/>
        <c:crossAx val="449907167"/>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Calibri (Body)"/>
              <a:ea typeface="+mn-ea"/>
              <a:cs typeface="+mn-cs"/>
            </a:defRPr>
          </a:pPr>
          <a:endParaRPr lang="vi-V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800">
          <a:latin typeface="Calibri (Body)"/>
        </a:defRPr>
      </a:pPr>
      <a:endParaRPr lang="vi-VN"/>
    </a:p>
  </c:txPr>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'biểu đồ'!$A$33</c:f>
              <c:strCache>
                <c:ptCount val="1"/>
                <c:pt idx="0">
                  <c:v>DT/CH/ tháng (tỷ VND)_RHS</c:v>
                </c:pt>
              </c:strCache>
            </c:strRef>
          </c:tx>
          <c:spPr>
            <a:solidFill>
              <a:schemeClr val="accent1"/>
            </a:solidFill>
            <a:ln>
              <a:noFill/>
            </a:ln>
            <a:effectLst/>
          </c:spPr>
          <c:invertIfNegative val="0"/>
          <c:cat>
            <c:multiLvlStrRef>
              <c:f>'biểu đồ'!$B$31:$E$32</c:f>
              <c:multiLvlStrCache>
                <c:ptCount val="4"/>
                <c:lvl>
                  <c:pt idx="0">
                    <c:v>WCP</c:v>
                  </c:pt>
                  <c:pt idx="1">
                    <c:v>BHX</c:v>
                  </c:pt>
                  <c:pt idx="2">
                    <c:v>WCP</c:v>
                  </c:pt>
                  <c:pt idx="3">
                    <c:v>BHX</c:v>
                  </c:pt>
                </c:lvl>
                <c:lvl>
                  <c:pt idx="0">
                    <c:v>Q1/22</c:v>
                  </c:pt>
                  <c:pt idx="2">
                    <c:v>Q1/23</c:v>
                  </c:pt>
                </c:lvl>
              </c:multiLvlStrCache>
            </c:multiLvlStrRef>
          </c:cat>
          <c:val>
            <c:numRef>
              <c:f>'biểu đồ'!$B$33:$E$33</c:f>
              <c:numCache>
                <c:formatCode>_(* #,##0.0_);_(* \(#,##0.0\);_(* "-"??_);_(@_)</c:formatCode>
                <c:ptCount val="4"/>
                <c:pt idx="0">
                  <c:v>0.58517971442639094</c:v>
                </c:pt>
                <c:pt idx="1">
                  <c:v>0.97110012460307893</c:v>
                </c:pt>
                <c:pt idx="2">
                  <c:v>0.484949159367764</c:v>
                </c:pt>
                <c:pt idx="3">
                  <c:v>1.2306105100463678</c:v>
                </c:pt>
              </c:numCache>
            </c:numRef>
          </c:val>
          <c:extLst>
            <c:ext xmlns:c16="http://schemas.microsoft.com/office/drawing/2014/chart" uri="{C3380CC4-5D6E-409C-BE32-E72D297353CC}">
              <c16:uniqueId val="{00000000-667A-49FC-A8F8-9EC556277F30}"/>
            </c:ext>
          </c:extLst>
        </c:ser>
        <c:ser>
          <c:idx val="3"/>
          <c:order val="3"/>
          <c:tx>
            <c:strRef>
              <c:f>'biểu đồ'!$A$36</c:f>
              <c:strCache>
                <c:ptCount val="1"/>
                <c:pt idx="0">
                  <c:v>%Số lượng hoá đơn tb/ ngày</c:v>
                </c:pt>
              </c:strCache>
            </c:strRef>
          </c:tx>
          <c:spPr>
            <a:solidFill>
              <a:schemeClr val="accent4"/>
            </a:solidFill>
            <a:ln>
              <a:noFill/>
            </a:ln>
            <a:effectLst/>
          </c:spPr>
          <c:invertIfNegative val="0"/>
          <c:cat>
            <c:multiLvlStrRef>
              <c:f>'biểu đồ'!$B$31:$E$32</c:f>
              <c:multiLvlStrCache>
                <c:ptCount val="4"/>
                <c:lvl>
                  <c:pt idx="0">
                    <c:v>WCP</c:v>
                  </c:pt>
                  <c:pt idx="1">
                    <c:v>BHX</c:v>
                  </c:pt>
                  <c:pt idx="2">
                    <c:v>WCP</c:v>
                  </c:pt>
                  <c:pt idx="3">
                    <c:v>BHX</c:v>
                  </c:pt>
                </c:lvl>
                <c:lvl>
                  <c:pt idx="0">
                    <c:v>Q1/22</c:v>
                  </c:pt>
                  <c:pt idx="2">
                    <c:v>Q1/23</c:v>
                  </c:pt>
                </c:lvl>
              </c:multiLvlStrCache>
            </c:multiLvlStrRef>
          </c:cat>
          <c:val>
            <c:numRef>
              <c:f>'biểu đồ'!$B$36:$E$36</c:f>
              <c:numCache>
                <c:formatCode>0%</c:formatCode>
                <c:ptCount val="4"/>
                <c:pt idx="0">
                  <c:v>-0.189</c:v>
                </c:pt>
                <c:pt idx="1">
                  <c:v>-0.15</c:v>
                </c:pt>
                <c:pt idx="2">
                  <c:v>1.7142857142857126E-2</c:v>
                </c:pt>
                <c:pt idx="3">
                  <c:v>0.25</c:v>
                </c:pt>
              </c:numCache>
            </c:numRef>
          </c:val>
          <c:extLst>
            <c:ext xmlns:c16="http://schemas.microsoft.com/office/drawing/2014/chart" uri="{C3380CC4-5D6E-409C-BE32-E72D297353CC}">
              <c16:uniqueId val="{00000003-667A-49FC-A8F8-9EC556277F30}"/>
            </c:ext>
          </c:extLst>
        </c:ser>
        <c:ser>
          <c:idx val="4"/>
          <c:order val="4"/>
          <c:tx>
            <c:strRef>
              <c:f>'biểu đồ'!$A$37</c:f>
              <c:strCache>
                <c:ptCount val="1"/>
                <c:pt idx="0">
                  <c:v>% Gía trị hoá đơn/ ngày</c:v>
                </c:pt>
              </c:strCache>
            </c:strRef>
          </c:tx>
          <c:spPr>
            <a:solidFill>
              <a:schemeClr val="accent5"/>
            </a:solidFill>
            <a:ln w="25400">
              <a:noFill/>
            </a:ln>
            <a:effectLst/>
          </c:spPr>
          <c:invertIfNegative val="0"/>
          <c:cat>
            <c:multiLvlStrRef>
              <c:f>'biểu đồ'!$B$31:$E$32</c:f>
              <c:multiLvlStrCache>
                <c:ptCount val="4"/>
                <c:lvl>
                  <c:pt idx="0">
                    <c:v>WCP</c:v>
                  </c:pt>
                  <c:pt idx="1">
                    <c:v>BHX</c:v>
                  </c:pt>
                  <c:pt idx="2">
                    <c:v>WCP</c:v>
                  </c:pt>
                  <c:pt idx="3">
                    <c:v>BHX</c:v>
                  </c:pt>
                </c:lvl>
                <c:lvl>
                  <c:pt idx="0">
                    <c:v>Q1/22</c:v>
                  </c:pt>
                  <c:pt idx="2">
                    <c:v>Q1/23</c:v>
                  </c:pt>
                </c:lvl>
              </c:multiLvlStrCache>
            </c:multiLvlStrRef>
          </c:cat>
          <c:val>
            <c:numRef>
              <c:f>'biểu đồ'!$B$37:$E$37</c:f>
              <c:numCache>
                <c:formatCode>0%</c:formatCode>
                <c:ptCount val="4"/>
                <c:pt idx="0">
                  <c:v>0.18</c:v>
                </c:pt>
                <c:pt idx="1">
                  <c:v>-0.01</c:v>
                </c:pt>
                <c:pt idx="2">
                  <c:v>-0.14166666666666672</c:v>
                </c:pt>
                <c:pt idx="3">
                  <c:v>-0.15</c:v>
                </c:pt>
              </c:numCache>
            </c:numRef>
          </c:val>
          <c:extLst>
            <c:ext xmlns:c16="http://schemas.microsoft.com/office/drawing/2014/chart" uri="{C3380CC4-5D6E-409C-BE32-E72D297353CC}">
              <c16:uniqueId val="{00000005-667A-49FC-A8F8-9EC556277F30}"/>
            </c:ext>
          </c:extLst>
        </c:ser>
        <c:dLbls>
          <c:showLegendKey val="0"/>
          <c:showVal val="0"/>
          <c:showCatName val="0"/>
          <c:showSerName val="0"/>
          <c:showPercent val="0"/>
          <c:showBubbleSize val="0"/>
        </c:dLbls>
        <c:gapWidth val="219"/>
        <c:axId val="1171620559"/>
        <c:axId val="1171622639"/>
      </c:barChart>
      <c:lineChart>
        <c:grouping val="standard"/>
        <c:varyColors val="0"/>
        <c:ser>
          <c:idx val="1"/>
          <c:order val="1"/>
          <c:tx>
            <c:strRef>
              <c:f>'biểu đồ'!$A$34</c:f>
              <c:strCache>
                <c:ptCount val="1"/>
                <c:pt idx="0">
                  <c:v>Biên gộp (%)</c:v>
                </c:pt>
              </c:strCache>
            </c:strRef>
          </c:tx>
          <c:spPr>
            <a:ln w="28575" cap="rnd">
              <a:noFill/>
              <a:round/>
            </a:ln>
            <a:effectLst/>
          </c:spPr>
          <c:marker>
            <c:symbol val="circle"/>
            <c:size val="5"/>
            <c:spPr>
              <a:solidFill>
                <a:srgbClr val="FFC000"/>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vi-V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'biểu đồ'!$B$31:$E$32</c:f>
              <c:multiLvlStrCache>
                <c:ptCount val="4"/>
                <c:lvl>
                  <c:pt idx="0">
                    <c:v>WCP</c:v>
                  </c:pt>
                  <c:pt idx="1">
                    <c:v>BHX</c:v>
                  </c:pt>
                  <c:pt idx="2">
                    <c:v>WCP</c:v>
                  </c:pt>
                  <c:pt idx="3">
                    <c:v>BHX</c:v>
                  </c:pt>
                </c:lvl>
                <c:lvl>
                  <c:pt idx="0">
                    <c:v>Q1/22</c:v>
                  </c:pt>
                  <c:pt idx="2">
                    <c:v>Q1/23</c:v>
                  </c:pt>
                </c:lvl>
              </c:multiLvlStrCache>
            </c:multiLvlStrRef>
          </c:cat>
          <c:val>
            <c:numRef>
              <c:f>'biểu đồ'!$B$34:$E$34</c:f>
              <c:numCache>
                <c:formatCode>0%</c:formatCode>
                <c:ptCount val="4"/>
                <c:pt idx="0">
                  <c:v>0.222</c:v>
                </c:pt>
                <c:pt idx="1">
                  <c:v>0.25</c:v>
                </c:pt>
                <c:pt idx="2">
                  <c:v>0.221</c:v>
                </c:pt>
                <c:pt idx="3">
                  <c:v>0.26</c:v>
                </c:pt>
              </c:numCache>
            </c:numRef>
          </c:val>
          <c:smooth val="0"/>
          <c:extLst>
            <c:ext xmlns:c16="http://schemas.microsoft.com/office/drawing/2014/chart" uri="{C3380CC4-5D6E-409C-BE32-E72D297353CC}">
              <c16:uniqueId val="{00000001-667A-49FC-A8F8-9EC556277F30}"/>
            </c:ext>
          </c:extLst>
        </c:ser>
        <c:ser>
          <c:idx val="2"/>
          <c:order val="2"/>
          <c:tx>
            <c:strRef>
              <c:f>'biểu đồ'!$A$35</c:f>
              <c:strCache>
                <c:ptCount val="1"/>
                <c:pt idx="0">
                  <c:v>Biên EBITDA (%)</c:v>
                </c:pt>
              </c:strCache>
            </c:strRef>
          </c:tx>
          <c:spPr>
            <a:ln w="28575" cap="rnd">
              <a:solidFill>
                <a:schemeClr val="accent3"/>
              </a:solidFill>
              <a:round/>
            </a:ln>
            <a:effectLst/>
          </c:spPr>
          <c:marker>
            <c:symbol val="none"/>
          </c:marker>
          <c:cat>
            <c:multiLvlStrRef>
              <c:f>'biểu đồ'!$B$31:$E$32</c:f>
              <c:multiLvlStrCache>
                <c:ptCount val="4"/>
                <c:lvl>
                  <c:pt idx="0">
                    <c:v>WCP</c:v>
                  </c:pt>
                  <c:pt idx="1">
                    <c:v>BHX</c:v>
                  </c:pt>
                  <c:pt idx="2">
                    <c:v>WCP</c:v>
                  </c:pt>
                  <c:pt idx="3">
                    <c:v>BHX</c:v>
                  </c:pt>
                </c:lvl>
                <c:lvl>
                  <c:pt idx="0">
                    <c:v>Q1/22</c:v>
                  </c:pt>
                  <c:pt idx="2">
                    <c:v>Q1/23</c:v>
                  </c:pt>
                </c:lvl>
              </c:multiLvlStrCache>
            </c:multiLvlStrRef>
          </c:cat>
          <c:val>
            <c:numRef>
              <c:f>'biểu đồ'!$B$35:$E$35</c:f>
              <c:numCache>
                <c:formatCode>0%</c:formatCode>
                <c:ptCount val="4"/>
                <c:pt idx="0">
                  <c:v>2.1999999999999999E-2</c:v>
                </c:pt>
                <c:pt idx="1">
                  <c:v>-7.0059552641604628E-2</c:v>
                </c:pt>
                <c:pt idx="2">
                  <c:v>0.01</c:v>
                </c:pt>
                <c:pt idx="3">
                  <c:v>0.01</c:v>
                </c:pt>
              </c:numCache>
            </c:numRef>
          </c:val>
          <c:smooth val="0"/>
          <c:extLst>
            <c:ext xmlns:c16="http://schemas.microsoft.com/office/drawing/2014/chart" uri="{C3380CC4-5D6E-409C-BE32-E72D297353CC}">
              <c16:uniqueId val="{00000002-667A-49FC-A8F8-9EC556277F30}"/>
            </c:ext>
          </c:extLst>
        </c:ser>
        <c:dLbls>
          <c:showLegendKey val="0"/>
          <c:showVal val="0"/>
          <c:showCatName val="0"/>
          <c:showSerName val="0"/>
          <c:showPercent val="0"/>
          <c:showBubbleSize val="0"/>
        </c:dLbls>
        <c:marker val="1"/>
        <c:smooth val="0"/>
        <c:axId val="1171593519"/>
        <c:axId val="1171619311"/>
      </c:lineChart>
      <c:catAx>
        <c:axId val="1171620559"/>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vi-VN"/>
          </a:p>
        </c:txPr>
        <c:crossAx val="1171622639"/>
        <c:crosses val="autoZero"/>
        <c:auto val="1"/>
        <c:lblAlgn val="ctr"/>
        <c:lblOffset val="100"/>
        <c:noMultiLvlLbl val="0"/>
      </c:catAx>
      <c:valAx>
        <c:axId val="1171622639"/>
        <c:scaling>
          <c:orientation val="minMax"/>
        </c:scaling>
        <c:delete val="0"/>
        <c:axPos val="l"/>
        <c:numFmt formatCode="_(* #,##0.0_);_(* \(#,##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vi-VN"/>
          </a:p>
        </c:txPr>
        <c:crossAx val="1171620559"/>
        <c:crosses val="autoZero"/>
        <c:crossBetween val="between"/>
      </c:valAx>
      <c:valAx>
        <c:axId val="1171619311"/>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vi-VN"/>
          </a:p>
        </c:txPr>
        <c:crossAx val="1171593519"/>
        <c:crosses val="max"/>
        <c:crossBetween val="between"/>
      </c:valAx>
      <c:catAx>
        <c:axId val="1171593519"/>
        <c:scaling>
          <c:orientation val="minMax"/>
        </c:scaling>
        <c:delete val="1"/>
        <c:axPos val="b"/>
        <c:numFmt formatCode="General" sourceLinked="1"/>
        <c:majorTickMark val="out"/>
        <c:minorTickMark val="none"/>
        <c:tickLblPos val="nextTo"/>
        <c:crossAx val="1171619311"/>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vi-V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vi-VN"/>
    </a:p>
  </c:txPr>
  <c:printSettings>
    <c:headerFooter/>
    <c:pageMargins b="0.75" l="0.7" r="0.7" t="0.75" header="0.3" footer="0.3"/>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'biểu đồ'!$J$32</c:f>
              <c:strCache>
                <c:ptCount val="1"/>
                <c:pt idx="0">
                  <c:v>DT/CH/Tháng (tỷ VND)_LHS</c:v>
                </c:pt>
              </c:strCache>
            </c:strRef>
          </c:tx>
          <c:spPr>
            <a:solidFill>
              <a:schemeClr val="accent1"/>
            </a:solidFill>
            <a:ln>
              <a:noFill/>
            </a:ln>
            <a:effectLst/>
          </c:spPr>
          <c:invertIfNegative val="0"/>
          <c:cat>
            <c:strRef>
              <c:f>'biểu đồ'!$K$31:$O$31</c:f>
              <c:strCache>
                <c:ptCount val="5"/>
                <c:pt idx="0">
                  <c:v>Q1/2022</c:v>
                </c:pt>
                <c:pt idx="1">
                  <c:v>Q2/2022</c:v>
                </c:pt>
                <c:pt idx="2">
                  <c:v>Q3/2022</c:v>
                </c:pt>
                <c:pt idx="3">
                  <c:v>Q4/2022</c:v>
                </c:pt>
                <c:pt idx="4">
                  <c:v>Q1/2023</c:v>
                </c:pt>
              </c:strCache>
            </c:strRef>
          </c:cat>
          <c:val>
            <c:numRef>
              <c:f>'biểu đồ'!$K$32:$O$32</c:f>
              <c:numCache>
                <c:formatCode>_(* #,##0.00_);_(* \(#,##0.00\);_(* "-"??_);_(@_)</c:formatCode>
                <c:ptCount val="5"/>
                <c:pt idx="0">
                  <c:v>0.9483435390171141</c:v>
                </c:pt>
                <c:pt idx="1">
                  <c:v>1.1211258376768432</c:v>
                </c:pt>
                <c:pt idx="2">
                  <c:v>1.312552022855036</c:v>
                </c:pt>
                <c:pt idx="3">
                  <c:v>1.3781625638503086</c:v>
                </c:pt>
                <c:pt idx="4">
                  <c:v>1.2351444638355633</c:v>
                </c:pt>
              </c:numCache>
            </c:numRef>
          </c:val>
          <c:extLst>
            <c:ext xmlns:c16="http://schemas.microsoft.com/office/drawing/2014/chart" uri="{C3380CC4-5D6E-409C-BE32-E72D297353CC}">
              <c16:uniqueId val="{00000000-3162-4FC3-B1D9-EAEA249406B8}"/>
            </c:ext>
          </c:extLst>
        </c:ser>
        <c:ser>
          <c:idx val="2"/>
          <c:order val="2"/>
          <c:tx>
            <c:strRef>
              <c:f>'biểu đồ'!$J$34</c:f>
              <c:strCache>
                <c:ptCount val="1"/>
                <c:pt idx="0">
                  <c:v>SSSG (%) </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vi-V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'biểu đồ'!$K$31:$O$31</c:f>
              <c:strCache>
                <c:ptCount val="5"/>
                <c:pt idx="0">
                  <c:v>Q1/2022</c:v>
                </c:pt>
                <c:pt idx="1">
                  <c:v>Q2/2022</c:v>
                </c:pt>
                <c:pt idx="2">
                  <c:v>Q3/2022</c:v>
                </c:pt>
                <c:pt idx="3">
                  <c:v>Q4/2022</c:v>
                </c:pt>
                <c:pt idx="4">
                  <c:v>Q1/2023</c:v>
                </c:pt>
              </c:strCache>
            </c:strRef>
          </c:cat>
          <c:val>
            <c:numRef>
              <c:f>'biểu đồ'!$K$34:$O$34</c:f>
              <c:numCache>
                <c:formatCode>0%</c:formatCode>
                <c:ptCount val="5"/>
                <c:pt idx="0">
                  <c:v>-0.13</c:v>
                </c:pt>
                <c:pt idx="1">
                  <c:v>-0.19</c:v>
                </c:pt>
                <c:pt idx="2">
                  <c:v>-0.21</c:v>
                </c:pt>
                <c:pt idx="3">
                  <c:v>0.35</c:v>
                </c:pt>
                <c:pt idx="4">
                  <c:v>0.16</c:v>
                </c:pt>
              </c:numCache>
            </c:numRef>
          </c:val>
          <c:extLst>
            <c:ext xmlns:c16="http://schemas.microsoft.com/office/drawing/2014/chart" uri="{C3380CC4-5D6E-409C-BE32-E72D297353CC}">
              <c16:uniqueId val="{00000002-3162-4FC3-B1D9-EAEA249406B8}"/>
            </c:ext>
          </c:extLst>
        </c:ser>
        <c:dLbls>
          <c:showLegendKey val="0"/>
          <c:showVal val="0"/>
          <c:showCatName val="0"/>
          <c:showSerName val="0"/>
          <c:showPercent val="0"/>
          <c:showBubbleSize val="0"/>
        </c:dLbls>
        <c:gapWidth val="219"/>
        <c:axId val="1331605615"/>
        <c:axId val="1331615599"/>
      </c:barChart>
      <c:lineChart>
        <c:grouping val="standard"/>
        <c:varyColors val="0"/>
        <c:ser>
          <c:idx val="1"/>
          <c:order val="1"/>
          <c:tx>
            <c:strRef>
              <c:f>'biểu đồ'!$J$33</c:f>
              <c:strCache>
                <c:ptCount val="1"/>
                <c:pt idx="0">
                  <c:v>Số lượng cửa hàng_RHS</c:v>
                </c:pt>
              </c:strCache>
            </c:strRef>
          </c:tx>
          <c:spPr>
            <a:ln w="28575" cap="rnd">
              <a:solidFill>
                <a:schemeClr val="accent2"/>
              </a:solidFill>
              <a:round/>
            </a:ln>
            <a:effectLst/>
          </c:spPr>
          <c:marker>
            <c:symbol val="none"/>
          </c:marker>
          <c:cat>
            <c:strRef>
              <c:f>'biểu đồ'!$K$31:$O$31</c:f>
              <c:strCache>
                <c:ptCount val="5"/>
                <c:pt idx="0">
                  <c:v>Q1/2022</c:v>
                </c:pt>
                <c:pt idx="1">
                  <c:v>Q2/2022</c:v>
                </c:pt>
                <c:pt idx="2">
                  <c:v>Q3/2022</c:v>
                </c:pt>
                <c:pt idx="3">
                  <c:v>Q4/2022</c:v>
                </c:pt>
                <c:pt idx="4">
                  <c:v>Q1/2023</c:v>
                </c:pt>
              </c:strCache>
            </c:strRef>
          </c:cat>
          <c:val>
            <c:numRef>
              <c:f>'biểu đồ'!$K$33:$O$33</c:f>
              <c:numCache>
                <c:formatCode>General</c:formatCode>
                <c:ptCount val="5"/>
                <c:pt idx="0">
                  <c:v>2127</c:v>
                </c:pt>
                <c:pt idx="1">
                  <c:v>1889</c:v>
                </c:pt>
                <c:pt idx="2">
                  <c:v>1727</c:v>
                </c:pt>
                <c:pt idx="3">
                  <c:v>1728</c:v>
                </c:pt>
                <c:pt idx="4">
                  <c:v>1710</c:v>
                </c:pt>
              </c:numCache>
            </c:numRef>
          </c:val>
          <c:smooth val="0"/>
          <c:extLst>
            <c:ext xmlns:c16="http://schemas.microsoft.com/office/drawing/2014/chart" uri="{C3380CC4-5D6E-409C-BE32-E72D297353CC}">
              <c16:uniqueId val="{00000001-3162-4FC3-B1D9-EAEA249406B8}"/>
            </c:ext>
          </c:extLst>
        </c:ser>
        <c:dLbls>
          <c:showLegendKey val="0"/>
          <c:showVal val="0"/>
          <c:showCatName val="0"/>
          <c:showSerName val="0"/>
          <c:showPercent val="0"/>
          <c:showBubbleSize val="0"/>
        </c:dLbls>
        <c:marker val="1"/>
        <c:smooth val="0"/>
        <c:axId val="1224662671"/>
        <c:axId val="1224656847"/>
      </c:lineChart>
      <c:catAx>
        <c:axId val="1331605615"/>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vi-VN"/>
          </a:p>
        </c:txPr>
        <c:crossAx val="1331615599"/>
        <c:crosses val="autoZero"/>
        <c:auto val="1"/>
        <c:lblAlgn val="ctr"/>
        <c:lblOffset val="100"/>
        <c:noMultiLvlLbl val="0"/>
      </c:catAx>
      <c:valAx>
        <c:axId val="1331615599"/>
        <c:scaling>
          <c:orientation val="minMax"/>
        </c:scaling>
        <c:delete val="0"/>
        <c:axPos val="l"/>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vi-VN"/>
          </a:p>
        </c:txPr>
        <c:crossAx val="1331605615"/>
        <c:crosses val="autoZero"/>
        <c:crossBetween val="between"/>
      </c:valAx>
      <c:valAx>
        <c:axId val="1224656847"/>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vi-VN"/>
          </a:p>
        </c:txPr>
        <c:crossAx val="1224662671"/>
        <c:crosses val="max"/>
        <c:crossBetween val="between"/>
      </c:valAx>
      <c:catAx>
        <c:axId val="1224662671"/>
        <c:scaling>
          <c:orientation val="minMax"/>
        </c:scaling>
        <c:delete val="1"/>
        <c:axPos val="b"/>
        <c:numFmt formatCode="General" sourceLinked="1"/>
        <c:majorTickMark val="out"/>
        <c:minorTickMark val="none"/>
        <c:tickLblPos val="nextTo"/>
        <c:crossAx val="1224656847"/>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vi-V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vi-VN"/>
    </a:p>
  </c:txPr>
  <c:printSettings>
    <c:headerFooter/>
    <c:pageMargins b="0.75" l="0.7" r="0.7" t="0.75" header="0.3" footer="0.3"/>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FC2-47E8-9D40-B4042054053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FC2-47E8-9D40-B4042054053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FC2-47E8-9D40-B4042054053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9FC2-47E8-9D40-B40420540532}"/>
              </c:ext>
            </c:extLst>
          </c:dPt>
          <c:cat>
            <c:strRef>
              <c:extLst>
                <c:ext xmlns:c15="http://schemas.microsoft.com/office/drawing/2012/chart" uri="{02D57815-91ED-43cb-92C2-25804820EDAC}">
                  <c15:fullRef>
                    <c15:sqref>'biểu đồ'!$A$49:$A$53</c15:sqref>
                  </c15:fullRef>
                </c:ext>
              </c:extLst>
              <c:f>'biểu đồ'!$A$50:$A$53</c:f>
              <c:strCache>
                <c:ptCount val="4"/>
                <c:pt idx="0">
                  <c:v>TPHCM</c:v>
                </c:pt>
                <c:pt idx="1">
                  <c:v>Miền Đông</c:v>
                </c:pt>
                <c:pt idx="2">
                  <c:v>Miền Tây</c:v>
                </c:pt>
                <c:pt idx="3">
                  <c:v>Miền Trung và cao nguyên</c:v>
                </c:pt>
              </c:strCache>
            </c:strRef>
          </c:cat>
          <c:val>
            <c:numRef>
              <c:extLst>
                <c:ext xmlns:c15="http://schemas.microsoft.com/office/drawing/2012/chart" uri="{02D57815-91ED-43cb-92C2-25804820EDAC}">
                  <c15:fullRef>
                    <c15:sqref>'biểu đồ'!$B$49:$B$53</c15:sqref>
                  </c15:fullRef>
                </c:ext>
              </c:extLst>
              <c:f>'biểu đồ'!$B$50:$B$53</c:f>
              <c:numCache>
                <c:formatCode>0%</c:formatCode>
                <c:ptCount val="4"/>
                <c:pt idx="0">
                  <c:v>0.28999999999999998</c:v>
                </c:pt>
                <c:pt idx="1">
                  <c:v>0.25</c:v>
                </c:pt>
                <c:pt idx="2">
                  <c:v>0.34</c:v>
                </c:pt>
                <c:pt idx="3">
                  <c:v>0.12</c:v>
                </c:pt>
              </c:numCache>
            </c:numRef>
          </c:val>
          <c:extLst>
            <c:ext xmlns:c15="http://schemas.microsoft.com/office/drawing/2012/chart" uri="{02D57815-91ED-43cb-92C2-25804820EDAC}">
              <c15:categoryFilterExceptions/>
            </c:ext>
            <c:ext xmlns:c16="http://schemas.microsoft.com/office/drawing/2014/chart" uri="{C3380CC4-5D6E-409C-BE32-E72D297353CC}">
              <c16:uniqueId val="{00000000-D587-4BE9-AEA9-487071EA314B}"/>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vi-VN"/>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vi-VN"/>
    </a:p>
  </c:txPr>
  <c:printSettings>
    <c:headerFooter/>
    <c:pageMargins b="0.75" l="0.7" r="0.7" t="0.75" header="0.3" footer="0.3"/>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'biểu đồ'!$B$39</c:f>
              <c:strCache>
                <c:ptCount val="1"/>
                <c:pt idx="0">
                  <c:v>Q1/23</c:v>
                </c:pt>
              </c:strCache>
            </c:strRef>
          </c:tx>
          <c:spPr>
            <a:solidFill>
              <a:schemeClr val="accent1"/>
            </a:solidFill>
            <a:ln>
              <a:noFill/>
            </a:ln>
            <a:effectLst/>
          </c:spPr>
          <c:invertIfNegative val="0"/>
          <c:cat>
            <c:strRef>
              <c:f>'biểu đồ'!$A$40:$A$48</c:f>
              <c:strCache>
                <c:ptCount val="9"/>
                <c:pt idx="0">
                  <c:v>(%) SSSG</c:v>
                </c:pt>
                <c:pt idx="2">
                  <c:v>(%)Tỷ trọng hàng fresh/DT</c:v>
                </c:pt>
                <c:pt idx="4">
                  <c:v>(%) Tăng trưởng DT online</c:v>
                </c:pt>
                <c:pt idx="6">
                  <c:v>%Số lượng hoá đơn tb/ ngày</c:v>
                </c:pt>
                <c:pt idx="8">
                  <c:v>% Gía trị hoá đơn/ ngày</c:v>
                </c:pt>
              </c:strCache>
            </c:strRef>
          </c:cat>
          <c:val>
            <c:numRef>
              <c:f>'biểu đồ'!$B$40:$B$48</c:f>
              <c:numCache>
                <c:formatCode>0%</c:formatCode>
                <c:ptCount val="9"/>
                <c:pt idx="0">
                  <c:v>0.16</c:v>
                </c:pt>
                <c:pt idx="2">
                  <c:v>0.50446807040900266</c:v>
                </c:pt>
                <c:pt idx="4">
                  <c:v>0.19</c:v>
                </c:pt>
                <c:pt idx="6">
                  <c:v>0.25</c:v>
                </c:pt>
                <c:pt idx="8">
                  <c:v>-0.15</c:v>
                </c:pt>
              </c:numCache>
            </c:numRef>
          </c:val>
          <c:extLst>
            <c:ext xmlns:c16="http://schemas.microsoft.com/office/drawing/2014/chart" uri="{C3380CC4-5D6E-409C-BE32-E72D297353CC}">
              <c16:uniqueId val="{00000000-ED55-40B6-AF9E-D9EA2CF4A544}"/>
            </c:ext>
          </c:extLst>
        </c:ser>
        <c:ser>
          <c:idx val="1"/>
          <c:order val="1"/>
          <c:tx>
            <c:strRef>
              <c:f>'biểu đồ'!$C$39</c:f>
              <c:strCache>
                <c:ptCount val="1"/>
                <c:pt idx="0">
                  <c:v>Q1/22</c:v>
                </c:pt>
              </c:strCache>
            </c:strRef>
          </c:tx>
          <c:spPr>
            <a:solidFill>
              <a:schemeClr val="accent2"/>
            </a:solidFill>
            <a:ln>
              <a:noFill/>
            </a:ln>
            <a:effectLst/>
          </c:spPr>
          <c:invertIfNegative val="0"/>
          <c:cat>
            <c:strRef>
              <c:f>'biểu đồ'!$A$40:$A$48</c:f>
              <c:strCache>
                <c:ptCount val="9"/>
                <c:pt idx="0">
                  <c:v>(%) SSSG</c:v>
                </c:pt>
                <c:pt idx="2">
                  <c:v>(%)Tỷ trọng hàng fresh/DT</c:v>
                </c:pt>
                <c:pt idx="4">
                  <c:v>(%) Tăng trưởng DT online</c:v>
                </c:pt>
                <c:pt idx="6">
                  <c:v>%Số lượng hoá đơn tb/ ngày</c:v>
                </c:pt>
                <c:pt idx="8">
                  <c:v>% Gía trị hoá đơn/ ngày</c:v>
                </c:pt>
              </c:strCache>
            </c:strRef>
          </c:cat>
          <c:val>
            <c:numRef>
              <c:f>'biểu đồ'!$C$40:$C$48</c:f>
              <c:numCache>
                <c:formatCode>0%</c:formatCode>
                <c:ptCount val="9"/>
                <c:pt idx="0">
                  <c:v>-0.13</c:v>
                </c:pt>
                <c:pt idx="2">
                  <c:v>0.38</c:v>
                </c:pt>
                <c:pt idx="4">
                  <c:v>0.12</c:v>
                </c:pt>
                <c:pt idx="6">
                  <c:v>-0.15</c:v>
                </c:pt>
                <c:pt idx="8">
                  <c:v>-0.01</c:v>
                </c:pt>
              </c:numCache>
            </c:numRef>
          </c:val>
          <c:extLst>
            <c:ext xmlns:c16="http://schemas.microsoft.com/office/drawing/2014/chart" uri="{C3380CC4-5D6E-409C-BE32-E72D297353CC}">
              <c16:uniqueId val="{00000001-ED55-40B6-AF9E-D9EA2CF4A544}"/>
            </c:ext>
          </c:extLst>
        </c:ser>
        <c:dLbls>
          <c:showLegendKey val="0"/>
          <c:showVal val="0"/>
          <c:showCatName val="0"/>
          <c:showSerName val="0"/>
          <c:showPercent val="0"/>
          <c:showBubbleSize val="0"/>
        </c:dLbls>
        <c:gapWidth val="182"/>
        <c:axId val="1075829279"/>
        <c:axId val="1075832191"/>
      </c:barChart>
      <c:catAx>
        <c:axId val="1075829279"/>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Calibri (Body)"/>
                <a:ea typeface="+mn-ea"/>
                <a:cs typeface="+mn-cs"/>
              </a:defRPr>
            </a:pPr>
            <a:endParaRPr lang="vi-VN"/>
          </a:p>
        </c:txPr>
        <c:crossAx val="1075832191"/>
        <c:crosses val="autoZero"/>
        <c:auto val="1"/>
        <c:lblAlgn val="ctr"/>
        <c:lblOffset val="100"/>
        <c:noMultiLvlLbl val="0"/>
      </c:catAx>
      <c:valAx>
        <c:axId val="1075832191"/>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Calibri (Body)"/>
                <a:ea typeface="+mn-ea"/>
                <a:cs typeface="+mn-cs"/>
              </a:defRPr>
            </a:pPr>
            <a:endParaRPr lang="vi-VN"/>
          </a:p>
        </c:txPr>
        <c:crossAx val="107582927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Calibri (Body)"/>
              <a:ea typeface="+mn-ea"/>
              <a:cs typeface="+mn-cs"/>
            </a:defRPr>
          </a:pPr>
          <a:endParaRPr lang="vi-V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800">
          <a:latin typeface="Calibri (Body)"/>
        </a:defRPr>
      </a:pPr>
      <a:endParaRPr lang="vi-VN"/>
    </a:p>
  </c:txPr>
  <c:printSettings>
    <c:headerFooter/>
    <c:pageMargins b="0.75" l="0.7" r="0.7" t="0.75" header="0.3" footer="0.3"/>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23A-44FE-87A9-E09ADB19456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23A-44FE-87A9-E09ADB19456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23A-44FE-87A9-E09ADB194566}"/>
              </c:ext>
            </c:extLst>
          </c:dPt>
          <c:dLbls>
            <c:spPr>
              <a:solidFill>
                <a:sysClr val="window" lastClr="FFFFFF"/>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vi-VN"/>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'biểu đồ'!$A$146:$A$148</c:f>
              <c:strCache>
                <c:ptCount val="3"/>
                <c:pt idx="0">
                  <c:v>Thế giới di động</c:v>
                </c:pt>
                <c:pt idx="1">
                  <c:v>Điện máy xanh </c:v>
                </c:pt>
                <c:pt idx="2">
                  <c:v>Bách hoá xanh</c:v>
                </c:pt>
              </c:strCache>
            </c:strRef>
          </c:cat>
          <c:val>
            <c:numRef>
              <c:f>'biểu đồ'!$B$146:$B$148</c:f>
              <c:numCache>
                <c:formatCode>General</c:formatCode>
                <c:ptCount val="3"/>
                <c:pt idx="0">
                  <c:v>20</c:v>
                </c:pt>
                <c:pt idx="1">
                  <c:v>15</c:v>
                </c:pt>
                <c:pt idx="2">
                  <c:v>5</c:v>
                </c:pt>
              </c:numCache>
            </c:numRef>
          </c:val>
          <c:extLst>
            <c:ext xmlns:c16="http://schemas.microsoft.com/office/drawing/2014/chart" uri="{C3380CC4-5D6E-409C-BE32-E72D297353CC}">
              <c16:uniqueId val="{00000000-27C8-469D-B368-AB682AFA79DE}"/>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vi-VN"/>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vi-VN"/>
    </a:p>
  </c:txPr>
  <c:printSettings>
    <c:headerFooter/>
    <c:pageMargins b="0.75" l="0.7" r="0.7" t="0.75" header="0.3" footer="0.3"/>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rgbClr val="002060"/>
                </a:solidFill>
                <a:latin typeface="Calibri (Body)"/>
                <a:ea typeface="+mn-ea"/>
                <a:cs typeface="+mn-cs"/>
              </a:defRPr>
            </a:pPr>
            <a:r>
              <a:rPr lang="en-US"/>
              <a:t>xu hướng tăng số lượng cửa hàng Topzone và ĐMS</a:t>
            </a:r>
          </a:p>
        </c:rich>
      </c:tx>
      <c:overlay val="0"/>
      <c:spPr>
        <a:noFill/>
        <a:ln>
          <a:noFill/>
        </a:ln>
        <a:effectLst/>
      </c:spPr>
      <c:txPr>
        <a:bodyPr rot="0" spcFirstLastPara="1" vertOverflow="ellipsis" vert="horz" wrap="square" anchor="ctr" anchorCtr="1"/>
        <a:lstStyle/>
        <a:p>
          <a:pPr>
            <a:defRPr sz="1200" b="0" i="0" u="none" strike="noStrike" kern="1200" spc="0" baseline="0">
              <a:solidFill>
                <a:srgbClr val="002060"/>
              </a:solidFill>
              <a:latin typeface="Calibri (Body)"/>
              <a:ea typeface="+mn-ea"/>
              <a:cs typeface="+mn-cs"/>
            </a:defRPr>
          </a:pPr>
          <a:endParaRPr lang="vi-VN"/>
        </a:p>
      </c:txPr>
    </c:title>
    <c:autoTitleDeleted val="0"/>
    <c:plotArea>
      <c:layout/>
      <c:barChart>
        <c:barDir val="col"/>
        <c:grouping val="stacked"/>
        <c:varyColors val="0"/>
        <c:ser>
          <c:idx val="0"/>
          <c:order val="0"/>
          <c:tx>
            <c:strRef>
              <c:f>bhx!$L$3</c:f>
              <c:strCache>
                <c:ptCount val="1"/>
                <c:pt idx="0">
                  <c:v>TGDĐ</c:v>
                </c:pt>
              </c:strCache>
            </c:strRef>
          </c:tx>
          <c:spPr>
            <a:solidFill>
              <a:srgbClr val="FFC000"/>
            </a:solidFill>
            <a:ln>
              <a:noFill/>
            </a:ln>
            <a:effectLst/>
          </c:spPr>
          <c:invertIfNegative val="0"/>
          <c:cat>
            <c:strRef>
              <c:f>bhx!$M$2:$O$2</c:f>
              <c:strCache>
                <c:ptCount val="3"/>
                <c:pt idx="0">
                  <c:v>9T/2020</c:v>
                </c:pt>
                <c:pt idx="1">
                  <c:v>9T/2021</c:v>
                </c:pt>
                <c:pt idx="2">
                  <c:v>9T/2022</c:v>
                </c:pt>
              </c:strCache>
            </c:strRef>
          </c:cat>
          <c:val>
            <c:numRef>
              <c:f>bhx!$M$3:$O$3</c:f>
              <c:numCache>
                <c:formatCode>General</c:formatCode>
                <c:ptCount val="3"/>
                <c:pt idx="0">
                  <c:v>962</c:v>
                </c:pt>
                <c:pt idx="1">
                  <c:v>950</c:v>
                </c:pt>
                <c:pt idx="2">
                  <c:v>1045</c:v>
                </c:pt>
              </c:numCache>
            </c:numRef>
          </c:val>
          <c:extLst>
            <c:ext xmlns:c16="http://schemas.microsoft.com/office/drawing/2014/chart" uri="{C3380CC4-5D6E-409C-BE32-E72D297353CC}">
              <c16:uniqueId val="{00000000-6C21-4A2C-B35D-916AB02BEC69}"/>
            </c:ext>
          </c:extLst>
        </c:ser>
        <c:ser>
          <c:idx val="1"/>
          <c:order val="1"/>
          <c:tx>
            <c:strRef>
              <c:f>bhx!$L$4</c:f>
              <c:strCache>
                <c:ptCount val="1"/>
                <c:pt idx="0">
                  <c:v>Topzone</c:v>
                </c:pt>
              </c:strCache>
            </c:strRef>
          </c:tx>
          <c:spPr>
            <a:solidFill>
              <a:schemeClr val="bg1">
                <a:lumMod val="50000"/>
              </a:schemeClr>
            </a:solidFill>
            <a:ln>
              <a:noFill/>
            </a:ln>
            <a:effectLst/>
          </c:spPr>
          <c:invertIfNegative val="0"/>
          <c:cat>
            <c:strRef>
              <c:f>bhx!$M$2:$O$2</c:f>
              <c:strCache>
                <c:ptCount val="3"/>
                <c:pt idx="0">
                  <c:v>9T/2020</c:v>
                </c:pt>
                <c:pt idx="1">
                  <c:v>9T/2021</c:v>
                </c:pt>
                <c:pt idx="2">
                  <c:v>9T/2022</c:v>
                </c:pt>
              </c:strCache>
            </c:strRef>
          </c:cat>
          <c:val>
            <c:numRef>
              <c:f>bhx!$M$4:$O$4</c:f>
              <c:numCache>
                <c:formatCode>General</c:formatCode>
                <c:ptCount val="3"/>
                <c:pt idx="2">
                  <c:v>71</c:v>
                </c:pt>
              </c:numCache>
            </c:numRef>
          </c:val>
          <c:extLst>
            <c:ext xmlns:c16="http://schemas.microsoft.com/office/drawing/2014/chart" uri="{C3380CC4-5D6E-409C-BE32-E72D297353CC}">
              <c16:uniqueId val="{00000001-6C21-4A2C-B35D-916AB02BEC69}"/>
            </c:ext>
          </c:extLst>
        </c:ser>
        <c:ser>
          <c:idx val="2"/>
          <c:order val="2"/>
          <c:tx>
            <c:strRef>
              <c:f>bhx!$L$5</c:f>
              <c:strCache>
                <c:ptCount val="1"/>
                <c:pt idx="0">
                  <c:v>ĐMX</c:v>
                </c:pt>
              </c:strCache>
            </c:strRef>
          </c:tx>
          <c:spPr>
            <a:solidFill>
              <a:schemeClr val="accent5">
                <a:lumMod val="50000"/>
              </a:schemeClr>
            </a:solidFill>
            <a:ln>
              <a:noFill/>
            </a:ln>
            <a:effectLst/>
          </c:spPr>
          <c:invertIfNegative val="0"/>
          <c:cat>
            <c:strRef>
              <c:f>bhx!$M$2:$O$2</c:f>
              <c:strCache>
                <c:ptCount val="3"/>
                <c:pt idx="0">
                  <c:v>9T/2020</c:v>
                </c:pt>
                <c:pt idx="1">
                  <c:v>9T/2021</c:v>
                </c:pt>
                <c:pt idx="2">
                  <c:v>9T/2022</c:v>
                </c:pt>
              </c:strCache>
            </c:strRef>
          </c:cat>
          <c:val>
            <c:numRef>
              <c:f>bhx!$M$5:$O$5</c:f>
              <c:numCache>
                <c:formatCode>General</c:formatCode>
                <c:ptCount val="3"/>
                <c:pt idx="0">
                  <c:v>1072</c:v>
                </c:pt>
                <c:pt idx="1">
                  <c:v>1180</c:v>
                </c:pt>
                <c:pt idx="2">
                  <c:v>1227</c:v>
                </c:pt>
              </c:numCache>
            </c:numRef>
          </c:val>
          <c:extLst>
            <c:ext xmlns:c16="http://schemas.microsoft.com/office/drawing/2014/chart" uri="{C3380CC4-5D6E-409C-BE32-E72D297353CC}">
              <c16:uniqueId val="{00000002-6C21-4A2C-B35D-916AB02BEC69}"/>
            </c:ext>
          </c:extLst>
        </c:ser>
        <c:ser>
          <c:idx val="3"/>
          <c:order val="3"/>
          <c:tx>
            <c:strRef>
              <c:f>bhx!$L$6</c:f>
              <c:strCache>
                <c:ptCount val="1"/>
                <c:pt idx="0">
                  <c:v>ĐMS</c:v>
                </c:pt>
              </c:strCache>
            </c:strRef>
          </c:tx>
          <c:spPr>
            <a:solidFill>
              <a:srgbClr val="0070C0"/>
            </a:solidFill>
            <a:ln>
              <a:noFill/>
            </a:ln>
            <a:effectLst/>
          </c:spPr>
          <c:invertIfNegative val="0"/>
          <c:cat>
            <c:strRef>
              <c:f>bhx!$M$2:$O$2</c:f>
              <c:strCache>
                <c:ptCount val="3"/>
                <c:pt idx="0">
                  <c:v>9T/2020</c:v>
                </c:pt>
                <c:pt idx="1">
                  <c:v>9T/2021</c:v>
                </c:pt>
                <c:pt idx="2">
                  <c:v>9T/2022</c:v>
                </c:pt>
              </c:strCache>
            </c:strRef>
          </c:cat>
          <c:val>
            <c:numRef>
              <c:f>bhx!$M$6:$O$6</c:f>
              <c:numCache>
                <c:formatCode>General</c:formatCode>
                <c:ptCount val="3"/>
                <c:pt idx="0">
                  <c:v>52</c:v>
                </c:pt>
                <c:pt idx="1">
                  <c:v>601</c:v>
                </c:pt>
                <c:pt idx="2">
                  <c:v>1019</c:v>
                </c:pt>
              </c:numCache>
            </c:numRef>
          </c:val>
          <c:extLst>
            <c:ext xmlns:c16="http://schemas.microsoft.com/office/drawing/2014/chart" uri="{C3380CC4-5D6E-409C-BE32-E72D297353CC}">
              <c16:uniqueId val="{00000000-A909-40E2-AE0F-A04F39197D4F}"/>
            </c:ext>
          </c:extLst>
        </c:ser>
        <c:dLbls>
          <c:showLegendKey val="0"/>
          <c:showVal val="0"/>
          <c:showCatName val="0"/>
          <c:showSerName val="0"/>
          <c:showPercent val="0"/>
          <c:showBubbleSize val="0"/>
        </c:dLbls>
        <c:gapWidth val="219"/>
        <c:overlap val="100"/>
        <c:axId val="1259315903"/>
        <c:axId val="1259317567"/>
      </c:barChart>
      <c:catAx>
        <c:axId val="12593159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rgbClr val="002060"/>
                </a:solidFill>
                <a:latin typeface="Calibri (Body)"/>
                <a:ea typeface="+mn-ea"/>
                <a:cs typeface="+mn-cs"/>
              </a:defRPr>
            </a:pPr>
            <a:endParaRPr lang="vi-VN"/>
          </a:p>
        </c:txPr>
        <c:crossAx val="1259317567"/>
        <c:crosses val="autoZero"/>
        <c:auto val="1"/>
        <c:lblAlgn val="ctr"/>
        <c:lblOffset val="100"/>
        <c:noMultiLvlLbl val="0"/>
      </c:catAx>
      <c:valAx>
        <c:axId val="125931756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rgbClr val="002060"/>
                </a:solidFill>
                <a:latin typeface="Calibri (Body)"/>
                <a:ea typeface="+mn-ea"/>
                <a:cs typeface="+mn-cs"/>
              </a:defRPr>
            </a:pPr>
            <a:endParaRPr lang="vi-VN"/>
          </a:p>
        </c:txPr>
        <c:crossAx val="12593159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00" b="0" i="0" u="none" strike="noStrike" kern="1200" baseline="0">
              <a:solidFill>
                <a:srgbClr val="002060"/>
              </a:solidFill>
              <a:latin typeface="Calibri (Body)"/>
              <a:ea typeface="+mn-ea"/>
              <a:cs typeface="+mn-cs"/>
            </a:defRPr>
          </a:pPr>
          <a:endParaRPr lang="vi-V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00">
          <a:solidFill>
            <a:srgbClr val="002060"/>
          </a:solidFill>
          <a:latin typeface="Calibri (Body)"/>
        </a:defRPr>
      </a:pPr>
      <a:endParaRPr lang="vi-VN"/>
    </a:p>
  </c:txPr>
  <c:printSettings>
    <c:headerFooter/>
    <c:pageMargins b="0.75" l="0.7" r="0.7" t="0.75" header="0.3" footer="0.3"/>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1"/>
          <c:tx>
            <c:strRef>
              <c:f>bhx!$A$23</c:f>
              <c:strCache>
                <c:ptCount val="1"/>
                <c:pt idx="0">
                  <c:v>DH TB/CH (tỷ đồng)</c:v>
                </c:pt>
              </c:strCache>
            </c:strRef>
          </c:tx>
          <c:spPr>
            <a:solidFill>
              <a:srgbClr val="002060"/>
            </a:solidFill>
            <a:ln>
              <a:noFill/>
            </a:ln>
            <a:effectLst/>
          </c:spPr>
          <c:invertIfNegative val="0"/>
          <c:dPt>
            <c:idx val="6"/>
            <c:invertIfNegative val="0"/>
            <c:bubble3D val="0"/>
            <c:spPr>
              <a:solidFill>
                <a:srgbClr val="002060"/>
              </a:solidFill>
              <a:ln w="22225">
                <a:solidFill>
                  <a:srgbClr val="FFC000"/>
                </a:solidFill>
                <a:prstDash val="sysDash"/>
              </a:ln>
              <a:effectLst/>
            </c:spPr>
            <c:extLst>
              <c:ext xmlns:c16="http://schemas.microsoft.com/office/drawing/2014/chart" uri="{C3380CC4-5D6E-409C-BE32-E72D297353CC}">
                <c16:uniqueId val="{00000003-E475-44EB-B5BF-9AE9DEC4FA08}"/>
              </c:ext>
            </c:extLst>
          </c:dPt>
          <c:cat>
            <c:strRef>
              <c:f>bhx!$B$21:$H$21</c:f>
              <c:strCache>
                <c:ptCount val="7"/>
                <c:pt idx="0">
                  <c:v>Q1/2021</c:v>
                </c:pt>
                <c:pt idx="1">
                  <c:v>Q2/2021</c:v>
                </c:pt>
                <c:pt idx="2">
                  <c:v>Q3/2021</c:v>
                </c:pt>
                <c:pt idx="3">
                  <c:v>Q4/2021</c:v>
                </c:pt>
                <c:pt idx="4">
                  <c:v>Q1/2022</c:v>
                </c:pt>
                <c:pt idx="5">
                  <c:v>Q2/2022</c:v>
                </c:pt>
                <c:pt idx="6">
                  <c:v>Q3/2022</c:v>
                </c:pt>
              </c:strCache>
            </c:strRef>
          </c:cat>
          <c:val>
            <c:numRef>
              <c:f>bhx!$B$23:$H$23</c:f>
              <c:numCache>
                <c:formatCode>_(* #,##0.00_);_(* \(#,##0.00\);_(* "-"??_);_(@_)</c:formatCode>
                <c:ptCount val="7"/>
                <c:pt idx="0">
                  <c:v>1.1378104800152993</c:v>
                </c:pt>
                <c:pt idx="1">
                  <c:v>1.3538726858185133</c:v>
                </c:pt>
                <c:pt idx="2">
                  <c:v>1.6049157509157512</c:v>
                </c:pt>
                <c:pt idx="3">
                  <c:v>0.92148217821782119</c:v>
                </c:pt>
                <c:pt idx="4">
                  <c:v>0.9483435390171141</c:v>
                </c:pt>
                <c:pt idx="5">
                  <c:v>1.1211258376768432</c:v>
                </c:pt>
                <c:pt idx="6">
                  <c:v>1.312552022855036</c:v>
                </c:pt>
              </c:numCache>
            </c:numRef>
          </c:val>
          <c:extLst>
            <c:ext xmlns:c16="http://schemas.microsoft.com/office/drawing/2014/chart" uri="{C3380CC4-5D6E-409C-BE32-E72D297353CC}">
              <c16:uniqueId val="{00000001-E475-44EB-B5BF-9AE9DEC4FA08}"/>
            </c:ext>
          </c:extLst>
        </c:ser>
        <c:dLbls>
          <c:showLegendKey val="0"/>
          <c:showVal val="0"/>
          <c:showCatName val="0"/>
          <c:showSerName val="0"/>
          <c:showPercent val="0"/>
          <c:showBubbleSize val="0"/>
        </c:dLbls>
        <c:gapWidth val="219"/>
        <c:axId val="1726069599"/>
        <c:axId val="1726066687"/>
        <c:extLst>
          <c:ext xmlns:c15="http://schemas.microsoft.com/office/drawing/2012/chart" uri="{02D57815-91ED-43cb-92C2-25804820EDAC}">
            <c15:filteredBarSeries>
              <c15:ser>
                <c:idx val="0"/>
                <c:order val="0"/>
                <c:tx>
                  <c:strRef>
                    <c:extLst>
                      <c:ext uri="{02D57815-91ED-43cb-92C2-25804820EDAC}">
                        <c15:formulaRef>
                          <c15:sqref>bhx!$A$22</c15:sqref>
                        </c15:formulaRef>
                      </c:ext>
                    </c:extLst>
                    <c:strCache>
                      <c:ptCount val="1"/>
                      <c:pt idx="0">
                        <c:v>DT</c:v>
                      </c:pt>
                    </c:strCache>
                  </c:strRef>
                </c:tx>
                <c:spPr>
                  <a:solidFill>
                    <a:schemeClr val="accent1"/>
                  </a:solidFill>
                  <a:ln>
                    <a:noFill/>
                  </a:ln>
                  <a:effectLst/>
                </c:spPr>
                <c:invertIfNegative val="0"/>
                <c:cat>
                  <c:strRef>
                    <c:extLst>
                      <c:ext uri="{02D57815-91ED-43cb-92C2-25804820EDAC}">
                        <c15:formulaRef>
                          <c15:sqref>bhx!$B$21:$H$21</c15:sqref>
                        </c15:formulaRef>
                      </c:ext>
                    </c:extLst>
                    <c:strCache>
                      <c:ptCount val="7"/>
                      <c:pt idx="0">
                        <c:v>Q1/2021</c:v>
                      </c:pt>
                      <c:pt idx="1">
                        <c:v>Q2/2021</c:v>
                      </c:pt>
                      <c:pt idx="2">
                        <c:v>Q3/2021</c:v>
                      </c:pt>
                      <c:pt idx="3">
                        <c:v>Q4/2021</c:v>
                      </c:pt>
                      <c:pt idx="4">
                        <c:v>Q1/2022</c:v>
                      </c:pt>
                      <c:pt idx="5">
                        <c:v>Q2/2022</c:v>
                      </c:pt>
                      <c:pt idx="6">
                        <c:v>Q3/2022</c:v>
                      </c:pt>
                    </c:strCache>
                  </c:strRef>
                </c:cat>
                <c:val>
                  <c:numRef>
                    <c:extLst>
                      <c:ext uri="{02D57815-91ED-43cb-92C2-25804820EDAC}">
                        <c15:formulaRef>
                          <c15:sqref>bhx!$B$22:$H$22</c15:sqref>
                        </c15:formulaRef>
                      </c:ext>
                    </c:extLst>
                    <c:numCache>
                      <c:formatCode>_(* #,##0_);_(* \(#,##0\);_(* "-"??_);_(@_)</c:formatCode>
                      <c:ptCount val="7"/>
                      <c:pt idx="0">
                        <c:v>5949.6109999999999</c:v>
                      </c:pt>
                      <c:pt idx="1">
                        <c:v>7422.6069999999991</c:v>
                      </c:pt>
                      <c:pt idx="2">
                        <c:v>9200.9820000000018</c:v>
                      </c:pt>
                      <c:pt idx="3">
                        <c:v>5584.1819999999971</c:v>
                      </c:pt>
                      <c:pt idx="4">
                        <c:v>6040</c:v>
                      </c:pt>
                      <c:pt idx="5">
                        <c:v>6775.5240000000013</c:v>
                      </c:pt>
                      <c:pt idx="6">
                        <c:v>7121.2509999999984</c:v>
                      </c:pt>
                    </c:numCache>
                  </c:numRef>
                </c:val>
                <c:extLst>
                  <c:ext xmlns:c16="http://schemas.microsoft.com/office/drawing/2014/chart" uri="{C3380CC4-5D6E-409C-BE32-E72D297353CC}">
                    <c16:uniqueId val="{00000000-E475-44EB-B5BF-9AE9DEC4FA08}"/>
                  </c:ext>
                </c:extLst>
              </c15:ser>
            </c15:filteredBarSeries>
          </c:ext>
        </c:extLst>
      </c:barChart>
      <c:lineChart>
        <c:grouping val="standard"/>
        <c:varyColors val="0"/>
        <c:ser>
          <c:idx val="2"/>
          <c:order val="2"/>
          <c:tx>
            <c:strRef>
              <c:f>bhx!$A$24</c:f>
              <c:strCache>
                <c:ptCount val="1"/>
                <c:pt idx="0">
                  <c:v>Số lượng giao dịch/ CH (ngàn hóa đơn/tháng)</c:v>
                </c:pt>
              </c:strCache>
            </c:strRef>
          </c:tx>
          <c:spPr>
            <a:ln w="28575" cap="rnd">
              <a:solidFill>
                <a:srgbClr val="FFC000"/>
              </a:solidFill>
              <a:round/>
            </a:ln>
            <a:effectLst/>
          </c:spPr>
          <c:marker>
            <c:symbol val="none"/>
          </c:marker>
          <c:cat>
            <c:strRef>
              <c:f>bhx!$B$21:$H$21</c:f>
              <c:strCache>
                <c:ptCount val="7"/>
                <c:pt idx="0">
                  <c:v>Q1/2021</c:v>
                </c:pt>
                <c:pt idx="1">
                  <c:v>Q2/2021</c:v>
                </c:pt>
                <c:pt idx="2">
                  <c:v>Q3/2021</c:v>
                </c:pt>
                <c:pt idx="3">
                  <c:v>Q4/2021</c:v>
                </c:pt>
                <c:pt idx="4">
                  <c:v>Q1/2022</c:v>
                </c:pt>
                <c:pt idx="5">
                  <c:v>Q2/2022</c:v>
                </c:pt>
                <c:pt idx="6">
                  <c:v>Q3/2022</c:v>
                </c:pt>
              </c:strCache>
            </c:strRef>
          </c:cat>
          <c:val>
            <c:numRef>
              <c:f>bhx!$B$24:$H$24</c:f>
              <c:numCache>
                <c:formatCode>General</c:formatCode>
                <c:ptCount val="7"/>
                <c:pt idx="0">
                  <c:v>10.7</c:v>
                </c:pt>
                <c:pt idx="1">
                  <c:v>12.2</c:v>
                </c:pt>
                <c:pt idx="2">
                  <c:v>9.3000000000000007</c:v>
                </c:pt>
                <c:pt idx="3">
                  <c:v>7</c:v>
                </c:pt>
                <c:pt idx="4">
                  <c:v>7.6</c:v>
                </c:pt>
                <c:pt idx="5">
                  <c:v>10</c:v>
                </c:pt>
                <c:pt idx="6">
                  <c:v>11.5</c:v>
                </c:pt>
              </c:numCache>
            </c:numRef>
          </c:val>
          <c:smooth val="0"/>
          <c:extLst>
            <c:ext xmlns:c16="http://schemas.microsoft.com/office/drawing/2014/chart" uri="{C3380CC4-5D6E-409C-BE32-E72D297353CC}">
              <c16:uniqueId val="{00000002-E475-44EB-B5BF-9AE9DEC4FA08}"/>
            </c:ext>
          </c:extLst>
        </c:ser>
        <c:dLbls>
          <c:showLegendKey val="0"/>
          <c:showVal val="0"/>
          <c:showCatName val="0"/>
          <c:showSerName val="0"/>
          <c:showPercent val="0"/>
          <c:showBubbleSize val="0"/>
        </c:dLbls>
        <c:marker val="1"/>
        <c:smooth val="0"/>
        <c:axId val="1130521375"/>
        <c:axId val="1130547167"/>
      </c:lineChart>
      <c:catAx>
        <c:axId val="17260695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vi-VN"/>
          </a:p>
        </c:txPr>
        <c:crossAx val="1726066687"/>
        <c:crosses val="autoZero"/>
        <c:auto val="1"/>
        <c:lblAlgn val="ctr"/>
        <c:lblOffset val="100"/>
        <c:noMultiLvlLbl val="0"/>
      </c:catAx>
      <c:valAx>
        <c:axId val="1726066687"/>
        <c:scaling>
          <c:orientation val="minMax"/>
        </c:scaling>
        <c:delete val="0"/>
        <c:axPos val="l"/>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vi-VN"/>
          </a:p>
        </c:txPr>
        <c:crossAx val="1726069599"/>
        <c:crosses val="autoZero"/>
        <c:crossBetween val="between"/>
      </c:valAx>
      <c:valAx>
        <c:axId val="1130547167"/>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vi-VN"/>
          </a:p>
        </c:txPr>
        <c:crossAx val="1130521375"/>
        <c:crosses val="max"/>
        <c:crossBetween val="between"/>
      </c:valAx>
      <c:catAx>
        <c:axId val="1130521375"/>
        <c:scaling>
          <c:orientation val="minMax"/>
        </c:scaling>
        <c:delete val="1"/>
        <c:axPos val="b"/>
        <c:numFmt formatCode="General" sourceLinked="1"/>
        <c:majorTickMark val="out"/>
        <c:minorTickMark val="none"/>
        <c:tickLblPos val="nextTo"/>
        <c:crossAx val="1130547167"/>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vi-V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vi-VN"/>
    </a:p>
  </c:txPr>
  <c:printSettings>
    <c:headerFooter/>
    <c:pageMargins b="0.75" l="0.7" r="0.7" t="0.75" header="0.3" footer="0.3"/>
    <c:pageSetup/>
  </c:printSettings>
  <c:userShapes r:id="rId3"/>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3003738565037797E-2"/>
          <c:y val="5.896805896805897E-2"/>
          <c:w val="0.8264506171327215"/>
          <c:h val="0.64858209677107315"/>
        </c:manualLayout>
      </c:layout>
      <c:barChart>
        <c:barDir val="col"/>
        <c:grouping val="clustered"/>
        <c:varyColors val="0"/>
        <c:ser>
          <c:idx val="2"/>
          <c:order val="2"/>
          <c:tx>
            <c:strRef>
              <c:f>bhx!$B$39</c:f>
              <c:strCache>
                <c:ptCount val="1"/>
                <c:pt idx="0">
                  <c:v>Traffic của BHX (,000 bils/month)</c:v>
                </c:pt>
              </c:strCache>
            </c:strRef>
          </c:tx>
          <c:spPr>
            <a:solidFill>
              <a:srgbClr val="FFC000"/>
            </a:solidFill>
            <a:ln>
              <a:noFill/>
            </a:ln>
            <a:effectLst/>
          </c:spPr>
          <c:invertIfNegative val="0"/>
          <c:cat>
            <c:strRef>
              <c:f>bhx!$C$36:$I$36</c:f>
              <c:strCache>
                <c:ptCount val="7"/>
                <c:pt idx="0">
                  <c:v>Q1/2021</c:v>
                </c:pt>
                <c:pt idx="1">
                  <c:v>Q2/2021</c:v>
                </c:pt>
                <c:pt idx="2">
                  <c:v>Q3/2021</c:v>
                </c:pt>
                <c:pt idx="3">
                  <c:v>Q4/2021</c:v>
                </c:pt>
                <c:pt idx="4">
                  <c:v>Q1/2022</c:v>
                </c:pt>
                <c:pt idx="5">
                  <c:v>Q2/2022</c:v>
                </c:pt>
                <c:pt idx="6">
                  <c:v>Q3/2022</c:v>
                </c:pt>
              </c:strCache>
            </c:strRef>
          </c:cat>
          <c:val>
            <c:numRef>
              <c:f>bhx!$C$39:$I$39</c:f>
              <c:numCache>
                <c:formatCode>_(* #,##0.0_);_(* \(#,##0.0\);_(* "-"??_);_(@_)</c:formatCode>
                <c:ptCount val="7"/>
                <c:pt idx="0">
                  <c:v>10.7</c:v>
                </c:pt>
                <c:pt idx="1">
                  <c:v>12.2</c:v>
                </c:pt>
                <c:pt idx="2">
                  <c:v>9.3000000000000007</c:v>
                </c:pt>
                <c:pt idx="3">
                  <c:v>7</c:v>
                </c:pt>
                <c:pt idx="4">
                  <c:v>7.6</c:v>
                </c:pt>
                <c:pt idx="5">
                  <c:v>10</c:v>
                </c:pt>
                <c:pt idx="6">
                  <c:v>11.5</c:v>
                </c:pt>
              </c:numCache>
            </c:numRef>
          </c:val>
          <c:extLst>
            <c:ext xmlns:c16="http://schemas.microsoft.com/office/drawing/2014/chart" uri="{C3380CC4-5D6E-409C-BE32-E72D297353CC}">
              <c16:uniqueId val="{00000002-9EC7-45AF-9EB1-012A34C0DD4C}"/>
            </c:ext>
          </c:extLst>
        </c:ser>
        <c:dLbls>
          <c:showLegendKey val="0"/>
          <c:showVal val="0"/>
          <c:showCatName val="0"/>
          <c:showSerName val="0"/>
          <c:showPercent val="0"/>
          <c:showBubbleSize val="0"/>
        </c:dLbls>
        <c:gapWidth val="219"/>
        <c:overlap val="-27"/>
        <c:axId val="1956827840"/>
        <c:axId val="1956827008"/>
      </c:barChart>
      <c:lineChart>
        <c:grouping val="standard"/>
        <c:varyColors val="0"/>
        <c:ser>
          <c:idx val="0"/>
          <c:order val="0"/>
          <c:tx>
            <c:strRef>
              <c:f>bhx!$B$37</c:f>
              <c:strCache>
                <c:ptCount val="1"/>
                <c:pt idx="0">
                  <c:v>Trung bình DT/CH (BHX)</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vi-VN"/>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bhx!$C$36:$I$36</c:f>
              <c:strCache>
                <c:ptCount val="7"/>
                <c:pt idx="0">
                  <c:v>Q1/2021</c:v>
                </c:pt>
                <c:pt idx="1">
                  <c:v>Q2/2021</c:v>
                </c:pt>
                <c:pt idx="2">
                  <c:v>Q3/2021</c:v>
                </c:pt>
                <c:pt idx="3">
                  <c:v>Q4/2021</c:v>
                </c:pt>
                <c:pt idx="4">
                  <c:v>Q1/2022</c:v>
                </c:pt>
                <c:pt idx="5">
                  <c:v>Q2/2022</c:v>
                </c:pt>
                <c:pt idx="6">
                  <c:v>Q3/2022</c:v>
                </c:pt>
              </c:strCache>
            </c:strRef>
          </c:cat>
          <c:val>
            <c:numRef>
              <c:f>bhx!$C$37:$I$37</c:f>
              <c:numCache>
                <c:formatCode>_(* #,##0.0_);_(* \(#,##0.0\);_(* "-"??_);_(@_)</c:formatCode>
                <c:ptCount val="7"/>
                <c:pt idx="0">
                  <c:v>1.1378104800152993</c:v>
                </c:pt>
                <c:pt idx="1">
                  <c:v>1.3538726858185133</c:v>
                </c:pt>
                <c:pt idx="2">
                  <c:v>1.6049157509157512</c:v>
                </c:pt>
                <c:pt idx="3">
                  <c:v>0.92148217821782119</c:v>
                </c:pt>
                <c:pt idx="4">
                  <c:v>0.9483435390171141</c:v>
                </c:pt>
                <c:pt idx="5">
                  <c:v>1.1211258376768432</c:v>
                </c:pt>
                <c:pt idx="6">
                  <c:v>1.312552022855036</c:v>
                </c:pt>
              </c:numCache>
            </c:numRef>
          </c:val>
          <c:smooth val="0"/>
          <c:extLst>
            <c:ext xmlns:c16="http://schemas.microsoft.com/office/drawing/2014/chart" uri="{C3380CC4-5D6E-409C-BE32-E72D297353CC}">
              <c16:uniqueId val="{00000000-9EC7-45AF-9EB1-012A34C0DD4C}"/>
            </c:ext>
          </c:extLst>
        </c:ser>
        <c:ser>
          <c:idx val="1"/>
          <c:order val="1"/>
          <c:tx>
            <c:strRef>
              <c:f>bhx!$B$38</c:f>
              <c:strCache>
                <c:ptCount val="1"/>
                <c:pt idx="0">
                  <c:v>Trung bình doanh thu tháng WCM (tỷ)</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vi-VN"/>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bhx!$C$36:$I$36</c:f>
              <c:strCache>
                <c:ptCount val="7"/>
                <c:pt idx="0">
                  <c:v>Q1/2021</c:v>
                </c:pt>
                <c:pt idx="1">
                  <c:v>Q2/2021</c:v>
                </c:pt>
                <c:pt idx="2">
                  <c:v>Q3/2021</c:v>
                </c:pt>
                <c:pt idx="3">
                  <c:v>Q4/2021</c:v>
                </c:pt>
                <c:pt idx="4">
                  <c:v>Q1/2022</c:v>
                </c:pt>
                <c:pt idx="5">
                  <c:v>Q2/2022</c:v>
                </c:pt>
                <c:pt idx="6">
                  <c:v>Q3/2022</c:v>
                </c:pt>
              </c:strCache>
            </c:strRef>
          </c:cat>
          <c:val>
            <c:numRef>
              <c:f>bhx!$C$38:$I$38</c:f>
              <c:numCache>
                <c:formatCode>_(* #,##0.0_);_(* \(#,##0.0\);_(* "-"??_);_(@_)</c:formatCode>
                <c:ptCount val="7"/>
                <c:pt idx="0">
                  <c:v>0.68467251856853473</c:v>
                </c:pt>
                <c:pt idx="1">
                  <c:v>0.74456156088809156</c:v>
                </c:pt>
                <c:pt idx="2">
                  <c:v>0.96412719202503094</c:v>
                </c:pt>
                <c:pt idx="3">
                  <c:v>0.6433811158220607</c:v>
                </c:pt>
                <c:pt idx="4">
                  <c:v>0.59520680808460047</c:v>
                </c:pt>
                <c:pt idx="5">
                  <c:v>0.57002926596189452</c:v>
                </c:pt>
                <c:pt idx="6">
                  <c:v>0.58710005078720162</c:v>
                </c:pt>
              </c:numCache>
            </c:numRef>
          </c:val>
          <c:smooth val="0"/>
          <c:extLst>
            <c:ext xmlns:c16="http://schemas.microsoft.com/office/drawing/2014/chart" uri="{C3380CC4-5D6E-409C-BE32-E72D297353CC}">
              <c16:uniqueId val="{00000001-9EC7-45AF-9EB1-012A34C0DD4C}"/>
            </c:ext>
          </c:extLst>
        </c:ser>
        <c:dLbls>
          <c:showLegendKey val="0"/>
          <c:showVal val="0"/>
          <c:showCatName val="0"/>
          <c:showSerName val="0"/>
          <c:showPercent val="0"/>
          <c:showBubbleSize val="0"/>
        </c:dLbls>
        <c:marker val="1"/>
        <c:smooth val="0"/>
        <c:axId val="1938716960"/>
        <c:axId val="1938707392"/>
      </c:lineChart>
      <c:catAx>
        <c:axId val="1956827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vi-VN"/>
          </a:p>
        </c:txPr>
        <c:crossAx val="1956827008"/>
        <c:crosses val="autoZero"/>
        <c:auto val="1"/>
        <c:lblAlgn val="ctr"/>
        <c:lblOffset val="100"/>
        <c:noMultiLvlLbl val="0"/>
      </c:catAx>
      <c:valAx>
        <c:axId val="1956827008"/>
        <c:scaling>
          <c:orientation val="minMax"/>
        </c:scaling>
        <c:delete val="0"/>
        <c:axPos val="l"/>
        <c:numFmt formatCode="_(* #,##0.0_);_(* \(#,##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vi-VN"/>
          </a:p>
        </c:txPr>
        <c:crossAx val="1956827840"/>
        <c:crosses val="autoZero"/>
        <c:crossBetween val="between"/>
      </c:valAx>
      <c:valAx>
        <c:axId val="1938707392"/>
        <c:scaling>
          <c:orientation val="minMax"/>
        </c:scaling>
        <c:delete val="0"/>
        <c:axPos val="r"/>
        <c:numFmt formatCode="_(* #,##0.0_);_(* \(#,##0.0\);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vi-VN"/>
          </a:p>
        </c:txPr>
        <c:crossAx val="1938716960"/>
        <c:crosses val="max"/>
        <c:crossBetween val="between"/>
      </c:valAx>
      <c:catAx>
        <c:axId val="1938716960"/>
        <c:scaling>
          <c:orientation val="minMax"/>
        </c:scaling>
        <c:delete val="1"/>
        <c:axPos val="b"/>
        <c:numFmt formatCode="General" sourceLinked="1"/>
        <c:majorTickMark val="out"/>
        <c:minorTickMark val="none"/>
        <c:tickLblPos val="nextTo"/>
        <c:crossAx val="1938707392"/>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vi-V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vi-VN"/>
    </a:p>
  </c:txPr>
  <c:printSettings>
    <c:headerFooter/>
    <c:pageMargins b="0.75" l="0.7" r="0.7" t="0.75" header="0.3" footer="0.3"/>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8247329683117484E-2"/>
          <c:y val="0.13546880925381072"/>
          <c:w val="0.81290508895363323"/>
          <c:h val="0.58250337384646445"/>
        </c:manualLayout>
      </c:layout>
      <c:barChart>
        <c:barDir val="col"/>
        <c:grouping val="stacked"/>
        <c:varyColors val="0"/>
        <c:ser>
          <c:idx val="0"/>
          <c:order val="0"/>
          <c:tx>
            <c:strRef>
              <c:f>'biểu đồ'!$K$11</c:f>
              <c:strCache>
                <c:ptCount val="1"/>
                <c:pt idx="0">
                  <c:v>MWG_LHS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vi-V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'biểu đồ'!$L$10:$T$10</c15:sqref>
                  </c15:fullRef>
                </c:ext>
              </c:extLst>
              <c:f>'biểu đồ'!$Q$10:$T$10</c:f>
              <c:strCache>
                <c:ptCount val="4"/>
                <c:pt idx="0">
                  <c:v>Q2/2022</c:v>
                </c:pt>
                <c:pt idx="1">
                  <c:v>Q3/2022</c:v>
                </c:pt>
                <c:pt idx="2">
                  <c:v>Q4/2022</c:v>
                </c:pt>
                <c:pt idx="3">
                  <c:v>Q1/2023</c:v>
                </c:pt>
              </c:strCache>
            </c:strRef>
          </c:cat>
          <c:val>
            <c:numRef>
              <c:extLst>
                <c:ext xmlns:c15="http://schemas.microsoft.com/office/drawing/2012/chart" uri="{02D57815-91ED-43cb-92C2-25804820EDAC}">
                  <c15:fullRef>
                    <c15:sqref>'biểu đồ'!$L$11:$T$11</c15:sqref>
                  </c15:fullRef>
                </c:ext>
              </c:extLst>
              <c:f>'biểu đồ'!$Q$11:$T$11</c:f>
              <c:numCache>
                <c:formatCode>_(* #,##0_);_(* \(#,##0\);_(* "-"??_);_(@_)</c:formatCode>
                <c:ptCount val="4"/>
                <c:pt idx="0">
                  <c:v>112.3755102590505</c:v>
                </c:pt>
                <c:pt idx="1">
                  <c:v>105.98205838194741</c:v>
                </c:pt>
                <c:pt idx="2">
                  <c:v>99.544029318368118</c:v>
                </c:pt>
                <c:pt idx="3">
                  <c:v>88.520984229752074</c:v>
                </c:pt>
              </c:numCache>
            </c:numRef>
          </c:val>
          <c:extLst>
            <c:ext xmlns:c16="http://schemas.microsoft.com/office/drawing/2014/chart" uri="{C3380CC4-5D6E-409C-BE32-E72D297353CC}">
              <c16:uniqueId val="{00000000-698E-4DCB-9A85-7B2C7D667FFD}"/>
            </c:ext>
          </c:extLst>
        </c:ser>
        <c:ser>
          <c:idx val="1"/>
          <c:order val="1"/>
          <c:tx>
            <c:strRef>
              <c:f>'biểu đồ'!$K$12</c:f>
              <c:strCache>
                <c:ptCount val="1"/>
                <c:pt idx="0">
                  <c:v>FRT_LHS</c:v>
                </c:pt>
              </c:strCache>
            </c:strRef>
          </c:tx>
          <c:spPr>
            <a:solidFill>
              <a:schemeClr val="bg1">
                <a:lumMod val="50000"/>
              </a:schemeClr>
            </a:solidFill>
            <a:ln>
              <a:noFill/>
            </a:ln>
            <a:effectLst/>
          </c:spPr>
          <c:invertIfNegative val="0"/>
          <c:cat>
            <c:strRef>
              <c:extLst>
                <c:ext xmlns:c15="http://schemas.microsoft.com/office/drawing/2012/chart" uri="{02D57815-91ED-43cb-92C2-25804820EDAC}">
                  <c15:fullRef>
                    <c15:sqref>'biểu đồ'!$L$10:$T$10</c15:sqref>
                  </c15:fullRef>
                </c:ext>
              </c:extLst>
              <c:f>'biểu đồ'!$Q$10:$T$10</c:f>
              <c:strCache>
                <c:ptCount val="4"/>
                <c:pt idx="0">
                  <c:v>Q2/2022</c:v>
                </c:pt>
                <c:pt idx="1">
                  <c:v>Q3/2022</c:v>
                </c:pt>
                <c:pt idx="2">
                  <c:v>Q4/2022</c:v>
                </c:pt>
                <c:pt idx="3">
                  <c:v>Q1/2023</c:v>
                </c:pt>
              </c:strCache>
            </c:strRef>
          </c:cat>
          <c:val>
            <c:numRef>
              <c:extLst>
                <c:ext xmlns:c15="http://schemas.microsoft.com/office/drawing/2012/chart" uri="{02D57815-91ED-43cb-92C2-25804820EDAC}">
                  <c15:fullRef>
                    <c15:sqref>'biểu đồ'!$L$12:$T$12</c15:sqref>
                  </c15:fullRef>
                </c:ext>
              </c:extLst>
              <c:f>'biểu đồ'!$Q$12:$T$12</c:f>
              <c:numCache>
                <c:formatCode>_(* #,##0_);_(* \(#,##0\);_(* "-"??_);_(@_)</c:formatCode>
                <c:ptCount val="4"/>
                <c:pt idx="0">
                  <c:v>50.573219455245059</c:v>
                </c:pt>
                <c:pt idx="1">
                  <c:v>53.410401754452757</c:v>
                </c:pt>
                <c:pt idx="2">
                  <c:v>58.91257095017329</c:v>
                </c:pt>
                <c:pt idx="3">
                  <c:v>63.38253657805808</c:v>
                </c:pt>
              </c:numCache>
            </c:numRef>
          </c:val>
          <c:extLst>
            <c:ext xmlns:c16="http://schemas.microsoft.com/office/drawing/2014/chart" uri="{C3380CC4-5D6E-409C-BE32-E72D297353CC}">
              <c16:uniqueId val="{00000001-698E-4DCB-9A85-7B2C7D667FFD}"/>
            </c:ext>
          </c:extLst>
        </c:ser>
        <c:ser>
          <c:idx val="2"/>
          <c:order val="2"/>
          <c:tx>
            <c:strRef>
              <c:f>'biểu đồ'!$K$13</c:f>
              <c:strCache>
                <c:ptCount val="1"/>
                <c:pt idx="0">
                  <c:v>PSD_LHS</c:v>
                </c:pt>
              </c:strCache>
            </c:strRef>
          </c:tx>
          <c:spPr>
            <a:solidFill>
              <a:schemeClr val="bg1">
                <a:lumMod val="65000"/>
              </a:schemeClr>
            </a:solidFill>
            <a:ln>
              <a:noFill/>
            </a:ln>
            <a:effectLst/>
          </c:spPr>
          <c:invertIfNegative val="0"/>
          <c:cat>
            <c:strRef>
              <c:extLst>
                <c:ext xmlns:c15="http://schemas.microsoft.com/office/drawing/2012/chart" uri="{02D57815-91ED-43cb-92C2-25804820EDAC}">
                  <c15:fullRef>
                    <c15:sqref>'biểu đồ'!$L$10:$T$10</c15:sqref>
                  </c15:fullRef>
                </c:ext>
              </c:extLst>
              <c:f>'biểu đồ'!$Q$10:$T$10</c:f>
              <c:strCache>
                <c:ptCount val="4"/>
                <c:pt idx="0">
                  <c:v>Q2/2022</c:v>
                </c:pt>
                <c:pt idx="1">
                  <c:v>Q3/2022</c:v>
                </c:pt>
                <c:pt idx="2">
                  <c:v>Q4/2022</c:v>
                </c:pt>
                <c:pt idx="3">
                  <c:v>Q1/2023</c:v>
                </c:pt>
              </c:strCache>
            </c:strRef>
          </c:cat>
          <c:val>
            <c:numRef>
              <c:extLst>
                <c:ext xmlns:c15="http://schemas.microsoft.com/office/drawing/2012/chart" uri="{02D57815-91ED-43cb-92C2-25804820EDAC}">
                  <c15:fullRef>
                    <c15:sqref>'biểu đồ'!$L$13:$T$13</c15:sqref>
                  </c15:fullRef>
                </c:ext>
              </c:extLst>
              <c:f>'biểu đồ'!$Q$13:$T$13</c:f>
              <c:numCache>
                <c:formatCode>_(* #,##0_);_(* \(#,##0\);_(* "-"??_);_(@_)</c:formatCode>
                <c:ptCount val="4"/>
                <c:pt idx="0">
                  <c:v>36.230166884859436</c:v>
                </c:pt>
                <c:pt idx="1">
                  <c:v>40.960441697179235</c:v>
                </c:pt>
                <c:pt idx="2">
                  <c:v>52.005366444810086</c:v>
                </c:pt>
                <c:pt idx="3">
                  <c:v>56.785578393762329</c:v>
                </c:pt>
              </c:numCache>
            </c:numRef>
          </c:val>
          <c:extLst>
            <c:ext xmlns:c16="http://schemas.microsoft.com/office/drawing/2014/chart" uri="{C3380CC4-5D6E-409C-BE32-E72D297353CC}">
              <c16:uniqueId val="{00000002-698E-4DCB-9A85-7B2C7D667FFD}"/>
            </c:ext>
          </c:extLst>
        </c:ser>
        <c:ser>
          <c:idx val="3"/>
          <c:order val="3"/>
          <c:tx>
            <c:strRef>
              <c:f>'biểu đồ'!$K$14</c:f>
              <c:strCache>
                <c:ptCount val="1"/>
                <c:pt idx="0">
                  <c:v>DGW_LHS</c:v>
                </c:pt>
              </c:strCache>
            </c:strRef>
          </c:tx>
          <c:spPr>
            <a:solidFill>
              <a:schemeClr val="bg1">
                <a:lumMod val="75000"/>
              </a:schemeClr>
            </a:solidFill>
            <a:ln>
              <a:noFill/>
            </a:ln>
            <a:effectLst/>
          </c:spPr>
          <c:invertIfNegative val="0"/>
          <c:cat>
            <c:strRef>
              <c:extLst>
                <c:ext xmlns:c15="http://schemas.microsoft.com/office/drawing/2012/chart" uri="{02D57815-91ED-43cb-92C2-25804820EDAC}">
                  <c15:fullRef>
                    <c15:sqref>'biểu đồ'!$L$10:$T$10</c15:sqref>
                  </c15:fullRef>
                </c:ext>
              </c:extLst>
              <c:f>'biểu đồ'!$Q$10:$T$10</c:f>
              <c:strCache>
                <c:ptCount val="4"/>
                <c:pt idx="0">
                  <c:v>Q2/2022</c:v>
                </c:pt>
                <c:pt idx="1">
                  <c:v>Q3/2022</c:v>
                </c:pt>
                <c:pt idx="2">
                  <c:v>Q4/2022</c:v>
                </c:pt>
                <c:pt idx="3">
                  <c:v>Q1/2023</c:v>
                </c:pt>
              </c:strCache>
            </c:strRef>
          </c:cat>
          <c:val>
            <c:numRef>
              <c:extLst>
                <c:ext xmlns:c15="http://schemas.microsoft.com/office/drawing/2012/chart" uri="{02D57815-91ED-43cb-92C2-25804820EDAC}">
                  <c15:fullRef>
                    <c15:sqref>'biểu đồ'!$L$14:$T$14</c15:sqref>
                  </c15:fullRef>
                </c:ext>
              </c:extLst>
              <c:f>'biểu đồ'!$Q$14:$T$14</c:f>
              <c:numCache>
                <c:formatCode>_(* #,##0_);_(* \(#,##0\);_(* "-"??_);_(@_)</c:formatCode>
                <c:ptCount val="4"/>
                <c:pt idx="0">
                  <c:v>41.206152647212804</c:v>
                </c:pt>
                <c:pt idx="1">
                  <c:v>43.941626778204942</c:v>
                </c:pt>
                <c:pt idx="2">
                  <c:v>53.305365634485405</c:v>
                </c:pt>
                <c:pt idx="3">
                  <c:v>59.55272791909217</c:v>
                </c:pt>
              </c:numCache>
            </c:numRef>
          </c:val>
          <c:extLst>
            <c:ext xmlns:c16="http://schemas.microsoft.com/office/drawing/2014/chart" uri="{C3380CC4-5D6E-409C-BE32-E72D297353CC}">
              <c16:uniqueId val="{00000003-698E-4DCB-9A85-7B2C7D667FFD}"/>
            </c:ext>
          </c:extLst>
        </c:ser>
        <c:dLbls>
          <c:showLegendKey val="0"/>
          <c:showVal val="0"/>
          <c:showCatName val="0"/>
          <c:showSerName val="0"/>
          <c:showPercent val="0"/>
          <c:showBubbleSize val="0"/>
        </c:dLbls>
        <c:gapWidth val="99"/>
        <c:overlap val="100"/>
        <c:axId val="1740293935"/>
        <c:axId val="1740295599"/>
      </c:barChart>
      <c:lineChart>
        <c:grouping val="standard"/>
        <c:varyColors val="0"/>
        <c:ser>
          <c:idx val="4"/>
          <c:order val="4"/>
          <c:tx>
            <c:strRef>
              <c:f>'biểu đồ'!$K$15</c:f>
              <c:strCache>
                <c:ptCount val="1"/>
                <c:pt idx="0">
                  <c:v>% Tổng DT các DN (YoY)_RHS</c:v>
                </c:pt>
              </c:strCache>
            </c:strRef>
          </c:tx>
          <c:spPr>
            <a:ln w="28575" cap="rnd">
              <a:solidFill>
                <a:srgbClr val="FFC000"/>
              </a:solidFill>
              <a:round/>
            </a:ln>
            <a:effectLst/>
          </c:spPr>
          <c:marker>
            <c:symbol val="circle"/>
            <c:size val="5"/>
            <c:spPr>
              <a:solidFill>
                <a:schemeClr val="accent5"/>
              </a:solidFill>
              <a:ln w="9525">
                <a:solidFill>
                  <a:srgbClr val="FFC000"/>
                </a:solidFill>
              </a:ln>
              <a:effectLst/>
            </c:spPr>
          </c:marker>
          <c:dLbls>
            <c:dLbl>
              <c:idx val="2"/>
              <c:dLblPos val="l"/>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698E-4DCB-9A85-7B2C7D667FFD}"/>
                </c:ext>
              </c:extLst>
            </c:dLbl>
            <c:dLbl>
              <c:idx val="3"/>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98E-4DCB-9A85-7B2C7D667FFD}"/>
                </c:ext>
              </c:extLst>
            </c:dLbl>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vi-VN"/>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'biểu đồ'!$L$10:$T$10</c15:sqref>
                  </c15:fullRef>
                </c:ext>
              </c:extLst>
              <c:f>'biểu đồ'!$Q$10:$T$10</c:f>
              <c:strCache>
                <c:ptCount val="4"/>
                <c:pt idx="0">
                  <c:v>Q2/2022</c:v>
                </c:pt>
                <c:pt idx="1">
                  <c:v>Q3/2022</c:v>
                </c:pt>
                <c:pt idx="2">
                  <c:v>Q4/2022</c:v>
                </c:pt>
                <c:pt idx="3">
                  <c:v>Q1/2023</c:v>
                </c:pt>
              </c:strCache>
            </c:strRef>
          </c:cat>
          <c:val>
            <c:numRef>
              <c:extLst>
                <c:ext xmlns:c15="http://schemas.microsoft.com/office/drawing/2012/chart" uri="{02D57815-91ED-43cb-92C2-25804820EDAC}">
                  <c15:fullRef>
                    <c15:sqref>'biểu đồ'!$L$15:$T$15</c15:sqref>
                  </c15:fullRef>
                </c:ext>
              </c:extLst>
              <c:f>'biểu đồ'!$Q$15:$T$15</c:f>
              <c:numCache>
                <c:formatCode>0%</c:formatCode>
                <c:ptCount val="4"/>
                <c:pt idx="0">
                  <c:v>0.12180138245657113</c:v>
                </c:pt>
                <c:pt idx="1">
                  <c:v>0.47825478205490235</c:v>
                </c:pt>
                <c:pt idx="2">
                  <c:v>-0.30689129111377578</c:v>
                </c:pt>
                <c:pt idx="3">
                  <c:v>-0.32297019651827041</c:v>
                </c:pt>
              </c:numCache>
            </c:numRef>
          </c:val>
          <c:smooth val="0"/>
          <c:extLst>
            <c:ext xmlns:c16="http://schemas.microsoft.com/office/drawing/2014/chart" uri="{C3380CC4-5D6E-409C-BE32-E72D297353CC}">
              <c16:uniqueId val="{00000006-698E-4DCB-9A85-7B2C7D667FFD}"/>
            </c:ext>
          </c:extLst>
        </c:ser>
        <c:dLbls>
          <c:showLegendKey val="0"/>
          <c:showVal val="0"/>
          <c:showCatName val="0"/>
          <c:showSerName val="0"/>
          <c:showPercent val="0"/>
          <c:showBubbleSize val="0"/>
        </c:dLbls>
        <c:marker val="1"/>
        <c:smooth val="0"/>
        <c:axId val="1675701375"/>
        <c:axId val="1740295183"/>
      </c:lineChart>
      <c:catAx>
        <c:axId val="1740293935"/>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vi-VN"/>
          </a:p>
        </c:txPr>
        <c:crossAx val="1740295599"/>
        <c:crosses val="autoZero"/>
        <c:auto val="1"/>
        <c:lblAlgn val="ctr"/>
        <c:lblOffset val="100"/>
        <c:noMultiLvlLbl val="0"/>
      </c:catAx>
      <c:valAx>
        <c:axId val="1740295599"/>
        <c:scaling>
          <c:orientation val="minMax"/>
          <c:max val="300"/>
          <c:min val="-160"/>
        </c:scaling>
        <c:delete val="0"/>
        <c:axPos val="l"/>
        <c:title>
          <c:tx>
            <c:rich>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r>
                  <a:rPr lang="en-US"/>
                  <a:t>Số</a:t>
                </a:r>
                <a:r>
                  <a:rPr lang="en-US" baseline="0"/>
                  <a:t> ngày tồn kho</a:t>
                </a:r>
                <a:endParaRPr lang="vi-VN"/>
              </a:p>
            </c:rich>
          </c:tx>
          <c:layout>
            <c:manualLayout>
              <c:xMode val="edge"/>
              <c:yMode val="edge"/>
              <c:x val="1.2323942295226539E-2"/>
              <c:y val="0.24474833073221941"/>
            </c:manualLayout>
          </c:layout>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vi-VN"/>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bg1"/>
                </a:solidFill>
                <a:latin typeface="+mn-lt"/>
                <a:ea typeface="+mn-ea"/>
                <a:cs typeface="+mn-cs"/>
              </a:defRPr>
            </a:pPr>
            <a:endParaRPr lang="vi-VN"/>
          </a:p>
        </c:txPr>
        <c:crossAx val="1740293935"/>
        <c:crosses val="autoZero"/>
        <c:crossBetween val="between"/>
      </c:valAx>
      <c:valAx>
        <c:axId val="1740295183"/>
        <c:scaling>
          <c:orientation val="minMax"/>
        </c:scaling>
        <c:delete val="0"/>
        <c:axPos val="r"/>
        <c:title>
          <c:tx>
            <c:rich>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r>
                  <a:rPr lang="en-US"/>
                  <a:t>Tăng</a:t>
                </a:r>
                <a:r>
                  <a:rPr lang="en-US" baseline="0"/>
                  <a:t> trưởng doạn thu (YoY)</a:t>
                </a:r>
                <a:endParaRPr lang="vi-VN"/>
              </a:p>
            </c:rich>
          </c:tx>
          <c:layout>
            <c:manualLayout>
              <c:xMode val="edge"/>
              <c:yMode val="edge"/>
              <c:x val="0.95573220519771485"/>
              <c:y val="0.21313514107993245"/>
            </c:manualLayout>
          </c:layout>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vi-VN"/>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vi-VN"/>
          </a:p>
        </c:txPr>
        <c:crossAx val="1675701375"/>
        <c:crosses val="max"/>
        <c:crossBetween val="between"/>
        <c:minorUnit val="0.2"/>
      </c:valAx>
      <c:catAx>
        <c:axId val="1675701375"/>
        <c:scaling>
          <c:orientation val="minMax"/>
        </c:scaling>
        <c:delete val="1"/>
        <c:axPos val="b"/>
        <c:numFmt formatCode="General" sourceLinked="1"/>
        <c:majorTickMark val="out"/>
        <c:minorTickMark val="none"/>
        <c:tickLblPos val="nextTo"/>
        <c:crossAx val="1740295183"/>
        <c:crosses val="autoZero"/>
        <c:auto val="1"/>
        <c:lblAlgn val="ctr"/>
        <c:lblOffset val="100"/>
        <c:noMultiLvlLbl val="0"/>
      </c:catAx>
      <c:spPr>
        <a:noFill/>
        <a:ln>
          <a:noFill/>
        </a:ln>
        <a:effectLst/>
      </c:spPr>
    </c:plotArea>
    <c:legend>
      <c:legendPos val="b"/>
      <c:layout>
        <c:manualLayout>
          <c:xMode val="edge"/>
          <c:yMode val="edge"/>
          <c:x val="4.0845620400840749E-3"/>
          <c:y val="0.78744491407128447"/>
          <c:w val="0.99429566437887718"/>
          <c:h val="0.21255508592871539"/>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vi-VN"/>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sz="800"/>
      </a:pPr>
      <a:endParaRPr lang="vi-VN"/>
    </a:p>
  </c:txPr>
  <c:printSettings>
    <c:headerFooter/>
    <c:pageMargins b="0.75" l="0.7" r="0.7" t="0.75" header="0.3" footer="0.3"/>
    <c:pageSetup/>
  </c:printSettings>
  <c:userShapes r:id="rId3"/>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'biểu đồ'!$C$119</c:f>
              <c:strCache>
                <c:ptCount val="1"/>
                <c:pt idx="0">
                  <c:v>Q1/22</c:v>
                </c:pt>
              </c:strCache>
            </c:strRef>
          </c:tx>
          <c:spPr>
            <a:solidFill>
              <a:schemeClr val="accent1"/>
            </a:solidFill>
            <a:ln>
              <a:noFill/>
            </a:ln>
            <a:effectLst/>
          </c:spPr>
          <c:invertIfNegative val="0"/>
          <c:dPt>
            <c:idx val="0"/>
            <c:invertIfNegative val="0"/>
            <c:bubble3D val="0"/>
            <c:spPr>
              <a:solidFill>
                <a:schemeClr val="bg1">
                  <a:lumMod val="50000"/>
                </a:schemeClr>
              </a:solidFill>
              <a:ln>
                <a:noFill/>
              </a:ln>
              <a:effectLst/>
            </c:spPr>
            <c:extLst>
              <c:ext xmlns:c16="http://schemas.microsoft.com/office/drawing/2014/chart" uri="{C3380CC4-5D6E-409C-BE32-E72D297353CC}">
                <c16:uniqueId val="{00000001-9732-478E-B949-82CD092CCF30}"/>
              </c:ext>
            </c:extLst>
          </c:dPt>
          <c:dPt>
            <c:idx val="1"/>
            <c:invertIfNegative val="0"/>
            <c:bubble3D val="0"/>
            <c:spPr>
              <a:solidFill>
                <a:schemeClr val="bg1">
                  <a:lumMod val="65000"/>
                </a:schemeClr>
              </a:solidFill>
              <a:ln>
                <a:noFill/>
              </a:ln>
              <a:effectLst/>
            </c:spPr>
            <c:extLst>
              <c:ext xmlns:c16="http://schemas.microsoft.com/office/drawing/2014/chart" uri="{C3380CC4-5D6E-409C-BE32-E72D297353CC}">
                <c16:uniqueId val="{00000003-9732-478E-B949-82CD092CCF30}"/>
              </c:ext>
            </c:extLst>
          </c:dPt>
          <c:dPt>
            <c:idx val="4"/>
            <c:invertIfNegative val="0"/>
            <c:bubble3D val="0"/>
            <c:spPr>
              <a:solidFill>
                <a:schemeClr val="bg1">
                  <a:lumMod val="95000"/>
                </a:schemeClr>
              </a:solidFill>
              <a:ln>
                <a:noFill/>
              </a:ln>
              <a:effectLst/>
            </c:spPr>
            <c:extLst>
              <c:ext xmlns:c16="http://schemas.microsoft.com/office/drawing/2014/chart" uri="{C3380CC4-5D6E-409C-BE32-E72D297353CC}">
                <c16:uniqueId val="{00000005-9732-478E-B949-82CD092CCF30}"/>
              </c:ext>
            </c:extLst>
          </c:dPt>
          <c:dLbls>
            <c:spPr>
              <a:noFill/>
              <a:ln>
                <a:noFill/>
              </a:ln>
              <a:effectLst/>
            </c:spPr>
            <c:txPr>
              <a:bodyPr rot="0" spcFirstLastPara="1" vertOverflow="ellipsis" vert="horz" wrap="square" anchor="ctr" anchorCtr="1"/>
              <a:lstStyle/>
              <a:p>
                <a:pPr>
                  <a:defRPr sz="800" b="0" i="0" u="none" strike="noStrike" kern="1200" baseline="0">
                    <a:solidFill>
                      <a:schemeClr val="tx1">
                        <a:lumMod val="75000"/>
                        <a:lumOff val="25000"/>
                      </a:schemeClr>
                    </a:solidFill>
                    <a:latin typeface="Calibri (Body)"/>
                    <a:ea typeface="+mn-ea"/>
                    <a:cs typeface="+mn-cs"/>
                  </a:defRPr>
                </a:pPr>
                <a:endParaRPr lang="vi-VN"/>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'biểu đồ'!$A$120:$B$124</c:f>
              <c:multiLvlStrCache>
                <c:ptCount val="5"/>
                <c:lvl>
                  <c:pt idx="0">
                    <c:v>TGDĐ +ĐMX</c:v>
                  </c:pt>
                  <c:pt idx="1">
                    <c:v>FPT shop</c:v>
                  </c:pt>
                  <c:pt idx="3">
                    <c:v>BHX</c:v>
                  </c:pt>
                  <c:pt idx="4">
                    <c:v>WCM</c:v>
                  </c:pt>
                </c:lvl>
                <c:lvl>
                  <c:pt idx="0">
                    <c:v>Biên LNHĐ(%)</c:v>
                  </c:pt>
                  <c:pt idx="3">
                    <c:v>Biên EBITDA(%)</c:v>
                  </c:pt>
                </c:lvl>
              </c:multiLvlStrCache>
            </c:multiLvlStrRef>
          </c:cat>
          <c:val>
            <c:numRef>
              <c:f>'biểu đồ'!$C$120:$C$124</c:f>
              <c:numCache>
                <c:formatCode>0%</c:formatCode>
                <c:ptCount val="5"/>
                <c:pt idx="0">
                  <c:v>6.9991667787158152E-2</c:v>
                </c:pt>
                <c:pt idx="1">
                  <c:v>2.8354803152674465E-2</c:v>
                </c:pt>
                <c:pt idx="3">
                  <c:v>-0.12582643129139073</c:v>
                </c:pt>
                <c:pt idx="4">
                  <c:v>2.1999999999999999E-2</c:v>
                </c:pt>
              </c:numCache>
            </c:numRef>
          </c:val>
          <c:extLst>
            <c:ext xmlns:c16="http://schemas.microsoft.com/office/drawing/2014/chart" uri="{C3380CC4-5D6E-409C-BE32-E72D297353CC}">
              <c16:uniqueId val="{00000006-9732-478E-B949-82CD092CCF30}"/>
            </c:ext>
          </c:extLst>
        </c:ser>
        <c:ser>
          <c:idx val="1"/>
          <c:order val="1"/>
          <c:tx>
            <c:strRef>
              <c:f>'biểu đồ'!$D$119</c:f>
              <c:strCache>
                <c:ptCount val="1"/>
                <c:pt idx="0">
                  <c:v>Q1/23</c:v>
                </c:pt>
              </c:strCache>
            </c:strRef>
          </c:tx>
          <c:spPr>
            <a:solidFill>
              <a:schemeClr val="accent2"/>
            </a:solidFill>
            <a:ln>
              <a:noFill/>
            </a:ln>
            <a:effectLst/>
          </c:spPr>
          <c:invertIfNegative val="0"/>
          <c:dPt>
            <c:idx val="4"/>
            <c:invertIfNegative val="0"/>
            <c:bubble3D val="0"/>
            <c:spPr>
              <a:solidFill>
                <a:schemeClr val="bg1">
                  <a:lumMod val="75000"/>
                </a:schemeClr>
              </a:solidFill>
              <a:ln>
                <a:noFill/>
              </a:ln>
              <a:effectLst/>
            </c:spPr>
            <c:extLst>
              <c:ext xmlns:c16="http://schemas.microsoft.com/office/drawing/2014/chart" uri="{C3380CC4-5D6E-409C-BE32-E72D297353CC}">
                <c16:uniqueId val="{00000008-9732-478E-B949-82CD092CCF30}"/>
              </c:ext>
            </c:extLst>
          </c:dPt>
          <c:dLbls>
            <c:spPr>
              <a:noFill/>
              <a:ln>
                <a:noFill/>
              </a:ln>
              <a:effectLst/>
            </c:spPr>
            <c:txPr>
              <a:bodyPr rot="0" spcFirstLastPara="1" vertOverflow="ellipsis" vert="horz" wrap="square" anchor="ctr" anchorCtr="1"/>
              <a:lstStyle/>
              <a:p>
                <a:pPr>
                  <a:defRPr sz="800" b="0" i="0" u="none" strike="noStrike" kern="1200" baseline="0">
                    <a:solidFill>
                      <a:schemeClr val="tx1">
                        <a:lumMod val="75000"/>
                        <a:lumOff val="25000"/>
                      </a:schemeClr>
                    </a:solidFill>
                    <a:latin typeface="Calibri (Body)"/>
                    <a:ea typeface="+mn-ea"/>
                    <a:cs typeface="+mn-cs"/>
                  </a:defRPr>
                </a:pPr>
                <a:endParaRPr lang="vi-VN"/>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'biểu đồ'!$A$120:$B$124</c:f>
              <c:multiLvlStrCache>
                <c:ptCount val="5"/>
                <c:lvl>
                  <c:pt idx="0">
                    <c:v>TGDĐ +ĐMX</c:v>
                  </c:pt>
                  <c:pt idx="1">
                    <c:v>FPT shop</c:v>
                  </c:pt>
                  <c:pt idx="3">
                    <c:v>BHX</c:v>
                  </c:pt>
                  <c:pt idx="4">
                    <c:v>WCM</c:v>
                  </c:pt>
                </c:lvl>
                <c:lvl>
                  <c:pt idx="0">
                    <c:v>Biên LNHĐ(%)</c:v>
                  </c:pt>
                  <c:pt idx="3">
                    <c:v>Biên EBITDA(%)</c:v>
                  </c:pt>
                </c:lvl>
              </c:multiLvlStrCache>
            </c:multiLvlStrRef>
          </c:cat>
          <c:val>
            <c:numRef>
              <c:f>'biểu đồ'!$D$120:$D$124</c:f>
              <c:numCache>
                <c:formatCode>0%</c:formatCode>
                <c:ptCount val="5"/>
                <c:pt idx="0">
                  <c:v>2.5092371304837876E-2</c:v>
                </c:pt>
                <c:pt idx="1">
                  <c:v>-9.0733623166279909E-3</c:v>
                </c:pt>
                <c:pt idx="3">
                  <c:v>-5.5532699964205193E-2</c:v>
                </c:pt>
                <c:pt idx="4">
                  <c:v>0.01</c:v>
                </c:pt>
              </c:numCache>
            </c:numRef>
          </c:val>
          <c:extLst>
            <c:ext xmlns:c16="http://schemas.microsoft.com/office/drawing/2014/chart" uri="{C3380CC4-5D6E-409C-BE32-E72D297353CC}">
              <c16:uniqueId val="{00000009-9732-478E-B949-82CD092CCF30}"/>
            </c:ext>
          </c:extLst>
        </c:ser>
        <c:dLbls>
          <c:dLblPos val="outEnd"/>
          <c:showLegendKey val="0"/>
          <c:showVal val="1"/>
          <c:showCatName val="0"/>
          <c:showSerName val="0"/>
          <c:showPercent val="0"/>
          <c:showBubbleSize val="0"/>
        </c:dLbls>
        <c:gapWidth val="49"/>
        <c:overlap val="-27"/>
        <c:axId val="568798927"/>
        <c:axId val="568803087"/>
      </c:barChart>
      <c:catAx>
        <c:axId val="568798927"/>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Calibri (Body)"/>
                <a:ea typeface="+mn-ea"/>
                <a:cs typeface="+mn-cs"/>
              </a:defRPr>
            </a:pPr>
            <a:endParaRPr lang="vi-VN"/>
          </a:p>
        </c:txPr>
        <c:crossAx val="568803087"/>
        <c:crosses val="autoZero"/>
        <c:auto val="1"/>
        <c:lblAlgn val="ctr"/>
        <c:lblOffset val="100"/>
        <c:noMultiLvlLbl val="0"/>
      </c:catAx>
      <c:valAx>
        <c:axId val="568803087"/>
        <c:scaling>
          <c:orientation val="minMax"/>
          <c:max val="9.0000000000000024E-2"/>
          <c:min val="-0.15000000000000002"/>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Calibri (Body)"/>
                <a:ea typeface="+mn-ea"/>
                <a:cs typeface="+mn-cs"/>
              </a:defRPr>
            </a:pPr>
            <a:endParaRPr lang="vi-VN"/>
          </a:p>
        </c:txPr>
        <c:crossAx val="56879892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Calibri (Body)"/>
              <a:ea typeface="+mn-ea"/>
              <a:cs typeface="+mn-cs"/>
            </a:defRPr>
          </a:pPr>
          <a:endParaRPr lang="vi-VN"/>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sz="800">
          <a:latin typeface="Calibri (Body)"/>
        </a:defRPr>
      </a:pPr>
      <a:endParaRPr lang="vi-VN"/>
    </a:p>
  </c:txPr>
  <c:printSettings>
    <c:headerFooter/>
    <c:pageMargins b="0.75" l="0.7" r="0.7" t="0.75" header="0.3" footer="0.3"/>
    <c:pageSetup/>
  </c:printSettings>
  <c:userShapes r:id="rId3"/>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'biểu đồ'!$B$39</c:f>
              <c:strCache>
                <c:ptCount val="1"/>
                <c:pt idx="0">
                  <c:v>Q1/23</c:v>
                </c:pt>
              </c:strCache>
            </c:strRef>
          </c:tx>
          <c:spPr>
            <a:solidFill>
              <a:schemeClr val="accent1"/>
            </a:solidFill>
            <a:ln>
              <a:noFill/>
            </a:ln>
            <a:effectLst/>
          </c:spPr>
          <c:invertIfNegative val="0"/>
          <c:cat>
            <c:strRef>
              <c:extLst>
                <c:ext xmlns:c15="http://schemas.microsoft.com/office/drawing/2012/chart" uri="{02D57815-91ED-43cb-92C2-25804820EDAC}">
                  <c15:fullRef>
                    <c15:sqref>'biểu đồ'!$A$40:$A$48</c15:sqref>
                  </c15:fullRef>
                </c:ext>
              </c:extLst>
              <c:f>'biểu đồ'!$A$42:$A$48</c:f>
              <c:strCache>
                <c:ptCount val="7"/>
                <c:pt idx="0">
                  <c:v>(%)Tỷ trọng hàng fresh/DT</c:v>
                </c:pt>
                <c:pt idx="2">
                  <c:v>(%) Tăng trưởng DT online</c:v>
                </c:pt>
                <c:pt idx="4">
                  <c:v>%Số lượng hoá đơn tb/ ngày</c:v>
                </c:pt>
                <c:pt idx="6">
                  <c:v>% Gía trị hoá đơn/ ngày</c:v>
                </c:pt>
              </c:strCache>
            </c:strRef>
          </c:cat>
          <c:val>
            <c:numRef>
              <c:extLst>
                <c:ext xmlns:c15="http://schemas.microsoft.com/office/drawing/2012/chart" uri="{02D57815-91ED-43cb-92C2-25804820EDAC}">
                  <c15:fullRef>
                    <c15:sqref>'biểu đồ'!$B$40:$B$48</c15:sqref>
                  </c15:fullRef>
                </c:ext>
              </c:extLst>
              <c:f>'biểu đồ'!$B$42:$B$48</c:f>
              <c:numCache>
                <c:formatCode>0%</c:formatCode>
                <c:ptCount val="7"/>
                <c:pt idx="0">
                  <c:v>0.50446807040900266</c:v>
                </c:pt>
                <c:pt idx="2">
                  <c:v>0.19</c:v>
                </c:pt>
                <c:pt idx="4">
                  <c:v>0.25</c:v>
                </c:pt>
                <c:pt idx="6">
                  <c:v>-0.15</c:v>
                </c:pt>
              </c:numCache>
            </c:numRef>
          </c:val>
          <c:extLst>
            <c:ext xmlns:c16="http://schemas.microsoft.com/office/drawing/2014/chart" uri="{C3380CC4-5D6E-409C-BE32-E72D297353CC}">
              <c16:uniqueId val="{00000000-DCD2-4672-8E88-C7715EF088EA}"/>
            </c:ext>
          </c:extLst>
        </c:ser>
        <c:ser>
          <c:idx val="1"/>
          <c:order val="1"/>
          <c:tx>
            <c:strRef>
              <c:f>'biểu đồ'!$C$39</c:f>
              <c:strCache>
                <c:ptCount val="1"/>
                <c:pt idx="0">
                  <c:v>Q1/22</c:v>
                </c:pt>
              </c:strCache>
            </c:strRef>
          </c:tx>
          <c:spPr>
            <a:solidFill>
              <a:schemeClr val="accent2"/>
            </a:solidFill>
            <a:ln>
              <a:noFill/>
            </a:ln>
            <a:effectLst/>
          </c:spPr>
          <c:invertIfNegative val="0"/>
          <c:cat>
            <c:strRef>
              <c:extLst>
                <c:ext xmlns:c15="http://schemas.microsoft.com/office/drawing/2012/chart" uri="{02D57815-91ED-43cb-92C2-25804820EDAC}">
                  <c15:fullRef>
                    <c15:sqref>'biểu đồ'!$A$40:$A$48</c15:sqref>
                  </c15:fullRef>
                </c:ext>
              </c:extLst>
              <c:f>'biểu đồ'!$A$42:$A$48</c:f>
              <c:strCache>
                <c:ptCount val="7"/>
                <c:pt idx="0">
                  <c:v>(%)Tỷ trọng hàng fresh/DT</c:v>
                </c:pt>
                <c:pt idx="2">
                  <c:v>(%) Tăng trưởng DT online</c:v>
                </c:pt>
                <c:pt idx="4">
                  <c:v>%Số lượng hoá đơn tb/ ngày</c:v>
                </c:pt>
                <c:pt idx="6">
                  <c:v>% Gía trị hoá đơn/ ngày</c:v>
                </c:pt>
              </c:strCache>
            </c:strRef>
          </c:cat>
          <c:val>
            <c:numRef>
              <c:extLst>
                <c:ext xmlns:c15="http://schemas.microsoft.com/office/drawing/2012/chart" uri="{02D57815-91ED-43cb-92C2-25804820EDAC}">
                  <c15:fullRef>
                    <c15:sqref>'biểu đồ'!$C$40:$C$48</c15:sqref>
                  </c15:fullRef>
                </c:ext>
              </c:extLst>
              <c:f>'biểu đồ'!$C$42:$C$48</c:f>
              <c:numCache>
                <c:formatCode>0%</c:formatCode>
                <c:ptCount val="7"/>
                <c:pt idx="0">
                  <c:v>0.38</c:v>
                </c:pt>
                <c:pt idx="2">
                  <c:v>0.12</c:v>
                </c:pt>
                <c:pt idx="4">
                  <c:v>-0.15</c:v>
                </c:pt>
                <c:pt idx="6">
                  <c:v>-0.01</c:v>
                </c:pt>
              </c:numCache>
            </c:numRef>
          </c:val>
          <c:extLst>
            <c:ext xmlns:c16="http://schemas.microsoft.com/office/drawing/2014/chart" uri="{C3380CC4-5D6E-409C-BE32-E72D297353CC}">
              <c16:uniqueId val="{00000001-DCD2-4672-8E88-C7715EF088EA}"/>
            </c:ext>
          </c:extLst>
        </c:ser>
        <c:dLbls>
          <c:showLegendKey val="0"/>
          <c:showVal val="0"/>
          <c:showCatName val="0"/>
          <c:showSerName val="0"/>
          <c:showPercent val="0"/>
          <c:showBubbleSize val="0"/>
        </c:dLbls>
        <c:gapWidth val="0"/>
        <c:overlap val="-26"/>
        <c:axId val="383929871"/>
        <c:axId val="383930287"/>
      </c:barChart>
      <c:catAx>
        <c:axId val="3839298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vi-VN"/>
          </a:p>
        </c:txPr>
        <c:crossAx val="383930287"/>
        <c:crosses val="autoZero"/>
        <c:auto val="1"/>
        <c:lblAlgn val="ctr"/>
        <c:lblOffset val="100"/>
        <c:noMultiLvlLbl val="0"/>
      </c:catAx>
      <c:valAx>
        <c:axId val="383930287"/>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vi-VN"/>
          </a:p>
        </c:txPr>
        <c:crossAx val="38392987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vi-VN"/>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vi-VN"/>
    </a:p>
  </c:txPr>
  <c:printSettings>
    <c:headerFooter/>
    <c:pageMargins b="0.75" l="0.7" r="0.7" t="0.75" header="0.3" footer="0.3"/>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655336832895888E-2"/>
          <c:y val="4.1666666666666664E-2"/>
          <c:w val="0.88344006999125113"/>
          <c:h val="0.73873432487605717"/>
        </c:manualLayout>
      </c:layout>
      <c:barChart>
        <c:barDir val="col"/>
        <c:grouping val="clustered"/>
        <c:varyColors val="0"/>
        <c:ser>
          <c:idx val="0"/>
          <c:order val="0"/>
          <c:tx>
            <c:strRef>
              <c:f>'biểu đồ'!$B$127</c:f>
              <c:strCache>
                <c:ptCount val="1"/>
                <c:pt idx="0">
                  <c:v>Q1/22</c:v>
                </c:pt>
              </c:strCache>
            </c:strRef>
          </c:tx>
          <c:spPr>
            <a:solidFill>
              <a:schemeClr val="bg1">
                <a:lumMod val="6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Calibri (Body)"/>
                    <a:ea typeface="+mn-ea"/>
                    <a:cs typeface="+mn-cs"/>
                  </a:defRPr>
                </a:pPr>
                <a:endParaRPr lang="vi-VN"/>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'biểu đồ'!$A$128:$A$134</c:f>
              <c:strCache>
                <c:ptCount val="7"/>
                <c:pt idx="0">
                  <c:v>(%) TT DT online</c:v>
                </c:pt>
                <c:pt idx="2">
                  <c:v>%SL hoá đơn tb/ ngày</c:v>
                </c:pt>
                <c:pt idx="4">
                  <c:v>% Gía trị HD/ ngày</c:v>
                </c:pt>
                <c:pt idx="6">
                  <c:v>DT/CH/THÁNG</c:v>
                </c:pt>
              </c:strCache>
            </c:strRef>
          </c:cat>
          <c:val>
            <c:numRef>
              <c:f>'biểu đồ'!$B$128:$B$134</c:f>
              <c:numCache>
                <c:formatCode>General</c:formatCode>
                <c:ptCount val="7"/>
                <c:pt idx="0" formatCode="0%">
                  <c:v>0.12</c:v>
                </c:pt>
                <c:pt idx="2" formatCode="0%">
                  <c:v>-0.15</c:v>
                </c:pt>
                <c:pt idx="4" formatCode="0%">
                  <c:v>-0.01</c:v>
                </c:pt>
                <c:pt idx="6" formatCode="0%">
                  <c:v>-0.15663825016053845</c:v>
                </c:pt>
              </c:numCache>
            </c:numRef>
          </c:val>
          <c:extLst>
            <c:ext xmlns:c16="http://schemas.microsoft.com/office/drawing/2014/chart" uri="{C3380CC4-5D6E-409C-BE32-E72D297353CC}">
              <c16:uniqueId val="{00000000-4F2C-4A51-AB8D-6BA27CF744D4}"/>
            </c:ext>
          </c:extLst>
        </c:ser>
        <c:ser>
          <c:idx val="1"/>
          <c:order val="1"/>
          <c:tx>
            <c:strRef>
              <c:f>'biểu đồ'!$C$127</c:f>
              <c:strCache>
                <c:ptCount val="1"/>
                <c:pt idx="0">
                  <c:v>Q1/23</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Calibri (Body)"/>
                    <a:ea typeface="+mn-ea"/>
                    <a:cs typeface="+mn-cs"/>
                  </a:defRPr>
                </a:pPr>
                <a:endParaRPr lang="vi-VN"/>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'biểu đồ'!$A$128:$A$134</c:f>
              <c:strCache>
                <c:ptCount val="7"/>
                <c:pt idx="0">
                  <c:v>(%) TT DT online</c:v>
                </c:pt>
                <c:pt idx="2">
                  <c:v>%SL hoá đơn tb/ ngày</c:v>
                </c:pt>
                <c:pt idx="4">
                  <c:v>% Gía trị HD/ ngày</c:v>
                </c:pt>
                <c:pt idx="6">
                  <c:v>DT/CH/THÁNG</c:v>
                </c:pt>
              </c:strCache>
            </c:strRef>
          </c:cat>
          <c:val>
            <c:numRef>
              <c:f>'biểu đồ'!$C$128:$C$134</c:f>
              <c:numCache>
                <c:formatCode>General</c:formatCode>
                <c:ptCount val="7"/>
                <c:pt idx="0" formatCode="0%">
                  <c:v>0.19</c:v>
                </c:pt>
                <c:pt idx="2" formatCode="0%">
                  <c:v>0.25</c:v>
                </c:pt>
                <c:pt idx="4" formatCode="0%">
                  <c:v>-0.15</c:v>
                </c:pt>
                <c:pt idx="6" formatCode="0%">
                  <c:v>0.26723339732796281</c:v>
                </c:pt>
              </c:numCache>
            </c:numRef>
          </c:val>
          <c:extLst>
            <c:ext xmlns:c16="http://schemas.microsoft.com/office/drawing/2014/chart" uri="{C3380CC4-5D6E-409C-BE32-E72D297353CC}">
              <c16:uniqueId val="{00000001-4F2C-4A51-AB8D-6BA27CF744D4}"/>
            </c:ext>
          </c:extLst>
        </c:ser>
        <c:dLbls>
          <c:dLblPos val="outEnd"/>
          <c:showLegendKey val="0"/>
          <c:showVal val="1"/>
          <c:showCatName val="0"/>
          <c:showSerName val="0"/>
          <c:showPercent val="0"/>
          <c:showBubbleSize val="0"/>
        </c:dLbls>
        <c:gapWidth val="0"/>
        <c:overlap val="-27"/>
        <c:axId val="383932783"/>
        <c:axId val="383933199"/>
      </c:barChart>
      <c:dateAx>
        <c:axId val="383932783"/>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Calibri (Body)"/>
                <a:ea typeface="+mn-ea"/>
                <a:cs typeface="+mn-cs"/>
              </a:defRPr>
            </a:pPr>
            <a:endParaRPr lang="vi-VN"/>
          </a:p>
        </c:txPr>
        <c:crossAx val="383933199"/>
        <c:crosses val="autoZero"/>
        <c:auto val="0"/>
        <c:lblOffset val="100"/>
        <c:baseTimeUnit val="days"/>
      </c:dateAx>
      <c:valAx>
        <c:axId val="383933199"/>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Calibri (Body)"/>
                <a:ea typeface="+mn-ea"/>
                <a:cs typeface="+mn-cs"/>
              </a:defRPr>
            </a:pPr>
            <a:endParaRPr lang="vi-VN"/>
          </a:p>
        </c:txPr>
        <c:crossAx val="38393278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Calibri (Body)"/>
              <a:ea typeface="+mn-ea"/>
              <a:cs typeface="+mn-cs"/>
            </a:defRPr>
          </a:pPr>
          <a:endParaRPr lang="vi-V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800">
          <a:latin typeface="Calibri (Body)"/>
        </a:defRPr>
      </a:pPr>
      <a:endParaRPr lang="vi-VN"/>
    </a:p>
  </c:txPr>
  <c:printSettings>
    <c:headerFooter/>
    <c:pageMargins b="0.75" l="0.7" r="0.7" t="0.75" header="0.3" footer="0.3"/>
    <c:pageSetup/>
  </c:printSettings>
  <c:userShapes r:id="rId3"/>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'biểu đồ'!$B$112</c:f>
              <c:strCache>
                <c:ptCount val="1"/>
                <c:pt idx="0">
                  <c:v>Q1/2022</c:v>
                </c:pt>
              </c:strCache>
            </c:strRef>
          </c:tx>
          <c:spPr>
            <a:solidFill>
              <a:schemeClr val="accent1"/>
            </a:solidFill>
            <a:ln>
              <a:noFill/>
            </a:ln>
            <a:effectLst/>
          </c:spPr>
          <c:invertIfNegative val="0"/>
          <c:cat>
            <c:strRef>
              <c:f>'biểu đồ'!$A$113:$A$117</c:f>
              <c:strCache>
                <c:ptCount val="5"/>
                <c:pt idx="0">
                  <c:v>TGDĐ +ĐMX</c:v>
                </c:pt>
                <c:pt idx="1">
                  <c:v>Lỗ công ty con</c:v>
                </c:pt>
                <c:pt idx="2">
                  <c:v>Lỗ (1 lần)</c:v>
                </c:pt>
                <c:pt idx="3">
                  <c:v>Lãi/ lỗ khác</c:v>
                </c:pt>
                <c:pt idx="4">
                  <c:v>LNTT Q1/23</c:v>
                </c:pt>
              </c:strCache>
            </c:strRef>
          </c:cat>
          <c:val>
            <c:numRef>
              <c:f>'biểu đồ'!$B$113:$B$117</c:f>
              <c:numCache>
                <c:formatCode>_(* #,##0_);_(* \(#,##0\);_(* "-"??_);_(@_)</c:formatCode>
                <c:ptCount val="5"/>
                <c:pt idx="0">
                  <c:v>2608.7727896329998</c:v>
                </c:pt>
                <c:pt idx="1">
                  <c:v>-759.98164911499998</c:v>
                </c:pt>
                <c:pt idx="2">
                  <c:v>0</c:v>
                </c:pt>
                <c:pt idx="3">
                  <c:v>154.20248895700024</c:v>
                </c:pt>
                <c:pt idx="4">
                  <c:v>2002.993629475</c:v>
                </c:pt>
              </c:numCache>
            </c:numRef>
          </c:val>
          <c:extLst>
            <c:ext xmlns:c16="http://schemas.microsoft.com/office/drawing/2014/chart" uri="{C3380CC4-5D6E-409C-BE32-E72D297353CC}">
              <c16:uniqueId val="{00000000-3756-42A1-8B96-E1777F82C31D}"/>
            </c:ext>
          </c:extLst>
        </c:ser>
        <c:ser>
          <c:idx val="1"/>
          <c:order val="1"/>
          <c:tx>
            <c:strRef>
              <c:f>'biểu đồ'!$C$112</c:f>
              <c:strCache>
                <c:ptCount val="1"/>
                <c:pt idx="0">
                  <c:v>Q1/2023</c:v>
                </c:pt>
              </c:strCache>
            </c:strRef>
          </c:tx>
          <c:spPr>
            <a:solidFill>
              <a:schemeClr val="accent2"/>
            </a:solidFill>
            <a:ln>
              <a:noFill/>
            </a:ln>
            <a:effectLst/>
          </c:spPr>
          <c:invertIfNegative val="0"/>
          <c:cat>
            <c:strRef>
              <c:f>'biểu đồ'!$A$113:$A$117</c:f>
              <c:strCache>
                <c:ptCount val="5"/>
                <c:pt idx="0">
                  <c:v>TGDĐ +ĐMX</c:v>
                </c:pt>
                <c:pt idx="1">
                  <c:v>Lỗ công ty con</c:v>
                </c:pt>
                <c:pt idx="2">
                  <c:v>Lỗ (1 lần)</c:v>
                </c:pt>
                <c:pt idx="3">
                  <c:v>Lãi/ lỗ khác</c:v>
                </c:pt>
                <c:pt idx="4">
                  <c:v>LNTT Q1/23</c:v>
                </c:pt>
              </c:strCache>
            </c:strRef>
          </c:cat>
          <c:val>
            <c:numRef>
              <c:f>'biểu đồ'!$C$113:$C$117</c:f>
              <c:numCache>
                <c:formatCode>_(* #,##0_);_(* \(#,##0\);_(* "-"??_);_(@_)</c:formatCode>
                <c:ptCount val="5"/>
                <c:pt idx="0">
                  <c:v>619.63332459200001</c:v>
                </c:pt>
                <c:pt idx="1">
                  <c:v>-434.90051393499999</c:v>
                </c:pt>
                <c:pt idx="2">
                  <c:v>-89.071894999999998</c:v>
                </c:pt>
                <c:pt idx="3">
                  <c:v>63.305666003999946</c:v>
                </c:pt>
                <c:pt idx="4">
                  <c:v>158.96658166099999</c:v>
                </c:pt>
              </c:numCache>
            </c:numRef>
          </c:val>
          <c:extLst>
            <c:ext xmlns:c16="http://schemas.microsoft.com/office/drawing/2014/chart" uri="{C3380CC4-5D6E-409C-BE32-E72D297353CC}">
              <c16:uniqueId val="{00000001-3756-42A1-8B96-E1777F82C31D}"/>
            </c:ext>
          </c:extLst>
        </c:ser>
        <c:dLbls>
          <c:showLegendKey val="0"/>
          <c:showVal val="0"/>
          <c:showCatName val="0"/>
          <c:showSerName val="0"/>
          <c:showPercent val="0"/>
          <c:showBubbleSize val="0"/>
        </c:dLbls>
        <c:gapWidth val="219"/>
        <c:overlap val="-27"/>
        <c:axId val="1788540079"/>
        <c:axId val="1788538831"/>
      </c:barChart>
      <c:catAx>
        <c:axId val="1788540079"/>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vi-VN"/>
          </a:p>
        </c:txPr>
        <c:crossAx val="1788538831"/>
        <c:crosses val="autoZero"/>
        <c:auto val="1"/>
        <c:lblAlgn val="ctr"/>
        <c:lblOffset val="100"/>
        <c:noMultiLvlLbl val="0"/>
      </c:catAx>
      <c:valAx>
        <c:axId val="1788538831"/>
        <c:scaling>
          <c:orientation val="minMax"/>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vi-VN"/>
          </a:p>
        </c:txPr>
        <c:crossAx val="178854007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vi-V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vi-VN"/>
    </a:p>
  </c:txPr>
  <c:printSettings>
    <c:headerFooter/>
    <c:pageMargins b="0.75" l="0.7" r="0.7" t="0.75" header="0.3" footer="0.3"/>
    <c:pageSetup/>
  </c:printSettings>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5897090491336786E-2"/>
          <c:y val="2.6155824481671336E-2"/>
          <c:w val="0.83478353910817638"/>
          <c:h val="0.62889006323873942"/>
        </c:manualLayout>
      </c:layout>
      <c:barChart>
        <c:barDir val="col"/>
        <c:grouping val="clustered"/>
        <c:varyColors val="0"/>
        <c:ser>
          <c:idx val="0"/>
          <c:order val="4"/>
          <c:spPr>
            <a:solidFill>
              <a:schemeClr val="accent1"/>
            </a:solidFill>
            <a:ln>
              <a:noFill/>
            </a:ln>
            <a:effectLst/>
          </c:spPr>
          <c:invertIfNegative val="0"/>
          <c:val>
            <c:numRef>
              <c:f>'Tổng hợp chart'!#REF!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'Tổng hợp chart'!#REF!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'Tổng hợp chart'!#REF!</c15:sqref>
                        </c15:formulaRef>
                      </c:ext>
                    </c:extLst>
                    <c:strCache>
                      <c:ptCount val="1"/>
                      <c:pt idx="0">
                        <c:v>#REF!</c:v>
                      </c:pt>
                    </c:strCache>
                  </c:strRef>
                </c15:cat>
              </c15:filteredCategoryTitle>
            </c:ext>
            <c:ext xmlns:c16="http://schemas.microsoft.com/office/drawing/2014/chart" uri="{C3380CC4-5D6E-409C-BE32-E72D297353CC}">
              <c16:uniqueId val="{00000015-96CD-4D0A-BF8D-B2E397719FC8}"/>
            </c:ext>
          </c:extLst>
        </c:ser>
        <c:dLbls>
          <c:showLegendKey val="0"/>
          <c:showVal val="0"/>
          <c:showCatName val="0"/>
          <c:showSerName val="0"/>
          <c:showPercent val="0"/>
          <c:showBubbleSize val="0"/>
        </c:dLbls>
        <c:gapWidth val="119"/>
        <c:overlap val="-13"/>
        <c:axId val="666803071"/>
        <c:axId val="666823231"/>
      </c:barChart>
      <c:barChart>
        <c:barDir val="col"/>
        <c:grouping val="clustered"/>
        <c:varyColors val="0"/>
        <c:ser>
          <c:idx val="4"/>
          <c:order val="0"/>
          <c:spPr>
            <a:solidFill>
              <a:schemeClr val="accent5"/>
            </a:solidFill>
            <a:ln>
              <a:noFill/>
            </a:ln>
            <a:effectLst/>
          </c:spPr>
          <c:invertIfNegative val="0"/>
          <c:val>
            <c:numRef>
              <c:f>'Tổng hợp chart'!#REF!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'Tổng hợp chart'!#REF!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'Tổng hợp chart'!#REF!</c15:sqref>
                        </c15:formulaRef>
                      </c:ext>
                    </c:extLst>
                    <c:strCache>
                      <c:ptCount val="1"/>
                      <c:pt idx="0">
                        <c:v>#REF!</c:v>
                      </c:pt>
                    </c:strCache>
                  </c:strRef>
                </c15:cat>
              </c15:filteredCategoryTitle>
            </c:ext>
            <c:ext xmlns:c16="http://schemas.microsoft.com/office/drawing/2014/chart" uri="{C3380CC4-5D6E-409C-BE32-E72D297353CC}">
              <c16:uniqueId val="{0000001A-96CD-4D0A-BF8D-B2E397719FC8}"/>
            </c:ext>
          </c:extLst>
        </c:ser>
        <c:ser>
          <c:idx val="7"/>
          <c:order val="1"/>
          <c:spPr>
            <a:solidFill>
              <a:schemeClr val="accent2">
                <a:lumMod val="60000"/>
              </a:schemeClr>
            </a:solidFill>
            <a:ln>
              <a:noFill/>
            </a:ln>
            <a:effectLst/>
          </c:spPr>
          <c:invertIfNegative val="0"/>
          <c:val>
            <c:numRef>
              <c:f>'Tổng hợp chart'!#REF!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'Tổng hợp chart'!#REF!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'Tổng hợp chart'!#REF!</c15:sqref>
                        </c15:formulaRef>
                      </c:ext>
                    </c:extLst>
                    <c:strCache>
                      <c:ptCount val="1"/>
                      <c:pt idx="0">
                        <c:v>#REF!</c:v>
                      </c:pt>
                    </c:strCache>
                  </c:strRef>
                </c15:cat>
              </c15:filteredCategoryTitle>
            </c:ext>
            <c:ext xmlns:c16="http://schemas.microsoft.com/office/drawing/2014/chart" uri="{C3380CC4-5D6E-409C-BE32-E72D297353CC}">
              <c16:uniqueId val="{0000001F-96CD-4D0A-BF8D-B2E397719FC8}"/>
            </c:ext>
          </c:extLst>
        </c:ser>
        <c:ser>
          <c:idx val="5"/>
          <c:order val="2"/>
          <c:spPr>
            <a:solidFill>
              <a:schemeClr val="accent6"/>
            </a:solidFill>
            <a:ln>
              <a:noFill/>
            </a:ln>
            <a:effectLst/>
          </c:spPr>
          <c:invertIfNegative val="0"/>
          <c:val>
            <c:numRef>
              <c:f>'Tổng hợp chart'!#REF!</c:f>
              <c:numCache>
                <c:formatCode>General</c:formatCode>
                <c:ptCount val="1"/>
                <c:pt idx="0">
                  <c:v>1</c:v>
                </c:pt>
              </c:numCache>
              <c:extLst xmlns:c15="http://schemas.microsoft.com/office/drawing/2012/chart"/>
            </c:numRef>
          </c:val>
          <c:extLst xmlns:c15="http://schemas.microsoft.com/office/drawing/2012/chart">
            <c:ext xmlns:c15="http://schemas.microsoft.com/office/drawing/2012/chart" uri="{02D57815-91ED-43cb-92C2-25804820EDAC}">
              <c15:filteredSeriesTitle>
                <c15:tx>
                  <c:strRef>
                    <c:extLst>
                      <c:ext uri="{02D57815-91ED-43cb-92C2-25804820EDAC}">
                        <c15:formulaRef>
                          <c15:sqref>'Tổng hợp chart'!#REF!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'Tổng hợp chart'!#REF!</c15:sqref>
                        </c15:formulaRef>
                      </c:ext>
                    </c:extLst>
                    <c:strCache>
                      <c:ptCount val="1"/>
                      <c:pt idx="0">
                        <c:v>#REF!</c:v>
                      </c:pt>
                    </c:strCache>
                  </c:strRef>
                </c15:cat>
              </c15:filteredCategoryTitle>
            </c:ext>
            <c:ext xmlns:c16="http://schemas.microsoft.com/office/drawing/2014/chart" uri="{C3380CC4-5D6E-409C-BE32-E72D297353CC}">
              <c16:uniqueId val="{00000025-96CD-4D0A-BF8D-B2E397719FC8}"/>
            </c:ext>
          </c:extLst>
        </c:ser>
        <c:dLbls>
          <c:showLegendKey val="0"/>
          <c:showVal val="0"/>
          <c:showCatName val="0"/>
          <c:showSerName val="0"/>
          <c:showPercent val="0"/>
          <c:showBubbleSize val="0"/>
        </c:dLbls>
        <c:gapWidth val="150"/>
        <c:axId val="666820831"/>
        <c:axId val="666815551"/>
        <c:extLst/>
      </c:barChart>
      <c:lineChart>
        <c:grouping val="standard"/>
        <c:varyColors val="0"/>
        <c:ser>
          <c:idx val="2"/>
          <c:order val="3"/>
          <c:spPr>
            <a:ln w="28575" cap="rnd">
              <a:solidFill>
                <a:schemeClr val="accent3"/>
              </a:solidFill>
              <a:round/>
            </a:ln>
            <a:effectLst/>
          </c:spPr>
          <c:marker>
            <c:symbol val="circle"/>
            <c:size val="5"/>
            <c:spPr>
              <a:solidFill>
                <a:schemeClr val="accent3"/>
              </a:solidFill>
              <a:ln w="9525">
                <a:solidFill>
                  <a:srgbClr val="FFC000"/>
                </a:solidFill>
              </a:ln>
              <a:effectLst/>
            </c:spPr>
          </c:marker>
          <c:val>
            <c:numRef>
              <c:f>'Tổng hợp chart'!#REF!</c:f>
              <c:numCache>
                <c:formatCode>General</c:formatCode>
                <c:ptCount val="1"/>
                <c:pt idx="0">
                  <c:v>1</c:v>
                </c:pt>
              </c:numCache>
            </c:numRef>
          </c:val>
          <c:smooth val="0"/>
          <c:extLst xmlns:c15="http://schemas.microsoft.com/office/drawing/2012/chart">
            <c:ext xmlns:c15="http://schemas.microsoft.com/office/drawing/2012/chart" uri="{02D57815-91ED-43cb-92C2-25804820EDAC}">
              <c15:filteredSeriesTitle>
                <c15:tx>
                  <c:strRef>
                    <c:extLst>
                      <c:ext uri="{02D57815-91ED-43cb-92C2-25804820EDAC}">
                        <c15:formulaRef>
                          <c15:sqref>'Tổng hợp chart'!#REF!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'Tổng hợp chart'!#REF!</c15:sqref>
                        </c15:formulaRef>
                      </c:ext>
                    </c:extLst>
                    <c:strCache>
                      <c:ptCount val="1"/>
                      <c:pt idx="0">
                        <c:v>#REF!</c:v>
                      </c:pt>
                    </c:strCache>
                  </c:strRef>
                </c15:cat>
              </c15:filteredCategoryTitle>
            </c:ext>
            <c:ext xmlns:c16="http://schemas.microsoft.com/office/drawing/2014/chart" uri="{C3380CC4-5D6E-409C-BE32-E72D297353CC}">
              <c16:uniqueId val="{00000020-96CD-4D0A-BF8D-B2E397719FC8}"/>
            </c:ext>
          </c:extLst>
        </c:ser>
        <c:ser>
          <c:idx val="3"/>
          <c:order val="5"/>
          <c:spPr>
            <a:ln w="28575" cap="rnd">
              <a:solidFill>
                <a:schemeClr val="accent4"/>
              </a:solidFill>
              <a:round/>
            </a:ln>
            <a:effectLst/>
          </c:spPr>
          <c:marker>
            <c:symbol val="circle"/>
            <c:size val="5"/>
            <c:spPr>
              <a:solidFill>
                <a:schemeClr val="accent4"/>
              </a:solidFill>
              <a:ln w="9525">
                <a:solidFill>
                  <a:schemeClr val="bg1">
                    <a:lumMod val="75000"/>
                  </a:schemeClr>
                </a:solidFill>
              </a:ln>
              <a:effectLst/>
            </c:spPr>
          </c:marker>
          <c:val>
            <c:numRef>
              <c:f>'Tổng hợp chart'!#REF!</c:f>
              <c:numCache>
                <c:formatCode>General</c:formatCode>
                <c:ptCount val="1"/>
                <c:pt idx="0">
                  <c:v>1</c:v>
                </c:pt>
              </c:numCache>
            </c:numRef>
          </c:val>
          <c:smooth val="0"/>
          <c:extLst xmlns:c15="http://schemas.microsoft.com/office/drawing/2012/chart">
            <c:ext xmlns:c15="http://schemas.microsoft.com/office/drawing/2012/chart" uri="{02D57815-91ED-43cb-92C2-25804820EDAC}">
              <c15:filteredSeriesTitle>
                <c15:tx>
                  <c:strRef>
                    <c:extLst>
                      <c:ext uri="{02D57815-91ED-43cb-92C2-25804820EDAC}">
                        <c15:formulaRef>
                          <c15:sqref>'Tổng hợp chart'!#REF!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'Tổng hợp chart'!#REF!</c15:sqref>
                        </c15:formulaRef>
                      </c:ext>
                    </c:extLst>
                    <c:strCache>
                      <c:ptCount val="1"/>
                      <c:pt idx="0">
                        <c:v>#REF!</c:v>
                      </c:pt>
                    </c:strCache>
                  </c:strRef>
                </c15:cat>
              </c15:filteredCategoryTitle>
            </c:ext>
            <c:ext xmlns:c16="http://schemas.microsoft.com/office/drawing/2014/chart" uri="{C3380CC4-5D6E-409C-BE32-E72D297353CC}">
              <c16:uniqueId val="{00000021-96CD-4D0A-BF8D-B2E397719FC8}"/>
            </c:ext>
          </c:extLst>
        </c:ser>
        <c:ser>
          <c:idx val="1"/>
          <c:order val="6"/>
          <c:spPr>
            <a:ln w="28575" cap="rnd">
              <a:solidFill>
                <a:schemeClr val="accent2"/>
              </a:solidFill>
              <a:round/>
            </a:ln>
            <a:effectLst/>
          </c:spPr>
          <c:marker>
            <c:symbol val="none"/>
          </c:marker>
          <c:val>
            <c:numRef>
              <c:f>'Tổng hợp chart'!#REF!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'Tổng hợp chart'!#REF!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'Tổng hợp chart'!#REF!</c15:sqref>
                        </c15:formulaRef>
                      </c:ext>
                    </c:extLst>
                    <c:strCache>
                      <c:ptCount val="1"/>
                      <c:pt idx="0">
                        <c:v>#REF!</c:v>
                      </c:pt>
                    </c:strCache>
                  </c:strRef>
                </c15:cat>
              </c15:filteredCategoryTitle>
            </c:ext>
            <c:ext xmlns:c16="http://schemas.microsoft.com/office/drawing/2014/chart" uri="{C3380CC4-5D6E-409C-BE32-E72D297353CC}">
              <c16:uniqueId val="{00000024-96CD-4D0A-BF8D-B2E397719FC8}"/>
            </c:ext>
          </c:extLst>
        </c:ser>
        <c:dLbls>
          <c:showLegendKey val="0"/>
          <c:showVal val="0"/>
          <c:showCatName val="0"/>
          <c:showSerName val="0"/>
          <c:showPercent val="0"/>
          <c:showBubbleSize val="0"/>
        </c:dLbls>
        <c:marker val="1"/>
        <c:smooth val="0"/>
        <c:axId val="666820831"/>
        <c:axId val="666815551"/>
      </c:lineChart>
      <c:catAx>
        <c:axId val="666803071"/>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1440000" spcFirstLastPara="1" vertOverflow="ellipsis" wrap="square" anchor="t" anchorCtr="0"/>
          <a:lstStyle/>
          <a:p>
            <a:pPr>
              <a:defRPr sz="800" b="0" i="0" u="none" strike="noStrike" kern="1200" baseline="0">
                <a:solidFill>
                  <a:schemeClr val="tx1">
                    <a:lumMod val="65000"/>
                    <a:lumOff val="35000"/>
                  </a:schemeClr>
                </a:solidFill>
                <a:latin typeface="Calibri (Body)"/>
                <a:ea typeface="+mn-ea"/>
                <a:cs typeface="+mn-cs"/>
              </a:defRPr>
            </a:pPr>
            <a:endParaRPr lang="vi-VN"/>
          </a:p>
        </c:txPr>
        <c:crossAx val="666823231"/>
        <c:crosses val="autoZero"/>
        <c:auto val="1"/>
        <c:lblAlgn val="ctr"/>
        <c:lblOffset val="100"/>
        <c:tickLblSkip val="1"/>
        <c:noMultiLvlLbl val="0"/>
      </c:catAx>
      <c:valAx>
        <c:axId val="666823231"/>
        <c:scaling>
          <c:orientation val="minMax"/>
          <c:max val="50"/>
          <c:min val="-30"/>
        </c:scaling>
        <c:delete val="0"/>
        <c:axPos val="l"/>
        <c:title>
          <c:tx>
            <c:rich>
              <a:bodyPr rot="-5400000" spcFirstLastPara="1" vertOverflow="ellipsis" vert="horz" wrap="square" anchor="ctr" anchorCtr="1"/>
              <a:lstStyle/>
              <a:p>
                <a:pPr>
                  <a:defRPr sz="800" b="0" i="0" u="none" strike="noStrike" kern="1200" baseline="0">
                    <a:solidFill>
                      <a:schemeClr val="tx1">
                        <a:lumMod val="65000"/>
                        <a:lumOff val="35000"/>
                      </a:schemeClr>
                    </a:solidFill>
                    <a:latin typeface="Calibri (Body)"/>
                    <a:ea typeface="+mn-ea"/>
                    <a:cs typeface="+mn-cs"/>
                  </a:defRPr>
                </a:pPr>
                <a:r>
                  <a:rPr lang="en-US"/>
                  <a:t>So sánh</a:t>
                </a:r>
                <a:r>
                  <a:rPr lang="en-US" baseline="0"/>
                  <a:t> chỉ số PMI  với 50</a:t>
                </a:r>
                <a:endParaRPr lang="en-US"/>
              </a:p>
            </c:rich>
          </c:tx>
          <c:layout>
            <c:manualLayout>
              <c:xMode val="edge"/>
              <c:yMode val="edge"/>
              <c:x val="4.5384223087564991E-2"/>
              <c:y val="0.20663002695132907"/>
            </c:manualLayout>
          </c:layout>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Calibri (Body)"/>
                  <a:ea typeface="+mn-ea"/>
                  <a:cs typeface="+mn-cs"/>
                </a:defRPr>
              </a:pPr>
              <a:endParaRPr lang="en-US"/>
            </a:p>
          </c:txPr>
        </c:title>
        <c:numFmt formatCode="General" sourceLinked="1"/>
        <c:majorTickMark val="none"/>
        <c:minorTickMark val="none"/>
        <c:tickLblPos val="nextTo"/>
        <c:spPr>
          <a:solidFill>
            <a:schemeClr val="bg1"/>
          </a:solidFill>
          <a:ln>
            <a:noFill/>
          </a:ln>
          <a:effectLst/>
        </c:spPr>
        <c:txPr>
          <a:bodyPr rot="-60000000" spcFirstLastPara="1" vertOverflow="ellipsis" vert="horz" wrap="square" anchor="ctr" anchorCtr="1"/>
          <a:lstStyle/>
          <a:p>
            <a:pPr>
              <a:defRPr sz="800" b="0" i="0" u="none" strike="noStrike" kern="1200" baseline="0">
                <a:solidFill>
                  <a:schemeClr val="bg1"/>
                </a:solidFill>
                <a:latin typeface="Calibri (Body)"/>
                <a:ea typeface="+mn-ea"/>
                <a:cs typeface="+mn-cs"/>
              </a:defRPr>
            </a:pPr>
            <a:endParaRPr lang="vi-VN"/>
          </a:p>
        </c:txPr>
        <c:crossAx val="666803071"/>
        <c:crossesAt val="1"/>
        <c:crossBetween val="between"/>
      </c:valAx>
      <c:valAx>
        <c:axId val="666815551"/>
        <c:scaling>
          <c:orientation val="minMax"/>
          <c:max val="0.25"/>
          <c:min val="-0.15000000000000002"/>
        </c:scaling>
        <c:delete val="0"/>
        <c:axPos val="r"/>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Calibri (Body)"/>
                <a:ea typeface="+mn-ea"/>
                <a:cs typeface="+mn-cs"/>
              </a:defRPr>
            </a:pPr>
            <a:endParaRPr lang="vi-VN"/>
          </a:p>
        </c:txPr>
        <c:crossAx val="666820831"/>
        <c:crosses val="max"/>
        <c:crossBetween val="between"/>
      </c:valAx>
      <c:catAx>
        <c:axId val="666820831"/>
        <c:scaling>
          <c:orientation val="minMax"/>
        </c:scaling>
        <c:delete val="1"/>
        <c:axPos val="b"/>
        <c:numFmt formatCode="General" sourceLinked="1"/>
        <c:majorTickMark val="out"/>
        <c:minorTickMark val="none"/>
        <c:tickLblPos val="nextTo"/>
        <c:crossAx val="666815551"/>
        <c:crosses val="autoZero"/>
        <c:auto val="1"/>
        <c:lblAlgn val="ctr"/>
        <c:lblOffset val="100"/>
        <c:noMultiLvlLbl val="0"/>
      </c:catAx>
      <c:spPr>
        <a:noFill/>
        <a:ln>
          <a:noFill/>
        </a:ln>
        <a:effectLst/>
      </c:spPr>
    </c:plotArea>
    <c:legend>
      <c:legendPos val="b"/>
      <c:layout>
        <c:manualLayout>
          <c:xMode val="edge"/>
          <c:yMode val="edge"/>
          <c:x val="3.1085204054783388E-2"/>
          <c:y val="0.82325741161549437"/>
          <c:w val="0.96891479594521657"/>
          <c:h val="0.17674258838450566"/>
        </c:manualLayout>
      </c:layout>
      <c:overlay val="0"/>
      <c:spPr>
        <a:noFill/>
        <a:ln>
          <a:noFill/>
        </a:ln>
        <a:effectLst/>
      </c:spPr>
      <c:txPr>
        <a:bodyPr rot="0" spcFirstLastPara="1" vertOverflow="ellipsis" vert="horz" wrap="square" anchor="t" anchorCtr="1"/>
        <a:lstStyle/>
        <a:p>
          <a:pPr>
            <a:defRPr sz="800" b="0" i="0" u="none" strike="noStrike" kern="1200" baseline="0">
              <a:solidFill>
                <a:schemeClr val="tx1">
                  <a:lumMod val="65000"/>
                  <a:lumOff val="35000"/>
                </a:schemeClr>
              </a:solidFill>
              <a:latin typeface="Calibri (Body)"/>
              <a:ea typeface="+mn-ea"/>
              <a:cs typeface="+mn-cs"/>
            </a:defRPr>
          </a:pPr>
          <a:endParaRPr lang="vi-VN"/>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sz="800">
          <a:latin typeface="Calibri (Body)"/>
        </a:defRPr>
      </a:pPr>
      <a:endParaRPr lang="vi-VN"/>
    </a:p>
  </c:txPr>
  <c:printSettings>
    <c:headerFooter/>
    <c:pageMargins b="0.75" l="0.7" r="0.7" t="0.75" header="0.3" footer="0.3"/>
    <c:pageSetup/>
  </c:printSettings>
  <c:userShapes r:id="rId3"/>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5555843292447666E-2"/>
          <c:y val="0.30819141497139152"/>
          <c:w val="0.87785974304936565"/>
          <c:h val="0.43768868899538366"/>
        </c:manualLayout>
      </c:layout>
      <c:barChart>
        <c:barDir val="col"/>
        <c:grouping val="clustered"/>
        <c:varyColors val="0"/>
        <c:ser>
          <c:idx val="3"/>
          <c:order val="3"/>
          <c:tx>
            <c:strRef>
              <c:f>Valuation_Senario!$A$164</c:f>
              <c:strCache>
                <c:ptCount val="1"/>
                <c:pt idx="0">
                  <c:v> SLCH_RHS </c:v>
                </c:pt>
              </c:strCache>
            </c:strRef>
          </c:tx>
          <c:spPr>
            <a:solidFill>
              <a:schemeClr val="accent4"/>
            </a:solidFill>
            <a:ln>
              <a:noFill/>
            </a:ln>
            <a:effectLst/>
          </c:spPr>
          <c:invertIfNegative val="0"/>
          <c:cat>
            <c:strRef>
              <c:extLst>
                <c:ext xmlns:c15="http://schemas.microsoft.com/office/drawing/2012/chart" uri="{02D57815-91ED-43cb-92C2-25804820EDAC}">
                  <c15:fullRef>
                    <c15:sqref>Valuation_Senario!$B$161:$AM$161</c15:sqref>
                  </c15:fullRef>
                </c:ext>
              </c:extLst>
              <c:f>(Valuation_Senario!$B$161:$K$161,Valuation_Senario!$AB$161:$AM$161)</c:f>
              <c:strCache>
                <c:ptCount val="21"/>
                <c:pt idx="0">
                  <c:v>Jan-20</c:v>
                </c:pt>
                <c:pt idx="1">
                  <c:v>Mar-20</c:v>
                </c:pt>
                <c:pt idx="2">
                  <c:v>Apr-20</c:v>
                </c:pt>
                <c:pt idx="3">
                  <c:v>May-20</c:v>
                </c:pt>
                <c:pt idx="4">
                  <c:v>Jun-20</c:v>
                </c:pt>
                <c:pt idx="5">
                  <c:v>Jul-20</c:v>
                </c:pt>
                <c:pt idx="6">
                  <c:v>Aug-20</c:v>
                </c:pt>
                <c:pt idx="7">
                  <c:v>Sep-20</c:v>
                </c:pt>
                <c:pt idx="8">
                  <c:v>Oct-20</c:v>
                </c:pt>
                <c:pt idx="9">
                  <c:v>Apr-22</c:v>
                </c:pt>
                <c:pt idx="10">
                  <c:v>May-22</c:v>
                </c:pt>
                <c:pt idx="11">
                  <c:v>Jun-22</c:v>
                </c:pt>
                <c:pt idx="12">
                  <c:v>Jul-22</c:v>
                </c:pt>
                <c:pt idx="13">
                  <c:v>Aug-22</c:v>
                </c:pt>
                <c:pt idx="14">
                  <c:v>Sep-22</c:v>
                </c:pt>
                <c:pt idx="15">
                  <c:v>Oct-22</c:v>
                </c:pt>
                <c:pt idx="16">
                  <c:v>Nov-22</c:v>
                </c:pt>
                <c:pt idx="17">
                  <c:v>Dec-22</c:v>
                </c:pt>
                <c:pt idx="18">
                  <c:v>Thg1&amp;2-23</c:v>
                </c:pt>
                <c:pt idx="19">
                  <c:v>Mar-23</c:v>
                </c:pt>
                <c:pt idx="20">
                  <c:v>Apr-23</c:v>
                </c:pt>
              </c:strCache>
            </c:strRef>
          </c:cat>
          <c:val>
            <c:numRef>
              <c:extLst>
                <c:ext xmlns:c15="http://schemas.microsoft.com/office/drawing/2012/chart" uri="{02D57815-91ED-43cb-92C2-25804820EDAC}">
                  <c15:fullRef>
                    <c15:sqref>Valuation_Senario!$B$164:$AM$164</c15:sqref>
                  </c15:fullRef>
                </c:ext>
              </c:extLst>
              <c:f>(Valuation_Senario!$B$164:$K$164,Valuation_Senario!$AB$164:$AM$164)</c:f>
              <c:numCache>
                <c:formatCode>_(* #,##0_);_(* \(#,##0\);_(* "-"??_);_(@_)</c:formatCode>
                <c:ptCount val="21"/>
                <c:pt idx="0">
                  <c:v>1041</c:v>
                </c:pt>
                <c:pt idx="1">
                  <c:v>1158</c:v>
                </c:pt>
                <c:pt idx="2">
                  <c:v>1234</c:v>
                </c:pt>
                <c:pt idx="3">
                  <c:v>1365</c:v>
                </c:pt>
                <c:pt idx="4">
                  <c:v>1486</c:v>
                </c:pt>
                <c:pt idx="5">
                  <c:v>1561</c:v>
                </c:pt>
                <c:pt idx="6">
                  <c:v>1595</c:v>
                </c:pt>
                <c:pt idx="7">
                  <c:v>1623</c:v>
                </c:pt>
                <c:pt idx="8">
                  <c:v>1656</c:v>
                </c:pt>
                <c:pt idx="9">
                  <c:v>2140</c:v>
                </c:pt>
                <c:pt idx="10">
                  <c:v>2140</c:v>
                </c:pt>
                <c:pt idx="11">
                  <c:v>1889</c:v>
                </c:pt>
                <c:pt idx="12">
                  <c:v>1735</c:v>
                </c:pt>
                <c:pt idx="13">
                  <c:v>1726</c:v>
                </c:pt>
                <c:pt idx="14">
                  <c:v>1728</c:v>
                </c:pt>
                <c:pt idx="15">
                  <c:v>1728</c:v>
                </c:pt>
                <c:pt idx="16">
                  <c:v>1728</c:v>
                </c:pt>
                <c:pt idx="17">
                  <c:v>1728</c:v>
                </c:pt>
                <c:pt idx="18">
                  <c:v>1729</c:v>
                </c:pt>
                <c:pt idx="19">
                  <c:v>1710</c:v>
                </c:pt>
                <c:pt idx="20">
                  <c:v>1708</c:v>
                </c:pt>
              </c:numCache>
            </c:numRef>
          </c:val>
          <c:extLst>
            <c:ext xmlns:c16="http://schemas.microsoft.com/office/drawing/2014/chart" uri="{C3380CC4-5D6E-409C-BE32-E72D297353CC}">
              <c16:uniqueId val="{00000000-0D0B-4253-AAD9-2C29C9019E8C}"/>
            </c:ext>
          </c:extLst>
        </c:ser>
        <c:dLbls>
          <c:showLegendKey val="0"/>
          <c:showVal val="0"/>
          <c:showCatName val="0"/>
          <c:showSerName val="0"/>
          <c:showPercent val="0"/>
          <c:showBubbleSize val="0"/>
        </c:dLbls>
        <c:gapWidth val="219"/>
        <c:axId val="2129578960"/>
        <c:axId val="2129579376"/>
      </c:barChart>
      <c:lineChart>
        <c:grouping val="standard"/>
        <c:varyColors val="0"/>
        <c:ser>
          <c:idx val="0"/>
          <c:order val="0"/>
          <c:tx>
            <c:strRef>
              <c:f>Valuation_Senario!$A$162</c:f>
              <c:strCache>
                <c:ptCount val="1"/>
                <c:pt idx="0">
                  <c:v> DT/CH (tỷ VND/tháng)_LHS </c:v>
                </c:pt>
              </c:strCache>
            </c:strRef>
          </c:tx>
          <c:spPr>
            <a:ln w="28575" cap="rnd">
              <a:solidFill>
                <a:schemeClr val="bg1">
                  <a:lumMod val="50000"/>
                </a:schemeClr>
              </a:solidFill>
              <a:round/>
            </a:ln>
            <a:effectLst/>
          </c:spPr>
          <c:marker>
            <c:symbol val="none"/>
          </c:marker>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800" b="0" i="0" u="none" strike="noStrike" kern="1200" baseline="0">
                    <a:solidFill>
                      <a:schemeClr val="dk1">
                        <a:lumMod val="65000"/>
                        <a:lumOff val="35000"/>
                      </a:schemeClr>
                    </a:solidFill>
                    <a:latin typeface="+mn-lt"/>
                    <a:ea typeface="+mn-ea"/>
                    <a:cs typeface="+mn-cs"/>
                  </a:defRPr>
                </a:pPr>
                <a:endParaRPr lang="vi-VN"/>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extLst>
                <c:ext xmlns:c15="http://schemas.microsoft.com/office/drawing/2012/chart" uri="{02D57815-91ED-43cb-92C2-25804820EDAC}">
                  <c15:fullRef>
                    <c15:sqref>Valuation_Senario!$B$161:$AM$161</c15:sqref>
                  </c15:fullRef>
                </c:ext>
              </c:extLst>
              <c:f>(Valuation_Senario!$B$161:$K$161,Valuation_Senario!$AB$161:$AM$161)</c:f>
              <c:strCache>
                <c:ptCount val="21"/>
                <c:pt idx="0">
                  <c:v>Jan-20</c:v>
                </c:pt>
                <c:pt idx="1">
                  <c:v>Mar-20</c:v>
                </c:pt>
                <c:pt idx="2">
                  <c:v>Apr-20</c:v>
                </c:pt>
                <c:pt idx="3">
                  <c:v>May-20</c:v>
                </c:pt>
                <c:pt idx="4">
                  <c:v>Jun-20</c:v>
                </c:pt>
                <c:pt idx="5">
                  <c:v>Jul-20</c:v>
                </c:pt>
                <c:pt idx="6">
                  <c:v>Aug-20</c:v>
                </c:pt>
                <c:pt idx="7">
                  <c:v>Sep-20</c:v>
                </c:pt>
                <c:pt idx="8">
                  <c:v>Oct-20</c:v>
                </c:pt>
                <c:pt idx="9">
                  <c:v>Apr-22</c:v>
                </c:pt>
                <c:pt idx="10">
                  <c:v>May-22</c:v>
                </c:pt>
                <c:pt idx="11">
                  <c:v>Jun-22</c:v>
                </c:pt>
                <c:pt idx="12">
                  <c:v>Jul-22</c:v>
                </c:pt>
                <c:pt idx="13">
                  <c:v>Aug-22</c:v>
                </c:pt>
                <c:pt idx="14">
                  <c:v>Sep-22</c:v>
                </c:pt>
                <c:pt idx="15">
                  <c:v>Oct-22</c:v>
                </c:pt>
                <c:pt idx="16">
                  <c:v>Nov-22</c:v>
                </c:pt>
                <c:pt idx="17">
                  <c:v>Dec-22</c:v>
                </c:pt>
                <c:pt idx="18">
                  <c:v>Thg1&amp;2-23</c:v>
                </c:pt>
                <c:pt idx="19">
                  <c:v>Mar-23</c:v>
                </c:pt>
                <c:pt idx="20">
                  <c:v>Apr-23</c:v>
                </c:pt>
              </c:strCache>
            </c:strRef>
          </c:cat>
          <c:val>
            <c:numRef>
              <c:extLst>
                <c:ext xmlns:c15="http://schemas.microsoft.com/office/drawing/2012/chart" uri="{02D57815-91ED-43cb-92C2-25804820EDAC}">
                  <c15:fullRef>
                    <c15:sqref>Valuation_Senario!$B$162:$AM$162</c15:sqref>
                  </c15:fullRef>
                </c:ext>
              </c:extLst>
              <c:f>(Valuation_Senario!$B$162:$K$162,Valuation_Senario!$AB$162:$AM$162)</c:f>
              <c:numCache>
                <c:formatCode>_(* #,##0.0_);_(* \(#,##0.0\);_(* "-"??_);_(@_)</c:formatCode>
                <c:ptCount val="21"/>
                <c:pt idx="0">
                  <c:v>1.2872620790629574</c:v>
                </c:pt>
                <c:pt idx="1">
                  <c:v>1.7096522911051211</c:v>
                </c:pt>
                <c:pt idx="2">
                  <c:v>1.4063821070234117</c:v>
                </c:pt>
                <c:pt idx="3">
                  <c:v>1.2798291650634859</c:v>
                </c:pt>
                <c:pt idx="4">
                  <c:v>1.1381620484040693</c:v>
                </c:pt>
                <c:pt idx="5">
                  <c:v>1.178385297013455</c:v>
                </c:pt>
                <c:pt idx="6">
                  <c:v>1.2380671736375171</c:v>
                </c:pt>
                <c:pt idx="7">
                  <c:v>1.1957128651336233</c:v>
                </c:pt>
                <c:pt idx="8">
                  <c:v>1.2125086916742907</c:v>
                </c:pt>
                <c:pt idx="9">
                  <c:v>1.0124209046168269</c:v>
                </c:pt>
                <c:pt idx="10">
                  <c:v>1.0747663551401869</c:v>
                </c:pt>
                <c:pt idx="11">
                  <c:v>1.1494286423430138</c:v>
                </c:pt>
                <c:pt idx="12">
                  <c:v>1.3159359823399552</c:v>
                </c:pt>
                <c:pt idx="13">
                  <c:v>1.36</c:v>
                </c:pt>
                <c:pt idx="14">
                  <c:v>1.37</c:v>
                </c:pt>
                <c:pt idx="15">
                  <c:v>1.37</c:v>
                </c:pt>
                <c:pt idx="16">
                  <c:v>1.3286255787037025</c:v>
                </c:pt>
                <c:pt idx="17">
                  <c:v>1.4358621128472233</c:v>
                </c:pt>
                <c:pt idx="18">
                  <c:v>1.1929352226720649</c:v>
                </c:pt>
                <c:pt idx="19">
                  <c:v>1.3053038674033151</c:v>
                </c:pt>
                <c:pt idx="20">
                  <c:v>1.3527232884727913</c:v>
                </c:pt>
              </c:numCache>
            </c:numRef>
          </c:val>
          <c:smooth val="0"/>
          <c:extLst>
            <c:ext xmlns:c16="http://schemas.microsoft.com/office/drawing/2014/chart" uri="{C3380CC4-5D6E-409C-BE32-E72D297353CC}">
              <c16:uniqueId val="{00000001-0D0B-4253-AAD9-2C29C9019E8C}"/>
            </c:ext>
          </c:extLst>
        </c:ser>
        <c:dLbls>
          <c:showLegendKey val="0"/>
          <c:showVal val="0"/>
          <c:showCatName val="0"/>
          <c:showSerName val="0"/>
          <c:showPercent val="0"/>
          <c:showBubbleSize val="0"/>
        </c:dLbls>
        <c:marker val="1"/>
        <c:smooth val="0"/>
        <c:axId val="996762224"/>
        <c:axId val="996763184"/>
        <c:extLst>
          <c:ext xmlns:c15="http://schemas.microsoft.com/office/drawing/2012/chart" uri="{02D57815-91ED-43cb-92C2-25804820EDAC}">
            <c15:filteredLineSeries>
              <c15:ser>
                <c:idx val="1"/>
                <c:order val="1"/>
                <c:tx>
                  <c:strRef>
                    <c:extLst>
                      <c:ext uri="{02D57815-91ED-43cb-92C2-25804820EDAC}">
                        <c15:formulaRef>
                          <c15:sqref>Valuation_Senario!$A$166</c15:sqref>
                        </c15:formulaRef>
                      </c:ext>
                    </c:extLst>
                    <c:strCache>
                      <c:ptCount val="1"/>
                      <c:pt idx="0">
                        <c:v>%YoY</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extLst>
                      <c:ext uri="{02D57815-91ED-43cb-92C2-25804820EDAC}">
                        <c15:fullRef>
                          <c15:sqref>Valuation_Senario!$B$161:$AM$161</c15:sqref>
                        </c15:fullRef>
                        <c15:formulaRef>
                          <c15:sqref>(Valuation_Senario!$B$161:$K$161,Valuation_Senario!$AB$161:$AM$161)</c15:sqref>
                        </c15:formulaRef>
                      </c:ext>
                    </c:extLst>
                    <c:strCache>
                      <c:ptCount val="21"/>
                      <c:pt idx="0">
                        <c:v>Jan-20</c:v>
                      </c:pt>
                      <c:pt idx="1">
                        <c:v>Mar-20</c:v>
                      </c:pt>
                      <c:pt idx="2">
                        <c:v>Apr-20</c:v>
                      </c:pt>
                      <c:pt idx="3">
                        <c:v>May-20</c:v>
                      </c:pt>
                      <c:pt idx="4">
                        <c:v>Jun-20</c:v>
                      </c:pt>
                      <c:pt idx="5">
                        <c:v>Jul-20</c:v>
                      </c:pt>
                      <c:pt idx="6">
                        <c:v>Aug-20</c:v>
                      </c:pt>
                      <c:pt idx="7">
                        <c:v>Sep-20</c:v>
                      </c:pt>
                      <c:pt idx="8">
                        <c:v>Oct-20</c:v>
                      </c:pt>
                      <c:pt idx="9">
                        <c:v>Apr-22</c:v>
                      </c:pt>
                      <c:pt idx="10">
                        <c:v>May-22</c:v>
                      </c:pt>
                      <c:pt idx="11">
                        <c:v>Jun-22</c:v>
                      </c:pt>
                      <c:pt idx="12">
                        <c:v>Jul-22</c:v>
                      </c:pt>
                      <c:pt idx="13">
                        <c:v>Aug-22</c:v>
                      </c:pt>
                      <c:pt idx="14">
                        <c:v>Sep-22</c:v>
                      </c:pt>
                      <c:pt idx="15">
                        <c:v>Oct-22</c:v>
                      </c:pt>
                      <c:pt idx="16">
                        <c:v>Nov-22</c:v>
                      </c:pt>
                      <c:pt idx="17">
                        <c:v>Dec-22</c:v>
                      </c:pt>
                      <c:pt idx="18">
                        <c:v>Thg1&amp;2-23</c:v>
                      </c:pt>
                      <c:pt idx="19">
                        <c:v>Mar-23</c:v>
                      </c:pt>
                      <c:pt idx="20">
                        <c:v>Apr-23</c:v>
                      </c:pt>
                    </c:strCache>
                  </c:strRef>
                </c:cat>
                <c:val>
                  <c:numRef>
                    <c:extLst>
                      <c:ext uri="{02D57815-91ED-43cb-92C2-25804820EDAC}">
                        <c15:fullRef>
                          <c15:sqref>Valuation_Senario!$B$166:$AM$166</c15:sqref>
                        </c15:fullRef>
                        <c15:formulaRef>
                          <c15:sqref>(Valuation_Senario!$B$166:$K$166,Valuation_Senario!$AB$166:$AM$166)</c15:sqref>
                        </c15:formulaRef>
                      </c:ext>
                    </c:extLst>
                    <c:numCache>
                      <c:formatCode>0%</c:formatCode>
                      <c:ptCount val="21"/>
                      <c:pt idx="0">
                        <c:v>-0.15344070278184496</c:v>
                      </c:pt>
                      <c:pt idx="1">
                        <c:v>0.24774780411366959</c:v>
                      </c:pt>
                      <c:pt idx="2">
                        <c:v>-6.2815226717385375E-3</c:v>
                      </c:pt>
                      <c:pt idx="3">
                        <c:v>-0.15760444950026842</c:v>
                      </c:pt>
                      <c:pt idx="4">
                        <c:v>-0.32350799811116304</c:v>
                      </c:pt>
                      <c:pt idx="5">
                        <c:v>-0.23579539117152637</c:v>
                      </c:pt>
                      <c:pt idx="6">
                        <c:v>-0.19395227538692816</c:v>
                      </c:pt>
                      <c:pt idx="7">
                        <c:v>-0.11227362192827639</c:v>
                      </c:pt>
                      <c:pt idx="8">
                        <c:v>-7.5846269390152932E-2</c:v>
                      </c:pt>
                      <c:pt idx="9">
                        <c:v>-0.15560199835573596</c:v>
                      </c:pt>
                      <c:pt idx="10">
                        <c:v>-0.22551200787223769</c:v>
                      </c:pt>
                      <c:pt idx="11">
                        <c:v>-0.21776350390297416</c:v>
                      </c:pt>
                      <c:pt idx="12">
                        <c:v>-0.40251300998431316</c:v>
                      </c:pt>
                      <c:pt idx="14">
                        <c:v>0.37140976094016942</c:v>
                      </c:pt>
                      <c:pt idx="15">
                        <c:v>0.32479000000000013</c:v>
                      </c:pt>
                      <c:pt idx="16">
                        <c:v>0.46409096495621771</c:v>
                      </c:pt>
                      <c:pt idx="17">
                        <c:v>0.65968501704860349</c:v>
                      </c:pt>
                      <c:pt idx="18">
                        <c:v>0.29326413370704874</c:v>
                      </c:pt>
                      <c:pt idx="19">
                        <c:v>0.2958495636908145</c:v>
                      </c:pt>
                      <c:pt idx="20">
                        <c:v>0.3361273777577316</c:v>
                      </c:pt>
                    </c:numCache>
                  </c:numRef>
                </c:val>
                <c:smooth val="0"/>
                <c:extLst>
                  <c:ext xmlns:c16="http://schemas.microsoft.com/office/drawing/2014/chart" uri="{C3380CC4-5D6E-409C-BE32-E72D297353CC}">
                    <c16:uniqueId val="{00000002-0D0B-4253-AAD9-2C29C9019E8C}"/>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Valuation_Senario!$A$163</c15:sqref>
                        </c15:formulaRef>
                      </c:ext>
                    </c:extLst>
                    <c:strCache>
                      <c:ptCount val="1"/>
                      <c:pt idx="0">
                        <c:v>%MoM</c:v>
                      </c:pt>
                    </c:strCache>
                  </c:strRef>
                </c:tx>
                <c:spPr>
                  <a:ln w="28575" cap="rnd">
                    <a:solidFill>
                      <a:srgbClr val="FFC000"/>
                    </a:solidFill>
                    <a:round/>
                  </a:ln>
                  <a:effectLst/>
                </c:spPr>
                <c:marker>
                  <c:symbol val="circle"/>
                  <c:size val="5"/>
                  <c:spPr>
                    <a:solidFill>
                      <a:schemeClr val="accent3"/>
                    </a:solidFill>
                    <a:ln w="9525">
                      <a:solidFill>
                        <a:srgbClr val="FFC000"/>
                      </a:solidFill>
                    </a:ln>
                    <a:effectLst/>
                  </c:spPr>
                </c:marker>
                <c:cat>
                  <c:strRef>
                    <c:extLst>
                      <c:ext xmlns:c15="http://schemas.microsoft.com/office/drawing/2012/chart" uri="{02D57815-91ED-43cb-92C2-25804820EDAC}">
                        <c15:fullRef>
                          <c15:sqref>Valuation_Senario!$B$161:$AM$161</c15:sqref>
                        </c15:fullRef>
                        <c15:formulaRef>
                          <c15:sqref>(Valuation_Senario!$B$161:$K$161,Valuation_Senario!$AB$161:$AM$161)</c15:sqref>
                        </c15:formulaRef>
                      </c:ext>
                    </c:extLst>
                    <c:strCache>
                      <c:ptCount val="21"/>
                      <c:pt idx="0">
                        <c:v>Jan-20</c:v>
                      </c:pt>
                      <c:pt idx="1">
                        <c:v>Mar-20</c:v>
                      </c:pt>
                      <c:pt idx="2">
                        <c:v>Apr-20</c:v>
                      </c:pt>
                      <c:pt idx="3">
                        <c:v>May-20</c:v>
                      </c:pt>
                      <c:pt idx="4">
                        <c:v>Jun-20</c:v>
                      </c:pt>
                      <c:pt idx="5">
                        <c:v>Jul-20</c:v>
                      </c:pt>
                      <c:pt idx="6">
                        <c:v>Aug-20</c:v>
                      </c:pt>
                      <c:pt idx="7">
                        <c:v>Sep-20</c:v>
                      </c:pt>
                      <c:pt idx="8">
                        <c:v>Oct-20</c:v>
                      </c:pt>
                      <c:pt idx="9">
                        <c:v>Apr-22</c:v>
                      </c:pt>
                      <c:pt idx="10">
                        <c:v>May-22</c:v>
                      </c:pt>
                      <c:pt idx="11">
                        <c:v>Jun-22</c:v>
                      </c:pt>
                      <c:pt idx="12">
                        <c:v>Jul-22</c:v>
                      </c:pt>
                      <c:pt idx="13">
                        <c:v>Aug-22</c:v>
                      </c:pt>
                      <c:pt idx="14">
                        <c:v>Sep-22</c:v>
                      </c:pt>
                      <c:pt idx="15">
                        <c:v>Oct-22</c:v>
                      </c:pt>
                      <c:pt idx="16">
                        <c:v>Nov-22</c:v>
                      </c:pt>
                      <c:pt idx="17">
                        <c:v>Dec-22</c:v>
                      </c:pt>
                      <c:pt idx="18">
                        <c:v>Thg1&amp;2-23</c:v>
                      </c:pt>
                      <c:pt idx="19">
                        <c:v>Mar-23</c:v>
                      </c:pt>
                      <c:pt idx="20">
                        <c:v>Apr-23</c:v>
                      </c:pt>
                    </c:strCache>
                  </c:strRef>
                </c:cat>
                <c:val>
                  <c:numRef>
                    <c:extLst>
                      <c:ext xmlns:c15="http://schemas.microsoft.com/office/drawing/2012/chart" uri="{02D57815-91ED-43cb-92C2-25804820EDAC}">
                        <c15:fullRef>
                          <c15:sqref>Valuation_Senario!$B$163:$AM$163</c15:sqref>
                        </c15:fullRef>
                        <c15:formulaRef>
                          <c15:sqref>(Valuation_Senario!$B$163:$K$163,Valuation_Senario!$AB$163:$AM$163)</c15:sqref>
                        </c15:formulaRef>
                      </c:ext>
                    </c:extLst>
                    <c:numCache>
                      <c:formatCode>0%</c:formatCode>
                      <c:ptCount val="21"/>
                      <c:pt idx="0">
                        <c:v>-6.4867175254369025E-2</c:v>
                      </c:pt>
                      <c:pt idx="1">
                        <c:v>0.420258885908674</c:v>
                      </c:pt>
                      <c:pt idx="2">
                        <c:v>-0.17738705446689118</c:v>
                      </c:pt>
                      <c:pt idx="3">
                        <c:v>-8.9984749754654758E-2</c:v>
                      </c:pt>
                      <c:pt idx="4">
                        <c:v>-0.11069220840297789</c:v>
                      </c:pt>
                      <c:pt idx="5">
                        <c:v>3.5340528763708745E-2</c:v>
                      </c:pt>
                      <c:pt idx="6">
                        <c:v>5.0647166741915495E-2</c:v>
                      </c:pt>
                      <c:pt idx="7">
                        <c:v>-3.4210024630129121E-2</c:v>
                      </c:pt>
                      <c:pt idx="8">
                        <c:v>1.4046705551495675E-2</c:v>
                      </c:pt>
                      <c:pt idx="9">
                        <c:v>5.0879494665647673E-3</c:v>
                      </c:pt>
                      <c:pt idx="10">
                        <c:v>6.1580564209068767E-2</c:v>
                      </c:pt>
                      <c:pt idx="11">
                        <c:v>6.946838896263019E-2</c:v>
                      </c:pt>
                      <c:pt idx="12">
                        <c:v>0.14486096297159445</c:v>
                      </c:pt>
                      <c:pt idx="13">
                        <c:v>3.3484924989809706E-2</c:v>
                      </c:pt>
                      <c:pt idx="14">
                        <c:v>7.3529411764705621E-3</c:v>
                      </c:pt>
                      <c:pt idx="15">
                        <c:v>0</c:v>
                      </c:pt>
                      <c:pt idx="16">
                        <c:v>-3.0200307515545699E-2</c:v>
                      </c:pt>
                      <c:pt idx="17">
                        <c:v>8.0712381172239667E-2</c:v>
                      </c:pt>
                      <c:pt idx="18">
                        <c:v>-0.1691853890436944</c:v>
                      </c:pt>
                      <c:pt idx="19">
                        <c:v>9.4195093409644493E-2</c:v>
                      </c:pt>
                      <c:pt idx="20">
                        <c:v>3.6328262141603229E-2</c:v>
                      </c:pt>
                    </c:numCache>
                  </c:numRef>
                </c:val>
                <c:smooth val="0"/>
                <c:extLst xmlns:c15="http://schemas.microsoft.com/office/drawing/2012/chart">
                  <c:ext xmlns:c16="http://schemas.microsoft.com/office/drawing/2014/chart" uri="{C3380CC4-5D6E-409C-BE32-E72D297353CC}">
                    <c16:uniqueId val="{00000003-0D0B-4253-AAD9-2C29C9019E8C}"/>
                  </c:ext>
                </c:extLst>
              </c15:ser>
            </c15:filteredLineSeries>
          </c:ext>
        </c:extLst>
      </c:lineChart>
      <c:catAx>
        <c:axId val="2129578960"/>
        <c:scaling>
          <c:orientation val="minMax"/>
        </c:scaling>
        <c:delete val="0"/>
        <c:axPos val="b"/>
        <c:numFmt formatCode="General" sourceLinked="1"/>
        <c:majorTickMark val="none"/>
        <c:minorTickMark val="none"/>
        <c:tickLblPos val="low"/>
        <c:spPr>
          <a:noFill/>
          <a:ln w="25400" cap="flat" cmpd="sng" algn="ctr">
            <a:solidFill>
              <a:schemeClr val="tx1"/>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vi-VN"/>
          </a:p>
        </c:txPr>
        <c:crossAx val="2129579376"/>
        <c:crosses val="autoZero"/>
        <c:auto val="1"/>
        <c:lblAlgn val="ctr"/>
        <c:lblOffset val="100"/>
        <c:noMultiLvlLbl val="0"/>
      </c:catAx>
      <c:valAx>
        <c:axId val="2129579376"/>
        <c:scaling>
          <c:orientation val="minMax"/>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vi-VN"/>
          </a:p>
        </c:txPr>
        <c:crossAx val="2129578960"/>
        <c:crosses val="autoZero"/>
        <c:crossBetween val="between"/>
      </c:valAx>
      <c:valAx>
        <c:axId val="996763184"/>
        <c:scaling>
          <c:orientation val="minMax"/>
        </c:scaling>
        <c:delete val="0"/>
        <c:axPos val="r"/>
        <c:numFmt formatCode="_(* #,##0.0_);_(* \(#,##0.0\);_(* &quot;-&quot;?_);_(@_)" sourceLinked="0"/>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vi-VN"/>
          </a:p>
        </c:txPr>
        <c:crossAx val="996762224"/>
        <c:crosses val="max"/>
        <c:crossBetween val="between"/>
      </c:valAx>
      <c:catAx>
        <c:axId val="996762224"/>
        <c:scaling>
          <c:orientation val="minMax"/>
        </c:scaling>
        <c:delete val="1"/>
        <c:axPos val="b"/>
        <c:numFmt formatCode="General" sourceLinked="1"/>
        <c:majorTickMark val="out"/>
        <c:minorTickMark val="none"/>
        <c:tickLblPos val="nextTo"/>
        <c:crossAx val="996763184"/>
        <c:crosses val="autoZero"/>
        <c:auto val="1"/>
        <c:lblAlgn val="ctr"/>
        <c:lblOffset val="100"/>
        <c:noMultiLvlLbl val="0"/>
      </c:catAx>
      <c:spPr>
        <a:noFill/>
        <a:ln>
          <a:noFill/>
        </a:ln>
        <a:effectLst/>
      </c:spPr>
    </c:plotArea>
    <c:legend>
      <c:legendPos val="b"/>
      <c:layout>
        <c:manualLayout>
          <c:xMode val="edge"/>
          <c:yMode val="edge"/>
          <c:x val="0.29692348853479772"/>
          <c:y val="0.93442328401806218"/>
          <c:w val="0.40615302293040467"/>
          <c:h val="6.190811275495349E-2"/>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vi-VN"/>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sz="800"/>
      </a:pPr>
      <a:endParaRPr lang="vi-VN"/>
    </a:p>
  </c:txPr>
  <c:printSettings>
    <c:headerFooter/>
    <c:pageMargins b="0.75" l="0.7" r="0.7" t="0.75" header="0.3" footer="0.3"/>
    <c:pageSetup/>
  </c:printSettings>
  <c:userShapes r:id="rId3"/>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Valuation_Senario!$A$193</c:f>
              <c:strCache>
                <c:ptCount val="1"/>
                <c:pt idx="0">
                  <c:v>BHX (Tỷ VND)_LHS</c:v>
                </c:pt>
              </c:strCache>
            </c:strRef>
          </c:tx>
          <c:spPr>
            <a:solidFill>
              <a:schemeClr val="accent1"/>
            </a:solidFill>
            <a:ln>
              <a:noFill/>
            </a:ln>
            <a:effectLst/>
          </c:spPr>
          <c:invertIfNegative val="0"/>
          <c:cat>
            <c:strRef>
              <c:f>Valuation_Senario!$B$192:$I$192</c:f>
              <c:strCache>
                <c:ptCount val="7"/>
                <c:pt idx="0">
                  <c:v>2018E</c:v>
                </c:pt>
                <c:pt idx="1">
                  <c:v>2020E</c:v>
                </c:pt>
                <c:pt idx="2">
                  <c:v>2021</c:v>
                </c:pt>
                <c:pt idx="3">
                  <c:v>2022E</c:v>
                </c:pt>
                <c:pt idx="4">
                  <c:v>2023F</c:v>
                </c:pt>
                <c:pt idx="5">
                  <c:v>2024F</c:v>
                </c:pt>
                <c:pt idx="6">
                  <c:v>2025F</c:v>
                </c:pt>
              </c:strCache>
            </c:strRef>
          </c:cat>
          <c:val>
            <c:numRef>
              <c:f>Valuation_Senario!$B$193:$I$193</c:f>
              <c:numCache>
                <c:formatCode>_(* #,##0_);_(* \(#,##0\);_(* "-"??_);_(@_)</c:formatCode>
                <c:ptCount val="7"/>
                <c:pt idx="0">
                  <c:v>-555.57734015100004</c:v>
                </c:pt>
                <c:pt idx="1">
                  <c:v>-1839.626637822</c:v>
                </c:pt>
                <c:pt idx="2">
                  <c:v>-1012.39304963</c:v>
                </c:pt>
                <c:pt idx="3">
                  <c:v>-2940.4532178049999</c:v>
                </c:pt>
                <c:pt idx="4">
                  <c:v>-986.36495939999895</c:v>
                </c:pt>
                <c:pt idx="5">
                  <c:v>102.73869860599933</c:v>
                </c:pt>
                <c:pt idx="6">
                  <c:v>720.5086663896243</c:v>
                </c:pt>
              </c:numCache>
            </c:numRef>
          </c:val>
          <c:extLst>
            <c:ext xmlns:c16="http://schemas.microsoft.com/office/drawing/2014/chart" uri="{C3380CC4-5D6E-409C-BE32-E72D297353CC}">
              <c16:uniqueId val="{00000000-D643-4C5E-B0B8-CED9693AEA92}"/>
            </c:ext>
          </c:extLst>
        </c:ser>
        <c:dLbls>
          <c:showLegendKey val="0"/>
          <c:showVal val="0"/>
          <c:showCatName val="0"/>
          <c:showSerName val="0"/>
          <c:showPercent val="0"/>
          <c:showBubbleSize val="0"/>
        </c:dLbls>
        <c:gapWidth val="219"/>
        <c:overlap val="-27"/>
        <c:axId val="2058150319"/>
        <c:axId val="2058152399"/>
      </c:barChart>
      <c:lineChart>
        <c:grouping val="standard"/>
        <c:varyColors val="0"/>
        <c:ser>
          <c:idx val="1"/>
          <c:order val="1"/>
          <c:tx>
            <c:strRef>
              <c:f>Valuation_Senario!$A$194</c:f>
              <c:strCache>
                <c:ptCount val="1"/>
                <c:pt idx="0">
                  <c:v>BLNHĐ (%)_RHS </c:v>
                </c:pt>
              </c:strCache>
            </c:strRef>
          </c:tx>
          <c:spPr>
            <a:ln w="28575" cap="rnd">
              <a:solidFill>
                <a:srgbClr val="C00000"/>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vi-VN"/>
              </a:p>
            </c:txPr>
            <c:dLblPos val="l"/>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Valuation_Senario!$B$192:$I$192</c:f>
              <c:strCache>
                <c:ptCount val="7"/>
                <c:pt idx="0">
                  <c:v>2018E</c:v>
                </c:pt>
                <c:pt idx="1">
                  <c:v>2020E</c:v>
                </c:pt>
                <c:pt idx="2">
                  <c:v>2021</c:v>
                </c:pt>
                <c:pt idx="3">
                  <c:v>2022E</c:v>
                </c:pt>
                <c:pt idx="4">
                  <c:v>2023F</c:v>
                </c:pt>
                <c:pt idx="5">
                  <c:v>2024F</c:v>
                </c:pt>
                <c:pt idx="6">
                  <c:v>2025F</c:v>
                </c:pt>
              </c:strCache>
            </c:strRef>
          </c:cat>
          <c:val>
            <c:numRef>
              <c:f>Valuation_Senario!$B$194:$I$194</c:f>
              <c:numCache>
                <c:formatCode>0%</c:formatCode>
                <c:ptCount val="7"/>
                <c:pt idx="0">
                  <c:v>-0.12843300149625</c:v>
                </c:pt>
                <c:pt idx="1">
                  <c:v>-8.6468872118451057E-2</c:v>
                </c:pt>
                <c:pt idx="2">
                  <c:v>-3.595480040118787E-2</c:v>
                </c:pt>
                <c:pt idx="3">
                  <c:v>-0.10857925440491747</c:v>
                </c:pt>
                <c:pt idx="4">
                  <c:v>-3.1233097601197655E-2</c:v>
                </c:pt>
                <c:pt idx="5" formatCode="0.0%">
                  <c:v>2.5007340188092425E-3</c:v>
                </c:pt>
                <c:pt idx="6">
                  <c:v>1.512188431466545E-2</c:v>
                </c:pt>
              </c:numCache>
            </c:numRef>
          </c:val>
          <c:smooth val="0"/>
          <c:extLst>
            <c:ext xmlns:c16="http://schemas.microsoft.com/office/drawing/2014/chart" uri="{C3380CC4-5D6E-409C-BE32-E72D297353CC}">
              <c16:uniqueId val="{00000001-D643-4C5E-B0B8-CED9693AEA92}"/>
            </c:ext>
          </c:extLst>
        </c:ser>
        <c:dLbls>
          <c:showLegendKey val="0"/>
          <c:showVal val="0"/>
          <c:showCatName val="0"/>
          <c:showSerName val="0"/>
          <c:showPercent val="0"/>
          <c:showBubbleSize val="0"/>
        </c:dLbls>
        <c:marker val="1"/>
        <c:smooth val="0"/>
        <c:axId val="2058152815"/>
        <c:axId val="2058151567"/>
      </c:lineChart>
      <c:catAx>
        <c:axId val="2058150319"/>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vi-VN"/>
          </a:p>
        </c:txPr>
        <c:crossAx val="2058152399"/>
        <c:crosses val="autoZero"/>
        <c:auto val="1"/>
        <c:lblAlgn val="ctr"/>
        <c:lblOffset val="100"/>
        <c:noMultiLvlLbl val="0"/>
      </c:catAx>
      <c:valAx>
        <c:axId val="2058152399"/>
        <c:scaling>
          <c:orientation val="minMax"/>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vi-VN"/>
          </a:p>
        </c:txPr>
        <c:crossAx val="2058150319"/>
        <c:crosses val="autoZero"/>
        <c:crossBetween val="between"/>
      </c:valAx>
      <c:valAx>
        <c:axId val="2058151567"/>
        <c:scaling>
          <c:orientation val="minMax"/>
        </c:scaling>
        <c:delete val="0"/>
        <c:axPos val="r"/>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vi-VN"/>
          </a:p>
        </c:txPr>
        <c:crossAx val="2058152815"/>
        <c:crosses val="max"/>
        <c:crossBetween val="between"/>
      </c:valAx>
      <c:catAx>
        <c:axId val="2058152815"/>
        <c:scaling>
          <c:orientation val="minMax"/>
        </c:scaling>
        <c:delete val="1"/>
        <c:axPos val="b"/>
        <c:numFmt formatCode="General" sourceLinked="1"/>
        <c:majorTickMark val="none"/>
        <c:minorTickMark val="none"/>
        <c:tickLblPos val="nextTo"/>
        <c:crossAx val="2058151567"/>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vi-VN"/>
        </a:p>
      </c:txPr>
    </c:legend>
    <c:plotVisOnly val="1"/>
    <c:dispBlanksAs val="gap"/>
    <c:showDLblsOverMax val="0"/>
  </c:chart>
  <c:spPr>
    <a:solidFill>
      <a:schemeClr val="bg1"/>
    </a:solidFill>
    <a:ln w="9525" cap="flat" cmpd="sng" algn="ctr">
      <a:noFill/>
      <a:round/>
    </a:ln>
    <a:effectLst/>
  </c:spPr>
  <c:txPr>
    <a:bodyPr/>
    <a:lstStyle/>
    <a:p>
      <a:pPr>
        <a:defRPr/>
      </a:pPr>
      <a:endParaRPr lang="vi-VN"/>
    </a:p>
  </c:txPr>
  <c:printSettings>
    <c:headerFooter/>
    <c:pageMargins b="0.75" l="0.7" r="0.7" t="0.75" header="0.3" footer="0.3"/>
    <c:pageSetup/>
  </c:printSettings>
  <c:userShapes r:id="rId3"/>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304369663283228"/>
          <c:y val="2.9966655856001945E-2"/>
          <c:w val="0.78862746815896967"/>
          <c:h val="0.7363815897146806"/>
        </c:manualLayout>
      </c:layout>
      <c:barChart>
        <c:barDir val="col"/>
        <c:grouping val="stacked"/>
        <c:varyColors val="0"/>
        <c:ser>
          <c:idx val="0"/>
          <c:order val="0"/>
          <c:tx>
            <c:strRef>
              <c:f>Valuation_Senario!$A$182</c:f>
              <c:strCache>
                <c:ptCount val="1"/>
                <c:pt idx="0">
                  <c:v>TGDĐ+DMX</c:v>
                </c:pt>
              </c:strCache>
            </c:strRef>
          </c:tx>
          <c:spPr>
            <a:solidFill>
              <a:srgbClr val="FFC000"/>
            </a:solidFill>
            <a:ln>
              <a:noFill/>
            </a:ln>
            <a:effectLst/>
          </c:spPr>
          <c:invertIfNegative val="0"/>
          <c:cat>
            <c:strRef>
              <c:f>Valuation_Senario!$B$181:$J$181</c:f>
              <c:strCache>
                <c:ptCount val="8"/>
                <c:pt idx="0">
                  <c:v>2018E</c:v>
                </c:pt>
                <c:pt idx="1">
                  <c:v>2020E</c:v>
                </c:pt>
                <c:pt idx="2">
                  <c:v>2021</c:v>
                </c:pt>
                <c:pt idx="3">
                  <c:v>2022E</c:v>
                </c:pt>
                <c:pt idx="4">
                  <c:v>2023F</c:v>
                </c:pt>
                <c:pt idx="5">
                  <c:v>2024F</c:v>
                </c:pt>
                <c:pt idx="6">
                  <c:v>2025F</c:v>
                </c:pt>
                <c:pt idx="7">
                  <c:v>2026F</c:v>
                </c:pt>
              </c:strCache>
            </c:strRef>
          </c:cat>
          <c:val>
            <c:numRef>
              <c:f>Valuation_Senario!$B$182:$J$182</c:f>
              <c:numCache>
                <c:formatCode>_(* #,##0_);_(* \(#,##0\);_(* "-"??_);_(@_)</c:formatCode>
                <c:ptCount val="8"/>
                <c:pt idx="0">
                  <c:v>4482.0231993790003</c:v>
                </c:pt>
                <c:pt idx="1">
                  <c:v>7121.3625952399998</c:v>
                </c:pt>
                <c:pt idx="2">
                  <c:v>7094.302021962998</c:v>
                </c:pt>
                <c:pt idx="3">
                  <c:v>10221.467566597996</c:v>
                </c:pt>
                <c:pt idx="4">
                  <c:v>2087.4460145259982</c:v>
                </c:pt>
                <c:pt idx="5">
                  <c:v>4468.6229806810024</c:v>
                </c:pt>
                <c:pt idx="6">
                  <c:v>5263.9950834085575</c:v>
                </c:pt>
                <c:pt idx="7">
                  <c:v>6099.4368968141589</c:v>
                </c:pt>
              </c:numCache>
            </c:numRef>
          </c:val>
          <c:extLst>
            <c:ext xmlns:c16="http://schemas.microsoft.com/office/drawing/2014/chart" uri="{C3380CC4-5D6E-409C-BE32-E72D297353CC}">
              <c16:uniqueId val="{00000000-ECC7-4F59-9661-7D094660D64F}"/>
            </c:ext>
          </c:extLst>
        </c:ser>
        <c:ser>
          <c:idx val="1"/>
          <c:order val="1"/>
          <c:tx>
            <c:strRef>
              <c:f>Valuation_Senario!$A$183</c:f>
              <c:strCache>
                <c:ptCount val="1"/>
                <c:pt idx="0">
                  <c:v>BHX</c:v>
                </c:pt>
              </c:strCache>
            </c:strRef>
          </c:tx>
          <c:spPr>
            <a:solidFill>
              <a:schemeClr val="accent3"/>
            </a:solidFill>
            <a:ln>
              <a:noFill/>
            </a:ln>
            <a:effectLst/>
          </c:spPr>
          <c:invertIfNegative val="0"/>
          <c:cat>
            <c:strRef>
              <c:f>Valuation_Senario!$B$181:$J$181</c:f>
              <c:strCache>
                <c:ptCount val="8"/>
                <c:pt idx="0">
                  <c:v>2018E</c:v>
                </c:pt>
                <c:pt idx="1">
                  <c:v>2020E</c:v>
                </c:pt>
                <c:pt idx="2">
                  <c:v>2021</c:v>
                </c:pt>
                <c:pt idx="3">
                  <c:v>2022E</c:v>
                </c:pt>
                <c:pt idx="4">
                  <c:v>2023F</c:v>
                </c:pt>
                <c:pt idx="5">
                  <c:v>2024F</c:v>
                </c:pt>
                <c:pt idx="6">
                  <c:v>2025F</c:v>
                </c:pt>
                <c:pt idx="7">
                  <c:v>2026F</c:v>
                </c:pt>
              </c:strCache>
            </c:strRef>
          </c:cat>
          <c:val>
            <c:numRef>
              <c:f>Valuation_Senario!$B$183:$J$183</c:f>
              <c:numCache>
                <c:formatCode>_(* #,##0_);_(* \(#,##0\);_(* "-"??_);_(@_)</c:formatCode>
                <c:ptCount val="8"/>
                <c:pt idx="0">
                  <c:v>-555.57734015100004</c:v>
                </c:pt>
                <c:pt idx="1">
                  <c:v>-1839.626637822</c:v>
                </c:pt>
                <c:pt idx="2">
                  <c:v>-1012.39304963</c:v>
                </c:pt>
                <c:pt idx="3">
                  <c:v>-2940.4532178049999</c:v>
                </c:pt>
                <c:pt idx="4">
                  <c:v>-986.36495939999895</c:v>
                </c:pt>
                <c:pt idx="5">
                  <c:v>102.73869860599933</c:v>
                </c:pt>
                <c:pt idx="6">
                  <c:v>720.5086663896243</c:v>
                </c:pt>
                <c:pt idx="7">
                  <c:v>1666.8605919733013</c:v>
                </c:pt>
              </c:numCache>
            </c:numRef>
          </c:val>
          <c:extLst>
            <c:ext xmlns:c16="http://schemas.microsoft.com/office/drawing/2014/chart" uri="{C3380CC4-5D6E-409C-BE32-E72D297353CC}">
              <c16:uniqueId val="{00000001-ECC7-4F59-9661-7D094660D64F}"/>
            </c:ext>
          </c:extLst>
        </c:ser>
        <c:ser>
          <c:idx val="2"/>
          <c:order val="2"/>
          <c:tx>
            <c:strRef>
              <c:f>Valuation_Senario!$A$184</c:f>
              <c:strCache>
                <c:ptCount val="1"/>
                <c:pt idx="0">
                  <c:v>Khác</c:v>
                </c:pt>
              </c:strCache>
            </c:strRef>
          </c:tx>
          <c:spPr>
            <a:solidFill>
              <a:schemeClr val="bg1">
                <a:lumMod val="75000"/>
              </a:schemeClr>
            </a:solidFill>
            <a:ln>
              <a:noFill/>
            </a:ln>
            <a:effectLst/>
          </c:spPr>
          <c:invertIfNegative val="0"/>
          <c:cat>
            <c:strRef>
              <c:f>Valuation_Senario!$B$181:$J$181</c:f>
              <c:strCache>
                <c:ptCount val="8"/>
                <c:pt idx="0">
                  <c:v>2018E</c:v>
                </c:pt>
                <c:pt idx="1">
                  <c:v>2020E</c:v>
                </c:pt>
                <c:pt idx="2">
                  <c:v>2021</c:v>
                </c:pt>
                <c:pt idx="3">
                  <c:v>2022E</c:v>
                </c:pt>
                <c:pt idx="4">
                  <c:v>2023F</c:v>
                </c:pt>
                <c:pt idx="5">
                  <c:v>2024F</c:v>
                </c:pt>
                <c:pt idx="6">
                  <c:v>2025F</c:v>
                </c:pt>
                <c:pt idx="7">
                  <c:v>2026F</c:v>
                </c:pt>
              </c:strCache>
            </c:strRef>
          </c:cat>
          <c:val>
            <c:numRef>
              <c:f>Valuation_Senario!$B$184:$J$184</c:f>
              <c:numCache>
                <c:formatCode>_(* #,##0_);_(* \(#,##0\);_(* "-"??_);_(@_)</c:formatCode>
                <c:ptCount val="8"/>
                <c:pt idx="0">
                  <c:v>349.13426168120031</c:v>
                </c:pt>
                <c:pt idx="1">
                  <c:v>240.81641789920013</c:v>
                </c:pt>
                <c:pt idx="2">
                  <c:v>223.01364469500004</c:v>
                </c:pt>
                <c:pt idx="3">
                  <c:v>-3179.2999238539942</c:v>
                </c:pt>
                <c:pt idx="4">
                  <c:v>-933.2519001870013</c:v>
                </c:pt>
                <c:pt idx="5">
                  <c:v>-838.07345056699887</c:v>
                </c:pt>
                <c:pt idx="6">
                  <c:v>812.55249913464377</c:v>
                </c:pt>
                <c:pt idx="7">
                  <c:v>920.60951657909027</c:v>
                </c:pt>
              </c:numCache>
            </c:numRef>
          </c:val>
          <c:extLst>
            <c:ext xmlns:c16="http://schemas.microsoft.com/office/drawing/2014/chart" uri="{C3380CC4-5D6E-409C-BE32-E72D297353CC}">
              <c16:uniqueId val="{00000002-ECC7-4F59-9661-7D094660D64F}"/>
            </c:ext>
          </c:extLst>
        </c:ser>
        <c:dLbls>
          <c:showLegendKey val="0"/>
          <c:showVal val="0"/>
          <c:showCatName val="0"/>
          <c:showSerName val="0"/>
          <c:showPercent val="0"/>
          <c:showBubbleSize val="0"/>
        </c:dLbls>
        <c:gapWidth val="219"/>
        <c:overlap val="100"/>
        <c:axId val="996671504"/>
        <c:axId val="996666224"/>
      </c:barChart>
      <c:lineChart>
        <c:grouping val="standard"/>
        <c:varyColors val="0"/>
        <c:dLbls>
          <c:showLegendKey val="0"/>
          <c:showVal val="0"/>
          <c:showCatName val="0"/>
          <c:showSerName val="0"/>
          <c:showPercent val="0"/>
          <c:showBubbleSize val="0"/>
        </c:dLbls>
        <c:marker val="1"/>
        <c:smooth val="0"/>
        <c:axId val="996665264"/>
        <c:axId val="996679184"/>
        <c:extLst>
          <c:ext xmlns:c15="http://schemas.microsoft.com/office/drawing/2012/chart" uri="{02D57815-91ED-43cb-92C2-25804820EDAC}">
            <c15:filteredLineSeries>
              <c15:ser>
                <c:idx val="3"/>
                <c:order val="3"/>
                <c:tx>
                  <c:strRef>
                    <c:extLst>
                      <c:ext uri="{02D57815-91ED-43cb-92C2-25804820EDAC}">
                        <c15:formulaRef>
                          <c15:sqref>Valuation_Senario!$A$185</c15:sqref>
                        </c15:formulaRef>
                      </c:ext>
                    </c:extLst>
                    <c:strCache>
                      <c:ptCount val="1"/>
                      <c:pt idx="0">
                        <c:v>Biên LNHĐ_BHX(%)</c:v>
                      </c:pt>
                    </c:strCache>
                  </c:strRef>
                </c:tx>
                <c:spPr>
                  <a:ln w="28575" cap="rnd">
                    <a:solidFill>
                      <a:srgbClr val="C00000"/>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vi-VN"/>
                    </a:p>
                  </c:txPr>
                  <c:dLblPos val="b"/>
                  <c:showLegendKey val="0"/>
                  <c:showVal val="1"/>
                  <c:showCatName val="0"/>
                  <c:showSerName val="0"/>
                  <c:showPercent val="0"/>
                  <c:showBubbleSize val="0"/>
                  <c:showLeaderLines val="0"/>
                  <c:extLst>
                    <c:ex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uri="{02D57815-91ED-43cb-92C2-25804820EDAC}">
                        <c15:formulaRef>
                          <c15:sqref>Valuation_Senario!$B$181:$J$181</c15:sqref>
                        </c15:formulaRef>
                      </c:ext>
                    </c:extLst>
                    <c:strCache>
                      <c:ptCount val="8"/>
                      <c:pt idx="0">
                        <c:v>2018E</c:v>
                      </c:pt>
                      <c:pt idx="1">
                        <c:v>2020E</c:v>
                      </c:pt>
                      <c:pt idx="2">
                        <c:v>2021</c:v>
                      </c:pt>
                      <c:pt idx="3">
                        <c:v>2022E</c:v>
                      </c:pt>
                      <c:pt idx="4">
                        <c:v>2023F</c:v>
                      </c:pt>
                      <c:pt idx="5">
                        <c:v>2024F</c:v>
                      </c:pt>
                      <c:pt idx="6">
                        <c:v>2025F</c:v>
                      </c:pt>
                      <c:pt idx="7">
                        <c:v>2026F</c:v>
                      </c:pt>
                    </c:strCache>
                  </c:strRef>
                </c:cat>
                <c:val>
                  <c:numRef>
                    <c:extLst>
                      <c:ext uri="{02D57815-91ED-43cb-92C2-25804820EDAC}">
                        <c15:formulaRef>
                          <c15:sqref>Valuation_Senario!$B$185:$J$185</c15:sqref>
                        </c15:formulaRef>
                      </c:ext>
                    </c:extLst>
                    <c:numCache>
                      <c:formatCode>0%</c:formatCode>
                      <c:ptCount val="8"/>
                      <c:pt idx="0">
                        <c:v>-0.12843300149625</c:v>
                      </c:pt>
                      <c:pt idx="1">
                        <c:v>-8.6468872118451057E-2</c:v>
                      </c:pt>
                      <c:pt idx="2">
                        <c:v>-3.595480040118787E-2</c:v>
                      </c:pt>
                      <c:pt idx="3">
                        <c:v>-0.10857925440491747</c:v>
                      </c:pt>
                      <c:pt idx="4">
                        <c:v>-3.1233097601197655E-2</c:v>
                      </c:pt>
                      <c:pt idx="5">
                        <c:v>2.5007340188092425E-3</c:v>
                      </c:pt>
                      <c:pt idx="6" formatCode="0.0%">
                        <c:v>1.512188431466545E-2</c:v>
                      </c:pt>
                      <c:pt idx="7" formatCode="0.0%">
                        <c:v>2.4386839277590971E-2</c:v>
                      </c:pt>
                    </c:numCache>
                  </c:numRef>
                </c:val>
                <c:smooth val="0"/>
                <c:extLst>
                  <c:ext xmlns:c16="http://schemas.microsoft.com/office/drawing/2014/chart" uri="{C3380CC4-5D6E-409C-BE32-E72D297353CC}">
                    <c16:uniqueId val="{00000004-ECC7-4F59-9661-7D094660D64F}"/>
                  </c:ext>
                </c:extLst>
              </c15:ser>
            </c15:filteredLineSeries>
          </c:ext>
        </c:extLst>
      </c:lineChart>
      <c:catAx>
        <c:axId val="996671504"/>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vi-VN"/>
          </a:p>
        </c:txPr>
        <c:crossAx val="996666224"/>
        <c:crosses val="autoZero"/>
        <c:auto val="1"/>
        <c:lblAlgn val="ctr"/>
        <c:lblOffset val="100"/>
        <c:noMultiLvlLbl val="0"/>
      </c:catAx>
      <c:valAx>
        <c:axId val="996666224"/>
        <c:scaling>
          <c:orientation val="minMax"/>
          <c:max val="9000"/>
          <c:min val="-5000"/>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vi-VN"/>
          </a:p>
        </c:txPr>
        <c:crossAx val="996671504"/>
        <c:crosses val="autoZero"/>
        <c:crossBetween val="between"/>
      </c:valAx>
      <c:valAx>
        <c:axId val="996679184"/>
        <c:scaling>
          <c:orientation val="minMax"/>
          <c:max val="0.4"/>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vi-VN"/>
          </a:p>
        </c:txPr>
        <c:crossAx val="996665264"/>
        <c:crosses val="max"/>
        <c:crossBetween val="between"/>
      </c:valAx>
      <c:catAx>
        <c:axId val="996665264"/>
        <c:scaling>
          <c:orientation val="minMax"/>
        </c:scaling>
        <c:delete val="1"/>
        <c:axPos val="b"/>
        <c:numFmt formatCode="General" sourceLinked="1"/>
        <c:majorTickMark val="out"/>
        <c:minorTickMark val="none"/>
        <c:tickLblPos val="nextTo"/>
        <c:crossAx val="996679184"/>
        <c:crosses val="autoZero"/>
        <c:auto val="1"/>
        <c:lblAlgn val="ctr"/>
        <c:lblOffset val="100"/>
        <c:noMultiLvlLbl val="0"/>
      </c:catAx>
      <c:spPr>
        <a:noFill/>
        <a:ln w="25400">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vi-VN"/>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vi-VN"/>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_xlchart.v5.4</cx:f>
      </cx:strDim>
      <cx:numDim type="val">
        <cx:f>_xlchart.v5.5</cx:f>
      </cx:numDim>
    </cx:data>
  </cx:chartData>
  <cx:chart>
    <cx:plotArea>
      <cx:plotAreaRegion>
        <cx:series layoutId="waterfall" uniqueId="{FC9A22AD-81BE-4375-A46B-C4A784BAE228}">
          <cx:dataPt idx="0">
            <cx:spPr>
              <a:solidFill>
                <a:srgbClr val="015998"/>
              </a:solidFill>
            </cx:spPr>
          </cx:dataPt>
          <cx:dataPt idx="4">
            <cx:spPr>
              <a:solidFill>
                <a:sysClr val="window" lastClr="FFFFFF">
                  <a:lumMod val="75000"/>
                </a:sysClr>
              </a:solidFill>
              <a:ln>
                <a:solidFill>
                  <a:sysClr val="window" lastClr="FFFFFF">
                    <a:lumMod val="75000"/>
                  </a:sysClr>
                </a:solidFill>
              </a:ln>
            </cx:spPr>
          </cx:dataPt>
          <cx:dataId val="0"/>
          <cx:layoutPr>
            <cx:subtotals>
              <cx:idx val="0"/>
              <cx:idx val="5"/>
            </cx:subtotals>
          </cx:layoutPr>
        </cx:series>
      </cx:plotAreaRegion>
      <cx:axis id="0">
        <cx:catScaling gapWidth="0.5"/>
        <cx:tickLabels/>
        <cx:txPr>
          <a:bodyPr vertOverflow="overflow" horzOverflow="overflow" wrap="square" lIns="0" tIns="0" rIns="0" bIns="0"/>
          <a:lstStyle/>
          <a:p>
            <a:pPr algn="ctr" rtl="0">
              <a:defRPr sz="800" b="0" i="0">
                <a:solidFill>
                  <a:srgbClr val="595959"/>
                </a:solidFill>
                <a:latin typeface="+mn-lt"/>
                <a:ea typeface="Calibri" panose="020F0502020204030204" pitchFamily="34" charset="0"/>
                <a:cs typeface="Calibri" panose="020F0502020204030204" pitchFamily="34" charset="0"/>
              </a:defRPr>
            </a:pPr>
            <a:endParaRPr lang="en-US" sz="800">
              <a:latin typeface="+mn-lt"/>
            </a:endParaRPr>
          </a:p>
        </cx:txPr>
      </cx:axis>
      <cx:axis id="1">
        <cx:valScaling/>
        <cx:tickLabels/>
        <cx:txPr>
          <a:bodyPr vertOverflow="overflow" horzOverflow="overflow" wrap="square" lIns="0" tIns="0" rIns="0" bIns="0"/>
          <a:lstStyle/>
          <a:p>
            <a:pPr algn="ctr" rtl="0">
              <a:defRPr sz="800" b="0" i="0">
                <a:solidFill>
                  <a:srgbClr val="595959"/>
                </a:solidFill>
                <a:latin typeface="+mn-lt"/>
                <a:ea typeface="Calibri" panose="020F0502020204030204" pitchFamily="34" charset="0"/>
                <a:cs typeface="Calibri" panose="020F0502020204030204" pitchFamily="34" charset="0"/>
              </a:defRPr>
            </a:pPr>
            <a:endParaRPr lang="en-US" sz="800">
              <a:latin typeface="+mn-lt"/>
            </a:endParaRPr>
          </a:p>
        </cx:txPr>
      </cx:axis>
    </cx:plotArea>
  </cx:chart>
  <cx:spPr>
    <a:ln>
      <a:noFill/>
    </a:ln>
  </cx:spPr>
  <cx:fmtOvrs>
    <cx:fmtOvr idx="2">
      <cx:spPr>
        <a:solidFill>
          <a:schemeClr val="accent1"/>
        </a:solidFill>
      </cx:spPr>
    </cx:fmtOvr>
    <cx:fmtOvr idx="0">
      <cx:spPr>
        <a:solidFill>
          <a:schemeClr val="accent3"/>
        </a:solidFill>
      </cx:spPr>
    </cx:fmtOvr>
    <cx:fmtOvr idx="1">
      <cx:spPr>
        <a:solidFill>
          <a:schemeClr val="bg1">
            <a:lumMod val="75000"/>
          </a:schemeClr>
        </a:solidFill>
      </cx:spPr>
    </cx:fmtOvr>
  </cx:fmtOvrs>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_xlchart.v5.7</cx:f>
        <cx:nf>_xlchart.v5.6</cx:nf>
      </cx:strDim>
      <cx:numDim type="colorVal">
        <cx:f>_xlchart.v5.9</cx:f>
        <cx:nf>_xlchart.v5.8</cx:nf>
      </cx:numDim>
    </cx:data>
  </cx:chartData>
  <cx:chart>
    <cx:plotArea>
      <cx:plotAreaRegion>
        <cx:series layoutId="regionMap" uniqueId="{B86795E0-CDD7-4489-8CC2-0D61A9EB034C}">
          <cx:tx>
            <cx:txData>
              <cx:f>_xlchart.v5.8</cx:f>
              <cx:v>Q2/2024</cx:v>
            </cx:txData>
          </cx:tx>
          <cx:spPr>
            <a:solidFill>
              <a:schemeClr val="tx2">
                <a:lumMod val="20000"/>
                <a:lumOff val="80000"/>
              </a:schemeClr>
            </a:solidFill>
            <a:ln>
              <a:solidFill>
                <a:schemeClr val="bg1">
                  <a:lumMod val="95000"/>
                </a:schemeClr>
              </a:solidFill>
            </a:ln>
          </cx:spPr>
          <cx:dataId val="0"/>
          <cx:layoutPr>
            <cx:geography projectionType="miller" viewedRegionType="dataOnly" cultureLanguage="en-US" cultureRegion="VN" attribution="Powered by Bing">
              <cx:geoCache provider="{E9337A44-BEBE-4D9F-B70C-5C5E7DAFC167}">
                <cx:binary>7HxJbx1Llt5fId7ayRdzRBaqCujIvCPnQdSwSVAUlWPkHDntGl56Y8BLb7p6Y7Thhhu2V1ULL165
/sf7Jz5XFKXLK4rvqZ9sgEATgiTezMg4GV/Eie9858T9/c3wu5vs9rreG0yWN7+7Gf7wQ9S25e9+
/LG5iW7NdbNv4pu6aIr37f5NYX4s3r+Pb25/fFdf93Ee/kgQZj/eRNd1ezv88Mffw9PC2+KwuLlu
4yI/s7f1eH7b2Kxtnrj26KW9m8Lm7aZ5CE/6ww9X8W2bX5sf9m7zNm7Hy7G8/cMPD+75Ye/H3Sd9
0eteBoa19h20xXSfEUpdRtDdD/5hLyvy8P4yUvuEC0EIhQt3nR5fG2j4Kyz5YMf1u3f1bdPsffx3
q+EDs7c+j5vCu3trr9iYeHX84Z1+fDiqf/z9zgfwljufbA387pD80iUw18S5HzdtHd+0GIz46z/l
0d4hjMz9MNyN/YP7vnXs0T5G2BUEuY+PPd93XSSQIuS+0/ux/xW2fG30PzV9YPpm/D9deVbI6J/+
Ye/857/8h+s9Z+/q//xTHu5d/vQP9n7AvgtKHBAQSiL37mdnhch9IjlXynXvO71DSV/vncfXzpXd
mHT9pEWPY/XFA3YQ++L6s8LtMv75L3+f7y3i6++8pqgrKaJcPb6mxD6FNecyeufwdrzaZXz7K0x6
HK7ttjtIbV96XiD99I/j3jF4hvup/R3WE95niApOMX18PYl9LLCE9fTx+n3Xd6vq8vqXDfoKPp9a
7qLz6cKzwmYDy95lZH/+8z/n92P0XeCRiCNGJbizHSaghIsJp/LDytpZOffWXD9py+PIbLfdwWb7
0rNC5yD66U+Az/Kn/3H9HcEh+8RVSDL5ka4BCDsYuS6Ah9TOXrRlzd5pXXRxfnP7lFmP4/T4U3YQ
e/ymZ4Xdhubt/d2TE/kbWTbahz0JCUXw13YlLFxXEXdnVf0KSx6H6lPDHXQ+ff68APnpH83eX//j
z3/5T9+VK+B9ITBzBRZfLCNMKSeu4PeMbzv0Odyy5jespq88Zhewxzt7VvAdxD/9119Bq75tTbn7
isF6kujjkkJqB0S+D6ydKUF21tTBb+B42213gNq+9KzQ+biugEr89KfyqU3h2/DBCJQFjhWlX+Di
Egnkj9wx9B10HljzG1bX156zg9rXbntWCHoQAh89HWF+G3buPsIKYSnvqB5CIEBk26oQ30dABiXf
Ae+jIb8Bti+fsAPYlzc8K6j0z3/+083eITjEJwWBb4ULgiklGWF37ALxL+BiyiWIsR289PXGltsn
TXmcX3xuuYPP5wvPCpeLn/7nzd5l/dd//z0JhrsPuhDsT/c7FNrlGSDwEaAYTMl7v3sX5F4UG2N+
QRh5HJitpjvIbF15VtD83XenDrA1UayUEPLLvQkiX9i1EHsIyL0Nv8GzPfKIHYAeueNZAbUEJcJ+
b0HP3ZcKHJtg974NkNnZigRhXIIG+xCy5fWvsOXxNbTVdAeirSvPCpp7mnN8Hd+P0neRihhRnO3u
NhIEPMIIcPPHoqctU37Danr8KTtoPX7TswLO+/nP/yUHav63P31H3NA+CLBMUPnlWpJKQrbj41rb
YQu/zpbHl9R22x2Uti89K2wuT/f3lqBJ7HnRT/+8d/R9VXJQjEBpBaUcQHjg78Q+qLAKbXTAzc8O
RssCrIk/GLPnQYb4qVnzOFJfPmEHry9veFaogVP4839P945/+l/fk+phUGaJdClVuzKE3BdKMYo2
evq2iuRfgxG/kE9+HKHPLXeQ+XzhOSJyuMHlfoy+w+5E9iEkwopzcRcV7S4ktS9dCVKEAla+DczH
CfLBnN+2Q23m2e5jdiD7SmfPCj/903+DTMdp9Ld/+fkv//nmfjC/A4IYfCAXhKpd+UHsu0hR9EVR
it6kxE4jWzxpxeOrarvtDkjbl54hMv8vcoQY4icChSuPp3DVPmICc2Duj+1RH4YTjPrXpAq32z6G
0sfHPkOU/L/9y9/+9F23JLxPsBCgLuxGuUAhgOQJtsl7bHu+D4Pr23/VprTd9jFgPj72eQHz85//
N5Dv+vZ+mL6DT4OaL+wSCrA8vnTEPhMKcb6RJh5gA4Upv2DJV/zafcNdVO4/f1aQXNagdW9K1e5H
57dDAgqDC9Vd5FM9yq5KByVDWBKyUeo+/Nx3/bEgpb7+RYMeRwYUvo8td6D5fOH/LzZfr5/8VELq
X7fXsw+1p1sllE9f/fDyUA+70/Tj7H4Uv7uJv3r3hx8c4GjMJQxz4NWfKls3j3q4Oh6vtfviCbfX
TQtFr0jug2IEuUElJYjiG1m8v727IvY5FYJRV2Fg8xxIe17UbbRptK9AHIRPFYb0lRKg2TaF3VxS
+4IiwVwolBUcUajZ/FQEfFpkY1jkn0bo4+97uTWnRZy3zR9+gOeUd3dtzIXCJ3hbhaBcQLoYcyJh
OpY31+dQZww3438XxWaqOxbLZeFYv2xYcdKbuNdOwprZCMW68L/i5dZgPdIlKDYPu6SCcJjfMCIC
hpvBWG93WecsK/PMHZZuiJYBGmdliM+mOj16uhsigbh90ZFiHLogFMZSoYcduXkRj0NGxbIgvfSU
WwmPFcZL01AtTBbgSEdDFRw5pA5fDRjLORK49sdeiJekcae5TPLBpwnOL+PMNTrLWKtZlyQ6bwax
shRnHowTOarS0nkTthO/dluUe2PPbkKD3tqO9S+5SOKDvhrzq9LY8ID1mdEV7dYJlU2vwVUkvjF9
5aVBEp+pwl6ipJIvTNhURndE2dMyKrjviiD3pRmWuWozbaZyWrTupYkiphOWsZlAeDm6dacrnh0j
UZWzPM8vs5ansyisD+Ikkdrm7TpCTaDDol5wbK9yO44e7A9Lx0TXLTE+dqZKt3He+EpGN24crxoZ
nvImq3Ud0TcmHBdF2r51moLogveRl7eB73bJoMu+XLcFXYdV0cwpa2uP9z337NAZb4qa1KdVmc8G
hvtFakjl01QcZGMqZ6kbnUZF9TYf0E0XO7WeJJl0JZY1O0psQ3U69lKHJDwJ2LAYqzTyu4EUuszY
60hVhzRujoRM3kwTuYrynOgG2cUwysLLVT8XqZm8uK+XY5b7Y5pZDWW3MNRD5tUjP6GGz/KmPR4l
PSl5Oe/t+CoOXTNvWpp4IRkT3QzDoFEZXY207bQTy1VfxG+GKPcIduYpLULdUevlMvScglTahEJq
TuzoJVVWL3qJWs8W5To3QblQ1MzLNkw0QcUqiultNU2RplWbeCJ15CwizrvCQdib6uHYZOgocblc
8ix6Hef4RTDSy5iaxNEumVY0UfNamkVfJkddhXsdtO2FstGBQzrplW59kaXRKXPNK8G6kyKM7XzM
beypmDDdsWDwhWwSXeLyEtG89vtpnDEEb6xkOs56M2Q+Jd2FC3NhSHzFwkOX1FIXCp/HJjzpx+EI
JeI0585BS6tIKxOyReuQIzjxwI6GaCy8IcSj30Zo8t3ctLpo4kw7TihmiNvqIlH2heiLxDNOECzS
Mo0XTsDpwknd3hemv3RTFWinRKVXueq2bxsGQJRoodLs0BH4rJiMHxRVPY/xtGxgKDXUPN1kTk3A
ZNQv0wxdRg2q/WlyOl0zV/luI2GGjDyasUk6OnXT2MPWVK961scLAwGInzv1aQzu13fGbpm3JNRu
AH9xatg8Z+kMs8LnBLWblcwzmG7lWxHH3O+7INTp1ByPKsy9oazFwWRYp1kfjZ4IB5jE2ML78CGA
SWXXIU6rxeQ0qXZM8qLrMfWYpe3MscFhFSLHK3ps/JBGUjdOduXQxFnEdfR+LNA5SsPRC5rSagTT
3XvabYIq+6TT3NkQkA1sREsmlqaVesJgt/P6W3oAdQrGBzL+kKekyIUTCbDrbft/Z2Ro4moallHf
nCQSL7BI705l3B3K+MUt5osu5I7nl+PkmDbGw7KtgsjLiinTBcIvKRaXT7/Lprxna7juesISwk9I
43HxoSx/+2VCFhSENPWwTDrnZQdCKrjK7pgEk/CwSIJ5UrALwxFa0qldTjVCmqJoPRIWaeFEmWcx
umnZdNbA/BoSU+iwQrWnArsYc3Gdl83Z0wY/3HzBXgVnPKCYwmVQzMSg+Pbh4E+dG4WmJ8OS8EK7
9cvWZrrrC/10L2IzSz7TirtuoCoemJQLyTKosH7YTZFiGw8dYOxEwUFBRTnvWp4fpyY+Yqy1cxrx
eYMr6yfGif3UNO/jVE5zFvRnmDKkHYzxrObjoKtwWoR5X98UpWIzWfe9llPfzVFhud/xCPlto7zc
dCccEb9O+XvckWWeuJmeUH8eE/4qLNp1OKpMZ9103ofggJVBRkse4YXN8WUKB3N0xRJ/ZIPyYmZf
N7WJPMcpeq81knllECZzInLqJQN6Ezrgjvqqhd2bNyuRqxPgDcE8CwOjc7BYZsbMxdhcJG75Mkf0
pCirVdDVcx5J4bkFumA0uJFAfrrMTH6Hcrp4evgfAxlKqkHOVxtdhOyAXDFUGeGiYTnxc6dxvIGu
yRT8AsaPdqI49CIFZVxsVsYWc+ybLk7SAWgc5QK2+yvbJ7DDq19wR2SzVHdnEoPCBu4SzBDZ1Bpv
d1MTVo85DcBbkKnynM45cflYrbqqtrpJ6hMyVLGH+nZuXHYpaTLpnohSGx5LLxJ21sqs9ERZpB7L
cLNSddXrOmxGnaXWvco78gvs9rGZv2Wvu+N6IpdkvIPtcVkP9bWFvdM66GqQxXoc3j6N8mYNfTEy
m5JSqHsDXZnvrLEgNQpjUo1LlknrGawyL087sqjrYREl9G1emfW398ghWuGgc28KSXawmKjD67SE
Vd0NsGq7bvLDFJ3YLov8KGgXtlPxHfwfY7/Tu9e5i1dgAY91HEYfzy1++vWPl4WBPx/O233+8OGv
8ISPj9wEaw9++SJ+/EqEeHdm8isXf134CDuAyxmDGfH12HHr4NvnuPNzw/uQUezDTBdA7+B8ERMI
Bvo+ZOSQ4SGMueAFFfmQsPscMlIKMRxCEPHATraJMz+GjFC9qqiCK64UIHHzbwkY8eZ9tubdJmTE
CEJQ2PFgJ8dYgHa0vSKLysRtlxi0bFnc+XVSh8DMTCG9gBN20qZhOcfZZLzeLU97cB8XKa1GnUYV
nU0dlV7shouudc8n0swrVoc+yyiQT7c4Lcb21OnqFJZwvWLMGRY8RD1UmTf4WKZJtXLbwMR6cI27
aovW9UQnY892+GxwGrJK1diuDe/Q0dTVeM3a9DVvx9Gnti+8ShZXbu16vGZrY4SjDbVA3VJ3CXF7
shTWCWB/4KWOqyn1yqa/xFE+cxye66BzZ8NUv2sTsrJhe6xSEXkRm/hxp5BDdUT6AOnAijzXbVAW
TA9Oh6weXemcSKerZsUUAtN0LfVNEcpl3WOkS9avrcSOp7rwTcMc+T7kQ3gmQ1jqOgwG65O6HDwq
4zOCleu7RWx137FMk6hdQJDq6NymgZ+GqM58p4+47iBS8Ya8x7DVVHYhO2tfj1PAVkNuyrd9CNEG
mF2s8w69Il0Z+1ltlrhBx2nZ0lke1YHX5cnggQ/IFi2XbG05ZessSNaTHMAERyYeLSnRspbHcUAA
c5zlOgqJWbnKvgG1F7btIDns436WuxlgwjrXmwJSrXE0NUB2h1K3qBnmQ9alqSfDLlmGpc11Qjpy
6DjlPE+D6UQGmZwZFNRyNsppzTkEy51MCJ1FWa4OaSvIQdc3/dvaJjQCFpUX66oZk3lSIurzmDtH
dpzyI2IjdhXYUFII3wPHSxVwLL/sw2QVB+04+7CUv8lbHd0f3X7ooT44ls/u65n5NA5r/Os+bfeU
3EZZunNpm3afXRpzkQT/BKdbOWewW312aQopUITgL3Bsm/PH9y4NcnLAXqD6ACIFSj7QyI8uDQQy
OMsMhBvO7cmNxq2+xalBpugLpwZyG7AMIjZnb8mmWGXbqQnUsBbYGF/iKIr9uplgRo7J5PMWH8Us
lAujVHeaKxbPct6cD7k7x2XQzTMbSK+KcecPSjQ6KMd5EeTDUSXAR4xZXHsSp9ZLWHpgO7rIyvIE
6KZv+XAlWgwxcjotgEIHg+6qEBxfFXKNkJJeITvph6Akn3XjnLVFMQ9oYfwyZbnOQieHOCLo9WRl
PK/6OPQN6HeZMKMOcgT6XRRdR71dEyPOx6RddKGlR1mVqHPhtu+CkTEfWZJrkqsL4ian1cATr8cg
HNUdzuZtkTteh9KLLqsvaVZ1GpMi9ikaMu2OdvCiyKRenSYr2ZVMi7A4c9wedCC3Yt4g6nduzdMF
m/J0Rkmj/FHkpzLuX8aNKebOZNks6Mlhq3gF3DQCjw4BoybWeaFM4A8yPFE5uWQ5Pyz7ysIgVfm6
G+qTtEpWdTOejkSdp4VZC16fKVu/zQN+RNSUaOnITI9DeVDaiGgIAhYiqm7SBhW6a/oXKqLBeZP3
8Ru3zWLPZahLINWE5UFXyFrHUWBAwsFVvQ54TG4QifG8gs1iTouYeGkfHI08C7yx5L3XVLUA4MPJ
6wK5iBN4UpvJWNugdD1S0NCvQGjzkKwXDu1OszHyQM4Bn54cNl2walI6C1mzDokCPdENlQ5wPm8a
PmtFN0u7YgU5ncsA9fMKIX8cqtCbGtzqYchuHATxbBKEfN6h4qSODGh7FxabWR07MfDadoV487LL
slVQ5hVIasFZmfagfMTJBUZuom2WHoWC1joUaQDRjbgonTryoLr4TRbYmylHwLbjI2nbFcy3I+wO
Pi/bDHSx7KR3hgHCIIw9ksH21Hf5uO6qtjgVPXaPDAFtrUCNC9JFfIuGXhzhsMkWlMWXIlGM6aoe
HT1l1TCrS2p96ZbOIqIkXBSop35vJ6IrackKUZODiKeQzoAZwOGPzE/KYdIQkJwZUBOPiyKI5zXE
nysniJVX53ms4xCD6mgwrI48vIatztFd3E7HedaLWRQ1b3iKsS/H9oY5N66DDl1ZnuGiHPwxNzXI
wSDhtbihC5VUR0k3jXqEZ6zjqUQ6TopDYq1zLHv2dpTydCBdfZAG5TSjOOp0XpcgMzWAWpsE15vz
/V7Cg+sgDIrziTtlpktrsrOWD6+TGES+zqQvVMnVeYiLZF4HEdZxCtF41Ad2iTIn9qKsn0dqfNEQ
iz3ByiNa1e9rqmZBFF9ZlZ/AF4Uc9Sry4sDMpsF66dB6YVT4gtSzpOrPjChOhiy4TSOIfnAc6rEa
BTiI2K+m9ogElTdJ+56euHKpQtic1XkeklVFaqzToHtDQ1g3bt0syiRelsH4XrVibcr2dUrkqknS
q8qxa9opr42n0bMBX0J1zFHSN0dDYytdkuSMk/gg5ymaMWLXPGUAfVoeVzW+HmAy+JaE7/CkziyL
TrDsMJCydhahBJwsG2IvsHZZZfBunZkVbY891k1eVJgD6sRzZWnhBag9Lmv6Km/iGzh5d8Izu67r
6YIZVWoZOKdKOZdIyrOeoFWZ5JUX2qQHp1MKb2zxZYbSa9qHL/AIgmURdhjUWiiVN3yagdcxyzRC
VylOowXIlaBFTKXjRVbUpxjXZI6d3vjg+xIvol00K5Ps3LEgM+S8jfxSgaLeojb2QfWetGhAAuxS
SzwGcuEMFe5VIyisKz7at8wdmqOw5NMbBhNd1xxEMZSw4LQOXee6JGHqhxGjXo5MnGggm8VFkLpm
6bZx7wkUXsV9htY2qgW4n7AHlxa/AS7pviR26g8EcHhNZWk8iB9QpLuuIIme+iQPtcAmn3fCwRcq
HA4CEjOvGytz1DWB0AzVNcwbZ/KqCR0OAX31b3TpQwjoPkmXPhQvPKhI+UyYNi3vCZMChuPCuSgQ
PTb8aCsGlPvwHTog3oEiAlLbphb9M2HiwK0gOAfNDfjRJkL/TJjgZqBLHA5SufCFCORbCNND7QFi
QBD3BCSqhYTzCxQCzod0KamjMHTDzKy4hKQCiOsHHaXHadshzWPnPAJu4W1Ryo9CwHaiEsNIPAw7
KfA/yhiHem/uqs1psG2Gxpgq6mLKw5XqpFYWYs7qtIuEhkDUQesYrRS5gV1uNhlHV7AXtNG7py3g
m3LXHRNgzCEn58IhAUmAzT40gQBFS2gg3WXVg7dVbIREl2gi0HbcNLimZcyvgmBsXzA3DFZxMfFE
u22fzkAi5hqHQQV6b8TE69LNqG9dXM9at0yui6ldyb5JD9xGNTNZVunbsGGQZ+y68r1oZe47nJVz
UcjeU7SMfBtl5WFvCPVSJ068Is+r1h9qwmPw20kEIXYYjpcJRt2LsOzKecCmA0bTy6QPLtJQXjR9
lJ3IsC4OWC3WWYdeFyJs5jx1Hci4AJ+QRVvPSIHeNaEp3o2QZ/RJAQoiMnlzCLqEc9sHVMwhdb8c
KPGLplwYURegs2XAv1C36BVIc3gSznnVOpVXN7nwTGpHXdDhihWp0jwoWm+C+9/mrMmOnWbiPmpy
vCwb08CMchwgp6ZeUZueOwgmmnCWeBD9WRDSFnYciFXLkjdrTqZpHpUGWDFt/UxhWmgURdVtFeT9
69i29gRKnB0/QrGXhqZbKJSRJai9Kz5Uiy6v0otMTOO6ZSAW5mn4KpzG46Jhi06a2Jt6ES5IM42+
VO5VV5jab+wECrLogelWblDqWjTvqny8IDh9P6WV8AcDxpDEJQsme2dG67BbQABjTuK8fjcGcanh
7Fy87kaReQQlRqfgiRdRBDu+HbNWwz74cpjsmyiSJ52ReBWLRupBxYGfBUCPsAoNDB997zRuBNQv
g73KTshrnTyY94ZDSimYmM+Bk4x9UcKUgC4LIH5zOPpyNA3iVdI6t4KN9moK4t5nbUBaSPOE8dpC
Bq0NGJ2lRW1PCwHs1QNRJvCmFoenFQvwMuzSZWzqNUy611NRtVeM4CnW7sQmUO3HsPFYmodAKmPE
tMvEC9R3CrqPXlpaHdvJeVk503nZJaXGfasOUZo1s3wYIJPd1dUChehV6uBM8x5SxGkeLfuQXHdp
DblYmwFHdZNXnZSRX7RpDRFIHK2jqTBLJrr+wBJyIwyWXpuUoz8BkffSAkaMQZbJb/kYakglRpo4
1Y3hINbUYZ9Dln2stesUbwLjhn6A5IFB8QxeJ4QEQvE6dKsXYQrJEp4HUvdluMpCdoGLqPFJj9+O
tAGOVCSdF/JknDn5oAcuixd1mbk+jmV0zKKy29BWyBQn9Ro3G2IXuseGs8aP6BSv85b6boD8ShWp
pkXNfOyi4zZPwSG0gZ0loluK3Im8IkmY0U2mUl1ZKQ7jPCEHGRMbcQ3lL0qCGi8DZu53QWkPyimo
Z1Dd0b5lLC1mlpF4kcTOcU8gyOHgu3Q48NcIl9zDTnjZ1yz3u4TBDdhJvHIaqyVkHblfROEIJQf0
tmPoLMZZ6zsRKmcVLeYiRFTndDoo5Vj5qomOVBznMCXHdF6XVbO0KHoXiRFYKKvfZWkDM1LWLSyZ
qgUeh4MXhIWL1kC6NYuS16UZonk1AFsMQV7QkFbrvdCNKFhLX8QlRF6MOEvLDXqD1dSkS1uCd9Nc
5ZDZrR2NWwE0PbSvoly4Oi6GE9JX82gCt2NUznzIybxvS0jBqVgBjKUqbmq3z+YkghS7GFl2S3rL
rrIisToIJVQKWCec014epXnG9BhPGfQuk8XoqnieSjTN46F91UACW2dTm3ltyt4aA/MyrMaLvIRR
SPKghLivXsGXP3hJMZymGL0FNeo2VMBxx/EFfE0HhnCou7aSXxRT8Yo409yaYM4qPnd5NcNpcDOS
+iWXwbt6op0uRso0y80yYMLAUIKymPejC1PTERoU4M6rbGt8SGwpiNp7EPmIWEqHFZ5Sw+0YtEdu
G57kJoy1bJvEL1i7ZLX06xpKSzLwqJAghEhhbN80eXyZ5/2ymKKbQeUwKMI5gyKC17wZyCytlQMc
PzqvuEk8B2UvnAx2JDk1Z4D/i6EMQ83UUEG5AntTCzF57dDVXpxOlZ+x+DC0kM+xZbxoK6jEGVUH
5UdRq512iDWbhjl2u0PXVoFOCrzK8+wsgqSpl0xlpKXJey8ozTtQPkuteohIIbHuaAh7Tx1p31S0
t3qoUpBgVXKQg4/1xiQ8bgYovmnHHpxL6azcKnmfQvirhhTkDWlgG82uIBwHBywgajYTivyq7St/
rDAwYE7y5VC6o+4iAzqsbRxtUVb5WA46UQvIvIC7c/t0NebOrBDVoMOpfUccBpKpHUvxtiSNuYxg
yb5pgqCfJdS6q6RnBwJCU9EJvs5SqLbqASnNhrZY1kk0s9ZOnqlr47FNPY1sy9pzSqixaaDYJovq
tdpU34A79/NNPU6wqczJoUQng1KdCkp2YGeF2h0o4hlwuAKveRMp8Fsl7cEDQEAdQOEPhQIg86ES
CEqCmFMuwk2NkCX1OtpUDeGmPEg3dUQGCoqmTWVR5STH06bWCEoRlvGm+igDfqAb95JU8QQ6GUwj
B1yW2tQsPc3AyJccEErooBAfKchvQG5zhwPGsLvFARoSSKdmQlexKPw+6JiXZfGSlGiCvFd9HEzo
fV2I1xJinaC2J1N2guyrtugXlZKnvUnPGuAZeqKDO59iiTTJ4pWZzPs0b8OrzMnN2dNmP0JdN2YL
UDc3pXyQBXnIG3ERB0ETgdmy2uy9KxKC3y7LZUMSbzTmoq/UsunJq7oTR9xabY2rqRruErb/pk5z
CIC+rk5vnUTfzbhtGt5HW5Bxg6iJwXfFbYoFNzHVZ3kagENwfFsRBd9I9inYcvddKhXoOAArJ4qC
bv0p3wYZOgZyGYU0GdR3fluJJnxD6m7cAVOeww7BN/WehG4U8u3Qxy2zpJGT7JdBkVavUATcQAcR
74wuW5tSP/q/5J3Zep1Itq1f5bwA+wsIIOCWZvVLktVYkm/45Eb00UAQATz9HrjKO53OrKwv61yd
fSrvypYRLCJizn+MMZfwT9Hi0txDUX9gZn4rgriNE3/oi3ft9PS8Ur0mg/arg4DXKPGsdcZkaMyS
CdoH+9U3JU6c7lO0VtOuI6PZRd1sdsMoW/DULriBAi0+Neusdi4PPeyitZaJcjSACh3UXSFG77UJ
LdoAWicN0dM3M9g5g9tN7OQU6Jd68L8NPS0r1Hn+IK8uK+CoQ8e44lhT5XPjxvJsdBl9XrWe09Hr
ozIZ+7hasR838RPqDZ2NgakOEKHYc7OpN2rTcbrvkg78nE7qmijMnIY0+YDxWNC6xLHw9SdQPfxe
OClEZ2ki5fxx6dnnwBlOTu3w3I3FJSwLHD398pUpWCZb50mt1aUXM7sQFKVbO5SNFa9EIkp47WgX
fKWOHu65a/w8iLSbu3SePzvh2Fsg3zgL/UbpM4cy6CVlJKpUDY5IKGbv0hX+vHYlS1oHo4sNStok
aIZDHClgdarGpNPrXVnPt1FMNuPZfGfEHJyKkT9xFe4qvzwoRuakol3e9gXNxNC+DHPbZLD6K2gD
1ZT4zrD3R+fZlS1On4J94guqRBfW1p1tXFSZDGTU9rEx2egHMi1Je7JDH6ZUl/u1GvZsasUBLxOR
Wevq9kAaSBKti2orBusvOTuL2Mh8notPLhtOzSxQ5jgkvEYO4GHYCuDSEAiwh7LnlS4Oovg8jfNz
4Zg9wvWfA412lw9AvKjAAEvnKBlHj+yFAA6mVt/4wfzUdeKJgEgNpXoZKHkcq+kuXqMDX8xOlt6F
lOopWKNPkZRXhtMyjg0cj2i1fe7sO168Qlv6YOESxYDO23ZrZXTxohcn5dLg1YuCdPH6M9fOh37w
ptx36hnlI0ntauEh7J20YP7O79SUz0HxLAswTSAxk/Qd1Mi1NO+VXqck7kH3KZUJLEefp4G8ufg/
yEzA21voG14lvw0omBK7VreEr7kI5NNagDavrZdxb73iPLvV6IlzyEUHGFJOnPBrbQFCubrljnj2
lvnT1AavYM0frK4/BitWSqiDtCHG/+p2U5PpznQN3rTG/6h7LJkev6FvvQ+yL72H77vn/8/HyA/f
v7cRnX99kvw8HvK3o+R3P/zjNIn/C7u461GGzCeAESzuP06TCGNatoGjOBoIw3nyP8cJQr1uGLj4
63ATIkW6Ab9/nieuizmyG80DbgP4goXj77C7X/0bDNP/KC4QopLCdNoQJ9rPp4ka2OTYEJ60le3F
MCZxexUt8In+9NPD+RNit/n4f/MnIduP60C+BS4jrof/fqFlkV4qGBRwHT5U8NIXdeZ61U01omIl
OrpWixoyGdT9P8qcf+n9REjiDxfGJCk82wjOQw+jo365QRYA/tvO6Y+KyTJlfB4yVHX70vY89+Bf
utYGjaJs6d2oyLfeap108N/yzetRKnppl/YV/cq1AbtLClWeKys6GBFNmIW11yee318Dd8TDizPR
N/SgZjHlWHte6pkizlij4oPXDjaZ6jZKi3JejyWyBDfu6th7NgRuWmIy/LFwVr3TzfpUezjWVAdN
DQ0GOyqiYTYuxGPrS+/gx0B8PII/dGBS88R1HJKWaMBC24IUSOhtmkDgZSuK9RA6cqG+8kXjX/bL
r1rMMiUjTGI6Dj+jfl6SSi7BDglybPLELDmlY7gn43KkYo5gVNkAhutgH2+qpO/prnEFhQgUXcQg
+8SvzNEx/l5W7KGzakWJUVx8jVrWFnjWoBRP1iEgUEFztXVYJXNdtrCksPrShUYlLeMfoGKM2Uzq
ez37GqW7fRtL+Rm2WJzAkjm7qXJSHcUTOnd5ar3O7JYOTsyC9LcDgE8yEGjCMNQsF90wcCFKp+gI
eeaEwuFqV7UeVVXRdJpq7yTGYmnRX1fkdkRC5ohwhX+uPFXuQm+Wt0Hte7u1XOrEK+iHWTZHV+ir
4Oa1LYdipyKtYOcM0f2KOg9b1SZeXJ2ZL2564/aJsN6h4j2ej189ezXIxtIolca2uC0bJvJIqofS
F2+8qeo9FDWSQKkvkyLm8OAvtt27nfPFGcMQhqHubapa91JJ+RJWaN/jVWdrIc+EVnddLOdz7UTm
PIWjThcV1PnSkyM+kRKwU7kQH5u8bdVJRdO31VTxPpq693YOo4zz4kNDnC9YLXfMHe6CObxVk+Gp
38RXD63J3jrBWEHWVy/URzwGeGjPJXicv64H1bIAjV4VpSV8lEBbRXCOo7VMZ8bei665Z5Obs1B6
O2vqU9NYlTsWbWO4TCRXY/gak4Ln4RBfxFLvXVcFWRTI7nloqxsmh6ul0KYtf+i1ZOkYW422rHlf
KXI42Kw5OrYwSjvHmXNuYNDtPc/J0cL22VIgXVGYerc2PLzC8K13A/xLSRiX77PpWDoUC8thsA8z
OE5EXoT+Ewush9dIneqy8T8YuP8zrMMK4RRC0IJLuIGpfMH3MtxKV0W47WlPFokXroF4vwDxEgnL
Blr/MG3429hlI/XtjSs3T9s43oQTQyxkHdUDJ3hpe0/234KOr5e+mwJYKiR8YU3FT5qR5rg6LpwQ
GoVSv7QvOhLuy1RZyLR18RG2J9Qx5XKgzfiJxTUqjjAw6eSJDjKwqnalICRdASgSh0wsY6x2kxLI
H28nf3QGU72YSJWJtM30DJWc+AndmGzxHc9GG6ml36HtsvFbJIVeazqenKk9qLX3DmYsqzvsIAV2
qSgcgK3AgseNCmvgYacAJ6bfkTFYts1AEhEl6uv3BWC5hN5fBjreEYpyF2qA3HaMxIkloiNzd6XU
wxqJ6OMUK5KISUHNrMQuMN5rpCgBxVBYin3HznamUwLjyQOOGZHYZVzTvz6dtkPg96fT7w+J7ZT8
yb7M16hsTb+dTqiMxcKSVkyHRa67v18t/T9j9vpRykBz/Olh/iH/+Nvkjz9WQd9/9EcVFCF+HIJ4
AHvALLi1rT+qIHyNATykHlysAYOJ9XdVEIqirRVHRx1TqJk/V0EMnuPtzzBqAxOM/1YVxNgf66AA
mUtEKzGhH4VX/EuZYIelnVG310dbxN1phKCQNC2iSKFDT7VlVRJUvMwDf5V7DstP2leo/aN+rAHp
w+6+UOSh1vUVnsWUOhPawOjIdVgnRUPHMxo5mSlbzamx9Tubg8dp7NxrFPAgt9QPoQmSy8Ri5+ro
/mNZzS8jAfg0cB0gRmTlzhvNiZXhmvXu8B4p+AvcBSJPM/OnxagXDsUC5/N6DRE5g/AS+UkVNivk
SFWlltWfg6F+bMLgwJrW5N4kXnufoqsffTeRi3lyNWtvakvivCTucy3cj6XTXlgbvxW2Bhn20G2T
dhLpMvZv7qj2Lf4Hshy4J8hRaD8Gm9cceSnio8xxwVtREWXEGWDCidmrRfGHaFVEzmPtQeYK1zr3
Flgvbd987Yv46zrULfxxzqUcAZarxtSJs2Brg0Z6My4wE2tR68SrWz9bu3k8t6J76CNsgJH0oRzx
HjEQD4rF6Pq5teOUlBP7olko9tYVD3XtqDygDUuDvjxFUt+Iih2csskLem7GOdoxtzkMY3jsXQPT
rj9fgRfOVQs8URmL1ns4SiUqKEQQAdFgwQQSPvdwmOD8GE6rw+5g3sjnZXkLRvERId37uDJkVwy7
aamu3IWdpY/2UcHYbiEaL0hrYuDh4qMIUSVENUH8bKYQRdG/fhvdAoFEGBBPI12v1WzGe0ERAtpS
q20rT6vVU1o5IU1Jx79MvQlPCEIeGFrh1R32xcLvYYbmiSyhdBQ4+BsHiR6POfsxFicj3EtBwqSd
zLV1tEiQhwM1RfVUFTWEJLJzqMglrT+tGiKVaiNgZ3W20XxUvdfhjV+vC2epqbrcjdDQlmxJmkCe
J+HSrN1Y+VAUt14Mdbux5rMKdc4EGyH1VgdEiBO1tIcWHS9kChf5uvHsreJMPbB4OlVZYPKpG9Ie
7l2kc3mfSgMMIOtXXXcnai2ihbzfo6e9henssWiXEySMfduEOfSVfeRPe5Aq6L7Rw2CbbIx1lVJO
s2IJsmYMv3p0eMaAhH258CKpguC2Xcr7Pmxhyis+mKjwkiicPmCuc5nUjPV5pfRDGDvvlVsgbRl/
aWb/bENzM6xrXivvPTTm7NKBJ/Hs3BYCX8gSyDcT0dxp+VXq+bEJ9CnmkYsQK3tga1Wkaqk/u20f
JPMS7Aei77rGuxZmpOnil3kTNwf4tvdwZn1Cq/NajlBDZvjCEmfWZUoDYpKwg/OvhlYxT9zL4NV7
NlDcR0ffWUlPbRAD+pNjU5VXqOVX2rMPfHBvJ440jhfBhud5fG/8tcsjlO6lC3/gVgNoaHZe6ey9
ofgqGP0MoReLUETXeGLH0jbHknJcFrphUhcz3xb3E8Kgb3SJHyfR0YSprWR39CdHQZ10DcKwZPGW
vVEzqE8B9IN/5V05bXPybAPJARJIypfInqCWQFpY0RA0TQu7hkurREsLu6YI7v2Qw7PPgcOCqYB9
MQabCeCm2MNv6mStTTkuRpr2XMqRwzHGJLyTjoPei0ZHl0OV4tE4IlcLy13lSv8gYoQGSts+xr5g
O6+db9dgPiGgds9KUQOkmXcdudgvyFk2K+CJYV2qzGKyqLESsDRY9jDRqpw2xYlAUkpgTLhBzwQS
SKbLyMc+qUb6sgbdU2mWRA/Lmx7h+yiEvGl62BmKVgW5U6+It04dfH4LjVJHa6wAAxpniP+uBnP0
LcIQIjIT7A/z3hPxU0PsaagsQqjY0TLaD9+siyxDoUv5EDvmhikzZG5hbwJnoUkNeQNiOPZOr0Cq
AjzrYST96yLnMrGD2+yVsGU61LVKDcwCyah0lKoOwiVbArrzuEaT59W7sIg/tQ31dpNc0baF3yZi
c+sphKqriWK3RAOrivlZSjGlAYF8XszFBSUsvIUrvciSvFazYAcEXvnRLj5YW1eWD1AQ83qJi12w
GLGrpZnQDmp0HlFVJtMazinc4djZuL6J5z5fKmVSq2HnLyM4lXkBAmnooK+Lw04lGuFyjC9OA63W
Hzg+qqDURztVcTYsmyNJDLnbOF+rUX7c2o9Wr7tmiqakGVV7C/+l89wqhVjo0sap3ws3XeZYcmw2
4m51bYY65Mb2arq0ph5PirlPsd054JxJrJYqiylJxkEwLEKY7li/W2h/9Y2owQIo6Duyd8Vcr5lc
xnwYqUKhTt791ZTJvHr2DPvUHevLLvEnp9kJRIwP0xwjo4D1DK84VFklFapsWWbtsmZs+OZfB1tl
MEXeheVyo7HAKkLeArcwCYw/Zca8pU2dyr5PprjjBX0b4u5RdOorXEJnPeFznLmAN/i9KztkJ29q
xS+19u7qedgTC87RliVLqVvcxHqU8H7TzzH+LNFr+CRb9FO0ntNwbvfj4GLlk16f5VxndVzDNpkh
m3lglkywvSBxXwzlvgsR7qyWDsS39FN3jl576eYxMv4pn5z3Ja7vqP8h6O6Uhud8qwxgOUdFU4kI
B3v4yFYJ+6SNblsKP1LA1pt6jV7EROtcUA+u77WEBcGfkqion8sJmL2T/nOki4eiL6Jz1Tj3hQfU
G0rnc6lcPKWSR9kqsKPBDn5bjt6b2843oNQ8mfX62HWNSTQcz6nl8Fc4OE9cxNFvgsrB7cHWCcnX
PmnBLnYuwE8Ub/KSijbj20tFp/JJGOjvaxdv9z/WGVEx8O4Co69fV3VKbRtfZsXF2fBpymE8kShZ
hjKJ9HhWnbht+PQQdmRzjAVFria/RUs3oOFDqClrddHiAVVzblkr0Akio4897C5c/TJxQwRPgbiR
81TrfhXLlDtVfy5VdC9VzLLa48g3RVsaFL+Rni8bPFoswbbeY7VU8slZvDPqzV0RDHm88F1jgp0E
+5lnJNtX6V/WaL2xETa/YN51frlTjXuMuH4J0ak2fnwkcXFyXP/LhIVO94HjygYikHtu1pbct3w+
YzuA/8D1TnER3xuCPFg/uLAKBVOTd9EK20ZX9Wk3ilcyiOWugG8iGWQI8UJPDg6a4Vg3SFq1EErC
tuqyMOiPXgw7xgpTTycmkUSCw40OPwlGU+Acq6emTMFAs8UgCFXgKIhQX02Vugc5X2H68R5CjAWg
xvkYB4YmAKV4l8hyVfX8gQ7yiEYcvEOMWKMx/LuIbx9hzhoTMiNj1QKy5zhN9muECQl8FtVdIOqv
ilGYQKr5bjTsvmxsLnwEM3sGmIe/HrAnT2FVN/pEPJvWjt0TpfaRUHdLa3bNDGOClNFZRqjrGFZr
HEGuKqvudUUoJVHdvOt9eHYZME6yYkJDQspmOEd2Sp1ZwALQxs/cj3WGuUI4NhGJSm1gTt1LhXRJ
hFMyRjiiR5I91ZNQO4FOwsJxh2OlQx3Y0c8hPPTJ4gR9UpMoL2XzWFbLG9J7l7bVu7FsEGCnj8ts
H2NVZ5HjXLnu72jlH5YguFF+DWd9eJz96hP8JEfTR5iZIu0O67HZvDlZSVZYx6A5MuBSXzenxe0d
aCvMZrzGUvhf3Hn/Iy7112335a3/P1jk5Y+JUL+5href+63nhjPVi2D/pZHPtmD+Tz03NOQt/Y+2
F3/6s/KwTcfBAGU4hLe4FfTn35QHoPttXkPoY2bAFs76EZH9pwLwV8OG0Pn/Ql3gG0Z6GOIGJiFt
38uxaQY/UZcB+vrcjV59VBEsqyzwPhRD+E1uFrNGyCDTcM4cbNC0aePV5a0Z0OLNXfMYjVOQ+mX0
CtuihgNe4kSNS8hmMLUB+Yq816H+7Np2zJtmnc5BEcLxB4U1Hf1SPElVLEltRu8cdh003d5pE3xJ
Kdx0IbINqdNhUsQa0HRkdD9z3Z7xJZo3KCH8bNhMeXPsZsPkZfV3u95m3NMtuwkkwqedGnFGfHf4
ya6+GTfbXwc19AkhsAQqC6YbUQ5LVmxEUsAeVpkNfnfhg4GT0N8shQK+PyjT+gn2wNdlsx0WK3YL
+BARcy0zjND5FNT4x+CjbODPwhJF6OHLgukRCRzMqOzm0suazea4bIbHeZqWrMYYGlSB3pc1aslu
VuhuHFvA00pUdQKRRiotKLGEVf9CDPazafNXitV/azfHpQ/rZbN5MBeUMXNLPxNbRBlbZ/yuMEy2
9TDmgaDRJXZ7CVucdw8z2UsxjzcSNk9UWpDeayj2G36E/IozLvDDe6Ldc9GoRzjHYaKyPZClC3hp
LGp/wXySBhva9NjYpT2SdSkdeoN6Yvzke2I5wMx45+vyuUBiAzWn575gftBLsQFUYyJ4DOKoOWpP
8tNcaj/hG3INN/jKNwwrvgNZ6qsHtkFaxKluvA3b6g3gkmUps1D0gMojeXBar0pHC8qzgv+qDQT7
Qt1qkGHaImkFD96OwWiYQ+GvMrtB5GWZ/A8OuDKdXADmhj1VSyRyssFnpwsQYd2ANAOZBicq4B4I
9Y7yObxahWobd7aPN6Q9IeyRNyZusrnsF0zfcqAdebXYA6ANGQEXHyXRCd9QuUvkw4wONgJDH8HS
4w2qexte94NmH6DgnQ1Mn/XKcpd1+YSJCKELyl3OgPPGcRXU7ubkLNbbYZ5S3ovuPnaLd9YE8cUo
e19OHORp8C5zy8oM3UXiAWhkA5nu5oDfMwUG46PemTxN0XPoNY04zjsymy0fqT+JZiFJhce04yF/
9Ol44U39FM/BNg8KJbtC30QnuY/hDZg5fKFRjfAYj29GMToYnVB8JTTCvBAfabUoRE+/sMJP+znm
aeu3IfzIUxYPjruPW5iPIZM9ztOyLybIFmHZ9BlF+I0ofl+r8LjE5t5w7xs6T45NIHgHcbuhM0Wj
HNxRgbvwenYbbkydFeudI5tTqOAA6Llwc1vD+ovoAWqLKthXpfo6wYCX+GXQHijvb5bYu5sJHjAa
maWE8O/Pp9ptYQsfxGdn0jfcC9/ncRMQPGR3qt59i3lVoPNZd4F177sJqxf5m93MoN0VBpnzVpud
8ce7wajPnvIenKWhiXWL26KIzz4MwxrVGJz42DpoeMILg/CDf+sGxe3EvKMYQJpCV/a5JgzpgemF
EguntJCvAY3XBD7+4CgcjpWGvnLhMfyOFZ5huUi5w1byQaLGVRhikyhZfySxeab4NKYKthdki76I
IWzTYgYThVR4CRsknSq/Pkx96+0wnCrGFmHeh0Xwva3XS0yw0Voh3mdeFrvWLwkgmIfRABiRkfEy
Mikp2ICenn2BL+6TM0793psnIErtfxR1sFtxhKSRY28XppcUg2sO/RwiNVhMZ8H9d1LrvSvtTaR1
5gkshUqeS12PsHEgOUCmLy0pdBqT4PPqxYdWoIJvnd28tKiiwhgozDVfkCnY2UFDG4Tb6A7dZ5zN
dUX3gxk+hRvh8GZYkIeBPTLAjxUQRDFUTdXGRaqNkICXQn5kx9WEV7kxFA6Y0hP21QVcka7M3I22
2MYcY+CX1dHgaBuRcYFmzMZoBGBN0wUf/A3eyOIiNpgDqDMD7mhAngmwx13l87LRn8UpUrbxIIz5
MMkKm+2WR4XD3ixwtgMg1RXstqPYm6U+oD3Aq4m5NT2QE1/N3QIE5W0sSgJKUdD2VAJTzQuocA1w
pTaApbvrBKA1cf4WA3BVJL4lG/GqI32u7fqOUVu5ARJrgcbqin2pgcoCIDPdDQ+q8nrogThvImY/
TBtfK7BNFVW/bwDeXI/dOjNq+0IH+wnHQw1E1y9h5gHZRcWMkXKkRnLBASywGansHv35vgPsq70R
a305cbU+csDAtuz2cLEB1y7NiQMXKmBDv4bTFyfygk5iTiE4Muzs3kYaXSDHHuhxnUnWbCxSFOPR
sxzLHqSyjkAmgC7djWEqwEx0hQiCbnyzBuj0Jor9D+gTuZscWjZ84fNVbmzU1/ZYVOP2GHIc6DjI
gFHBRnMJrFqVFSI8AK10LbJmI68NEKynWAJyehmAZqe52KMNAKt163ex0Vsh0I9OrrxfAHadnmEu
RX3QG/FdgX47CYO1U0vkyYGFAakx6Q2g2IVOeE+K+Wo8g97CIFcCwePbsvFlYuJtUMRGnQvg54EP
MWININKkwcBDmOz2iGbcwth9mbpdNQiyQ4r/PgTUXgC3GSA3AewuOn3iG/0mVfzcA4ejoalTtRFy
YtSxW6bbTgAeQzU4Bw5u0oLMjcDrfKgPxqpoF9MzhijllgSHGDgeqsUp3Pg8Egkqn4Hsp43dlzC7
Y6wDJvv4QY4xKDwLPPjj4o35TxVAFZy7D2TTA+imDFRxMQJjgngVtrkpV9QPXYeTWzg4YlaIC2RT
GbC7fwX4+joZRGPppkTACN+lkq/kXI4TvHk6eO0m5xvVc242KUNsokYDdcNuMkcDvWPYhA8gEvxr
0EJWaCIRVAogesgkziaYRFBOLOkvFZQUUfrPzSateJvIgtt9wiQ0aPSbAFM43atpkeow2oftvn7E
BJPPyzZuqtzkmwFmU+AkSDqTnq/QyEQyQ+1p0avNzkQQ0ZZVzqEIwV20Zi40oqhWcsdkLBPEhLEj
QUka2vZjD6/JVUJjsnYJc9g6g3xSjCBCTB8H6nxTZWxTfxOpnE2uYgArCXxMx7Wy+eCrtIGyVXTL
A2LF3X0roYL3KzdJw1rERdxtQxorwOtNJuu+C2ZQziKEqRIxut1JbO3csjV269bi2bg6OeFyqxp8
Xi2lcaaIobnvNncTcslJHfZ3chtH4BaRf8V4k0cH2TVQYgzk89vO4q/jEQ8af8NXLLybIuReJ88J
03KAhVEJHn7oTPNA3Ao1D2952hhXp3Rhdq8NUgwrTPH4ZYVJyDRDG/jK0GedG8wCQ2bDkr0u6UcD
cy2OWfcmdoV3rqr1BlPapiOy6ZhPwPkXhnEsSAAjtwQJ/GG28UdoS6jcF9wqZjUUmW3IhXbizpD4
OjP+ceEYpAocs2arhpJTdSTYdUYfBTxGKZ080Pj+fgyYRJbahes2Hr/MAwwUGBbVpHPTtYeBFceK
LTKjDqAehU9k3Jz6q0Z7jrmm5X6Im2dBogNssQ/wVfCENeVb6dHyWBMepMQH1ChXWp7iwF7YEN3M
kVyzhiBBYkXMj4HGPExXeU/1imGQvglg2QQimaPpwXNgxnDNtYfFJFyQp/Fo/cWH0peQAgMtGMZr
aYbQeENdOITbjxUsRJ0avKSf6xs3XmOAic0Z4zXYJuvwbizbclc5dBfxWWUFhozWcgDLyIOxO0sk
6nr7OejGPiUL3jNIyt+KYZ3x8TsYIsebZyKKZ+CzcF/Xbr2r2+U4BXW7r92wO7QOZu5ALcPIUAR2
4nKL7mwhHqxl/2OwBXvcLeKjtrDPrAb5BeH16gjgShKGTJAHY3RWbjEhzx12FXJDiHPGyaLtS4W4
QRJ9DxcFIpssxl0k5Hv2SG8xJIo8UvU9mISEkoPxEggaGYswDOJLcgsyiS3SFJjuddxCTi7STuUW
e6K617DQYFNut1BUXMmv5RaT0shLmbUeD3qLULEtTMWQquo8rbIeOatFgghJJK+GfpL53+cl/yuH
1zDgjH9t6vz5m1R/szP8k8fgJ39wlQCjmoHosMiAUkExfuMq9L+2eW/bSEuKH9sG2/xIY5P/CnwS
4Cv5YD6AGZT85mWAPxRsJtiMB/BzuhTznf8GV/kDVcGUv81nCmsExjoiz/97qtL1DWyJIQaWBmX7
CcbHHZu6808P5U/MnJsZ4me7zDZIENyI4HcGIcT8yN9fYhxIi+WmzKHY8t4Thk7AIpA7AbDDf3Ih
TLZ2owhP+tdkeQcx38OWbQ71sDxCvNhJy+4lYM9/ch18koh1UIZAET7qn0mUYxpAJGCBA3yaFscy
3y/tGqIUoV//+ob+9MMJSbB9lT0+oe+Zpp+Q1zS3GDythTlA9s4VaZ4wJOfhry/x/QP+w6eDYdoe
UiIU79Qvn47UkfWQeTYHDE25U8H45HsLbJ/rF0IREhlq9k343tvs9phLgcg5aK/c//Wv8KuZBu/H
9jVRHgNJxHelbAjx58dJWqjIxcSmA5yMEODFae4xdIY/dMvh/+5CvxBE6PlIJcCLe7A+TiY2lVfL
oiOU8zDBsJt/7In/0kv8J289hqN7DHNqMdwVxuzf3xXDHE3pTd50oDBMCnLqaJBydfkP7gjDDSCb
wnaLZ/f7izjtKr2WU4R8cUNzf3GbKvNGEISZpH99pT+/nf+5Ev1lNiVtBunbOZ4weR2e6KGfXzBJ
FTFo1f2bxNtm7f7lfcRzA+l1XeIH+LbY398ShiQtQyUs3vkWac3JySWcmh1y4H7bpwH/h8fu731K
+NIreM8YFvNmGfv53Yv7oo8mOZmDM8U3Xll2aeVPL8STT3/9+P70rn66zrYGflrJDL2pUFWLbRbT
e2P9HNhtSgBJfN8cw/7fvOd/+llhKDXc816IQu2XV6+BIaDjk8FNBeomtu4LrC05Z8PdX9/THy/D
MI7Nj7dt0Mdctl+enR1mKUPaG8zIn7LZeZkwGkaq4N+8eNui/P37wKAeENj2gu8Rhl92hxWGPxt5
WLR8GzNPutxxi8QPL0XYQb4cT/V/s3cmy3EbbRZ9lT96DwemxLDoTRVq4jyIg7hBUKKEeUzMT98H
cvs3q1jNCrmX3Qs7wiGLSQCJROb33Xtuev35ZX18VPsDzovyu0cFdsesqoivSBV15np0W2ywdfwd
DBsGak25bma/8edDflznZzMgeQ5UJl04KwfXWDhSAxYHuynSJzbJNepqP7JOfLU+DsJPpsEDZ9T5
BXHev67Uz7KhUucbWdjfC7NbapLz7ucX8nEpn8dwHb4nZALi4dgfw5x0JZZR2G1jDRlCc6sn38ow
uizZ7P/vBjpYyqfApNvR5d22Nr4jn1qkcbV0xvvCeP18nI9znLmnzQkXOm3cD3sXKxbS5WjKTcuo
j6qcAlMRPHUQNv/JOOzrDKC8Mxln/8aBeHZb01egd1m6p7UhnugN8ocTq92Rx8PV/D3KwSrEGcjV
JRaFrcohWHNfqsigcW2uApgK/+B6ZpwQ6cWaY1sHM7o2XEIMSnYucSGnRZHHD7UqXtO6XX0+zseX
lefDILQf0QnjFNq/b01q+JMfswZ141Vt/bSocuIgpf58HSj6b+9jXdMWFhMcG7ZgvP2xULAUhRCj
3AYaqiMUnYJ/JddK4Pu/Pxvodc6AXFNjzv1yKb1bgkTaJF3XpxLye/qdC3nC3/Oz0Z1vn9+8IyvC
+2F+8bPfDTNNGYpNM5TboStB5yFbw3opTmG4j7xCe6McPKJkAL4+ZhxMVcHuMaEBZZVeX0+bzy/m
yNye+8N89TgRmZyN9p9OoeJ7nTSGKbUkoThg0HJ0xVVgm7elrZ6YdvO+av+j5O4NdvAijQoCLRTI
9RaAxbLHeFCZyTYIX2NZb6o2XwE4aoJT8QpHr9Bmm6zrGPq0Q1OcNgoXD6wht4lI5CKIKLulWM4m
NT6P9VI/MQdPjXawwraWqsRInXhs1VtYUcORX/FAewF9ms8f3NH5QbufwyebPmsGVr//3hosFF0V
S7kVqHSy2tgp4EgNwzixKeJ4duyh/T2QdrCF5a3Gzoeaemv1frqgp6oggAqDfDF11FwKZViqIHaW
MdIwEHxxi/Yt+ulq4448ite8hogKuGljhNZP9N2Y4aAjA1GV176IH/IIMfmolLAiii91AslPhtUF
BvvvoYHeMCp8/F/SKlewz950M9bXelQVlGsxc/v+DDZ15ZVtSlzQoSXXpZVQ5EK5itGu5vRngTeU
lgkeLn+IBw6cbd+2575dXraqfu6q9UPaw39s/OANYClCJCSajUCs1I+03n1DW+tt+RrqjeOVQVUC
ZqLc7PoIIelpuW1+YyU6aTNmmFAmBE5lhndZCTmqG6ynILVLT0DvWnQidM4Kpbins02FUJuac2vC
tZD2Q7OqY6gwiaxe9EF2sFa6ldGq5naC+w4nBgqlnYYPsmnUBZN7grUdrTGZBit+ionCMHFeLDsm
vCfItWXql/3G0P1w0SdUGadY/6GU2k8bzcBySAd90bJeQd2+te0RYUNBd7StDU4KdYW2sf0pmuqb
G44rfxjREYkMF1DW3sCy2gF5vJG5/dAp2bbtg7UQWKJGH1rMuLKMnDaYOWpnaiXbh8FW6t04zQ7K
0o3uINIaPwEw1rDFojT1Aiu1lfPaCfEYodVtpCvju6SN7TP0eW7nBYhHYDMVNo9cB0gWl8ZcqGx0
wxskelQn6DDIU4tblFIx7iaphjv84OYlcRNdvZKKWBba+KM3Evd6LDN/FTiNbl2jlL00lH4yHzGd
qddGX4JcUaLuQtLNMpYYMZ2LcLLsH22tRbsEmyNaMJSWELCkZ3IEX46+mGmZnVU+qdTTs4Wvw2rU
rNG4TUtooKrZkesRWRCKCvrWVkyVvZwq5zUywvgsbEtrF7eDtvF9U11ljjTwQ6Z+twgTcxuAXIYr
lrjIHIe4vIORUmzEWDtwQIcLI0jCVZP3F8qoegmYBm8EULkcFfe+yGtnMcXdRkzFTz8zUV/aCeLg
jiYwvfEvBtzWZRfhHEh1L0DQnAjtOqF8Co0Sh8wN1ZjkOalp+NhhfD5BPVgFaZ9hkW3PXCgWXjx2
A6FTYbXq0Amc2X2Yv9ma/Foa7b1A8dnwPyO5mW5Rrp5VBa1tzfe30nIfktzZ4nO8KfQOEh7MB8G0
T3p629FXVuK1XlOvdq233FZfciMiu8u/y0Rfrnq3/xLN/9Ho47pWJMzSulpPo/aiA9UTfQUBtrnN
FAvuMWdTqsfKZkL1I5pBW7KOZYugc6CVae09bprnQCvBME2XiUOfJkzpI6uhDDzax/JOgpFeSCE5
NbdBctfCBTinO4J2D1H5ve4ODnFC1mh7gyXFWSBSy4dp2xk3lQzD56qk6j9kOQStKjd6toTNdFYp
erDt1ZIUEFPTLo1wfICguKqy/oeisyCUabBWQrjWVA/P1cA8A1KwiVXp3HSac0718gpQCMtg2XQA
8IanECvzGfy5L0VF3SWzIYmQtXUzWk7jxWk2rCZVKW/NYewJPRIc9lZjQueJYLvpnuqH9Ca7MNY9
pjHiOiQw56lKnvKqEJsmrzsBHb8Lki20e+OxaSuCtSjZXw4xEIuBDBIQa717PnVoSRddrYxYulUB
/V2vBJvtug6cra9p5VUSTU9TFIpzUPHYOfA0Ymjyi/o+bhPd+vr5l+/j0ZZdxLsP0sHOyM+LllSD
TgLwGF+MfhLLxCpfE59VzpLqHTEpyTJSwWB9PuyvlLwPuxcOmmyXKW5hidv/4nY9TXbHSQHk5u7t
iJ2oB1cyWxdQELeAwbRh8iLFpauXGVdTCrfJ0Hej8YgVDLVlskv1ZD3l6TpI+lsi4Be+H21Ehxg8
Rww+EBcmze/upLyQegd3cSARwb2th+zF8Kkyjqg6u3QVKo7XqxViW4G9KL/pjABICB6tzrgYm9cY
ClU3mzBAtbTYqBfAGXfgoFegZDHWJ9UamNqJTd3RHc+723Kw4+l6Pyc6wK+3bTIszMHYQk33JkzX
wg1PbK6O73n+fgIHex7If4KcFyG3XRa89YG263P5XcO8e+JRH93yUHsHeMUpyTjcFA9saMJqYss4
C5ctXtsu+op6a+ECZ2nK6cRoR6/q3WgHu2If9UBHZpvc1uWtmz5k+YV0TlUYjp5Z3o1xMHfdbKzN
PjPZ5lvOqgM33OvOiZ3i0XnwboiDeeBXVjTyoZRbKAT+wulAeXfqNGdSqMuyhbJz4nU8ti3lzE8G
Nfmu1mE3oY39zuh9Di6+CJ9VVCFGrWw+H+LIg7HoMs1iXGHMTaX9F5410SHNhAeTkELS0MkmEwWI
0+eDHHkye4Po+4NkreZnhqLOq1nn9cGIDdA/8YaeGuKgqhA0SKLyiTNJaFeX2D29IKhORH+eulXz
r/DuTNyR0GUlDUMUfiHoUKs47Xpr4aanXpaD+DcwLvQVVNUgVUflTIc/aX+k2G3n/kHL6Tvp5CIX
w7gM/aC9DwVgfgDeIp0QfrjKtRmOGgDP1hPToGyxx76YTnVWhDggrd7ZKY2urcw03FE2/1akaoHS
pSYMDsnSP3nA//6FxcH5SY842+hVI7eIlL1StA9ubZ3oZxy/+38PcTBRXVHieKwGuZ3SrFiaTXGl
h8O2b93wRH3qyML4/uaLg8lawUNJrIZDZ8lRsKsJsFDLRd+4iy6LvIE8xs9v3dHrmg3rczXHYfHY
f9Yq2gszUhOa85XrOZEFUyy8Niv9+fNh5ilz8GGHq6vPfQyV1eQwZEvtyxS9t1Vv/ab4GsnXTBG7
mjxSxbGxBV1qRuqpU3Li2o4sl+8HdQ+mBXKErLck16ZkL5M5275L505xSojGzYmhjt5G2tWmTcML
Fvn85+9ezrarCtlUlF1au68XSoCGT0vjN8JAfn5+I+cl/vBGIiic18pZYE6LfW+g2E9IEB3VfJuo
yhWLzHOVmljFOhMUN1hRmSfPwCqdExlpvyoQh8P+mXvoEPhMMWt/WN2qq6RWWKdRzV/oeh0t9Ma8
dWMTr7Mx7Fyrv8w5dAZ6cT9YgE0+v+gjd5dIrZl7BOgMY/PB6loTZagWbZnThbAeKr9YIi26rgy5
+3yYD/MF9Dw8RAvdAwvcBxh72AQauCNKtjpEIQd6mxN8xzuY5L9dWGIgKPNi7sBSwz98iEU3VK7U
YnoEVFq0ABhNrS4a9+3zy/lw1+ZR6PIyI3XQ+odV4cxHej81tFVEXXlgiS40XHn49rzPhzl212BX
kOkNh5du0cHDUck+qdQczYELzYC0Wyh5Tn3WB766NLL2HzwiFiq+TGxIXELG9+fhEBGI4xZU71O4
ddoItULcdvJ7iBHl86s6evPwBpFWQCadeqg+UUsrhO/utFu/5/AhY+XFLXUXYZ1UTty/+bu992rx
mMhoMlSiw0FiHi4dmNUrI5z718YsCjRC9UnpxG9XaOdBZlwZk5vE4MOef4//VVgFlwPOdlWy951w
+FoIsNLoxAJ17Ma9H0nff0Kareuo/i36RQ2kLHogbBAabSYsrj5/Qtr8rD/cOKYCyyFBgHRb90fy
fQy7Q6x10KpMe5G3oYL6euRklqv6sqiKG5qwWE0tC4Wnal91XXgZK6RNiWo0KIxRV/v8F/qwNP+6
x//+fQ6FCFYA+SHDJovkwcUwg72l4W4s1bK47lwS4SvbOUtVvuafD3vk/WMhQcOlQ6WB6To/kHef
niZTp9DC6MtichuSo5DYu6HQITN+/9+NM/8e78Zx7X7s8oBGoDvcVPFT2v+wW2Lf7RPb3A/7Hx3p
mEqBlUYWoq/DDYkbxFaCx4Bh3PpbOol70k/PpqK8yBVyDtvyxL7uyNu3N9zBdC3BhOVOOSuzMn8x
+j8c++3z23ZkVjAAqz1iKZRs7sEslZHtU1k32m1tYspXHNI1Brsqtn5iLMvReMqduISQ18Yn9sTH
psXf4xKTuf+4OphtPcUrjgvNo9MmSEQdd6HEybiUQAs/v8ajN5HwYoR0NDfose+PRXa6wAPfc4pT
wYrG+NZlE1vLzwf5cyU8eOGFhqIIRRg3VD9sRbt48CocTbxgPu1uRxnvsyHbRg2bn6J0d2kvVQK+
oftjZiL2Jz4rTdLMMzsdF7kWZcu21FD1NxGgQUNZNDmbTjOfoHkVLYFGinNNvzZa+Tgx1rVBH9qP
wepn7ggTLe5eCivLN7KOp5VF8VwHpDQ8Udw1V7WIc4T3Mlo16ZjfgjsoPA6xvqc1I+3fxo6u/CpK
vidJMHiJHxJHErao5nIzoouQzkEoRnqhW+IuhxyJ869b9yMFqLbsrTO71l5ahWAY1MDhrk0q8cgm
qF7DPlPXqq2Z+Paks8KvXO586uBemeqKBzZgKUO3wjwBQ84lPsBT4Scg4ADGs+ghksH2oIybRxlO
noFgmaJB5j7Cv/DHsQJRjDchIfVlWdji3jdtH1hHXa7UMVGvLKvgSCcDKm0VdoVwOKP4+0qfQvfI
NSAOMDdfWYhxJNqqsXSl9M8IourvnSxrCFM2nLOgS12ICHJ4iHOyxXZQUnAYhVO8K1tRLGnr0AVj
o+uRw7PtsaNDbBhnHk77ZKTTfZthDuhluMCZmS3dyIpWBMBEyx44Afrr1yHU9PXnk+/oqsSWkG2U
/guCvT/DnU516phL2aa1cp2AAF2aCqRNFxBylH4noPsEZlQ/8nFDRMunGv3jfBQ/WDamzHRrjaL3
thOK5aWgQbAgDpAEVTjMSn+nT7VcAsi6G1p/p5jEeUxk18qW7hO+TUGBaFlWOI4j2WnXuWv/TNmL
9SHxi9lkw6RLY6qpsfpgyurH57dq5pwdfJehGLKIz2obuqaHRdw4zmA+qjmvaekmmLTELCDnFwMO
ma46lz5b0Zkv5ijv6blj9XXTW0sQa4B39b+znf8vY30Bu80M2HfP5APK7kv0I//XJnrdd9X/+y/+
Jf62yCE1MdXzTVL53LKo/2WqF3/MymjBQY+gZOzze+JvkkQ5U6DW2o9j1tQ/+M34WeiOER7zz++I
vzX3yHcTGTNSaZoBHP6cg8JEoyNckIlpbkvV2VE+eNXC5jUak/IuNe3EywYIPJ3wEzqbevBgGk3i
NXJQYe4QBxNNXU5+Us16ryRf3Yoe7So3DNIxMxsRqkkr6rHBuEjLpTQnr4orQxBQ0Mu7dCTiEKC+
9GirgK7AlL2c2jr/4hvojBFvTDStk2n2YjrXmW66Hi7ZYulqVnhV+whqtcy/bXtMGAJ1FkFSRnZh
ucMT5zAy8EJ9O4Udpdum3mUtpHRhp49FF68DM4cY04t0Jy1SWaKCaHfcFY91GAIsIQYswwiZtwYA
N9byJIg3rVIUm1IJ7ya9+hKZ8ReF9KdARy8wuDjYMLHCQB22giaKkZIMz+VvIH2SskOYY0a30R+n
76Gf6Atr0Kx5P1yv2dtej0WtLNveP2dfYiwrR39tXP8yToKrySbqObXHZ0yiklRU9SzW8NuPUUoi
jJkswzlbSgTdmQ8Tg/WxfwGks8t8k6jojsgmwp39ReEQ92VPFlia/gpn57MpOInADXwJBxVjk4IV
qzTJRQlDEkdD4zYHEUvMEd1hs2tXbp/HS0FDdzFmCV3HDAp9LzBIt35Sr0yrXlVDuJ2GJgb/Hp7L
/AwjF1m2itwAzz8H7gvWRZ2AaYGnWXStSt1JVeNi0cjRNpH+m+kDMUu0VwZJ21kGQ38Rqo0b3sNT
yeB5VW4d300+NGZUzTBTSRgM1qmTXnUisu5EjVfQ7KPLyaZ5WOm94rW+vrEnF2dsAZEkUEzjtmuD
eq1odfTYBaRXU3Yov1lKJnaY/tuvWj60m1TRNXB+eMR9LNqL+FccthxrkME9aF9gI3WwU4TtXAW5
vx1kvvIhB+IC1btnaYu6XpS2rlzYudBunUyNa8oMREyObnqDuIouV9vhS82YQ1uYC2S2tSP/DfwB
k24QlF97O0+fC7hUU+E0Z37o9IVXK/B++KCIcKUKfMkKIUpkSabDS5yWmMPZsmFH0+I/N5f/l9fw
P404s4D8f7bwzFCUf129Rh/BKPPf+2sNt/9glYYvgtj5v5fjv9ZwVvdftSXkWJTM5tX9LwOP9ocg
f4m9BbYattM6J4e/wCh4e+j0sMuBtDKXp35rDf9TVLu3YUf5SAA21BZQF4Z7qGsi+kOALm7sbdkM
uucD2oW+QIxtlnoAhzFx9/W6nDIPrsmttDAJlKW6GRpJoC5pfPVk8oZT7sS0Nn4JUrf3oFOYG2Lc
ok3WZspG9JgK8Tk/TKKtaInnFgQewvpw8hMq3IgJnII1elRuCjBS5MQNpnnpZoG5gV5Gc70N8SVY
N0UNFj0LrgMxwdeq0aWYwQW+eOJ+Pf8OFcd9B5gIDGM1rgpVw/88jStUNVDq7PpLZIMwqTlYeYmC
BTGiTwC83G7WljZcc8Z4LqP4xg3be9yzNl7j+Fwfu/u2wnRYhOllZWebqXLRWIzYMrNYIT1DI1JJ
e2gM/znCvbXNU/VyrIeroiYtFsnOW4QcdEXDY040mxeQUv2hqcVOa+mM20a2zjK/3MBmPkPI34Am
Q/uXFqTZphBUcNez+y/sYNkiRUgN+Ia+Q16ZyJdDAS5zdHYWKSkLrQwfm2GA96JxxclA4pPVxvm6
cNTnQpTrCOxkJsm0yIAAdva1GoNEpWy3nLnxi4FjTdzDtdIrsp6cfo0kqVgmLqGBTkWck28+Epv9
EtvNZUCWRZGaXyeD0mFVUMHwwwm0ZXStNip1nTnepDJRju2M1pqgzys1dkz1e1BU3xJFueZyuBkJ
dJdMr7ze1PqNTpQyuLAhAQU5EXNFjIaZaqRPOT3FViYlgc2xBWHCXiWEVXWpwRlkzq+aw+de3Ehk
X7o53cr4FXRVONVbaZF9VdXB2p/TsEKtCRaxUnpomDhjLmN7082xWUNLgFY/R2k1hhghXHb5dpqD
tuqGyC2s2aHnzCb8UHcajD3p4zDlS3eO6lIBIPhkdyHL2LVzmFczx3pVbnhVzEFfE4lfrhu0i9rA
yR047YtjVTeT0MCI9egYsG3jJQ/Kt1yv+2XXcTaKdILFpjy/BYO7KxsQLbrbXfRiXMcSSloxx5KN
Vu+VOb4PnOabwjSqZUaGWVWaldcOxJrJOeDMJ+lMzJFn4xx+FlvZAwwK9G2QW33y0UanipeNGd+l
c3RaOhg6ypjoq++EdwR7tYucnDUidjB/Rl+qmD1BgCGorNqzao5mK2p0f2S15SQvLHPN9TJqZ0rC
+63InV2UXom3WFPOpKb+cOa4tzB2toOmRV43R8FV/Yj1wpBvfdezR3GCZVUW00LO+XEkT4D2H3OS
VXgtldAGhTeFP6qofRJW8Fba9cogjq4hlk5PtXUf1M8dh13FIGhozq+zLfUhJNDOnKwfqaZ+y/Pp
xibwrqubndGDmyxgta6DTr33e9hDNGu+DSYWfMorCifp7lkdwKGAYorXvOu7CCP7up69vhqmX/KV
n8TsAm5DvNs2xmAV1zczBq9wm3+pW0m4cnqeEyfaEk7ozvbiYPYZV1D+2WncUN4gtX42Iw9j5Z7n
+JNLNec4imM5KqLHKO+fKKCvu1RD0AZcQcwuZz8KIFvoLkFL6UIH2wq3vL13IS30dG6B2rKUDZP5
oBVcaC/TYpfMtmqMfpNn4bQu+xENH9ZrDgJQJ2c7djgbszstelVJXV5YeLaLEHkaHu5QTMGGd9hZ
NbPBG64LUEnFudH0Boo0LnB3ABOL1CpeurlerRBPfefk066b2T7u4iOPJdv22VguArmLZqu5MQdh
qrP9fNTTfjHiSIdJcGniUA8aoBS25sMnxLyuhbCDtdR+jG0f8kOAwX3eg4543lH1qdZ5kCckIwwt
Qgp/6N9EQOqj8KPKEwXKHtEA+wtk9S3Vqm4R5LNA3BQXoLke4hStYUeQLVZqdpw9opzknIr3UsOL
kymQDKziW4cC0ahdSXq5fZmCI4WSD2jC4VNotTfqpCMgTbOrcBCv0IIomYwtvG2balOzUmKMFmVp
EPqrraniLKKovxYBERpp90238xe3zvslEMYfkz394Ih0hwHgSkWPuTCRXA7BcFP4sy9b2fistQbL
Bbt/oGEVgM0sHX50aXevm4QT6e1V444rE80CeNytD/xmArABL9T/GWTZuq6cq8ipdlDU1uEAs7Tr
HpPefxqtdif9/kzY8nIwumGR1rC/a+c119q7uJFfazW6iszxpa61szjQ7illPVshDvtaOruorPoF
PQ9OBd2ui63LIvZvDZ32r2y685DwU3J/7jquaazT3QjusDFs8FXQ8kfNfOi1ln1AeUZ5a9sEUBHy
cmMZxjV5YR5wrJsxAKTi5KsJCqJ0k3MZuKvJZEecNe7W1/VVExurESQsJ7TpKbOjXaCZfPezO1dW
r4preoz01Q90f6mlwdbN8m2hucAEwh3UXg//51mQTwL+l8MHMvAM6V9RlkSRqbx1oMb4MAzrSLZe
PYIUF3LdzcDPSllNTXTVWxU/OrnhC+BVitgM0XgXq9m5jkvE9401UKy1FsU/yZzIFko6bijlXytu
fit8/SLw9YRfGsSi35HwEUFUDUJ1AYWIGNZI3iYgULwwL+bSYY4ucPyBf7Da4iC9TwBqeGkuyzV4
M9ClJLJ5+KsfWYwvSexkJTVjEpULQjuq/iUvNcnaJ6l0Jl5VmT9TMlAWRsseIC9CA7ttNC1ZAi6s
UA2XKusRERU0eXKHLwQnXsuTpX3tu222RpBsLsjWGFY+oPOV3aJoIKmjWetuAnaLL/BAg+e6M9p+
G5r0XctSc1Dnts2iNQr3wuVlKuL6LjJ0a+OOsb0qo5RNTI3kyYy0FnojyHkVWFrdmxC5gWBpPeuP
07SXQ9tsFdzcaNgdB2Jouh5zqMF1X4+s7uC5E3C4kvLZgLzNSQzQmJS4UcPTtQn0YSXo3PDTOGyh
8qsRf+cDMljrKjbFXR3DnNEnJNYJgTLk7pT3fjSIhVV1htfVrCVZ8cMuqq/AGySQyAiODEe2ph6/
9VndbdTJ8Mnllfaq0ETwVWXn9EQJVV13JU+T0C7ie02IOa60cAVkT5VWBltiuy6jMXiLyu5rMUTx
RVoKqFtpEtL5sa5doSibuuzekoLjuJbTh/drf86/GakrD5EfvBA6QwZIa7MBcMZ4zSFhDtYd6iet
VuOzxkjrO9OhtJv3cXFVDg21kolwINMysqVVQWPVGyrG0iGatczjS/AtsE/cjD1FjbVFpY7u5ob7
XAoHGLmf346BxUtfE7UiXAyYxHgDGfcJx3HC/CYwxoJuHMk4vw5K/39itDnF/c8nxvPwNQ//tS1e
Px4Z57/415HR/QP7oybQA9BIB4H5d9nP+YOeOr5mR/szFvLvI6P+B5E0/OF8JMQz59Jj/OvIqP2B
D49K9dz6oVJNNfg3mA9zr/L9gZF+BelitgsngaMplImDMntfggNjUu1MkMg0kgGYdKuI8Nh39+Xm
zx/4r7zNbkg/auR//seHEvU8jsPZE28/VywOO0mO2zlkefuMM824Equ9062AkFvHWJr1sNEasCj+
Y1J/qcb+fNTjO3KwohMtBW70h2t9/zvMf/6unxrUdlOgn2t3U4+1IiI1SsEhCyJpArvY5ie6Zzzw
j6Ph4p2DWqEZHGo5tRiwlg/3aGeM6f0U9+updplI/55tR+7q0SHAQSAis5hih/74OmjtDNZzu4PY
uPP1/JZF48vnQxybH3REUJqAyEMwOv/5u3tWtEGn5GbT7kSr3KpI7+mF3Rf4eH57GFSPqB/RqlHo
PtQbRTU1iHHq2l1hjxtVIzK00zZRop0Y5uMNo2c/U2gJ0XURtBxcjYxDsMMKV5PqhGLmtn6Oo+n7
714KY9BJMlHUzwqTuc/07o6lvu1Wvlq2O318kTrVTgODhHXiQj5O5f1B5gt9N8iYljSdXLfd2eJh
jMe1yM8jvd9W/Ylm/a/3f399mAdyqGsiESDO6WB90EksnywcZjs1HO/Cqbvgk4vWo0DeMVT+VtdK
ku9Cth9AqzmvIrropoHzYOneZCRmE1bvvjhm+ZN8+/gScMQbhTB/Sc7kNzUdrzJfuZe99TOfFFRm
+SVTLbowW/Eo6pDdkW4N7MtJMCuisl9yPrmviuZGky2ZtGZBEKBj0cSaBLqngOpN6b8kfrErwpzk
MHO4k6p5URT5GahTiKtOknhKwvZKZC6QFusG1d6FMOvzmM/05vM5cHSeIZ7TZuUlgpmDXqILg7Wg
lNztfMDfeXptO9mJ1eXoBEA5x8vCQ+Gsvj8BDLWusFK17S4bgx1GmIVmJDD34oUw7j+/lo8rgKXP
TGf0Uiwz+q+20bupNg2+Vjap3+zs/MvYfPflsPaNE83Xw9YTGY+6o+ozpQL00QeNJXEP5agXZrNz
apr1bUnmWiyzxzhDO6GW0QUZJUTXuMP680s78lWyYBGx5PyifliHgj3LYtZmgwKTPSpJgM+m9QSr
GD7fjV6Fl/4YP/vVcM1OeBUVzosItbssT799/kscmSvwWkAIqbP03j7UfocitvvYiNodNV3iJ9xZ
yH71+RBHHuH7IQ7V2h0Z6oDwuL0kz3vYBQ1XXmRqc2JNmqfcwVLBNZiUsuc5jwt/f0oWZkZ5BW/b
TnAv8/JhaCZvsL8Ysl6WWL0/v6Rjg829Tx1xKnPy8Mm5UQ+IeAibHTF1a6IcLqrWXUscndoP7ZTe
69jt09hs4ZoxLIct1/6FCTUSxGJElMXqfOmn5JdYzZ0Y7BMv2rwoHN4/1goIJwDAWHMPltrKr8l2
jLl/nf86EalQhcFO9X/SUliUZIDkebZQp/7EfTyyjqCv4MDHN1c1OYXuX9uYtiMKSfZlonOWKtXD
ZHQ9md/WxtPnD+zY1dGchSwFhmaWE+0PZJhDp0LPa3ZZnzx0MnrNMpjYdSndZZ6nV6UodiUJLp5i
xadUxseeH1K9X5OTcu4hdAwDpx82kS13YRq96qF/VabJoxYX+YlN7rE5yU0UeCDZZiLe3r/EtEwr
VSB32kUy3ZLFEG7bOnpQtLFczimdlUqh5/ObeuzK5kMAlVWqvzh090cUAyrHNtbkzsVNGts2AOXi
rCyTf7JOGmwwmSkOu8BDgUkY2nHUBVmz69wZutsuImizifHFKvRlIyIyyL+XKLdaataR5RKYcYrN
9EEOzxeCl+/v3+BgcVEGI7BlGDe7PAI6W6kXqh174YToaiLhWhi7NiJdI9Cus+HUunbsJgM3ImQQ
0sK8md+/yXywKMImjdxlBHwQcEZFZqOB+//8UR57Eck4hu5GbxH6z8HbP1ZKGmUNjxJcKHXedZ1Y
q7r5Ngan1M8fVLzzrXRU+o3c0BmtdXA9/TjqZT2/ZbkkHEBmRFaV1A46qg4+6i8ntr7oRb5TSmNN
8fzHZAXbYKR8StLHiXllHfnuo+zQ5+YoDgv7cP66CuVL25RyV0expwTaWQ7CPPLtAYNi++YmclgY
TZWtKotsLNf0Sbbf5iol8yqs79qI5FJn0n7g1xnWgWFu7NAcSRq0VkA8aQYpxZUhzJ1bVhVBCG2/
6EV/V2jZc98XN7UI7hHikO5SEtJXurfc/xuqVoRx6WI9+H226uWcPtqPVMSdfNkMxpXS06O0mt5Z
0Q/LiKrvz4Yq+cpX8Vonl9drDWckxi7/rgbpcysAWzfak0PA1KTDCuf12CnSejVr87ItsmBp2lIu
DZkQAtUisIij6IehhPoqh7ziSQORoGk74O4V6OBZI5H3xd8/n3XHH4Clw8tREasfckRicyzDop35
tLU+N8jCb0ExJykR2rSo+VZ5qU9ZNDPN3e+PiyFDV9nCGjOnZf+dEgH9g1aWdJys7rFKM6p+0FLo
fenKdBsUEK9NOZw4yxx5w0zBiLSMdNJEDxexrKlQnHap3Cngc2FuEywn0l7D6jWxt8Wh+vuX+H64
gxWLjMQhg5fNa2YF13lrWtumJmwnA7BNdBMxdnXDnE6DU6WWo5fJCy6oNhnqhw9t6DhlqMu63rla
bnlhlj0nnOyWKqIgq+x/U/PMWmJy1uV8wIeBB3n4Acp16Qw6uUr47YOB7nt8a4b29TBsP7+ZRzbJ
MwtLUDiCeCNmNd77827XwBmvOsYhlhP9ovGmpMrD50McWebh15kmalNUsh+WeYME+MwJGCIs9RV6
2AozUuqVU3DKJHdkJ4ROZN4I8a8ZBLt/Lb0c+rhMiAYVuXpZEA7hsjFauEX9ppG3N0702+SInY1m
9urzSzz2FX0/tH0gUW+CPo6SxOQ22vdSOyuLmDhBkN//Rd6XbdeJc+s+EXuAaAS3q/XCdtzETpzc
aCRxAgjRCAQSPP3+Vv1n12+r4niUbs9tjYqsJTSnpDm/RtDDRD+DVwbB6CtDw3fOtt98PTCiwIUJ
wDHANcz6ellT6goA7OHE1mYvmp8K2gB//mW/+QuoHgHeEp6Fa/8R26LDMw5Engl9UUl3ZbDyfajf
e9X/JrKwzSEPCdoQdKXsd4DOYHLjRc1wmscT+iuHtf8ZQfc96N7Zib//O+hm/eVv9I87uW4S1FiA
vD8ZeG1O3X0Ck7ea3p9hdX9etd9seYCOKKCjKPyeX1Ovd+KywqZTg8Z+4sGnos2nDCIhgJ78+Y/8
Vdq13jVnqitATmChnnOF9Vearta+WOVJyuQezZZbVfdo8JWwH+jpj1g117z0KiDl4e2pzzJHafcT
tkAL1Hr4z3iCHetC6gvRDlu0rL4tkfleqebbyrvLZi6ujfCfmnrdeox8gBjMe/7eUAzD9P47/TO/
B0UJEGlRuIZbI2TsXk9fT5TVfC3kKc4GqJvP/rBcrYmXbSYe/lgp2nQAmT6VoYBfUgmlviWC1wdb
560oY0A0lTyMZ4AryJsyHIv7cGBoipPxMPTFsF2JuEgLPZ7xSx8DwKRIX55q0YBfQaLj1HoXQOvD
WYKG9zBd0tBsOeNHID21qP4jegf7ggwQCEzr5SJN+Oce6jKd6JJt2ejHEQzSHS4i33qGuw9bSYHe
NnCig0i+kCX8bgoqL5AO4QsfEYOHH/zVUCjAXeOsM4I4uENjAs5KgAxwhhZZ3ZfjLqM1GltnEG7F
vq/QbtngGvZxiuZDCb+r1LRPcKU4ZJp9SZf1CjIEAL3Ts8FENTxEZ+9fM8q89sRxbaMvEC+6gKqH
wOqM16Pqr/TqHVMv3o2shvqqnG9UBh8VKLTvwth/XFfSb2sNMSfuoQu6oGAEV5/gsfeH7xoOpt4w
0Y0sqngT4lpzkHUM7D0sALZJha/Exawv4DnAdqSev4WFvmwAIk05PwFQd8hEuk1ioNK64oIJcciG
syswjEnl7JUX2VqUV13jfT6LjsopuGjQOYQyl35I4MxZJgAnJbJ9Spe+O0TokGxgFqL2c+ofgyEz
+CXq00yBiF5ACbwANXy5YzX7Xpj51JJI76kxz55H1o/ojwdoreOSuYztjUEDd1PIGnAcnN8jCBvK
T74OozqosmM7r+I3ZEjQSBXpNfA300UD+gLu7OdmK+IHOqz8BkXTn73iI3DFYKNAkymPfNNsxyAA
1R18W66+Fr63raZ6R/vqAoSZYLc03jU3JtpVov0aZ+IGbMon3GJh/Lkosh188TTq9msoyGUTAZnS
AfszIjmik5080pB9Wev5k0crXLKY+QSYAcxvu+lzHeqcGRi7pusKp1lx2w/zAU+5L8Gigcybgw9k
BSSJ1OCZakgdCLhb0G4XwYFwE6fe+AGq12iHl0W6aQiZNr6kIBFp/dEMM56guLnLDk36LLpNqJjw
llmeIUFyrOG925aKobrR4Z0hj1Esb712wjMyXjqQN8bnVJThF+jywloA2Hf1CJ02+SH04OBlqgRc
4QpQvaQF6WecoWbDPGCHCd9FS4mf3C3JZRx739PIg1BO/Tlqw/vMU+Ehq1GNTSOmLooYiJYEOgzA
YTxUA/4VdNvkXsi23BfcK6/WGL7wHUwhIPXUfow18FFr/WEFsworiORRNl17CCiAWlBaeg4GzfYt
KYftJFmc+4WXF2IVW39aRnS0hm4LQfInWY2nQAX+hswk2QT1+GsKYM+TyswAWAQAPBcZKNBLlaM4
Dd9WSbfGLBRm6sHnpdFsAyLTd/TjyWY9M8t4mc6byS+RGLCBtoiqLyyaqocQnneosPKjV3mAocEV
TS4E8j+m1Y+l8S49BqflvjfHdEFbIGLRoS+je038HwtpPkyjWX/583gDytYeezLbxNr4hymr76Kh
/AxDBUQsDNYWWCaD44/O+mBKvQUdyD+OsR424LB/gGARZhXHaCD2t0UgoABbw8kIobFA/BPmUKRf
ww1v6vsGWo34pYrCVAamarwaYdc9a1i3NOW8HQoQBipdiW0dwjEV6iLP2Vo/m96vLjtI2eJfBk96
UDcFCrl7dNI/lgoQN2iIXSyzuh1HAqMqNC27un6AQhzU5mABC5C2J8YNFPW3bPW+JGEx7GAHCp+W
UZX7ZCQafUAe7RMN9NTEopvAq6/A8oceYAewe9NFtxwk8ENY8GEH97/rklQowSxxsCMADEKfyWsv
SkKBCejuvIx/qMs5p+NwN6/loWTowoyzOKxRDaJAGN3CyCbazOH4JKQXnUriQeBvamBJM0A8TfKH
ceE/FjgVmyWcNiJLPkPIBe+kVNbi1HhLuhMhAW4qok9y6nOTNGif9NOR+JMEG4FeDis8iP25wq1o
lTBR6vG748x84Ml8EDWDETmDAdKgPGQMENjLkbCN7uHwSWWqtuUUYRps7kExw6kHc9nLpQLuP2OT
vImqGjiYDAQ43nEOYH8MgLBJYI8lP6sk0ft0wHlhAKSlcQh55qK4Tydwrjyqnn2WlDAQCi5HsAZ3
KPLILdp3yKcaICFoK4J+AVRFE6FYB1JeUMJuVNPiV6D8WxIybLWkBZRX3uMhjKkmcBTE/0PA0AME
h+j+0sS12ZI5/haApbJpQRyEey+AIn6ikdP1fSAMbJ+Q4TcFX4cNlMg+CRpBYrWIb4GTHeEWWfR7
tfT3EIG6zwSDTQ0N4R1VN5cdemrRGC87FFeHXTnOeJ1MMA+K5k8h1bCOLPQnCRk4HgOlU07iyetB
ye4nb6cqmKrgTAI3oj6iDwJHoqK4atFwOxIAiHcoQkfbVBTexu+g16HYhSDduGHYgUhQYlPP3Qf8
c7irax/pKTuOdXzwlbirRXhVdTEUEpfpuQVjKOBwzS38GnfUhUE4ViH11/2PJh4Oi2SoLfOv/lnZ
rxMfNFn3dF0vBByEZSQ+jKO65SNkejn0NmEIfDmPPN3SqP4iAVRrFbQAutGPN1CcX55hVHM/4HSs
QwOZwtYb9m0Eb3f4zyA7FTqEamiLf/JpXRK1jUoCeDOrLpYx2gKnCP90yoJDCQdcVIL8D8Qvo03W
6gb6b6m8yfA6Bx5n8rYlHDr2TRXro2mmqxSl1Wbsn1gsMhRr4qeZ9fcsW35C1/Km5JAAibT/gCLO
XSwnAoswYNabCbeknnCYjaKeuu/iNtysvQf/4rn4pU16DSwk8q1fEhB5VgEQJ/4Happ7EsPbbazA
vZ7iyzEFdKiX0Q9ZL+BfTcPVnEigRBddfD3fqRisBW8MJyAuMX/YhF52DbKp2GvI6uGRPPyMYcAM
Oc3+YlIBgLwzfNohfQgPYNwMEAUB3zY0xhN38HYoCcItnGQF/hO/E354ZdYJiMsaNEEKMN/Gj8sF
InFQFxin4AcVM6yUg8ekwYYZSTmdlPC+qjoEtt0rfgF9etXDPgp4Vpivj0GC84rde0PUAPUt+m2I
nHplKnlTdxIQ6LRYLtDofCQp41ca5wITkEHyWId80fIvY7dO12B740Ww9piO9B7hJicvy9kbDlGD
Tr4vPHbVUlMfQpl8FJO5JU1xKblvNjFvPjaNfxnoot63HUIDP77fDbzR13opYalG1S0QseAoi3Ps
6rQ9MMHLx3RsPNBhe1yUfMgtLlN4TxkM4tY2g1csAONcLz8GwAmQ2JNdCi0qkHuDD3XTfl99/7Jf
x+iofeAHkdUfgnYsgJtsnvEBv/lq4deeScFlatdmK2sIlqNEcxNR9A7KrPlYsA6iCoAEwkUvYVdR
0cy7uquWS2hQ4lYWCHWMO4pqqPDCnWLQ/EU22ERePCNM1aWg2FzlCm23APR9wJXFPe9wclfFApdM
2F4LDwo9LJRHdPIee00EDiJcCFdd3La1LLeD5++Bqf5A4aYJNTroeS7hVwKfzQUAg+VsvJn+ZcFJ
vYcQnpzcFw/FXyadfPFhVTV8Xc8GnmmbzfvibOqpiApv/bPRZ4iDTYTiHsadtxPuFLsAl1XRwnle
wCXUU7ALXdvpHlrr2RU4zgWoZiy+jEp0FOGOnW4rxkAnQPpYywACPI08kqhrtn2hnlAFBgg/CLrq
GPLsGkDMdhuZBISQ/hbUudvK9340LbvjJkl3PpzylhnPtaoef45rl1OodOCLA1FZ92f7DP9kZAx+
eTLiWELZ8LLOenPpx97NwvpLlQGUIKH8mtHmaRoT+KN54tuw4KaFrfiDLmF9zLIWR20FfGa9wJm8
4WV19MLuG+3lx44h3aea3SzQp9wGFSBREN/+XLQANkLd/ELMAajiq4QDVglbdwVHsbSr9olIfvSp
QkIuBnbQxHzxO3UtQrwQWHgXMrAMIFpIDjExED0nAK5XkkaXA0BbcB0v/Zt2ZEu9UVNF8r4sw+28
gp63KHU9FmtOwik9/fnt/7u381kKBzLVqJzgPHn9dpZNi8Z7CVgP9sve05/q6CoGXD4j5b+qD/7n
kY6EBeb2ub4LuuzrP4QXcYgLVDGf6orcjNCmLM3yjiLT734L1H2gvormzFml5vWfmENZ4OXQnf9E
dmwicR3WNbQap10TyE9/XrbX1az//BpYdaA5g4okmGRWLwgsKVWJCZDvCPAxjewclt3dX3/i/wPE
5o9uagHavf9ZVF37EnhJYqzT3/C5f3C0P1U/Vfut+ce/eB+lSf4niMDKBowHKDjItv2N0iTh/8Ck
A7sBvRMgMqEt8zdKM/2fCP8NsBkCcCU6wv6/Qmm+3hBgnkLlDAX2xKrXoiW6dKvoTM5Qyl/oN295
Twr9jZFttQO8a4MBDWudl0r/wE7+4cniHVDPW0NbjQ+oO+Pk9lqTQ3AatG0Z3NdwhnmndPnW4HYp
GXEp4OSucxqXDV5SzQ2eFeHhxcbAe2opuvYlWvWtwc8p4AXUKeu9+uyAdaZZTHAlF/V2Fdn8Tj30
rcGtXJgmuAwNE2aedgmDmojX7jucETu3qZ//6oupw20+9CWBkSduOHQD7KnY+AuehW6jW+26okLn
PcVHzGUhZ7SRBnaZ1Yt2nDui6OXcF7ZAXBUow7xOYUebQhA4o+980fOe+28R9+8AOmeIl0PrupoN
q5c5x8vGJxdwhBvH40p4Lb+peV3NdlrA68JVc/YuozYijh/bzuBkUeinDkzlZoihw0HwIAXSxm29
IjsrCBaIhUUqT+aqum0ApLke0Gt2+tR2S76vpzSuSDvlDc2u2eB3+VlF5x1A2nk3/uZzhFZqSGPh
41jzVe7Bg/2ei3J68KC+7zRzG+VmIFRn2sVMOQxTf5Zxuwu68dlpaBujhyp2D55gOOUm6DN2F0Px
GvTCtdDv+E29sS6RFQHpBNnRBozlPJS+Omaqk0cY/7ynsPfW6NaqZ9iIlKseC6O86/NjbDTzg9vC
WOk4mIKppQEFt5TSJYFu+NDeRquaHdfFSsgwPvBR6wB1FUxbfu+LNLpYAhq7ZTW7s1OISJW+12Hy
EtSiEX16wB3W/1y03nSVe2vRz//9RULu0ThO0DWa8gE2WXK3AEX7HYoC9bc/L/x5BX4TSTYoqaQ6
S3q40udQM0TVwxOa5VPYNPdyzZZxx+LKf+cu/8YPCa1PbMCborATQLbhYNIHKVSwmoX/uwbu3wn6
r+7bi2WCGTzwRTqELzjoIdVRAgNzYyq6Op6LNk5ULynTo4+M044D2cOSA5xkOf3480d4a2msbyw8
dMMmv1F5D+jaFw9Iv6d+fVcJ663RrUMXajkc6jv4xH05TVvUc/S2auXtn6d+/nq/2T+hlXGIkDAB
LuiY8yHWv6SIyWXbr/TWWyRBWWjCO/EAYlnstlLE+nModA1LMyjYaaBIBXUccA0H8fjnn/LGOtm+
X1FRFOVKlyGH8dshYWa3SLNzG9o6adE3I2fn6CFf2/FzSLO9p8Z3npVvzNr29er6vtNhhVmrMrhu
lDjyIXI7CAMr38dlX8PYJVB52JNnXS9XMOF2m7WtFamTXo6gc0y5Pxen0pS/DNRh3dKxreY5VKRo
lca1RqT6Elijh4j0H92+o/V21wARDD0qJ3k2lyhXzaeleQ8c8sZ3JNZig2TUYuwCl9cEOgjN5H2J
h0W7LYkNeypp1s29j+yoJr++XoPaHDtN+s9uq2KdrhDpF5BtKsY8G44LGvwEElhuI1tvnZhwA2o0
GXKPRzCC0jtWUceQPH+HFwdGCyYlKVH5z1tBbyZTPXZpcHSbtZVwDSicKA2vmLUC8LPxk4fSoHPr
NLiNtFypqr1JVEMeQG+rKspN0TkuyZlg+nJJqsxna5C0Q17Q7lsWqHspgIFwm7b1JfthMV5X9ENu
Sijg6K6WRwho1Hu30a2P2QPrV0qDRQljdOSCZjdx4pgErY85pyQdmrYe8rhv6S6h3nNG119u0yav
Fxy4WKEAa8a3DMOv5dLd8W44uA1tPVg7zboEqipDjrXZsOJnRn3HL2mdZT3IR8BqYq1LDy6c4Q8U
C9y+ol18TUdaoH2Jw522xTOsKIC/0eN3p/WAxuGrvb1oM3DIEgw5MQDPqmb6yYLILUvZlBSAv2kl
BYcD2EKOigb7WsxuqcS3QjIZ+7POoxjyTvu385A8sab6dwrjf1+ZbfnpPvUC01Mc72bqJEgXUtTF
NhON/Nk0JG52EU8Hp/c6Pdc3X2aWFJ50lBfxkGe0gNyjL7IM2CNm3lMafuPw9K34X9oIOPoA48+L
uY5H8pWS+N5t41jxnxX10psRH3fsgQPJ+g4aDx4AMG6jWwtTjJ2vjApwVGTtKUnHm2Ue3cqnNhFE
A8DEswYHHITBwG8AXQriwEAruU3cygIdN2tjmCfzJVj2RTltQiac0gAg4a83SwPsZ7FWOIZ66qPL
mqFp7HXkk8u8IXT7enBchNBmg4oj6oPpdjQfccnauY18fiG9uFCMcCcDGBsjD2f1zR7un+8JrP9+
d0Pm7/XIhT97qQkY1joB9kIl9KET67+zk/m/LIAew+vB/Tn0i8ToMWeArKgN7UOZ3bdJG3ef2BTT
R6fFodZxBJktzUDNlzm4sdmmqZDfE4h/Ow2eWdEPzpqiCVqZOTeQtQRiAxhFx49qRT8pBW74IOLn
fJa72UDUGZdQt1lboV+PSLqKwHXJH2GwCjAPd9zi1lr7awK/1hVzjsYG0Jj6Apzkf2eZ9t/dYoV9
NPE5htc7lrot6UbPzN/U3O3++Q+roRYYzA6YFZz/88ov5ELH3dJx4nSUwivr9UaHwmLGImgY5mlL
t2IKN/Vau31Km0TvkdnossOKm5QfJgkAp2FOVTMo9L+eNRYXUooUsa9auFICLwXDQqc3OE2tyK/H
MNEG8oh5aoBhHD9CW81xPaLXkwZEZqKlxFKPGrJbaXpo+f9TCvqX5VB00V8PDfZfEfoV1iMEp78z
2QaFXacjjaZWQPoT0l2PB0Q+iXpnQGOjReA4tBWSMmpFrRZskBBnw0TEFTAjjhvEisgKemMtT0KZ
e7A0vo/CCcTBkBO30W3ORYDmHCVphFwSQjcvGOjDmL1XAzofjP8sHQIR8fpTUjOWazGh6klnkchD
NKFRtJgghHKVodkzpFoX8Ij8qPl3roJ/Jy+buAdMKYTs2gaxlASQGx2/g6Qg3M4gascpkwsMvPWQ
1wM4QyuD88E6cLeKAtTdXy8VmAJeMqSVzAFezBswesTgeHie9aZeXlsWDiuSMMLQ3WTuoEP5Ea4M
7zAYz0P87gNbsdoMVRZMdYD1XmUOgb8Na7yD0+FpE9CqAW46XlbLHAytCChfWJvTJozd8pcN0RkC
KiEa38s8XhnglRSIQZ+7Ffpg6/R6waNpNYaW2IXdmOZgi0Ne3TSN2zZMrEsoHvs1mVccoZmYFNmt
PnQcj5no4MXrtPCJtc+nBrRy3uAih6fLVlYgsneh49DWJvfYSJOVYyfSs0fxUt8qObulscTa5Gzq
Yf6bcYllkZfcgOIT+3u3BbE2+QgZKs0VduLo+bssKQ4A3925DU1e7xQDoXlS+A0s2WLYYRW96LsN
TGLaH27DW4cSBxgjZmIBVKKpgntTxuZiXNP4p9vo1rmUEga6Jpe4E3Hykw/lk5cCW+00tg06WlYF
Wn8gQAAb2bfEGz6M1eQ6thWeFbCwnY6xC8WQ/Qxque0BWHWctxWd/jwlXQSuQ955PiN7qOj2YFdB
cnF22zGxFZ1Spbol0CnIgS0EhHxujkDBu20XW8Gt8sBMDDrEUDJqcIrYKZKJE1aExlZ4dqEURQn+
RR555PMQp/k0v3c1z35/BsVWeJZhDe+KfsCrXCxjfBdIJfkhDT3sF7gLg78vyzX+xOH1xPdp3CvY
IoXjODv+MCuCgTYI4TDRybzS8ldN2xX8AekGpoLjy+v04HE+qHk8N0dUBjERWGRBx8TxLWaDYNLM
gyfToGTeyOVTG6afcD17copeGwTDQ2IaEKCRjLvV/zVXmu7WofPeK2i8ceuw5aPmFfYfo5xwjYfo
rfJxe2zU7AYzoJEVwWzsmaxbLMsylrcgcHwp/dDx7I6s4PUBYyrbHpsFAM6LibWPqyLvWPS9tSbW
0ZoA1icVWiS5Cdu9KYtLlY73bl/Til3lrVVfw08MqBEOOXoYhG3mybFGYqNT2rkSoTecb49+i5uG
2TTje3b2by2JFZpjXwheU7z2Kj9+IjM91GJyi3obtJdNrVi9QOO2XkRwAdPNdgFx1O0MsUF7ApVu
gLAoro+kuB0adj3WqVuV3obsCQjodHOFyIHPDLiBk0w2VeB/d9onNmQP9xg49p2fwFnWfRWZbKZt
ANDUsnUb3grMyCwx1fAGypVhdxVLYIwQuF0e/wEtkiQYoNOE0wmyFJthDGFxF7mBFaiNK4oClkRz
iBN7DMGVhdjHzyZZHSsaoRWb0ivUFA6+zAmt71kIwZi+dtwr1rk6rSpoC4qhzVDlPcNlHZoEbp/S
ikwB/mWCCm6fQ2/tEzH8nsyh49D2kamXUCuGoAej84pN46c2BQHLbdrWhdeMoj5roePROA/PyAFX
YK243aVtv9yR1HWQDYh5Zapj4hVQHOjdHtI27KSrxpQahSJgstZ7CmODSXcfnRbEBp2YFVaiPKj7
3Ofq2Qz0Q7GC9eo2tnVWKvCAqmzFtKNsztfC+wBUuePQ1lnpKVWiZImIDNr5jvblfZZ5F26ztuIx
hT0ZWUMk2HCCQ0nkQ//DMR7/cqV80X3qstkP17npQUDzH6UPpa+C9I63Hht1pwzRvD4faGCvHJYB
gysNFwa3RbFiMo472fB6wJulS739tMJZzqN6dLtsEisqAxaDEjPgXIgjdjQ6uynREXWauI28a0IJ
gHIBPwvjFV+g0fGx9YQTXpnayLs5NnOYrThySAy9AA4/gE0xL6VbzNsQoqg3iZpLgvuJlwmY1kAG
uYdZgduqWJGJ+0MQVjzu82RqP6Yqe1Cl+eI2tBWZJVJTCUlMzHtOxi1P292SDMxtGwZWbNKJcAjo
YBv26wy9PHhcbBJor7jN3DotId0wd+25fuuZcj/WZNekgePHJK9fgRw8psUbUJCLR71AS2gGT9QH
Cspt4lZwaqa0quNF5hDSgfqEyW6lBI/XbXArNttxikdWIB1OUwjmSc3hl+O7gXKoDSZKKqh1+BO+
p4HQdBHxx6EY3Q42G0t0toqZYTWGMxOE4g2hCRSXZifUBrWxREVAkiSe8OLhOtMboZt1H/lg6jqt
uA0nqoRXsrkb+7xC3Gi//BFrEIT/PPY5wH9T7bfhRNpnXKwlcGGT0dUnZLDp3kDSJ2e43TZ7VbD+
vZrOG083G+2TGRKxso/6nDF5pMv8wAPu1rL4hzRbU6qkOZe3PVk2G1VOEBI2sLH68xK9NXErVksR
05Xh3MhLGV/FfgjVStehrUAFBCL0hADvzXQhZE378rmam9ItfdmO9MxEY6KoweViEPvRm+HUlDml
r8QG+7QRl5A0A9hnHoi3KX0BM40ldip7QPX3dW5c6aw8aF/gBir4VboOH0TJnR6F/zHQfHHfQmXb
g01wdi7WcCgPdONlRxxpkjB7ez3vIlkmwMyRdSc18R0VZ8PAzA0r95cjzMuG3+Cv0Jb2OWgONER1
r7snvvfNZX9DQ+L1vMNl8qCbgYQOVwUDwaIq2I7oHztFD9xfXo8usnad6/J8iIYRZI3VI0z/Ht0m
bgUm3t5Qx068PpdV9nHuYdim/x0X//+azvDveT3rgRDSAs86IA+2mxbyKfWcOoUlWOWvh+aQ1pNQ
ZEKrogHsMdV+APen0q1ABs3C16NnXp9BblH3+US8I1D4P5VHPzsttw3FMUOTQAQP+YRD92hsq63H
jdua2FAcoaCrIlSBAq2isI4tq2BTKOm2TWwwDpxaa6MI9jc8Q7+E0PSJisjp3IdM+OvVHhY/ZYuH
4m8WNrC9be7nlTm9U5KzKfzLgCfwSCeAreEmREvxPSxh+0q6qnYc3YrKgI06A88Xb1pIaB8aKuH9
p2K308GG5ICLTiJ4XqPbTO4g9nGMRuE4shWWNJqygM/I37Xs9UU/Kr1Jupjs3Da4FZkwhlzqAYKo
eZZMx3ZeL00gj05D24gcJrTkA+zp8jXmEGjx76AP6PRWhmbP642ytksCrDPwGhnvfhmIILWZW03v
H7q6TQdroHBGgqW87w9qHddjPTSz05szscE3RUz6LmvR3hhMDCtqL4e84YPbcltxWWUloIISaI04
ITADqo5L4kavgxDw6+Vm0J+nxYjIGaAfJjKU30rhdlRSKyhxBrdkNdgkRZJcoMx+yXy3FGgj+UEM
KNrew4dcKvWlyQJ4U1YQv3dbbCsosyCFaHyLcF9LCMWF4iry38NRnvsA/3ydJDZgCOVCOGEO6APD
sTuJvjaAmH4VXQCpUhgs+8khS0f/doF61vDObzkHzW/+oN2dHfXaUtQq6rzDjyi3FQScrkwxZJer
JhL4lll0EOhroNBXJp1wS8Z215bIhgRLNeAe0yn+FCXr0m7WWnK3OLNxUeggsBR6XkCMQBxVFuS6
Czq3mduoqDKDuwM0Svu87eBxBSjjVxH3o1s6tlFRLBIKhp/oKNCE7QVcYkK6OPVBEhsPheNvYt2I
eY8wlYcpqNxkIWS2neLBlr2iqppEPGC9obT1q53DRyWr8p2xzwnsN/vThkQVZZlpXUaweYEEsmiT
4X4OefKZLdrtoLL968BqaUhmaI/rOkQJI9V94zN/r3T0Rjgn1oUdRZJqWQLU/xtKsMVDoX72VUfa
LbRdFURRa+ndMrjLuWW9xEpMFRsG3sFYPg/5+DlYyDWdlFOpN7GlmeAe0RfZhHrpmkEwzmsGGL1V
sxu/CNLpr8+YrhoqNmJX5q1Owl+l70/ANenJrXYPF5jXwwfhgL4Oivf5Ek/Lo88M/xIOTekWtvH5
4794Y4dCJgMNWiyNTroTCSBE2DVc3zoFl42VMl5vxAoxdPTrxhZdtazZzmTUbvUBGy211qCkqQiv
p3I2IHfFt144u6UcGy2VoZgB0zKUH9Hi5u1GRRL6vUm5vrPXyRuZwYZMtTE0gtsq63INuc8aI9fL
BwXgRbWDKC70NFM6dQ8oNMv7oQz8x5Yr4+Fq1NDnFNZtlyU8v/mhrVV2OUSF9wgzNAn5TNwb7ipV
d1/qVMDSW1a+eVZe7PVwXRMjuwpwHb+cPUiKbuZ+ZmecuXHDOMP24/VGauXYR02wtvkaystB9lBn
z9xKTDaYqTJ6jrSYsxPuhT/LrIelpffDaYPaQCaRde2Q1Rg6ItcArA+r21FrY5igXaXmasC4hRFb
uDlvlHjPhOp8df3NoWJDmGYWVMmIB+HJhybn3fm0+ojnVfPVbUHOG/ZFPmi7ackKCFyfBsl3Zil2
ffXsNvL597wYOSjqQcxFj6X2m41hl2njxntPbAQT47rPEtZlMMnae77Y0smNh51E1qYmJVxwzYiR
47DfL2N6pQFLc1sO67jTYQsJ4g5DBxk/hOO6Q2HZ7biz4UtlX0Xg2WDztfFUbIsCbeR0bfTeaeI2
gilexqogRGanuliDnT+3t/PZGdptcOuw42xa24Ri8MgboA1+SKC07jayddAVpQhHAwIZ7KNg8pvC
voQ/uI1sVZLjdSCxCFp8yRqWBwHdZPqL28hWMHJudArJ+uREo1hsVzVyCGkzN8RBYiOXIsU8QRtO
ATL2x106leVmLY1wO5zD8HW4AyzOChgcJCcex9Ul3KLKPURyq0e3lbEC08TUSwTtk1OmwvqadII9
SGlct7gVm5n0CCzNkviU6mYzx8FBcuIYPVbVig9Cm3We4xNMXnek+1oNq9vD0QYwVXBug3q3Sk5q
6Dcde5ar4w3Uxi9FbILbMBMYWWX9roiCex70qVuR0EYwQe5L1AOL4hPX8w082K9H7dZDhg/U6y24
hCuXQRHHJx/2rJASY81Gd4njtf+vq92L86xokyqKVx2fmjj8uCh+O4zxvdPuJvZRmYIi4tcYGneT
0xAU+RC53WttCJOeOUw2ujZG8l6qC7hzT3DQgaOZ27ytqBwI5QGQLvEJeaU8UA+2xaprSifIb2Jr
h8HuIhznBqEDlyMYFcV5rNyQXbA6fL1TtAZoMYaM/6nX2Y552baK3BKVDWAqItgkrNUSn5YgbfYp
n/x9FkRuQOXExjD11MtYPWH0VMf9XnQVvIdwy3L7nDaGyUPxFJ4n2IbgLV11E//cre95S5538m8u
sbYMkorKqBwbRP04pfwbnldUw3sAhspuWcXGGCxlH4MwvppT1vln5xK42DduFzeIRb+6x66w3IgG
ZswpkRAR00v2AG6hWw639UTadQjSIpjMycR9ue/rQh4Uo51btSiwrhO10hJqogG+Z9+XxxAvxYtB
BY4b3cpZa5km8Hj14lMFUSvOWnh6tIljYgmsy0QqZmAvCAbvCgkrAcDdtjqaE8d9bn3RTCYdD2AT
fdIFh4xLJP+Xs3PrsRPXuvYvQrLB5nALrLVYq86pVE43VtJJMJiTARvDr39H7Yvv26F7qyUuWmqV
FIoytuf09JjPEB50KVVZH2uXCekun0A3aoR7wZFd223I7TZmQPAfS5j/4yL5X1EI5fVYk74h10mI
DObg12DxD070XV1rhfJ8QeMJuVYWbaiuzqSfHMuC9uquAXC8Bi4b5Ko9/Tr4zUfdeofUReFe3NXC
MwPmd3a7+q3/CfgPsOfUcmyi7KVdYWCHOdri9Qpct023Kvm8RO7lUOzcS7tUO8LgoZXbVaBh1EcB
qLIwqmmPQQZg6/7nrtWp2vlBHWHXMuFD2LUnmMAdO6XslUvoh0yAKavd1RA4DM7NqZPi0DbO98ql
MFnohMC5XLsBRTHcPKp0XNmXIyPO98qlPsR1EamS5YqGaKiA+ENvjrXOw0zzz9EW/jDLbfLMFUXt
HF7oVxWxQ5s4JEl/PtoMjZkqK2HpM60pHHJTjx8q1vI9pQg2ntxFVJhrHbpTHYuzFb+OjfRu8v1/
52pDluVDyCNexENwrL0H3fx/jsgxP9l/TlTgRr17uEHcqWq4ojQLz1tOH8qDPU98r1oKa+aquIcP
yhCYx3cfFCjRDm2CfK9asv/P/0S3U5O+m594Tfz70Mfca5b04nSzvhueSB79x/CkHMNDeyDfa5bi
xMYgS2MGOgbiQdOt3VmS2TtUkeB72RJ3NZ1HQg2EZ4E9eUnC0zKZaX5sWHbrstU1EMEEHjBV533Y
6uVcqfDHsUfv8rYI1APHSW2u8Bu8Cr97ibfm07FH71bmytD3VPHZXIGaehZ+8snvjunx+Z4iBJSn
NThCmOugmkuzrEV0EHrC95KlqZYrvLzw1o0PQ7Eu8u/KJvrr2IjscjXa1AKdYIO5+uGXkiwn2lWH
kh44Rv+5lXRzM/M4TPBktMRvrblo/m+Yn/dJ9vfjFMzk/3y03zUMnhyLuUb9sCanqB3h0WnF6H8t
cSkcptHE6mN1Jr5XMLl5IaRPjLmaoLrzgc2cB+9QfsX38KDasESCejBfEzVkAj0FZPQPPnq3PMUW
DKsPE+LrWi/ibSJDdS/a6BixBfHrz/EPQx3B1Nybr0ErSQp2cHQXwG32WMjfi5giaWtT8wo7bvcO
UEhyVVbHdty9iCkgLF4CcLyvyxxegmS6B7nxfGgh7VVMPe4pQWP3YL8+JWk0imKA092xR+/WKCyL
BQ0WOV/Db7E9Bf3Bx+4WaBS6Ohmaar5S62U8qq/OiLdDb7xX9SRRjd0P5Y2r8SLQWuoCjJ9/U5n8
jxRlL+sJmLNENhiNKprF3YJVVHhhPR2LmntdT+vCYYFN0XQda/4WrLB/7ZLJHFuVe2UPTK00gVJ+
vpYe9FlmrN4GOc6Hzq9o6/5zUUJnECRAb03XOGnPdRQVteOHSpF8L+yRMqorW7bzdaPNa+2POW/c
sWIB32t6PBfA6gEeTtfW+r9pTb/1Bj7vx6ah/+eQhHM8xnUzT1e//8WdylVSHUt/9uod3hjtixmD
Lfotg5zhDLbJsbi5V+8s6wrD0/cJXbbTUoRGjScez9O/bK7vR7J/CJ179U7iddREoDIgdNbBbYFi
+bseWl5C01dpdpq9qaRpoIE/PvYN9qLFZXJLPYBiC49mb8zHfiR52BzDe/O9WIissByw0zBdZUm2
dIjhWAkHqkM6DL7XCrWzZnDXbKZr523DeQhhzRp1bXfszLLXCilvdm04Ym7CTYncNzRCCjAeJAfz
vVZIottc+tM4XhMKez7Ztl/43Bzjk/G9Woh3Pmjtvh6vfRI9dvVLVYavhxbsXidUOj0zNPuM10BZ
2AQHP5Xsj5U/9oKdWVZu7Go8euzR/4SdOA0X82+Niv8jJu1FsksDa9dtYOOVUoBwGnI/T/2xgLRX
AwVxEC/W9OM1hsU5iUTatcduxPleDbQkBMwk1o7XqhfnbfjlE3FsD9vrgYiLwcOGc/UVDqw5yAFZ
PB88Z+31QOFW+dIDi+k6KrjSJy6Nh+5YQrQ33VrbXqE9adPXFmbkX+LFVc8bKf0fh+Y22509E3gE
Cxhj6WsJGAtvRNrC7vrYo4M/41w8r7IzCo9eYjnnajV1Fg2DOzgDd1G0N70HICyerml9Ub0pIKM+
dAEEL9I/XxwMv7JMyqZFrPPnHG5JXSENJLfHhmWX4A7v/WbB1pVXCjUQUrmXeDh2ocf3qqBqaXkl
iKshVaFQ1oquWT6109YeYxLzPdoI24kQk8Tz7bzQXG/qm/GagxXEvW0ag4k8WPgeL+yU3OYV9u4g
Bx4a8j3YSFbtNlpWRUXvmRwu0LA3gKf2sWm+BxutgJEYb2BhwSZ41kN5FNJja3OvDSJzxbSuKlvo
yrJzLMvtMq+xPZYs7rVBEEeOUclLWygvvPekPCV2OFbE3nul9fFE+YwidgHLxyUlY/Lgi+rYRSHf
O2o1yzL5kHbaohrXjyPsSNLBSw7m/XtLrcRrUZWY3gfFlLCQi+Ir6N4H33wvDgpge8UWl5giKUFm
jf0lzPD+x4oIe31QK6T1Ghfh4UK8gmHzWSzHcsK9OGhsh25au8AWXjNktJZ5ZKNjC3MvDqJSr55c
fINTocytH0Mf9P3Qkt8Lg8xIW8vC1RaE118brz0vajw4HruQiSC5jrJfbMG1uxtsdU62YxhAvlcG
DbjG86XUtrB1K85J6dHUst4/dmDe043gL0JrXHHYYnRRrkn9Jjb9dmy4dyHTtgp1FW1sMc/0wS9L
UHx9eux6Ha2eu3isR9t0xmICcv2YJFGPavN4bKvaS4OijlS9lsoWy7Rl+EWXILLH5sleFzSNRPFK
4WNuLfHSyO9PHt8OllL/JguytRg0aWzRT7jmWNUWnkCU/3noa+6FQbB5sNygH7nonb5sbZhikI5F
nb38hcRzjzo5Hh1xlTVTlQ3lMQsTvgcbiZGuOlJ4tHPbObHvkI3k4KfcpbKj0QSEcawcOLrOad/V
bzEZ62MJBN1lshptUXx0nS26mmQ8MKcuPJhT7TUvNSelpfivSBbxG5dXmdThr2NzZLcoK5bUWzdj
4QQbO/ekt2mMavuxIdkzjbp2nca6lrZo+/rVVz96Lzoky+d70Yvu+sSfegx2QBxiAr+Uej6W2O9F
LwRc2L5eMNjVBOBNIy/o6zl22NlrXnoGGhjVmH+269IQ1hoh+BqHvuNe8jJSrBTV1rYoqy1X0XUe
+mPBfa92aXzb+9bzTOEkrMWNTOFYfOxaY68sJHpcNemw+5Xv1rVVjG7n7aCHCd9rC5OyDhUt8d5J
Mv5oNv5qm7U+ONq7OBk1xINOHs+Wwb2hcUa27eCTd+uxoXILCQ4KhRnWdBW/hvjzkQnC9vKfuZQh
nx0mCPQ0OZTc6dLoQ8EAnkR/BnYyhHKcutgU2vEQMBAI8mY1eQef/l5s/i9VnoxVWJr3dHui1OSB
JJ+Zbdyh4WZ7BdD7ATtaRrz6FKyXwa2XpT+GomN7CRCNfN9FMEArcMOr0/4dHZOUxxYl25OLpioS
KG4EphiZSjLTbvrFJcv0L9nUf2Lt3wv5bC8DSuYNx6WeTAVB0ZQUZJWj9yiHxIiMU9uI16amdYxb
yHGRFzAbRhjf8MWOlzFxfX1pSFuxlKyJU49yc3qp4IzZsGOlRbZnz/AG8couzVQMVIA5R+lv+JId
OqyzPXzGKo+LFi6ExTa0Xxkva1SKj9lMsb2Kw/YBk5GvpiKeqqJq4iql+pgsjO1lHNvWahVDB144
O/ip1nZNQbWMjy2TeLff9aSs3Ear9xFXKo2i4L1BdjtG/2B7MYexup9mjTE3WItpSUWfzTH/fWjf
28s5TC0sSNV4dcHlFzIv12D0/uW6i2EH+odVsldvWL/apGUC7+2XOXNBkUTHOr7YXr0xt3O7hBOm
ik97lsHch2Yb3A4PDclehycsD5GAuKmgTXDHa5eDDHcoWWB7HV5sSTzWyYRHJ4ufLty7KqAaDkaC
XWys2pLbylumQhFzcjV+AYjNxzBzbC/FC8vAyFaMU1F2XZtzu7anJRmDQ/kq26vxhIhIC83c+yEy
0jh6tGwp0VM+i0MnG7bX49V1KxUlHd4eX/Za1VreJ/MSHjvbsD1IzCRLCdNdLCJt38BBe1CmPlTM
YHsUElmGhleYIoWY+6+9K5/xDf5lK+f/Y3m+//y/Ege7hH4Zxw2qUgnr7kAX6m4mCVaCvtIp+nZo
Ke3lRBSNcGQmHFt6F8Xp0k1/CTscK0mzvwmKKhi/NoOP+c7riz99dV18bCXt9USI7h4aSPFkkqxl
VgckI7A4ORYs9t6p5TzQodvwcBnpB6EbXL3oQ7fmbE9FCp3qe46u6SJkg5e3oXrySnGs8MD2uqIW
LesjWYKpaN41BOj7/tZW6mAWuxcWzcGyjdXApmKtqwc2ttk4N8eW0F5VJDTYMlFAMQfLqkKhVIoM
KLdjJoRsLyuSY9BvPcWoxMNcdDLIcaY/dEHH9qKisPfq1oOoqEiq5iLCLovb8JBeCZbjf6590rsq
XIFtg0OYhz4Km8rq2N0C22uKuJviBnAOTBNHUyg24vBQrZuF/p/v7IejVqOHB1tYQD14ZVKlUx0e
wxuxvaioTkxMAt9MRSTapcznQXdlOsgBfXeHtsK9tMgH3TMGl/D9aw7ZwM1bEBzr4WV/0xXxQa+V
RsLSuNbPfemKxSTy2Ha1l/noMRrgwYyUpW3YZZmTVCbk2ATfi3w82qDFqcGjgya6oYSSy+GYVyXb
K3wE4CKbDSwmuJfIByVajHmDq9FD33Kv8HmXbQPvSbqCBSW9Sc/IcxvP8bHFuZf4bC1LRqo1nl7J
iqR9M/Vt5tpSH+NTsL3Sh3trV/Nm6ArRtU2qcZ4Y1vJYxN9LfdrZH7VQeirMuKXQbt2pSr4dG/Xd
KUvWUzJp2uoCLpjmvEi+ZR6Bc8Cxp++y5xX1wXlsEldUCQrgvH8O6/lYWN7LiLbA46MaNldY51U5
yFTjyfXkYNq/VxJB6zvJcFxd0TfxpxJl37Tj7ljs3GuJhIKxAfX1WsDRbwIEyvqXKVHHCCxsLyca
fTbixlW4oo3WuU2h6QjaLNHr8uvQJ91rimTXA8vo8Ek9vLJZ6lOo/00j8s9STrYXFPWKmspZfFJc
vNrfCT4vO5XdMv7Va9aArAWgeP3J26J2Oh37W4I/o9/myLBGCXFFOH/wJg+gp6NfYRdXt64tGaSc
ruDKpLNp0pkf8ydge4mRtzLQyWOMklympzqiF3rQIIftwUPRunntXFFX4IgB4GG/NWk1HiyK7BVG
JROgv0+jKwSr1BtqR55J19EP/q3CQMl/Trb/UBzZi4zqVqOxXyVD0aHPl32ER7G82dB6/F7O6Mv/
ALQZHT5Opapgyrtuauq/u3AJVqBHxdDYNq1w69XpFJXEfrvBtgZIHbeVcnylbcj1HR0bU91Gq9f5
cVrLKjkpgnbf6wyU15h3jc/NdZ3DJX5gMHSgp04EZZtbXoLykAqelF+Yx/04azZsAXkjdD/mEw/h
sxkkXrMUc4Vi1DPzjcfPaiasvIQOuqnnZYhZtvHVuRNuKm+29dknJFHmByP9/MA/DS/dSX5AuUlO
ZXyeoHb+y+C3rRmHa0hYgIEHulEQk/i3h/tIIHGwbZTo76+i8hysPetfae3b35sDTg2o1VYH8EeB
fcS1dwFvf9Juw60X95q2L2Qd1dunepCNO89x6K3nCG2n4xUtTE18502J1Q+85V3wDVj01RQBrBaq
LA7n+m0qV15mgkOSmBnaD821LZdyfGxB2Fw/hrAerXLVo8EvU2XShRmcCbg4z3QT0+3dllzmpFMr
e8INc7WkifC95MeKQR+v3J8MvDGbJKg/V7UT5Oot6B/MXSjn9hyHrV9mSYD7gVMYOe9p4ZtkJ6AI
1jhjzIjwaa2q7sPi13V/KqXp2EsPugLeZu66dxxZH5NMl1MTp26uO3UmIN4ET0r6Y5NpcOVxP7VZ
EE1l16L9JlILBP8LM6WXJV3Uz/nmoELPyDJTkNa1CIFsoqzvL3ECgV2qWbJ9WibItdI6iAcvW4gq
WbqtJlJnAKdJcmonU9ZZ7Ebz2TQNBQNTksVcAh560a8NBKugCMRAy0tA4YGemiGA8Y8HfJPJhPaW
W0REBHg3JDNltunB/45fMwGwGzX2hoP+EKZgJQ7TF1PHk0pR1o2SouITsQAR+aikO4ZVlM5dEJpn
k7BVyHTyS7ulddsHa86d8LqzUfFaZVMJjjBccLZNZH3Xo296CaJ4Oo2DD9ksa4ioMj+Wqjw3YmIu
pxDTf1/q0tnUI30PX46uNiKPiUrsR21Y9BmFAyHzYeHJmLZiEctlwo+bwsTBvKVVo1n8hKuDcEqB
RV76i2hj/L+WLuIy9ULdwMBeAfDj8tEYuX6hayKh4wP7vu5/RVUyJjmpWhPcN8BG/vK3ypGLF3vu
rxEWKt/WUvkfadypEDWLyhs/iFJtBICZcNnuuFzAKM5qNg70NAs/ZM9Lu3JyNmXbdNfVCL+/yCVS
Op24sU/amqY7Y20FJuv5OPxcKobKnwBC2xQwEvLqi7fa8nMSooV7MIRp4B7HNnpbeO/dlMVP0gpU
l+jzPMRtM5zAlWx6dVomy5qXKhRN9xu3eTQ8ASvjxwZaYhGENzcHoCqnnS257DKFa6EhSEMSVGuG
P3YdHwcAB+xFe8yP74dleJ8DXlRiWyqHEp8L50Lxija2ir4q41Ud3EsnQXU66BJVtLBuh7eOElL9
jHXQlj8nuFDonIwCKXZVNWF7VwHf7a5dSLfmaRvr8FPjlBdkitiFn8demukRu6nnMlaZPjzj5jTy
U+AXVfuG9pEgeSt7Km7xgHv9q27FVN6G0IW/G+O3UO+yqFseuq5DuuC3dvoMxKuB/Zo09e+5sfNz
L52I0nbAivKyafNV+1qbzRM53ZBjpCC0LUFeIV/SFzJgThAvlPGjS0RJLsozujzVSNW8TMdRGZwi
dJmV+RRXXp/KaOLeqfa85XvYxZ2+9mrLgw17R7rgvvN9eD/4iUWsiZFASsFSKVageMenrZxOQzW9
KG9MthO2hAhvWCqB3bmLBSPnuRGEXj2UXXuaB+hw+aRXjnoZDafk+0iD6C4O+uUhHL26vyVR1QYX
Do8L/8ywCOYHBMBbuw6ZBgrSuOohWcIKXSU12x7isNP3KGshugfQjfjZGnWiPvcqWmS6MlSMUyzQ
5BuInetjIlkTZcAgf/VrnfzkiS5/+AMZupchqjbMhIpKmoWkinOnqUJABCwT6LVVgFnoww5LNdUP
ZuOzZcrcuo7oEwroMgfHpjv1s7hUzhWM1H3OJa6Opii4jAElaULXJ9G6MQ3E1qYJ4HCpBOIJ87J+
QRph0gaduJlx3pJuYBKoJNpyEYUmFX3U39e+/+Coynk0fhGLZ88+qavcwBAph135/RaNK0p5Kvby
GfZuuWhtksnes0lKwdG7uBL8K+zOTfSQxM1Hs44G+7n7EQkxn8ErZ3lo1fIxsmWf6xp4a5AFRp0l
MAE0mLZxie2HO3cD0c5PYcL0UTGcIDzs8Aht3dsae9gPS52kDB83g4aCpoyuD3QVF1q7h8SO5ATs
vYORaiuzOVJVtk7ksQnNVwxjeNIgNxYoZP2QTGynIFhyyFpF3q71b/iRVCfP4EY5huMZEgDXnKWT
l7UVOisTMmdkMAgrhj6TNn4ya3QLBmgFKw6JD5qFuzQqzaVlOrkfWPNQSrfkYbi+NN04qHPlvK8M
1lWpKtXdbLcHWoo+FXR66xcV36YwHk/lEv5WlX0UCtfFWYcx5E0/YyX0LtMkvseRc3uPAECYO9tj
C+q8mVapL0ZkWwEPprMMQpXGTtrMb6SXsUF/KCMRFf4swA/vyQtDEwnoSk0WSH9IlRnTeiD4N1GH
LgQL3e+p4UxdUawIy5Qu6DFRKDqnY9fwZxjXR4g0ZY4/SHT5BnNPmQ7RNj37goa/l7Ccyzyxlf+x
6gOz5to2uHSkfq3qe8opR+3AGro+wm0oyhfSCXkRcSNVhr+P+hn32pKeI1Sm3I30AX0IiSf7lAn0
oqZu7OO/+pV3+VAHXnyNmzL8PLQtd2mwzu4LDCNDck5GXX5emmaZkPOhL/SW+Cx2mJkjGMZiqLa3
hOEm9BQDDJq1a+d/hj1MP6ZjXY2fo0GL36PAzc9d2xqMjlFYU1hOOoLzdFVvCCAolD2GnmvWD2OX
iO4WCRL759EXBIrr1pvZaaBjy/K46QTUTt1SPk68nMylCZj61m6zelesS9ZBiCwxrfxhWhfcL62J
ycXc4F0Z2mWalyCp6F9TBJe5N9mTxqT+gGIraqSL/kKaVhskVXHVFFU5dJ/6eWXD136Olt9zCNVS
OoYBlPwjMmLcXS0dZTkA2n78bGXb9yffNODUqW5tVBHBoemVUFaq09BLTEhtYrRzimqGl6o00fg0
L4vYkJqMs4IPlTPd86AHUWet6QKKjaUmc4oKK5/OydRtNB2VWHWGpmf6pIHFV68auInpaZwI0eeB
mEmea1oiN0wCdB1ni/PRDYy/opvPdgjqnPWEFEia/WTNcRS8B+Ztgv6Z0hvjeoruQDP3kY/xbRtP
DfaZz8QPNveTryXknr3V3nwZBzCsc/QF1+JFwaY0uOogZiWGog6D1FoqZUYiv8W+EgqXLvieTcHB
pAar2Ck033FR18OL17mufqI07KqcI+Wl6dyDgPSMcwvswtm0sfiE3PoZrMUKXU0kRijd7LpuuYlk
eFc7xuUtpmKGviaMjIQMcIrL1NabfnUmHr8zDSjepYGO3svCGv7pGVNy+d17sfRTid7gt271gOHs
dNiIArx7ZCWhQxNFbmfk7qnXx+PdXPfeSSGQf2cm4B8n7albGCU4UNSdu2ErpPKRBzOzqVLWsVsi
Rc1wBLDAZ7Nt+60snz7hVBdHaTOMZZCNPin8UsiTp5Z2zq0Xa3YJmOdc1ltG3ctM63nNgr6xOfa6
+MtmVAmqNuyJO6yxofvikSh2p7ZBLnCvsfNuTwrpamrgvnguw64nP8g8BVuGw07dXWZvVf1pS6j4
AH1HUp02z7P0FjnGkjsxmPUjLCjlb+g8rMgm3XfVRSPdqnGftGiab6y5n227+E+Nek+MOlPCcQes
xP5n4tcsfI4E207D2k1Rhtu/wgHp6dIJ5pt9WnrsgY9bghMijGM6WJmU64RCGwtYbkImSCYrpZCP
wVj7RVeD90GNViISzSp6iZdImqeNT8P4vNC1/dEtnfPRV9xLL12lj/A0TcEI4u6w+Y+8k/a5mtQA
I/il+iLr1ekvJQ17mwUl2syCJPa8HAsApADRTO87/KrHBLt9PI+Z25axuixq8282nqsaoLaNuWzq
cRYmYDc1X5DUNWHaMb+Gqzpe5HVLkvoXl3J5Qbk8eKsivvQnuc3yOsEJF0nSHK4NFmTokVsF5U9e
O2pPZTTLQuKmLpVu8+sz6Ywr75SdnHisRiLetOVPMM1mae+jedeXszxFMKMPsqWChO8UBq5Sd9MQ
LICENcEMpJxY0eUihkSeZsdE/WjqYPMuxCpy78fj8rlcAu+h8yI250HY9CghoCUpKrYR54oT1UEw
PpSTL3+4upMqJchkl9PIqYnvQtpGxZqoBmoq32poLmgoh9PAtfdpVZSlKCJEWRfz5mKCVr/LbP4a
LHlkZoDnhReHG3KKJvLyLqKBuIhST3VqxZa8JEuzfe95L250EfZRSZwE08S1tH6IEcPXH7ChXe1p
WxEDL3Nnh8LRrfw2dGbtT3qJOkQb6QZ77kpKhifU5HAotz7SQ9iQip84QzevapqhtK22sNCxta8j
NsurvwZleEfcXKlnlPHbXyJuE50Ncp1zX7v2FvAS+Y0ax8c5EeA6AgaMbWxIWPBFQ7fFUh+AwO2k
3dY/zkM9i1PJl+iJwl51Lkox41jaroT/hZX9Xqwh0ep9GLVrDA60yXDfNW4ouG/Ylwl6zBb5VWKX
U0v7EbMKQbFO1VQl1xAYVZauddR7mUu09e+E4iLJddS9h4SmeqVV/6gsC3Kltlu9rTqt+UA+wI5x
ux8IzDsf/CB2HzfECn1qxIIW8xEghJOmfRReB+Ocf+uEiT7KCbZlGHTZqgzOOvQbRo0FtypQ3UYg
7dd+N2HXmVaXl4u2zyGLsI9W1JtepIxLWA/LNrnrm+UXRJ/h9n1Cf/uvzreg+aKIp1Il1zVzHkCw
l0WsK0lXgu7DLprvyOZOnDW0OrWtdA+lXxeubJ/XdmILihN+dEXwh+QMMDzS8cxDP9TPVcS0sOs2
vVbUNypDxxEMN2hDJ31lbQyufDyx7YO3dYampmH+d2jn1Vfrm4AVpEVMymzAnT7XKxqhVAN/BLH6
y8Nk7Ij0S/XexXDUO7JlXDZ5I2BLm7t1wqVsxkbfH+49RWIM/iLJR1USOz0mnCXR2YcKVL9CJt1P
Wbusrfk4V331G5cMc58jBFuUYfpywFM2dO+Admh4fe85jL8fuPCZ923fnHu9wfiXmXHlBYeC1E9F
Amp5ulSUPdWx3/PMYmN/IL1YvsuqaaNLpAYI0LAL1aBsg01I87qs+uEMbtH0lUmHW16Y3mG3mcHZ
UFnPKCIf/N2wlgcj/bAYos6qa7VijV/RizK8Riqh/G4YqwaTmvVVbjvW1WmLgCZTpPJDclsD4/cp
7nkMElzSGvk5frelzREzYIHCV9iPnZlq2ZSPY5s05yjopuqxL3uBU49vw+FkZml/zMBxkYxaH/eM
VsYmzqiu4lfA0GqRaS/k1T0JUNH4iENAsl4DE6z0o1/CwPhnJKHSf1xiNZsbhxjHv2hbNuNz3LZD
8GsrOyUvAPyJ33Y2tLqjOK1vWLlq5E+0QoEgl2NVec+lvwERklKJiwis9CkeEUQp2ntzs7Y4TjsJ
e4VPMDOKQIKZff4YoLrpt6mHXYc9+7wjN9LVkc2XSLdBaggG465Gc0xwqf1EqzNrMYKfllZN/smV
bmW5jeDNkallbrsvZl6xu+GKS7unwaFImRoedE0qYkXKDPT0WeQgntrXNqhgbdeLLoRkZ8F5OkUU
kZ9DU0/j2QgPpQMzmwHZbjjR4VHB983PxRJF1avriDdk6K8kSzaMm5ufI1P/H3df1hw3jqX7Vzrq
nR4QC0HemOqI4ZKbMqXUZsl6QciyzA1cAO789fdLd9W47O6OvtVPdyaiHkqWmMlkksA533ZMUtUD
+kb0IFW5UX7uBl8BI4kpqaUWBrQVKu2wAyDV3kHeOraIjMQBe+0Tj5Zh2gzZuFESQOazcdOMuyHw
C7g78JQx58Y0Dlbaqst8hOg4dZAvoeRVNx5LVFnZHHojpeo1ZUGQhQHhpQ17DI56zUr8P0qkQkxh
Va34HMjVt69AvT0MrQcZ2kdpYfENVbVc7W7CG+i4mQlcewWKae+VNBgEs9Ot6MRdMFWTSrwUN3lI
F9mciSZ9+eZbB6lPrS7SIi4WkklICig8H11c8XrmL51YneCNjU0L5GE0Q5FA+uugf6rKnkey6UgQ
zqjFl39PBvezObhnWVnkqml3HQZq7urA+jcAy/i/Scf8bBC2bus2pLLtzu/JHOu6bMK1zn4bjfEf
b/P/Sd+b89/Ii+6v/4mf3xDxZfM063/68a8PTYX//vNyzH//zY9H/HX73ly/Vu/dz3/0wzF43d/e
N37tX3/4Ian7vF9uh3e73L13g+6/vT7O8PKX/6+//Mv7t1d5WNr3X395/VLldZx3vc3f+l9++9X+
y6+/uAQJlfyiA/2PP77Jb39x+RS//hK9/uX0Ovzjo95fu/7bq3zgboB2mhCMRwwulM/0/rff8A+C
UgYdToChS/Ri9Kgb22e//hJ8EJ5LZUADz79EfXUN1sJff/HxSthDAk6lxKm5cG/8fmY/fEHfv7C/
1EN1bvK67379hX4ze3xnoaTvU/wb+j8XYJwg5Gfz63c2ShkkrLF0xCo4YrhVyNYAt75KRxvr2VER
81wetSOKIqHoF0aRWZOUZQYchJIwKy25ygY9HDtPp7vFq5Gh6nsbPODTRg5+mjBN6RYEgwBjogBM
jJ4Nl2GikSys2aFlYDD5eS91V7+qjIDRytkOKJf97NEL9swkig85jN3nqTYKBUTNEefLWFxYXgNH
zhPMAC1igcXrdeYWVTMK2QeFU5unGqEm3B3CVJkbWfRyR2RbP84LvBKEIpu+5+tXOKW6TbvWBQqJ
FSSGGvytzgGGVNzdNGPlbwi3LwHQvaTsPJASaAvDvkJXZHtbRMKwrxoj30MyuyKGS+U1Rcmp19Xd
Sst6sDOVg67aXg2dIWHnjt1VTtWDq0v3VOql2dtVpQBQVx4hrPNFzwh4WxGkEHGq0b8jysva0tnw
pmxjoOXZCfMMuo0vMBtFr91+kRkQf/ZZ2myNxrQ/BdqxZ3c1xwVgbk5OmRk3orI3YsxezFEhBh29
VVch7mW1zRLJRXTRWEHTn48WGC5lIlzFhFxw02ks9qY9exhr+zoROeL10VoIWl0byZN1ynjUCfWS
ipKFFOKYIElb1lxLXhx0Pz6Vk4mNsFlSDiX1PvmqsfekwrCYqvZNfw8cjF+VdHpyXKzznU39XeVg
V4G3UbAskh2ba3QwgEvDTEzB1YIJI1FWTMAY6KV7BKZZPdTSuep4S8BfNxv00tt1GMsjNKebwqp4
TMccuyrAn4xzJ1qWoGkTa8BQ+lMiiFDYrzFD9szXZvxSFEx1yYo8xrjHHdqZFPwiBchJUdhvVxLM
Z1FUkwn54usXSNAXL3FTsHuZClBnQum1yRcA69mkgNjlzZA+90x7GwRiFPcFp2lS+w59wS06hYJn
zUGjud+WA8ia1WXQEun2MoMcDZWw7rWwPnBS1KZAx6vqKXXSLdiE0zhM3kvnVMjBYNNgQmrEcpoI
EqRWtv4L3fQlsvCn9YH6hPgcDKmkfxdpVDPoqZoKqp42wHRnqHrQf0faV9v6XyWmfvML//RWEheI
4p2oYOxnofl3lU/q6Ljt7MM03YLaOaw9BPO5uEndK80JpGJzVAKXB5COh9WJ6ZxFQeteoXeKCmCh
S/WvQm++OVR/ODOMJwaoGwiCFRwjnYMfJRg/7c4SUF7MSmgFK17d2yEX+LaA2dEKtKjH0x2mge7X
qWLoM+i/sr/93fdxORUIbpHsSakb/Cyy/Ec7Oe3UV2Pco9Dsb/6NP7Whn/I323TN1/7n7fqHHf4f
b/v/H+7ojgwkNnRsx/gS//mmvnsd/rLNX+v0j/v6D8d+39r9QGLmr/CI4N5F5fH71i4+MGzSoPD9
ANUwtvD/3tmxfZMADxWh2OLZxZL62+6OTR9FQBAELsBxYHe4E//M7v4tT+GHG5dSH3UHXE/QOXvY
53+8cUnXBwQM/bQb+chgbPSvWpciA9oX14h0QftRYFw2ELnbQJSYklHeQgCzbLqSvtO+aWK5YuMB
ygyoRr6QFpOnUjvf1g16pA6SIdyjBv61toiRw/mMRAcW9xTwtgTsl+I5qIy3UaR9lIUnDpzN5w4T
CaEKmG+yYT67IFTDth/BpxYWQrBuCvNhckOkCmBH6oi8jFi7g7akDR3ZZNEamBkGrp7Z/mqVQbzq
qp4ioNHL5z4lboIahyf4nuxdEcgvbepOYamwxIYgSGy8WrNVjiePS1McoV5/HK2Gbmv5YkDBhjRo
jmsAcNRz7AH4zGfTzh8nf2WhSts2XKjZ0nZ6geJmX2N0Li6ZKBIzkO4d5hj+EThEfcoAFUcYnFjA
8beYXa+dZgkhiD4vHkJ/chaMz4s/gP+cX1p3GCOt29PcqlfD1zYpi/oaXHQWotW+bsbmcqWzC+UO
7xThmEk77atp3K4GxcaMBIkD9EHyvGjShLRwJLIDnbNMPYONxtXx2uVlnJXzC/JHPuUGgWupL4aY
6Lxu4l6nJswyUPzV6mAn7Bc39FJveRXT/AZYBVyWIsNG1/LktWtxX4E9jQehSx2zPIcNjTL6tVjn
/G6BfSxCYWn3HWJpH12+uAf0raBwhiXBs3L0RLahnZNMTrXrFH/kejgrUu/najiLtQArMC9VKJwp
4b35nJPhazNa7GcNTaoG2Ovoj0WIkWF3FJtbP2IfABDZRkXJvy4FfectGFFOcdValk9b1uUgeRVy
30VJ5UsbFPzYZEsKVC3DgHV/PRAgY6Gns8emW91ocYRF/ejzXb6OSYW5sFHRmRcMzQR1OM19YhYo
zVd37a+ylYnLbXoPx4w88ArFaIbJYHGh+RP8OTI01LntBx4NwF2BPNI+mid9BvZRhe3iPda224GP
4TEEN0DCGCkx62K9JovCftZ0r07pbF1ZQAnCnaTixXvnQxYyNdNRNGaDcW9zAiDzk7ETbjEF4Ktc
EcFWmxUUbjvFktxjUqeeC2hEpghR2zTOPFAYjmwldFTD3xyDf2pb+B+z4P/WwmGN/eerfZjX2V/i
oflxuf9+5O9rvfcBmhaJypNS6mFO/Pe13vvAQPhjtZfC89mlQPhtsXfdD5duLQjQBgVIDbwY0H5b
7F3ywUe5irICMycYhpmyP7PY828C6x8Xe4KTw3lgH0Kl8nNCErgbB8o/IndDsR74Zf7qkC973bE7
3g831azefc/VUSEqwC2tv0O0rL7i5TihusqKsJNQX9nAfQIY54XpUNFwJM3dwGy3SakLyqazIJLs
3TCtRQKd3/1llenM8jQotcsIEMYKUobYEfUnr2oAvvFQmpHFTj6LEMlT97oCNkb7BUtyChVDycUd
LPLX3mx3zDWPfV/dZHROWCfRebo4CQiO27Dwsy6cO4VUY3bteTZyMnh45xrk6eJVG1nl2AtoSjbg
v3a93w8nDioBzVd17fhiN5QFUNCcHlM8EbtRtSTqAzyxCqB6UjDqbdvC3s2D/azGJTguOVQ5Tev6
dymvlnBgw7SbsIvfoKtPhmwazu0w9pt6GYuIuoNOAPVhkIXWPBw6t9oAcruhrPJiSTHZx1tghSGX
hBmJpjZCY39EVtMaAX5m8bo4IHdrB3qWUn4F8xi7QZ/gvbvHXi4vDkem+uKX6J8RHIXxJ6cypx8p
C4DouRXHkV276eBOi01t7pFNZBDqtbxXWt9jmTchRrC18QT1TuGn6KfQUZK8A5dH2QYq0nmbOhh0
4ilcGFXfBprfpNWyrVfIsTGL4qv0uo2j2IYacp2T6srV5K51xNZ1gzhIS6g9+09odK79Pt1Mk39j
id3g9rvy2jFGJPdmbZDk0XvOl0Ub8PDqGsNK4kD4H6cUzWVAmsOCD1Ks2X5SzqOq6h0BcEB9T0V9
t35SAY8zBwsjre4m7t0VBoxZm8MBNO4by7flDGVgsfYJH1vMiEg/+xxSVlRVDpSsjd0qNUHIsUxP
nplucwQ1ojKp+s3kQDcyuBTDdQwS/sDQehvUFZCZrWXMwbDN3Xo75xZjzhd3SWoHqW6Q2Wxo4EPM
Zr4A3X6dRvWMQTrg4hf7bCDbSM148kdzyP0ANtApRQ9g79mQn31n1Zu5UrdTmd9kvf0aLOMXWYhl
10DfsoEswUvyvtW7zF84CIHZRybgUhxWgrBUZAdV217V44OzeqgWRtduwFcM4VCnTkJb+lQgbDKm
Pm6ieXLB7Hf1daPdg0O6FNqIfI7aVolEiRK/8+H0wvwptXF1XoYYmpVvVA8EFFo1QIF4+sKpn9HU
6fZBLyruedeHma2fMeYIT/VTxv2wxbBxUDb4w8OF0bVZRaAprHMoBLy3irc3EJBusexMe55PN1B4
vHsgoaBaFfueiTMBeAK9TGGgBpmnE1SiJYJN1hq1YFAnQV6rKGf1SZDJbmqweJvGKidqOzNuMc7e
iUrwncnUThjIh4IMl7ooK5jt13XaMNIcBcNYN8l6B0qbce/Ai3LvDxSXJRtIvi+J/gxohl2rtjI3
cJGVCe/M5iKMjKTPX3XGN6ZskZkwOtOmd1R3W0tpEkL9kyWBG+Ud1M6dI8kGDjf3bUhz1InQn5hw
VQxDu30rr0RQoFzxL0OYbT3lL11u1V1RDo9FhzINZNmbhZQM4AYN17m9GgMOrM1fMQtdiRPJh89C
2NuiqQ7GU3emg/zBz9D42xuMIqsPzQQpClfeUdaQejrqWlYqhr7ksXdQNE8sA4LtgzWCvfy4CsIT
jL5rNl4+Pc1efUZsqw/NX10mkBG2m7xNMb4zMHDQYzp3KNIGGoyehyXy6NMLAegvw4xViuiQUFA/
csX9M2j7MJDyHvFCToThQHozugYk8CwwMTYozlpYFfG+9EO+ss+OM3/yA/eF1d7TorvnRbg3C/Sx
sXFYEfUpABBWQI7cDsMKmRMqMJmBwfJB9J0oCLpwdEOIUQ5tNrgJCrHbOUU2izfifqCjNpGz4Bt2
6zTBODhsF61FaV+vQWKnqoqrZkm3uS59qDf5uJlIv0Z5BtTb0AbaUl3fu757CpDPB6qaQQrF6nvJ
Bhkxd1CnoeV1CMfh2VtXEbZzf4sZuZhuA+1BxGVeRIbOZ6idIc/3U2jRmyFHwou1Ow5aLfb9NU+o
cVXievMTBnTnj5zU1aEwS3ouNJQ48yquy6m5NposoRjRTwo8il5pII9S7Ct09wfugxCvCcTxxbpu
2eQf63T4WNbkcwCGZBiqO8xMhCCO8U9YxKKyyR4h/n0pEGEepWq4+1YN/amC738ZDvC34u5iCf7n
ZeERBeFf/qv+IwTw/bDvNaHkYNAxVAWgDDr27zWh+ABAXXJg/i71govX7ntNSFBCgtdyGZCAyyjx
7yUh/sXDb4Ak4PGSf6YiZN+8SD9WhPBoofN3mRdgVunfx4y1phPU8h2CULdNhilNqy5A2fdga/sD
n/wEyWxoOvCpQ2XcDRPLM3rdhz4r71QGlTrosa1e9BBDuYNR8FhOAXbuTZZtbOV9NB024W5peWgm
offT2rfJtILslPpjVeD2lL3d18BgQ5PRHezpIhTB/ORWWX2EvLfc0VKiKsEGyTSpoywo82uaLw20
eheJQ+BC+nkZf+lJtoYBpp7Ey2Drh4ZQFzlKVEPx4nRx2+cqUo7s7vLVQW3R90birKi6WVzObkwA
p0XhVHrrUfkMiQbKheJZUEhDveI41/kJbGQTVhNU/XCGfAJhfp9Bqkcr8+DTqwpJPa4a98KrsALV
H0vq6DAQw+3sFPe17F4YFSHhcOewrj8stPwIteKu9YNPFXIhsH/5sCTM9MoEC8M+Pby5cPFAZ48y
C2aGV5hC5hi4xmfjQ8snlvJJl8YJ6764guc+EdBgoU6eo9F0L80y3QV+u5nEMgA4UQZqxqGKnQZ0
SWXdu6Utr2bIziM382HAnN5nPb1MawMJMFWhXFQZebq7HQyvEt3OKsIc3T7korjyBvc4KH2sCR1j
6+kH0nVhjuokoO2jJ7oTxtmgVjDZbTWknyHC2c9dfgZj+SwW3BPe0HvJ6qeA2yHIzso+zvLxZmrR
DBTpMD/kmKwJZU1aRTRb7/O2lhtSFWxTVxx8pxo3ztpvc5jQ7lZPQPqbpztHtQtwjHSaYl0ENsaw
pI5FmK5VFNBZqzOszkEEyjeYt1naZG3cUK/CBPrMZF9c4suIzz4PJ5NC1iEppIdwSKxb2btRNY4f
oY2Mq7a96Ue2LXl5NTbQgKw6t9HCaRbVqoa+uV020zePhhjHGDyBvNyW48Z2wb5R6anxeZ4oNo9n
Y4W3Dch6Giu1xFCi1mGLpiVeFHu2KzkK14ECD9bVKGicGXsskjeamoNtwdSTOWJIdkuceUVALMno
WZNM7Gi7rGFVzPWxSzvntYFy7quuMOk4beSmZaR/QtsP9QT2rSIOphagnNvVcAYMXr9AqzNC3exl
7wJa3W3uYlavpel+qgP4fUW5hIyuX7jRNF4HFMYN+LVpeTat3UMYsUZL2WLfIf12QKkQzgQPn5hF
lwOJ0YOImqK+GesJi4mqZaZCTb22CTWeqBdJ2gQLH3nGCEv4a7A+7DzIKu9dRlhoiCPjNhjlFv2b
dwPBT7qToN6BtVT9bcYwMiGCmQ8+M8wCr05VVvWHchjMp2IxWUiwSBXoYiqHxqjy0DYs9UQTz0K1
z5pyDkD+OANUsc3gBw+mnZACqzE3CnYxComyXdZ1k7oSlXEx2qeU9EF236fzdFy6hd2O9cibWOGc
Hmfr+uC1CNT+oRyFjiEmwvqw4gsOJ0Egh5ZX8CVtYcvQYEbxoGVXCxxXUTtnOyRDw2GD2SFwi6D7
rQBbeoHTRDwreSj6AqU6H4ekdUhU5Y4fV4W47aUOoMfRUNa1AowGmbY1JS9MQAmGbuu5k9N1Prk+
oEHoZVG7wiLTgCVS3CRZkO8Bn73QYcRAlHQ8BBzy/TG/4EtwSwCfzmLXrgdGc/TQ/fS8yAGaVqNO
XaBO+SheZYG0xUGnx7mxTqSxYNbtYDcGYiSsACVF2P/0pjOT1Dx40Bammz9fWvxjLOkHfuF/nmYA
wRr/vLL4Bjids6F5+/vi4hJZ93txIT9wlA4gC1z5mwzgd3LBgw7ABayPtYyDEcIxvxcX9AO6UdAb
nmBgHb4lKv1eXbgfGHGBEaEq4R6YAffPlBdSXmz3fywvJJAml+MMIRaGOPvnAGCMxPAa2EjUzi9U
ginyV2R0PhZ+nazpeoN26pw3PDauuMnrdouaGtYOYBSmPYzIK1yU90igCOyYzCL8UVz71Q4Y2nGe
6zu95ABrgfMzqIxaiMuhJz+147hfWJ5krUHv4Ht7MzawDsr+OU/d+866h7x1XwzJr8u++1S5w12j
1GtpPcwsB1zKZXfq1XSADARzNtVTI+aPesFqIoMNpGR7Y/xrTFzYdHkGZGmBxBriwaM/yF1KupNw
1qScJ9QnwGL0eE+D9b03cx02rIvsAJuwYyAlL7Jdq+DfcZbzRAO4fhhEeSghiPTusLu+r8R9x744
RRA0vGCI+ud+8ve5M9/QhsRBkIsNnHyxUkNygW4zlw5Ra+g2KPxXyI2u3RUS/l52Z9eXO1yTqIJx
MEQs+qngWR9NHJLVHqGeDpCMtHpzHBENTF8Jb9rh6YeGqYKuVBdoqsRjy8VxGnx0YAXW3KwznxFP
Br0zPA6JWzQmxmIA/qNZv/S9UiGsRabYexhK7F3lWE9CQB2YQ5mt18pFgjef2PWgGqiZrfg4YKLH
FgQpnDXwZVw5yxd3mGO0PDDradMnA/LtH/gip205unDdAJkFj5A1Sbvq+0Uu3m1KyIjAdMeLKHrp
KEU62LmGJyWE+DrHGm8AerNcxRJe3oOb9Q9tXosTLHl1CDXtuecw66REn41wWUJMEMDMojrgcQGA
d7LEGVl3WS/jWvnA6wdE5VYYOias3LtN+TLm/t7yHJo7eW0HsUPo3JlIsrfYYkK2iIc+LXYdIBzN
zHFayStkMw8F8RNTBPBn4y6CtIx95tXlXKFgiOFveByGb1C+EIjZelw7BXcZSu+PTTMciFs3gFYz
GzY86GM5OU/p0jgxvKORC63bFTBGDemda6E7RzqNha+ZwFtxoXE+KX9iIZE1mlvf32kVXOE+hSfe
TJugMefVmG3h4Eqj1JBkODBjDrBrPDbwHajO37R8iFI9J/0o7+Z0PVvJdOQ1+ZdmbrJzmvk6JiLO
MrPVfYXbaiLPXCAZD+yHA9REQK3ZN/61xcQmCDBXJNxDQoQxHW0oBYaXZOOtJHCNuQH4QgQHhxxr
hHRQkczkfvLgjVWqvgt4f/Dhbg/XcdhiuEKMWYQpahUoKWYKrUeJAOmoghIhrPiYwoiuka9d7fPS
L1Efwt3pQZDtY8yQgog57DA1Cvsr+g4X6pYz0rY+FTqronZiMEbNpEhqCx3vRMyCdw/uApceoHFq
olIuV+VakjvTagXqZ64r6M1zc4vETpQZ03KAjjUevfyqxQ3AgcWHXdk/0U5sM2n3LdzEa+ZBiZ/K
qy7AuZmF7kvu7ztX3SCw8IaT+dol7sYlwxCadEjDogTgTdipyVwV9sw8pBOQJerdBJN/j+DQxBlg
QZzqc+MHMaKgbmjW7QvT3yn4c8OqxLzGVHRh09RfoEG3F8/bbdCmH0ugXqMpvlSevFKZu/FUdlDj
eDuNS75F6XrXFQ7MP28FP7C8OEKbPUHslO7mrrmdPIjX18Fc6i33U1bD7kkDCLwv5XTUIfRZ6/Wz
rZuncqnOSEr6Wgz9p1XZ67LpHp3Cw3X3g7Pbi1sYfBND3IOGxqsC5quFik253o20f7NMn6zqrlJW
3xSGYJR6jfawO41m0eG01gdT+Eg2KW7HGT0Gcg5y2HMcgJdm+lg6bgR17hIiYjUFTTDfFS6uKEi7
B9WjXOdzfWv89GvKlrdMSjghlgJMnv9RFLiyFGxHkEPM6c95ZMz6icrqHXc4FKJAt5d5cF8tYtyj
ETnaG0JxMcoRqUrj6uvD5A826uoMznA0vXG+iipO59k/ZHX2QtgCv8WgnbD1NE8KlcJoq+A4qGFU
sZZ/yi4yVD2ZEdB4tSF9zaJ1cK4aUal7eI+OtKAQ2U34Cv3gpHswhFBvJdSbrydYgS4sI+xo4Nvz
FZ8nM2yfIX8fsit9M0qKccOe92JGeeXi2kIvVT+vbnNb5AwJK4t3hlb9COtUvBTFKwMvAQBWOtCs
6XS5W7IJVO6KT5QaaK1s0B3gjQHY2zS38ICayDUMsn9Qt7P+CuDg6DIBC3+HA2qbPaSa7I2HRWkt
73JL91lDd0UvrlIPEmWbiyigPUbzBmU4ePJ5qpsH/+JCK4FFlyjrG5KDsMohja/817E1h352NpKv
dNhCoV4C5moewae/wXN33Y/gq3vo+OOWcng5IA/Apbnoqoh/ZmlTJaC2YVuz+WcPQWpRkNX7pqD7
FC8CubV/LHrzPHsG2QUFPbhdBf5kysl9h3nH7RV0DV1YufSMx3gLMR3caGBnYNpk+07u8qKO8WnX
FvgD3G+YF/KFDuwGbgd4AAeLkfcmDfPMQzwAe29yjaE2K2T7WdDWENrB+5uxc087BOEXX6zTXVPy
HjAA87TpQ/G1MGYXQNUdN169gUKbo+NGocByTH6k4zUw8civLxj1Qo/eUn2BQjcJGD/MA4UH0+it
hdwx7+TGx3tE8BtgtRynney7A5a6O27o2yLNli8ALosC/HJmi4SWa79bkSS0TUV/35T8NKYYgkjz
0yiXXamGN79YXxrHQmTF+T04IyQmTARSbV2eCAnAG6oUx8FDvEiFpQdmF8mK/Sq6p7Ls9yZ3YJsl
Gr3qnYOdoeDVTa5SAWEIrN2un78tHfAoOG7Am7gw9I3jZp7lQzE2GNA9JLYTiePiemQB6iGK3Tqt
7cGWDBsWKEGaHctAYPhWFqV8PLvSbhe3sPDMsTRWBTqrrIZNE58Pzz8B15ensFgulReBQp0gpdAq
kiyzSXfB/MsL+g9PCZQj2NrYKF/TC0PAZ1AvF84guLAH64VHIHXzuR/9fA9yDqvTCiXFPVrX/Yj4
RVwaiEkBOR3h+sOIbl+UW7TxAIUvPEZzYTTqC7dhF3yuvmIWGtr61Cqg5y7SHpLswopMF35EX5gS
WPkNVhxhNghmMDcGxAosgjeVl0nkvVYHDerFG4M3hDRghSSGRBr0DIznMXBpKBjzaEp1HdaT/ALB
JAw67QOwC7UlF9bHqcDGqmKkqJbSYiO0LsMm9RUsKJesiwt3BA+qSHpdzxFEk3jOQDE1VXsN+Bnr
ZVqWWBdR3LkgpPoLM4UyccB6CbaqQEJ+lI1yeMis1NvaLQq07qY4TJ55ZyhwkuxCfqFolEl9IcTg
Vlh3PjiyFFwZFoebCdCg33t6Q8GmGdLetxd6LR/9HRJcDk47njyw3ES3EB9dDLiZ/5yCoevA1GGk
7NNE9cZqR6BkA5nnCtz3PfRL6ZAnDSnLuD1W/RL6Bbyl4AFLNFwxVWrZN7oZtlnb95uFVHUsQCEa
tTwFF05xuLCL4CicWF4Yx0CrV2iM9uPcJX7XlLBW8O0AknJS6S4Haallvg9W92m2KJmHggFSo4nu
g93Crf03eun/jTC9uMji/3kz/V/130v13Itw/9txv7fSQOOluOjpsTHB4omG+fdWmn+Q0meSSfTT
HtLnv7fSBHoPSoDduy7HhnYJsf29lSYfXB+AO3Z/nzOgf8GfaaXdb1mKf2ylLw078r3RRvs+Xphc
ZJ9/iOTlC4DUrqqW3diD9HNxF90VFVxV82gkXDN5PyTwFEP8LS3W064Kdhmihc46T23clMCVoElC
JyUm2MljZ4btPbLgq0AoSUw2WD310UmzT9B/bGYDM2NnEVPDkIsfTwTlGm5nDmkVGzbu1D9D54hF
YCy9LR0sA8uOpgpqZlR1pXwNXJsnaeCs50HMn9RaoCzMHHD+nXliXttHQd6pcBnVq+8Xj0jESAIC
/UZna29bSPvmFDqNvcnDKim13BiaojVJXSxQs+XkGt/qctKZys9W11HFj6xwoSUQ902B4ZNCdWXc
NNQeII9ety0MkRvrV/1Djl0y7meXHNeqTDEpCPNu05ZiZgtZ+3u7OvKaGFGd9dBme1nACaYqXe7r
Yc1vp0AgQMM64cw0IqVQaF00imWxoSVaozGHGHtQEIJptOdfiwyhNGWzoorLhb7G+PjyqgQbHWN6
8BAj8uGt89Hyr0bcc9im9lwM+jiNjYWGcrjMQ1xm8YiIFxgeZ6kwpFOvcJ1J/pFrOLAgywFr4o/A
s/3CMe8IGbrviOpjT4Dbt0t58CtBE2jmOxT6AvwME06U24pej8DGE6W9FEALckrABx+RTrRfa7Qj
tm8X9L/A9gLM8Gv+L3nn0RTHsrbbv7LjzosoX1mTO2iPaZyEnVQggcp7X7/+W9mABGgb6fBFHO6+
zBSS6O7syszXPM96AdWWOXrG9M5Q7muj/5T4fkXkUadLr0OHh1mqeiAscLRvhW2OD6NjN7eEnh7d
1GoKJvrVlJ1XQqAIj5oIJEzZhMzXtJ2HbBDiqArGyEDB2RzpfcHD0BaaeqIr/WRe+sLcKk5DejMU
qbfsjNg9ybTxAc3nXBkE6Y5grNkjfPG3upf/xhKj5D3+9an4ubr74xJd288FRvn/nk9Few/ZMupl
x9wJ0F6citYex56Fr3WnZ5OWpecCo7qnwn7U6Gg6iOItOT3r6VREvqy7nIXYklTX0jVe6Tfky7Qp
3xQYBVJSyo6uo/J6yKx5E69OxRwRaKXW6sZHRXqul+5cMtDIRZqbos0/640KyH1sMXnPGyzfCQ1H
GLuzCMg2N7aff3WbTLvvi5xosRikxI3uu9Fk9iHhJnd0rFmUHqcWw7zTu9/c2iD612o6K0VAA2PB
zV5QcnFUTstQoVFAm1CTbm5DF/nCN0zrU+aCV4LU6qFCBXNkLHqhKsYsNGWPP6KZ5CWQq1R13xVg
Ejp3GTl6NoM/tNQSAiNmjM6Z7FxQg6Kwj5Y82jCuQmwyo/2CAk/hd5oHBdqYcUgvzbbP5zR4YJk1
8U2mh9oB1T11m4ixOdDUWN83dUVb1rnkYHSe2B9EI5ticVTuM+NQO4bKjqKU6HHdYVmh0hCTaGN3
VtJTPx7GZemkPqdDtEwU47OtKSu1w9ZfC8KWyKBYYmq58Wlwi9MCx/wcGEWxQnxhnmhpDvIhqlD8
1WbYwTiKnKsKs9EGKxCnlx25FxiAOToqPQXMMTYNkVTjiy8YTovDcoIlE0HquWfSMkITpoFWxRZ7
l9StVeZD3lrNdTca9dpRk/K0s3r7hhwUYlxEUJWBl9tWjnHUVPXX3hue5tj+1vHxL4uqvhsZ5I76
6yNkk/8BduOPrVTH4mgbXx4lr37F82ni7CE7dcgD0TDs2gvfYyz0sZaUNdCT0NgcdBKeTxNtT7Px
QbjEX/ruEPp+mmjqnoGglgFBQvB7CcN+5zRB8PuqWSF0fJMcJLy6zuG1a2a8iLCkbD+vKpT4TXDe
+eWhnMA7+v9EsTd22PcfkRzBIAYO4ijerUqsqb/FwpuZQnEoi+xNWYXeJqoi6tZgdgBypTOMPdmB
bodiq4dOCMRhJJBQNKnztNN7fN/3YdxSQ58CxZkj3SJ+YbQiqPaoWg1mH66tSC2vE3QSc2tykLqJ
SRZxHX2WMVxk0YURHooavnCSQCUoRb+xS9hUAfjMBXFldjrU7V0cOJTR3dKa11Ug8MPBsvQV6mWW
iNdeZrjXQm3BStacDqqZrFy14lDsgi2mSHdmNLJg0o4ksuhaKQVMKck7kjyQP/mxJWp/xZlUnaNe
INHzhupKRwazKMQYrZjqQSoe1IxBzergNi8im5wIhiItnWQkfxK0LYvufihNZe0X9onadcFZkLu0
PAeKlKU53JR5dG8l5RYjFO3jPr3Cq2pvJrguLVqSiQ9PdZzKOBYEdcWT514VmuXftGJ0ltpkUHVP
GYIZBvvMhFu4WOo9s4mWJrJmq8grMF7qBnhljWQsPwfwRFUjohOaDdNVI/XROYEh+n4007Snk8PA
tTeKQLdfa0MyT5BY+0MNg8c416ceoSpyRA/EWoAiiz5UhMdP3CZotYbUBdRoUnismYCKmgtM7l2C
uquiuDlZ9pEtZV8EsNB/UIIppntQogwbnZSPJ8ViJqqxSsrHInRkNGqOYyksi6XELM/69KCXsjPq
hldp0HlLV0rSLClOs5kUvcGWGG4QRFAUkCK2CjWbaWLl8AcEbjQP4v1k7M5w2lio4IKzTsrhFLcY
CIFPO/phzFQJ6E0gl8tE8SkMPW3lSSkd+34r/ORT2cXZPJJyu0EK7xIpwRsrHmnQt/46GvF8UN7Z
2EWLCx3J3iTFezA3deJLKnlAej55tJznjhT7NVaE7M+lJBpj8tFRBCodfQgvSOx9I4BTgziiW1IG
nBam1BO2PsrCMBIsdiHVhmI6gTR/zQVxJerpturUG2ySX8zBF5SbU2oumfgksP6it5jMBSO674fK
cM4nNzK2Q9Ss08g8h4x14AXBXWv21IZsKQwPaGFi0SVB0EJoqjwbsJloB8YsVqpHKZSGIF851cov
e/2sL0pngQQ0uDezijqNvxOt9KoUsGhSyyIQtWjWiOklzjqyrjrJtHnuYdBxWvCZi0mqYjrNngc7
nQxGokoqZ3DuMjkHLQ0Hh7OCqvkplzqb0ClBs/hob2iX1AsfOU4sdTkc0rdoFldhntlLJM6SkKpc
9Yh5KpcdFERfsjI6C6Xah8lmW4H8pwzEUkMOBEbwcyr1QQ1CoTExjiyEQ6FUEGF3QbQtVUUW8iJb
6oyyAbRih/So0cdbDykSnbVZL7VJ2GYPE8RKTmIEdC0m1kkqmcwUKKFA3JRr4zkzOm5VTMqmVD+l
yD9T5FBD1CqIHtKrMTXK+ZhYX0wd7RSZ250qQHepsuXUI7AqpNKqRnKVS+1VIlVY9E5uoh5abBNe
6si0YlxbGIesGa6z2x4hV2DVZ8lO2YWAq7HjM3uAvUC76MJHChbp6icPaVgiNWKqQl01UaJtjXwM
Z/ZhUgfXJrKyMPGulRZXKFkzRgkIopCaauuYEFSsNBIr8vYiGFaiKFHnTyIHgWND8pj5cR0d+Wyl
BXsGWf9ErqmiBjMtJ2YiWu1SNVUZ0l3p0bS2FN65FZ3/wCurme+vghpRLVaPQ9UO3EVbdw0FP0Ac
P7DLY8NpsYsGfisy+jcmVnIEyF9HRcg2/rh5+DNVKP/tORJy90xID0JVNRQar6pNYs8GrIiRgZRL
A6P0IxIy9mTQAJHRsSkAadLf81xt0vccLKS2C5sX16/2e8INjdd4FQrB2OI9OLLYZTo2tqXXaVU2
IXHy6cjvq6Y3r9Jxntj9YZWI+zK1Pmdmd1UPGm0bDIuT7ccLXTevXizY6WM09BI78dbEvHsD5HU6
0haHiWLyDb6IxeIiykqzn4b91LHmjWnOS3AESfGQDNX+378SCezPH9VFBoOlXCUiw5j18pVCVBBx
6Q7D/qQ5qORH93PWpP/wGj9/GlOzKeAZxLEANByZxb74NHUZ8TdTNOwP0YUpNNrc1QzO5gwwzerv
P82fvRIPEyIeB0GQ9nYoQ4Hvq6PN1e/X/rQcdfeut4L9qq8Pa6X8h6/o54XDIi34MM5OOmzIcPrF
hyrAZiVO4Pb7ZS4O2sbaGln1D58GnslP346pEykLk49k0fd+8+1gnxJZFzTNvii1/jiItItO7ffj
2PxaZfTS1bEYN/ZkVkSYGRz+CSoa8pKj0IxO0twPZ7CkB/DGwxctsjJK7RZSBU0q8ZRoUdZIC90c
enrXQAYYkrrY2J21MrX2oadhOKN3mSxRdGzjnFfoIx3sWZrlJ0oq5k5BTFSMeDkjkFFzoD9HdmzQ
kPGdr5XI8emEzmEV0kCANgr/Pj23U0xDYUZPq0fFuVJS6IJ+5cGeVfxvakGPt+cf4A+kl9LA70ra
OJwVWj8uXX/UYXlKYKyO8hoCK3bUE9cdH6KgPsd6ft0iYOFwL64F3pg+bY/awh/WruJqS/wvTISo
huRAmQRmmymEpoYAleCymMchWhFljNBYFIVGk6oHDRYuUp+aoF4EOayR/KKrKbh6sF7QE6RYSGL6
YwbOZbNKirViSfEKJVvMH4Rao1dceZalzPwKcwwuNxtts7kmfoHb3dQlwtJyZeoj/pHCyeeGq61C
V/tUmemhKse4g5iIlp0CJaGNImi89U1SKYugUz7hcD2dauRSqwxd26LX9BhOEXiHS6NrjGXlFE3G
dWqbtzoMlk0fR9WJmtfHoTUpC2Z8OmubwQZof5RtarRXfjmps9bVL6ogXsP4C9dBrVwpmThPdGrU
fRc3n+NArY8BfSjXWqhOS7sZqnnhTWJuuTIYdEoxR9pz24txnKlNdKlPPkSKISYFir64mc/UeHIJ
CuX26SjKs8DxWPGg7pdGrOnLQmXaaOYAXJsq7yjps1uygW42iKoAhjmtimjCzhP27iL3a3QMeglB
NH0ocZjXaaMtS2HcFdRBKOD3G61AtzX42qWBbdPr9FtSS74wU7tRm3SjFsh94lo7scrw1FUkjiIT
AsJpdJCLQVsbPo8avFboGOVpG1j20i6GI6NNj0F17ptDs4kMSv9W6fprKtvDBdndgZ9RBVPcEtlR
h9WR53MrAFM7folbDkmRY9Ny5TwEz93SJNQj61Li/gEb46SjwP2Fxtvl6OL3h9qOxMuMzwJC/SAM
NhaUUJxXqzrpQLiTdCJxIhcv4wtdqw5Dy/xSttNhZqefx1IHgaMla9cPjFU5FSmGTAf1BwBOM7DM
eTW1R0CX+Wimdq/VAEL8YWP0Ds+rUL6NlvsQwurIJN+1zLe4KsdZnSF4RSyCGj9o041mUZV3NEn+
rAAIkesGc8LYfJFWAoRRtOpcxd7qrf8p8RR3beTe2qTfMR/7bh/aojVnPschkuMQLCt4Y6djRvzg
aGQ9sOr7NDnINY1G6uROK+RR2pfaSeJ7xy6dUyDl9GDiHJ2RgseLG2apm8jbAyynMwCA0cZ3SX0U
Wz1yVX1ceb5ymU3ATiqD5rQNdG2pDlo9a/sBXJJeXvWRBn9NWvQ4ndq5a0EZxCWB7EAlXS+DDLGy
U2gnWQM3CaP5DSz5jkMqPvF7y16lbXUThSXOdnjKDsPz5pNSA0f1hv3IxI+lYjpdDAj/eSLqbG5Z
cTMvVPMsLBNsEZUjnVJocDxqrks15plRFCqduSITOc7nOQWLA5e2y2wYgmtwOPg3RVTM6RX40C/H
7nAY4gu1q6b9WiFDtpuD0FRWU+86R+Aaj2xKsis/r06ToLbnVYTWadLH8AjJOok6wbaTNcmCjg49
ewxUboxirDSFv9Yn7BCOQF3oR31z0rqoudt6WlQtmr062XCrPkQmlFtSQ2Nm9UGHelvR53nOJFLH
5djLeu+6CXxaSgMKB7KlmeUx19zOYCNpVrAU1qBu6tg9drqmmQ3E4iQqllg3tXahT3mBmy4950iq
UX326nIY+nFWpqlACmVVbJ1QAU2Urxjso26gWa/8ttPnIb29OX/SOGYAlRjNphzxgYa++lXo6and
F1ssHQ+ZOkRzo9bUZd83E+OHfMDxnAeeeQT5A2Smr96lOK3hpjX0ByvaNZmWHjmRSREXanFmrnOd
fHoC5pT2sU/huASGPiqUZrhekbO09n1aIQGzI4RrtMfaQyByfGWulvIEscEnFA2zwk9O6457QCvG
G9h6nx2doSkmNYC6SgGN2PyXAcNyJ4wL8nAE9WAj5+OU1kjr6Y6louD+jcSN4qravLVhieilHy5t
jYw79PN1rCWnQCEgHjL8Zg6icJExDQdDUw6rqpoO7XS4sJ30yrFRAsQxOzOvlZsJECTGotydVUZ6
Yw3+RWlWGcovFBpuGcFzNgxfnds1U2Jo84nigI09LgQtrTmcym++b1xTnNpCqAyWta7e+ypPMBSH
yzSnT8jUvWRTq8hJihJOSDSlMP9dsc/5u3RbVFlKcATREqi1li/s1libKdmdGmcWFRwmfrQp7Yre
R00wWrEys4robgydcYlJ20DBKHsUqFXBW/hMKtDDfBkjsVh5rb9f591+U1g4iYEydhgtMp3LqKjr
r7YXr2MX+aTfRg9GErgodKYtXmCkc8FULund1HAMlWATTVWxMEwxrqjcVjhXcIDC02dqFihO/LXF
yWBoVwbDR84UBbuK4k5nAeyOlW9y0vdMOaCJ6y7QXh7ibL0zo1Xt94eRE5+rNrgZPDvHfRqcxKkO
X6Y7b7XsqG9sur8pKpQkQN4SuMs6ddRlY5v3nDjTIomdYe4y44CNkGdL1DH/EKy/LQM7eL4somfi
Thlz2m+CdUUU6aSGzrAfDumJnaXLMBXXxbDZBeq/lRn/a3sGpAp/nR3P77I/Pgf5n7cK+J/PCbK1
t4v6MTfILFn2IZ7lGNaejpGSVgGdSSAx/M1zq4B+AGAwALqANsAcSBHF98ajCwtL2i1xYLpCN3+L
m7TLCn/U8CUUUQX0YaMIYaQm8KQ3eQn+78AOp3bchAwu+RRDwskxzqyYTiC1C1Bypny6KxuEiClW
ZKYxAdOxsOZxGknCTs88lkXZDOmssdQbOmu3Rp2B/dZAPEDaKVdO6Z7qCk6CQQJ8Yswap72E+igN
12YC54ddsO/B/fG82NwoZrDA8hPNA98+JpqkaOfmQBmsYkke/wUVxDbXAAqxc2/LpF8HEjU0SOjQ
kBinTBwuxpnW2lgvwCLPG5VKtR3KvKdQjUVVU5hnzEl+UKNOCuZ9X/dfzMbWD8MkE0c9LTZjGfie
egZDGTEwTiuk/4mG6rvq/KNyyMPPVl4P7iISHXlCnhOdcf7W4grtuEnLEO9hBENkIWcVzhITDa2L
DGUavWukJ5dKBJUD5reUqkyFQXO3i2pzYe3kLNzDDI+QGpdExY5NC3Gjxg5NhERqYcDuM+3cjX1w
hjWWv6RvdEOOajJwMShkKcAGnWXuJDnoYoxnUlTuHFBPq6NzX9mWItBYfE0xnMcz5rd2/7+xLub+
rVt69sDOrx5e7vydCgvq9Y9tb+8xqpAtz1wEFE86Ja7nbW/vUTuxLAoOhvrTtjc5CugpCkRSKLFe
bHtwgehM6MJppksU/FsEHQoOb+oRUm8gXFqOvAtYPW/90g2Xotcptb5JrMa6NRSbmej08rQ1/v+k
J3WoB4S/lbLO+nFa5jjrzn3wSodehVoRHXWVL0Sn+uuaIt7RiLC2qAprazIz7guJhTNzfSNeU6Ul
WBVVaYGYjIOzRo4gaCZRgHgKpYWToeNAM9zTKIyaTTDFD56hQEMhOUC/rAE2t3XGUBSQOWCpD7c+
zlrSmBz5sUY7sFaMPoaRI/qcgQWiOSiqZjswdOY69v3ixi7wsXh9E8wdJdAqECd5zoh5/syMIXA2
k5uc6qioD1U1iNA+6I125gaNclRnGYLFTuTddYoHYGEiZPJtRxwbBEL7DCAcF81Y5f0csZm7oD+s
IGxq1nmjkULmYYuXEZnU5PhnWgXBUXGHlsNQ2GQ49GLOKlNxvjGr6BbZEb1Fsz8oe02FhenDa3Ux
LWYTQ74yoZVseYfxeEqntkQ2Rc6IjdYGNuPrvadi4UGDwYQdTkkEB0gzFB2VRrITbCQ78QZYGSnk
2Ik6jJ3AI9+JPVSp+xA7CUgt1SD/30cET7uby/Gvw4HZ3dc/jsKH9k9OBf7fi2BAXvYcCDYN/9cM
BbYkNz7pL5GCwYZ9CgbcPa5n08Lqz2WtolGiVvo9GKCS6MJRANJFeRnPxu/oBgyN4+pVDRlEMipQ
lPQWIw0QAcuq7ItSqN8YvTVUWbsBY3LoBKkpFk4En8hrFd2ZVzKgnDnW2Amy9mxajxTijkQ42Gc1
XYBZbbjOiVEEzCGKjOPSpq8uEcIIeWplnRpRsbDGmkIjCmgUzI0Qa4XS4GXKfm1HlzzRh0cQj1tE
mdMsEJF52SZdEmEwmyIcWIp57wwkO0AEcdLEl4lXnBW1fWOMA6r9/EqLmL/ag5VSs20UmMAN/U0L
R3jpa9m2981jZEOLDsn8DEHeSVHTBaa/BYplqTDeRsnp+upF+tDEoGUYRavPrKw59czhziiiLyRP
BQS66khzSvJUv/uGFxCwrVp1DJduy5lLGEC3vl22ob1yU9CCga4vmB/FCKpwQLWgo/Cv3LNJTw/r
gJQNj+cMCxeCBOc6cSjKONrJwHrWmnFWGM6NkSlrxteBq3C709qkLJqlJ01o32p+eaEV6lE+dqsg
c1B5tKddPzJHtbyOc5KpJL/Ih+5C75vj3AoUknNdXQsV5pJStjjsU0KPJooPkaR8oYS4bs3pyqrd
Q3rwtyUjmCiqpDdJoG5cpdJmMfOntxk45rnuVAfj4N0SYBRLKLqH6M7O4raWthSCkjpKaeL5lYqk
s43zjVLUa7Px1z2olnmgougMqBvmzFTFtcSUj9kQMYpCH3t7lcG7MiSGE9bFgx+a4wpPAF9utK9C
7BS0t3FFAfEEjn1cSqxnB9+Tia8ZQ7aCi1aZLHrbzEeMJA+wLrp53mxUjzWlqGczGm7hSoCgM3UD
Q4o0CNPABZlkcpO7FTMwG240M8xPagXLaesHD2SpS1soD9HoIGYzT70uO0ytQlBulyRDLh38Grh1
dRhzHPpXlCsYIscsB4Viu+t0B3URotaq7HN3ZEZRqDdioYv0ToG/A/mgntGOUCCD+ZQMRLotcu9r
0TLTI277kwoOJvrUT1hOW+yNSrYOO8Y51rYJ89hGQlGUG/Ae2Tpnf6EDiMBbZZp9zIQZBnN4OREu
UorUZYKL3peU5xVx7/XQCgJGUcy0EcNmExtf1So/qmORzIow/TwoxfUkWhNGSnShDOVJODEa0TXh
J5iB/a1NInMd2fVBHY13Qhv3C03BzWM3h56VeVurM+dqB1eFvIC5UtxN/qxsHX61hGHXDUiLprui
hMEeA5edTpyOyzyEkVVB0x4lVrugJMOQieNWArc7id62JIS7sJX81MriZN/Iy3JlC3YDJ0h16TBh
YWakOBu5h0fKw3z3coaSCxLy2FWiW1QujPIgfYcIjrtIhQ8uJCi8hRiOpXKaE598GS3lLIYp7ki4
+EBtBhGgGmzNWMmprrneSkAjN4cgmY8SUA7akGcIZrnuAC9XeqYmRhJobtFA2gYwzisN2Dm9AYjy
VgVpBBC6YjrNPJZwdKXuNiHSFzw11gKnJ8IWSOqMNAKpPnXaIpCY9UgC1ymOgV7Pi9tMwtjddkDJ
blIU4Un/f+aifkowFn82xuBxzsLTkIMdzv9zTs3u9SCEX/pHz4pc+TI//6Jfm4vwXf0nc/BXt//u
N+5mM/zdb0rueOftPdMTEPmBPAYhQLz1+PN//kjgLn3/a2dPpgUE+Y9xxos1+vnN/zwO4j/7N3/3
1h92i/5jOIScXf/eFZCtTxliqLsfgpxXK4ASG4C0yiq9fJL//Ov7r6zAe58Bl6SQB0CHhvX4w5K+
WgHUo1TsKAt9f0RY8Q/0JCBlIAx9mx3/B1uBWBCzt6yIyZ+3DwLLICNb+sDPf/1fWYaveZs11XhO
zJG/ksHoFu/4V/bCm9/w4jQwAJ4YMnTffcKfl0Ds6ZZtw057fKUP9Aw8ZkOO+msr8GbizIsV0PZ2
xQwUxG82gdjTDAN/hf20Cz7aYfD9Tng6qeH3vLyufuNO4DwQps5MHNh5ux/qxq/OA2vPJmtHwkR1
/7+yBd58fT/uhP+1kwD1IT5AuhNvPrirI54C6b9blw+6CRDq/9Ix8GYVX20C+jP0BsTbBcCvRLiA
bO7x1v1w+1+8+xKAF64L9GpvvnkHmwTxr47ua/fz0R78x+NPKrx+5QL4629e3wNopQmL7s/zI/5q
BwhiBUy8jvigD4BU/71rBVwaYzhUcKo8LoBKdPVqBWR/zDYp8n7U3f/uLYC3Gm0ozFJy3qeH/dUK
wD6zhSp7BR9zF7jvfQYYGiCN4JASnxaA3OfVCog9eiQapdLHG/LDPQnfYwFpmX/XdiA/VLFFyWLv
mzWwiBKYrqM/BQkfbg0eT0SJ/X3fAnAhsALUvp+zozfrYHMzMDaLLtjzZuH1PtzFKKmG710H6gDM
MBKkwa82A1M5VGHQ/Pugj8D/QjzMl8+1+Pyoq2+DA2sPEb2umrI1+rG+/B8HwbsTI7iWeEuZC/f2
QnT2UImgIHc+ZoXoZ3rJf1IY4Dpg9AyHyatH3+IeQBOjqY+76wPt+ucvXjLM37/xsW6Yhvx+X316
wfwc2HxwCJ5DxY/18D81SB/Ldu9Jh1UNA7TjPH5MhrS+WQeeAhbCeaq+fMCHgOvpvQ+BuufwPXMT
csS9egjICCm+qTBvP/JDYL03JQatQVmQQvFTViAJQa/WgSqxrI+aTxnoB3oKnipj7w4AdmBjGvrO
U3Hw7ZMgqJNzTuC3+2i34FNy/O6TkE1gSLGD/vQUvF0BGQq6yB+loe5Xj8JfeFCeZnF/TR7uqv/7
PwAAAP//</cx:binary>
              </cx:geoCache>
            </cx:geography>
          </cx:layoutPr>
        </cx:series>
      </cx:plotAreaRegion>
    </cx:plotArea>
    <cx:legend pos="r" align="min" overlay="0">
      <cx:txPr>
        <a:bodyPr vertOverflow="overflow" horzOverflow="overflow" wrap="square" lIns="0" tIns="0" rIns="0" bIns="0"/>
        <a:lstStyle/>
        <a:p>
          <a:pPr algn="ctr" rtl="0">
            <a:defRPr sz="800" b="0" i="0">
              <a:solidFill>
                <a:srgbClr val="595959"/>
              </a:solidFill>
              <a:latin typeface="+mn-lt"/>
              <a:ea typeface="Calibri" panose="020F0502020204030204" pitchFamily="34" charset="0"/>
              <a:cs typeface="Calibri" panose="020F0502020204030204" pitchFamily="34" charset="0"/>
            </a:defRPr>
          </a:pPr>
          <a:endParaRPr lang="en-US" sz="800">
            <a:latin typeface="+mn-lt"/>
          </a:endParaRPr>
        </a:p>
      </cx:txPr>
    </cx:legend>
  </cx:chart>
  <cx:spPr>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F241767E-B0B9-4657-B0AF-DDAADF168F4F}">
          <cx:tx>
            <cx:txData>
              <cx:f>_xlchart.v5.2</cx:f>
              <cx:v>SLCH Q1/2025</cx:v>
            </cx:txData>
          </cx:tx>
          <cx:dataPt idx="24">
            <cx:spPr>
              <a:ln>
                <a:noFill/>
              </a:ln>
            </cx:spPr>
          </cx:dataPt>
          <cx:dataPt idx="25">
            <cx:spPr>
              <a:ln>
                <a:noFill/>
              </a:ln>
            </cx:spPr>
          </cx:dataPt>
          <cx:dataPt idx="31">
            <cx:spPr>
              <a:ln>
                <a:solidFill>
                  <a:srgbClr val="015998"/>
                </a:solidFill>
              </a:ln>
            </cx:spPr>
          </cx:dataPt>
          <cx:dataPt idx="32">
            <cx:spPr>
              <a:ln>
                <a:solidFill>
                  <a:srgbClr val="015998"/>
                </a:solidFill>
              </a:ln>
            </cx:spPr>
          </cx:dataPt>
          <cx:dataPt idx="33">
            <cx:spPr>
              <a:ln>
                <a:solidFill>
                  <a:srgbClr val="015998"/>
                </a:solidFill>
              </a:ln>
            </cx:spPr>
          </cx:dataPt>
          <cx:dataPt idx="34">
            <cx:spPr>
              <a:ln w="6350">
                <a:solidFill>
                  <a:srgbClr val="015998"/>
                </a:solidFill>
                <a:prstDash val="sysDot"/>
              </a:ln>
            </cx:spPr>
          </cx:dataPt>
          <cx:dataPt idx="35">
            <cx:spPr>
              <a:ln w="6350">
                <a:solidFill>
                  <a:srgbClr val="015998"/>
                </a:solidFill>
                <a:prstDash val="sysDot"/>
              </a:ln>
            </cx:spPr>
          </cx:dataPt>
          <cx:dataPt idx="36">
            <cx:spPr>
              <a:ln w="6350">
                <a:solidFill>
                  <a:srgbClr val="015998"/>
                </a:solidFill>
                <a:prstDash val="sysDot"/>
              </a:ln>
            </cx:spPr>
          </cx:dataPt>
          <cx:dataPt idx="37">
            <cx:spPr>
              <a:ln w="6350">
                <a:solidFill>
                  <a:srgbClr val="015998"/>
                </a:solidFill>
                <a:prstDash val="sysDot"/>
              </a:ln>
            </cx:spPr>
          </cx:dataPt>
          <cx:dataPt idx="38">
            <cx:spPr>
              <a:ln w="6350">
                <a:solidFill>
                  <a:srgbClr val="015998"/>
                </a:solidFill>
                <a:prstDash val="sysDot"/>
              </a:ln>
            </cx:spPr>
          </cx:dataPt>
          <cx:dataPt idx="39">
            <cx:spPr>
              <a:ln w="6350">
                <a:solidFill>
                  <a:srgbClr val="015998"/>
                </a:solidFill>
                <a:prstDash val="sysDot"/>
              </a:ln>
            </cx:spPr>
          </cx:dataPt>
          <cx:dataId val="0"/>
          <cx:layoutPr>
            <cx:geography viewedRegionType="dataOnly" cultureLanguage="en-US" cultureRegion="VN" attribution="Powered by Bing">
              <cx:geoCache provider="{E9337A44-BEBE-4D9F-B70C-5C5E7DAFC167}">
                <cx:binary>1HxJb+VKlt5fEd7a1GMwBkYUqgroIHkHzSkpNW0IpaTkFGRwnnaGF170pgEvvenqXhhtu+GG295U
LbzIcv2P9098bkrKvGLelF5Wpg0r8VAF3WBEHMYXZ/pOBH970//mRt1dl1t9qrLqNzf9734K6zr/
zc8/VzfhXXpdbafRTakr/b7evtHpz/r9++jm7ufb8rqLsuBny0Tk55vwuqzv+p9+/1sYLbjTe/rm
uo509qa5K4fju6pRdfVM28amrRvdZPWqewAj/e6ns+iuzq7Tn7busjqqh9Mhv/vdT0+e+Wnr5+lI
X8y6pUCwurmFvghvEwtjQSzz/h/6aUvpLHhsNvm2RRmzLAwN95MeXKfQ8VdI8lGO69vb8q6qth7+
f63jE7HXfo8q7dy/taNXIp4dfHynn5+u6u9/O/kB3nLyy9rCT5fkpSYQN40yN6rqMrqp0e9+Wnz4
+63TP/9TFj6uwv3SP3nsW5eeb2NqEm4JLO7/TZaebtvMwiaz0EdoJgB8kmjrqNRtlN3cPSfaZiw2
jfHkldZefG2aV4XcaXidhVuLD/96/dz6fKPWiG1hc0Rt86vQEY4Ywog+IruuO59FWlvUdY1+gsG9
QflCjzYO8qTj737a+MyrQu8gCH/507/f+pvsh4JnYTBp2GabTR7ZFoQyG5n8cdJ7kwey3L0gyWY1
+9RxAs+n318VJG+aX/74j1mwdVr+8qe/fVyhH2AO7W1sWoTZYBQf7d0TT8S2ATRiCb7RHD6R6jvU
6mvjTKB7c/rTV33z/5cO7BT06L9cb52G0Yf/nG0tAMP/9QOxY9sYI5tT9ODJxMSV2dsUWbYNJvFx
0nuVOg2bjzLdrUT6KxzYtP8EpWnzq9Kzs1W4sbUHwdjjmv0AJTO3kYkEs0yxWcnothAmM7llPU76
GO79Clk2W7+z6FPXCTxrLa8KmdMSosGV8I9r9P3AiG1bMG5b6DGgYBMNAg1DtmVZDwEFKNiTiKK8
flGgzeicfuo5Aedzw+vC5sM/DFsHPxQbhLaJiRnFn8D5AhswbDbnj4H8BJvrlwX6Cjafek6x+dTw
qrB59K1gUh6X6Ps1B9FtCktPIE/abNLsbUGFxQUlm2LxN801xDIvSLQZnrWuE3zWWl4VQCtn80KE
+42JkrltY9Nk/CGHNcH/T4I6xISAHHgSGPwKSTaD8qnjBJJPv78uQD78Q7r157/75U//4YdGAQhC
aUQEQ1Mvw7cRxtQSbGPeurcmzXeE2F8ZZgrY5sleFXy7H4PteQQm5scZPLHNgTRCtnmfB5mrNPWJ
TtFty2KEA2/0OOl9DLcbQZj9ojCb1Wq97wSo9aZXhc6jO5If/itEqI9r9QM8EmQ7GAF9wKfqxbYt
YFpBwfDjbPfI3PsL+ULUshmZ9b4TZNabXhUyu+GHPwAkiw///fpxoX4ALBasPjdtYn8lUOCQ+wAh
a/JJcL0mzXdYvc2jTBDb/NCrwg4MzNbedfQDcSPbJhRYMOOgNU8MHd9mmBJqWfbjbPfq9CDCd4D1
5QgToL584FWB9BBSAB304Q/54+L9ABUzoZpEEcdTpIBWsGxInyz+SO2tZ69PpPkO1L42zgS7rz32
qhD8m1/hyr85VscIfBYwsBM9o9smwYCrSR63yr2ePcrwHZBtGGKC1oYnXhVQi1/++M/Ny2HXt2EF
dBEnQJYTcp/zrpB5YhrpNnDl1LZs+hSyxfWvkGVzoLHWdQLRWsurgubREBz8UHcFbJHFwS1NELG3
0ap8AYH7JhpiTZTv0KbNo0zQ2vzQKwMOCNiDX/74P39kXoXYNhAVoE82f6hiTBCEoxAIChyA31Od
+vPf/SppNmvVk85fILU28KsC6PRoe2sBrMWWE3745639FxKbb7N9CDglim2gZL8kk5hA3FxF+at/
k/R3oUGa6KMwWw4cnnkEcVPYsxmrL0eYAPblA68KNeeXP/6nDGLCv/zhubX5ZrSAOycMAJuoExxv
4Tbl1oMLm6D162TZjNN63wlC602vCpt7kuIo/Mu//PKn/3jzA/FBoE0UTkNwqPg9CSHYtjA5lOSn
J79WNMXWUdjoZ6XYjMx63wky602vEBkoNUOg9yOPqaBtBOG4BaXar7kjkzA4g8TvFWiiPx+Xc1X/
flakZ1B66LsJpYemV4iS+5d/+csffmjQgCAoYEyQL8gJOK4Cxo2RFce+nux+BMZtXijrPwPMQ99N
wDw0vSpgjsIPf9y6hEMpj8u0yR9/o8/B28hGBEzaV5g+sW1SgIzhSSQHVm3r8u5ZSTYD86njBJVP
v78qSCQcDoI4oHz2QM43QgIHT5CAc3fioQoLKz/xNgSCb0pX5MMTdYGaxQuSbIZEPnacQPLp91cF
ycmHf72Bdfjzv/uRxktsU8qhjPRYSDKn9YoVbQeVQMInBOuJXgnzQlVrMyxrXSfArLW8KmhAW/5w
s7UHpb7mcet+vwkTcNwHcxs4no+pjGlO6QS6TbiwTEKmfv96Jcvds6JsRkZ+6jkB5nPDq8LFgeR5
//rZhfg2GwZeA7JLZNv2AybTiBl4Us6ETSeQPAjyHbzOlyNMIPrygVcF1eq8FuSdPz6Ctk0o6GF7
6mz4NuCELGARPiI5wetRmr8mdF7vO8FovelVoXOfeq5ow7/9kUceEdlGFqIWhGGTWAAKsVBswISC
0XsSC6y2ifsCmfQV4/a56wSW+3j846CvChXA44//LdnaW/3v4zJ9v99B1jZ4HcSBErg3cqAbT+I0
DgdVbSjmrc42rGOzLs53WLqvDDPB7CtPvSr8TqNf/vRv/68U8QQcucMQ2D3atif4wTliOAAuoJ73
2LyO4ul3HBFa7zvBa73pVYEkIYY4Brt3vWVsnf3vf1rdevnw9z8wpAAuG0gCC05+P7I8E3Wzt6GE
tzrfOslU5fXWcXRtnDUrkZ4Pcr5iEKcDTCD7YoJXhdvj0a6D4MM/Ro+G6gdYR7gaJkyC4KD3BCc4
ikLE6jrg5M7Yw0ng4PkK42aI1vtO0FlvelXAPFjugw//40cmsuC14BCQwJhPz0La24xzgs1VCLhu
6NzrZOvgr+LgPvecYPK54f8tIl+/9fzp4rd7XV97H2+Mr118fr7145aEW+yTrg+LuFGV7td3eQu3
yoFeo4SbazeiV+M8QWABF7/WQrmn3e6uq3o1DIN7Y0AKQSHCgnKfBfFgd3ffQuEiE9zgtDEc2UOC
QgiZ6bIOoRME99CFQYRPoZ6LKSBf6eZjE1wFgOEQh3oUJNYWJp8u6x9pNQQ6+7QmD39vZU16pKOs
rmBgKGDl94+thIUICK678dXVeTi9bgko7EP7zfUxfBBg9fS/iZrWDwxRsmVjDOe1LU552i3auqAS
p2nh+h2/zez+MMnQPvQvZBdEc5KiQdrUDyWhSSzXFnCTRPDWX0oEdghD4YaAi4fgbV2intoGU3bO
lizoroZ4HGRBwqMy6ZTjW6yRTe1zSSMrlzQu9oooDGVb9sed7keZl83F8+IAOl9Kw00GZyEEF2x1
KGxdmmIcTZR1jC6NGsmWolmTdG4ev/TWX8LwkeZlkOlBHQsc6dNpmMY57c2aLevUlNq/rYKr598D
bMjkPYhpM9iMcGF4BflkgrhUXT+2LV12KJN4SNwInw9qZrMDgY9Lq3Wen+7LZQPmGrNV6YALOI4/
mY74DaiCr+B9apG7AUHHjGdklvinz8+DvtwthIAng0MNtoBjsWwyUcAyZtZVbC8DxWRBD4yh30VN
0UsWkKOmT0fZBLulXV+XTM9wgXqZ1KOS/qhfemMBycPaEnNCGBSIGVvViRmgKCaq1AiDWnUykGXd
RemM+hFycUZMWfvoptOkktFYCik6nshygN0UJYOeE9KbSxopssMbiy9ipeMj5Gdvm4zo2ZDwalZl
rZaiV8QpiirwatOynKyh6TyPmkK2GYrclOXK7aLBdhmto13dMeR1bYBk2PeWU1U8uWjCekeNw26Y
DvEs19FxkJMycTNEWSENnVnLhNKLBCEq07HShzEbLnhkY9co/R2TGHsIDgw5qTnsJQUG5ddLqvNY
tljtwOdIDEcL3Hh+HprzdhhnKiwvSFvYEvh0JZOAR5KWyV5WhhZxhmQw0LzjRn5asryXlAwyyJEh
YyV8J6lF7QhWUC+xhiMrU13hJNpwFauaeefzwPO74nJIwRIEpLVcv6expEJbMo1Gw02bxHZaxW2n
Gsa2k/WoMfYspQVxxcjiwuWDiN8iHaawqPqkS+03PAj3cqjF7AkSRpUz5nWWenbIAu2KuKCL2Kb1
m4YrGjhRjLthoYNwv4v1YTBUuzopQ+lnZuaEmN4MJC33UGAKpwqSfdJE9dsiLsfDpm8Gzwpx71Ew
mS7XtNkhKRl2amFf9qgigEQynLVZfAMfcKGOKvN0ZgqmlnkaeaLoxp2CmZdlWx/XaW472uqOU1Ha
i7Do+ZGKCyEHXMzjUl/BV1JOuoEFko2olcIHXUjJaM+Sqo2dNIn2giK9xMOw8NWgnLJX1xkdboqq
8GKz7JdwDy2SUTRcNK1ZujmPfTnECdo1R0Ic2wQtyoJkr8/tfoZ4+Z7FwnIaobAHLEkmy7q+LczW
lCUBkdTQLfoENdKo4nd5h9GCGvV5kyenZpbtI0xGybsOO4VfenZjH4e86B2D6WWcW4NbGQ1ymqB7
MxDWeCPOIqnqPNoxqrL0oiKZFYYq3lbN0O4V5pDLsC1Kp2ajLe3Kvw0sPYtiVDp+DxrSGLHYaexi
mZlkcBo7SGXpx5VbpcWJGTVO0NqzgFgyt6OZn181LShZi/pIWmZzEsOqo8hOpAJdjTOSLElszcw+
j2TL+kBGxlA4vS3ihR37xxbhp4VhHcWoLl0jIqGneypmSUFT8FiW9kSqTptGSN8wbCdPxCJuqzPu
m6fZmHLX4mqRoJRI3fqNzFC617X9np9g7UQaX3W8OOi1Ubmg3zfEbExpje3oiBaNC2qGsURcc69N
6ZWZGMLJ4jaSQ9l7FuljGVjjrK37Q2qYhZtZ4rBkxHYDM11glOgZT7qTHIdnkWn7UkNyLquRjMsw
j8SMkX5uir6QPDKVDKkul0WRX6SVymaM0WI+RkG4qCw/8sqqVE6VkFQ21FC7aa6MZZ7V4HL80ElU
OEo/7d0GL1JgoqWJs07ihmYy475X2/hNIk7y4rql1duYsl1NYyfP1ZwM1qG2tFsUwnAzE6WyQ/WZ
MMo9FWoZRKYJ04mLFpeWB+oFVsfOTyG6WcJ2eyeovROo8qAXzQmNTsbmqmkukMUvjYxWstPV3ThU
R4MVR7I0/FnYkx0LjjU4ZitgoZjxvjKLnREFDoJ9YqZXIjmrw8KUfomcqmhSyVQ3w3Y0TwUNZW9S
F8H2q4xdHlwq03dy2rK5b2AmWTPr88or/dAT+KaxM9l19S0t0J4oLzJRngt2N6atVGM8C7M62wlw
vpeH+DYx7EHmvn/SRm7RRMix82Q5IsMViVOP0dww0sBN8tptdS5Rhs5QbO0rjp0ysT0jrS9yrRWo
OA6lSLPjPoSnkjcIH/b2SVueG73YUcQ48nEKHrJ+i/tW9uH1mOUuN4Q3wi5OyE1khhD9dG9K1S9p
HcZu0bJ9nR+YwbDsM/G2G2SXMDn0lRyjake08V6UqFEySmE6FWJHDxmY8h6ssNHKofUvhM72G6vb
6Xmh5hkb5ql/wwqIoAWrZGIOsq7KeZOGrmmwHcPk70iYXpapdtIcO0loYJml1U4Z3dr5dUNuWNxd
ZrraKdKUO8zOz6vhimc5KPd410bqoiDRMdFumDYyrjI5RKFLhubMb1Qo7VhcG1W+NIvwOuoCR+PM
MZBycV+CKrACSVrEx8rUp0Ny0r2z8yaddSXZw3nr+qKcl2m7n7dXQQY+tD4F1wv2gfTLVsQOigeZ
duG51bb7qA56afJst4QgN2VXw6hrZ6jioyh4xxToweDviz45Y6mInMpPXVYc2gk9qlJ6rttQQngz
s6redFp6UJPK4SE9rxo0D+pEUqO3wMq0gwRf54WBWGZZcdGmUSlr45j4rtKqmFOCK2cwykyioo8T
JxZkXuYJncUNC+aDUY+eXVliaReqdnkMU5l2FizLumTgS2jrWTE3PDjVUztGZBKPKTOWzM9KT8Ww
/+Ogjx0jzrMZTcjboY+zBdIDkrVqYi9NOjBITe5inR92JAHfT1nnVDm+tHqjWXTFaF5WY8CcUbX5
IvKT0u1GpZf9EC5G28BeHxeJM4igc5I8i2VWJAcaNYMTFm0rE10OXswZrGhtoWWPg+YqHRMbfIFq
52nV7/WG0rIu/HGXiuS0NiFeQHW7iPPCKwoczLOepAuU0dshimyn81l0ULFUy3aoe6lrEXp9beVz
y8rynbYzZ4UQ84CEECV1tn0VtEx5Y9rFXtbs57WdzPwxjpzeNyAQ8+3Ra6wxWITcX5ZtEciijY4z
PFwVCSybKTzwJ/O8GPtDvxxvWxFoadXIKxK9iBu7nH0Mnh9y6aP1bPBG50MJFvjh622f/vz9/uMn
4T5+eOzz76vvv33+61Sn8N/0kdVEn575/OmyVZb86Ttmk9T7/hNyX8nLn238lqSdPpu0P3xQSl8/
simf0/ZVx89pu2nDnXvbxlB8W0vayTb8KQiDsjWkHSuy5iFpt8xtBrU6CiVtAYnrk6RdbEOJiHGo
q8JpRDicjb4laf8yuYJUG8NH1SjcOwdaaJJotMSPeqtoxTK3EqekhzwERVb4pUQcKsFr+cxHauDJ
NKuUco0aUGCZS5HANI2SxnlzwJXMTqwTU8vi0tjBRJoHzydzTxOoLyec5HKZbkCrWSeWXXNdthdm
eg3Jo8yj2+enQS+s34riWX+x1kcRqyqYJ6ogFu8SoeWgwN/lYYMlJG9eIPpOkj6AwL5t54WvLkuR
3/gWRC1dbkvSQSxlaKvfeV6wze8PHACCc1/w30rutQW3QmZafaXFMrAuadxIDQY6KLPdri6+c6aV
JGszQURHmoYCtGVvXfDOOg4CcFZZVaYyzyGcev69rC/ZDdiwbHUQBHJ0Biemn04X+82YMbsQy7B1
zNgNZJ1Jknj6re+Go5MfQ9QglWO7sKP3Q698E82iGffwEnn2S7t6NdWE73oiymRTW0UMma0JoojE
8HCt7npVXZhtdpTo7jrv1N7zr75xq629+WRLB6HCVR8CpJ1wFBYO5UChxS+QIBv3zedJxGQ/i7av
eKxhEnNcpiVxcTW6AhvSALf2V7wO4Aif+aEUfzwvur5v8hY2jmFnYgkpVYZsaYSL0qhe2C4bdguG
wTEQVR8pncluifquJZ2CzTkwcheK3NHauHn+PTZMQRBCYMNXtCt89uvphhSBPwJvmIulYSqnbS6b
7ttxfzLByrauKRgKklK1AUxQlTMS3/X+Lk/pC+sE32p8spmBcbLh8AcT8B0MzuCzS9Zkd2VVF5Cq
NPmS5VYDSZSVepU9ll5Rs52BlPMqH2ZV3uyJsTqGcmvmMmIMTp4mxOmAWtCZaclCtXt2GDsZt96y
oZRtYy8UGz0Iet3OwheIBL5LgjKQPsRpicx5mZ/hsjvkfbrr15DN5UCGOcVg9F5eWonsRhy49pid
c6xbabZsPEiyOseySRXQcTmDlIrm3bWCkNIbBfAwft4AqwNvelg0pu5kYLDuPEkCdgKLVu+u3PDC
akOgJZJ6yfp4dPwOSAofWBEZhzY/7gZjpNJWTeUYOmkcVdBIhqS5JDFkygWk/F5W9fVt6MNaYd2p
C7+s47nKis7JAuUOdUikTSLTy4kugA6l/lWOzGyWmEXkFG1oAGEInC+wA/OyI3pv8BMBSZUG9wv5
lGUb1An92pdd2rW7TdJHB6SKooUidu2ao6VkVKKVS8lZ7oS0qWUSWe0yxtFhrbGbdiVbtLEaPRpG
rWei4aRoq9yt+75ZNG3VeTT3F0WN5+0obJiumcdpis4NTe/YEBeOqMv3PfCTixxlw14tshQIgT51
gGasXJolZKZbVBxUOGnmkE4BaziKhdkM7KbgeFkYonC6RJ+DUl62mM+00SSZrKK4dnxDvzNSdGsZ
5eiZORplmaRnbYi1VEV/oexkjn2UvG9yX3uE0WQv7+t6Cbc6D0pWFgcc16sQtqxnueqUlytcSh4M
u6nNauCmAuLkAz0sYzt2iSKlSzJIlGqVazcRkOIThUNP0ZzIvvL7VQaZ7fpdrt7xMYdoRBVahkkk
3jIbqgNFXWVOQut82fEyOFAGjG6A+XUU8Hx8gCApwN1l30czbED1oANXJYG5hiGUFUqu/HkSGWck
Txd1FvJ33OjeoSjPXJFWepYnHZNxEl7lou4XaZi/oYFugJeJ3xpjBWxNU/onjSZH2jJaN410AXla
18yAAH5rRrpfohq/T/uxmPXGwBxTGaYTDpUpswhZQBH7akar8F0xrhgBbgIx1o6hzPwqcP0G091K
FZGslJ6HtaFk25bzvteDEzcQisRVVUtmCEOSUbAZCppOUrOo3SJAbxvgQtwWAUsQ2XxwEAAtVRUJ
oK7qhbaYkjgM8TzJIk/n3NiL++StqCEdyUZ2BcRnILFSw5xa7WnQtIGTVv7VoKkX6hh5ol6RJCx+
1zeVIdNGBIcAVrq0Sdjuh2WVHucJI57KwEzogfg7bTVW0kxUNE/C3ge+0qQLWleJU+DiqAcCC2i5
wjF5uNeMYAPSHoinIXUiFGUOULRnQxYugsh4Dy+1SOIUqM2GvEfhaHkN7k7bwjwKtAic1gxTd0jt
c7/ImctiDSqkRHAUJynxklW6XvOZgmVwop5RmdCuc9nQLbldL6vIt50sCk+YoZlj9yVaRG0nZBzX
Z2VX7w7crDxLDK1DwqBY4M6YAz+qXIXt0BuL4jDWw1JYHWiGqejBiNJ2p4mplmVAgHDnEXcUpxe9
gW/GujllBj5uWdc5YFzBeDbWhcLjbdMT4UIWzGXQaCbHNg/dLOZYWkamZv0A+plWFHZk7C+axsZ7
YazZMrZaf9da5bdN39ey1XiURBTRXqciJsu4DI86bO8zFr4py3xHsbicNQHqYL18sJPgZ4CpVcoZ
UeNi3nBgfnnoGIVtSQUJxs4QkEWRQx2uEzO/7MeFqnHlYhwkrooKJx6VG4U8lGNHdnrfbp2urd92
ZT14aUYIvArdGU2zkCWK9uq2KNzOZnupCs+4MVDPHJvOMyy7gCipDBZANvRyaOCtIitwgGnrXVTS
846GB0BFM5mx7J2IMu0kFgIeW/gREPxB6o21GpcRbbLZWIWD5EAqeEUjjrpIXNCqPI2NtnazEO/o
yqwcXwxA3MBBsp1KARdR1dX5mA8auCDigy80RzfgfiajvkxPoBaYuLxpmQTiPzyIiGodWo8N1HSK
AJxOc0rNWi1IQQyvBhY+iNs3NccLXcWW1FF5Yw3WzDCsVAKFcTiq8RxHI6iqJY61L3ypcAtepYM9
UaB3OYWKUad16catuOZJtIjS9Hpsk8SxM1t4GtUXpd3O/IAmji7ABLFSzwubHiRF4OU6ecNJcGf0
ZeOOQs2VGC96oBHKwTKcDMex44/1QZjXhTMmnXhrG1ULvoFVCxTHtizqfHCAqXgvVNO7YZkDd2rT
/TIOLkCEQ0KbxNV+AeDnOZfWEPRulCTXYkyusNlLv093CCYQTVSFkpS2R1yHO3pIdyvdX1Rl0juY
JkDWYJdGxjwHF9dGu1FRytBfGaoIohmIY/Mro+Oys0UmbSNf1EFFHWqe4VgAQWqIXYbjncIXR6Ya
oIjVel1i79e1uRNjoD378BabsyYb3vAUuR0HE85NBwWda2BjP6T+Ts75gVH784wEElKXRQ/LDjV4
yctuj43LRJ+NftjJrKaWHGqlFyzCO/aYLIISCDyFLnmjlbRKfGQM/lvB3c7XqWPkQEO1xfsaCtNQ
I2/nCixMrUcZ2MjrM8tJbYjMsljDk1DJ44U35OZ86HsqDb8z31hQXvGzbHfswwWcDA49ZkmoFiic
gpSiWqLhsKj0AO7FDeJrgw+L3L8w/AMfZ7sxoRAr0Fma+RDYdCd4aO7yAraMhi0OMUzSg9sTbgx0
YDvm5z1acKj+xtaO1mQEbr43XDMtoAKC7Jnf2/tFTN/D9zYkLscdpMbbKMotsCPmcdvBbtGDKSEK
DnbagbJ5GIrbmKvOsXS4HIg1j8N8j1Zp5Qigaa/SEl3GApVAUYYyT1unjCztjJ05LkYe1U44lkvi
6zdKJ6fGGAOb33THudlehhTKWIZpGXu6gRgsZWSRdQGWRThYTk38E9xlwkE6Pq4iJYCJbzGQmcNB
NxTZYghhwQQGyw5kxiKwwK8xjao5/LmTJgAjnO5QQDHnpTP4NTjQPAzmXVyeFVD4cmojv04zNM50
gIGKbcfBMcrhpqP1laKIOlaucye13lUjhgIPFLhkuhquB9MMjlbflgNVs8QKMtm3vXDCPlqamvn7
GvkQvsYkhJfwi5kJrIJXoOY4UR1zEIpmfUMah6IodXHaH8bEGKG0ZkMcaeOOen1gZx4xwwR8dLo/
EBzJoLN2ayLKXdSTN1k17HOYW455Hjtc40QKzEYHSkPvVM1ND+o/8wbi0aSzjkSBKy8YoWbF7auy
EkdQTL4JQmQ6BbErmQVQWGG+VTmWVeyXo31JGgK+NRhydyTBftr2losNGzt1ACEEVNauelAYWfC+
hdUXUGtTB10ZLO00uITS9WFEzVlpwhEOw7dvG6LP7So6H+26lLqgh0Y3uowZp4h0O5a/V1onBj+0
oYIHfkwfiFjN7T44yIZsAKHQ4WjoVAIBm89CXgKrK4wTjNoD8D2xJJxD/TYJI4cn/a2VQLUutqE2
Z+EQSHQrb6FEFGfHRp1DkA0l8kWn4qUZmqdGloNd7/ihmbe7BdfGbt2pwDF8q16kVIdSpQGb21XT
ufDJpzd9pMFQN361MOz+Nib6qiflpdVBYaxP7GWbaUOylX02aRwiJ648OBkQulaaGFCJMWtJ6gIq
nkOdS9U0BzCkgCpJfUaGYSejNfViPygkq8dhqRN2RUMDhio4uB++n0Rd6tDGrNwwzBKvi8VeFatu
aVTD+f9h78x6LMXRJvyL+ISNwXALnH3Jfam6sXKpMmY3YLP8+i/oVnXXVM9Mq+9HGrU0qsrKk3k4
Jt6IJ160ws/UNnOazch0HGTWezkrvCFSPoeFRWZCqr22eZDOjJ2IrtukMOEx9NttH+KOWhu4QbQM
9cG24S6vfROr0gypbItjIdovvl7M3WiraaPDsv/daPifNc0wo//xcJO/8GRrKRkdkhVg/mmV+J/+
9PrVP/xprLmEzYz9lz5bl5bDFPqBlXF0fAIKJteLQMSsLNEPrCz4Pw5nEZAhzIIQO7JhS/zAylCT
wxMDwF1hyXlIuBf+E4eakdXg+NNngzWx8qU+zHCPY18W9X8xcVgz2VLalh5mvZCkwqwUI5+Z46Is
nH03TLglTf0e0fatzWd7K0rXbhGMIyoshB9PQ5/FQ2dlHFYt7lVAbxLW9zYZQDZtK7gGm7wrkM7X
w5eiNO3GsTMoEImolUpabTOlvivOHiT35k/Hjbw0yLhJulxhiPIsiCReNuk0QinPE713fJEnulzo
fvBrHxN7PUFod8GGlxZZNyyKRsinORsQ7Yj63igcvQwI2qO38GPGy+GlmYtoq7L8ps8gKv2sq/Dz
8TpdylHEriPDjezKHB+nfMsphomGOeRqicMephLxPQOpkNigU9A4Xph2tn21ARvjDHefeMbEe+We
KbaLz1/D9f6p2vHBn5fbIQOjEWrmJguL2oMyTbsrZ7Ip8lbGU6SamFU+PrwATYQ3ANTQ8rPW5Ys/
qZPfDHnScNwm5mzeaf2byCncrbTu0asYP9XdcsnYrIPTPGFA9No6doFBHIthfMi1uI9KAIJu3Rz6
PuNxCGopztVcpi0WPiUNRNx2CPBaK5+La2BHuQ+nJbraun4u8uLklcqPaxrslKIPeZdPu0yPeBMJ
pek4mwxH08rvOEBbyB02P2Ttvs7GedrWmtRfqhKdnCQzxI1nKObgWJbdQL84AB9ulC2BBE3ZeOc3
9gHjeJEULHqSdC73XOFO71SKbRTGkrhxlm2rQjgDBma/6ribyJrslw7URmX4XVPNaRiMcDCCPKGZ
vF8i251EQ1+bVu7d/AE3Qxk3jb1xUDjZaYULs8ctcU8EBB8fHbXP+5bduk4v8fPNhxrD+dFiqor9
kuanaFFuypZsL2rTJGPdf04iCHFbMFXitSRIqPE+g8ku+6ZxbUwYmaA3YF0VPTm6suJfWT/iMomg
nKmld3SGw1aR6BmwX5hwwKjIwCE/I9PnyaLMu82jcVNb3cet3037geVPWTQ7O4yad0spX4VnDrIo
dVzXTraxHblrQ5Zvca9pY5Wx/uQGRBwn17mW4NMCJOC7TgTLlnn567DUDmAA+VW4vtr4xKuSgM4I
9HVtoQFVCy4no7FX6DoOOVRXOR9m/NVzVgfPAF0xN1qTcobPv6vrq57qIyWYNhedH+ce11VpPkMS
fh07CkPL8W7x29Ox21J29LkDFq1fkrK0Vy4sXmwfnWAZXqyS6yAB8wi5nN5BLp8l5/OtHgsHg5Q7
7xWMxg2AmyGuXUcXu3BiGkYKPPS+pZ+EqfdyNauaTiA+BrXE2q85YafAGn+H36sX9/NwnRaDU8uw
49DkOQz4uUicBbflslweWImYLlJhrLlKZS3pjWSvnX+rGsg+ri/tvPMs/QYU6TsfpE6z9qLm97Ct
vN94p1gQSxPSVt94sMoGtW/bpdlq5Xy0JN+L4FQS/xA0+yIovNPUqPeiiT4s+8Yn2Hqy3JviMvtz
k9YDObXXLFOfhSHQjmObtDU5VcExaoebsNT1IRj4fVEtPOXWwlTDGGbg1yhO3oIWlqqw9MQbz8WF
mMDhxYkFjzTIyUO7glbjpLOkAtIhdN2cZmr35XybV/2maiAYl3d36a+E2JvF+66y8UGH3WXhAc4q
d8KqIx73ERm2XBWPc3fWvQeuB6AHBsrRme7nnKnYgQlSDGpDKKTrMiY5w5w6nf2sxue6sSnw3C8B
q745uVfvhexxYVGElYM/pBO9QOxHbjduRrzN4IftFTbpg2TzaeJdsINpe1XWpwk3k009117bhh3V
EpYbAAEmcf0MSLSrD30RiHvudvfR4p56j+wcvfhp37M7AHawr8rqghsS3/AhHO9V63+IDg5Dz03/
GOoCpzwIVWB4VCSuKd+DsHNTfKbMUesJGFNJFgBw3rgpmXwto+mllt65dcLDxJbg8Ju0+J/GYtBC
/1lj/fTAjl9h//ULf8grrDkG7w0w7A8R9UNeYS1hSKG8PGzZXYn+P+WVuz5BhuDRP9BRHgH7/Ie8
wr7r0AvxJxGOW2izfyKuyPqyfhJXeEgDNtEHHlADgjXMiLFWKPqndKnRlRpsXrk4v5VN4etJjARV
wxPhU3YzFLLdYlqvkjFqb8fI9R4KT0N6ZdrbLNbjiYrkzg7R/UL7rWadhPfuzRtMWLcYPG4d28GI
pBjHmTPtIKrGM0oH5MqLXB+iQVQK0qKKDgNgmCSwXCXGYgxyejDE4TwcK9+6lwX3jiMbii/+MM+p
Z8Ym0bx5jjpkoB07VlUAv9gz74ECAIlqWb4PjAMLzAIUU3opEnhCjySrN44DNFDAGJuW7nPI6cHI
4RoWQZZkbPGvNnSBgGV0FKDxTFDX8NLxyY0nx7omniPu3HDH6k2zSJWQyCBtaSTfdyOUQ4sh03Di
JKGVX3sEm9+lP8k7LkPcMqWYTEq7Fk4VV3cAQaI0anAgIpyE55MNuxFzalybQqSFdLsydUacENZt
s2SqR7L1M2123BrzZV4EAx1Xte+jhKePl90ca+u+UqSpadkBNurdK8g9b1NnnUjAAE8JCK1yN/ic
HQ1SmWMp8uPCJ7wEh+dQBh6NecevSlC85wTMWAbVe4hCcI1NTUAX5udR4UYflXhPmI2SRVB9hE/e
x041tfHg9tMWynM1E6XN97I1EG9QEGfHabd1IZYbLkq+qVzR8c3Ml6Pv92NseU69TVbW4dkbAnqy
Yz++dyb3ssSQujnqHnB53rqrq+c7FzMv9YWajAGvgxKPy1I4SRHmVQOGUOYHJeAM/+9MQwyO9gk+
4//5THv841kqvx5p69f9eaSt/AXOJ7rG9wwj2Z9HWuiGPvXxHxxs63OTfkyM2KwWUjjQwJYwNeIJ
MX8caah94hlMYJrwtB++rsX5ZxOju1IKf06M66GGLQdoPVFwUtyl66q9nw+1wO3ZgIDY3xNIlLTr
YXnlqP+k/kAuikm+q8LQ3tYhUxtAu/fATbekFXZbGuQ1WhGbTiGQUYHMuxH1dEGckSVzqTroYGTC
OStOBtZg2bY3RT+kxp+eg4EkkyyWXcQpFCKAPBx8WkJ/uigQNNwCjsbzju7svGVD02yFByXTFqyO
S+mgRuOKMV4MBh09KplWjgHaWs1rGwCDS5a9ZaM50iqAehl2VhrvUuo8vA+i4VPAc0ldA2Ke1uED
jfJbjR5DMhLdbjpLyu3Q1A5imeLBlt2jV2qIf9ooCJOpjKPZTEmWVUifi/zALeJRdBXunGic4jbS
LJmC7jPq/GLHFrhCHu3DdA7qW67GF9VXzdZZDEONgp6H0Ae57iFan7CKMqbGeQorkU5c3oQ1fWS1
f25HbfBL0vXRTt1NofND189ApcP7oqmOgd/dhaZ7r4V/oeGSw6eHsp+n9tQaaP06j3ZBpj+KHtQY
guynMPPEfV+P6ms0lCrBE3FsDg+W8JNteIcRQ1QaA4zujgLz9YdLFdkC5Q22XqNoUowCUrYUydz6
QEZ1B+5AySWxgu9Ujn9pKLmKjWgjmNCgELRsOqCr3c7x7G05ZwBdfZzp+bkHF94X3gb4xFHSEBBp
hKhNkHrb9/5mCOymsM0Ba6AehTtuteum84SIZ+nJEE9T+eG46BDBl/O31m1uOhgEpn4wpNp0ykFL
AZiC6/cvtiwPoq11vHBxhwCZrpn6A3GjPDZlcZEBwnAJvyNpRfDQOl2WYHPL11KYj6V29xlVF26G
A663C4kmMBNDue2H8gZ6eEryiZCElrg9jbaej1YPzW0wkuhS0alMGrePUnjW39xpDC5E9uXOY+ox
yGHcxLqbnXhBfL/pWg8DV9Q6u8yjcte4o5eOZgEUwg09uF5VI59ADQAo4C12ppdp3qJkB2rnrtJt
fW0aobadH/GDI5BqdjUaGkrCFzfVWjKr5RtudU5s1bBc0eMJNlnWf/XRMUr5PHww5yNy3HPE2zvS
tFM61xXiH4CN8UB6bxfm+pLDcY+BRzsQ4q0bq7w5U2OcKx/Z+8z57UQxjcOLBK1CMhvXXWvjrse7
NuTijaOtnuS+eBNSNPeL74AYwLxa3g3+9CVXLqR4VTyFrR/eS6QHWyD5aycLsGM2CrNHQq+SDFh/
Fs5PPUUVJWDtxdPd984LNyJTzyasb/BM5cuIjFQJBI+TSYppSGTWpAHtNrke76qguZlK8a3IioQR
JeNZzwhiajD8y3ChyLoXbr57NxHfhxI35/Ae8+FB047EhbBfPYnPTdT1uzbH2Cfm7yHInqqF6UX5
oc+LZ+2Yo2fDZFDIJoxAmB64l3zsL1OPclhL8zufqlPtF+6GUXMEj423vmivuiNvEy6G1FD5SZbw
zrDshnBLIMqGTebmOGTZpBJhzF6X+NlstWmGkSQMblXWVCfPAaJnUEoR7nBtO++17tUHntVz45fm
2HWYeitYBlw4t2HoPIJhvRupe2jzWifS5CMOnTYAok0eS7d480b5ROYZj1SWFpWfBlu7Kn9BzqGr
fZG5zwUpsl0eminWS+vA9gm6W0I6uiXOCDxeNjnKVzbbtHl576CoFcM3z9BdolU6uINKGQEpFPQT
j21hKNw2hbS5iZ77wMPnyp/NO4um/iJbf/nKcKHHnc/JzkUEfNvJyHlrkcmlMmNeUruVymOIzeYB
CFC1jwaF5N6Vz2os3aPJAMgbIUccaeortGT0QsExnAJo+NjjLUwdj4BxsLahOVLyvEZLi1T11gYO
eQjldBJUscTOurrYXgQxc7sO142zJKDiz5PwXv8nl36XS+A6/7Nc+nnzwF8EE77yh2CK/m9tNUZQ
PtiYhTrDn4IJa7S9gFBMcyidUvKTxY6dZusQGIEbR0Ub/vufgomtj9T57aFUIf4Ae4P+0RT4r/Af
IFqXYYsNIEnINix0+LUyHOkABA6W4BzCDHZ0R8ECzCZ6mPv+rqHhCwoBexcly0MAe4IXDgpDqDVu
R5ZpgEe6SDMn1Ptuqtu/wxJ/0XF4XVCL6Ky73srBr+j8zzqua3Q0Udmxgx98lsV7BRcPkIPTXZj3
vQTL89Mbd/u7Pvy5wA6W8N98PyQNiCwYNlf8pdlsGyUj7SCvHz27xBONrsx3ZSrJ/OT1/HPiFSpL
VYXgq2cy6cFCJsTjMAA7tVNTCBElpt1ECVQFgdfX2SBRrGrTdhn7dFj4XVneZJq/DwvaGHwJzw1t
L4HwbjIPhNqgYPVl1k1Mx3eT5jrO7QS16Dvp0PmXkY91snTDS9k0OMVp9NS1w8Ex3b4h5WGeXVBz
qvs69t6zBPyeirIqkdPW6lzY1T/VPCmF+FLk45ZnpttWmYZZO5f3rRd9c9d7u5edABjn21DnJ299
c01G5rStqyyWU9VucRs7dbr6lqNsGFmNm0+24lrTm2ucKWmpgwqSPg6iQBiou6+ISLsNzLUrWDBy
lnb8zmqEJovUITp9zRAva1DZsnKnff1I23qjsD0WqXw5Xxzdptw133NNPkKSO6heQi70WXBnqP+t
DzKb5qNcC6rnquncTdBlp6IYT7IFsieCnVNLmYTCbCkP8nQqNCxTvwKJCPgDaTgEWNOTAyTItQph
tbVNt/WKyKZ0EJCaul7SoZiWBGnZcN+1ujygqn0o0IVmtrSrYXofQiqVBa5NNdtptzAAZA7tlthr
mu9Z6yLuZn4SlWLeW687LviduBNeRT4LJ9+NPilojBLk/Nq1GQ50BqAV1rpjw0MFLoul0En+B+/C
Ef8IDJBNVkl7KEgHbQTjPc24/8DzpUXGNSyPVFo/BYwA/LRYPpps5Amn5iv0+22t2yFGcH6eomgz
RIBKNJ0AYkF2AvazNsVMXQF1bB+Vqs5tWbWAKvsNW8wCFgnQHdNbjE1NPM39Qw0mA5Tv8JbVdXZj
S8MHtGTXzisrMlQtgov0JQgCV+5URE5+C4WBjRAoGfY0FiOCD3fqAXj5xX7qglPWO2Pq/dYJGwp3
D1WYv6LppnfUVEWcKbKbjLO1zsEZ+6+1Q7Y1EOtcLDouArVBS/YpwguOS3yCEGWoOaaTLjesl1vA
HsdZ+99R9d+udL4hxItd1b/6URD3ku5oixGhHGofrnntboTGO8fccktNflXo9pVzVG0QlpPbOaMB
tCgwlpRp1BRdXdI0B9mUWmc58gZQuZe5TeK3+nnQ81OjzT7y9T2OkKfBcoT9Q/a4ZMsnYOMjMpgk
dMrlJLQI0kbnr6WJOvAY485Qo5Iy4sgOao+9OoF+ExbEi+N4V96hBzijaL6lFPSzzN1n1cw87rCu
NEHUdeWRqY4yh1yZI3NibXecJ0HOUzVdG9VEcUiXV543ZUJDBGFAiTGgDfQtrJ0ZA2ph9xbeXdyE
pkzFLLstbhHkOGi2H1tZXUynXkwk5qQDtZuMEPSgTcTixFqybCcDNm2k34EHkej4j8NL0M0YqdBe
S5DmZolXDTcl8o7YU/JuLKTcETd39pnTPw1DC/jLKZ9Ld36s3HrXuejns8Zc+qgDV6vdYSdFjYL0
dBk8TDeAwTDAXoJBPXlOlbjeXgb7cuFnhilDdN2Nmrsjbp2nrnZ2E3KImPa4BNxaH5saAFgBOUSH
ke6zXpHHJcxgdUFJblkZPUtlixiAQxNj6cFHJx0EmJimatLusjbHoSo/TeDNaWDKJ6uXB8Kae2EG
lbQR+qO6Co8cDIoXki+Zkx10wL/2dW9AzgSPM5hy/F5RWs/XyLVC4TCfyyhFZ/FBNwrpmP0+Bs5J
kGA7luRScHocfZbH7kQhkvtmrZePYTKzwUPJVOxD3LNjiaMScbJ9q8aWxGEjYOKiFgPRKOPOROdg
9A+DmoaLdKDiizpL4VriMjE01UMWbhwziw2Mh2EzWPYyjdNH20ybfuD8SPwxrqrJSca+/YSf6b5h
INyPi4ytrM9Bhc88hpkxXbcb73IXhQQ5G5nSvNhhGJ42S1d4IKDovg9Zvw/mZu80QHO9fDlh10QO
aJLSOKDOdmLDTTavSxlK5SGtVFdT03pbEXrXC3b2cWu5b7roKOcaMw2tm302W1jURXb0BpliDUQX
a9jaMWswFAPres+j4pQP7vM0AwUrf6sAc3lhMkCQxapNiDUGiFNLhEwA33d1NF9yzIt3jqfaNIJV
GRuGUVaL/iHMx2+LCK+mrH/3FlFixIqgfyM1VmThZ4OKw9bH/2gETAmP3yO/uO5FmI3V4Dp4e1x9
darsoQR35Hag2MQCw5v6v3dI/pfPrNuM/lacv/3xeOU/8Zf1C39oc+xwxNoihjPtt4eOQ2X+MDOx
bg53BhjyWMFCkbb8aWauD8fhPjZB+yTEoLWu5vyBv2ApGtIUmJkEziNDkP5PtPkqcf/1SqF+END1
oQYRYb95tz9LYMl0ThY1+wcezdjlESxfwty4G/zd4W/E9t99p7+YprYEK2pwTeLc0RqFRSx9EH9X
F/z33wV7iQJ0TkEH/VKXarkTicLg54GyaTeyzJ/AtegYqYf9m5/n12IWjF8gQ9igE/LQwy/wF2yo
H2vaThZHICvKKw6GF69ydj9dTf/mY+zBzf7Lu4MBBYMbZjpMYb/8NDhuWdajxn5wHP3Oeh+rBNQS
xSpARjWF1ZC2CPRplonzFMAaFJI+lyS/ncHwwrZgwSZQNexY1eo4a+qPeZRHMjdZQrLmLGt+diL1
Zjqy8Ru+r/N+F7imANfeb4bWRbgVsWvUjC/YHzPAObB7A7Gy/e8/IgbTv/6EPpaHuViAimsZH5uf
rz8AOrqfLKiANpDfut4+t91yEIj4+i4DKhRgcU83kKf//k1/+739etUjFKUw8inW3pL1KvoplZQ9
XKs+w/k446fiqkqyACy3T2B/nvxKrAtavo7aP1fhklCd/U2l9a/XKK4Z18dhwFHP/u1JPT9/dyRP
Xm8rLLjCuoUY0/zRoRcd+X/zXbCF7F9+tyvYhqIywfiO6ZZzrDb5158S9y/KKgjtwwRFkjrG45uC
5w8RQ2lgHoM2tapeTlEr8puBo6oj8+zCJyCirpiLbY3yL26x4MvmxTtPZcOhEcgO8eu5dHLkh7av
MbzRtKDYNtQ76Bp1XeQCBwhWQGKEyVlF9SUwMPXo/MYm8Lp5i75HhgVIzYgNHRH+X7aKIhRenn18
qy3aNNVhiAx5FA2j+xJqiuVuiKbviExwVVpYeBT30F5l753Q+jo60GRSeIcCGg3ZQemmoscaIFI8
VdBxUdYcDXRdr8GHQefJkQ8QEIBuMMRc4PRjC1OIohJ3H1uoRLPKxcLrTlnjPKjOiC121ckdg670
MzBlDEoTvjdWw2BhWMJXGSqn4cXnJVRTb94bLqaNckQG0gjyVbbOqmRXUTus8pbS4sWughfrl/a9
qegxWsXwGKGM0sH7j4u+x+W4imYj/Td0t+Fx9nAk0ArCt4PGrlexPUJ1o0xCzyzoj9kcfhhBUwzW
Rzt61VF37tXBugBYn1Dw40CfyarpA2mzrVN0MAzRu0BzBX0SjAB8RMKKEkrZz69Tba6Vo/S+WKcE
wWb0CTE4tAxurzdiL1eYczD3dsGeHJaUBOwdI598yR/7dQ6Rcn5CRnMvQdNki/vEMLDQdXKx8zrq
Y5hBAIH5hmlQ2Ouko9C/TgOvQg4yzCXlqVMaiU4mtkiQKDtgv063ad25wnSRnTylTwqbLqwTPaBD
BsxxUG/zyKu4mjC0sqjCMDFhyZSLT6+i2OdVRiPyJ+HC86D5t1IDbZmGGa2xBZGzgXuLVCsMOw9h
srRiS4ma5ffRr+a9k2PrTGFDB31AWixoUGXD1uu6fIeiSBBsmOH6HZ+OmsdugyYUIG1Ukhb/O8qj
uxmfN2wNu1Ry/uCVOYlCfQPC7G0RWSTzIpedjuwhqFA/FQV8fj9HgyMyd1jocxpNg6KRyVC8Ltxi
E+EWhtSFzylqOYCc9RkpZwrle+9K1EznJcUw+6Xp23Hj4btBxmNTDNZgxY7PVuTPYu3V3CXVZPML
x6KHpBm7PAUlaZ+YXOgrsT24VD0AHPU6m/rRImLegrMf/WgXudOZZJLDqRkf7GLyPahyrCRzxC1r
wEtorO2yDeFvfuGxm2okWHLF2+82ENaAaESzpu2cLwqdGdx/JDuCGXryVJcDVM2LmHMBMzovEcDM
83tu7asZo+rNAnbdOYiEb9CHXjYzEVfMedcpWy4NaKS4dcmtYa06MSUwzar2ijbiOiqIMSU4RTaU
6S/FitvWK3hrVgQXCSvaXSuWy1dAtx17GZdTuzKUYCcmF30/MQ122zmVvR1H5LagfZ1mKNB8DMV+
UeRO5epolgKQxhquzCvf1Dv9jgbytgL4VAGAAjQwAjfAR71b6SiyclJ8JaYI0CnhBCIZV5oqWrmq
sFf9I627bpcDunLmcbwvVg5LA8hyLXBiBEN3SzD46QBoy3fmUz2398NKcy1VeyAr39WspFe+Ml8a
8BeyySsyB5sq7GVILAAxABPBLh/597CKQAC7WdrJIkAxD3UgkyySg+7gyTIiMK0EkBN6sBTRWn4w
2cZbqiMMnDdHLK+o76Gv+CbNyeR2B5IQyR/LL8F6DvvLI6EonRbRzgZATYtXXdizM6PAiSYharIG
O7OAUaA+hXNmq6YoNmNlEV46iVN4T32PEpiKUbwlWDa1G+h0cNqP2fduwj7Ni2nTeIhYsQeRFmcy
6e+VSzHtjxpWJt/OTdChpzBs5HpwMl4mcxd+TJm/Dx3/JWAY76cG3KzrtBsadi8aB2RQ9m/zLN8b
8bY0eHHL0KbY2/RQuhesSLkLu+55sW7qZyKGM4n9mezkNs2xyfubxUVAPz0L5T8PxRr8ZQF2+vhn
bId7Id140QX+ftRsO42kNBf8mPfDF2/AWde5Y7+b0dqmEgugZMl36H589Uvn26D1PvfHjZuH2CD0
YpoQFduHcQjBFSS8ZQcBKyDW2MVQ58XWs49yBZiaYDOWPnaNkOnE3Rnd1eqgULLUJXmPuiJMCQ92
hS2WFIgoVi1xhoZat7B9Ts2dGvDywt4eEH5XB4AyKGot0xQjVkS7EX7yyOAdCM8FzaSiEjcRYECo
mj6yFmF5QzCXi8nFRiSPn8DRGPQvouNctGwLf/8uCGq4fpaSmOSaAaIBvKum5ghDSJ7z0tR3Gsnc
ORsznGvUf8fWhyFB50sl+dqXo1l0NiIC+wDCeAro1c/yj2bsX61DDjZvqxiLOrGgiGSfKsRVXNDx
kfnonI6Osw0G2LSzErhVeSMWI6K6WIfZxyyiJ7+Xr8gXsNVJZJ/+uFwHuZyxpO9+RNsnqYO+SrvK
31C3LPHCm+eRe6jBN4GLHm/1PvvNVtaommptRkgpbArQLhZs5RSr3qgbvHm483uom5azf2SOfPL9
3E27UKMuueDG0efZufLqM/QgcAjAvd80/VBCxH3r73Qrblrb75V7P7fdBmWhpORuOjBsHxk/a589
ZChw4x86TkGz67qnqPgM/W9ielloUcU2q2+Wib0XYXEsm2znZY1Bv+ZZ2e+Ok6WiKna10Gngpn03
JHkjkwjd8sgmS/5R+g/1MmN7Vo8tuRuvulFoV01SvpLmbcQKqCBst0WEw9XFH1NB4GDIbzPNrkqr
baAH2EPLcZgH7GbACrWlyuMGRxbOJPkgzHMtj4oA9hAAYhU+yagTlazdmBHvdZTFLnPPnjYbMlfb
lkdbbSCNKF6bmr+yksDNZfpNEm9Ma4FOGFZlfkS6QfpadIdsyco0cnF3l0WOiBSHEvxOXFZgfzCm
cLlRsrpVFEKAczhnuevvJqAh4AclkuORHB2c6d2MBHlowhwRyjwdhF89hc2UWlneu6I6NFGIVrJe
ZZSndsHAEhSWv8sC+17q+m5dzpX1LBE1Q2aCQmYKAlkcfYNVbFKh0O0W+rt1NLspPDVsojBES3nx
+HbwKi+JkBQclQKAlvGXmpBgQ2fYWQ4Wc/4/eWe2HDeyZdlf6R9AGWbAzcr6IQIxc57FFxhFiZhn
OKavrwVmq5IMMUlT1lNZ36crS1FOAA6H+zl7r20krgEysA2XQunuVLdt1r6AzorL4JwTS7lg7x55
kysfxKjSyxCteGErY3D0a7BAxaj+LEdqO2eMnA0mrjPHUb7ZbjRjZG1tlwc1TkyeGSyBDYQ+DaTf
vF8S2F2yUjsJJ1RDajJQ3i3p1o+cgmpeeRbydmkOtn2jlGa0ZOeTobQT19Cn7t0gPklr9VaLje9d
LRc+1TmzZyLgyVuxobsqNK4yzRX1WUtUfT3h9/Z6K4Xqxtdr+3qw+/+5DqXQOUXnRqeJAsM/l6Le
pt383Sd+98O/ylEAvmj76oZDrgh0nHetYs7CyNsAds3gL6oRv7R1OmnauK1mfovFQX2ubv0qR2kk
XFBA4jBLDDf/Vf+TctRvHdIZE8YAtqnTyBbHR9aqdqTCybTaTc6mqJuFSE4Lvm1p+/jm5nxQWfmt
7MA4qAWRBKqUVXTtqHjjtjA2ZMI4FHjXoFAjT2NlC5t5e9S6p3SdAcpaUfZFzch4rWe8qzxozuu9
dalQ6UBDj87kjoXWpE+VbMdmOcDVAbomVfJN0Gf5CuPndBrhVFiUiXHRVOrPrG9beAaIOWZpcVAZ
J8mYfLPt6TRuAdz4VXAIe4zdFSw/z4745nHiP7VwDVPT9oosNrbsRuXKjU19XsCE52BS2upJ3S9k
lLjU8odpF8T5cKZNSn/l1Ja2DLI03/nK1K7beLqNwNmgq0HCVYrR2dExMde5X9wkc/XdFNGM48nM
de3MO0KNbSNHYn0FIYJmAI6YogWzHDjTQmtgJHR+9SMfW/5lM/jRFkO5VJtq3LbC/o49dFyEIFbW
YOTqjaN248owGnujNiMgnMFlk0otYtCUU1eJ8WplxjrWCmr6NX3ums0BvYmd0pmbMnSuqfnRcKv9
E7Mtyy1rHN95JbztFTXhdBSf9pEN/DQKEhTQTnSS2h1NPye/RDTTeIMaXbU0DrDo9E9NUH431LDF
0uEoaxkqy9YVch1O5T7R6dWOacGGSc3O6/nYUatIENFvg7aJnTpeGIZ0d+zM91PbnvZTNe0qECZL
KSOM7A1lFtRtoXreUGfYxZVjHkK9Cta2PpTnVmSyWuKDXei+cTmU8U4r2tMi774lQe2vK7elz5Da
z4NLg8dOqgTLfXigRXSWdXT7aVdswxxjDqToex0LGYSMCv5O758HsVOs3LLCUlI85XEI4cTv1AXC
UMhJIjfhR4IE0VLlWWlsG316+iTDhK9DWT7YfNykmFpv8ssDhNYLOgvDIVJcYEJ2A8oSntFqzNQd
TyRYqCEbpZxDX5JU+8qVP6cuFBvagC8JBUsvz/3LWFWeNVe/cLT6whpmrlKXL81YnOpaEW16xeI8
JMbqwTDpLetZtcnLwcT0NG2rxKHrVYTuklMju33Ltw7CnYLl4Dgvfhpf8SFcOfCm1n0X7eO4ryBW
AIywRwrcVWN/E6qfr+xanBRjtNG0yvJcq0zv64TPZlmf9gZSyD6/zloo1hS0EBQY8ctkaDVmaiff
VK4NH0UBJpV3Zuxluq6sXMq13ujX4L+7aD3FuX3qjLxJtJH8hS2CF7ymDjKO0VlN3FwPgXOx8m3z
1rF6nWlU7aMgNi87PGge72FIpURFfdCV2kYa5QPA7fNSo80/FnIDSJoJF6MVZdt4rZYohHvZ2Ms4
f8KC1nBuP9PK2ULRNGc2+F4gGU11TY+7W2c6Hi0rzSc2/dJCwTtji+Iw37eOGu8mRUN420Lfycbk
oXULDSZ7jyow8u9Q2V+YIhi3Rtw8OiLq0FNY3VLqVKhsGtjroFCp205IxxRV4s5yIm0RUBtiduY3
St2FD50LTbTsY3mPKFM1cdnlAdaAMYAPC8R5gSN4ggRdVO1dnuff2JbuoTxtqynTt10ThBesID6r
lGvXbGlreUEjz0B74D4rfhDRtsP9jhM16j1w7exEs+hlHOyHAAlKYLVirRoUdsDQs5lCiakIMInF
kJ4axvxjrnEjRUWwgawQz4XF2ur0b25lqF5ugTXSs9Q59IMhYUp1166DcKEfMfN9/nX6rUB89JGY
v5JvytP55AZJl81fJxvjJ2W8pJDbsZz+qr3/0W7p5n8XLnWOq/3nTdDhtzitvxty80/+2gFZqNtm
u5RNPO5f8NNfDTnjP8zXJK+/mm5zT+fXDojkKFqqGuo6x2bzNAeE/r8dEPupubgu2K2w/9EM2/mT
HdBxWwl03uu+TMfjzkn9tXXx5tmnGQyhzB67rRUkj2wU1o5MD29uygebn+Pp9ToEezx+Z42wlzmr
5+30AsOXWFFSdVsfSUgt0QQ7rEKKhZr63ww0U0JJ1KI2ejRQ2veN3uVRt41q5Be6sS5756pURPBv
xuFJomM0HI0wlvcXpHSxX1asa1v2Nf3aZz+FTsleDZrx4/ML+vDhoGOckyxtMmiOBpJDgi6CCsBW
n4pVpca3eBiuPx/i9QG/3SG+Pp0ZkWnZzFKe0fuLKTFj0tHj6aBpv6is5tbUR7ZJ07NqdEQBRM5P
WiNPgwZnvJyhs1VaftF2PN6E8xvAQYAnTGfa4P8cXaWa6LXvS0du+fIvDcxSQ4YnIL9Ox7+Oa/8o
U/hqoHmX/mau60YdsGEKum1vsllwZIAIEeoh54IFXoTV5zf2g1nvovNES88hBcLxUS/VUaus1FFB
bQ02GIW6Tw1rmVdfwDQ/vCLktibrgEqH+OjhKQmFpyQ3uq3NBQ3ZiRbjg27KRQ2Y/N9czn+P9Nr8
e3PvjLjGE0hIwFYEnCHqbHiYsFcs6iq9/Hyg+Sh0NB+5b8Kil07iD53L9w8JD8tYh0XPnIdIxPFs
VbKzSTsXLC5Al/yvb9I/TokPn5LJ2c/hBEr9YP7vby5LZH7mylJ2W0WKMz0IKEGa8kHVy9t/cVVv
xpkf5JtxnBzSYRWiTLNAGwl6eL256RwgUebcnPlinn98UVR50OPQuBBHUy+u6i7NZcdFWdWZ6LWH
RrSr3KkvPr+m34dxaI3MeVToErDNHd27vh7Kkn5aBytReoPyIFHul5SwPh/l+OgMccXB7ERb2Xo9
8h+tDpOukwtEy2yb41nQ1HSlaP7CtE98xGIaHckoPf98wN8n4PsB50X5zaPCFWFWVcRXpIo6c40A
EUFjHT/jkuuoSCvn7eh23udD/r7OO64KbtdW0dngGjy6xsJtNESpWGuiWRCu1pxG/Mj+4qv1+yD8
yw7feWQ+fIRnC/bb60p9BHCVOt/IwnkuqPhqDf24zy/k9/VoHkPA3DXRGfwW9GROuhI3UUhmgOah
1L3Uk+8lqImSlu7/bKCjpXwKTHMKurzb1sazMldsYL2643VhPH0+zu9znLmnkS+ozXSp3/Yudmw1
ghgFblqm7wqVYjxZR/cdBuh/Mw77Oujmc2nr6F3yu1pI0yfkgX0APbwQRQOpKMEXq90Hj4er+XuU
o1UI+ITQG470WxVvjiYeKzSKLikVQdV+8dZ+eN9w0pJtCoLZOfbh14aI2Siwc4mLBsBpHt/CM31K
a7n6/L79/rLyfOYAVRNbhUNl7f2kblPDp7/OGtSNYHVfbPQhMeCwqjwPFP2P97ECXZTNBLdQ8TDe
+7FsIJEFlqhmG9Co5hw6B4LZybkS+P6fzwaczeivACUw545VSlbaJl3Xgw4zpvSZC7mnHvbS6u73
z2/eByvC22H0Izo6TZQqcVF8bQdwVGjkqMpHseX++VR4N8rRI0oGODljFjUgG9k9JmSKIAXq62nz
+cV8MLcZBpcL4XosPcdfo0INomHSGKbU0EjgQSKSRFhn9CMvS0f9YtrN+6r3mxTCvt4MdvQiQfTG
VZgq9RYXxrLnoF6ZsC/Dp5hEnkrmK8Net4H84kZ+eIUO22RdpwCO1v/9/NNGS/hKZzRbOtwNuU7A
DVNKtJMaH2gO6l/Mwa9GO1phpa0qdEl1Hlv1IySxTG++FWlPO0d8sZR/sFQQIIkhjBfG1V6hbG+/
SwYLRVcBaiYBDUpkbSA+pHtlGF9sijieffTQ/h5IO5ruvNWUvw3WcrtHFu2IQAkWvMk5cCUVhQOe
H1VrlGVsmBKHZCwPrYxehDbuXE19ymsM631l0vO0X8oKymgIvAKPe3PuW/EtrGpzNSrlA2b4G7ri
Keae6kQmxnNoUKiOCp96aWMjEQ3ED90kJA0tDaapTB2Xvj/7zkVz5piNfeqGdrMu7aTxELMUFKZr
Tn/2rMyyTcyT+W08cOAEoE0X0ilPpaofgPfcpj29+9YPfqAyO8XQA+0DAC/VognmrKHhBCmfQr11
vTKoyA0YM/qXYMmCRFkLmV/Yid4ucbomi0YSp2iGV1nZYAod7HskBKVHC7FZdFbo7guluKYkaHGz
pvZgT7hJCNBsVwBwIxRl1SNBHR1t2W5lSNXcTopVe4WJjsVJw9sGBi06eXfaZ1a0pikTrPhXzJN0
SNxH24ntbQ1lDGNX2W8MnRhVhEkgOmL9p1JqL46WlcshJcdJsl4BRbmEVxUv0gLjqawNTgo1wlNs
VlZbfRfhuPIH5FypNVsgMnnhR+UOD+5Fkzu3nZJt6Z6uLYsS4uifCEIIbSOHfmmO8MOqRt4OjlLv
xmnuOJSCaKwpN17wx9ZwCaI09QKiWJVD7YbU5Mj5ahvRxOhqYmff8/c7kj3nkES/cHjkukKvtDRA
tPatbniEUjhLNwC2l2QSy1ijGFdTo4Y7kXXmacD+sl41gPMLbfzZ4+M6H0tEM4Hb6vZ5odmnBixQ
844irXpu9CX6QyXqTpoQnSdoPdelrWo7P9HZRruEtsACVRKIVpk2HqkJ6Il8i1Z01tnlvQrknZAB
HSutZo/GZVpi1lbxhOFMB10WFaG1sWMQo+VUuU+REcb7UJZwp+WgbXzfVFeZi9TM1lMfUVdibgOI
GOFCJoK2yhCXV1PkFBsLpQw27eEEGna4avMezY7qJQ37+RH/MHFb4hoGrbuYkPxYU/HiZ6aytJ2k
hm6j4GEJuhuUOeWyi8qDxK4E5txLLO0cPZuPWdgZLDjHXfKQ1GW/ILHhMJEriBi7z2gpyb1QMsMD
pTgs8zasVh32k73Th/kPR2u+4fO/xsVy1fKX7XKcLuFZ76tCtAvN97eNLW6T3N3SFwBf3x1MI1+x
VT/YSX9vDNE3VuK1XosD7UrCgNXH3Ii+k6x3lVkAzHrR30TzH1p9RO5FkqWsq/U0ao+6ScRWX2HQ
by8zxQZLwdl0jQp0A2F7ZbUDoi2blMCgc0OPBK/rRBYPgVYuXXc6xW0xPIQpalg1hIHvSqe5aqB8
LBoLOacug+RKqkN8wFQ/YH7rRiAag9txZiIFdbAbax9YeMxADnTGRdWE4UNVGsFuANC7rqrc6NkS
toRqKnqw7dXyil9c006NcLydiKWosv4nGQEwF9JgrYTI16geHlQUd/2EE11t3ItOcw9UL8/6HpFv
U7ad57jDfUjrb6+5wU1RUXfJHCxbo1NcjLbbenEKK3VCOnVpDmM/Lm2Lw95qTEJrVch2uqb60XgT
fLV1jzdmnfGq7eqpSu7zqrA2bV7jF8yKLki2eB+Mu1ZWhlxWoj8lwi1G2mOYy8DqxWECpQFto1ZG
WqCqBZxHryw223UduFtf08qzJJruCUCxDpB8qvaaHkCEVb+or2OZ6Pa3z7csvx9t2UW8+SAd7Yx8
Yp2ATiHHEe74aPSTtUzs8inxWeXsRr3qG/iMETbLLz645sfjCs40mEE41BxtJLre1gPXTeW2ysXl
6CisjgV5ATCM8GzaGRK4yYvQ6i/szDibUgjMhr4bjTtdgsqLkh3UvvUEbD9I+kuhQQfxo41F7oKa
0yQeIlRa5rOYlMc0NbcaRI6yEZf1kD0aPlXGsV9nXbrCY+31arWIoAMmfIA6I0DmnAKcMk7G9ikO
xk2HXDWEg4Td0waiaeygdaxw+s9KVlycTvzFpu7DHQ/n71+35WjH0/V+DtnJr8ECDgtzMLZAbbyJ
JqUlwi82Vx/vef4e6qhuNxqNBbDTarZdFvzoA20H4PJZo9n1xaP+cMtDIJrJFmU+scy/x5taxsCG
JqwmtoxAkvnuzhL8byZASIGmri2nL0b78KrejHa0K/axSHYhLMNtXV6K9DbLkch/VWH48MzyZoyj
uSuysTb7DBNeaRPmimC/190vdoofzoM3QxzNA7+yyYs2NBi8ke3PaSMj8LJpRoah0JNoDD9fBT6+
ItvBE4VFg0j7989Ixn5n9D4HF98KH9S23xn1V8aeDx4MIhfMeUhpjLmp9H4I1kSM3yMPJgESh/5a
BVn3x+FULnXyt4Po7wfJpOZnhqLOq1nn9STZ9KTW/vGtejfE0a0K2lIrc9B82xA4qF+xCQuq08+H
+OpWzU/rzRvTBYqLB50hCr+wFrGBDtck30bAX/58oNfSxNEZkosxsOGpnOmAi70fKRZy7h9ITt/o
9eGyDOR0+oG8JkH4vIavYqUTYgahnJvhiJY+lp41Dcq2b5Esuvh/Qxl6du/ulFbHx5+GO8rm3wsy
WJdNA/Edk+wX9Y8PJurbX9g6Oj/pEWcb5PvNltQgr7TkrajtL/oZH9/9/74n1tFEFVZZjVGFIH5K
ybGFLIbbbNj2UoRfnKU/WBjfXcvRZEX4RfxOy6Gz5CjY1fDFMKD1Ldk/WeQN/p93DHk3DJNWK9Uc
l8Xj/bNWGzmSoZU027YSnhvZm8wOz81Kf/h8Tn1QlkBwitTOslC0Ou7RlFLJf7Ki3K63flt8i5qn
DMtZbZA466L2lxAxUgjeyRcT+YPl8u2gxxl7bdZmvd1wbUr2OJlIqcfSvVLc8mVK/tTT+brE0K6G
EYNwkO73+9sou6po2oqyi3T6eqEEPZG/afyjda2Xz2/kvMQfv5vYXee1kg6HTYv93SoQ+0ni+qOa
bxN4ziwyD1Vq3geyMxdaUCGlzpOHzG3dLyx0rxWI42Hpc1Cld128esfPT7frKqkJzQJP45/oeo0A
pDUvBXEYnmUQQG/3pzmHTgLcrwcbIdDnF/3BywfxdNYJwlkA4nO0utYNkvZCljldCPu28otlrMnz
ymh2nw/z23zRNWiGaCFBBdLvOH7HwzbQkAdSstVR4LmDyxnlGeNNkv9xYYmB8HTBANKQBOBvfv8Q
i26oRKPF9AiotGiwC8daXbTix+eX89tdm0ehy8uM1LFdH1eFMx8M1tTSVrHqykPGd6K1DX6hr3aM
H901h64KGzk27Ny49xejgqar1BzNgSjSa8UnNCty630f+CpACvkvHhELFV8mNiTCNo8GGyJ4hQJ2
+zYFlaYhCTSsy655Druv8k8/vHnAAjGkgwwm3fXoqkqbKLTclVu/5/DRxMqjKHWxbJNG8T5/TL99
vHhMLrsf1XRtfUYRvx9JD5TKCOf+tUGUjAfi5F7prD+u0M6DzPJeJrfgZHd0Ob1oSR4DO7LVq2hV
svedoJ7ZbUUG2BcL1Ec37u1IR98vzdH1gT4P/aIWZSk9EDYI2JqIxV59ft9e2Q3v1qTXa7IQIdEg
d+m2vr9xPumT2RBrmCxz04HqGyobCexjERKRSbpWcUETFi2ebXeLWHXOui48jcme8axqNCiMUVf7
/Bf6bWl+//scCxHswJBh5tccaQBX+dDVvZa7sVTL4rwT6riqHHefqnzNPx/2g/ePhQQNl44DH7jC
0fxpM3UK7fR1MbkMZ9q6sxswFvfT8/9snPn3eLP/FE4/dnlAI1AMF1V8n/Y/HUmQj/PFNve3/Y+O
dEylwEojC9HX8YZEBLGdaK/DCEg3k3UNymQ/FeVJDiXBkuUX+7oP3r53wx1N1xJZbe6WszIrwy3t
/3SdL1bhD2YFA7DaI5ZCySaOZmkTOT6VdUNuazMR7HfaGlluVWz9xFiWo3GfuzFMfyHjL/bEH02L
v8eFYv7+cXVonHuKVxwX2juXHBKYWIJkjmQk0j768yXM0vgfQjqaG/TY348FZsfqIthRbErkaohn
aGob28vP599fK+HRC88wBN7oFjdUP25Fi3ZyAehxjrN92t3kD15nQ7aNYOrwOotd2jfqNmtjy1PK
AipjvCflNl1kTjoucnK5lrLUdukIRygYDIU8azadZg7aCwwSvElCq+jXRiuf4Mt1bdCH9mNVxVlE
PEoTd4+FneWbpo6nlU3xXF9Y4XBPcddc1VZM0CUszRXpGPll2pOEyiHW97R2pP3bOtGZX0XJM+m4
g5f4BNMqoUQ1lxOP0Cdp7imWkZ5ARbnKcVqAE+jW/UgBSpa9vXdq7VEq0iQMygx3MqmsOzZBM0Qt
V9eAo8210zbkbodmufOpg5O4ocP4wZfekDBy2ulorkUUSEJffMhcdWPQekHBu8C1hTEwApqnDTBg
ixbd/Iidzh/J5QO1UQIzHVuAyta1bzr+QkR1uVLHRD2zbcLiauBfU16ZmOyGPcXfJ/oUuidCA1pz
bj6xEOfL0VHxeDWNv4cT2hMMnLWrgY3EPuhS4ZIsMtzGOejXXVv2LeG/U7wrJWgP2jp0wdjoeo6M
YCExcdtpHLzUlfcG4RwSRJ7TI4cvtZDU3AhGWTI7Qnuhe2TFPA2h9hWd48NViS0h2yjd5HN99P10
O9WtYy5lm9bKeYJlZmkSZtIInW5n+lwn1he2HH3eyBzPdYsSqIv+cT6KHy0bU0YwnEbRe9tZiu2l
QZuvOIijvCcK0Magok81TETXvBqkv1PM6jaYiBZoJN0naV5aFIiWZRVTpW067TwXzkvKXqwPoWMT
FYKGO42ppsbACZrq5xfv6bxkvv/VUf2ziM9qG7qmx0XcOM7wSKg5r2mJATqLLZqnLr8YZop01Qn6
bEVnPppjc03PHc6BSC8JIZYLJPrZX+eWPxJ2n0bPNXaAl/Y/5x97hqFZR0HY/t//fPen/23yb5bz
f5Z/nzxl/8cr8gChd95G7fhG/M3P/RJ/Q2NC28ozosjGcYQPyC/xNzQmZhzgIGqNcFn4pP0Sf+v/
gRSWaiCqFlbhV0Xs3/Y3/GPU8ZCGoOGagfSvt/hvTldz9Oe3iFB6DceziJFnBboF2kl3wDy9/6bU
5CANaaNHu4p2h0eL/NKv7Z9EPY6LuCghAhR2te0tpnisR8F5V5u5N6TxjdtIa2kGLqkyYwv1tyRl
lIjj1tQx0UxVscpau/1OpHKziuNJHizf1rw2spolqNHitqx8tCZdox/sNHVO1Iw2H28oayUEnmip
pAQwTZaxbBxjQ2hiclCFemYWtYnRuaDHIDSvBvsWGVNEEqAJjTRxzqyS1QkPOD7uEt4pHarorCnB
0lGvKm8B3wPCo71WGgAagGIUtBHM7yFQQq7IvoaUsjNzH3MGwYaLIm1vu7j+BnwBk9IUrogPOBDt
EXhDlz1SZMG414NVTy1yNQA9P49zoBfHUN60IUCEBOIALEzFNkTK0YvAaixbXX+eXHLEhkoPFkrv
IwFVof1gi4LED2nSc6vsQe3IyZAJZq5iMp8SMHdbCpCHWNGgIaoD1ULjO+UBVm06+0XV54skqhuQ
SoZ7QjB4uRgj/SoLogd/aM5Yuu8harpwb8RtNXtg+tkNM9c8rlRCj/y4uglnt0zXZ/hmNBw0UF3C
ReEQVGbN/hrdYXefkSawNGpYCjo2HFMvxu00G3Pa4J54uoTkWV2DMZk8+LOLp+tcUsGFG+9aKKj7
IWhNAsnx/dizAwiMVfazeHUFGWZ17cxOIRDyZ/rsHWpnF5EKMwH8Z0Z7uFGvlQQKQ9MjVYShsKmQ
HrCTqM5b7EkGlnRZTwYfZxuKd1yFXj87mcaRxVnB3GRIDZdT7NyCrSlWRI3ZQF8sYjtmVxQCkBdD
kTj4UxveSj7Yp32l46LCTiVmX5XkZL+KgSZ5Q5CNK+KBMTDqaDLU2ZOlYs5qSrRmeYtfS1PL6wED
l4uRq8HQRSUzvddnj5dpxRsL09fQJcUqmpyV5qQraYM61bBaBQMN+k7RqhVtmT1sDn1NbCi5UOmV
0PwXJ7bESVf1V4GE4ZrV+gnBmYEHo2OhaxlxeKq8GKz8yqnKhWYqILb11rgIp3ZaunkM6mHo5kyI
9rGISaQNuU1rwqFvTKM5yePoVgzIl6YwlotKlSeGLDci0Egpbdj3ReI0y8UZzXJSCQf/B6Wc/Iy0
uHjh2vjFR8c3Qb0IcuXNxF5OrfRErWgbkWCmwqt5M8hx4xPWDQooJqwV4D/RZVdRZe9G0V11uf4z
H4mXI1nqRWmzM2MwTo3MujAKrkLPnHO2oOrS8acLpYz3dgVRKssLbdVHlD5MrPPLHnFCGFQ/JPvQ
hUnW89bIs7NR6BeDyg0mrRjhwIVqDpABEiTxdfFdke0ZwXovQzO72HRkI2GmPYkcAEfiTGur166w
kOt8+rU1x2uUMxAPVgm0ls5sLuqu+q5X5K4itFj0mn/uA48wWYFadzpTM/A8hWHvmTB7bGbnmuWf
SwfRaN0RvUtI2apVnRe7lQ+G2tfLuii/4ceYFnoxWbtCyXnTeiD4OcoDJ+QeEiNbrllKLsvCOalq
rGNVGd2pokN44P8AZYyl1g+eixqUmD9M5Qa/6okdQ3cPzWgLcVZfGxliraLqXuqxyDd9NJ0IlYWW
6OyXIQ/8dWIG6kIIHQmb1YE+CFwwEL5Te0nvPMet8qhAjdrog9QWZWveFZG1nviEgHztz0enHZcZ
ps9ssElK8OWhyM0XNWo3WtmfuW3r6QWvQlgegjYCyxHUO0OVz4nqt0uhWt8nXWyTor9tESAR2o4d
wxbFYtK658Hu133dYlBtMnEB40h4QxSSXNzVj3aFMxbgr8HjdG6cIX6alPq2chBDhHx6AAvlfI2i
CA+ss5s6mwQ5try5Y3zPVOcHB94NHSRPm21/fdztBPbdSSG7kk9uvtHc6GeXm+6yqLVzWEGXpkxO
Ccg7KRJ1x4u4GEpj3yrthWzKjTaV96NEbjoqPtIm0i/qeugW04D1lwwOl93XiJpIE9+i0Hysm2LT
jdGWXGCmZg7fN9ZP86m7GEdrA1kDvsoYfaeNK5al7VwPo0nggtXuCXG7idv0VLrGSub5kyiUu1AV
56pR8+q47SHqp5dqmlad3Z0lg3mIQuc50vwbSygvbVpfVyFCCk55rPlOfyldH9QFy5QfZpt4DK4o
+pwrQ+4v/NairCMJQbF/ZKPt6bnhuT5kZYwLAGqUazfv0Zv0G+I8N2lsryK94V0nh7eabjjKnScB
dJKegjwypH1eRt+qToVkFmfzFxnKSDMscb06rOy6DuRYm4pDRodqGlQPQhaZoH6z0/uc195htrhy
FfXdd01UcFB8/zy2yQppC81AFFcedGmw/rkz0DslN9whnXc4LTNCoE3ap37YzLdhxQedD5kRPcaQ
GUuprsMgJArRH0+MyfdipS0WsexOddhdstBOagG7bfA3nLDhcGnRSxFI3JCFnS+kVl6NGlkpmUMW
F0mkiKf2U5o/p6VuLJWoBI2UlHtX1M6yNNBSYVaF6jFwLuzavUpbfInx6udo5PZS7YRNOJZdgzwT
/l2d14LTRoszPQburGfuBoDFuW8rJzJdh3WhrkkuurKb4m4cxydUrXzGHEJh233OsWCphuI+k/Fd
TuzGsqqIYFa7iuO3PE8LfG960R4shYvs4RU3jQ1/INp2feWuhXHwg3jVq9YWyN0Z/qE9mfHOMo6U
CidbcS0dCDBB4j93PdTfhvh0V2fzZ+lorETJwVUS+kqrMb9W06EBmJZwShV+A1xtjlvr47NgYv+Q
pny5C4VPzJQqJ2odJbiqnR9FD324Iw6E9O1o5boks9DZVQ9BA/Gpaq1vqVR+Gu2w6rReLgqVxNc4
F15vE1MY282hlpa2h73Mv9ZUm6nJntyGlAyXC/YUFoCFm4inXkXlWGh3RWDex70Krqt1kjMu91bF
EQTR3Ohw76XfusSXq641t2Yd3ZDa9n2ss3AZ2DF0LUCrqDQDvqztcErfBnJ4Vz0kQ347KFIllqYM
V7lWv4C4mDyt6fZuVHFuhqG8IBqFFQmxVp0kdxnAg9MSvnvfj/bKnZA2ycoBBFUZN7Wh/KwC0S/N
qik9MhqbgyNR9wLT2E1hv6rNahm30amfjtdEqaRXSYkVO5tgbcZOQqC6Ni9ITRisIHARwm0rxj5K
/I2Lc2EBGD7dF1HNt8Vyem/SMgVlWrhX7PG8inleCSJAr1I7Y2XC8pTIxgB+ZhflHMGk+a55qoft
jaKBIM8TMTOeqZ9XKre4bvkbZuXYF9KljiN1xV4GNQz2qsjty7SLr2EXsufJk3wZd1q7NEb4fi0O
zRvCl1p+WepLqhxgdP9wOGcdQOAH1P57dQN6+66D8MVnVjsTWqEfwnA6G3VT7kKDdX7I82dHh7lV
TXFJXnpwPfQwHQlTxr/MpZJP5Xt9DPQnLS46VZySOHw35hGhVAUcu6kFKR+mqoWxDKAQoIulIfWV
22VXjeWU5Mdocp2K5nmocfEPDikqQ5wm29rxd6FDvrsBli7H74tadhzZ/KjuKjXsYFOL+L5Q3a3V
hdeY+/OFEwdPATLXXaTmSGZNIRfBZAR7YfUnTu2eDW454VgwTL7KIt9ZLXJXrdJvo6khp72jglSG
1dXgStJ6IQJo3WmG088ebQTZRvSMrha/EATapROxe3bw2cQGuchDchfCsUirWgdYGJ1pYkKk2M94
Bj1mmYzsiyZIgnWoGGs3HyrPz9Ebg6tznJXVpIcymLWq38HmACUfmWcYFX769TTw+JVhq+TxvVr4
9xhK5pRiDUpRMu4kLt9NpNnpNqGMttB75zSWeFhE4IhlgoBhwbts3lmjmf7UwjT8hkIv5TBUl88E
9oS7gbCRhTM2L3rdml4wsfzqWo0scjgXiS8WY9s/hBFphm5TQ/mzCk/2Tlf+F3lnshy5kW7pVynr
PWSY4Vj0JoCYyWBwTnIDYyaZjtExj0/fH1RXVyV1VdmV2d30be1kzGQyGAH3/5z/DBtdLG1GP3Wh
v1smQeyoQgPbtp41KrXgRIYx0ADAm2qi6qcspnjnDPlbW7h2aNhyL0sjerbYYkMYcyhndJVu/Lj6
lKR833V6/DksaHM6RUSplyS8o218m5vsdAprOc/VaMGokMOGkPfvi47/n1mV3/KBDO/fEivhR/a3
y5+IlT/81d+5FSwya5kMbZ8weFBk/8Ct0AMKc4LmAjjGV37nVtib4YLjrMZo96tr8XduxWPCWr+G
29Bl8P0r3Irn/Xk3ADsHsSNcKgC53g3/TyujsZmzybKqhAYPPz+1RDxuUk7l7NfjeT2oqeeVW8dm
didw0QmKuAF3FdyXVunmD1GtPyac+vROBuDULS6oo6KeYhOtF4S1XhX1GE/BMCY/kUA/9S1J+8Kh
A2Jco5hL7pre87Vb0NWL5BZq9Qnam+aotSG42pncVZ50QZXcXqKmI8qYSR1MudlmbjiER+RxFMst
k4G70eBAN/F6IbotVcYjd6TDXZm6zsFLs2GLMvStWK9TgViYWXZ4NtarNlkvXakbrwm3sNSyG49b
OVqvZxIAOpK/VrUId7fBHZ7xX1Cv13rC/U7j+8jN4RNOxtXPKUfQmNGGuoYmIvG9N1RQxEqjoDq3
iUkPxDpFUPFdhmORfhaR/7mskwYWnRvZqn4TpwMlyTPzCKqxC5MCh2WZACXWqWVZ55eMtTrZvAhQ
19mGxDGU5Ou80+LrGNcJSPbej26diUaGo2Sdkpx1XuLOOQkGqDL2DhoDVWSd03YSO48C6oaBqzBw
SXf2dGsxisWZZEAexjtGxSMmEpTHsoCzYoDLDPcVS5lLKEtzWhjxXEa9iZHPYfSzGAF9qnR2UbMj
FPtWMSIC//ci8kimXKdHbC3E/TFQlutkKRIdVe+0zpvOIr7aNT64ae3uxF7iNp6G9qFkTBWc0EHG
4LqMHbl7lCsTQap+9Ot0W2fxgUafw8LYG83qoex8tanWiTgiTSf9dUb26NthaCaV9SYiHC5jmM7W
qXpZtHBkzO7iCGMUg7dmlbBuyfvSMZJiOdv2fY06cDrW68wu+JDNDPEDw7zBUG9KD/KRMZ+p3Aqz
dfInH+DOXLFACiggEWHrrSihtOLDTCVZPWeHbMUQlMuGClBBWsLZWlEGq+LQGbY97QjFikLsUhVB
BTApAShdkp+sFbEIVewLIAzFgU8RkGaOun0GxKmAOsLu9yJflyLisRnTECc1maCAo2h2whSwRKjA
K1qaPYUOpHg6zl0GrMIWSLFidD+seEu4/T2aBElZuFdsY1TlLuAsBqQllv8jBbSNgLcGEJfU5k93
GM7Giu78SbuLgHu9U30MwD9crrfVCgeBhb4iXZJGjkdviaMAydx3Y8WQE2Cy0btrDriMhtZCushI
6KeHQa/2tOu9W8BR2RpEUa0IVZs6GVBWxe2+4lcmRshKEC19i68DEyUZ29cRyJsBfdUKgWN5a62Q
uPDuFRC5X7GyCWhGeKr2g73kTFD2Xhp0PK4Iu5vrEN3FnniHzxIIToMyD2Epbn3AuRzTo1zROrFT
PNLRhJ0BKC+A9NbsP/Vlbm28Fe1rWveu1RpP+1CS8DSbCMPriSKUiGJevsvPWstSrFlpDeNrtgGs
0sikOnhgTFK20jSj2IUuqA3rLyo3S+fBdhW9y6qmS7inPGPxTQ7XpFz2dIZiLBkDxT+mpxntS6Cm
wvKqNUJWI9DMEkdDCeCbaMmorld9ulHZh5KeD36U7Mm3SzBcNt0tznTqk+nBk+VKSgw/O0HqvaWf
q3RZVqU9sHaYh5BKjopByZn3c9rVWyuNTvq8lm4WzYUgspEi1f6G2pWCRaL1bXHyZ/wcm66ZP7p2
zLYRxqO0oFUHQbxDgupi7bU+hzqYYWm0ruMJGOizH3T7J5kAR5v80bAUQx809rQ3S/851cdTE8M7
+ZxooVU0X6NB1n/UyeqRRMiLVw9NaETjBcbRApZ7cIvr2WlGMqQDO3ls9eJtriZY78ZI9zWwLmiS
pA6GDgdaW3cioF+JMHFSdnem6khOg2F1I/89Sy1z11cLWWjuV69TPm/WJb/53uK0JBWuZklaVWUP
tzzjA5qiG3KhqOgiG76S+ls8USFg9JE6jrM9bLJcSigKWIPZj3bOPJS7pCIYOvOgAX2BXbdf3Imp
0OdkU93Fn7CXxDVBzR2VzFIAZFSEKWuwmu521rwTm8CNbP0bLWVstRvFW+XI7khYth82JJU3cPZb
irw+47Z6WTO9YNl3aS9IxG7r7C7RDe01q2sybGf0CHZR4ruafACBUOV1McaQOeQyFnVPm1nSnmrP
ePbHnZaS5ezXcxyuozAqXo+HEAmRV+wo8rm1aXQjYM/6iBwWAREeVAoZ2i3bZrYvuv7TXgZSQBZz
PDexvIJamfR7Ld2VfmQeesZrnHprQKndprjzoce7SoYZeMhrvuzbZoxDii2vrpwvHQ9YrOsfjhEN
m6kxZeiRGRpo8fgTe9OVJfdH4+dPZV5/krODUZL3cVIl/a4/c5nv9JLUVnWTdOYVO9VeH/GFANa9
gEDdCyIprFy69d3na6yc3ecqg463kinAYs3u3+DJ14vuXE1JmGBdK/nQVuLgjdSWm2mxBFEj97lb
Ez0756+45O3AmMQbgaJbH4EEyeXaz9lPrhYb2vxad/QGr5MBtcFMNDGpx57pPnlLRQXmKEhMpaPW
8ZZLsohvJbB7W1omzb0LXieLLGMRJSg/EVuw7X8VXfQYFZE4x1jGInPGplZp32Vt8FuSSoRLyYmW
tfodztkPg1zsBOZqM9FplqMdIke674JRCUIBuU+MyLHYVWm8PKo5N2MPGwrXO04R7rlapVtplVmo
1g+V1ctnEsmJkM799fW3SajX7OHVTFkrYsOEnOqMHQOA7Dyovt9KTIiMLEBhgRyxzsu7VPWPbq7j
/eicCDWwnZGT1qDcopg+zGi54xcUT9vRy0qgfDZvOcOuLoQlKRsRZW62pQVTvewB0P1Wi4uzrMVD
VftemJiKjnoxHRaHn6ibbtZExnnUOdYLnpa4etZm88y8uYucZuvPapcOzq4iUHGaEidcKvtmgUHH
LnDSnWmX23JHS8xRqO6by5YpRbqg+9FJM+wfPQ+6tXc0g56OVDfO6ZLpD5mazhwHsD8GFQeR/8BW
jXzZxmgD2+nTbS4WGnJzRAx5W77pTTlfo5TbuqlocOu7XuOiaY5Jiv04S5uDm5H36zrF0fTzQ7/M
xLeXfUkflWLnYPL7KB3uMVqfZECwaDgPlNlHXAWC+Yos/Ydh9doMpvnoagPnr/biOwOaELqqMNbN
eHOne6upjqTbrZHhLc+oP5JCt3THOe8owyArPsi6gpWjXe5RZbShmsr46pTJZ01SdNDF05UGhAfJ
fgdjbVAUHgmZ/HHHezZrnmpqKnRzDCAy93pd70VZX+ds2KUTEcZVJc6VYK7zeFp9AXqVcf62UCxO
sNO0K2x6Vz2yETdLQZ22LtMG2qAPtInqCuifV2X7XUhJFtemocp1b3DKv8U0hAtuSd9DB0QEWNBR
LLArQRKjDjNvFTlzYG59d+lB3syaU2wSCBNZpU8ynj8yq77JMoKrZXpYGutpnsYnv2YZqmm3qiuu
iG4Os+NcajsJvdk9Tnb8bjfecSgE5t4KO1nEjWl0bij1BYHZMIceGaR2l57mleyaVtpLrQTYr8v+
v4TP/x/TMwgg6L/WM+yTj7/dfCT/t5xh/Wu/Q+7VvsCbSEQT+jD0Ar9DbtpDdebFNbkC4cLvkNv+
BYvL2iBlOWBypD3/mWVnmL+QR4P+gMg2C4saCXh/ki/8OzkDcug/yRlQYqFgJ8EYiQT1Uqva4h/V
k3Zhuowg9IhOTseYRqcGSdn6HJpzvkZdLqCi3KI6mqmi0rZ+L7vdrJHP1TnJc2sVb4lf+vT6NWCJ
VnvDauFgxAVQ1ap6dYrpeW6WsxXRalJUFDw1dCRTe10HONDX2pD0GstyX+d03BcxGreOJkeMx0wz
zhK95aLKAjUwvxG8wfiYwzGL2aShRljP3VTvctqSA72rk0DZrNGF2Vy4Rp5iR3/rBt+HjOVhcLFv
DT1lGI2XqjdkPvSC6mzfPI7DXQG+YanhfqYuFhZ31mALME14txgz+daevSWnPt4OE0nwGoKy1L4i
krxxG5bQZdd1gcrg+XFYfRjU34GOb3Wq5TaGGd9MY8ecQGTVtsRczA8efXljdcvy8JpK/Ucda0NA
QfahTfOPQpH0neSRxlFZmwH/u9PVoB8Su2Q6JooeJReN9roUlMePMwWOI5vwqG8Dfy4eTMF80LfG
cxE5Ym/YHJ6WB/eZSe2S6Y5O16YWb3m0j/lkL8zwQPt4iu6djjaeJZJvmk8AiOJzsBlNLPE2eqwt
2ygSz0mlIYvAxcBcgInU09AuIakAJQb6sbtzBWy1scT0/9hCsikcpqAZKjhJHgdcCpOk4QKpY0wK
GciqD3rCU3YGSgVjE7lr7ui0FDuZD6e4NC+Z5frbxOi7k026Jm+pTccRxGyoNxELgtSnS3RcXYWy
A7iBpXmlczhmhCoT6Xxx8fxvFtXuMPosOBes94XwmUPdZZQU87FOI5O9KMOdltOW1U7OfeqJQ9tS
1+n1KdXG8efiRv1RSiu7tmlCD3I8zidEK/NuqbHNt0q6pyhG3E8aWwbtYXzNLZ2KJF+IXbkk5rbJ
W3mbUIscsDANhsEYzgnpQdh5aSJcY4ZYkYzN3eq2PtBL8RZjT/iaCsHd69MsjPRWQnabLcsj433I
p/w0amLapCLDG9+ShF8Z9PikttMFmseyzHPcnXSYW7jHtRBTsUalrDLCCRVDwPIZWUwhHopmeVoS
AjGydu6DtumezLx/LkU1b3xWYmw/8F4UlZMToRCdO6sFr7cEyDeqxXLeZpT05JDdXa/8rS20EwYg
2nPQtocs2tozQr5DUk3PdBLVu1FP96ZXvjJr6peldx5nLz/LRLxIB/7ETljfd4hNNlY3VvvJSzvK
MIqFhhJ0dkNPPUAFnR3ihUHSJL0p9NtCg3QunKAV+LDsPCdBQcZHWfltMFURJFfLry8mFwBEFt9J
z6TwdLprdFXtRjHIkOyoi50RqUTCG4DPu/iUOjZR+zjYtDxO7HU30qb5MVs7IEt/vp3WVkix9kPC
DqF2dZR+aWJ6H2LVnjyjXsIWwoVZxzfpojVEkFA+carMboGsy82jrmn+YbB9ezs1S3JHwJfHdFbd
9KPxkqj4nBcDeSb+U+L8TN35wSPdGrHcpoNwOyu7NmjNcBjsa18nYlcKgkYiO3To3drqHYJYYnTv
hMcyLPFYf7jIxIPOgE8LRpG8pjlNd1J8LNQUoHC16iMcU7FrqNdC/dG8JenISDbLgtWy2fFc5gKD
8/AkPAXxb2tvXtneFo5eMyMxjUbuBPY0VjWSTg8TcPRp5CrhmnCp/NV71rUIsVJ7/Kka891A62wu
0+c8amXQdM6Pyhk58kXBB2h9QyPW2e3CqmqUWjin4zFOlo+aKKpNLhcWc4TBgFaLbypGEVAu0EiG
/zLUEEJznNf73IvtXTSbHp8CdZtNyb2h5WcyUi6w1jmtIpp+XJblNYrG9d2kgBkO9rwIVnGScvKx
x8stWvLGzUfP8mlqMoywIA+m9pV+G6nlLh7Z48RF80FozYQWe3zQTDe9GYisZgk9P7IRfl1abHRp
Ma3/wrB2/hYe0rNEhYLP6ENS0YTbTj7yEBqVzmmBWKhM0+6JSILmhjPepGNmiLYNIc6BPokDYgNq
d2T5RKl4dT/x1FeYmzeDYbZh4TvhpGaacys+dq3Ob0mvqAcHi5SVySWB37oeygdVJvnWr5ecPev4
jh6Z2g3HHWj1mvdUbJGk3M90xOB4of3WTKAWaIOhSq6xd1Df9l4U1jeboIuhY8cd847ZUTffoM1G
LbgQEG+PXD2iohnYRRER9LlVMt0Kh6SOFKe/qF7jfvQPCyxlo0wzNC2Lh9drRTBa1bLtZlcFtSSQ
XNXOY2mWYRHRO1LXi7+n3s7d1XSRb1UOLztwd1KbU7zOinaqtPK+nJ5IHa1oULprfERsN4+2FXy0
1DmynCg+6D0LqaTLT3OXKmo80EdOdvKot1SWszf1w0yaqLRJug4TSkcOtIFBTQ4QIKZb1Nsk1k90
J3qgjljs2c/PN56HgJmP6tMs3IF9QPZJVVZzkyxZsq/j5DVWyHiynpUuEVI1y2Lnpm/1htWENH8a
swJsVnRwbOhLy39YXoTkscir5jrnmQ3kkVGa8mdn59Dmus2chaxiTaXvdJBk1nuQZsaENAjagRSQ
it2d0493tcwqrkHFuWZ9WY0hA7tvrU3t9xnp3Np9UZXWVkTqjYdE37YqgchJhjqwJocwengCTwz3
TVQffbuqQlrXZTCYLq9TzE+LFXFu1O9DMa9ksAFhbSYXqsNHnn9xla5/37Tirq29FPeS81xM5NK0
KylX5A9Tk5yEBJOOZaGzh+2owmn5Fr2XUssbIzfM6AwOxsrvDrlOvW0/6K8EArLksMi4sJwlY7dM
WxIf8GinaJk/MubRHMQMvMVZtOpJ6tM0Jh95vECSjuzEvfjLVNFnWg2Xysx/pJF+ngr55Sz+s7sa
keGxvqeL/1JZK7rx8/0oCDsv82GCSofWcBqOtiyzXpCT7MrKenCdI2dlaHY3EdV4ncHoBLEMvGf5
Lvhs0X7sYknId4a3cFsYkRf27TW2EJGTm0PpYHOD71Nbzm2B1tGfmwuRG/LgxnzMylwbjrKgakpX
M+IRgX5D3TbtvCt5yzqX3Cu/uSREdfCrGwpoA+7bgm6oSHulTf7JI3hi401VEzpqPjSCIzSmqTob
Qtz2q9C2fOnsagjY/xOai919Q4xQGU6UxaLioqZLU86NHyeMaM7wNsWZT+F69NPo/PgKfecotJGx
w5abRve3qeRN9yXGCFvFMkB39er47evs2mszhMtaDrpYU/OHb7QvlRgfhjYfA6/LwnbCczVWAlng
4K6lYgsDqTz3vibgq7kZDaI0/FQvDq1uIgpVWkK7PJMZP3e1tz3zmjlYkcjJD6ncsDfUDU43Zpec
qrFN31tZXJLSja50EYBHXDcOir5sdhNK0ShrH/WBmolUWD+ysefRoK9pB6wxNuAxtEixSVMc3V5b
J7bgd1WrzgT9hA6OnWdtKCgOcrrbQfT2ycjsD7yxP2zHvatakuJSNSQEAyy5PHBC26Fba6jkZuNi
eSo/JAvSzrjZ2Mb8REfsnVkkV3Iw9n5N11JkYpZ08vGqE3Ib1pOxY/i5peocuZ3mHtEd5kCh6ud/
F8T+g6tg/1VePoqv9s/Wgz84EQCS/wHtw4/u4w//s/1Vvn/ffzXzwxdBWH93LSCpX//kf/WL/2EC
eJqrr//9vz4+C27JBMd08qP7R0DNLph2CXwv/xqGP/3TVPn//Iu/AXH3FxJDTHbfPim/lg2m/g2I
O7+smd4OBnLDdv8AxPVfHAF48G3GOWsNl/wdiOu/8JPxvTxUx6Rw6+KvAHHD/yd+PMsjd2aNuMFU
Lv7k5OlMAhHbzLYPlS6OxBJ8GHH3kdDc9pDbXhYWE4cJd39GYpopn22Lh65rJx2aPtFgYge1i6sG
H5mWvfk12W9btd7DfuERbm0TcfXSod1Eal7ZS1inteVs+mJsH/LZh2233DYkrgm2C116sPSNeoos
8ssJhaR80cqWVY4q7grm1hChcBn4hhtfmggiwCii+36EfHfQTh1Y3xe0ZU6v+LtpMo3NwxIPRMJ0
zbEAoUIb5y/lkO6krSCZwYbH1s1J6SvLLEBg8tLEMRynfhQFWlDVW+x88YhlMt33WkkjlhY/LGb9
lNjpk2azDzORqUw+a2Gep/2I0MaBsLAoS93w8vc0bmSbmlm7IMUsmpcfcZTROj+xFsFn2+zw8N7N
ZaMF/Rid8TtaQS3MD6pgb9NMXhavt8Lcm7+xb2s3lc+oYGA5mLkIUviGIPbYRDtyOEXQaPiuxne4
92NBMdq2HErk6q4WbUoxBsJbXJjs8WIa/jfbYT2B1OA9nnS0XRpqtMrO7+M49gMztu4VVS1hBwPC
lqanYVSlgUNQ3GYuMtLMCrqhR4cDso+yZmu7zbae4sMydSnzeHxu1QktmxfUlF/qrjhTsgMTDBwm
myvnze918ix0PS03XTtDbtBDmj+n2D25MVri7Fqm3ptY53J4hIJdZ6jab9KHhfI1QVo63SUrqN/l
Ir8MTuI+OA07entMbhePULLaHLWQrtu9t/iIg0tITKnZ1v3QU6KrGU3yMkgmUeIMqu+uVjjHgVP3
zVBTv88100ABwKo4QqW+gSBZZ765obqH+WHlJxt51BxPXKSKDlOrthFiA4Sw5vCt9ZyG2lDP1G48
5Rj3otAZPgxZFufZz69wR6Rn9QPS3ILP0AHbidFs+5n/x//CklbK6m3kPP9WsspaStEB8sVYho3G
igCjmhNvdQdptlbG8gDVPb2neYU+HpEwijwjDf/6Ef4/0hsm/u0hvvrC/nb5p2Qqf++3M9z7hVMa
i5Vj/3Yc/3aGc7pjFuJDDdX699P9N/2SwRlOMvCvdR3YdE0ozt/0SxzvJEjhnnQNMop1DuW/QKb+
Paz7Dw5DRFWODiwlyhsO6M95qfC/DhVCnXdAdmCGEYU3GFDUBjo/pPhn20P+7KqlCLF23bcu5QNV
pdN53AKHTO2rWWyecGJU0O3NTxLsFmLQsfdZ2ST7oqe83hnRVSL1fl6cviZqT1F13NGJiZkBSqxz
IFIadw5JhKCeszbt28m2b/1C2nuoAKQzfUzfgXstG+rJCnknnYWVXEPepS1vsAaEEpXGA+mQjwO7
DJQb9Qx3aSABp4aStE4W217zlHhAmgbDdphpqDATxBQBEKqDKJju8C5/q5L06sf9IwJiD7l1ejbn
4bGv0V2WcX5be8V+qX1EijPK1CLVNlFjPMXKeO6s6FvCTuagqHudm+lSNiNlZ6b2mRAzvTVrDrlq
WQ+QSv8y9PJo9D66KKvYFTTC7+lIOsG2Qsn2ZArn5YKGHhPZZpnQhJbwZj0Rh4BXhma4ys5RwVSi
sJnF0c3xIRhV/NJNNK0ioE03GdxU4Pap2pVC/1Y6oHSUKkXbXcD5W23w7vQUFZWL+HTtb9tM2KXT
kVWYCdNSiHFH1GkJihn2vqhNVuX2S9IW76nX3UpR35S5/bZY+HLqkmSEKF5QwyR3gEDyInJWTLXN
1uto9e5CC5zWoEjVf8iy/p5p2h0vh19GhsGtoO55tI1xb9YV3FYMVWrKZQnqNCbeyiiBCyMhLnwo
N3WTuphs6Jcf7fOQW3ib4UnQi6Xmu584xdMwV+53S7NXkCfqz8qtQUuNpNxyzI6x0clNqlUhrHdl
UyHq4cPL63DqW6IQ46LfdJYzI4oZ1GGp14rlbqxD1OlxKFY1UmyKjsKQ/GVaVOCT3gVAiIKoTn8S
93js8d9uugn1Ue3Hl1LHAbGIlEBM2bMwQMcmRf8u3Pq6OAabx5F8RPRoyOll9anMZoRoxXOdmNCu
C9WfKOeOVYdLzfSHG4Qiu7QF75UtypjZHcNK0SeB2H5f2hY0l53c1JVdh/00NEFLcR+GNfvdEWRI
zpXkVbvFM5IScnMRe0V6/jyLOg06O33IG3Qt+WSZJG4mb5GIH7qKek21xD/SBTcmou06ZSaQyI+r
uj/VTYe4oSFP2O4OQDMvUIYfFmRyaFALWDuOXlmFFfJqQzu1hv4lNLsM4lQcJsNIwkGRG1mPM5UO
Vvs5DiMzipBBXZXLpnVlgq6IZFp7Vgc181hqscf2fIm/6qR/dVz5WXnN1qqpEiuoUs+N3SibbxDI
j5o1fUScn1xn+nMski3l2V90x39Xarl6jh8MDW2kIwoVHMzZTg76YzTC+mGI/D7ZuBCIbdBw6A/f
9AlHGG7UdMezfkzQ8u+aVe5soHuWZfrqrELoPka+jpj0S0f4zicGuXSvnpq+3RCKclYw86CN0F8V
1nKVWte07TFpXIlNACmveuxprv2zQqJd6QqbO6LtpExgVsdXgnl2Q26EWYu/xFmF3lEiMffAAEVx
vjFhWegP6x99zCajLWp0cBxl02I/GyUvFPqvPGY6vzwKhJbQRWxejTPZwKjPAQIIVVZFerxq0wcj
+dCNQm1cZOtlTOwtMvbYWeSeZ1hsu1XjjrUNHYomroZJi3WNEN6fUJYR4ZoGvjLrLaGsP0A+/a5b
FfQ+Uvq0ZWxftfWObI/Jqra3CoMzdFXgz2Y+bmZE+ShEb21E+hKyirKlCEkDm1ojRm5o5N5L6kWY
XyQa/3UGnZH9kxasu2epMhoKp56AxmgaPx3JeseJkhocTGKo06EPkG39PTfqYSPVGjxvOze4k5/T
nAzjAdYKNTkT50jYZ3bGth0YdHwULJaUW34fSDa2Gjh5Ds7bHAUTbXV4bQRXodtf9cUkmDovLvHk
fGCYJIqBTYSleew9uq2WUuBQVdZ2KYwd7MYmScY7B4qdmPPvpqfe/UaNAbqNr8VbvoBID6heLjo5
zxubKOdJTtcSihw35z7irLU4Lpj+8U2vorcin76GfHg0bbHaSy6dP29tshBR1B0i/H8LHiMkRjQH
F/Dktbgkoj5iJN/FEzKnYXjJxggCpD+20XhyvPZ2suCR8ga5cCM+lNE/pF37BqN0oaX4vWmMUyqN
x74av7kxJgOYs2NS1SMl4TGoYKAl270t0+jeMllntN1wjpP4lA/5w8Brmpv8OKOQ6OC4gpbWutmw
n0ejZw6oTsRmHDqJMURVe9ey7uISPiJX11niJRNquyCcaP3s3EKuLTYTcdH5h8g0t11qbWdUZCC0
5bXwkqM0bO794sFv6w/Nt0P+pbdImlFgwHP4hTqUho+fIj4i9AvplTpJtbDOcwQXpAytNroQd3Jo
Xe1zwG3NxTDtkrZH5YUK2Wl3w6oRqrXt0iWX0a351tmVGyCsNWqek/kBFuhs0j4RRdYOX/DOSNKf
dD8WGy2f90QE3Wm+unci80ZGZsYPjSojGmjaTBBhyVinoh2SDw3YfYaON4xVuUaSKPKG56+qH+oD
zVSPGZ6ikK1VtcPhjdrJ4pXQ2/bCYXyr5pmT1E53kV1SnlmP76oyWs6+duv6WVjX9k/akGMkRFyG
qowtarySJeAIuHFjPQ50ziOqIgmPUoIbAsTrhm3l3UV+X+wIOrc3dFxO2wht9NbrSUqkMbPbmX6G
85gbeCI46m6w+vEQ2+S5VZUhSP3uu01vletagkjKtHlILNOFSky9bZXkDDENUao2y1EEH6jUdfzi
zWgj4sUHbIycP6Lrb6e+O2i0xJGNLwQio3w3K4SGzdjMnO4oejMUdC2xHBOxuSKzUNMwULPiIw1K
mtPWIRGK7wbYIj24IVReTfulci8sHB+aFNuduRDdnlHsSv9t9Rglk7Nx68EKB5ZDZMZ/eWX9hn+l
RVeSsAwHsnXN/H0smmGvQzOHkd5629Jw5JvO5PRKNIu+GyreTW0VtsFNP8x+69I2ULzWRiUPdl7f
JrP8hNF9K6eEHuvKgWHMs5hEKffOdzRt31TDZ1YCxw1Fvl/URGsP7UxezZRE8p3yV7o4e48BQFDn
DUgwwiGamlej0dNTZ+XNgy2IjFFjWl6qCQ6WRh6uUdcqWMEh4DI7kmhYMfrML+ktDjbsX37BTNFQ
maGTz+Mry/+GOBj9cqTuZ8lmrGmoPHV8ip3S2EOXHFFSK2J1ldYM+8zi/+8JRH9JV/M/EzGSLvOv
ab/wA7wIaAxIEvlHxhBVzK+NTb+jRvGLRUYOZc7rV3C3/M78eTB/NM35SHR0+9eq7d9Qo/uLCSdo
kBdCw54JQPwdNTq/QEmSy0+yIJl/uuH+FdToOH9k/ohGI9/UgJLkezrrv/Yn10tkt6IZuf+OiXjE
VXju/JPNnpwO1XDwJI8ueQ+ays5RYlzZsnxhed2Z9vg4ujkOdI6het1CCn3CzL7c9mPOqU8KL726
V1m279ZQHiFseswfhNB63Znm+MvUoQHpctIKLJaKtblKFSf83smiDp4dNaEamzQ05uyuS6OgMoc7
NEL3WmN+L9r6ZqyNa9f3J4RFO+FwBWSIyizs/DlgtF8zI6UbErD/mfretffAGVn+0lbLKbaciy3n
H1XnYG/1vA8qdE65b+8AOGGPBU5mBpsGhJgcU7a2MvjsZWr8aBUQmkwVh/WryKlbVN6TXz7krjgO
+Yvs2r3rrMoOEhYoB1CIitaVQFsPaLmRGG6aRT1xWN4wtAUDMSBGmpzdaLz3yE5sBheHLbJCmg3u
o/qisSxp/OFYN9YOZIRTwwtNfl2VjkTQYnXmassXqRlf/KCBXESAs+ie9rDN4Gs35FIo5Lfjcr86
8UbvZ+phlRTptouxfiK3dNvqmns637bcqnRPtS7rv8x3STwZcvpPun1R+x/EJa4aBO0Zj8fEkN9u
Md0rxPyeuhlKdjup43Uh+/uBtJjizRuQ62uFwN/t7WEhN2jli80gcf/1IezvLpfzNovFbhnH/0Pe
l23HrWprP5H2EJIAcVuuskuynTh27DQ3GmkloRZQ//Tn017nrN9mJcsj3P4PYEwhJhPm/JqTqTw8
RNF2j4r+B5jaN7D2fetN9RXgaA+1zj9W3XQalLxnaMhTRb4PhH8rCH3DaXeeK9AGOERb6ARV9K4E
UJyZABJX2W2/dUfTPcCu+yP4pU/ZNhuAGOPjqDrgmqb4W5HTDyLYQb3kp9HR41JOP5ph+2wWfsxM
cVrU+ElHGCya8Exp3lV5lyP4gW/p4+FGd0AVEDYfAIo8lSEEPTgePLFH6HGdyTU0wIH8Wb7W/fKT
1PEJawPX6xWkYgW5AdE9ifEHbI4TWoI+ToKLrZwhEgG5EuTCnvapidTlovNHjnsr6E24YZDqxIh3
s0QZSuvZuzrz8Z6J8FOLi1pCfwZskEOWZ4gX9YYQWBptc3bXdDASafxvTIMxDz9GvAJOC56e0Pz9
QNvgraJAEqHqcQpXvMGG/BEeTN8XeLJIcLuvhmy6moV8E+F+OQ7TexaDbWPa97Xqb/GDwG8+CQht
oO8UAnwy34UkIQpv8H6V10sQfYdr+5H506nezEU9E5A340Nd0ndQPX0vt/JMR3ZbxMtTMdXntQnE
VTjhGd9HmCjhgQ/PcbiPdzBuOQPrgSy4XsIKBZXlq1UUR42Htyrrz0tDHjaxF7FXYHBA2lee97gA
Vr1m5G4B1A9CiTsKADIN/Zu27AHmn/F4rC7xYL+H/cQPDZTfwQhy7a31DTriD91an1lYXTasw/Ud
jtWyuEXfAJ2H4j4S9MKLSCLL9UvBvbdBKR6g6XEF6MrtoLxzjdJCBxkjP6KI//UW/O6bGEbv6CLe
A2V4pcPibbCCiqUh1dGNT6H/sY/Vsareyfhr0D60RXjdcPY5A2NtRHAH6BxzEF6O9Qh6vDZ3g5Tn
IAPHGy+zIxoZb0ag0VU1PoAkcWeq7nLS9OOU0+8RcHDdEuHzrjxPkPGx5VRaGO9+Zuirmqn/SPz1
2mfyY+4vqQRr7xD55CjK4ZaZ8SHK1FNv4ABSx+jM5/MTwAQJI2DprPj0ArA/wLqw3Wa8IgaRGN8/
19joqHR96uj8Fpi7SxDUgMasJXQQaki1eN1Vk4cA5QwQX6pndCNAUT+u3XJdgMtbKjwWyGQugPR+
69exh3rVejfx4Y4vJTQt5wxd72L+EW0c5PjhkIvlOgQhbz8sTxv69QeI7Z3BdbkD7PS0BctFDDua
oPTv1YByh1c94Gr3GMsVjLL2YQLqy+vBee5ncOO7r23xYdr0LfR0QKxEhPcAEZRgPF7A4RsUsG35
GOTVPWBk9w1U/ibWfmJU32crCProhCcVwE/wWoJ0vncFi0Z8tvlcDupi8aNjt7Z3hMoUwLqPLRne
92WVhht6AnNZFTiOmnPOGw0Rc/KZl23KuY/zfjzinvDGYxxHkwEpLDpWZXgGwu3ryIurYdhOsG+V
B7+rb+r10cM+Rj2AXYRb/rZrVzT6Zwh1rOzeo/AtL8AYm0D5Vqy/XmL1xvgKxzaEagZZX8uJX4om
NAc4fvw0gAg1JLhuJxxowywv6WaOyEhvFhA/eklQjvVPWqHqqUFOfMs1TLPG8BISPuxiooM8ydZf
U7b178Ho3LF1X7ughYJIc/IYuxXRegk6DMKPiqslMDdlPn+hElAyXHJx+lwjNLFcmIrZoNrjXdR4
ywWcflWr90XXO7MU4NOBx5909jEvfbgDwVspIkfqG+zoFWUCIqtjz1A5AdfpC9hZh80bPzAPNJ06
hz0LlW/ZiJprVG2XhRmg0zGcx5LcgKrIv3Rzk1IBzYIIbJaO/H8jsvetG1u8jO5/5GXXPr/aBhTX
0N/fiJ/KH0P7pfnHX/xf90T8Bw6jhEZoU/x1b/27Ax78Zwd/A9cggG8AHPxvKHoQ/gc4dB/3UwIL
R1jogRj+v92T+D+4r6BfDRk8jgs38f+I/Y32+zN1RrT3Ipyq8L609GBRyVi7re6WNGtBDeFfQJs7
P1uDu7/6L881+34zsi1VuQDyquu+ntNimL+FVfXNU/krcpi/G3q/0j/THIY1lwemabukcAtDb1yR
+wq2vn896wDEAFDiD+aNj/F88F36G9BfOaecFs1x6Zq3dYVSiduiWHh/0XvVbl++17JGqN/V1QUI
UtNfRI8/nrn1kolRwu30iJnHAOtACtZrT50Q7V8N0j8eff8YzxYdqoahrwKQ8HFd4ID7CNBtdjio
28LsRIlno+dlIYcYHzFVuZpOrNfZNdSaZse5I4qej74CUMiyjY1pFUP2KIabk+CvfNGXz8i/A2g/
IZ4PPQPot4CEjXdU0PnBGWIxxlxtgazUl2HatuViXFE8h+TL5F1HbYT7t9OC2e7IwTroYNDZkOLK
BxHVIASOF8KNboPbp0KdkXrNwA9jU1neNU2jbjWNXpGi3jfM/2vX/r1ioaVh21djTEHBG9OGi9tM
+126SyC/cZq5rQ8a09of2egPqQetv3tZF+N7D9aJToNTa1kWuAwAEryMKYR5foBVcSSd+e40tG2u
EwQg6JgmHNMFOG5wQ2BXhh7Ols+vmIX/ZtEjKwLiEZ4xDdrCaaj84UoMnbqCa/Nr9gi/G906kAU2
IsgEPRZm8G4NYUBhT+/dFsY6jslIxpYTjhstB5kOVHTd3kXbMDmui3Ugw7XS56NCfxCvI3mPazi4
e4RTxyC1TuS8jobC9zpMXqF+a1qWH+tse+e2MvvHeHZk9v0GNZQcU9fwOFdHPP/6r4BtVF/+ffh9
BX4Rpv+lrj0bvuCzYD3UD1NIIoBp6uEBk45h09wDOg6SSEZLP/n3//Sb3RNan3hBcZobanDaSMAV
SAwJ82aVr9n+/G506wtDdHBj+RxCf67PSoDIZVm+XUq+OeZF209lXuNsxmMQ4xsdnOCnigqLGr+5
LY31jWtP8GoEtzztwc765AEe/rFH+eSV3PW7pbGSLiCJeNaDu5P2xTiisoJmftmqu3+f+v71frF/
QuvECWoFsamcm1RqOv9UNcUrq9/4HVRtAgkAcYZ2Nqr31G2ldm2l59HgFwFI83qAF6onbgFBRENH
14///lN+s07/dUZ7FgoRClfFxled1lJBDGI5rmo5ug1tpZRBmmBXKIOETms+oKCLQqP56yH2pxc2
25S96/tuDkvMeijIbTPUV+CcuCVCYp33tOgruPKSIQ374PtcrTcQe3ObtW30MbNemThCKvGnPCmW
4ifKba8ZLf3mO9pWLLoM8naYca2p4/k6FPH7KOgf3L6jdamBFoLU4KoPqZiKG+lPydrkV25DW4sN
y6MWY+e4vDKATZrR+0Q1lFbcBrfO3gKl2an3cToOo1/dbpCAuOrmoP/gNrp19sJhsQY2Njep0Fcr
Go0BcMZuI1uZlQYS6nhDoFNPRmBWgr1ZcseQ3HfPs2hvCQzti9bTKVhRb8elfOxi4vgprQN3QXHA
k/2GWQ+7tofP3hcLAB9OS0KsT7mBCAIxnVKDR0HBiiwOeee4JGi5vViSUvjZRlir05x3XwQZ7hXK
2o7Ttr5kr9fF6/Jep0sBmOHcVQpMsLE6uS2K9THB1GOFWrAoIVUXEYFIugwcD0HrY05xEOumrXQK
3UwO2r73XfDtp9u0rWxGGa8HWDvhW4bh52Lt3knwbdyGth6s3Zx1DNA1Dc4stJXzHwL1V7eRrVzW
owls4n2tC29D5+UbigVuX9G3TtfY8LxFB1SnvM2/w0eUgm9qvjrNGkSSF3t7nRctgf3QabCAuzk0
4w8QJN1OKd8KyTjKealqCeLyGlyh73aq6sntKPGtkEQfcyfT1DrtZv9u0uxj1pR/Zg/39wvdbon3
6OotPegA6QJdFHBcVI22g6gb9aNpAtocIxlrp/c63+ubzw/buGoA88mpTgXPwanxayEuocO3vGYT
9ZuU71vxv7YRetsE40/rcktN8BkSGfduG8eKf5FXEBIz+LimB1FS9Cize2iVuQUTqrsvFiY3nT8s
A0Gq2HnmsXm7TsatfGq7Fs2biKRokOCAvoaaYAOxKwM5WMc9b50CnYSoxJJ5CmI26ykvIDaQ1U7H
AOxmXq4JKNkk30qkIRBHALsXETxVu+DJ5XPCpejl4LgIjYaBKoP6YAx9igdcso5uI1ungEGjqRIa
I+ud4tRTNExfccf79e4Gl+LlnHN/gkAFybDWjAEFzjgUzuD/8u/T3hPwPx9w6DG8HBwC237Oltmk
GVHoP/I+VOIebhy0e8pGaDf9+3/5zU/gVjoClnnOwMFQKWQ1xaEpcb4zOLc5DS6s6BdaDZxJrLxc
wB1iAwhmmeNHtaI/KGrc8LlQ8M9Qx2mBIxcuoW6ztkK/Mjh0B9gFpL75vnPbpXTc4tZa+xszfrdh
zpFpbkB4hHBI/2d+9/+XM8CLfrlbohEaaW3HsdRtwQ/zBOp8Jd3un//wiW6jee4M5L5TPm3yrFZu
0EaXgVMq5bEV+aCxiCwCUSSNoepaQ9CxAi3e6VPuHKzn6c0LpmUuOqz4EsvLUXnHcsmcqmawV3w5
NBYXfBWO2B9aejXU4Q3BO8tt1lbkVyZk8wIOShovDKKxDwCwO65H9HLSZM7RzldYagN/HOi6Xbby
f+GYf1jugPfry6EDHuahX2I9wgbo/0UcUNh1Smk8tgLSH3Hc9XhApGNdHRcot/CcOA5thaSK2roa
VmyQELlhDOqbdSocN4gVkRCbgSYjC1XqbTK4h9zOChCDDNxG51YuJmjOQbE8wlkSgpxA4G5jxGs1
oD06fpF5dtG251HDF1Ns+YiqJ58gm3kZjWgUrQsBYjpauIDA/bouO9QEqmROG972JtRbBrZA2yCW
4Po2R+ZrRsAWchvbjtNMrapbZ51WepMnyMAAAKelW0UBFPqXS6VG4oEpU6p0XlYgbmCloh2TJ7di
dZXA34YRhu7G5R3IPg+w1Pwjm92/kwW3YrXRpSBjRbDem0rBojhkjXfpttz2rtewQoagmkrJJqML
UVbmyJuQup1fzNr1mnAFZj6kaCGQx2HAANqdL90KffDkfvkto3EDCLjALuxMDGAOtjuDGpbbNrTN
ePHYr4JpQwoV9TgEx80HWeZK1B0UVJwW3pYyHBu4nUjAk1M8XQBUBEkBEGC3oa1N7mWGs01iJ/IJ
jPC1uhvU5HaMMWuTZ2Mv81VIhWVR13LRcN31T26ztjY5lFbELCF/lxrPhw5afplD4sxt6ODlTlnA
5g9yv9HpDPOTi7yvIQkIh9/2m9vwVlKSAGPQrF4BlWhKcr8UdDmbLaY/3Ea3IjQOMtEUEsKviwx+
SF18hLawWw0U/MiXC7NuAwtGAu3MymRfmKffmHJ0HdsKz7KovW6m2IW1Fj8IxHP6YHzNtX3fbr/I
eNS6J/rTyKDziA/aeX4WnEBV7NfjLno/ue0YamUhCJvPbSBwcFUl3InJ1FxNRrptF2qFZ+mF9Uo6
xBAz85utAXVAMSesCKdWeHahqvOC5LhleMEHTeN0nF67mu9b4ldLboUn9KMgENJrvMrr1dB3EM9S
8jKGcQkA0COZoKFabPRJwqhbnmCNBIefIjRmcvxhVgQDbRCCFdJB5HVWPysO3bKQw9jNKcJsTBI0
4PUAr9q9zQA5ctDrkmKDXqTb4Hb4Cg+G2npQaaPWpzaMn3A9++g0tA2CgcL+0kw9Skei2/yfUznz
46Y777WCxm+CLLICeNqgsQK9UVzjwSwcfNwemwEMFbe5WxGcmT7blfpRijHFHagpnwofclduY1vB
6wPGVLQ9NgsAnGd4CDxuQ+BWQYqs2GWA9akBLZIU5itgSuTXQ2zu3WZtxe7gbWVfwQweqBEJzj/4
NSADOdZIbHQKhMHq0NP77REaYz0uMY3RjqsdvMwhps9rWXG89kqffgyAFq/q0S3qbdCeGNt688iM
23oenSc6Qwi0BTvFbb2twKxR6QYIi+P6GOR3usng6xu7VeltyF4dGdNNJSIHYj4gsI+KHUpoFDjN
24bs4R4Ttdv+BBai+1xDvQ1cOYCm1gu34a3AjGAyw2FhgLcGNJdLkCqymbhdHkMrLqFSSOAightB
RCBbAFuL+sAjN7ACt3FFEckYpKSRsU0I6giFH2fDNseKRmjFpvLyYQy1r9KAV/dZuNy2feW4V6y8
Om4DaXOOoXdxyj7DZd3k926f0orMOgYzAxXcPhVD9hQs8h4ON45DW1deb17DecgQ9PEob6Ds/dSC
/3dwm7YVmIupq51wjkfjpL/jDLhRTet2lw6s+64JqorAxXXf3OUV8/LrJu7dHtKBlS270sR8GVAE
ZFt14lCPGOfuwWlBdnnB5/WdZTNgdcHjOvXl8H3RHM6rkWOu3OWmno89xAsohhumHYkp3SDBDlS5
23cMrFwJf6ICJUtEJGmnd7wv7oXwzm4rYsUjxMChSBHigA1HyMBE/s3GHOMxsOKxE1CS36ZdxVj5
j8r3wCQLesdbj426Gxb4WFV7QgN75XLVGHyYIXXhtihWTFLaQcmz0nizdLF3GjfI93l8Nm6XzcCK
SpjZgBKjkRdolF3BjfVtgY6o08Rt5F0TKgCUc4iGLF7+aYr9h9arnfDK3EbeTXSZYMKOlBNQ+C5K
iC4c4LBVuMW8DSGK+gV2DUWA+4knaigDjdBdgCKE26pYkYn7AwlL+OSlbGwf4kG8hzHMJ7ehrciE
AnZXlAbP/nmCrLKMwbIEA9htGxIrNvkYyDifsQ37DTT0CEIiB9YMJ7eZW9HJvXrq2r1+6y0FqOHB
sYmJ48cMXp6EEjym1YP2fEoNyKvoz+UH2FGoC7eJW8E5Z8M8VHRVaVbV5kAXcaeUcSy12Ep+rRmp
yXIch+MYgnlSSYgS+W6gHG6DiVgZ9Js/4nsuZoESqnzUuXFLbDaWaNfjmaDnhpwJcv8h4OyB5JMT
aoPbWKKcBIzRES8eOYsZxmjNdopgvuK2yW04UVl7RTZ1pk9LxM3sF9/oTF7Lm3uA/6LSYsOJZj+T
9VYAFzZCSfwJJ9h4D8P2PM1wu21OQ571r9V09pD81X+yQlWAhJ8VfdSnWaau+Dq9l0S6tSx2FZPn
94q5KQYG50IEqoJnxVCM+dFboBXmFE022qeoYeiWIW+khaI31A+TXe/ObWgrUAGBCD0Q1ZGMulBC
rKT4Xk7w1HEb3Eqi2RIZNkAfPeV69y+ZIIclnI4vuBu/XPA2kioaIoB9Jh14MPer4bqyUqeyB7PB
PhufBi+GB0vq1/Im3vSbupBOj8K/VEqfwYdR2fagxSz2Yo1cYcVmrrvAkSYJRb2XiwKP7xEwc5y6
sIGTR17vqozCDSvHbMCP9uHXuUK8N615iOpedx/43heXfcJsIE64jl6oGA70KEKthnsluTDoHztt
cSas2KxFu01VsSfRMLrU1fAIZcVHt4lbSRRv7xBSYF6fKghfTD1U8Wb15Da0HZhBELTAs2qcg3Dz
JNArnWKnsASr/OU2kTH6lFuE1lPdAPYYz7DaamFA45QrWGxFpvB6MUPPok/HwLsCCv/H4PEPTmti
Q3EWDQ2SxsN5IgcCvhycTOTitiY2FKceFDiVQ44C7QDrxaXY/a8G5bZNbDAO5HCrZQiwvyHM+ils
xpsoj5zyPtu97Z4nHr36cbZ6KP6KsIG2cHM/bZnTO4XtFnjPhw4gRB8AtoabEC/qr2EBbd2gg1qH
27e0opJkZhbg+eJNG2+weuMKAosDdcsONiQHXPQggrA4us3BOxEUV5GpHUe2wpJHoyBywvldqX4+
92aA5FEHo1C3RbEiE+qba6V7bBTBxqt22q4Xoq6chrYROVk9K6mhAZhu0OKigf9OVMLprcxsQM7W
rrB3w0xTIbufywJjOOFW02M29KbpaExhOoobhOz7y2Ez21Wlm8npzcm4nS9p0HeiRXtDLxR6317a
1/l7t+W24rIUBaCCCmgNymBqEJVX8GlxnLUVl5k/SZ4bRI4uokMtUH4rardUaSNvkINbmIRhk+SM
nVFmv858tyPQRvKDGJC3vYcPuZbDp0YQCICWUe44bSsoIQjYDVCwxt4ufEj71jeR/xqOci86/vPN
AHfNl4cgyoWQG9XoA0MWnUWfG0BMP9cd6cszVKx9Bgku49+tsJHRr/yW+Nf/0O7OmnlrOWoVVdrh
RxQXMMbKb5Zci+ttDhTwLVPd3YNskcElknW122FsSxcEqgnIWmrcY7pBfozYBk2urVLSbcfauCh0
EDL4TuPjxyK6U3lw25HObeY2KqoQDDDDTPRp28WQJodiek1743Yc26ioLKoHqKqio8BZdqrbGs5C
q1MfhNl4KKS/MesM5m2g3A/lVXUQIbT0nA4fZh0+fCjHmmqs9zCWP9spfIQLa/HK2PsYvwgIGxKV
wwplnouoS3uo7dYt0/dTKNmHbJ3dEhWzLgZgtUD7buE9ruvwPYyG7ouc5Gulo9+EM7Mu7CiSlOtK
UP9vOLwftrAefvTlLsqVZzH8TXJII99lXed46u06pc+vUGWmteyg3g8Xa/OBrMEtHNOdSr3MlmaC
4WefixH10k30oBbBhg8uaJMbvwgmHC8n3pW6zAx2ZdrOLPxZ+P4IXNM8utXu2X9VV5+9gkmo0ddB
8T5d6bg++tkiP4UalkZO29+GS4W1YpqTFkszsy4JyK6F2UCQ0W1069KweP1Sb/BkR7/OtOiqwVBy
CszsVh+w0VJbBUraEOH1VEwLyF30zgsntyPHRksJFDNmRlB+RItbtochUpM+sGJ7JcP/t9H1i5OB
WoHb0jCXLSyn03ncrZ0gsb6+GQC8KI/LAhcIeKqP3XsUmtW9Loj/2MoBhngsavh3+HNW1wWE1eVl
Ww3iWke59xiHIWwuKO4N78qh6j5VcQ3ddFX6y/fBo15/iURvshsYgkzXk6cw1tRP2Y4zX9wwzoxa
p0WrTB81ZGvTLVTXGjKfshNuJSYbzFQu8xTN9SQS3At/FKK/6Drvm9MGtYFMtehaLSoMHQW3AKzr
zS3Vwtz8xWEG7SroEmuMm8NYApLZkCguX7n07FfXX2ydyIqpCQqezOBBmPiyiN/t2eoBz6vms9uC
WOmw7cZVwNtZJFrJ47Lmx7787jby/nuen2N5pesJdsdJ5DeHBTZljRvvndkIpkzClZNlnUhaqAv7
8IUd3XjYLLI2dVAwP1gMRqZhf1pNfDMDlua2HFa6m8OWqrHD0ETIS9iQHlFYdkt3kXUPL/oyAs8G
m6+lcJHMc7SR462ZT04TtxFMdDVw1A2USKp8I0d/au+mNnYrsTMbwSSzcWsZx+ARzII4vWQwA3Gb
thWReVGHZgGBLIFDNFyo1WGW791GtgKSbjqgNWnxJSvYLBC4UM2f3Ea2glHKZY4n07GER7S+2AYj
YQ6QuSEOmI1ciobMq3kjOUDGPqzKx6I4bMVSuyXn0MpwAItnuQcXr0RSWl5zCvO5dlPlKwn0N4eg
LYm0wB2R1bxniRjC6jbo6uy9UovrFrdiE7aTQWQWuOnGM8THKYHteeAYPVZsSl3PyzZNNCH+dAy6
z6Xe3B6ONoCpFHE8GzIwWFX0hy77rjbHG6iNX4qy0Q+hP4ORB9Ef84jcS9LHl0573EYwQe6rrnQW
0UTO09tsW27N7NZDZjaAaYVUsiI5pYmvoO4+qAxSwR1zvPbbGKa8ZWVEt5kmDQ0f4Np9pw29d1sT
O1XGoIj4FYbG3SSBSXaqI7d7rQ1hgvBzHwMmQXF4r+WZmHE8ZzUspdzmbaVLHXBJgHShCc6V4pJ7
/nAcuqZwgvwyWzvMrDI0U4PQmQRokpymdHBDdjEbwTTPAC3SdqRJPwsYVouLMnI7qGwAUx4pSbZy
pclK4uYUy9GH8H3kBlRmNoap557IqhGjxzPtIaBehhfwG32tAPCbQ9bGMHkonppgxjYEb+mmG+WH
bovcsoMtgzRERVSYBlFvxlh+wfOKwx/VSM+4nSo2xmAtegrC+LYkovPPBXwdhrpxu7jZAIMt86pI
Z8uSMAURsXkV78EtdDvDbT2RdtMkzsm4JAvti1Nf5epyyHjnVi0i1nWigpch1EQJvmffF1chXopn
PRDHjW6dWVsRs9IvPJqUELWSWTtcRC1zPFiIdZmI6wnYiwCDd7mKDnDXXXZvDeZ2bBHr2BIwAZOE
xDSZcwkZl0hlHnApZS7d6DKMWPcJsFE5+oI6SpqtP8Is4CKAW4vTkWvju1Bej5Xf1T5s3WB7RrIk
nAPHjS5ePthWIM9nEE/8pJxAQ10kHAOF2y3IRnf1EMeDp1nuJ8pTD31Qv1eN54QuYja4q2mLuuqL
aUuCJniC/Ae056rZbaPY0C4WTv3At3hNINc9HbZSfJj58s7pQ9rQrgreYptqii3JQBiFbwQvp/em
atxEBpit3tRWcglCyXFqwTmFtQ1scH23V4pvXWnBhxSQKZNLMsL1dRzqU1tkTsc4tZFLTMzEIHHO
SdujKIbOY3XQa/TRZcWpjVzqGNpFfinmBIRooIDobTe6UefpbkPwvNaRBf1QbMYbExS1j9wUScUj
p0MckKSXQ499PZpyKqakhDd8FAUHjzoVa2Ew9nLkDqJzC2w4x0Sy5STj7HLKfrittJUbZLT2RTdG
I3bIPN8zeE+f4z50o/eAzf9y3nUXNktY+CPMTBU/FlArOIWzm5IAFVZuAMM/DEo5jUk902NDyW3u
yHmiwsoKTEZLGXf5lMCu642BpxmQaE6HILVRS1Oo8oiqDtZfux0YLCMSr45/On1MG7Ok5kXVK5Th
k4LyZNbeMdfM6QykNmYpFlMMZWnswCWC4gG8VdvLwh88pzsntWFLdJFk0D4ZATwLp5MnBIUT0ECO
bstixWUDi+QQ9fYxKVvvfpPzZVmxr25DW4HJoXqwUF+OCfGqJAvad/FWP7kNbUXmGoH3VNJhTCA1
BWti8QS7LKccT20VIUh5TiOeEGPSV/VVPa9n7ih6Qm3IkpHFusweZl0Hfn5oeXCd1/yb24pYUUlq
mYEJ1o9JwOBuNZ9IWzouiJUn26EeaMwERgYlfmvGK0Vfk/nZN9k/ewIwxXl5BAZtDbPrcR535+1V
nGAKxcvTlOngU46mMNybTSTd6kzURjAtw+z7nRhxmIfldQDZzKH3nO5X1EYwyTESBVQPhkRU/UUG
ToGvA8ehrfDMtrBfgy4aklXO2aPx+/Ima7ibYgvy18v1Z0xxJCEP/uINfH2hHcyvw6Vb3VK+LR/E
YVo9SlrixG13AQVxrPLS7cS1QUzwEo3nEDreyTywq1CYGyg3XjoFko1i6tCnhBo73OA3Iw5cZ+e+
4k6PHpibvlzurUITLJyLIWGf4+kUdo7DWgHK2SJFX5fwrZ+8C8p3k/Hs0WkxbFSP4BKnH8obyehx
qLXIMzR+XkOZ7Gf1L4LfhvWE0TL5RY3VKPmQXc+IorPHpHHLmjaup1kYvONrbhIt6WO4xs2hFXAY
dFsWKyphaqV8IOWHJPeAzxp1+dgXenB6v4LW/XKXAGcQwneamCTefY45P8uFOpUiqQ3sKQouyylv
hmQj9YMM9JHWi1uxgNqYHm8JYfUAD6ekmYKfRJLP3Ujc6oWAU75cEjbEOpb1YJKg+0GX6liJ0u36
Y6N3aD2qIBuw2Fm3XQDOcAltE7e8aaN35nUNer1v6Lwx85mNlT7RGEa5/74F9yfZL6LHRu8IryUj
hyoDUqcM0xmI5S+wIaY5MH2lik6DZ3JyCBXkj932vA1anM0yyx4qtknjefqoO+0fGdxv//3X/OYs
sMFC/grLgcn0Jilyf4Pb7Kgu4EDlhMOgNlaoGVTkxVNtktbb+sueyf7I26Z1e7PYukqVNywN09ib
cFPyb2rCcQXQjsrB1MYKFWCbF4HROhEE9nxF03ykQ+2mT0ZttBDscKHWHiiddIK/aeW7MmcPbt8z
fBmw+aKGCGQfnYTVdJhF+L0qOrfyhw3YGQpY1bcSQ+sO/CecxAc2j68RFX+3D61UOtekK7c+0gkh
EMKp/ZvBdG4JyUYDhXEYz9PY6SRe46MPS9W2ceuIUxsNNAsfmklRo5Oyyy63/kfgZ25xaeOB/CWG
HrYPUUkShEcoB1zEg+M7y8YDsa0MCg9aTImGf/kolkPct24XIlvSaG26CvSkTSVNl+cf43kp7zY/
D7467e1o3zvPAEGiK+IMxlgqySHGQuvs0CyOVyIbERQPa9GOFYae42I4VusoL3jfL4470Mqi3dh5
EITF6IrA97wbz4BROzWA4EX6ck2g4ZfnIq8b5LpgOMItqT0XsDp2/J5WVPY73yzc2jwhQAPhKvcu
7t0aetRGBZVzQ8vMXySgKgTI2qyt56fGbI2bJjG1gUE4TjI4q2P8aZjJUW3V59GrHSuItm0a/K5D
aOF79DwZkQ5reOBQDnTa5LawUVE2m56ikp87bzzOwQJ7gxriRm6D05e7ZYUYCfyTI3aOTAgveH5g
xC02bWyQP5SRUmU5nVU5RZcwCN+uhjWe3C6LNjYI4EjNc5pP58pjN15RnMTU37ktiR2bsSF0QBH7
DMvH+eBrcRtkpVujkNqOWvU8mwDQzulc6vW9hh3JofeE473fttQSXoOqhNkXZcxhIcfjBOrejjO3
wUEhbK+ieRHjWeRQZoW7OrvA/N2KCDY+qMmKyasXjsGz7AEaNh+y2e1OaIODdNO3Zm3D6ezV/QWR
xZFP3C0wbXAQKeAMXszBiFdhcZyCGPigL05b0AYGjZo0U8TW6exT+an2msu50o7rYaVMJMlVF908
nalarvupvBSbmwwgtZFBPdp4QVGo6TzJJrsUuUcOU9QFbg9mW90I/iJEosUxnfXCj8qXj9mmHt2W
20qZU1OhrqLG6TwM5DbIc6j4BsStvQ6q58sTFtfjqW7HCRuQqjdC8A7VZu12VNnQIN76ZaeKajrP
ZrvAP7oK+eS2T2xckNF+RcsKH3NrfO/Ag+7k0c2xlPoPWNAks1759XTuDNoca7WxExTlvzt9TRsY
BJuHiY7gI5+7RV1tDTtgkdyyjg1/8eOhQ50cQ3NaXdSmvOhzNwsTagsbZZqsilcYelm2SzHtIhvC
8VNaL0A9Kh8K44gcOLoOh66Vj7GvpdsFwka+KNCiqF7a6dxK/4KG46lljncqG/Mi6f9w9mVLcuNY
sr/SVu/sAQhwuzY9DyRjyX2XVHqBpaQUQYIEuIEE+fXXQ923VWLplqbDrMpMmZHBBcvBWfy4k2Ki
+P+YzOIrileZ7MK389bIZlOWPKlWPWLjsJXvDTFTGiPbft6QbDmNdLMMfVXJ6diY6slXn4wXnQXL
D7agl06bxB8MBpsRhzMhOBTdeJ5jvwW9EPDCmmrGYJcDCG9qeUBfz3nBzhbzYjjYwChKydBj12kI
aY0Q/BpnzeMW8tJT7BTVVNOxKNdcRRdja8473Ldol9qfjD95nj06CWlxK1MoFp9X1tgiC0nXLx3R
sH7FSbq2jNHtvJ6pYRJssYVJUYWKFnjuJOk/1WvwNNVLdeZob87JqCYecPK4tmTXlsYZWdczr7zZ
jzWVa0gQKBxtu6SLeGvj9+csEL6F/4yFDIPRYYEAT5MDyZ3OdXfWYQBNoh8PdtKGsh90bI+dC0KQ
gQCQN6rBO/Pqp2TzH1IbMlZhYU/u9kCpzQFOec+n2p013HyLADoF2NHc49EHthxatxxmcx4VHd9C
gGjk+y6CANoRFd4uNSfqmKQ4b1PyLXPRUEYCyQ1mjz1XSWabtXtwyTz8wpv6dtb+OZHPtzCgZFwR
LhkyHAmSpuRIFtl7t7JNrMgCOtXiqa5oFaMK2c/yAM6GHsI3wTz1hz5xpjrUpCl5SpbEqVu5um4u
oYxZ8/NSi3zLPRPUOK+muR6OLRXgnKP0K3TJzgrW+ZZ8ZlJeIBqoEB7XtvmdB0WFTPF5MlN8i+KY
DOMy8tVwjIfyWNZxmdLuPFgY38I41rXpVAwc+NFNrZ923bSkYLWMz9sm8cbeGVKUbqXlacSVSqOI
nRpk1/PYP3i8sXl26swwdhhzi72YFlSYbIyDr2fZvS2cw1ZiAlM1Hl0E8gMZ5wvWe78od3FYoJ/s
ki16Y/LLVU5c4Ln9IueOHZPovI4vvkVvjM3YzOGApeJTwzOI+9BshdrhWUOyxeGJKQjhgLjhSGt2
FVQuBzPcWc4C3+Lw4onEfZUMuHQy++kceBcKVA1nngSbdVI2RTCV3jwcFbE7V+EGYGw+j2aOb6F4
YcGsbEQ/HAutmzyYlmY3Jz07y1/lWzSeEBFpgJk7BZFRh9Cj4XOBnvJRnBXZ8C0er6oaqSjReHrM
7EVZdfI6GefwvNiGb4nEbDIXEN3FJuqmF/Cg3ShbnZXM4FsqJDK3dVBiiRzFaH43rrjHHPzClAf/
n+15+v0fHIdpDv0ijmtkpRKur8AupC9twhaCvtIh+njWVtrCiSga4chIAph0HcXprIfPYmrPS0nz
PwGKSgi/1q2P9R5UB3/43en4vJ20xRPhdPfQQIork2QpsoqRjEDi5LzDYosoKsaWtnrFxWXU3Yiu
RumlO6tqzresSKFTxgTomj6GvPXyJlR3XiHOSzzwLa6oQct6T2Y2HOsThgB93x+bUp3pxW6BRSOb
175s+XBcqvKG903Wj/V5W2iLKhIduGUiRrEGi7JEolSKDFRu54kQ8i1hkOyZWQ3FqMTteNSS5Yjp
zyrQ8S2oKDRe1XgAFR2Tsj6IUGdxE56FV4Lk+I97nxhXhgto26AQ5qGPYkpleV5tgW8xRYEb4hrk
HFgmjqZAbMThWbluvgUU+WHfqd7DhSdIQN14RVKmQxWeR2/Et6CiKrExYb4djpFo5iIf204XaStb
9N2dZQq30CIf7J4xeAlPs9lmbWBfGDuvh5f/CVcUtN1SdnBYatf4uS/dcbaJPM9cbWE+XR+10GCG
y9LU/DCPSSoTct4C34J8PFqjxanGpVkdXSKFksv2PK1KvkX4CJCLrBObsMC9RN4o0WDMa5RGz5rL
LcLnBNsGvSfRR84Keik9K/dNPMbnbc4txGdteNLTrsPVS1mS1NSDaTLXFN15/BR8ywgUeIuugrrV
R6GbOu0QT7RLcd6Jv4X6NKPfd0J1w9H2awrs1pUq5ct5o76JsmQ1JENHm+4IFUy7n2WwZh6BcsB5
V994zwvyg2NfJ+5YJkiAB+Y+rMbzjuUtjGhlXtCrdnXHyXllDmaqfucMOdPt3yKJgPUdZNgv7mjq
+F2BtG+qA3fe2bnFEgkFYQPqd8sRin4DSKAm/zAk6jwGFr6FE/U+71FxFe7YRMvYpMB0sCZLumV+
O2tKt5giqQ1oGR2m1MMj27nahd2vMCI/h3LyLaDIKGpLN2FKUXidviaYXr4r9Nx/Nh2vwawFQvHq
nbdGzbA7713Yjyf26ki7QL/dHcPx0Rs8ED2dOwv+5sq6KTignO4YKJuOtk7H4Dx9Ar6FGHkLBzt5
jFGS83BXRfRAzxTI4VvioWhZvWYsqTsixADhoVnrtOzPTIpsEUYFF2B/H3p3FLxUL8gdeTZdep/9
KsNAybfI9ifJkS3IqGo6NParpD1q9PnyZ2gUy8spnLzgWo7oy38EtRltn4dClRDlXVY1mFcXzmwB
9aho66lJS1S9dJcik2jWS8jWgFLHrYXsn2gTBt0V7WtbXvZTt4y3w1KUyU4RtPtejKDy6nNd+4G9
WMZwjm84BB3oTgtWNPkUFGB5SEWQFB+4F/hxVq8wAXktOtPnQxBCZ5MlXj0fxxLJqHvuWy/Yq5Hw
4hA64Kbu5zbm2Roszu1QqbycGp+/gxNlP3FixpvgXfugd/IR6SY5FPF+ANr5s8XdliyAakh4BAce
2I1YTOKvHuqRoMSB2SjQ319GxZ4thpsnWvnT19WBTg1Uq03HoI8C+YgL41jQfKF6RdUr8OrGHGUV
Veu7qpW1249x6C37CG2n/QVamOr4yhuSqbsJmkCzj6BFX+yRQWqhzOJwrF6GYgmKTASAJGaWmra+
aIq56G8bMGwuzyGkR8tcGTT4ZapIdJhBmSAQ+5GuYrg8yZLLnGi18DtUmMs5TYTvJZ8WDHp/EfiD
hTZmnbDqfVk5QS68Gf2DuQvl2OzjsPGLLGGoD+zCyHl3c7BKvgMVwRJnnFsR3i1lqR9nv6rMrpBW
8wcDdgU8zaj1iY7MxCTriqGOUzdWWu0JGG/YnZJ+X2cdeOVRn1onMJpK3aD9JlIzAP8zt4WXJToy
Y746oNAzMo8UTOudCEHZRLkxhzgBwC7teLK+mwfAtdKKxa2XzUQVPF0XG6k9CKdJsmsGW1RZ7Hr7
3tY1BQemJLM9sCD0orcVDFbsyERLiwOj0EBPbcsg/OOBvslmovPmy4iICOTdgMwU2dq1/ituM4Bg
N6qnSwT6bZiCK7EdPtgqHlSKtG6UHMtgIBOIiHxk0h3HLkpHzUJ7bxO+CJkOfjGtadUYtuSBE57e
WxUvZTYU4BGGCs66isxog77pmUXxsOtbH7BZXhNRZn4sVbGvxcBdTgGmf52rwk2pR4yBLoeurMhj
opLpubM8eo/EgZB5OwdJnzZiFvNhwK/ro43ZuKZl3fH4DqWDcEhBizybg2hi/LuTLgpk6oVdDQF7
BYIfl/fWyuUDXRIJHB+47yvzFpVJn+SkbCy7rkEb+eavpSMHL/bc5x4SKh+XQvnPNNYqRM6i9PpH
UaiVgGAmnNerQM7gKM4q3rd0Nwo/5PdzswRkb4um1heLFb45yDlSXToEdrrrJlvrPfYWs5kJ+vbL
XHJk/gQotO0RQkJedfCWqXifhGjhbi3hHege+yZ6mQPjXaoJv0lLsLpE78c2bup2B17J2qjdPEy8
fihDUeuvqObRcAdaGT+2wBILFl66kYFVOdVTEUidKZSFWpaGhJVLhpdd+tsWhAPTofO4H1+3c3ta
A15UwCwVbYHpQlwontDGVtInZb1SQ710ELRL265AFi2smvZFU0LKL3HHmuLLABWKLie9gItdlnXY
XJWg73YXOqRrfbf2VfiudspjmSLTHOx7I+1wC2vquYyX1oR7VE4jPwX9ompe0D7CkpfCUHEZt6jr
oyVaDMVlG7rwa239BuhdHun5RmsNd8FvpuE9KF4t5Nekrb6O9TTeG+lElDYtdpSXDauvmqfKrp7I
6QofIwVD28zyEv5SdyAt1gTxQhnfukQU5KA82xW7Cq6al3VxVLBdhC6zIh/i0jOpjIbA21WeN7+G
OtbdhVFrzlbYjnRGvfM0vI9+MuGsieFASsFTKRZQ8fZ3azHs2nJ4UF6frDuYhAhPWCgB66xjwcl+
rAWhFx7SrobmDB0u77olQL6MhkPy2lMWXcXMzDdh71XmMonKhh0CaFz4e45NMN7gALxsljbrQAVp
XXmTzGGJrpKKrzdxqLtrpLVwujPgRvxsibSo9kZFs0wXjoxxig2afARj53KbSF5HGWiQf/erLvkS
JF3xyW9Jqx/aqFyxEkoqaRaSMs5dRxUORJBlgnptEeAs9CGHperyE5/i/cSVvdSadDsk0GUOHhu9
M6M4lM4dOalMHkiUjoaIHXpGSZrQ5U40rk+ZWJs0ATlcKkHxhHVZPcCNsGmNTtzMOm9OV3ASqCRa
cxGFNhUmMteV7984qvIg6j+I2Zv2PqnK3EIQKYdc+fUa9QtSeSr28hHybrlopiSTxpuSlIJH7+AK
8F/BOtfRTRLXz3bpLey5+xQJMe7BV87zcFLzczQVJu8q0FuDWaDvsgQigBbLNi5gfgLnLsFo56cQ
YXpWHBGEBwuPo02/LLEHe1h0ScoxuRkwFDTldLmhizjQyt0kU092oL13EFJtZDZGqsyWgdzWof0d
wxjuOjA3HpHI+iS5WHeMzTlgrSJvluor9EjKnWdRUY6heAYHwNV76eRhaUSXFQkZM9JaHCuW3pMm
vrNLdMlaYAXLABAfNAvrNCrsoeFdct3y+qaQbs7DcHmodd+qfem83zmkq1JVqKtxWm9oIUwq6PBi
ZhVfDmHc74o5/KrK6VYolIszjTEMajNiJxiXdSS+Rsi5nk4AUJi7ycAEaW+kZeqLHt4WC9iwlyxU
aezklPm19DLedo9FJKKjPwrwhxvywNFEAnalOmPSb1Nl+7RqCb4TaXQhTMD97uqAqwskK8IipTN6
TBSSzmmv6+AewvURTpoixwsJna8Q95RpG63DvS9o+HUOi7HIk6n0n0vD7JJ3U42iI/UrVV3TgAbI
HUyWLrdQG4rymWghDyKupcrwftTPAq8p6D5CZspdEsPoTUg8aVIu0Iuaut7En80S6LytmBdfxHUR
vm+bJnApW0b3AYKRIdknfVe8n+t6HuDzoS/0MvF57LAye3AYi7ZcXxKOSuguBjFo1izafw95GNOn
fVX276O2E197gcrPVdNYjI5V2FPYTl0E5emyWnGAIFF2G3quXh57nQh9GQkS+/veFwSI68Yb+a6l
fcPzuNYCaCc9F7dDUAz2UDOuPjbrqE6Idck1gMgSy8pvh2VGfWlJbC7GGs/K0S5TP7CkpJ+HCCpz
L9KQ2qZ+i2QrcqRz94HUTWfhVMVlfSyLVr8z48Lb380YzV/HEKiltA8ZkPw9PGLUrmZNeQ4CbT++
n2RjzM63NXjqlF5qdYyg0PREKC/UrjUSC7KzMdo5RTlCS1XaqL8b51mscE36UUGHyll933atqLLG
akZhWCoypsiwBsM+GfRK016JpcvQ9EzvOtDiq6cOdBPDXT8Q0u1bYge5r2gB3zBh6DrOZuejGxhv
ocf91LIq54aQI5xmP1lyhILXoHkbgH+m9BK0HkN0BTZzH/5YsK79roadeU98trovwVIA7mmmzhsP
fQsO6xx9wZV4UJApZRcdi3mBoahClk4TlTIjkd/AroTCpTPmsz4G4KQGV7FTaL4LRFW1D552urqj
NNRlHsDlpelowIB0j7gFcuF8WHm8g299D67FEl1NJMZRuk7LsuY2kuFV5XggL2MqRuBrwshKwACH
uEinau2enI37V96BFO9QA0fvZWEF/fSMKzl/NV4s/VSiN/hFLx5oOHUX1uIIvnt4JaFDE0U+jfDd
U8/E/dVYGW+ncJC/csuC56Hz1GUYJQgoKu0uYQqpvA3YyKdUqcnxy0SKiiMEmECfzdf1q5qC4R2i
ujhK67YvWNb75OgXQu48NTdjPnlxxw+Me85lZuLUPYy0GpeMmXrKYeviD6tVBVi1IU+sscda/cEj
Uex2TQ1f4LqD5V3vFNzV1EJ9cV+E2pBPZBzYmiHYqfRh9BZldmtCxSPwHUm5Wz1vopeR4zy5Eq1d
niFBKb8C5zGJbOiMLg8d3K0K9aS5o/nK6+txamb/rlYnx0jbAoo74Eo0XxK/4uF9JPi6axc9RBmq
f0cHSk+XDhDfNGnh8ZugXxNEiBCO0ZAyKZYBiTbOeG5DLkgmS6Xgj0FY+6ErW+9R9ZPESTSq6CGe
I2nv1mBo+/uZLs0nPWvno6/YSC9dpI/jaRhYD8bddvVvAy2n+3JQLYTg5/KDrBbXfShoaKaMFWgz
Y0nseTk2AJgCRD2cLPzS9QmsfTz2mVvnvjzMavUvp3gsKxC1rdxlg0EsTMDdVH+AU1eHqeZ+BVV1
PMjTmiTVWyDl/IB0OXspo2A2O7mO8mKAEi6cpDFcamzI0COXJZA/eeXotCuiUR4lKnWpdKtf7Ym2
rrhS0+DEbdkT8dJNwR1Es3lqfDTv+nKUuwhi9CybS0D4diFzpboaWjaDJKxmIyjlxIIuF9Emcjc6
LqpbW7HVO5BJkWs/7uf3xcy8G+1FfMxZWBukENCSFB3XHnHFjnaM9TfF4MtPrtJSpQSe7LzrA2rj
q5A20XFJVA00lT91wFzQULa7Nui8d4uiPEUSIcp0HNQHy5ruBLP53E7kltsWmhdeHK7wKerIy3VE
mTiIohuqdBJr8pDM9fpqAiMu6SymWyURCaaJa2h1E+MMXz5BhnaZduuCM/Aw6qk9OroWH1ttF7Pr
5kjjtJGunfa6oKS9Q04OQfnkwz2EDKn4ghi6flLDCKRtuYbHLp6mpx7G8sJfWBFeETeW6h5p/OZN
xE3SZa1cxtzvXHPJggL+jer72zER4HUEGTDMWJtw9qEDbounPggC113nVnM7ttUodkUwR3cU8qrj
sRAjwtJmIcFn7OxTsoZEi/fYd662CGiT9lrXrj0GvuUfBuAxG/hXyTTvGmp6rCocilWqhjK5CEGj
ytOlioyXuaSb/CuhApHkXaRPR0JdPtHS3KqJs1yp9bJaly6tgpY8Qo5xvW4JxDtvfBa75xVnRber
xYwW8x5ECLuOmii8aK1z/qUWNnqWA2TLMOiyURmUdehHjBpnlyVTeiWA9ne+HmB1hsXlxdxN9yGP
YEdL6g0PUsYFpIdlk1yZen4D6DNcXwf0t79pfwKbL5J4KlVyWTLngQj2MItlIelC0H2oo/GKrG4X
8JqWu6aR7qbwq6MrmvulGfiM5IQfXeDwB+QMZHhEB5mHfqgvi4jpcVrW4amkvlUZOo4guEFrOnQX
vInBKx8PfH30Vm1pamvuvwI7r36ffMv4kTQ4k7KJBa7bVwsaoVQNfQSx+PPNYKce7pcy3sEGyHdk
cz+v8pKAW9peLQOKshnvfb+99hSJMfizJM+qINNwmwQ8ifY+UKDdE2DSZsiaeWns81ia8iuKDKPJ
cQRPSMOYosVVVnTvgO3QBtW15zD+PnPhfWAaU+9Nt0L4l9t+CY4BEKR+KhKwlqdzSfldFfsmyCYY
9htixPwqy7qJDpFqAUCDFarAsg1uQppXRWnaPXiLht+5dKjyQvQO1mYEz4bKDKc4+aDvhr3cWumH
xzbSk7ooF+zxC/SitE+RSmhw1fZljUXNTZlPmusqbXCgyRSufJtcLsz6JkWdx8LBJY2V7+OTLG2O
MwMSKMEC+bE9Vw0f8r5vknofMT2Ut6YwAlGPP4Xtzo5y+jSCjotkdPJRZ5xkbOOMdmX8BDK0SmSd
FwblNWHIaDwjCEiWC2bZQp/9AgLGXyIJlP7tHKvRXgYA4/iHbirq/j5umpa9rYVW8gCCP/F1Gi0t
ryii9RU7V/XBHS2RIMhlX5befeGvoAhJqUQhAjt9iHscohTtvbldGoTTTkJe4R3EjCIwwYx+cMuQ
3fSb1IPV4fd+oMkl0VU05XPUNSy1BINxVaE5hh0qP+nUnjcYwXdzowZ/5wq38HyKoM2RqXls9Ac7
LrBuKHF17q51SFKmNmC6TkWsSJGBPX0UORhPp6eGlZC2M0KHgOzMiKdTnCLyfWirod9b4SF1YEfb
wtsNB9reKui++bmYo6h8cpp4bYb+SjJnbb+68T6yVbdrtEXciBikUXsRlzT5ijRSMO90VAcdylbw
tNMBCan2EfDWqQVlJL5wUcck9FVaGCunvYiQyPzQ0UJymiJ/ge4O7DLm3XXGg6VtBhmDRMfTSbmk
EW+G6VrBy5IuDSffF68FSxKZJoSrPh0hHPUqFf4NF6kK5rRpVrwHePX7V2S9Q4jWoxg6ZkXVY4Ya
Ha39ccYN6tw4gq69Cs50+EoMhGCOdRsMwWMyN7PYhQUWeeovkbknNRnV57j3wPrU1lVR5dVCZARI
gY+ejyFvuHb84xCsXvKZTaZF5mHqbLUD9NdD/NSokWeRGUiSOvjiy3kwuG1z8Mikqkph2uMAQc2j
Tvr4DskyfmY5Ztsg3NOWGtL07TEeictrrUy6avkvaYz/+uz+T/Fm7v9ZvBj+57/x82dQfPVlIcfN
j//zbBr899+n7/z7b378xv8c3szta/M2bP/oh+/guv+6b/46vv7ww06P5bg82Ld+eXwbbD1+uz6e
8PSX/9sP//b27SrPS/v2j99evzSlzsth7MvP42//+ujiyz9+owQMlfwEXvuvP97kX39xeot//HYl
X7X829EAzPLPa/74xbfXYTxdKPk7gFM04AzEaZScWs7mt39+Ev89hAZuHAEHwmLE3L/9TZt+lPiS
//c4jPFhQMCrH31T+B0MTCI+on+PceTRJAwgaAtmfP+3//eAP8zT93n7m7bNvSn1OPzjtxPg73sp
KoojylkUoYhI8U+886a+Hp+KINp59oKzcgd0fl6swHl5vyKj+dbptb1PHISJn/h448A/PccfgIff
qRf5inhZhfbRD4uL5aTswXt3oDgirXin+mdUgq8Wv3qMK17+oqUGA/2nd/3jM5w+/8MzFH00GrmA
oHGd+U1RcshUn0ga7bg+eMT+ZyQI/xzZGElqSBVxRuMtsh29AEkPvQF7wZb66UTYuPYJFtK/V9u/
JvOPk3dCbP1pUCMSAskWYoltEa59YaOm/kbc2AXfiBtD1jz/9S1+tj5itHyQhIKflW1RL8YWk6c5
qBAD6z0QNuSlHz6hNJD/x7dBpAm1G8KJnyRbAFnZu3EA3YC9MNFyIHTa9xM9lOo/I888zQlUGgi2
YAiPjGAH/bgCziJ2/POI4R4BejR9eqK3275KLaIEIfCJ4HH5OPh1Tk7B6a/aJf68lH+8yWll/GEp
L3VrLfqZQMgYvCzVsg/0VenPx+5XjfHf9v+PS+x0oxiZVQrhTH/bZvmd+ZHI5VGu03XpAh8CWSS6
dZ0AFL99a2YZ5gMYCtOlJcsOAIk1HdrkvtEEkV6VfIx5+5UNprqpUFECCk+ALX/6ROrlthHe04B8
rF69l07oGyy18prb4F3Qy2qPehXqb+065qZsEQ5MzRM0Me+hKoHM9MktpTES6u0aEIT39GVsxUcl
zIWRGkwV3D0OhF8boy/12DapjZXKEWrB/WySw6LCe6C3rgPew1kT/xmb77/WGWQeKEcWhsLs/Tg9
iS0SAxb56UKAHlfXdxFSDX+9YX66AGI/xGbBpOCOP96Bkb5b+hgsmc0CuhVk3CiDqwnhCoiF/PWd
fraeowQpW4azBvfbdLKtTtAWxZ4RwkbPy/j5RJsp2C+AY6drbFdZTJBmSQgJgKfdvM139sy4R14H
bX7w54bmXdUs2TcqzQFkrJlM3P6vX+0np1LISAiTwwiFHWUbe/CdV3MpWzi4zbpfgbYpCnXvd/JG
LNUHAb+8ZP6uNPHHQNLHRte/gOL/2YjjGSLOGIEnEERboJgMqmhG5dZeIFebn9g3AQ3/hRrLT6bw
j7fYSspOcSggBwQWTtcmyOW9OxFxNhBP+evR/BEW9W3R4x3QdwfVaRokW0zad0LOAGOp2xc3rrmL
ntnQZ7+m5vzZzSgsnO+z05rczlxSQj6ROJBSIle4N8y/7myyH2p7T9/or6RbfzZ8FM4WOIZZGMPl
+nGvBQSR16JOvJ29Rt7QZBp4rMBFv9hoJ6Ow2QQMtiJCHokS2NyNK9YJZPWnE4fnJF7XBokeWVwQ
8ZVGCK3QwIwWnJSs839uR5gPm+vjzCWcblFPS20XBlkHnO8TWnYRD6olyQf90LP3f706fvZ2yICA
JhO1ej8gmy3O/s0i2szqZRrK16bp4rRvhyQDiOW2DcxFCx6g/H9BLfqz+fPD0wbDgkHZa2ONTTIK
CegSyst1+YqK0G1bq3e0Apbor1/xZ2sSgwhWLYh5IE22sSbf2UbR0n5c1CSBhy1fPIoy9zKrQ0eQ
u//rO/7szU5BgB8nEV5wO3uBSwi4x8CKiZrcNwpS20AMGIXQv77NT+0kg4OJlRLDC9y23n3nI50S
kYrRIvuN5A97Dg2Ub4IyK4PPLSGpdV1ahklGiP7VE5yQuNvN8ccn2JxC31lLNZD0pCPXJEL1aeXA
S4w7GbALW66Ag9C7xv3Krv1skEMYXgZ0CT058z9ufxxYYKhVII5sJpa2rMy0QRn8V3KbPznQYVxg
44kfBCzcSvMsnVeXzYngdPF5WpF9jzp6P35ail9123wTs9kOJZI0NIE1g5XZit185ztFteYqGRq6
C1p18CYktYQtj3EVPvtGX3gt22sTvq1hAS4C1A+N+9Wsfuvw2TwKh/2O4cL4EYu26/c7OWpfVrkH
WL326L4U4M0OffslUYAYsLFrdl04AGTBRSbZUUM2Ku1k/4hSlwSIg77NpHX7gvFDJPkCJEK48+do
SUPP3LKAXyQt0t8JsXM6B/Ojoc2HeTb3fVA8oRQG2FvbX7Rt8oDxv1+hcZcyP9g7MaPXcQCEJpyX
nS5inY2O3Xqzq/JwnONd40iTVYCuuU79DsNz54uJ5JbFKOML/ZkU9Qcb8KtypO/jIbkGqKc4bY8L
bwhfec9vrGmAcIyGIWODIsizKcx6Wb4xT/o7IPXjfGC6BAAjfklA/J2iljAACFN9/uud/RPHCxMQ
+uC4JvTkSP64tr8rZ8jeH9NWy0+FGdtdn5QAd+CsOoFAm7Thv2L7+Nl90djoo3Afouq2DY6DgtfG
nnhko3B619XNHaP9oUOtyPfWh8JIFN8G94s+0J/sMA6GpTiCygaL/y9757EdN5J13VfpF4AWgICd
AkhDZpJJK5oJFilKcAHv8fTfhrqqJVHq0tI/+t2wJLHSMBBx49xz9sWx9ONn/YaXVTBdedxpC8+U
o+aN3UJt+1vO7K8+4vcv927H+sabLazoVPSGte+aSeIQnC6Kvq89s8H+7kqclP/8K/3lx8QsCz/X
FepPB+0vSLSIqsxtM+oNqO3fZAR++WKmxv2Ag4Ff5Luj9RuZNsr20TSdgNOS5z/hmfrnD/WLIhl5
gE6LburcR9+D2gYczFo9AJMdtfIrp1aRyv0/v8Qvtnm6NEy0MchQUhO92+aFig/XiXiJuNI3X3m1
TiSDaol+h2j4RSVkqhR6JgO+LR6+d9/ZN0AzvYOLstTYm5iQ6JbNmxZGwQxn0cevEnu/pzZ/ndb1
br/9/qXfZ0W7aKQzwXi5s9G+bbXzqkw3SlJ5rbS3vf1gCpAV6XGy/yxl8PVmYGq6TqUq1mvk+3FF
bh6PNIpA6uKV28j8czf+7jv9xfpAPXI5OTXb0n56tv/XZvT8YrGzzLkoOmgitvH+HvAN3zswdCCa
VoKvgeNEK3+zEn/9Oo7JM8x6/KkmH3MLjYU88tm0yE1f3lhYtzP7Bi/1b4r/Xyx51zZtoXLr1tbb
1I87InGKEgEYtG+qfYzWJDhwX+13+fiv0u67RUfNreFqtR133Svevcp/KL91bd0MVXjVZdW+1OLe
Tyv7k9nlF2msJLA0U4YmJ+XOdsrPDIuaPWliriDCE8x6tsfg54t+fJnxOSZd/rKk5SEfootJqo95
Rios1PHoKr9jDjlfGyTf3r5DgxpRwtYFwrXj6ub7QNHY22GWLlF9hr97tS6ozXxcLMX18Fh8Wmwl
9ppYf6QhPwdJ7O7CmembergMvozhwMVdvW1d1zc647oWbXQjmrDyZr3dNlXU+IsuiSjjpMNYdqtF
xk6vGOYl89X6Yez6Qtm3dKa8xBY3A+PySAyMQVXgFZq76pbewSbSG7zuTjbvHSt9qPR5W8rS8uN8
vG/JzgYUIi9VSO0TLnq0bWN18RtpPeGBeMVFWu/ZDnErGPrExc9JPYQCag0INywE3Dc2FQDTUPdp
GEYereU2cDF7Yrd3gz4JX5cxZyJbot72xrCNu+zgTHQ0S21L2/XJmZejqlNUanZj+1XS3BlDLDdT
W59nitwthfEklHEf05Xm22kv2q46jphWHMUM2hDzZFwPp87teCmCF8JU75dFr2ibxjOOZjX2CYbg
irO0+0ptXgHtBIRHbK+OEhO3YhVv68y0g1zRVN9K+C2lchj3mtaGgZ4NLyIaD7kjL500PQOltnWl
4+N3u0jLiIm1EpNjtnOMEgvgoMR7l5DNscyVB02Vm7rX9rnbzxDqxzUWsomtLiK8UDw6c0XXm0aM
p8u82wyOutOg//BJuo+DjQV/Nq1yb5j2fI379JVMwVmhGyOW7elNoWF6a2Lu22HvYcm3xWkKHexT
dcZcJs7vFtN2p1rPTdttu7gMAyVJT3pjNTgDnQsrSvp9XtcFNXtDs5XnJ5iU9IRo+rnq0hZzeCg8
Gq7nhjrlPtwobyCJ4aTdM54+P+kzGO3JPosmLZhz5SKdJiNIZPFsuvIEnuaRKrb0sMvpfqPKx3Ys
noXUD7kRnWslHnzG/Q3eVFv3tgifGKDyUbETiqxw+og9sfL0sn/IxHgeTuJYOctySVrnqmqGLVe5
J20esWcO2qW+4CTSCSNoo3IyZL8Z7DIwtKL0TCzJl3A9GYAeR46X6xiZ1dpOAmMcb6dm4ApK5V6X
+haj2ZVlY+YM+/ltiHHIj6hRcReibpRnTVLvsDheKUXPNdKcS6/v2zf8seIJXiahjwqM433MpeNS
KHrsE5k3vTkxC98qWmdDjOGTGyqvlqJjopxjPnI5WwfTVF4dQwkSJXswCnHjKp3YuhlqrGOEWILM
evCspsTZWt8RNRi8dFJw5NRFvIlSJT4uZmX6OD+I0FjFrTmGW760yyXvKINDNg8cpcVWs3OXPHP0
pjW0tQs9bvy+Ds1zNVLOo9UDrPZzS0erYZgmv6EaO73W4VTXB534TNZ+6TWa9E7tToHVDOk2JU6C
JSQ5R5zGolPb/jTNtj9L7WGmce4N+vJqVqXuLStQJo2dAXNDzMbAAvJ5qp5Co0/uhCQOaRnkQhJl
U/Z24dez3uzUqRjv40k5KGGG6aCads5MW8AIjW0VG0SZ1E+znl/27bR8UYf21DFPijXpeuY4kU5x
s2ujiR+azuCJxV42izT0wFo4m2aKRz+LC3XXmoCRVGFf5qA8Pcc0aSBWV5EmC09mpuPxaMxezThq
/L+LIAmU3eTKhDW87myvbVsrSJM2Iq4yxoSkMHM30WAibCTSzwTBKXgdb+6SvU2VmhzKtF1/UnvE
7XsCMuZsyKXdxp09rPGM/UyKo231I1aGhKBCdmcsqHWywI7j2YokZhBlfrgoTxZBl2Aq29iPWlx9
VquPV6VMjY01YoztQ+PEDLajmxqlh9PA8vPSuEpd294KfA/YvsuLWE+QYGZTC/QJv7U2KSDcddvD
EnmtuCk2uuHcbpvrYYm3cUgXph3kdjGw6JvCuGoS7pmDaB8l7s6zWFcMv+7z8ywC+bnU6R1DsD9h
SDmf8PeQV7MetBAPMqsmIw2nMBBBwkvwhWE/1n11Plk57ZOq3+kqg0Bi2z40S6jv1SGhKmLaqC8r
PrfpTpepNWwlhntfhE4N50Nhx4BxyOTk0CM9iJmldjo/7g3eBrQY30049eZRPcxJ7mCk7esTqUwR
VG5tBLAo08SLTBm0k/WmRfVDZ1njBv/5qZumwbNNQTAsim6cPsWoY3dvamjF+2HUME0WbYDIg8VK
x9TfjcpmSRCw+rH1cCsh1tUZXqBq3I529EXr1Csd0yIZyMKXUX3DRZi3auXD+m90z+V67+ljdWBw
6OTrg/miJVGDy8uImS1ihp5qjezp440mp9rv2eG9KF1IA2TpR2kb4Mgi8wr3W7ubiqjadFhthjy6
cWWIvdwWtddl+aGkp2a05hwgrjZB3A7cTnrYtcbwUdhjwvsaPxImeyTdb+Mml49KNUuv6smOJJjH
OZMuFjvb0Qfp1y/lWNBw2+nKYAeI0IaPx1/x1DJ/XrpwL/USox8rkA2KUNpQXvLj2ApHle3J3bWZ
uVU7eZ1JcUxK0mv63L8VBg8pNmg/UjNqVII1Sdqx9WfVJ1In27kO0ZbTZ1Vxb8tSXo76srGXZS+7
6Uhs+rJtu6u07bw6JeDMMPPD0KaObxvZU51aF0Vnpx6WG9Mzxml+a9z0puF0zMTU+FqhNJvCCLlK
dyq70+pxFR4ed/sjTiSyfNiDAR0k+7k1fGFj3wvtUNvGtcSObqqXuhrj0S7GfBepTn1yuZ2fdwIf
Fbh+bZMn5rib8v7oIK3mbfUYmtJFrDEfh7C6Cd35c7oMJyLfIW9NZZSuem3Wve6x7udN3lMlVXpq
+mCvzE1J3tRbKgXg0hB9GSfnAnca+60a69u0IOcEe4yhAFN+o5uDsWsTTKK9eWid0iHDZnyqszkL
8r45Dlbt+uM8Rs9rTRXmRXmaUj3z21AliaS4Fzi+5QZeY8QluflsDuaWJFu17zugqvHQOTiaSIPW
VAY8BRoBA9vkisuQTUYgpUGtu3jO7PRaquI4LThR54x8uL0Y7LRmDBGgIDXZ9tongpkQtbR7K2fB
YBzuzzqpPHeZINagRF/6eT5iSvzYSqzXY0ver9DDG6Ux8rMuBLUu2FOPU1KfsrKufa7d855G573u
hOlx5FwIJeN4lbBkvyjSp5Yo8YXNae3JpeLt1Mo9/OP6ABa+wV7HiEZVKuGxsKdsK2rrVvbTlZ5H
hzrFhG6m+W2eqwdtJH5RlDwafPgqaNJ8vBjnOAyw2F0RtUz8SK7P7ugU21Cm8b3T5kpg9xWFkqqh
4Pfixg6Tp3op3N24jJKnYv7UMCeSjd0KHOhOXpFol1levC6qeqiWlmipilWOXf1OYxq1nxb5G7/A
F7Wb0wtlciyfn8r9Oktr5BlxMiAinMVufktoSXpxpbV3aWeFRyPKB5LHyXxoLZeqDITKzixt1FCp
iKAL00PKbuCR3R54TLsDLk/bjxclJTWLPXOa5U1acnIn0fw8Mb86kEq7V0JR7+jk3VejLjmIKAiX
Mboqsjr2G0XdhIlySfj0An4XpKBZPOt9tZsxGMxxSm5zMnP8/MqdEO0xVeVd1JEMKvDTeUvZPC/T
kGycwsXrvnSL3+mduFINxfIEBxvzKW5qlaAuNUWgUazKAlagbPSj0hVLgG33xkpN9+g4S+SPZmge
jJiO4sQ8F3LwoekRS9kvMdZzuCA73SDFWUXdIypwG3sakzx2InUvqn4ofGOyToWoripXvUpU5VNe
hNfpZDHXR1uNuVzXkqz93C7luV3zhtHCvSLDvzrl6tlUm8mms1qOJaZSHYjtTwfVVE5zWB06F1NC
LSXXofyRkYbqcVTkSzNTabEUP9mzyHaui996YAY0N6tF9fI0TnaKKF9IQN2WIdu9M4anuePg1BIs
UYAqH6ICBymMzL0cNBIpS32pufGBgHDmjU6ZbCxpfaqcjg05asIt+IanNV8vBTeEUFyLUE08yWiR
ralP1SnS62ib1LZxaPCGnc0yVk9FG874gPtEP4cdIHxGgi8QAbqLNlrOddE7Z/+sqf2oZPz77szE
IVfo9BfpOawCxHc2lTovaLzH2HpYLxtl/JgZR7Odz1w9/iN98K8XWj036qrvqj9RtWtDUEAx6zhL
9NM665gE9W/IPL/6LEAnHRJTqobe+U7G+DbzOEvcXU72cB17POITzrX64z9/bT+qWf/+NHAiac6g
SAokoB+/tqanXSnXEcgG9rGR3VnE5fXXl/gjw+ZF8qkp2/JL996O+YOD89e2zv9tHZsrxOs/HrrV
FvqDY/Mq7v/19Ln42a+5/th3fk0cTw4+MaQ+d8XdfufXJBqp0zygR0+H95tfU3xYvZpIXPRh6a2t
CKS//Zr6B6wluB5J16OBavA//8Cv+dVw9U2OWrVUYdm6rVuaTQNFe99HL5ZGAxXST2cq7bAGg4y0
xkMjnbc6N+8KY3hoJ/aOxh0eadxlga4bD999YVw25qgsvjcd/vgc/PUGbA0nJ+YmmKB8Cd8/01mV
oj+Ny3RG7eB3BhcIwlqy+iyhbPzzK/34GPz1Sl8lN/wCiFnvnriEJEjGdXViCiYeiHF274ou/81r
/PxpDA1N16XjShsdSu+Pn6atU/5mSaezKb03HM0zk4aThgIxb7f//Gl+9UosptVphAaqvccqMUYJ
i4XqjGfstZtZd19GMz5rxvbQKvVvfkU/f3GGhhuUjiq+Y24777ZdElKatGN3PKtL57zvzAtRNL/5
NDQr+GZ+XIhckfAEGHwkk+7hu9+O1kunGOKuO3NqbbyMKQYHdTyju/CpWatEda7mvbVWjvVUQNJZ
q8m4MY+JkZ4Y95ZgFCAWGtvTq5aaxUZSiPIyqV+ttWnd0tp1S/gnw1q5TrKt9hbFrKH1n8cUta0d
TUlATbnISl5hXGtgd62GlZy7Q6VPV9Ucph6oANfHtn+0MpEFMrI/NWtJbSdcVKmxc/LCEGzyG66x
wkvWQnxcS3Ilp37ihCU9Ti2rUreXI/9ArKV815HAkV/Le43OMBAbsjTU/obQ7yA6cPnhVuCut4O4
vUE+fexVSnbeP+Ptmu3IfaKvomnnKi5t92WB6bReOxTU/hM5N/JQYwFlxUDnTGARKnO6rHFPajMG
8ThZEuSRxbWrikvfKUt8NPOFDF3dh9iRrzIwIWJRzp7RyGqnmFMRFKmk8Uz+G3B+9RCiVHlRY9cb
kVsWQVxjF08u5I2urel711sDo5PvVHbpC5dOvKvdUrMf1HUQC961dDMopGj7NCVP3z5JTiZq8FvN
nq6WdhnxC+BZD0ZNz0gaRJPyUQyd2DR21RVEFy3jWYeRsB+ztDmpZXuZkLQIFui/Ows0kZdaykUu
+oeoplzqXf2+ibPd1CXJLm6VB6VwbiScfn8csu4ui9X2ktHpyqOWqMvG6rgPVuHiIDYAfYAn7Pjj
oj6Pzjx7apciQkZ34zhl2AnSVwoF6rQpbxAdravZqa9jO+Qbj9txIzJN38CPoJi3iUwtTXiUaJ24
9tH6nKYizrpsq5SJgkYyukEZtbNHpUUGOP9cG+VZi4djUzvipRpYmKTD91qVp94UaR9F5ezDQX9u
kpBfmKE9qV2+VytuElmrncw6uXIVtOuicMD+ZOl56UzaTgCDWhPXftrXV31sWjRxp6Po80vCttQH
3T4Vot+atRvtyiWe7vsZObAYq43i1tIj9Jj6rM8LJvEFNrkpdOp6Z1sgpdgPAWz0GcspNT+uwB5v
MJcsgELy2kjCnS6XObxcoBGM7Dpe3E2cxHuTnC9QGax2AxAWJ9tpUYrxt87uda05JKbxWvfLobDy
u7lGrTc0uXOjWGzrZfXgCvsj2r/lGTHKQ7P0R7AJfDRDe9Na7cCS2Qt0F7y6ypfZdD8neR0Ua0K7
Li86m19lWzAgROt74U9xn+81kzmDtrZmd1EGILqgq5mQE4McaZtJxNvBVawLvY9uZai4O1GGOyNW
BtxYwxl5SdOHsHXoHaCiQwagwB6Y8jLZ2uJLaDNjLs9LTQP7s7jLloSZ9traMnuzGcZ+BWaECzd3
Mm9RmtN6wmx0I2WHo0XlEeFL95GbmkTfVTRBmjJhpHwslomrlYiNrUVsaqNOWuv1I9dxRrs+jITv
vYpc5Lo79b5rkhPMdAk0RJ3RReJiQsiqtFPRCUHITnmCBjOwSWWnaDStLeLAU5oAuCWEB820tvxF
aYk3h9NZatCkUTV4CdOEiOkQkPJNM+v8SjWuk1oWpC5s06umHs3c7YqNmrFmaEcUXqkQ87TZn9er
3rkbAo6cpvhxKdLMT52US3EqIvKr83CYpuxeHZrlrFXi+8nqzhND2S6jax8JXB6tKu62UdlcyRhR
s0nDxlv0OTmSxrthA2d6ZtHJoOiXl2jMnXM3Y3gC2KRopy8x+7UTw71Kx+7UuxLFvl0gJcm7FJcd
p+rn1CCn3gyqQDyOhw3J8NWgDkvcdtn2ijF87JhWHERTSOSYb8AMmUxiFfJMama8gQ6m7tvMvQTn
1XlT3ApPhqaz61rtXl/Kynfm/IYtCaOOPaqbaRpRlfPcCWgvNTw6CcOYjJIRhkKlRxluo37Q/UQm
kc9/aWwzyUshun09W4OfROonR8+vrLG6sBlkUjDQEklJUzcjJhQAghHoF/aD0Dji6yP0GqkveWaY
JJ+6zjeb1PYKLT/aqXFVKXAHCmNX6nm8WWxjg60y8ruhBmcyK9bX4xVxu7fe8gYHj5Wq2hbuV38g
BsavzNVyVhAP+NLSm6giedUOnANaNT+RjruzdbBnBlGxtslJKlr8yNRW28ERyCILCTKCn/685K23
uFzgc6fi/E2dJ4Wckd9boSBIHXFf1WjsJFG5yzR5lZdrZhF8nU/IMCjg2RFeL0222OVg5dO9ZecP
NgOaQSjwZJat8rQQ5cT1XbpeI/Inc4ruawMH7uSsHIw6hcggRER3r4XzhsriVOc82HPg5Mw9Imn6
JYrEY1zJCzKm8abV1bdIZQWPRv+R2UvrJZ/ma6vmll/V6Avpkq+St3PG/rtxe3mi8XckkwqWQisD
qxc7I19oU2cFYiRsCK/PsU6MkakA/sgUz6zSlzmxEf90Ifw84TJKL2PGMRjBGtKTcpMVkbIN++is
LQeGEZn7knnA9A/afaFzGFVt+8kKsx19o8iP+vSzkLHrteFyUVXw+Yx4qTeaqrYkEWlJoiNXgTCc
eUuIsglE0RkeRBy4l4Rp92lWnSahPQjwYdeKwsgOxV2uY/TMbWSw049wirzOdgMrQR/owhcj3ba0
RFM7u1EtfI4Z2csxj09Zrl+75nDTa8Vx7KzAGlGkpYwDcBHups1tFY3EeGPHWQKZ2ZPvQiniQSiL
TZeL3xTrP/sV1gwdU2IINFAMvo/WKE6VL2piT2fJlJ+sIt/QHHis/vIa/b98NVZsnE2ubnBn/O7S
8tPt2H8p/nUXl9/fjn/4yb8vyOaHr1U/YuN6S15nfPx9QTY/6HgJcVlba45jBV/+HWhUP+CbFETg
Ve4lXOr4q78uyO4Hdw0z8j8iN7B6jP8o0Pj1Vvj9vQSDPvg5C0HfWEMI70eRdsD4rGTpZ4aoKult
VtgX5Wz3W/hCEat3+jQv5fJSdzOg8kHW8BQh3pmuU7EbJQVBfYhqQc2seK8z1acom55FWwDu0CwZ
WJFVb+3avdKVBNaiVDFBG9BPRnyA50rHsSnHYcdTcAa04DwMM2OvGHFQDGXqx5F1STWJWcMtLxPV
rDbc41/pZ12UWj8AHpyeaznuYsHNfbKYFTxJcUUPkpFXWm/V+wywgd+pk8TNsN57KnJlDe26LaCy
8rzFjBL749iOr0Zn6Qc6985xtFNdbOIoVK+hIGhPcTZR6tSS4VxdM0THeiqTO7NsJzdInYF7QllS
nbH/ts5DFDsG0C/ac6lo2mClDXvScOS5a2nbZQ4fVSv8qKRMiYLaoVHpLpUoCPKnrUHAqtDYgTH1
rNtgE0i1Ua6gAOzVDAXdk8NUBYBzmFfiZtFIf8Cx+eI6JpcDWxT0vBVuKQ6gtE1pyxL4QOUOQdqn
9nkLDTq9iZSL2okxAmYYI+x/7zF/9PT/WvL6QRX7Py7JvE60+e+6mP/yr4uX/vsH/9/55/Wnvj31
qApY4DGLrW7475564wOuTGFYWDRNHj80lL+eevcDuoFuoxVZyLL/eeKdD6wc7GYGggsha405dH8g
iaHTvJMiHJ0/Q+xYvQDsI+/dod+4umFdKaQABngOg2Wpnli4G89hhDlITkroC0sz/GoA72KG+pvQ
O0B3WUajXOiqF2eNeqCB2h9bS0b72SoyLhHWFlTBuLV7J9rgeNF3oFJN2K8hiLWBh2LuR92306be
Y6cXjCu1nou2eAljFIwpEXt4fc2rpa8UTWGDUbH7oX0dizoEhVIYdzAjRJA2RgERM9mkmK0CEwzD
y0RVbKydtbuQtzaNxUDhovVeFNYnO+3svWpXxT2tnYmLXN/vO2P5wszHdltRnYNEWb0kYe/sJG6B
KTe0bTnkzlY1mmeXO/gmay3wqgCuvC6H79R01OBmLb7ISNOpWTUzYN7eSwQ8Ry5YkuxGdHBmcwU+
WHPo2xrHuja0ZE7DO01m2kUmZ8w1C/5VQbcQbSJ6llNMM8iFPGHoEhJZmu6bJlO2RplVAdzP+KKT
WYussIAaXsg92DHsUvFqN/HiD1F34UqluaKdepzBUibqBX6wrZk3J3OIn+tjyMaB8NjmGXVkU86+
PZutT/s8xdLRQKPUBbWlOdbbrm6p9Z26urJUJ3wZVXvg/w8kyaTTSH9ks4wxORIzfI7MTHg6mH98
dZUoL20jPZfd8JCNdVATSd1kfaZbT2xNza2a6wkYCqfubgfOvUOmjw+KRtXUNpGzzxX4GExpNdmV
7VZMBSwmwI9ebI7uYbaE4cfpCC1NXzlY0Bnzu8JWDq1RYckxyy1UsN3SD9mR7ts2bcJgiIYEPggY
u9gwFH+e3RKXfg1r2Rk3iKd4u/re1a6MpRze0lSE7WZBHgk6VmhbR5CSdbIUOoii3aK60xVd0bH2
jNmRzwzTmq2NhpHwDL8IxBzSpttkxm0WjyHswYQM+GMnpLUVLK3b1NCjTeEo+jNLdPRMIy7PJZiy
XdaDnV00scVWV0Gxa0FDmY12aTYOxEcoO3A+8/wBSW0HF/Vi6EfruVXy9MwWI3Z4vTbni1HVeGbF
8ofOf/YHnULFIS0BmNV8H2IvBJMhypz5BJWb+Ot8AkhivnTCXaH8pkL9Ovn4x+pDp0B1dF6Jcke8
N8TD4PlrXkGkYB5vG1SnayC150vH6K/EPEXIHIbK0IvJzyCMggTlYaX9jjTgVtoBChRKz4wFr9t8
t5//QrbXftokBXukKehSsIOveaYfle53nBEbKGEgMqae5EZ+2/Sr8GTSZ9RzAM+WEe1dmcNJyMWe
hf47U+17KdxZ3wrdEKpHOiLu+zq+0X5mkuht+KWutaMpxe7rB/+jA/3/yk7Xuoz/+4l+W376113z
UkQ/H+rrD/59qFsfMFbQzSJTISCB8DffSnkT7zNsiRVMspq6/3OmE1Jz6MbQlzR1R7DO/lPIk53A
C6oRtTQtYtXWHx3rYu29/PgsiTUmgatf5cZAD/nHFevC6GltBJF9WGYQOeOOAzmMTTj4VddjBotL
49yZNbHR7ajZo969wLDPYAM0efilU3JxWFYCNy7CeF/i/sKqNSotHFJEglLk5uqhirZGLZ+dJe63
Um2HrSMn4BNthV4+SfMSdEv5nDKuc6sVFoflnHSVB/4SVq1o6quwbPWndR5Rbgno6GrXfx6acQq6
CPxV1ZvdY9IYn5tcRPiPEYSrC80OUZIz2LRvzQJHNdXc6jB0kfO6dB2wQR0zjNfmbrx4tpW697WA
z95y5O0VO7Uf0rCbYd9FKQcabPMgR9ik6nYsCmo13TQ8+KscdRYa3TOyIu+LvRgwG8HFavo45/ar
qTTneDWLjeaWRwtanafk85tdZ5s4A8KwxEf8lPYRvsDOLjv4/3EBH7aMNIJx0nwTStfcFNpgbEwH
pVsT0/SqkM4bfXVVE2DPdYci1uEKR06JsbIhQieg+YhlsH3A5CCnzVbzwqbi7EibPcg0/NEC5VJ2
yxUjNU8wAgCIielqKCfzPGwL5F9rG7Ml1TZ+Hoz2myxHYSqb7LGZMvJ4jlp7Ei4+F4dmZ9Ar0Kos
9fvQfi5mPKDYi60t+iriPyw9pA93GILWMKvVsXY+NghAoot2S9zs7D4r9ywmtQoyrcv2asrVJNNQ
aRhTex0V9qF0hwoRMHzG1X6eTuiDeNGtC2DGmmchmCWpBXd89UzqkfZstC7V0vQQKsNOt81Xs2uz
Q9Hkhd+44wsfx8GJqqu7sqyUnRi7S8Oc7qUs79UEfTyqHxuBtSzur9zF2RfzsK0i/ahG9b25OM9O
hYqYxhvXHa64/KNKFcoO0fHJ0c3r0amPBM1Pmd2QLUACRUUuqoGl55g+1ttD0SnXeaP3G0Mh64cy
ScNk1BHP8DPZxkrp5n5mhg+EBygU1IaUgGyBWUfDl7hbes/NhyspBLqZK1/7Rn3R+AN1QsDGJQiF
LK4+NyY1Bwi9k1oseOCq+yVE5loyPSj05QLt89RRDG5mmexB0Z4XanGRjKR5i/pUKOWDPk/PfWY+
ZWF1PXbJR5ODe7A600/VwXjTZJ8GcERkykpLjY9dziOT8w6NUb+u8ki//f/HyFfElcu2+9+PEdqe
MZpQ//ILz8T6k3+fI84HHDGrYQKIh/q1uPj7HLE/CI4K/kIjTvv1hPlbEtI+UIoh0pBdpwggw/6f
k0RTP6wYWooV29RcQl1/dEG0358jkBusNRhG7aeR+H1X+aRNzFzoiHrGtPvEbyDeDkJcsgertPuV
m7jXf8d+0n46urhJrs4dREod8ch8Z5LglCybcimiM2ewPadn8HMNGNoCBrpfUbDqmaN/ykZ983W+
BjnfLn777rf0i3KPqu6nT813zr2bDj12Efe9UQRWK505YERAgabed4yZNpnVUq0Dcw1fRJWYH8OQ
5prhRuFZUtKz8hiPmm1KFD4PbnrNFJTYsJ4qFxYyd4tm07lI3OUCCWZkG3NbpmZgZsteo3ZtfQGO
/GJ1NnM9CMxvrdIefUdUMVR7WR1HRHE/I7HCzI2i7oKp0ZnCkYVpbNMViea7FEDJfVQN1RaS8MEQ
2V06hrdZRE5xjAHoRE15MBrrXA7qU2kxl8rMXMVTAI9ilO+ajV6qb22Ul2+AcI1ALxfM13nRHlVH
Vz6PDJnYAoXbTwKEYltxLJKSsCpoi7NKp8+hIa0tlnJTdwru9BaObJ71s1eK6SM7lEPLCEL8wr9/
LYxWXirtgluhLbR91eYtK0pRPG74zRnt1BtFZaFZyl4jq3XNhbbzu6Rh/CRMwnNifcs2rnIiCqIL
pKOJ0lPjuP4M/Gh8SvquP+HooKuuriT+fNg5qtT3tUFGaap3Q1Fnt9Ja5vPOsPpNkUWP0TJfctPa
Dfb/sHdmS5Ia6bZ+lX4BZIwOXJ4IiCnnyDlvsJyKecYB5+n3h/qoWyWpe1ufq2O296VMKmVWBLj/
w1rfYk+zAIffm/2iAox4T2NdcnvLhYZYTC0yHR/jWSf6r7ZS93SCP5a8FQEtGVdV5pt720UMb2GC
2FOLlTdp1UFaZcOh23Z6GpUotoQUlJs8q+J9ss72pCoGdqbGM0rhNxARN2PpGsdU9C6b8jTCOo4k
liFnycdn/SB6J9nIqljCeW0UB41d2VQ6OTLfhZEhphg11fgc1x9ZgyNDimBfLbN4yQbtW9hKPi1R
OgU2KSYDS/g4PUnf+xwi2wrZ3crbWujrVacw+iyDEd+2dmSQ/Jsf0rI78dC9LkhjnxiDssPxF5uc
OkPFsFhZyqAcSHWk4LZ41KfR48cnz9Jqr+WiPbfacm7GrMGSNHiXOojfsMIaRTVHgaTH+ktOoiGL
R3FR5FVyAEP6PuaYKYAXJlvPz15G102CmkUna/g0OSULkEdbjNOFNM1PUWL2HbJGBYvRdtu85hOz
ycwKBlDrG7jfLOe19pO8ogp0L9KQ0VTdxtfqt6gk5CPS3YuSPAX+Omzy9Po19tvHOHfwS1UkikxN
fMRffm/UGPdM9tcKCheymozFsZOpEPb6Znbc+rFrCj8wUje5RmlLao7jrwT17mT0fM1J7F+XDiDX
hOAQWFpW4Ed60Ho19VTdEVjh69dU5hwIQyRDjB4HUWnJFo8GXgkyiXJw9664TKvMpPWlHkO7UT02
Joss0kKNADm9RC0ddWEJGvDDZu0YSttM96xWcQuAlHY4uzbx7Lyiw3a2hoaUg4FZMGY2/4GhoRmC
fXzQrMwJ6iRmHblY36Ot361C6QBhQxNSRe9EzIa4spaLhtU5iODkyiNViUdS5XgxGQ7gbvpKhEJS
b3dfjKZ4Il3WkZ1gnZiQ7/JoEng1EIkbAL1/bcoZi+Gc6yH0aWdDcthEfkXCEtoGBN4UEWMv7SCd
Un8zvKXPD7LhdNs4BB/5fadtDATTlF3yJamgpqb1fGMyq0pYXLBOrUjwUP2PYYWqeKnH19h49Sc1
Y7EzQe6/CmWTBDRJ+6moUWNHsetvSb4hLWtyr/KqgBudLiQQIdnZK99Ld7mrL6RjDC+9FkXI6Idi
O+T2R1nyXMatuq8aPoWsQgWT+d2Rnmyb1fMt8dkfsWt9k4IQVko9srxBiVSM79J17onAfYHWsJNl
RA/l7HyH9WQe4evqnh03or1ZXTjKYo1QlYSqCVSJuBS3FUI+Hk3E4BjFR+xHQxnIyvA2hjmlQQGP
2NVs5E3e/K0ipoAD9IQSvZg79FmA5fNgdy5QYRawBSdqEpfxRqnhjYyJh6qaDohgPmcPxVkktLtK
pq8UoWaYd56GISM5t06JuEEvHrWCG4lYjTu+/8e5QaZNiEW7YYn21glAFAPuqm2aExRUwKSL5YKB
p0n3Q2sQQuONzHYSWqcBQ5m9zDvDHy997HibrDaO8IzuEhMPULY0ycYtq2kbNeWXjihr400g/lFm
4blx+lvNlW8t4y+ck/gsMOBewMwrkVWQaAFjln4TNYDTaEfW3T/yPCJii3EnTkCu0YLcR48DmLQc
nng9YWnFmFK1yFdax6wOc+OrDWEUsKNlz35cL9oApdYm8/ZkOnLc+VMOgBPXniC8Bp3+F24wl75J
NeKjMfvyIeGVfeujaAozS/pHBpYXYkKANArnVORio018Uxs0SPWhow+RUi7bEtzz1p4mRuRD0wHs
rvtdX1unIulO3pjx4wdQ8Ag1tlGPt7DKh48iVvs2sWiWilUxFd/ORnzk1PyEvNxD62dQ6eD1isrk
3RKMVjGXoCuST7bW4Nzpo400u1OSIY4weqJHBycHbVw9LKLlxdeyayQKvMq1fkjB6oYF9QE7uAez
TZc9CMACkc54gJBWBf++AjP/XAO6rm1ahu4hFfaw0/w8vki53YBbz9kxGpE8talguRiN9rag3zEb
fdknWXcdLfqPrhavLuuCqCPqoLjR5ctQT/vWc2+hRt/11BlEMs3+bkld7JxFeiyX8kdeDfFToVXl
3b//tf+idF1/baxfkAc8xkKruPR3mn38E1HUJ/zabrvevUcz5txuwBOb2VaV5f3Ueod+Ml+6UVyR
34cMwkcaOW9+/TX+d2q3wi/+Tbv1zQa++/7zzG79Y7/1WuIXeL2s3kHFYURYx2K/9VriF5ZfgF9A
Kel/Wr/brOSpYTwmdzh9/9Fr+b8wroa8CIlkRUAwmf1PpnYIf//YdzCpg/OAOp0xIRyaP3RbA+KU
aNR681A4g/NmaULp27jKjH02T8WEhK+fqf46bc9FwFjA6JZzPNryIupGpI54sOrAG/V43zM6vlTL
cGi6xrnCAZl+IPBzmcRgril6C9EY1jyHFUee3A1rmMeweE2Y2Fi8dWnpW2zb/m2GGfGQLPl3ZGl2
wKmcQRAwiAgQXApFgz+XVIL5LW6S+GA4dXdFBhxiIc2a8q2WeFNN9Ic3nJpuuJqJb3rJ47h5FY2r
H6NpYLejJTRGTCvqQzTwz6R1yYKcleLWjGuEszrv+KYyB+POTwbtsq+qrtuMXj2+lD0Ge3t2HmNM
WNcWgiRwH7EKBtXV03YRJD3YwqROSIZ9PVBjYgCS2Js8CI5ufGd0bBA0f5aIEniLN5o9x3c0Iu4P
Ur/eBtfQAP1Pp3YydHYxMftCX1pBtawXsGe0rN5dgia1UZcojJqa60AKiszYnCK64g5fGVlVqBWY
RLpY8Uzbucf669UBxCQunETrCT9C/UPmIeaUBiltAgiOpgjlqddbOa5Ad/J//O+h8OsMRoC7+9eH
wh3Tl/hv6yTmz+fC+if/eS74HAgopBjpgwjnxPjtXHB+WdfwkPuwYjFy4d/8NoPxfsHiAqAWvrP7
85LeEL/4po7tgi0Wb7L/n03zUQf8NMtf7xNkA+skwgL29sf48YkWyhtJNDkWtHmM+GwMfSWIN13f
AwvZ+SO1U8Sr+PdrBCnGX+PN18vq9ysEfiwjGMQKHrY5DqP1jv7dZWbF4OR9NTnHpR/PZGzexon6
by5MNiF//hGgzJBCc9ezYPv5R1Dce46e8yMkrvGMxCcjPnX2f0NwNf7yp/AiC1CnpiN+3ZX87i/i
kWvPgMJ2jjhvKfW7LfFw2LUf0ZgSkHegzd96/VPPqSU4YWjqQgroAJV5OEdN+Lun7y9mS39c30G3
ZqLmUhrwZDhcKz//jXUs4ATM8rt0qIUsPBQLumtQ51f91N//+x9FMNxPHy86M5RhLt8iaVrrfFH8
YQmUtAJkAMKLY+qQG+FV+vPQ5CrIU48andA3FAAMmVyDUnjK9XdLlQrJkt/ulGnAdm+nZG8lDa72
fJC7Wq8r2BViSxsGaLo2Vt7WtGxa0dQhmbCBZvlP7lQ9IWa9NTA0Xi3acNHjQcHFkn2pjnEZCTc7
dmmKHqbxAbTKC9eJEUwOmhNK4dx5ZU1D0+rvlVk4LyI3ln7DcKt5qheLy6AfWPu7c/NGdCLlrcGo
0IOuAQOMDUok6z39P3bfQieo78pqnGzYtbpGUuXUDz1plKA4uuTdycxYwu6aaaM6lRNAuljqqe/8
s7IUPUm2xmC0PZr93EJQT/6Sv7drkbJwxhmJ47T2kaT1i/kD5bV9bvRZHFXdlg9yHpo9PpZ2D4Vo
4g9ipJ+L5XISwweU4gmfat1tcZgLvvH+7JPbGjDrw1Nu9nfNJGDciDy9mFMFe8fJi2BAyuDPVLdg
h2zGRXG1l2yFSQ8q4zCaC3urJ0wlltzrd8TM1Dszqh5z2tpbMui8Q1F71oksKf2Y5areEymER2tk
bCTIjMbkrsPWqJfPBcs1dJHUCJrUK3Y5oXoQNOtDSVLlxO6GnPnpq22X+WYS8560RdIJ72mYSBnp
3zHPIH/GM48Ti/jMLjDLPj7gxMOnFSEm18ieI6I+nXZ6SaB8MooiNEhWeUvsJDp1Pn7wSd9ZZoUA
eTCbfTOQwzURmLjx6H82cVlk6ExKPNma+9WRsHnoWive27KUe+HnD/SNy0Uh0npDbXRJASf31ZK7
O/TZ8g3hADGr0iQYsyxUmLbscOK8VTi982vs8wAzfER0KmtzHiDNCpViDDX61TGLcuIoSW5BK4RV
j0Br/dUi6uHAefWKk2SiiUzwCtXNTdaBPikN7wilLQv1GnHkTBTYwc7tx8xIiQSOUaqXGciHNE27
0CF1AI8hSYwUL6uToIdqAoC8lSMhjKWz7YcO6IzLANzPZvDsWUzIHSF9R1iWJENWXr3L7Fcmkded
xDSdAnHuplxwrKEk2vJRv6Jj4r1EnU/IUKqHZjWoneyA6EgQJtuRNnMPijkOR3IhQ2LIAQ90JXmy
HuJpb1lHhHTKTBi2qM+u+5y9UDs6gWmxP8XK0V6bqattizz9Bky/5ttuywZoUGtLGwjSihRwMAlN
nfgoTBCNFD1o72MERy7a9w3pfEE6Wz/G0n6xShrqbD5Pc0wQJEgKrllkUKl9l6GCDiY82yPpmYGT
5g9WT6ouWtM7h2jhO3vUznwf1aHvQG/pGpmQihtQB86d+Q95k2L7dvQPrC3PcUwkbZk+Y51ikGgQ
/sjxcaptLGt+aic73cgu3Fwdozy+sY07hySm3JjnTWQVW0K/b2fTfzEYZ4VxxeNtRyLezU3nARhS
htPzOPe5pxG5h31rqYdvlXuPoh4YAuYbP3fhHrn7RHOSIMqKkKeg2qRGmJDXoadakJdMKAEUb4os
vSb96cWwk2sNd0cMzmXfRNPZJBN0BMwCb+em98HhmCoqCIkkTI1Q2o717ejDSksR626kN/2g2k6C
WB8Ysk8TuJRRzBgfmMD0uWmE8GExnJJ8tVuwlm/F3Jy1bLJuCUZ1Q0IhD5OHeMk00fovPTbVyuTk
Yi8+mOlOROp11srPDqBBPZtjMPaDDni1fGGdXgRubzB5aDCx4GBwljtSrJEzYYOaMNBXFZQCfdRO
lLc4fbAjNqPuwnqLQ2oabP4FCWyL1Z/nLjVDHx/Fpo1dTIsRj2qUMafujGM2l7vZmR/spCMbfCmz
tSY3Nn0MGKGJkDa0oiVyrcb04PSEuXKZ9Bfko70CtzjkNgyuVHzr5LT1hnVBaud1kbCsUBcDdiwf
P4Zux9OlMcM/Soo2erTkTW1yuI19aNj4W1BNMy2ct5je6g1TyHQunlzJf+3lDCcrOdy3EXSMxfQv
Z+e5xhsyKHbmZdXsW5X32ypm9CRvGbp2Jx1lIuAI4mjzEUcNtSQ+LNcvjrUDgt0oodUhutiuMW+F
kz+IvPhaOjx5KWvyzF94u+JuvjIkpJ++ML9J4CJccGofyjl2dloRhXrRpwBAkP9Z0+qZ9XJjXxbO
O5HX9k4Dc7MZoZzAeUkZ9BBOfR4nK0foAEc4H5IuqAYsiYr3z21bxni97f7dBPs/eUjxD73/qqv/
1y3J4V3+bY9zKf59R/LTn/2tKcErwH7Xtf/pCPhnU2Kh/6WQXHuLnwVGWMup/FGH0bagJfrdrGLV
F/u0ORSKGA/+s70wGuWfikvXQxgI05HewHTXbIs/Zm/p/bAC1FEYjTael6nwLhrDJInIc661xmYH
l1EiEFuKBSY/wmi+i0na3HEKfZtDXQfugqaVKF7yLN03fRWd8ETfVYw7nZ55LvK3lke3WcfW5Uu2
ilYGkwzgVcYSo2cp0bVEevPoZgxUbRQvvYMjS0vmmwSCjUHqPEKnkdB5dDKli7QhlYiY9JzcdrfX
XQS5+pmbr8EZiNRm8duZE2ewuuFiQYuzFOvgmT2S+hhi3QhZwtsh31N3Bij2xUsysWxDvYkHVHXB
wjor0oR7qersMkUJNHYFl4X6anE1b0y0QovPYkagHiLE8qNFTTR5YNUAmaw4SzgszfSWojyqoBby
kTlZ2Eq9/7ZkYj8R1lhdgR8qWEMzfp8d1jXwgjAqF6Vxq1a3Q7r6HpQnCYmf3xoDR0RRNFdzE723
9tKEbB2v9dU9QR7hdb36KeKO2yj1rQOjMnwB07HEerG06Jjn1Y3Rx7l7q1aHhplp7sZqtVt3dW9Y
i1EES5/mAW6It6RVrykANCQkjqRWWg0gA6CvTbK6QspFQ2S7OkUwfqh30HSfZE8S+B3pqMUwlohm
ye5LIuZBVBbUuha1ESMUy/yBZCw9qylKt2jWu2NP2fNo2Mo4Ee7HoFeC9BLepXCSndlr4aSVhz6y
H0Ee3kZ6daQzvnUAnG60WbE9xSxqD+1HqssfNWtHYIpmiJuOlTsT9Y1MkrOJbnYYkZgKgxooy+0f
KjO/7Qb7u23yqUGtn/ZWnxpbEbkES+am+9ZAmbskDysmejQBGeMtJ1wpOtjh5LHuF2OrNHhjWefZ
BzztYZmBcsr69g0SHZv7aR7CVmEnWYxluEgWC9RV1t1nvu2ebBbvXD9uE2SF/RwNNVROU7sbpL2V
hNMSz0o1yzDwloBItHxKPFYd6zcSuwPMebAILT3fkq56rSs2jUndv2u5tjfQOjHm0sLSzr57j1J0
qqdLp253FWsN5n7Fa9tNPGLsfcd8WXvFlgrSaabA1e/dDBIWFuF0QoA2mEEiyHnGUetumD3+P4yp
/tpCst4s/8jG+/8p587njP3Xp/2vIqBA1j8f9ww7MG+sf/K3s56JEdk9zEDQWzOq+GkwbTEc4bR3
f51gcLf8NoAyflmNID6IIJLumNMwm+r/b9CdTgYeolT0n/zrVaD6nwymQb3/6bBHzarze+BMQy5j
riOq341QCLjWCmC17kFmy8mGgUYroY5Mks+w4MmNiL6ByRbbzClhT+DVj8uhuLDzEbdkCpC+d92J
nsd4ZqkjNrEsTcBg9Vlij9rFpkGuNUE3+BPOclqy0FHz/XrK9K16llF0QNERb0rHhVLrVK9g00go
pR1uR9zc6eyw0y/vixL8k0nBtVpYfKxlzllvxLWYu4NltI/DUN4k5hxavYuphQgZSnML/R1bss3c
R0epWdeCFkpLRrWZq7WbEOUOYQh3gRnrO0LCD4M3yCubvGV8HeW15jkHmWdExabmZcwbcWAZjzbD
540l/IgQJssU+ybrzrPsPqJR+ZcKkcqmbgzvHNtMWiR+9wNdv3nDDC6UySRvGzkOO7SK2daEERKS
hzqHWcFKWvZGucsr/wZ5iQhcEwuuUDMX2lKKjYtfZotn6LLQymXrmiWNiGK1X6IlgELn/iCeHanB
EPKz+0dgAG8siQUr0xxrjukxCUiuYD89rRznIMLtzp/EsdyXYxO0VXtPZ4qHTqrvsijuOeYhhpLw
GUxpf5d5qHMTzCp6yoYZodKuGMt5H2vrlCHig4mqO7+wb+JS0ZcD7TfT7Icr+h0ItZ3Z6rj5yguj
0M+N5uzh/wQ++VFTM7ziobj2hng3Td5Np3fUtPJCNKDcNNjhSFI2g9C+VAGEuSeThpbHd7ynKca3
4uurTMsMsiU5TpH2COnvoONJgkxEeFq/vEZw4JjBv2tmeZ5scc5aUGvwe0cxHhFl7PO5x6JPNIo9
NsfEiT88u0Wta2NWJrS9ox+ZcNir6Vm0012qkorKpBx2kxbLvTRMddTZHATE2AuAukAjdMAQNsDS
uV/u5hQYCncZuRhaypvgljsSmhjLtV9sft6nMXrJS4QTnupeWjfaxO145Y3tKfXQoo1TjL2gu7dk
eutpS7Gby+huytObZOh++Gr8cjNHYYxuJEqHSITorYtD4imb1GTUsi6P5QmlS0Y5n5b7IarGB23B
Wg8xrdshkmIfics6NBvzOUPyHJgeD9E8sbSP++q6LoyTpvdx2BjpjCQrcsLIgYARe4iy68yIdkZB
121XIt1FAw1clozMpnj7SImY8YsUzUOhomCwIVYmXfVSsEAqnefEBtQoU9RkuDyG0xp73yWlDtkC
bR8n5WdpNzfLrO05dqYj5JCbpo1QNWVQX1LnOFjOrb5qR7wZFGCp5ulq7iAyM+OsqAX9KvTTKtqm
VnXl6GBkKqLOd3WH9LvBvg/uTtC7EwofTs10cgYKMj7qLC+hH8KN2Vl6felYWk8I86BtcjkeNbNr
7z1p8rEkUk+PuV584PqyrtEptDcCaG9o96hRprFgy2a/F0Ar2hzJdjFq0w6LLbIJF4oMatCrjtXC
Nu01Z9drrr4rjcX4lHFKnWh0iHeWyOo2wuvcC8fPKFfYuKPBrKb0rUcWd85y+Zj1lGkkin9iRN/j
mwI5PCP19W1sfN4C/zNyrvRUfjhOd5fV5akV0bnt1a3uJXiKkO4NSXWqpxYmSyQu3cp8MLTo2i2j
QBb+44A/dTNZCTG/HsJkfzLhLet2mPQloqB0ep5FddvllRfgb0L+OFnNLm1iVGiwZreRP/EpIv7W
VoN97mbHOKH79pScOaUgqOgmQYTuwvMji+5B6vl9X1fadkzA7o4GEoRmdrKt4We3hYMM0B6QE9qL
9aFp8ytwrTerEs+q6F8g+t6oZsJ4h5CJyTbeKisD/N+gqgiqjgrMTYj5XqNhr0wdpMdobIyMDIdE
MnP107s5jh1AojwP5li0W03xDRtVHDK34bpoOkr7CohLN5VlUNYq3qdF7m3JBhl3kw6kMU3oy1uS
f4hEr+4Nz7jyDaCRbWsZPDjVvWtJd2sZMrqSjV1tcjy9YllWcMgAUxEtCZ8zwgwXjWcLgKnsJVwY
L642SU2qUDt33cGubSMA60jSbGtEoSHm5zHt0kdbr8pT1qr4NisEGRSLc51P9XVbgE9wRvpJh1dR
5C3yEJSEC4QQ24tORoWbwMmWBeW8d1nF8imv9A+fGGkpyzNeD2OTWvYrhxjCuuSxwpmZdYLOIZLn
X6uh/8lzgL8Xd+LfloWEb3//7f/8hTB8/WO/1YT0/wQr+ihg7J/sRdYvbJCw+//qA6OT/2dF6P8C
XRGemEXxR7lGGfdbQeghGAdiQO2GxAFOwH+kCv8TSY+KUifT0nQQfTprafhzPZjx0HrAu8WxzVEl
DvanW+3AQz9rovma/fIS0t6h6/NTZFXwWyFw/K6E/ostGsqKnwrSdbXFLpStLAtbyAzEqv38C2Az
bRj/5/ZRjPrLbCPUtTy4epzpoQtjt52Ld9mZnMDRciDv9JVp9aU+4uyVi3B3HtGUnO8AimqJXtOe
1b0lircZrOscS3/jK8+7jcTiQheZzmzJYOur8Swa63XOnOXUlikeIFEcZxxV+GMwVnRe8bk4s3oq
CmLqmyF6tUpbnUD6jKcCvgkcSmsOx5n2tcu65caR6fCYg8KcoU9wxkzd5dCrQd86qWzuc996ZsRz
OzY+qsi0d9hb+O8DyCc6PO+WxeF1npYfU+I228knuMIXu1ZrPEagYl8MDlNbINZtNzibdpoexiY5
DQZ6rbxbgKPGBRhUrLCoh7lPwNRgnC0xHFftheTe2aWjaz4BTqjvGUHNH5Q3F1xgJzOuBgI5ev2h
IR6CHUxffNFBe3f6IiC8aOkSdqbebpeRaiNuxYe5tM8lbayB8JxLGW7UqkgFiJOmy7bpUEtUznxF
4MczGnkz6NP+xS+hNLSWj5q6YneFxdNcpH4ltKo+GIqzc9a7sEe2ASl88iC6d8m9wwZjxxSbsznW
gMZX6Q/G07e9uX7dUprxZkC8HvZWRFeMhryKz8S6cyDrxpMYlmtfby+H9dbKyj7ge+wPtoznkBWM
vCui5jVp8lNWyCGwHANFYOPtLSzRx25m+OGZ/L4Qp3aeK05OAtdptu0LFflOMLbFwc/H/lRa/mOi
Un+LmTU5GAZqzrZWQTvpBD8N6rnvBgobYMVpwiUqGP0EBQq4rZrB6LXetUiQCrKkfHOHRR0hwfPt
LZUTWkqd6rp74u/hc/D317mifnGGtj4yVGBgXYLW0WOTkZd4gPhiOFlibN0Wd/FUMZkudO9oTQxr
lN29WlX5FnvzV22b/aGwEaHIZbmrMkYAJeC8fUTQw6arRzRFUxLzuNfahWcMF4ICPa6bccsM+iG2
qSrE+teSjTwUWXU2O6jRlpWMCQWA7T3IdOVouctXlLMQcjxUMQMDfnAZ47X0tfvBrMmN66kjdK0u
2enoN6WqFNVdfN142X5imGUtavU/GFum2Poq1Fn8h2haAru3birFTWcl8TP2qGc+pK9xXV8kjr4j
ZOlGlPFrTUcpk/y6BXfYefN4UBVvieyi14QpD5YuIpwg6JkIAOIrVEUN9Cu/DPrFfY1kfwUjGNcC
h+NGkTe6qVGBbCvRfFY9nA6PvebiwQXx+7CYzNsSXLrQ9H05eHrIK/6BmWKBEQgdT2+abAsAygHR
rq7M2b6Ttt9dJJN50QpgxOgUr2ydT0bFbhV61uSEvWvyBtsalD67nG8K3S8CJW0JkgwCEYNitlvy
bEhkRErlHeA0dsuNATbEqEV0lc7pEYQ5ameRVZteOQVHNkaFsneIEWV51q8q72Gx/B1rH1P1zbZ0
jDVcY3qLe/XpxSQExhkLJNN3l9089+98I9F2Ggb4fAlFUcRcoLHwymTr/66CRIZivjq5NZT+xKRX
4J+6AyoX6JoLEU2qrQ542a/RZVh7sL0+upbkbE+Vz+zVu+8SZW4XptqbStjsZTnkF7fXLlOHg7so
hlc5q3OsZ+umJ3+oo/IuXbqj7qXseyd9OSAVxhGuV0Fcn3NMOBADrFeeO+2tSFIQcUlzmaY2aDti
g7yC4Vbif7mFEnsCn+KTrBVqriybENMD3nKtrH214xQsZD4LMBcl+1Rt6dhqoiTd9il2RmLyNMYY
y3PNLjkynYclQuYADYGtr4fOizUPTDRrvuzs4cL1py5UcwW8Snfz06hTUVLWw9KpJugLSpNhgolm
B2s6PmirEmLKbRapZpdDv2diAHs8gnIhLx0jpkpPrFPpN3unzY6C1E3sjtaDS8d+gyy63oKji0k6
L5ztbDXzSS9xcxlT698gfWelFEMR7zt33tTE4ByxGd4UoDdHTd9Rgd7EWntUyju77XCXlH1YYgJw
pP+S+R4vrPPtdNPeKJaJF3c+NFwJIbCIZpNU+n00A4YtCF8k1IKna5wm6DZru+bqmDayKmeJrk8P
EXvZrYKusNMrrdz7Sbts9aG5p9qxL/g/9oHs43GLYxZXJES5kx7bx3yMg8GNrbBJs6s8km+ql588
hBcWF1ZBlE/Ays4KeQvGfeanLyTqxId0nszdXLRPEEG17RRjxdA1cZxd/XLQ2ZVadnVqFhiVnjPw
ES3Ihjln0TwAPNk4RjcGcA3njeqsNaJi9raea956MwivoTGsq2nFFTnvcCsPs7D3AFc4SBaPDsMO
tS5Jr7IiUuwttcdJluq02Anic1pruqzqexmsZyFG8mMKeiGsqIjXm/wzY0gTWg7Sfwm3VMOIEna1
f6ccQnba3h2JRqKEGES9XOat9ZUuun9a1aWhaq2LpMwICluW+9RM9sh9sn1uwYhTOQx43r1bKxE/
Snt5gKWCir5nzyEtbum2HT+jiwxv8Ww2TCxWQf7GgT6OxdsY7Nuk6+Q9n/l0YPqm7Sb0pnVhdYzG
0Fgslpntfb15xoWtb3yrlfd6DM5On3BCjagDSDFBX9ERwr7hd8/3TtmfatcksqCGKrtU1iXqgI/S
1svAGprLvkg+6niozrpRPzjSubFGZiNLRTDIYqbjJVSqZ9KGcBYlMwGAhrkOY7JNE4v+cu6mdtM1
7OnLJOcc63DJqDs0MjD9k/4dK2KgJhdijfsdD4W3CjBPRmS/LAhzPuo2ATcqWLYsVjHsZs8bQmNG
SOsWEw/RdEqLyyq6FwSuKfa/M5mkgcvbRmjq0Hk3nvWSRWdPX5NO3+OmODcFyaWE0+BIagzG95b3
Hvkd4M14fM7IH965U8f9mHnKPCgdEUUMbQPA4WiyM0/EDqYNMBTTpSRk1J8AJuUsBgWs2XiwuDWt
XUIwWhxrl7VQRxdDHq/zTZRVxTZS7ObrVpuRMTkXrFLyEHuUs48wcW+ceZShIXu5Gf0JxKg/Jbty
SHe2VPGZcRO6gIwX2rfgFzr5DtkBbgpUC6OoHhFb4ZAfzTxoIq6MYcmvuhgwDwMzhgGEjR3YRl6A
43uZO71+ShK/3RYLZaJhaYojOf2a2NHN7Zxekkx+qywLnzrLKglV1O+8fY3S2ZZiZ4/Iorxp3Z+k
13xgYlcAUKFUYeAitH4MzNX5p7US6uBQ3gsB3jO+9o39kPvLZk5TsfO9iBSYSm+JzmKGp1vySSTF
1UhNcsZ3Tj+uvC9p+gcZYzhoUokEhaSDXRwvPqdEA8MXkQ9jGKyH0tEvmIcg/1jUlbsmWPCRSrzb
xWFwOWFGvoCqm/uLBioqCWSlsa/jpf7o9P6rYM6Opa3F4mcpK/RLI92XFckO9A9HUWoWfLQE18Bk
WccSAfRWLFlPHnwvNiigOLXqlpG0RcFbWQYzPG8P38Dblklpbc2Uqxe350iiBpYll1NQRGvkj98R
aDMOOepHZ9sgHNLihdkfCsE1aSFhWMDOlHR2dmRjXzKWHzx2G81wMdaTtms8xDNlLd57n3O7HJlf
E3rcB5pKnnTi1zfQBMBJzsl103pQOCdmfyZCbJRX2WfkLlWQ5wXphZFBi9LL/yLvTJbkRrJk+ysl
vQcFswGLbpHn8xjzvIEwBgIwjIYZ+Pp3ENnMZLIqu4S162qRWhUzGAwPd8M1vapHCa0MhyqYm0BG
YKmB1ayDKi9XNTl8Mp+mT/kMlgtwo/26yBvIpNgNZde/+bK9KAvYjj7RTRxL5IATzp/YIE3R6DE9
VqwA0lgd2sQ7lR0iTGnYyNOu8c1BcAmi5iVJxLYhhs8hodi0pvoyG3JeOEveZUV3rWNPWxsBnwWA
Fc5KlmSeB5qtKGdhW0yHdzxDmFJsSVtTmf6qB+u4dCBNDCw6ekcj3j+k31Kjeah4zK9t+vlIZk1P
Q+eviV6urbzdG9kbN3SOkTZYFlN4zCK1iiLePu3oXRVlcVuF9DBUjfWVXBd8uJAGHV6NlFm0alcV
dVVONz40ST4up5hl5mRpyFs5Wr4zGpjH9PYWVx/XOvhbsHFeChFvwsZaaC3Gn7iFfY+qH/CeygJJ
CDj1R4q+6n3r1f4h6N14pVoMKZpRbLok+ohY/i/Cjt/7KHCnVO3YnUotVfeRSjZBXVXrpCnjwziX
Lg9zupau1Osa9tUyLs1xFYpi39Ts4t12LuKs13pm0MlnkSNlxj9jSb0zqv4RIjaaQZi9+oPd0vvR
s7jhKq4KiNZ50r8PgYPqT6B6jZuVr/eqb30phg3mlZPLGb2ZJoD6g0yMY8FYys+uV7/Fkv4va1W/
+07mTo5/tsX8yUX/p6/9rln5X9CecDljQkF/0nGNoDE2//kfRLm+oEyZqBbw63Rcvn+oVjYtD+hS
4A/RlAQB5T9kK+sLVwxjhhlQD0Ftgv8re8yfzddMe4B1fGwDZH90/RNA9cMW02w7INRFqu/ZgqzY
5ywi8ExawXoGifiHl+cfKFSodn9yts/fiuUEJB/ACZTrzv+UH76VoWmBhMGPq7D32AUhXEyx/+jk
1fnXvw+kTgFYgJfQnOMJP36ftlRT7YfdtM/qaR1wgTEhYnURod9f/j7ofOQfgBIalEnzK/rx+3jl
oEPtCfU9Foab0kzvej/G69ss/+dvY89vg59fOHRKZEVsTSz8ft40W/mQSicU/R5J6j6Y8dgySKdF
lHWgZqo8WdLZ9OTNOO28jY5aTaVAyOJlKRIXYb1A8mGaBaAbDDQtJZqzoLMsf1DwupsMAj5FmtTR
dx1jBKa2VTwDvnkY7PUZ+d26DDAq1tHWGHwzv3m2cSFuIkjh3icy3NGeK7q8V4EAJ17OYPF2sOgh
wJC4CmbsuNZr1J7OqyxoTwz1JgJYg4EbvhqdfF6KAtgX9oaPA8wyuOZ8WgCcu/opNEEjl5/w808M
+mg75EGzWytyzlWe7UunvdeH0sN1EnyAOa/IzMu5P+cT5TxwSR2UomOMIVgjqr6gaWTT6do3muZw
mZJL5MI1EW6YEofyJOS3eLRfqZk4GEIdUx4JkQ5tw+a2sFZyOk41XpmJPtBFPYUtxaFWvB4ahCeV
ttOi7IMeO7pvL2lOfGz86oZwv7FrBfJYPTQHC17iYjDMYweTZyl7Sa+gTdthQkGnPbKMi83kyiUY
z1zmu9le90sGBTTKwLNz+uuYarUASrNj7UWByDZkLg/98QJr/e041a8wlFCZoZ5T8pqttNz8EF12
RJglFz+Srrvz4Di9VR10IhVQzFzi6Fk6NuvnKTe3reXuu0buzKZ7rqNYA90dceFfQBWMt2zyKH91
9Wdi7WdyGq+9VoVgrJtpW2KWZGQfqxtw4agluXuTWNrBbSR39MHId0VQoZEJoPqL0XexiPnVBUVY
9dLRcdMk8Zjt7cJiyCmZlxrm5gVu6lPl4Lep46AtVxF0sJp3U8BfXyYprRXDdGfr1gXgiqs2GSa0
GFq+LDgOdAQCdlUFC00PbW12/JQYcFOA/ctGaODl/TJn+a+8hQUMa4WLG4h8CIs8cLcoSvs06ZEp
4yNeE4iepn6CZ/fSuBFztG9+NJF7rQ20jnpOEHBlQ/3BQRWCzc7ddDyP/kAfWZmvK0fd0US41Wfl
sUmwPUNYokkij2leMJpvfsbFsLbbC80fq7XrFC9tkGS73FUHbE17o9UGYILtV/7Zr46BlyHWxLIb
5Uc0JkeQ2+UmJR5NZy3YMQCflFsqiaU3ksRIomNt2We04o+klzd5pOg/jtpqQ1oPfpj3TNZ6qReU
xOlzYCUIKSfVBsgPYWw8FGPxMow6F+kMvII7rDW32qeNuB/oHtnqVfNYwChZtpVzJonJiYqgMiqB
2boS27jTl9hfMF1bXOLw2V+WZnkmEHwq2TcvDMN+TdJLZ3CujRr+LywHfrUTqY/BiF95Y1ADGAxb
ZNjZqZXEW8arq3roatwJdogmGLEPEFiAK8N+h0p8r/R8tpkMl5prXkS5dmFYLiWRNbfOHsQU4Xsb
dzGKiafhVEtTfa0LWuJ1mzABqxFtVZnGsEp0M14qMdarng/qsrRDvIkim1agjpuV2fSEL9KuXYA9
B/BhWwBBLOdhLJLj2Dq3knz7qoAKvdHK4coTVHPDYbxn6N+FboXNOufPSXNp50IFIJVzfz1oc0an
TtKFysGWmTUSdG0Rd6q04Jj1lC0mbhzR/ufSHOeh5bZ+dQ+c4K4OmpYEKv837/m7TAU3OSPf0gcn
OitG8SrBJYJ8x5NOs1nzipBYUSX7c2w7qEuGCJdsSyW1xkm57jTy1W06pIc6n1402sNn608IrZ5X
mMIEKkjytPuYoJzUrbIQDfvqciJMBY3dr2kjSHgbdEZHvQzg0R4ygVXF4TmfZp966IvNUOe4T0rj
wxvx4QeSR0tFScrBUoLBvO/GjYp6FkESajzNEAmezaDdO1P03nnJvqpVu0uEtyOldk0oo8E6KDe0
nPg4GDT2SImirNtxdlApXyZbnxZ0l2ycsaSXQNcvuoSS8KFRIxdVoW0BmzQLWmJpdZH+IRHI6AI3
y4ru1WTTIykulZY2Byz9/po9zgU5j4PWT9kGPO18SSoo8Wto09uoimhK6OSbmLIgXuAh3FLcRTm4
SPWFxvFOaYv51Z2bJ0IDaG5NGQVE6/jUNTiqaINxl3bWXDlzd0UqzNM4t1ko8KVkoQ5JntxPc9/F
P5kd/n5yIElomK7NpII9eTYs/zByaVVV8uKTdmKNxwcLD5WY/slU93d7T8Y612eiMxhS+d/PtVp4
c6j9g5a257ER0jIYDDs/kifMCPKgmvLFTeN6oejVOdlmc51QQ5fXsfgXriH/yzySLnPpX98uTrgj
//EynC/7frEguW+bFt1yrs0Ke156f79YOF8cAPi2Tq2BSZMcv/c/DJLsqLGt+dwgkMD4k+/rcJD6
5Pn5E94peE3Er1wrYJP99NaD3UJGmHAu7w620T/n9vMMBo5jVjb8Q2cLMYj0TMr5wyCQ6M3B7inF
AIEMNgnaTaCMDWLuE8ZvWq+SmyDqi60M5TYd03bFyLXXJd4ioMJ7FRHtytwHVeNIq8fSZpnrpPt+
asp1PyUbW6QPmcSrIZpqn8M6XqBX7hyHpRLF0Y9GFuUnECfJzoRhA9MruLZSPacWJInJcI0Fl36i
8so3vMuWe/bCFdaEyJdFrJWq/K7gKgfqhqWTHWjQRJo4WAaaqG/iSbMcxmZ6z+vRpInTsK1LGFkE
DbUs3bqmeHJ6gXdOPjlmcmxceRry+Jy4NNBkKOQLgFbPuTBvI1bMZqbuPPOYDcmFEXTgvzLEcop1
TAKyvtNe02l2m4v6BTMCjzSEaKtuDqOZPOR+sCs9/zlrixgzl6ex5mV55o80HPXtmxGjWNZIgQtH
lV8dsx5WmPxfFZM826XkMU2URnmXPJrzAFSgXST2sOxU/VKM/Q1Bs03vjO2CTb5aFFnLnFkwyGeV
cTOWyXEIKKU1Io8VUP+BEvzST8Wd6GD+U05DkDitr0naZOu0HIKlNHKe1448uq1xagM0Y534VOWm
d3pdL2Kser5Z3rtOfQbchnFORdcZA1GO/5DaoatExk/oOtHCbRt3PXksuyufHVbSrKK4u0QFwWse
tsNdnFJ2xSYuQ4ZE8C9zQepSUi2W2bvaDbqNNjXb2Enam8l1GLhjFksBjderCXV+lYIvIvlW1tbS
GSRUOl8FVyYdZ6ybOn/YRmERlavCdPELeJGK3rnyi6U9eKyTVQheVphI0WOYTFuBZpl13YPeIjGV
5WXDfi+xE6RELhN0RaAk2Swv8iAfzn45bnrP5dh0YIvC4xbz23IGyfp7ul7PhWcTvbWG7kpVjsta
YTp3GTsUK4fpVeLgXY2B9VRNOnswbWLWRqj0C43so0jbXZHP3hC3RO61CIuttWGKVh1NdVepHjmw
ZEbIl3LIT3VYa1+LavK/pZnesDIUm9LSm0c88OW6xcQlV35fklAx6nyGZLiEISkNdr8lbvTh9DC3
QGZ1i8oMKTb1i2XpsNqyzOndVqm5mpCSG+4qQT8+qbLas/6Y2MGUmLD0Ztv2eJHZ6bFhGRz0f7B/
LXtXmV92ec9hEuQigjxlkrQG3GQmL0Iv1xx8+lNXQo5YcD7sXK3Pbmd9ZUHkWayofSB2CHru0rEx
v4qR927SZ+zvLGi8iI5pS+tx0GZnVGMeyW2rnuWouKlySJHQizLN5KKh4aEdc0RWt+q8jVUkg49X
RGsnA+eM59+psu92VZpWh2nwWYxP1QilL2QEW/Mwrh4JIvrRbRMO/WmsR+u6yzu74Kpsp/dDZXjw
43W2k9wlgRRlnuJ8mPgFz9HNvZeKY6nVW2OqaF1mxzFFx3Fo5pZDkMTwExsyujRWAYgUGRkeF7Qb
ebbExgEh8a3arDRKDXE31rwV8dvrBp0TsEd6zUYL0WDQ+21u6i+WM8dtDR+tvL+I+xmmlZRLKITB
gvIRGCeBrdaRH+/JklDk3NF/FXYH347jZRfPYYtAkl8GVGdU08Eyef4PTf80CpAhgBnOtc/mnXZ7
QT3Hsk3D08AUTUkaVoWSy4qyuEnFQWIy/fZvaaRoZffvUrxTvwk4v6Rd/uOh4cdcxX/97+vm4Fn8
15PFZ/qC4tri7cew3W8GPZ+v/D5ciC9gm+bk3O8kj+/DhUvfhuGZtNkyYfxJtTTBf1O6Q2+HhVZl
z4U936cL4wueG1xxTCWAZuae11/o6EAg+Gm8EMQugBmYLlxX1Lefdcs8S9zCC+tgh669rvzkqHfa
g/Ty9RROl3iLr+LCXinDATzJJQ4JBZbhLlHloTNaTkf3Xgf7VVuCdTHtFLmX7QiUnIYhv0nHmOQS
oTeLsvVSYieX7hnU8X5E8IlKhZHWw+TXFS1kY4jcoXFbV8YhLo0XpcdwYOvnDM8JnpqvSeWu0wIt
wxb1uQnYjdbNPu2Dx8IZHtKR00T4G6XqvcLS1Kt8U8fRjJ+zcj7a+clrxS7U67OjTetk6JlPCCak
3a3pTx8NNaiLAmmkalmvaOzNIhntygCAojZe9WyLpjm96jBC6MK94en6MenGB8/FfklxyEuVdq9N
7zG0Qwos9JXvx84mhKUcQF0U5Jgiw2xpMjO3sCu+Ao+7MCYzWjSivjI8we6TmDBN4ot0EGdpR/Ro
2vqames11bD1h9mbpjnL1kqPgAF2fPrXfkNvZZJKHMbOfWk7p76lJKmUnLlRrV79usbxVPAEMWQx
Q/LYeQbF9N5ghVr09jBbOPTRdI8x58kC33+7j6PpIjAK82j3FjoYrgUKYR/apNe3CDchBp4+PGrj
u9Fy0++LDuC4atb0uMd39ij6bdJRKxQTUyJURyNgOaW3oxjd61DXCXKbGj47jOXLkEbRq3xk0+IO
KRIODJCVsACSitrvDvCU7so4d87pxH8h3eyqsQ1Wi3p6pRDx17ry/RXvoppwis8VTB+hsU67qBGr
PCCm77TDhis3E1kl9kaRvHSxt6/seBUbApiBs8ua7EqHD1XxiMF24dwBg9/V5BlSS536Sf9KPc2d
1D00Sj9bxLyLFmVqvdrZ/G+lKWSVD/l9237m2hxcTcb9VAdEqRm9H4qiPej0PWHQiUAu2X6zgtr6
GJLRXnmQZinjrI4EbqBFCbxCuU2HbJViSDGiOeKSPgdeby10keP09rwd1bFH3qfpIlb9xi/U1UQ5
qESAId63FHrL/V9B1gvuCwr0gtrblBi1QgTgphM3QzhdVQK+gFvE78VQRLB1vJQSX7aACv8mvYRD
rz+hnq4cooAaEQKnpXmq8C6qtN5TqDktGkVVD5Q89A9HcVXoroU+nnmQEZ6Na1ImnBFCYyIZ9Ftu
3XThBvmNbzcHrDncT7p2W3MYUA0FwxWrCz4P4Cr0Mg6seVlyZ/D9F5af7oST7ePEowOYNb1L593C
U9U+qEdtUZdYwjOiCAuDFpmrSDBDpFG2LHvsccUAVD+vjHrZ62rku/s3mDwPdAkVy0SMx2RK9BsF
7JMc5MANajfE6lqHuAmIczzgSl11bnwseQOggFqQ0ZtHs3a2kaj2EE+XU0SZrx2KY+3zb1OjuU9s
b18bwaVpFJe2Plzghd6wCQVMEdIHKRPSX7p1LiKD3aCl7sKemIXpXvq9d9t31RqYBAGG/KqAEha4
+aUZ1XuI/DcBiJMFSON9FDr4/Yr8XTbot0mYXPtlOGMc9p2S75krjkFkQElAxu66a4SfeMvoeoPw
s5vyN2kfrFieopEemiELd0NdXPeujlmmhUMSRVSM5Yp8FJrS5zi9rAd7n6bTa5UXj8mYXZVR+U22
zTO0V9gl9b0mXV53z78yGuc6SNq10o1DSpdSRgAqdQJKNqebzmzeKis9V0F9DK38Uip9b0Itdvz6
3Cmsmf2UH5T0dkUqr7uBO0aoyniRK/bJtuppnDWWUQ5XNXTdEOFsuJHzpp0E6x1dDB0QtvxaeeG3
0BrfIiEuWjkiehnegyN5ZU024n6MXc0bkB7V9Ize+ME7HDIvUa9xaI2vVcORBNyq2+gmL0bS+dGy
m7z00HuAmpDWwk3KpXcVT06GEXPwDnQqvOjWqDGDp9gNXbiUMghRxYPutsojbcHaHcsuFUJpPzMY
yPHpDfv9qaWL2smCWyoRTqY0KbPq+RV6/pn2hAs9mkEp7gAUVzYLtGmkMkzb8cTPEylrHyX8XSay
LtboDrXYfVGdOBq8tphL86fJKK5lTI90MLpXcR/Bzs5Xo5RfLUJ6pJGEZpjw+cabMYLbYUz8RKGi
06jy60OQ1iSfCjoSFNYYQ1kraMX7ARMBwsHJsCBMtDVfkFfRXcjyUrkcSlNyE1fmPirMHe7zY+jG
IGJjZ+mbzU7EfrJoXfGEy/fOw7MNHBC7EGN9ocekN+NokWfe165Uh2bQNsKezHbbOCoh81HcEy5/
w0t20XSEtzEQtKvStG+rhqw8L83cX6RjQIfQtybnjeWvil9dt9CWfpTvC2nuQ/4SOIHeSTaKNj5l
LyZpHgxM9DieY/229qa0PBLyZ8NmmFd8jLeUVjlAQEYyOsLa12IXy3zFTzuV6A9as9XS8t1srcvJ
JTVftYAGc4hDcQQZNLc+iji1N96EEB7NOw86UVdBZF01+JhzKd8rrb4w9Q9/JuqaLCicb5JNmd/2
6NluvqmmAd+YYlCw4mrlmN0FAbGll8+BrZH23TF7L1ld+JZ9GNrZjqrSbWWCH66JEfA9lho0A+oQ
+x2Q3QNH3Y2tzLdRqC3cbWshIb7wqJZrMwHHOLmy3oZOc1sk9rkL631oxudOjDucdG+enF5g4CB0
2/YtAUqsIb3OoihNzrruE6INQr6OdpBR0MZbQhLEk7qfnPoxSZq9ijXALXrKXfVG48nA1uEyDqCB
BDqgG8OL3zD38c7m7FnCaVy1XYeFV9zJrthjuFhXtbPWDF6PCF9XZPK0BndzqBKLBxb5WDM6JXja
E/SX0O6uaPDYjoasMOxZsLQlNyu4dOT1JJPNpBN8jUP61Ec2cC6xO7gCQJ2FFeHdnwNwyRyFY5PH
joxHG24+uouJy9kDOcQ5QOfPUbppDtXpefHadF68F5+JO1rfy1uurvvOpq2ugWK8QXI6ARbrN7Hn
JFuu8SSk5lBfURPnyuegXzXyc9GoWtFVl59ZvgVLo5CQ9OaIYD+HBdM5NijmAGGdO2qjulZdKlKG
NgNj5kZil+jZISWH6Hb+WzwHEzGR6cuUrKLrtytCWjSFxbhJ03yR9+Jd2hZNr+Ud2kWw1ecIJEUx
gLQkRj4ASXLjpGlCMYwXbAoF3IffNju8OVLZpPmwpJyMzxl5yyKjSXYOYJphknAuMtwZpDObOabJ
mIhNZo5uytTsllEn2ruoEuk2NyRpk0bJQ++qD4sBZx3NSVCGRrHO53Ro7ofTziMwGhIc5XC47JEG
vcaFkE20VOnlbTlnTePO2wEXPGhld3axdutpCYmDdGoReU8hcdWa2Go2uI/Y4DZVyq7dmpOthsP7
vgHmEbbxutATjIGnrMHCDytqDsUmXLhWJv0J+yIt2m1UNs1mpHBg5ZCnVcH46M8B23aO2uqYNFbC
Jn7rp/TsRsW+G2osmkVCfMTetiR2+wBPLwneVMR7fzIeaUdAQIEYhIV/nTb+jnBD9S/cpf8da7Ho
ivqfLtP/L/97bs3nVfrz675fpVHjwRvSW8mDyaJA4w+dHpsPVFuBw8djTyOIdH3X6XXgBybOHPYq
kJPZ0P9xlda/GB6CO09/QnCof79kADLmqtw/2UvmCzs1W1yjPY+/GDDnn5ZE9oiQWmfZuOsaErAG
76IbmbWobx2rUfrjm3addHSseqLiPKVMahcFpnZFJ3m1KhJ0JQAd3KScPm7slTZg7GGd+VniKmTH
+U6xaxg9exS9DirNDlAFiaNQnb7qKX1FAybJgwuq3Rh98wRzmEOgS9yt2VYWBmsuVbQGMtUl4it5
hXgd+hqLf2d4DibJWBhpBOBr9Wi5OFn8GHz32AVfPU/eKzWswSBCg6pydytF9abJdO7sdTklRSo2
ygy5moQGB9RQ2foFeIrxnEZBfFWlOZaZkyXppi1A08tW7Z2ApWFRwAanhhDng099ZOVlzV3MU3LV
DIZ+mrIkXA9GRTl8aXZka6fmtpo0caGDib9K2zLaC/B3R5w6yZ52+vi6952z7wHOGiwAZjNJeAb2
JKzyE65GmHDBHARQUVKu599kVPLfAKTHzOmkF0E9JMeEaPbKLHFAAtd8qz2u/JNybu26jfa206Yn
TKc0qndt1hOAGZz7aWyHtTOIYKVreIiMSNgPdupm4L5KtiYYJ/hFS0195LK9rfWgWbkOQXegkAcv
c8w13ZQsM0OH/YzlaMu4ysyLDm18HaS0hZS2hEpuRSdPT/ZTznWkasqR+y/ank8WqViNtSq2Zpl9
tbT32upv05CuNb+ts3XQAaVxw7L6YCwQxreSlo6PUbjNC6NnQLS4mqhkKohPyg386XgpGxjtlLPH
e5bd4iPHin4iHyPh8NfNyezLmeVeGvqlyT7Xfgg9+6yJhuvNUGbBurMS/zI3xg8ASJggPK47XtbZ
v3nR/s9LjDaHyF9LjBQF/u3hJ2fk56kIffQPgdHF/OiA8vpeF/jHqeh84dhz9P+Gu8zVwH+ciuDv
ubCTbqV8Ehbv76ci3cC0ElHRTR2l75i0Q/2KwMia8udT0UShFoaP74yD0Z9byX9cndsFRCSM6Xg5
QCrdmER/Rvo9uIs0z2Vb3JkkYwiitRNdr41pMF2Kxuc+ILG988QOize/yY33viyYFsth5r0QRbea
3D0ybvKMTvC7U67QRutGQLb2oQACdp151xgEQF/zZCcelX8isePf8NifqOzsE5sdWhC080+YdvEJ
1nZnxnbv6RjlY3sOvEuWSUFaXZS6vve94t3Hay0FxnI9oqwvZTBSU4IriSiL0yLsA1aTO5Ug4+RW
+wqORuMeYx9KQBHjkD3YbU/FUTOOK2o9n3MzNg6oe/o59cbmYOiJubdNzVjXRUPspgu8/eA181Is
kWpPCtq4MBoFXonpcdtRDYvSAI1yqq4KLbuiFZ0WQpFBz63lOtWsO9fQNnpnsUv1GFukhVhiG4V1
O/jlVam12BKTsNxAIrAvjawQSyUr8De1HXf4EOk1rBwaDgmZcXrh+rivPgsQq88yxHHuRWznhsTY
oCuR0F34KOf+RHC5UBfibq5VpEZ5hrhQtli0tC522Ae3gsaLq45qnmfuoP2BMnRGXlcT50pYp6aq
3/pg+O/ir186Pv7NpqrfHdLzJ+qvj5Bd8bdlFP/tPPfF0Rw9/rir+NNf8X3GEl8w+wrugXgYPtcL
v3sh3C8WhGufM4MxwpxdEt9PE+OL4eosOZi/gE8T4P/9NDEwQwiGLhA5Hn8vY9ivnCY/O5/xQmBD
psjUnF0R/ucy4wcbzsywK6oKLF0T3XShOjYjLAtMaD+8QP/AX03Dwp/OLIZBaIbMUfxr9bng9PPP
f/g+BEUQh3Lp7lQVYxatJLq1vptSlWQLwAn5gWiRdzZjQZpBjAwSxBmAHrnZe56m73HSoqFPUIWX
cEyYXzJd29WTrDaDjQ3Ukbp6SvFJLJ1JwH2h5BQRV5BEraS/6mIJULAmX4DZ7g6PZb9zVaTRxTkS
Z/ai/Gqo269JJJDRfQXRt4o8eqcNBGANvczxkm2QW/4TnkrMbDWng26nG1+vOBQ7upUCcg9WMwsm
LdWTBZAnpIAJqyGA6UXRy+LC8epww5lUEbDWuegFQ/UI2R6EszdiH2sQVd2ohtua19FLUUqXO5Ge
gLQu4SB7tcfassRDq2xtG5bupd510XVUEG7JB0RKZQ/PqpDvTqrOFA6zPu6zR5eQxW4ittviJZn4
4VHHUcaDdiRb7er+Y2k44XPrjaRnJgvVHa/UNiZaC6fVb7pbalXl2obx5ZRQsO1S37VpWsNPKW4K
O0bVkGxC82F6bASwsILBkKgZADHW0+kx8t2d5uEErQ3y9im8sXCoLxP4Y+bU74uKbGYwDIcIPAl7
KEmXtveSAi4ZMtqYLBvhEQcig+FN1NdfU1AnFeLm5Lgnd2agMMCOSwssimb7BwUmBfslP55TYbMF
oVLNLBUJVIVFzUUyU1aSmbdS5H126GcGC7rhYxZ1wdqf+SzOTGpxKeTaUf8d7zBEIArMRJfKHK5s
QNvsnkm7sjxIIPp312AnHcAM0XU3s2E0vxwYga869mESzDm7Cdgx+CNv4zgwNsHMleFzf/bC9FZ1
mBPlzJ4ZZgpNqsOjGSve0pmqwq0cASAi7+zcssX4DL9mKiHZpLBnmS9R8sJJ3dIbgHd+Jt80joSB
4yOJJhAvTfA4+Px410epu7cIJy0wR3RrZECC9jNcpw3B7MTS48UuZ/SON1HAUz/xgHj06uml6iBm
w+qhW4NUkp+hueTerQeaGr8FrXVzR95QWeJm8qV1HmSzzaR9A5X3EETR15YapEXizpS0iBXm5EMF
io14IxLeGwmfogUKGn+TKbMVCxaCk9UmVLSX9qUSK3hI0budV+g04adppddnA4sxe1k8TC2GMxKa
SvKOW1ed5sayINsFN6QZsMLMrpgOzH306ZOBqlnNzhkxOjuIw9aGg0NsDOw11KVlyxg8LiWMeG9Y
l9RYi7vLZPblcEi/APDZxEXuruF98cY1tcceM0/l8wmK5Guu5HU8u33GqDp72H9U5IGSrhddWNxl
sz+owSg0ptaJdP8xnh1EsB8hmM2uIgd7kTv7jPJhJC2M9agxxxfCckSx6a6bvUmEDY4pZiWREqYs
sEGvqLKljTYzyUVgbiqM8abF7KQHPW5ZXqkMFlKGHWqQLWiIIHscM3yUY+q82ibeKW5uX3WvzyC9
sXLqMVjRkcXLh+WqmL1X6ezCYnfyLHt/F1M5a2LTSkCYQtGEj46Bq8fIFTn1dfrp7MLA1bjJtTvY
iuyzfh9iBZMmgXGsYensESMbhttFk+ca+5gvsX3X0ZONrSxOgyetpX2dWzPUwAlsKSg6hyI9w9sY
XKy4t5fRsPFKBapu8uYcPxVVhGmTWp5CPkorPjMw7mgz5JOtlrYjkp1XQ9emhlpRCmDKaevQw4dl
66bLTPuhLKb2Vc/DcBPN5TlwD4+6G/mrtu4aBD9K6JyH8jpfRzf1DobL+C/oTf+W3g1SRH89FS2+
vv3tFH+0P05Dv12sZtvt91EIRhI3KyCYJqmkn2yhjAU2Fg3X823H+mMU8r+4FrBe3IuMEFiFrR8v
VjoCEdZQ06TzkhTSL8lNEIn+NKR8QpIRtlgOOATB0DV/kpvIXPbOUOXtDkzZUUSZ7ZEPhz8YtJop
llVJ+Rzr25HiTMUJvR0nqqc9iiqua3CFi9ryxSVojRyVwrpQLqPCOqld7iY1Xm8L2Lgz1iBCEHUR
ZRvP22ptEj9kVC210ALgemOxTMYzOhMJqrnpuf0sfS7TSbJU1ux3McACABLMcjB5gHVzXdbuMy0Y
LCKKR0PWl5JS6YJyaRnZwIvDXTu3TmP5PvehfcFNaNWxBVigMVyWAMdDPrKg1taalhy0ggcZ4sdH
k4COmwYyUU7eXAX2QIGufE0sPG/KqU4EkAxSI9037A30mutVR/a3pU2w9h4ZQNo18fONT7W2HcFS
iF0ISVA/GcTo364q/3oC9lBHc0cD5AG20sxY4imlz3QQxuXA61kb1nVpCQg32rZI5hAwpd81xIQ0
zy6b2H0xKAU3Sv1UUBIe5YLBtb3q+vGuDtVTUljLjFLxYujuTUrG5zzVtqnpHfd0KEfEzTEN0klu
NDI5MmW/ZhYUSHt6dGr/yFjxouY+cxFnz2mkw0oghJ3Mpec5IWIM6tUByA84YYrRbeEduUpfJ209
b9qwVtYy41wKKxrVvblcXSvrrU3bOnl5Hk/0r6MVlssiFj2L2LmefZAUtZtzZXsOz9KaMdvYdz/C
2B43rDn45cq9DpHb44nNohf4U2CJCzVjuzv43fUIcY64zX2rTXSF5mG3kA683xq6T9Hs9IDXVKUL
t0v6lT8DggWkp4UPM7ia4cFNKZ8Lv2pmTh/NjnFxWWu4aFpIaKGjrV1P+5Cj4H5uXwVdfsyc0sPL
N5OKad5hBYUByYQhS1/XoxrdexBc9JU2bJ1Fd6hLAkV55d78f/bOpKmNJIvjX6Vj7qWoJWs7zBwk
IQm7QcbG2M2lAmO7NtW+69PPLxF4QLJxYzmi6zB14ACESpWV+fLle//FHQSO63DTUadMbhT09QBz
QulwyNJdFbMSzMzO8sy7zZsSsZymW5foXFNyeweKpgGxoaTwd/L3aQVTztjCMaENugKxnC4z1hep
TYR8ZapZuAu61bnrQYHWyA4TN4HQ3hX6QlGcz14HADPI0DXDTgJWcmzcqmX2J0YQELfC5LJX8o9b
pxHAvqP3Sl+sw60nTXKl2gl6G80mEsvIqiCFDDeONpzmmkKD0qpfw3H2zkyMDtUWqDju2Kh1YSuG
n21j89GAyE+qGpRu3X5I8w1rzMjOky3R8SQLEVUpTe966KjS5LY4EXpy3vhedI7TQgvO1PFuckvJ
3pj4hJwaWVEsLIfVQAQpr+yUwquRANbAQm2YIX3U4n+JwwSqOOeuEl2TuK+1uFn4oXpGw1TdEqc2
Svmm8eszUCJb2IzGp8FULuJtdWojrTbv8Y6krqEGZyJWsnnauN7CiUBz9MFmNrhQ1JAuZg5l/jVE
DQF1MgoQvR6yUzNtNJS9vMtSa6vXdVUgwWKWgKcThQzdhsQJt3yJ5MMqJJunTWjOAa+QqxfGVwO3
LHKCVpsH9QYodWUhOBkYJkbH+XUKcWXhNj3FeeHRjwre3+1P/69goLEnOynP7dV/vA1vlCsEYv+4
vHmyZX8rYMhPeNi1bZpEunAsB79MoI2PyBzWhNKFhXI1nRrDkDzjhwKGihoiNmGIIWvQcBxJKbnH
W8Isp5ND/QK+Nb0olK5eUsA43LMF9lQG4E26RHSy9vbsIOTo1orQXmUK2IdKZLRHMW9SIlGdDLqJ
cEaUfXg0WN+pZhzUTCSCVKee66ABTlFnr/5apmKTpxsXMpGvrjx1OMFi4GJbxj8hi+uyx/a0/cWN
HEG6BJWGsXT2dBvdNAuHfmNYq0zvbDy2ISWKLJnFse9gD8Lhchr0gJbRuPU/9poGf8DSSgRyLAvw
lbtd2FHaz2kVpXANQOAhTQ2xoYUrgPuSddoYxG/GST8DlKpc+/XWvHFrGCdDJ279RP3UtKL7YFpR
+LorhvQKzRUfQCNmvYXRwkqzAQRA2EFIOumKGQ734YWTNZdqVNjvE78CHtXqDirZQWbOXek6ayf9
KkUVF7W0fLus3UsOzKA5pFctWgSrwZXJBO0jVfrZphjbIo0Yn6CR8zqUnrdNWr8KpAuuT68Zbb8r
kE7IsFrOSsEwt9YT8KXbYlqHaUVDMLh1wxB0iv/GvHPbxXY38QdSivoTNHR9mkln3rT25q706oU2
8KrGzYJzTbUwBKJopnT2bfo2AbtGe80o4M/2QqMtl+jF3IixQUes+yR2gzdBVnxKe/W2DZUSzTNd
uqytSnEWNQD7kMZAjkP316RSy6GI4TP0Og44G2BPpDtGWJ1ZdnS93epXQZrq00ptlv1gZxQRuoUV
IxEediUJKQClGNsmiu4MNVWVcjDXRmKepFV9PtjGOke/p2sGQL9usqhqzj1ICVLblxpcah5cDQYl
ZCW0T7ssvO6DFM1yZREbAHlaA8o4LEwl0/FXxqRzaurNMIuKTbnsbLWeNVn+Kk28fOkYySIH5Aly
BdHC0PhSbKnUGQUwfytW7JNAVz5nijS3KfvzhBJ85Jr2ysTGOwTc6Q0GHckkYuvXt6dG5CxKO1li
GgK2TeumKMgg1IxIgN7as9wt323i4I1wk4+WaNeZHzaLAZPrmRPqSGEhDja3bNAruZZfqgZWT90W
pwmVJ3ZwhzrpQIbODb195zIXcENwhP+nq3PazhztbZj4627oz9TIepOayuvaAOPmJL5Y1op+tkkr
cdYH8K169JzmNZhY8qeElL1CVkZRfOtENZviXeQ07y0pIJZgNL6Mc6jBimcaSyV2OwpK3aUbO95U
yVVEClznS1fTMVXznFQ03vypWNqFPOV7WVEih7NdVQzl1HWdW7Zpna+sdquYamUgy5bAaACGcnbC
T52iZjWYwYm4K3TKkqfWJMXHTpZBEyiQ85RtPiT8ovXTrtIaOU3X44dpJGKRihhl9AzclFrLlQxZ
tFLzT1YYmnPEzAGUIksplYxnfV5ar7egSqeiCwY4FD2TGEVksC89MnZ988rX4mK5VWA+KEn0vu0Q
iRENwkBK4/1Z+CqF0E4DA2gE9rRSNldIPSvLsAy+Yk+N/oA/4IpNoYsuVjN7PjqDPng2aO5tCGrj
NYGRCwt4sg24ke+t/PWSO0hgAwdRZKFVth0X4Vh2vcf9N2WA2GuiX7uiPLmObG2pWfFPXDCfbjEH
t9hX7KUCrqDopfWruvCCGUD9DWhA7QPWPpfPP4v+lK2wuxP8aOjAnNY5e+89DDY/ma5XZb+KWuVD
q4LOL4P2HJVXa6ZZkbeIMvEugdG5MiQirlTJ7tQARp+A4KaQGzaaeluL7UXF/Ooj0m6/UEusSZrl
kFo3aV5dPP+FD0bGUSldu7RTNFulcyH//qiRsAVy6ied3q90M0Nx7EPdbKaodOxqOJBnvu+m+p1+
BVrOpkMmBYGY4ZFpx6PbZLHWhH3LO8bj+XUGhGPR1qAN4iQ8QyOqWRgBKvBa0cyjRKErkFRfwxiZ
TeF1F1LWhvaFpp2UeGOAZ94u/bQrcUuBQWWXlEptiOYLlf7dvDUDdV5XDtZ17ZoayLyMza9aq4OF
pL61Vbu3oW5+9LP6lU+JcLppt2/hDxDkEhUlKDPQlk2qXcacMjD0i+Yct5xZKJq/qjLBolnJulmd
2BwwPFBsugWuFo/Ca18hHHVFze5tVqdW6qzJG7zFxvc4v/CNbew5FtZQ4XGTf0hVY53lBdbuoP0C
SbTP1HfC8G5tkp92gyJBq6bG8uUv2bDRJGKVUSbS915yIdQiwcm3X23Nt0qloIL5St96P3nH35tJ
MJS5i23Jko9cGY9ecVfRGIIh168o/7LdXzU4XvbC+Uk40mWS9j9jXtn5ItpigGW6dP6xCdhbYKUu
yiE1oJ4jX4RYfausAfMUoNBL5Feicq33YBHVrl4krrgEIwqfDurgNDFDbDSlPJe9yWdwCeOZ2GjV
qUMvZFqi8DrdxI17lbb6T7JbGR+f+b7uXtIZuPrGpJ7Sr8q+vGnYOxtFveptbDr6T8+/ZbmGDu6E
FxeICqzRLHNvjSEtAqBCL4aV2NjNDFNOHBzjVl+WJfTVyKDonrx6+R1NTiv4M3NcFfvvAuE1s4xz
VnXbs2rbdjv3Y3XdtJtgHngwO4Gu7l7/iw6Z3y8Gy4/4RYek+7vPb+qbk7SmBX3RfCmHt1+qZlPj
tbSLcvKvb7IwrS+zX/un5z/ojy93d74c8i///tfN5wQpXShiZXhbH1aALebQk9Po3fe6+9LPfczm
hmdrPvP5GidQ+Pqq4zBbN+gPPPxetaD1cToypX4Et3g0Mj969ucfazeIz//Pc995Nyqnn6WEGqg8
6tbHPjomARTKTZuT8u7aGwFzIiiaI5LGjJbXOMdBGiUcNwXciU6pAXUdlFLkRbh+MhPEhL6BZTNJ
RjoCR88EG56qLizgZd8fAVBrFpUzajEPAzTGFSFYwsfNBEDG9H1kp+b74wBGj6KS6uCaMcqYcIBQ
fGk4dCc2hRVbRydldx1GRZpbOiqD938f2zgAXqSbx35/7ESgpQYNkOzqYcY/CQnAq2SDUBic17iI
GGNcEOaxoRF8KSPAmrh7Sn7sTwcWhJwKwtmN+Ig2yYdys9T0OXIyaMiS4mbFsWFvY3DoOcNVBZd7
Nz7/1Cy4zZq0llmaD4zkcY6EPtXfe/a9T3iUHhkIIhiyD34/A/b3RmdCpdtCW+mfevifJIiyvnFc
KNDY+zhJgDA8ePvIMIK/tkaaHj2sAOLUkWPAruAI8gPoN7uLytiTcGhOSA/o5Ni7gDOiMPDb9gPQ
SfCEOAvsPbir04RCnvYfjQA/WQSyvXPcInCAE6tYfAOJ2V0H42CTQKuWPuoEUfLJjhuHO60XAEFI
xT288CfzwSFBZKBUef4fY0bgHJsRaGICBQ99O2d/KcjmK6dS/T75GlEMuD8v7zeuX5ob8+hk/4LG
82EeQNNZHqNHekA8cKZ+8aNrE4S4EUY6eOucDDFesoTcHUc54X9D9id0h4m9F/FsaBQciXWEou6u
cT6+LD0fG/EQvNKoav6gOOJwYoTkS5V1nCNwH4n3KpcvqRBaE7ChRHubFtb9q96L+ZLfwiCMLuZ/
ywCP3/jUiQpZRuJl99aBSW6I+6N+nxqO9Bjg7oq4R8wCaFNQxXVKQz+aBaqg10mi/JAYjCscfpsL
BwCuF28G6oT3jQgdiJDdtTcl7AkHAThk41sQ95nAb5gMguVA4+AH6bDF5oArrfOQLo8zNErhw+M2
ByojbAyoMVMPfRITrYmroqow2rIA/jFHPjoVQCqhjknk/8EiQIUaLvX9DjyidPhbJDggo/5CJJCW
y6yF/bIQaSF1WDAdIz0XfxsDCbE5bg2IiYb3NTSMwwMR7Wfsq+6rsCOaAbswaB8bBt2JQ0kAsMxD
eZjjz5MoYE7YJsCySmjQuHbD3Qi4Rx8OaBjhTYTaO9D6u2tvBFCNJXc0sVof6QgcO/2x+QKDDUPq
oTS4f06STWRXV0F3j3MEJLL8uACA0BE7PYZiP6gJ2Qh7UCCkZf8wRca1Fr7FwuNr5ZTHkCMwDKmB
/CQS2BP8FYQBlH6Us+BQ8OoXtkIgZRK2v78NmBNaRxSP1V22Nbpt4PgSgTGBiCF1GH6wANyJlKhh
gxznyxfurpv/64dDHpBkR7PtXR8QM+e96c8coFNo37fjxjcFfsM+SLecMsl9/f8AQiMPRGDMdRTQ
/3Ym8DeGCUia/K/bzZeb8j//BQAA//8=</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sz="800">
              <a:latin typeface="Calibri" panose="020F0502020204030204" pitchFamily="34" charset="0"/>
              <a:ea typeface="Calibri" panose="020F0502020204030204" pitchFamily="34" charset="0"/>
              <a:cs typeface="Calibri" panose="020F0502020204030204" pitchFamily="34" charset="0"/>
            </a:defRPr>
          </a:pPr>
          <a:endParaRPr lang="en-US" sz="800" b="0" i="0" u="none" strike="noStrike" baseline="0">
            <a:solidFill>
              <a:sysClr val="windowText" lastClr="000000">
                <a:lumMod val="65000"/>
                <a:lumOff val="35000"/>
              </a:sysClr>
            </a:solidFill>
            <a:latin typeface="Calibri" panose="020F0502020204030204" pitchFamily="34" charset="0"/>
            <a:cs typeface="Calibri" panose="020F0502020204030204" pitchFamily="34" charset="0"/>
          </a:endParaRPr>
        </a:p>
      </cx:txPr>
    </cx:legend>
  </cx:chart>
  <cx:spPr>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_xlchart.v1.10</cx:f>
      </cx:strDim>
      <cx:numDim type="val">
        <cx:f>_xlchart.v1.11</cx:f>
      </cx:numDim>
    </cx:data>
  </cx:chartData>
  <cx:chart>
    <cx:plotArea>
      <cx:plotAreaRegion>
        <cx:series layoutId="waterfall" uniqueId="{B8FF07A3-214C-4444-860A-3790CC2BC87D}">
          <cx:dataPt idx="5">
            <cx:spPr>
              <a:solidFill>
                <a:sysClr val="window" lastClr="FFFFFF">
                  <a:lumMod val="75000"/>
                </a:sysClr>
              </a:solidFill>
            </cx:spPr>
          </cx:dataPt>
          <cx:dataLabels pos="outEnd">
            <cx:txPr>
              <a:bodyPr vertOverflow="overflow" horzOverflow="overflow" wrap="square" lIns="0" tIns="0" rIns="0" bIns="0"/>
              <a:lstStyle/>
              <a:p>
                <a:pPr algn="ctr" rtl="0">
                  <a:defRPr sz="800" b="0" i="0">
                    <a:solidFill>
                      <a:srgbClr val="595959"/>
                    </a:solidFill>
                    <a:latin typeface="Nunito" pitchFamily="2" charset="0"/>
                    <a:ea typeface="Nunito" pitchFamily="2" charset="0"/>
                    <a:cs typeface="Nunito" pitchFamily="2" charset="0"/>
                  </a:defRPr>
                </a:pPr>
                <a:endParaRPr lang="vi-VN" sz="800">
                  <a:latin typeface="Nunito" pitchFamily="2" charset="0"/>
                </a:endParaRPr>
              </a:p>
            </cx:txPr>
            <cx:visibility seriesName="0" categoryName="0" value="1"/>
          </cx:dataLabels>
          <cx:dataId val="0"/>
          <cx:layoutPr>
            <cx:subtotals>
              <cx:idx val="0"/>
              <cx:idx val="6"/>
            </cx:subtotals>
          </cx:layoutPr>
        </cx:series>
      </cx:plotAreaRegion>
      <cx:axis id="0">
        <cx:catScaling gapWidth="0.5"/>
        <cx:majorTickMarks type="out"/>
        <cx:tickLabels/>
        <cx:txPr>
          <a:bodyPr vertOverflow="overflow" horzOverflow="overflow" wrap="square" lIns="0" tIns="0" rIns="0" bIns="0"/>
          <a:lstStyle/>
          <a:p>
            <a:pPr algn="ctr" rtl="0">
              <a:defRPr sz="800" b="0" i="0">
                <a:solidFill>
                  <a:srgbClr val="595959"/>
                </a:solidFill>
                <a:latin typeface="Nunito" pitchFamily="2" charset="0"/>
                <a:ea typeface="Nunito" pitchFamily="2" charset="0"/>
                <a:cs typeface="Nunito" pitchFamily="2" charset="0"/>
              </a:defRPr>
            </a:pPr>
            <a:endParaRPr lang="vi-VN" sz="800">
              <a:latin typeface="Nunito" pitchFamily="2" charset="0"/>
            </a:endParaRPr>
          </a:p>
        </cx:txPr>
      </cx:axis>
      <cx:axis id="1">
        <cx:valScaling/>
        <cx:tickLabels/>
        <cx:txPr>
          <a:bodyPr vertOverflow="overflow" horzOverflow="overflow" wrap="square" lIns="0" tIns="0" rIns="0" bIns="0"/>
          <a:lstStyle/>
          <a:p>
            <a:pPr algn="ctr" rtl="0">
              <a:defRPr sz="800" b="0" i="0">
                <a:solidFill>
                  <a:srgbClr val="595959"/>
                </a:solidFill>
                <a:latin typeface="Nunito" pitchFamily="2" charset="0"/>
                <a:ea typeface="Nunito" pitchFamily="2" charset="0"/>
                <a:cs typeface="Nunito" pitchFamily="2" charset="0"/>
              </a:defRPr>
            </a:pPr>
            <a:endParaRPr lang="vi-VN" sz="800">
              <a:latin typeface="Nunito" pitchFamily="2" charset="0"/>
            </a:endParaRPr>
          </a:p>
        </cx:txPr>
      </cx:axis>
    </cx:plotArea>
  </cx:chart>
  <cx:spPr>
    <a:ln>
      <a:noFill/>
    </a:ln>
  </cx:spPr>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strDim type="cat">
        <cx:f>_xlchart.v1.12</cx:f>
      </cx:strDim>
      <cx:numDim type="val">
        <cx:f>_xlchart.v1.13</cx:f>
      </cx:numDim>
    </cx:data>
  </cx:chartData>
  <cx:chart>
    <cx:plotArea>
      <cx:plotAreaRegion>
        <cx:series layoutId="waterfall" uniqueId="{978ABF9D-1F49-4BEE-BA4E-FA83B0097C77}">
          <cx:dataPt idx="5">
            <cx:spPr>
              <a:solidFill>
                <a:srgbClr val="028889"/>
              </a:solidFill>
            </cx:spPr>
          </cx:dataPt>
          <cx:data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visibility seriesName="0" categoryName="0" value="1"/>
          </cx:dataLabels>
          <cx:dataId val="0"/>
          <cx:layoutPr>
            <cx:subtotals>
              <cx:idx val="0"/>
              <cx:idx val="5"/>
              <cx:idx val="6"/>
            </cx:subtotals>
          </cx:layoutPr>
        </cx:series>
      </cx:plotAreaRegion>
      <cx:axis id="0">
        <cx:catScaling gapWidth="0.5"/>
        <cx:tickLabels/>
        <cx:txPr>
          <a:bodyPr vertOverflow="overflow" horzOverflow="overflow" wrap="square" lIns="0" tIns="0" rIns="0" bIns="0"/>
          <a:lstStyle/>
          <a:p>
            <a:pPr algn="ctr" rtl="0">
              <a:defRPr sz="1000" b="0" i="0">
                <a:solidFill>
                  <a:srgbClr val="595959"/>
                </a:solidFill>
                <a:latin typeface="Nunito" pitchFamily="2" charset="0"/>
                <a:ea typeface="Nunito" pitchFamily="2" charset="0"/>
                <a:cs typeface="Nunito" pitchFamily="2" charset="0"/>
              </a:defRPr>
            </a:pPr>
            <a:endParaRPr lang="vi-VN" sz="1000">
              <a:latin typeface="Nunito" pitchFamily="2" charset="0"/>
            </a:endParaRPr>
          </a:p>
        </cx:txPr>
      </cx:axis>
      <cx:axis id="1">
        <cx:valScaling/>
        <cx:tickLabels/>
        <cx:txPr>
          <a:bodyPr vertOverflow="overflow" horzOverflow="overflow" wrap="square" lIns="0" tIns="0" rIns="0" bIns="0"/>
          <a:lstStyle/>
          <a:p>
            <a:pPr algn="ctr" rtl="0">
              <a:defRPr sz="1000" b="0" i="0">
                <a:solidFill>
                  <a:srgbClr val="595959"/>
                </a:solidFill>
                <a:latin typeface="Nunito" pitchFamily="2" charset="0"/>
                <a:ea typeface="Nunito" pitchFamily="2" charset="0"/>
                <a:cs typeface="Nunito" pitchFamily="2" charset="0"/>
              </a:defRPr>
            </a:pPr>
            <a:endParaRPr lang="vi-VN" sz="1000">
              <a:latin typeface="Nunito" pitchFamily="2" charset="0"/>
            </a:endParaRPr>
          </a:p>
        </cx:txPr>
      </cx:axis>
    </cx:plotArea>
  </cx:chart>
  <cx:spPr>
    <a:ln>
      <a:noFill/>
    </a:ln>
  </cx:spPr>
</cx:chartSpace>
</file>

<file path=xl/charts/chartEx6.xml><?xml version="1.0" encoding="utf-8"?>
<cx:chartSpace xmlns:a="http://schemas.openxmlformats.org/drawingml/2006/main" xmlns:r="http://schemas.openxmlformats.org/officeDocument/2006/relationships" xmlns:cx="http://schemas.microsoft.com/office/drawing/2014/chartex">
  <cx:chartData>
    <cx:data id="0">
      <cx:strDim type="cat">
        <cx:f>_xlchart.v5.15</cx:f>
        <cx:nf>_xlchart.v5.14</cx:nf>
      </cx:strDim>
      <cx:numDim type="colorVal">
        <cx:f>_xlchart.v5.17</cx:f>
      </cx:numDim>
    </cx:data>
  </cx:chartData>
  <cx:chart>
    <cx:plotArea>
      <cx:plotAreaRegion>
        <cx:series layoutId="regionMap" uniqueId="{9D4B11E3-29C6-4E41-A472-8B21147844AE}">
          <cx:tx>
            <cx:txData>
              <cx:f>_xlchart.v5.16</cx:f>
              <cx:v>SLCH mở mới tại các tỉnh </cx:v>
            </cx:txData>
          </cx:tx>
          <cx:dataId val="0"/>
          <cx:layoutPr>
            <cx:geography viewedRegionType="dataOnly" cultureLanguage="en-US" cultureRegion="VN" attribution="Powered by Bing">
              <cx:geoCache provider="{E9337A44-BEBE-4D9F-B70C-5C5E7DAFC167}">
                <cx:binary>1HxJb+VKlt5fEd7a1GMwBkYUqgroIHkHzSkpNW0IpaTkFGRwnnaGF170pgEvvenqXhhtu+GG295U
LbzIcv2P9098bkrKvGLelF5Wpg0r8VAF3WBEHMYXZ/pOBH970//mRt1dl1t9qrLqNzf9734K6zr/
zc8/VzfhXXpdbafRTakr/b7evtHpz/r9++jm7ufb8rqLsuBny0Tk55vwuqzv+p9+/1sYLbjTe/rm
uo509qa5K4fju6pRdfVM28amrRvdZPWqewAj/e6ns+iuzq7Tn7busjqqh9Mhv/vdT0+e+Wnr5+lI
X8y6pUCwurmFvghvEwtjQSzz/h/6aUvpLHhsNvm2RRmzLAwN95MeXKfQ8VdI8lGO69vb8q6qth7+
f63jE7HXfo8q7dy/taNXIp4dfHynn5+u6u9/O/kB3nLyy9rCT5fkpSYQN40yN6rqMrqp0e9+Wnz4
+63TP/9TFj6uwv3SP3nsW5eeb2NqEm4JLO7/TZaebtvMwiaz0EdoJgB8kmjrqNRtlN3cPSfaZiw2
jfHkldZefG2aV4XcaXidhVuLD/96/dz6fKPWiG1hc0Rt86vQEY4Ywog+IruuO59FWlvUdY1+gsG9
QflCjzYO8qTj737a+MyrQu8gCH/507/f+pvsh4JnYTBp2GabTR7ZFoQyG5n8cdJ7kwey3L0gyWY1
+9RxAs+n318VJG+aX/74j1mwdVr+8qe/fVyhH2AO7W1sWoTZYBQf7d0TT8S2ATRiCb7RHD6R6jvU
6mvjTKB7c/rTV33z/5cO7BT06L9cb52G0Yf/nG0tAMP/9QOxY9sYI5tT9ODJxMSV2dsUWbYNJvFx
0nuVOg2bjzLdrUT6KxzYtP8EpWnzq9Kzs1W4sbUHwdjjmv0AJTO3kYkEs0yxWcnothAmM7llPU76
GO79Clk2W7+z6FPXCTxrLa8KmdMSosGV8I9r9P3AiG1bMG5b6DGgYBMNAg1DtmVZDwEFKNiTiKK8
flGgzeicfuo5Aedzw+vC5sM/DFsHPxQbhLaJiRnFn8D5AhswbDbnj4H8BJvrlwX6Cjafek6x+dTw
qrB59K1gUh6X6Ps1B9FtCktPIE/abNLsbUGFxQUlm2LxN801xDIvSLQZnrWuE3zWWl4VQCtn80KE
+42JkrltY9Nk/CGHNcH/T4I6xISAHHgSGPwKSTaD8qnjBJJPv78uQD78Q7r157/75U//4YdGAQhC
aUQEQ1Mvw7cRxtQSbGPeurcmzXeE2F8ZZgrY5sleFXy7H4PteQQm5scZPLHNgTRCtnmfB5mrNPWJ
TtFty2KEA2/0OOl9DLcbQZj9ojCb1Wq97wSo9aZXhc6jO5If/itEqI9r9QM8EmQ7GAF9wKfqxbYt
YFpBwfDjbPfI3PsL+ULUshmZ9b4TZNabXhUyu+GHPwAkiw///fpxoX4ALBasPjdtYn8lUOCQ+wAh
a/JJcL0mzXdYvc2jTBDb/NCrwg4MzNbedfQDcSPbJhRYMOOgNU8MHd9mmBJqWfbjbPfq9CDCd4D1
5QgToL584FWB9BBSAB304Q/54+L9ABUzoZpEEcdTpIBWsGxInyz+SO2tZ69PpPkO1L42zgS7rz32
qhD8m1/hyr85VscIfBYwsBM9o9smwYCrSR63yr2ePcrwHZBtGGKC1oYnXhVQi1/++M/Ny2HXt2EF
dBEnQJYTcp/zrpB5YhrpNnDl1LZs+hSyxfWvkGVzoLHWdQLRWsurgubREBz8UHcFbJHFwS1NELG3
0ap8AYH7JhpiTZTv0KbNo0zQ2vzQKwMOCNiDX/74P39kXoXYNhAVoE82f6hiTBCEoxAIChyA31Od
+vPf/SppNmvVk85fILU28KsC6PRoe2sBrMWWE3745639FxKbb7N9CDglim2gZL8kk5hA3FxF+at/
k/R3oUGa6KMwWw4cnnkEcVPYsxmrL0eYAPblA68KNeeXP/6nDGLCv/zhubX5ZrSAOycMAJuoExxv
4Tbl1oMLm6D162TZjNN63wlC602vCpt7kuIo/Mu//PKn/3jzA/FBoE0UTkNwqPg9CSHYtjA5lOSn
J79WNMXWUdjoZ6XYjMx63wky602vEBkoNUOg9yOPqaBtBOG4BaXar7kjkzA4g8TvFWiiPx+Xc1X/
flakZ1B66LsJpYemV4iS+5d/+csffmjQgCAoYEyQL8gJOK4Cxo2RFce+nux+BMZtXijrPwPMQ99N
wDw0vSpgjsIPf9y6hEMpj8u0yR9/o8/B28hGBEzaV5g+sW1SgIzhSSQHVm3r8u5ZSTYD86njBJVP
v78qSCQcDoI4oHz2QM43QgIHT5CAc3fioQoLKz/xNgSCb0pX5MMTdYGaxQuSbIZEPnacQPLp91cF
ycmHf72Bdfjzv/uRxktsU8qhjPRYSDKn9YoVbQeVQMInBOuJXgnzQlVrMyxrXSfArLW8KmhAW/5w
s7UHpb7mcet+vwkTcNwHcxs4no+pjGlO6QS6TbiwTEKmfv96Jcvds6JsRkZ+6jkB5nPDq8LFgeR5
//rZhfg2GwZeA7JLZNv2AybTiBl4Us6ETSeQPAjyHbzOlyNMIPrygVcF1eq8FuSdPz6Ctk0o6GF7
6mz4NuCELGARPiI5wetRmr8mdF7vO8FovelVoXOfeq5ow7/9kUceEdlGFqIWhGGTWAAKsVBswISC
0XsSC6y2ifsCmfQV4/a56wSW+3j846CvChXA44//LdnaW/3v4zJ9v99B1jZ4HcSBErg3cqAbT+I0
DgdVbSjmrc42rGOzLs53WLqvDDPB7CtPvSr8TqNf/vRv/68U8QQcucMQ2D3atif4wTliOAAuoJ73
2LyO4ul3HBFa7zvBa73pVYEkIYY4Brt3vWVsnf3vf1rdevnw9z8wpAAuG0gCC05+P7I8E3Wzt6GE
tzrfOslU5fXWcXRtnDUrkZ4Pcr5iEKcDTCD7YoJXhdvj0a6D4MM/Ro+G6gdYR7gaJkyC4KD3BCc4
ikLE6jrg5M7Yw0ng4PkK42aI1vtO0FlvelXAPFjugw//40cmsuC14BCQwJhPz0La24xzgs1VCLhu
6NzrZOvgr+LgPvecYPK54f8tIl+/9fzp4rd7XV97H2+Mr118fr7145aEW+yTrg+LuFGV7td3eQu3
yoFeo4SbazeiV+M8QWABF7/WQrmn3e6uq3o1DIN7Y0AKQSHCgnKfBfFgd3ffQuEiE9zgtDEc2UOC
QgiZ6bIOoRME99CFQYRPoZ6LKSBf6eZjE1wFgOEQh3oUJNYWJp8u6x9pNQQ6+7QmD39vZU16pKOs
rmBgKGDl94+thIUICK678dXVeTi9bgko7EP7zfUxfBBg9fS/iZrWDwxRsmVjDOe1LU552i3auqAS
p2nh+h2/zez+MMnQPvQvZBdEc5KiQdrUDyWhSSzXFnCTRPDWX0oEdghD4YaAi4fgbV2intoGU3bO
lizoroZ4HGRBwqMy6ZTjW6yRTe1zSSMrlzQu9oooDGVb9sed7keZl83F8+IAOl9Kw00GZyEEF2x1
KGxdmmIcTZR1jC6NGsmWolmTdG4ev/TWX8LwkeZlkOlBHQsc6dNpmMY57c2aLevUlNq/rYKr598D
bMjkPYhpM9iMcGF4BflkgrhUXT+2LV12KJN4SNwInw9qZrMDgY9Lq3Wen+7LZQPmGrNV6YALOI4/
mY74DaiCr+B9apG7AUHHjGdklvinz8+DvtwthIAng0MNtoBjsWwyUcAyZtZVbC8DxWRBD4yh30VN
0UsWkKOmT0fZBLulXV+XTM9wgXqZ1KOS/qhfemMBycPaEnNCGBSIGVvViRmgKCaq1AiDWnUykGXd
RemM+hFycUZMWfvoptOkktFYCik6nshygN0UJYOeE9KbSxopssMbiy9ipeMj5Gdvm4zo2ZDwalZl
rZaiV8QpiirwatOynKyh6TyPmkK2GYrclOXK7aLBdhmto13dMeR1bYBk2PeWU1U8uWjCekeNw26Y
DvEs19FxkJMycTNEWSENnVnLhNKLBCEq07HShzEbLnhkY9co/R2TGHsIDgw5qTnsJQUG5ddLqvNY
tljtwOdIDEcL3Hh+HprzdhhnKiwvSFvYEvh0JZOAR5KWyV5WhhZxhmQw0LzjRn5asryXlAwyyJEh
YyV8J6lF7QhWUC+xhiMrU13hJNpwFauaeefzwPO74nJIwRIEpLVcv6expEJbMo1Gw02bxHZaxW2n
Gsa2k/WoMfYspQVxxcjiwuWDiN8iHaawqPqkS+03PAj3cqjF7AkSRpUz5nWWenbIAu2KuKCL2Kb1
m4YrGjhRjLthoYNwv4v1YTBUuzopQ+lnZuaEmN4MJC33UGAKpwqSfdJE9dsiLsfDpm8Gzwpx71Ew
mS7XtNkhKRl2amFf9qgigEQynLVZfAMfcKGOKvN0ZgqmlnkaeaLoxp2CmZdlWx/XaW472uqOU1Ha
i7Do+ZGKCyEHXMzjUl/BV1JOuoEFko2olcIHXUjJaM+Sqo2dNIn2giK9xMOw8NWgnLJX1xkdboqq
8GKz7JdwDy2SUTRcNK1ZujmPfTnECdo1R0Ic2wQtyoJkr8/tfoZ4+Z7FwnIaobAHLEkmy7q+LczW
lCUBkdTQLfoENdKo4nd5h9GCGvV5kyenZpbtI0xGybsOO4VfenZjH4e86B2D6WWcW4NbGQ1ymqB7
MxDWeCPOIqnqPNoxqrL0oiKZFYYq3lbN0O4V5pDLsC1Kp2ajLe3Kvw0sPYtiVDp+DxrSGLHYaexi
mZlkcBo7SGXpx5VbpcWJGTVO0NqzgFgyt6OZn181LShZi/pIWmZzEsOqo8hOpAJdjTOSLElszcw+
j2TL+kBGxlA4vS3ihR37xxbhp4VhHcWoLl0jIqGneypmSUFT8FiW9kSqTptGSN8wbCdPxCJuqzPu
m6fZmHLX4mqRoJRI3fqNzFC617X9np9g7UQaX3W8OOi1Ubmg3zfEbExpje3oiBaNC2qGsURcc69N
6ZWZGMLJ4jaSQ9l7FuljGVjjrK37Q2qYhZtZ4rBkxHYDM11glOgZT7qTHIdnkWn7UkNyLquRjMsw
j8SMkX5uir6QPDKVDKkul0WRX6SVymaM0WI+RkG4qCw/8sqqVE6VkFQ21FC7aa6MZZ7V4HL80ElU
OEo/7d0GL1JgoqWJs07ihmYy475X2/hNIk7y4rql1duYsl1NYyfP1ZwM1qG2tFsUwnAzE6WyQ/WZ
MMo9FWoZRKYJ04mLFpeWB+oFVsfOTyG6WcJ2eyeovROo8qAXzQmNTsbmqmkukMUvjYxWstPV3ThU
R4MVR7I0/FnYkx0LjjU4ZitgoZjxvjKLnREFDoJ9YqZXIjmrw8KUfomcqmhSyVQ3w3Y0TwUNZW9S
F8H2q4xdHlwq03dy2rK5b2AmWTPr88or/dAT+KaxM9l19S0t0J4oLzJRngt2N6atVGM8C7M62wlw
vpeH+DYx7EHmvn/SRm7RRMix82Q5IsMViVOP0dww0sBN8tptdS5Rhs5QbO0rjp0ysT0jrS9yrRWo
OA6lSLPjPoSnkjcIH/b2SVueG73YUcQ48nEKHrJ+i/tW9uH1mOUuN4Q3wi5OyE1khhD9dG9K1S9p
HcZu0bJ9nR+YwbDsM/G2G2SXMDn0lRyjake08V6UqFEySmE6FWJHDxmY8h6ssNHKofUvhM72G6vb
6Xmh5hkb5ql/wwqIoAWrZGIOsq7KeZOGrmmwHcPk70iYXpapdtIcO0loYJml1U4Z3dr5dUNuWNxd
ZrraKdKUO8zOz6vhimc5KPd410bqoiDRMdFumDYyrjI5RKFLhubMb1Qo7VhcG1W+NIvwOuoCR+PM
MZBycV+CKrACSVrEx8rUp0Ny0r2z8yaddSXZw3nr+qKcl2m7n7dXQQY+tD4F1wv2gfTLVsQOigeZ
duG51bb7qA56afJst4QgN2VXw6hrZ6jioyh4xxToweDviz45Y6mInMpPXVYc2gk9qlJ6rttQQngz
s6redFp6UJPK4SE9rxo0D+pEUqO3wMq0gwRf54WBWGZZcdGmUSlr45j4rtKqmFOCK2cwykyioo8T
JxZkXuYJncUNC+aDUY+eXVliaReqdnkMU5l2FizLumTgS2jrWTE3PDjVUztGZBKPKTOWzM9KT8Ww
/+Ogjx0jzrMZTcjboY+zBdIDkrVqYi9NOjBITe5inR92JAHfT1nnVDm+tHqjWXTFaF5WY8CcUbX5
IvKT0u1GpZf9EC5G28BeHxeJM4igc5I8i2VWJAcaNYMTFm0rE10OXswZrGhtoWWPg+YqHRMbfIFq
52nV7/WG0rIu/HGXiuS0NiFeQHW7iPPCKwoczLOepAuU0dshimyn81l0ULFUy3aoe6lrEXp9beVz
y8rynbYzZ4UQ84CEECV1tn0VtEx5Y9rFXtbs57WdzPwxjpzeNyAQ8+3Ra6wxWITcX5ZtEciijY4z
PFwVCSybKTzwJ/O8GPtDvxxvWxFoadXIKxK9iBu7nH0Mnh9y6aP1bPBG50MJFvjh622f/vz9/uMn
4T5+eOzz76vvv33+61Sn8N/0kdVEn575/OmyVZb86Ttmk9T7/hNyX8nLn238lqSdPpu0P3xQSl8/
simf0/ZVx89pu2nDnXvbxlB8W0vayTb8KQiDsjWkHSuy5iFpt8xtBrU6CiVtAYnrk6RdbEOJiHGo
q8JpRDicjb4laf8yuYJUG8NH1SjcOwdaaJJotMSPeqtoxTK3EqekhzwERVb4pUQcKsFr+cxHauDJ
NKuUco0aUGCZS5HANI2SxnlzwJXMTqwTU8vi0tjBRJoHzydzTxOoLyec5HKZbkCrWSeWXXNdthdm
eg3Jo8yj2+enQS+s34riWX+x1kcRqyqYJ6ogFu8SoeWgwN/lYYMlJG9eIPpOkj6AwL5t54WvLkuR
3/gWRC1dbkvSQSxlaKvfeV6wze8PHACCc1/w30rutQW3QmZafaXFMrAuadxIDQY6KLPdri6+c6aV
JGszQURHmoYCtGVvXfDOOg4CcFZZVaYyzyGcev69rC/ZDdiwbHUQBHJ0Biemn04X+82YMbsQy7B1
zNgNZJ1Jknj6re+Go5MfQ9QglWO7sKP3Q698E82iGffwEnn2S7t6NdWE73oiymRTW0UMma0JoojE
8HCt7npVXZhtdpTo7jrv1N7zr75xq629+WRLB6HCVR8CpJ1wFBYO5UChxS+QIBv3zedJxGQ/i7av
eKxhEnNcpiVxcTW6AhvSALf2V7wO4Aif+aEUfzwvur5v8hY2jmFnYgkpVYZsaYSL0qhe2C4bdguG
wTEQVR8pncluifquJZ2CzTkwcheK3NHauHn+PTZMQRBCYMNXtCt89uvphhSBPwJvmIulYSqnbS6b
7ttxfzLByrauKRgKklK1AUxQlTMS3/X+Lk/pC+sE32p8spmBcbLh8AcT8B0MzuCzS9Zkd2VVF5Cq
NPmS5VYDSZSVepU9ll5Rs52BlPMqH2ZV3uyJsTqGcmvmMmIMTp4mxOmAWtCZaclCtXt2GDsZt96y
oZRtYy8UGz0Iet3OwheIBL5LgjKQPsRpicx5mZ/hsjvkfbrr15DN5UCGOcVg9F5eWonsRhy49pid
c6xbabZsPEiyOseySRXQcTmDlIrm3bWCkNIbBfAwft4AqwNvelg0pu5kYLDuPEkCdgKLVu+u3PDC
akOgJZJ6yfp4dPwOSAofWBEZhzY/7gZjpNJWTeUYOmkcVdBIhqS5JDFkygWk/F5W9fVt6MNaYd2p
C7+s47nKis7JAuUOdUikTSLTy4kugA6l/lWOzGyWmEXkFG1oAGEInC+wA/OyI3pv8BMBSZUG9wv5
lGUb1An92pdd2rW7TdJHB6SKooUidu2ao6VkVKKVS8lZ7oS0qWUSWe0yxtFhrbGbdiVbtLEaPRpG
rWei4aRoq9yt+75ZNG3VeTT3F0WN5+0obJiumcdpis4NTe/YEBeOqMv3PfCTixxlw14tshQIgT51
gGasXJolZKZbVBxUOGnmkE4BaziKhdkM7KbgeFkYonC6RJ+DUl62mM+00SSZrKK4dnxDvzNSdGsZ
5eiZORplmaRnbYi1VEV/oexkjn2UvG9yX3uE0WQv7+t6Cbc6D0pWFgcc16sQtqxnueqUlytcSh4M
u6nNauCmAuLkAz0sYzt2iSKlSzJIlGqVazcRkOIThUNP0ZzIvvL7VQaZ7fpdrt7xMYdoRBVahkkk
3jIbqgNFXWVOQut82fEyOFAGjG6A+XUU8Hx8gCApwN1l30czbED1oANXJYG5hiGUFUqu/HkSGWck
Txd1FvJ33OjeoSjPXJFWepYnHZNxEl7lou4XaZi/oYFugJeJ3xpjBWxNU/onjSZH2jJaN410AXla
18yAAH5rRrpfohq/T/uxmPXGwBxTGaYTDpUpswhZQBH7akar8F0xrhgBbgIx1o6hzPwqcP0G091K
FZGslJ6HtaFk25bzvteDEzcQisRVVUtmCEOSUbAZCppOUrOo3SJAbxvgQtwWAUsQ2XxwEAAtVRUJ
oK7qhbaYkjgM8TzJIk/n3NiL++StqCEdyUZ2BcRnILFSw5xa7WnQtIGTVv7VoKkX6hh5ol6RJCx+
1zeVIdNGBIcAVrq0Sdjuh2WVHucJI57KwEzogfg7bTVW0kxUNE/C3ge+0qQLWleJU+DiqAcCC2i5
wjF5uNeMYAPSHoinIXUiFGUOULRnQxYugsh4Dy+1SOIUqM2GvEfhaHkN7k7bwjwKtAic1gxTd0jt
c7/ImctiDSqkRHAUJynxklW6XvOZgmVwop5RmdCuc9nQLbldL6vIt50sCk+YoZlj9yVaRG0nZBzX
Z2VX7w7crDxLDK1DwqBY4M6YAz+qXIXt0BuL4jDWw1JYHWiGqejBiNJ2p4mplmVAgHDnEXcUpxe9
gW/GujllBj5uWdc5YFzBeDbWhcLjbdMT4UIWzGXQaCbHNg/dLOZYWkamZv0A+plWFHZk7C+axsZ7
YazZMrZaf9da5bdN39ey1XiURBTRXqciJsu4DI86bO8zFr4py3xHsbicNQHqYL18sJPgZ4CpVcoZ
UeNi3nBgfnnoGIVtSQUJxs4QkEWRQx2uEzO/7MeFqnHlYhwkrooKJx6VG4U8lGNHdnrfbp2urd92
ZT14aUYIvArdGU2zkCWK9uq2KNzOZnupCs+4MVDPHJvOMyy7gCipDBZANvRyaOCtIitwgGnrXVTS
846GB0BFM5mx7J2IMu0kFgIeW/gREPxB6o21GpcRbbLZWIWD5EAqeEUjjrpIXNCqPI2NtnazEO/o
yqwcXwxA3MBBsp1KARdR1dX5mA8auCDigy80RzfgfiajvkxPoBaYuLxpmQTiPzyIiGodWo8N1HSK
AJxOc0rNWi1IQQyvBhY+iNs3NccLXcWW1FF5Yw3WzDCsVAKFcTiq8RxHI6iqJY61L3ypcAtepYM9
UaB3OYWKUad16catuOZJtIjS9Hpsk8SxM1t4GtUXpd3O/IAmji7ABLFSzwubHiRF4OU6ecNJcGf0
ZeOOQs2VGC96oBHKwTKcDMex44/1QZjXhTMmnXhrG1ULvoFVCxTHtizqfHCAqXgvVNO7YZkDd2rT
/TIOLkCEQ0KbxNV+AeDnOZfWEPRulCTXYkyusNlLv093CCYQTVSFkpS2R1yHO3pIdyvdX1Rl0juY
JkDWYJdGxjwHF9dGu1FRytBfGaoIohmIY/Mro+Oys0UmbSNf1EFFHWqe4VgAQWqIXYbjncIXR6Ya
oIjVel1i79e1uRNjoD378BabsyYb3vAUuR0HE85NBwWda2BjP6T+Ts75gVH784wEElKXRQ/LDjV4
yctuj43LRJ+NftjJrKaWHGqlFyzCO/aYLIISCDyFLnmjlbRKfGQM/lvB3c7XqWPkQEO1xfsaCtNQ
I2/nCixMrUcZ2MjrM8tJbYjMsljDk1DJ44U35OZ86HsqDb8z31hQXvGzbHfswwWcDA49ZkmoFiic
gpSiWqLhsKj0AO7FDeJrgw+L3L8w/AMfZ7sxoRAr0Fma+RDYdCd4aO7yAraMhi0OMUzSg9sTbgx0
YDvm5z1acKj+xtaO1mQEbr43XDMtoAKC7Jnf2/tFTN/D9zYkLscdpMbbKMotsCPmcdvBbtGDKSEK
DnbagbJ5GIrbmKvOsXS4HIg1j8N8j1Zp5Qigaa/SEl3GApVAUYYyT1unjCztjJ05LkYe1U44lkvi
6zdKJ6fGGAOb33THudlehhTKWIZpGXu6gRgsZWSRdQGWRThYTk38E9xlwkE6Pq4iJYCJbzGQmcNB
NxTZYghhwQQGyw5kxiKwwK8xjao5/LmTJgAjnO5QQDHnpTP4NTjQPAzmXVyeFVD4cmojv04zNM50
gIGKbcfBMcrhpqP1laKIOlaucye13lUjhgIPFLhkuhquB9MMjlbflgNVs8QKMtm3vXDCPlqamvn7
GvkQvsYkhJfwi5kJrIJXoOY4UR1zEIpmfUMah6IodXHaH8bEGKG0ZkMcaeOOen1gZx4xwwR8dLo/
EBzJoLN2ayLKXdSTN1k17HOYW455Hjtc40QKzEYHSkPvVM1ND+o/8wbi0aSzjkSBKy8YoWbF7auy
EkdQTL4JQmQ6BbErmQVQWGG+VTmWVeyXo31JGgK+NRhydyTBftr2losNGzt1ACEEVNauelAYWfC+
hdUXUGtTB10ZLO00uITS9WFEzVlpwhEOw7dvG6LP7So6H+26lLqgh0Y3uowZp4h0O5a/V1onBj+0
oYIHfkwfiFjN7T44yIZsAKHQ4WjoVAIBm89CXgKrK4wTjNoD8D2xJJxD/TYJI4cn/a2VQLUutqE2
Z+EQSHQrb6FEFGfHRp1DkA0l8kWn4qUZmqdGloNd7/ihmbe7BdfGbt2pwDF8q16kVIdSpQGb21XT
ufDJpzd9pMFQN361MOz+Nib6qiflpdVBYaxP7GWbaUOylX02aRwiJ648OBkQulaaGFCJMWtJ6gIq
nkOdS9U0BzCkgCpJfUaGYSejNfViPygkq8dhqRN2RUMDhio4uB++n0Rd6tDGrNwwzBKvi8VeFatu
aVTD+f9h78x6LMXRJvyL+ISNwXALnH3Jfam6sXKpMmY3YLP8+i/oVnXXVM9Mq+9HGrU0qsrKk3k4
Jt6IJ160ws/UNnOazch0HGTWezkrvCFSPoeFRWZCqr22eZDOjJ2IrtukMOEx9NttH+KOWhu4QbQM
9cG24S6vfROr0gypbItjIdovvl7M3WiraaPDsv/daPifNc0wo//xcJO/8GRrKRkdkhVg/mmV+J/+
9PrVP/xprLmEzYz9lz5bl5bDFPqBlXF0fAIKJteLQMSsLNEPrCz4Pw5nEZAhzIIQO7JhS/zAylCT
wxMDwF1hyXlIuBf+E4eakdXg+NNngzWx8qU+zHCPY18W9X8xcVgz2VLalh5mvZCkwqwUI5+Z46Is
nH03TLglTf0e0fatzWd7K0rXbhGMIyoshB9PQ5/FQ2dlHFYt7lVAbxLW9zYZQDZtK7gGm7wrkM7X
w5eiNO3GsTMoEImolUpabTOlvivOHiT35k/Hjbw0yLhJulxhiPIsiCReNuk0QinPE713fJEnulzo
fvBrHxN7PUFod8GGlxZZNyyKRsinORsQ7Yj63igcvQwI2qO38GPGy+GlmYtoq7L8ps8gKv2sq/Dz
8TpdylHEriPDjezKHB+nfMsphomGOeRqicMephLxPQOpkNigU9A4Xph2tn21ARvjDHefeMbEe+We
KbaLz1/D9f6p2vHBn5fbIQOjEWrmJguL2oMyTbsrZ7Ip8lbGU6SamFU+PrwATYQ3ANTQ8rPW5Ys/
qZPfDHnScNwm5mzeaf2byCncrbTu0asYP9XdcsnYrIPTPGFA9No6doFBHIthfMi1uI9KAIJu3Rz6
PuNxCGopztVcpi0WPiUNRNx2CPBaK5+La2BHuQ+nJbraun4u8uLklcqPaxrslKIPeZdPu0yPeBMJ
pek4mwxH08rvOEBbyB02P2Ttvs7GedrWmtRfqhKdnCQzxI1nKObgWJbdQL84AB9ulC2BBE3ZeOc3
9gHjeJEULHqSdC73XOFO71SKbRTGkrhxlm2rQjgDBma/6ribyJrslw7URmX4XVPNaRiMcDCCPKGZ
vF8i251EQ1+bVu7d/AE3Qxk3jb1xUDjZaYULs8ctcU8EBB8fHbXP+5bduk4v8fPNhxrD+dFiqor9
kuanaFFuypZsL2rTJGPdf04iCHFbMFXitSRIqPE+g8ku+6ZxbUwYmaA3YF0VPTm6suJfWT/iMomg
nKmld3SGw1aR6BmwX5hwwKjIwCE/I9PnyaLMu82jcVNb3cet3037geVPWTQ7O4yad0spX4VnDrIo
dVzXTraxHblrQ5Zvca9pY5Wx/uQGRBwn17mW4NMCJOC7TgTLlnn567DUDmAA+VW4vtr4xKuSgM4I
9HVtoQFVCy4no7FX6DoOOVRXOR9m/NVzVgfPAF0xN1qTcobPv6vrq57qIyWYNhedH+ce11VpPkMS
fh07CkPL8W7x29Ox21J29LkDFq1fkrK0Vy4sXmwfnWAZXqyS6yAB8wi5nN5BLp8l5/OtHgsHg5Q7
7xWMxg2AmyGuXUcXu3BiGkYKPPS+pZ+EqfdyNauaTiA+BrXE2q85YafAGn+H36sX9/NwnRaDU8uw
49DkOQz4uUicBbflslweWImYLlJhrLlKZS3pjWSvnX+rGsg+ri/tvPMs/QYU6TsfpE6z9qLm97Ct
vN94p1gQSxPSVt94sMoGtW/bpdlq5Xy0JN+L4FQS/xA0+yIovNPUqPeiiT4s+8Yn2Hqy3JviMvtz
k9YDObXXLFOfhSHQjmObtDU5VcExaoebsNT1IRj4fVEtPOXWwlTDGGbg1yhO3oIWlqqw9MQbz8WF
mMDhxYkFjzTIyUO7glbjpLOkAtIhdN2cZmr35XybV/2maiAYl3d36a+E2JvF+66y8UGH3WXhAc4q
d8KqIx73ERm2XBWPc3fWvQeuB6AHBsrRme7nnKnYgQlSDGpDKKTrMiY5w5w6nf2sxue6sSnw3C8B
q745uVfvhexxYVGElYM/pBO9QOxHbjduRrzN4IftFTbpg2TzaeJdsINpe1XWpwk3k009117bhh3V
EpYbAAEmcf0MSLSrD30RiHvudvfR4p56j+wcvfhp37M7AHawr8rqghsS3/AhHO9V63+IDg5Dz03/
GOoCpzwIVWB4VCSuKd+DsHNTfKbMUesJGFNJFgBw3rgpmXwto+mllt65dcLDxJbg8Ju0+J/GYtBC
/1lj/fTAjl9h//ULf8grrDkG7w0w7A8R9UNeYS1hSKG8PGzZXYn+P+WVuz5BhuDRP9BRHgH7/Ie8
wr7r0AvxJxGOW2izfyKuyPqyfhJXeEgDNtEHHlADgjXMiLFWKPqndKnRlRpsXrk4v5VN4etJjARV
wxPhU3YzFLLdYlqvkjFqb8fI9R4KT0N6ZdrbLNbjiYrkzg7R/UL7rWadhPfuzRtMWLcYPG4d28GI
pBjHmTPtIKrGM0oH5MqLXB+iQVQK0qKKDgNgmCSwXCXGYgxyejDE4TwcK9+6lwX3jiMbii/+MM+p
Z8Ym0bx5jjpkoB07VlUAv9gz74ECAIlqWb4PjAMLzAIUU3opEnhCjySrN44DNFDAGJuW7nPI6cHI
4RoWQZZkbPGvNnSBgGV0FKDxTFDX8NLxyY0nx7omniPu3HDH6k2zSJWQyCBtaSTfdyOUQ4sh03Di
JKGVX3sEm9+lP8k7LkPcMqWYTEq7Fk4VV3cAQaI0anAgIpyE55MNuxFzalybQqSFdLsydUacENZt
s2SqR7L1M2123BrzZV4EAx1Xte+jhKePl90ca+u+UqSpadkBNurdK8g9b1NnnUjAAE8JCK1yN/ic
HQ1SmWMp8uPCJ7wEh+dQBh6NecevSlC85wTMWAbVe4hCcI1NTUAX5udR4UYflXhPmI2SRVB9hE/e
x041tfHg9tMWynM1E6XN97I1EG9QEGfHabd1IZYbLkq+qVzR8c3Ml6Pv92NseU69TVbW4dkbAnqy
Yz++dyb3ssSQujnqHnB53rqrq+c7FzMv9YWajAGvgxKPy1I4SRHmVQOGUOYHJeAM/+9MQwyO9gk+
4//5THv841kqvx5p69f9eaSt/AXOJ7rG9wwj2Z9HWuiGPvXxHxxs63OTfkyM2KwWUjjQwJYwNeIJ
MX8caah94hlMYJrwtB++rsX5ZxOju1IKf06M66GGLQdoPVFwUtyl66q9nw+1wO3ZgIDY3xNIlLTr
YXnlqP+k/kAuikm+q8LQ3tYhUxtAu/fATbekFXZbGuQ1WhGbTiGQUYHMuxH1dEGckSVzqTroYGTC
OStOBtZg2bY3RT+kxp+eg4EkkyyWXcQpFCKAPBx8WkJ/uigQNNwCjsbzju7svGVD02yFByXTFqyO
S+mgRuOKMV4MBh09KplWjgHaWs1rGwCDS5a9ZaM50iqAehl2VhrvUuo8vA+i4VPAc0ldA2Ke1uED
jfJbjR5DMhLdbjpLyu3Q1A5imeLBlt2jV2qIf9ooCJOpjKPZTEmWVUifi/zALeJRdBXunGic4jbS
LJmC7jPq/GLHFrhCHu3DdA7qW67GF9VXzdZZDEONgp6H0Ae57iFan7CKMqbGeQorkU5c3oQ1fWS1
f25HbfBL0vXRTt1NofND189ApcP7oqmOgd/dhaZ7r4V/oeGSw6eHsp+n9tQaaP06j3ZBpj+KHtQY
guynMPPEfV+P6ms0lCrBE3FsDg+W8JNteIcRQ1QaA4zujgLz9YdLFdkC5Q22XqNoUowCUrYUydz6
QEZ1B+5AySWxgu9Ujn9pKLmKjWgjmNCgELRsOqCr3c7x7G05ZwBdfZzp+bkHF94X3gb4xFHSEBBp
hKhNkHrb9/5mCOymsM0Ba6AehTtuteum84SIZ+nJEE9T+eG46BDBl/O31m1uOhgEpn4wpNp0ykFL
AZiC6/cvtiwPoq11vHBxhwCZrpn6A3GjPDZlcZEBwnAJvyNpRfDQOl2WYHPL11KYj6V29xlVF26G
A663C4kmMBNDue2H8gZ6eEryiZCElrg9jbaej1YPzW0wkuhS0alMGrePUnjW39xpDC5E9uXOY+ox
yGHcxLqbnXhBfL/pWg8DV9Q6u8yjcte4o5eOZgEUwg09uF5VI59ADQAo4C12ppdp3qJkB2rnrtJt
fW0aobadH/GDI5BqdjUaGkrCFzfVWjKr5RtudU5s1bBc0eMJNlnWf/XRMUr5PHww5yNy3HPE2zvS
tFM61xXiH4CN8UB6bxfm+pLDcY+BRzsQ4q0bq7w5U2OcKx/Z+8z57UQxjcOLBK1CMhvXXWvjrse7
NuTijaOtnuS+eBNSNPeL74AYwLxa3g3+9CVXLqR4VTyFrR/eS6QHWyD5aycLsGM2CrNHQq+SDFh/
Fs5PPUUVJWDtxdPd984LNyJTzyasb/BM5cuIjFQJBI+TSYppSGTWpAHtNrke76qguZlK8a3IioQR
JeNZzwhiajD8y3ChyLoXbr57NxHfhxI35/Ae8+FB047EhbBfPYnPTdT1uzbH2Cfm7yHInqqF6UX5
oc+LZ+2Yo2fDZFDIJoxAmB64l3zsL1OPclhL8zufqlPtF+6GUXMEj423vmivuiNvEy6G1FD5SZbw
zrDshnBLIMqGTebmOGTZpBJhzF6X+NlstWmGkSQMblXWVCfPAaJnUEoR7nBtO++17tUHntVz45fm
2HWYeitYBlw4t2HoPIJhvRupe2jzWifS5CMOnTYAok0eS7d480b5ROYZj1SWFpWfBlu7Kn9BzqGr
fZG5zwUpsl0eminWS+vA9gm6W0I6uiXOCDxeNjnKVzbbtHl576CoFcM3z9BdolU6uINKGQEpFPQT
j21hKNw2hbS5iZ77wMPnyp/NO4um/iJbf/nKcKHHnc/JzkUEfNvJyHlrkcmlMmNeUruVymOIzeYB
CFC1jwaF5N6Vz2os3aPJAMgbIUccaeortGT0QsExnAJo+NjjLUwdj4BxsLahOVLyvEZLi1T11gYO
eQjldBJUscTOurrYXgQxc7sO142zJKDiz5PwXv8nl36XS+A6/7Nc+nnzwF8EE77yh2CK/m9tNUZQ
PtiYhTrDn4IJa7S9gFBMcyidUvKTxY6dZusQGIEbR0Ub/vufgomtj9T57aFUIf4Ae4P+0RT4r/Af
IFqXYYsNIEnINix0+LUyHOkABA6W4BzCDHZ0R8ECzCZ6mPv+rqHhCwoBexcly0MAe4IXDgpDqDVu
R5ZpgEe6SDMn1Ptuqtu/wxJ/0XF4XVCL6Ky73srBr+j8zzqua3Q0Udmxgx98lsV7BRcPkIPTXZj3
vQTL89Mbd/u7Pvy5wA6W8N98PyQNiCwYNlf8pdlsGyUj7SCvHz27xBONrsx3ZSrJ/OT1/HPiFSpL
VYXgq2cy6cFCJsTjMAA7tVNTCBElpt1ECVQFgdfX2SBRrGrTdhn7dFj4XVneZJq/DwvaGHwJzw1t
L4HwbjIPhNqgYPVl1k1Mx3eT5jrO7QS16Dvp0PmXkY91snTDS9k0OMVp9NS1w8Ex3b4h5WGeXVBz
qvs69t6zBPyeirIqkdPW6lzY1T/VPCmF+FLk45ZnpttWmYZZO5f3rRd9c9d7u5edABjn21DnJ299
c01G5rStqyyWU9VucRs7dbr6lqNsGFmNm0+24lrTm2ucKWmpgwqSPg6iQBiou6+ISLsNzLUrWDBy
lnb8zmqEJovUITp9zRAva1DZsnKnff1I23qjsD0WqXw5Xxzdptw133NNPkKSO6heQi70WXBnqP+t
DzKb5qNcC6rnquncTdBlp6IYT7IFsieCnVNLmYTCbCkP8nQqNCxTvwKJCPgDaTgEWNOTAyTItQph
tbVNt/WKyKZ0EJCaul7SoZiWBGnZcN+1ujygqn0o0IVmtrSrYXofQiqVBa5NNdtptzAAZA7tlthr
mu9Z6yLuZn4SlWLeW687LviduBNeRT4LJ9+NPilojBLk/Nq1GQ50BqAV1rpjw0MFLoul0En+B+/C
Ef8IDJBNVkl7KEgHbQTjPc24/8DzpUXGNSyPVFo/BYwA/LRYPpps5Amn5iv0+22t2yFGcH6eomgz
RIBKNJ0AYkF2AvazNsVMXQF1bB+Vqs5tWbWAKvsNW8wCFgnQHdNbjE1NPM39Qw0mA5Tv8JbVdXZj
S8MHtGTXzisrMlQtgov0JQgCV+5URE5+C4WBjRAoGfY0FiOCD3fqAXj5xX7qglPWO2Pq/dYJGwp3
D1WYv6LppnfUVEWcKbKbjLO1zsEZ+6+1Q7Y1EOtcLDouArVBS/YpwguOS3yCEGWoOaaTLjesl1vA
HsdZ+99R9d+udL4hxItd1b/6URD3ku5oixGhHGofrnntboTGO8fccktNflXo9pVzVG0QlpPbOaMB
tCgwlpRp1BRdXdI0B9mUWmc58gZQuZe5TeK3+nnQ81OjzT7y9T2OkKfBcoT9Q/a4ZMsnYOMjMpgk
dMrlJLQI0kbnr6WJOvAY485Qo5Iy4sgOao+9OoF+ExbEi+N4V96hBzijaL6lFPSzzN1n1cw87rCu
NEHUdeWRqY4yh1yZI3NibXecJ0HOUzVdG9VEcUiXV543ZUJDBGFAiTGgDfQtrJ0ZA2ph9xbeXdyE
pkzFLLstbhHkOGi2H1tZXUynXkwk5qQDtZuMEPSgTcTixFqybCcDNm2k34EHkej4j8NL0M0YqdBe
S5DmZolXDTcl8o7YU/JuLKTcETd39pnTPw1DC/jLKZ9Ld36s3HrXuejns8Zc+qgDV6vdYSdFjYL0
dBk8TDeAwTDAXoJBPXlOlbjeXgb7cuFnhilDdN2Nmrsjbp2nrnZ2E3KImPa4BNxaH5saAFgBOUSH
ke6zXpHHJcxgdUFJblkZPUtlixiAQxNj6cFHJx0EmJimatLusjbHoSo/TeDNaWDKJ6uXB8Kae2EG
lbQR+qO6Co8cDIoXki+Zkx10wL/2dW9AzgSPM5hy/F5RWs/XyLVC4TCfyyhFZ/FBNwrpmP0+Bs5J
kGA7luRScHocfZbH7kQhkvtmrZePYTKzwUPJVOxD3LNjiaMScbJ9q8aWxGEjYOKiFgPRKOPOROdg
9A+DmoaLdKDiizpL4VriMjE01UMWbhwziw2Mh2EzWPYyjdNH20ybfuD8SPwxrqrJSca+/YSf6b5h
INyPi4ytrM9Bhc88hpkxXbcb73IXhQQ5G5nSvNhhGJ42S1d4IKDovg9Zvw/mZu80QHO9fDlh10QO
aJLSOKDOdmLDTTavSxlK5SGtVFdT03pbEXrXC3b2cWu5b7roKOcaMw2tm302W1jURXb0BpliDUQX
a9jaMWswFAPres+j4pQP7vM0AwUrf6sAc3lhMkCQxapNiDUGiFNLhEwA33d1NF9yzIt3jqfaNIJV
GRuGUVaL/iHMx2+LCK+mrH/3FlFixIqgfyM1VmThZ4OKw9bH/2gETAmP3yO/uO5FmI3V4Dp4e1x9
darsoQR35Hag2MQCw5v6v3dI/pfPrNuM/lacv/3xeOU/8Zf1C39oc+xwxNoihjPtt4eOQ2X+MDOx
bg53BhjyWMFCkbb8aWauD8fhPjZB+yTEoLWu5vyBv2ApGtIUmJkEziNDkP5PtPkqcf/1SqF+END1
oQYRYb95tz9LYMl0ThY1+wcezdjlESxfwty4G/zd4W/E9t99p7+YprYEK2pwTeLc0RqFRSx9EH9X
F/z33wV7iQJ0TkEH/VKXarkTicLg54GyaTeyzJ/AtegYqYf9m5/n12IWjF8gQ9igE/LQwy/wF2yo
H2vaThZHICvKKw6GF69ydj9dTf/mY+zBzf7Lu4MBBYMbZjpMYb/8NDhuWdajxn5wHP3Oeh+rBNQS
xSpARjWF1ZC2CPRplonzFMAaFJI+lyS/ncHwwrZgwSZQNexY1eo4a+qPeZRHMjdZQrLmLGt+diL1
Zjqy8Ru+r/N+F7imANfeb4bWRbgVsWvUjC/YHzPAObB7A7Gy/e8/IgbTv/6EPpaHuViAimsZH5uf
rz8AOrqfLKiANpDfut4+t91yEIj4+i4DKhRgcU83kKf//k1/+739etUjFKUw8inW3pL1KvoplZQ9
XKs+w/k446fiqkqyACy3T2B/nvxKrAtavo7aP1fhklCd/U2l9a/XKK4Z18dhwFHP/u1JPT9/dyRP
Xm8rLLjCuoUY0/zRoRcd+X/zXbCF7F9+tyvYhqIywfiO6ZZzrDb5158S9y/KKgjtwwRFkjrG45uC
5w8RQ2lgHoM2tapeTlEr8puBo6oj8+zCJyCirpiLbY3yL26x4MvmxTtPZcOhEcgO8eu5dHLkh7av
MbzRtKDYNtQ76Bp1XeQCBwhWQGKEyVlF9SUwMPXo/MYm8Lp5i75HhgVIzYgNHRH+X7aKIhRenn18
qy3aNNVhiAx5FA2j+xJqiuVuiKbviExwVVpYeBT30F5l753Q+jo60GRSeIcCGg3ZQemmoscaIFI8
VdBxUdYcDXRdr8GHQefJkQ8QEIBuMMRc4PRjC1OIohJ3H1uoRLPKxcLrTlnjPKjOiC121ckdg670
MzBlDEoTvjdWw2BhWMJXGSqn4cXnJVRTb94bLqaNckQG0gjyVbbOqmRXUTus8pbS4sWughfrl/a9
qegxWsXwGKGM0sH7j4u+x+W4imYj/Td0t+Fx9nAk0ArCt4PGrlexPUJ1o0xCzyzoj9kcfhhBUwzW
Rzt61VF37tXBugBYn1Dw40CfyarpA2mzrVN0MAzRu0BzBX0SjAB8RMKKEkrZz69Tba6Vo/S+WKcE
wWb0CTE4tAxurzdiL1eYczD3dsGeHJaUBOwdI598yR/7dQ6Rcn5CRnMvQdNki/vEMLDQdXKx8zrq
Y5hBAIH5hmlQ2Ouko9C/TgOvQg4yzCXlqVMaiU4mtkiQKDtgv063ad25wnSRnTylTwqbLqwTPaBD
BsxxUG/zyKu4mjC0sqjCMDFhyZSLT6+i2OdVRiPyJ+HC86D5t1IDbZmGGa2xBZGzgXuLVCsMOw9h
srRiS4ma5ffRr+a9k2PrTGFDB31AWixoUGXD1uu6fIeiSBBsmOH6HZ+OmsdugyYUIG1Ukhb/O8qj
uxmfN2wNu1Ry/uCVOYlCfQPC7G0RWSTzIpedjuwhqFA/FQV8fj9HgyMyd1jocxpNg6KRyVC8Ltxi
E+EWhtSFzylqOYCc9RkpZwrle+9K1EznJcUw+6Xp23Hj4btBxmNTDNZgxY7PVuTPYu3V3CXVZPML
x6KHpBm7PAUlaZ+YXOgrsT24VD0AHPU6m/rRImLegrMf/WgXudOZZJLDqRkf7GLyPahyrCRzxC1r
wEtorO2yDeFvfuGxm2okWHLF2+82ENaAaESzpu2cLwqdGdx/JDuCGXryVJcDVM2LmHMBMzovEcDM
83tu7asZo+rNAnbdOYiEb9CHXjYzEVfMedcpWy4NaKS4dcmtYa06MSUwzar2ijbiOiqIMSU4RTaU
6S/FitvWK3hrVgQXCSvaXSuWy1dAtx17GZdTuzKUYCcmF30/MQ122zmVvR1H5LagfZ1mKNB8DMV+
UeRO5epolgKQxhquzCvf1Dv9jgbytgL4VAGAAjQwAjfAR71b6SiyclJ8JaYI0CnhBCIZV5oqWrmq
sFf9I627bpcDunLmcbwvVg5LA8hyLXBiBEN3SzD46QBoy3fmUz2398NKcy1VeyAr39WspFe+Ml8a
8BeyySsyB5sq7GVILAAxABPBLh/597CKQAC7WdrJIkAxD3UgkyySg+7gyTIiMK0EkBN6sBTRWn4w
2cZbqiMMnDdHLK+o76Gv+CbNyeR2B5IQyR/LL8F6DvvLI6EonRbRzgZATYtXXdizM6PAiSYharIG
O7OAUaA+hXNmq6YoNmNlEV46iVN4T32PEpiKUbwlWDa1G+h0cNqP2fduwj7Ni2nTeIhYsQeRFmcy
6e+VSzHtjxpWJt/OTdChpzBs5HpwMl4mcxd+TJm/Dx3/JWAY76cG3KzrtBsadi8aB2RQ9m/zLN8b
8bY0eHHL0KbY2/RQuhesSLkLu+55sW7qZyKGM4n9mezkNs2xyfubxUVAPz0L5T8PxRr8ZQF2+vhn
bId7Id140QX+ftRsO42kNBf8mPfDF2/AWde5Y7+b0dqmEgugZMl36H589Uvn26D1PvfHjZuH2CD0
YpoQFduHcQjBFSS8ZQcBKyDW2MVQ58XWs49yBZiaYDOWPnaNkOnE3Rnd1eqgULLUJXmPuiJMCQ92
hS2WFIgoVi1xhoZat7B9Ts2dGvDywt4eEH5XB4AyKGot0xQjVkS7EX7yyOAdCM8FzaSiEjcRYECo
mj6yFmF5QzCXi8nFRiSPn8DRGPQvouNctGwLf/8uCGq4fpaSmOSaAaIBvKum5ghDSJ7z0tR3Gsnc
ORsznGvUf8fWhyFB50sl+dqXo1l0NiIC+wDCeAro1c/yj2bsX61DDjZvqxiLOrGgiGSfKsRVXNDx
kfnonI6Osw0G2LSzErhVeSMWI6K6WIfZxyyiJ7+Xr8gXsNVJZJ/+uFwHuZyxpO9+RNsnqYO+SrvK
31C3LPHCm+eRe6jBN4GLHm/1PvvNVtaommptRkgpbArQLhZs5RSr3qgbvHm483uom5azf2SOfPL9
3E27UKMuueDG0efZufLqM/QgcAjAvd80/VBCxH3r73Qrblrb75V7P7fdBmWhpORuOjBsHxk/a589
ZChw4x86TkGz67qnqPgM/W9ielloUcU2q2+Wib0XYXEsm2znZY1Bv+ZZ2e+Ok6WiKna10Gngpn03
JHkjkwjd8sgmS/5R+g/1MmN7Vo8tuRuvulFoV01SvpLmbcQKqCBst0WEw9XFH1NB4GDIbzPNrkqr
baAH2EPLcZgH7GbACrWlyuMGRxbOJPkgzHMtj4oA9hAAYhU+yagTlazdmBHvdZTFLnPPnjYbMlfb
lkdbbSCNKF6bmr+yksDNZfpNEm9Ma4FOGFZlfkS6QfpadIdsyco0cnF3l0WOiBSHEvxOXFZgfzCm
cLlRsrpVFEKAczhnuevvJqAh4AclkuORHB2c6d2MBHlowhwRyjwdhF89hc2UWlneu6I6NFGIVrJe
ZZSndsHAEhSWv8sC+17q+m5dzpX1LBE1Q2aCQmYKAlkcfYNVbFKh0O0W+rt1NLspPDVsojBES3nx
+HbwKi+JkBQclQKAlvGXmpBgQ2fYWQ4Wc/4/eWe2HDeyZdlf6R9AGWbAzcr6IQIxc57FFxhFiZhn
OKavrwVmq5IMMUlT1lNZ36crS1FOAA6H+zl7r20krgEysA2XQunuVLdt1r6AzorL4JwTS7lg7x55
kysfxKjSyxCteGErY3D0a7BAxaj+LEdqO2eMnA0mrjPHUb7ZbjRjZG1tlwc1TkyeGSyBDYQ+DaTf
vF8S2F2yUjsJJ1RDajJQ3i3p1o+cgmpeeRbydmkOtn2jlGa0ZOeTobQT19Cn7t0gPklr9VaLje9d
LRc+1TmzZyLgyVuxobsqNK4yzRX1WUtUfT3h9/Z6K4Xqxtdr+3qw+/+5DqXQOUXnRqeJAsM/l6Le
pt383Sd+98O/ylEAvmj76oZDrgh0nHetYs7CyNsAds3gL6oRv7R1OmnauK1mfovFQX2ubv0qR2kk
XFBA4jBLDDf/Vf+TctRvHdIZE8YAtqnTyBbHR9aqdqTCybTaTc6mqJuFSE4Lvm1p+/jm5nxQWfmt
7MA4qAWRBKqUVXTtqHjjtjA2ZMI4FHjXoFAjT2NlC5t5e9S6p3SdAcpaUfZFzch4rWe8qzxozuu9
dalQ6UBDj87kjoXWpE+VbMdmOcDVAbomVfJN0Gf5CuPndBrhVFiUiXHRVOrPrG9beAaIOWZpcVAZ
J8mYfLPt6TRuAdz4VXAIe4zdFSw/z4745nHiP7VwDVPT9oosNrbsRuXKjU19XsCE52BS2upJ3S9k
lLjU8odpF8T5cKZNSn/l1Ja2DLI03/nK1K7beLqNwNmgq0HCVYrR2dExMde5X9wkc/XdFNGM48nM
de3MO0KNbSNHYn0FIYJmAI6YogWzHDjTQmtgJHR+9SMfW/5lM/jRFkO5VJtq3LbC/o49dFyEIFbW
YOTqjaN248owGnujNiMgnMFlk0otYtCUU1eJ8WplxjrWCmr6NX3ums0BvYmd0pmbMnSuqfnRcKv9
E7Mtyy1rHN95JbztFTXhdBSf9pEN/DQKEhTQTnSS2h1NPye/RDTTeIMaXbU0DrDo9E9NUH431LDF
0uEoaxkqy9YVch1O5T7R6dWOacGGSc3O6/nYUatIENFvg7aJnTpeGIZ0d+zM91PbnvZTNe0qECZL
KSOM7A1lFtRtoXreUGfYxZVjHkK9Cta2PpTnVmSyWuKDXei+cTmU8U4r2tMi774lQe2vK7elz5Da
z4NLg8dOqgTLfXigRXSWdXT7aVdswxxjDqToex0LGYSMCv5O758HsVOs3LLCUlI85XEI4cTv1AXC
UMhJIjfhR4IE0VLlWWlsG316+iTDhK9DWT7YfNykmFpv8ssDhNYLOgvDIVJcYEJ2A8oSntFqzNQd
TyRYqCEbpZxDX5JU+8qVP6cuFBvagC8JBUsvz/3LWFWeNVe/cLT6whpmrlKXL81YnOpaEW16xeI8
JMbqwTDpLetZtcnLwcT0NG2rxKHrVYTuklMju33Ltw7CnYLl4Dgvfhpf8SFcOfCm1n0X7eO4ryBW
AIywRwrcVWN/E6qfr+xanBRjtNG0yvJcq0zv64TPZlmf9gZSyD6/zloo1hS0EBQY8ctkaDVmaiff
VK4NH0UBJpV3Zuxluq6sXMq13ujX4L+7aD3FuX3qjLxJtJH8hS2CF7ymDjKO0VlN3FwPgXOx8m3z
1rF6nWlU7aMgNi87PGge72FIpURFfdCV2kYa5QPA7fNSo80/FnIDSJoJF6MVZdt4rZYohHvZ2Ms4
f8KC1nBuP9PK2ULRNGc2+F4gGU11TY+7W2c6Hi0rzSc2/dJCwTtji+Iw37eOGu8mRUN420Lfycbk
oXULDSZ7jyow8u9Q2V+YIhi3Rtw8OiLq0FNY3VLqVKhsGtjroFCp205IxxRV4s5yIm0RUBtiduY3
St2FD50LTbTsY3mPKFM1cdnlAdaAMYAPC8R5gSN4ggRdVO1dnuff2JbuoTxtqynTt10ThBesID6r
lGvXbGlreUEjz0B74D4rfhDRtsP9jhM16j1w7exEs+hlHOyHAAlKYLVirRoUdsDQs5lCiakIMInF
kJ4axvxjrnEjRUWwgawQz4XF2ur0b25lqF5ugTXSs9Q59IMhYUp1166DcKEfMfN9/nX6rUB89JGY
v5JvytP55AZJl81fJxvjJ2W8pJDbsZz+qr3/0W7p5n8XLnWOq/3nTdDhtzitvxty80/+2gFZqNtm
u5RNPO5f8NNfDTnjP8zXJK+/mm5zT+fXDojkKFqqGuo6x2bzNAeE/r8dEPupubgu2K2w/9EM2/mT
HdBxWwl03uu+TMfjzkn9tXXx5tmnGQyhzB67rRUkj2wU1o5MD29uygebn+Pp9ToEezx+Z42wlzmr
5+30AsOXWFFSdVsfSUgt0QQ7rEKKhZr63ww0U0JJ1KI2ejRQ2veN3uVRt41q5Be6sS5756pURPBv
xuFJomM0HI0wlvcXpHSxX1asa1v2Nf3aZz+FTsleDZrx4/ML+vDhoGOckyxtMmiOBpJDgi6CCsBW
n4pVpca3eBiuPx/i9QG/3SG+Pp0ZkWnZzFKe0fuLKTFj0tHj6aBpv6is5tbUR7ZJ07NqdEQBRM5P
WiNPgwZnvJyhs1VaftF2PN6E8xvAQYAnTGfa4P8cXaWa6LXvS0du+fIvDcxSQ4YnIL9Ox7+Oa/8o
U/hqoHmX/mau60YdsGEKum1vsllwZIAIEeoh54IFXoTV5zf2g1nvovNES88hBcLxUS/VUaus1FFB
bQ02GIW6Tw1rmVdfwDQ/vCLktibrgEqH+OjhKQmFpyQ3uq3NBQ3ZiRbjg27KRQ2Y/N9czn+P9Nr8
e3PvjLjGE0hIwFYEnCHqbHiYsFcs6iq9/Hyg+Sh0NB+5b8Kil07iD53L9w8JD8tYh0XPnIdIxPFs
VbKzSTsXLC5Al/yvb9I/TokPn5LJ2c/hBEr9YP7vby5LZH7mylJ2W0WKMz0IKEGa8kHVy9t/cVVv
xpkf5JtxnBzSYRWiTLNAGwl6eL256RwgUebcnPlinn98UVR50OPQuBBHUy+u6i7NZcdFWdWZ6LWH
RrSr3KkvPr+m34dxaI3MeVToErDNHd27vh7Kkn5aBytReoPyIFHul5SwPh/l+OgMccXB7ERb2Xo9
8h+tDpOukwtEy2yb41nQ1HSlaP7CtE98xGIaHckoPf98wN8n4PsB50X5zaPCFWFWVcRXpIo6c40A
EUFjHT/jkuuoSCvn7eh23udD/r7OO64KbtdW0dngGjy6xsJtNESpWGuiWRCu1pxG/Mj+4qv1+yD8
yw7feWQ+fIRnC/bb60p9BHCVOt/IwnkuqPhqDf24zy/k9/VoHkPA3DXRGfwW9GROuhI3UUhmgOah
1L3Uk+8lqImSlu7/bKCjpXwKTHMKurzb1sazMldsYL2643VhPH0+zu9znLmnkS+ozXSp3/Yudmw1
ghgFblqm7wqVYjxZR/cdBuh/Mw77Oujmc2nr6F3yu1pI0yfkgX0APbwQRQOpKMEXq90Hj4er+XuU
o1UI+ITQG470WxVvjiYeKzSKLikVQdV+8dZ+eN9w0pJtCoLZOfbh14aI2Siwc4mLBsBpHt/CM31K
a7n6/L79/rLyfOYAVRNbhUNl7f2kblPDp7/OGtSNYHVfbPQhMeCwqjwPFP2P97ECXZTNBLdQ8TDe
+7FsIJEFlqhmG9Co5hw6B4LZybkS+P6fzwaczeivACUw545VSlbaJl3Xgw4zpvSZC7mnHvbS6u73
z2/eByvC22H0Izo6TZQqcVF8bQdwVGjkqMpHseX++VR4N8rRI0oGODljFjUgG9k9JmSKIAXq62nz
+cV8MLcZBpcL4XosPcdfo0INomHSGKbU0EjgQSKSRFhn9CMvS0f9YtrN+6r3mxTCvt4MdvQiQfTG
VZgq9RYXxrLnoF6ZsC/Dp5hEnkrmK8Net4H84kZ+eIUO22RdpwCO1v/9/NNGS/hKZzRbOtwNuU7A
DVNKtJMaH2gO6l/Mwa9GO1phpa0qdEl1Hlv1IySxTG++FWlPO0d8sZR/sFQQIIkhjBfG1V6hbG+/
SwYLRVcBaiYBDUpkbSA+pHtlGF9sijieffTQ/h5IO5ruvNWUvw3WcrtHFu2IQAkWvMk5cCUVhQOe
H1VrlGVsmBKHZCwPrYxehDbuXE19ymsM631l0vO0X8oKymgIvAKPe3PuW/EtrGpzNSrlA2b4G7ri
Keae6kQmxnNoUKiOCp96aWMjEQ3ED90kJA0tDaapTB2Xvj/7zkVz5piNfeqGdrMu7aTxELMUFKZr
Tn/2rMyyTcyT+W08cOAEoE0X0ilPpaofgPfcpj29+9YPfqAyO8XQA+0DAC/VognmrKHhBCmfQr11
vTKoyA0YM/qXYMmCRFkLmV/Yid4ucbomi0YSp2iGV1nZYAod7HskBKVHC7FZdFbo7guluKYkaHGz
pvZgT7hJCNBsVwBwIxRl1SNBHR1t2W5lSNXcTopVe4WJjsVJw9sGBi06eXfaZ1a0pikTrPhXzJN0
SNxH24ntbQ1lDGNX2W8MnRhVhEkgOmL9p1JqL46WlcshJcdJsl4BRbmEVxUv0gLjqawNTgo1wlNs
VlZbfRfhuPIH5FypNVsgMnnhR+UOD+5Fkzu3nZJt6Z6uLYsS4uifCEIIbSOHfmmO8MOqRt4OjlLv
xmnuOJSCaKwpN17wx9ZwCaI09QKiWJVD7YbU5Mj5ahvRxOhqYmff8/c7kj3nkES/cHjkukKvtDRA
tPatbniEUjhLNwC2l2QSy1ijGFdTo4Y7kXXmacD+sl41gPMLbfzZ4+M6H0tEM4Hb6vZ5odmnBixQ
844irXpu9CX6QyXqTpoQnSdoPdelrWo7P9HZRruEtsACVRKIVpk2HqkJ6Il8i1Z01tnlvQrknZAB
HSutZo/GZVpi1lbxhOFMB10WFaG1sWMQo+VUuU+REcb7UJZwp+WgbXzfVFeZi9TM1lMfUVdibgOI
GOFCJoK2yhCXV1PkFBsLpQw27eEEGna4avMezY7qJQ37+RH/MHFb4hoGrbuYkPxYU/HiZ6aytJ2k
hm6j4GEJuhuUOeWyi8qDxK4E5txLLO0cPZuPWdgZLDjHXfKQ1GW/ILHhMJEriBi7z2gpyb1QMsMD
pTgs8zasVh32k73Th/kPR2u+4fO/xsVy1fKX7XKcLuFZ76tCtAvN97eNLW6T3N3SFwBf3x1MI1+x
VT/YSX9vDNE3VuK1XosD7UrCgNXH3Ii+k6x3lVkAzHrR30TzH1p9RO5FkqWsq/U0ao+6ScRWX2HQ
by8zxQZLwdl0jQp0A2F7ZbUDoi2blMCgc0OPBK/rRBYPgVYuXXc6xW0xPIQpalg1hIHvSqe5aqB8
LBoLOacug+RKqkN8wFQ/YH7rRiAag9txZiIFdbAbax9YeMxADnTGRdWE4UNVGsFuANC7rqrc6NkS
toRqKnqw7dXyil9c006NcLydiKWosv4nGQEwF9JgrYTI16geHlQUd/2EE11t3ItOcw9UL8/6HpFv
U7ad57jDfUjrb6+5wU1RUXfJHCxbo1NcjLbbenEKK3VCOnVpDmM/Lm2Lw95qTEJrVch2uqb60XgT
fLV1jzdmnfGq7eqpSu7zqrA2bV7jF8yKLki2eB+Mu1ZWhlxWoj8lwi1G2mOYy8DqxWECpQFto1ZG
WqCqBZxHryw223UduFtf08qzJJruCUCxDpB8qvaaHkCEVb+or2OZ6Pa3z7csvx9t2UW8+SAd7Yx8
Yp2ATiHHEe74aPSTtUzs8inxWeXsRr3qG/iMETbLLz645sfjCs40mEE41BxtJLre1gPXTeW2ysXl
6CisjgV5ATCM8GzaGRK4yYvQ6i/szDibUgjMhr4bjTtdgsqLkh3UvvUEbD9I+kuhQQfxo41F7oKa
0yQeIlRa5rOYlMc0NbcaRI6yEZf1kD0aPlXGsV9nXbrCY+31arWIoAMmfIA6I0DmnAKcMk7G9ikO
xk2HXDWEg4Td0waiaeygdaxw+s9KVlycTvzFpu7DHQ/n71+35WjH0/V+DtnJr8ECDgtzMLZAbbyJ
JqUlwi82Vx/vef4e6qhuNxqNBbDTarZdFvzoA20H4PJZo9n1xaP+cMtDIJrJFmU+scy/x5taxsCG
JqwmtoxAkvnuzhL8byZASIGmri2nL0b78KrejHa0K/axSHYhLMNtXV6K9DbLkch/VWH48MzyZoyj
uSuysTb7DBNeaRPmimC/190vdoofzoM3QxzNA7+yyYs2NBi8ke3PaSMj8LJpRoah0JNoDD9fBT6+
ItvBE4VFg0j7989Ixn5n9D4HF98KH9S23xn1V8aeDx4MIhfMeUhpjLmp9H4I1kSM3yMPJgESh/5a
BVn3x+FULnXyt4Po7wfJpOZnhqLOq1nn9STZ9KTW/vGtejfE0a0K2lIrc9B82xA4qF+xCQuq08+H
+OpWzU/rzRvTBYqLB50hCr+wFrGBDtck30bAX/58oNfSxNEZkosxsOGpnOmAi70fKRZy7h9ITt/o
9eGyDOR0+oG8JkH4vIavYqUTYgahnJvhiJY+lp41Dcq2b5Esuvh/Qxl6du/ulFbHx5+GO8rm3wsy
WJdNA/Edk+wX9Y8PJurbX9g6Oj/pEWcb5PvNltQgr7TkrajtL/oZH9/9/74n1tFEFVZZjVGFIH5K
ybGFLIbbbNj2UoRfnKU/WBjfXcvRZEX4RfxOy6Gz5CjY1fDFMKD1Ldk/WeQN/p93DHk3DJNWK9Uc
l8Xj/bNWGzmSoZU027YSnhvZm8wOz81Kf/h8Tn1QlkBwitTOslC0Ou7RlFLJf7Ki3K63flt8i5qn
DMtZbZA466L2lxAxUgjeyRcT+YPl8u2gxxl7bdZmvd1wbUr2OJlIqcfSvVLc8mVK/tTT+brE0K6G
EYNwkO73+9sou6po2oqyi3T6eqEEPZG/afyjda2Xz2/kvMQfv5vYXee1kg6HTYv93SoQ+0ni+qOa
bxN4ziwyD1Vq3geyMxdaUCGlzpOHzG3dLyx0rxWI42Hpc1Cld128esfPT7frKqkJzQJP45/oeo0A
pDUvBXEYnmUQQG/3pzmHTgLcrwcbIdDnF/3BywfxdNYJwlkA4nO0utYNkvZCljldCPu28otlrMnz
ymh2nw/z23zRNWiGaCFBBdLvOH7HwzbQkAdSstVR4LmDyxnlGeNNkv9xYYmB8HTBANKQBOBvfv8Q
i26oRKPF9AiotGiwC8daXbTix+eX89tdm0ehy8uM1LFdH1eFMx8M1tTSVrHqykPGd6K1DX6hr3aM
H901h64KGzk27Ny49xejgqar1BzNgSjSa8UnNCty630f+CpACvkvHhELFV8mNiTCNo8GGyJ4hQJ2
+zYFlaYhCTSsy655Druv8k8/vHnAAjGkgwwm3fXoqkqbKLTclVu/5/DRxMqjKHWxbJNG8T5/TL99
vHhMLrsf1XRtfUYRvx9JD5TKCOf+tUGUjAfi5F7prD+u0M6DzPJeJrfgZHd0Ob1oSR4DO7LVq2hV
svedoJ7ZbUUG2BcL1Ec37u1IR98vzdH1gT4P/aIWZSk9EDYI2JqIxV59ft9e2Q3v1qTXa7IQIdEg
d+m2vr9xPumT2RBrmCxz04HqGyobCexjERKRSbpWcUETFi2ebXeLWHXOui48jcme8axqNCiMUVf7
/Bf6bWl+//scCxHswJBh5tccaQBX+dDVvZa7sVTL4rwT6riqHHefqnzNPx/2g/ePhQQNl44DH7jC
0fxpM3UK7fR1MbkMZ9q6sxswFvfT8/9snPn3eLP/FE4/dnlAI1AMF1V8n/Y/HUmQj/PFNve3/Y+O
dEylwEojC9HX8YZEBLGdaK/DCEg3k3UNymQ/FeVJDiXBkuUX+7oP3r53wx1N1xJZbe6WszIrwy3t
/3SdL1bhD2YFA7DaI5ZCySaOZmkTOT6VdUNuazMR7HfaGlluVWz9xFiWo3GfuzFMfyHjL/bEH02L
v8eFYv7+cXVonHuKVxwX2juXHBKYWIJkjmQk0j768yXM0vgfQjqaG/TY348FZsfqIthRbErkaohn
aGob28vP599fK+HRC88wBN7oFjdUP25Fi3ZyAehxjrN92t3kD15nQ7aNYOrwOotd2jfqNmtjy1PK
AipjvCflNl1kTjoucnK5lrLUdukIRygYDIU8azadZg7aCwwSvElCq+jXRiuf4Mt1bdCH9mNVxVlE
PEoTd4+FneWbpo6nlU3xXF9Y4XBPcddc1VZM0CUszRXpGPll2pOEyiHW97R2pP3bOtGZX0XJM+m4
g5f4BNMqoUQ1lxOP0Cdp7imWkZ5ARbnKcVqAE+jW/UgBSpa9vXdq7VEq0iQMygx3MqmsOzZBM0Qt
V9eAo8210zbkbodmufOpg5O4ocP4wZfekDBy2ulorkUUSEJffMhcdWPQekHBu8C1hTEwApqnDTBg
ixbd/Iidzh/J5QO1UQIzHVuAyta1bzr+QkR1uVLHRD2zbcLiauBfU16ZmOyGPcXfJ/oUuidCA1pz
bj6xEOfL0VHxeDWNv4cT2hMMnLWrgY3EPuhS4ZIsMtzGOejXXVv2LeG/U7wrJWgP2jp0wdjoeo6M
YCExcdtpHLzUlfcG4RwSRJ7TI4cvtZDU3AhGWTI7Qnuhe2TFPA2h9hWd48NViS0h2yjd5HN99P10
O9WtYy5lm9bKeYJlZmkSZtIInW5n+lwn1he2HH3eyBzPdYsSqIv+cT6KHy0bU0YwnEbRe9tZiu2l
QZuvOIijvCcK0Magok81TETXvBqkv1PM6jaYiBZoJN0naV5aFIiWZRVTpW067TwXzkvKXqwPoWMT
FYKGO42ppsbACZrq5xfv6bxkvv/VUf2ziM9qG7qmx0XcOM7wSKg5r2mJATqLLZqnLr8YZop01Qn6
bEVnPppjc03PHc6BSC8JIZYLJPrZX+eWPxJ2n0bPNXaAl/Y/5x97hqFZR0HY/t//fPen/23yb5bz
f5Z/nzxl/8cr8gChd95G7fhG/M3P/RJ/Q2NC28ozosjGcYQPyC/xNzQmZhzgIGqNcFn4pP0Sf+v/
gRSWaiCqFlbhV0Xs3/Y3/GPU8ZCGoOGagfSvt/hvTldz9Oe3iFB6DceziJFnBboF2kl3wDy9/6bU
5CANaaNHu4p2h0eL/NKv7Z9EPY6LuCghAhR2te0tpnisR8F5V5u5N6TxjdtIa2kGLqkyYwv1tyRl
lIjj1tQx0UxVscpau/1OpHKziuNJHizf1rw2spolqNHitqx8tCZdox/sNHVO1Iw2H28oayUEnmip
pAQwTZaxbBxjQ2hiclCFemYWtYnRuaDHIDSvBvsWGVNEEqAJjTRxzqyS1QkPOD7uEt4pHarorCnB
0lGvKm8B3wPCo71WGgAagGIUtBHM7yFQQq7IvoaUsjNzH3MGwYaLIm1vu7j+BnwBk9IUrogPOBDt
EXhDlz1SZMG414NVTy1yNQA9P49zoBfHUN60IUCEBOIALEzFNkTK0YvAaixbXX+eXHLEhkoPFkrv
IwFVof1gi4LED2nSc6vsQe3IyZAJZq5iMp8SMHdbCpCHWNGgIaoD1ULjO+UBVm06+0XV54skqhuQ
SoZ7QjB4uRgj/SoLogd/aM5Yuu8harpwb8RtNXtg+tkNM9c8rlRCj/y4uglnt0zXZ/hmNBw0UF3C
ReEQVGbN/hrdYXefkSawNGpYCjo2HFMvxu00G3Pa4J54uoTkWV2DMZk8+LOLp+tcUsGFG+9aKKj7
IWhNAsnx/dizAwiMVfazeHUFGWZ17cxOIRDyZ/rsHWpnF5EKMwH8Z0Z7uFGvlQQKQ9MjVYShsKmQ
HrCTqM5b7EkGlnRZTwYfZxuKd1yFXj87mcaRxVnB3GRIDZdT7NyCrSlWRI3ZQF8sYjtmVxQCkBdD
kTj4UxveSj7Yp32l46LCTiVmX5XkZL+KgSZ5Q5CNK+KBMTDqaDLU2ZOlYs5qSrRmeYtfS1PL6wED
l4uRq8HQRSUzvddnj5dpxRsL09fQJcUqmpyV5qQraYM61bBaBQMN+k7RqhVtmT1sDn1NbCi5UOmV
0PwXJ7bESVf1V4GE4ZrV+gnBmYEHo2OhaxlxeKq8GKz8yqnKhWYqILb11rgIp3ZaunkM6mHo5kyI
9rGISaQNuU1rwqFvTKM5yePoVgzIl6YwlotKlSeGLDci0Egpbdj3ReI0y8UZzXJSCQf/B6Wc/Iy0
uHjh2vjFR8c3Qb0IcuXNxF5OrfRErWgbkWCmwqt5M8hx4xPWDQooJqwV4D/RZVdRZe9G0V11uf4z
H4mXI1nqRWmzM2MwTo3MujAKrkLPnHO2oOrS8acLpYz3dgVRKssLbdVHlD5MrPPLHnFCGFQ/JPvQ
hUnW89bIs7NR6BeDyg0mrRjhwIVqDpABEiTxdfFdke0ZwXovQzO72HRkI2GmPYkcAEfiTGur166w
kOt8+rU1x2uUMxAPVgm0ls5sLuqu+q5X5K4itFj0mn/uA48wWYFadzpTM/A8hWHvmTB7bGbnmuWf
SwfRaN0RvUtI2apVnRe7lQ+G2tfLuii/4ceYFnoxWbtCyXnTeiD4OcoDJ+QeEiNbrllKLsvCOalq
rGNVGd2pokN44P8AZYyl1g+eixqUmD9M5Qa/6okdQ3cPzWgLcVZfGxliraLqXuqxyDd9NJ0IlYWW
6OyXIQ/8dWIG6kIIHQmb1YE+CFwwEL5Te0nvPMet8qhAjdrog9QWZWveFZG1nviEgHztz0enHZcZ
ps9ssElK8OWhyM0XNWo3WtmfuW3r6QWvQlgegjYCyxHUO0OVz4nqt0uhWt8nXWyTor9tESAR2o4d
wxbFYtK658Hu133dYlBtMnEB40h4QxSSXNzVj3aFMxbgr8HjdG6cIX6alPq2chBDhHx6AAvlfI2i
CA+ss5s6mwQ5try5Y3zPVOcHB94NHSRPm21/fdztBPbdSSG7kk9uvtHc6GeXm+6yqLVzWEGXpkxO
Ccg7KRJ1x4u4GEpj3yrthWzKjTaV96NEbjoqPtIm0i/qeugW04D1lwwOl93XiJpIE9+i0Hysm2LT
jdGWXGCmZg7fN9ZP86m7GEdrA1kDvsoYfaeNK5al7VwPo0nggtXuCXG7idv0VLrGSub5kyiUu1AV
56pR8+q47SHqp5dqmlad3Z0lg3mIQuc50vwbSygvbVpfVyFCCk55rPlOfyldH9QFy5QfZpt4DK4o
+pwrQ+4v/NairCMJQbF/ZKPt6bnhuT5kZYwLAGqUazfv0Zv0G+I8N2lsryK94V0nh7eabjjKnScB
dJKegjwypH1eRt+qToVkFmfzFxnKSDMscb06rOy6DuRYm4pDRodqGlQPQhaZoH6z0/uc195htrhy
FfXdd01UcFB8/zy2yQppC81AFFcedGmw/rkz0DslN9whnXc4LTNCoE3ap37YzLdhxQedD5kRPcaQ
GUuprsMgJArRH0+MyfdipS0WsexOddhdstBOagG7bfA3nLDhcGnRSxFI3JCFnS+kVl6NGlkpmUMW
F0mkiKf2U5o/p6VuLJWoBI2UlHtX1M6yNNBSYVaF6jFwLuzavUpbfInx6udo5PZS7YRNOJZdgzwT
/l2d14LTRoszPQburGfuBoDFuW8rJzJdh3WhrkkuurKb4m4cxydUrXzGHEJh233OsWCphuI+k/Fd
TuzGsqqIYFa7iuO3PE8LfG960R4shYvs4RU3jQ1/INp2feWuhXHwg3jVq9YWyN0Z/qE9mfHOMo6U
CidbcS0dCDBB4j93PdTfhvh0V2fzZ+lorETJwVUS+kqrMb9W06EBmJZwShV+A1xtjlvr47NgYv+Q
pny5C4VPzJQqJ2odJbiqnR9FD324Iw6E9O1o5boks9DZVQ9BA/Gpaq1vqVR+Gu2w6rReLgqVxNc4
F15vE1MY282hlpa2h73Mv9ZUm6nJntyGlAyXC/YUFoCFm4inXkXlWGh3RWDex70Krqt1kjMu91bF
EQTR3Ohw76XfusSXq641t2Yd3ZDa9n2ss3AZ2DF0LUCrqDQDvqztcErfBnJ4Vz0kQ347KFIllqYM
V7lWv4C4mDyt6fZuVHFuhqG8IBqFFQmxVp0kdxnAg9MSvnvfj/bKnZA2ycoBBFUZN7Wh/KwC0S/N
qik9MhqbgyNR9wLT2E1hv6rNahm30amfjtdEqaRXSYkVO5tgbcZOQqC6Ni9ITRisIHARwm0rxj5K
/I2Lc2EBGD7dF1HNt8Vyem/SMgVlWrhX7PG8inleCSJAr1I7Y2XC8pTIxgB+ZhflHMGk+a55qoft
jaKBIM8TMTOeqZ9XKre4bvkbZuXYF9KljiN1xV4GNQz2qsjty7SLr2EXsufJk3wZd1q7NEb4fi0O
zRvCl1p+WepLqhxgdP9wOGcdQOAH1P57dQN6+66D8MVnVjsTWqEfwnA6G3VT7kKDdX7I82dHh7lV
TXFJXnpwPfQwHQlTxr/MpZJP5Xt9DPQnLS46VZySOHw35hGhVAUcu6kFKR+mqoWxDKAQoIulIfWV
22VXjeWU5Mdocp2K5nmocfEPDikqQ5wm29rxd6FDvrsBli7H74tadhzZ/KjuKjXsYFOL+L5Q3a3V
hdeY+/OFEwdPATLXXaTmSGZNIRfBZAR7YfUnTu2eDW454VgwTL7KIt9ZLXJXrdJvo6khp72jglSG
1dXgStJ6IQJo3WmG088ebQTZRvSMrha/EATapROxe3bw2cQGuchDchfCsUirWgdYGJ1pYkKk2M94
Bj1mmYzsiyZIgnWoGGs3HyrPz9Ebg6tznJXVpIcymLWq38HmACUfmWcYFX769TTw+JVhq+TxvVr4
9xhK5pRiDUpRMu4kLt9NpNnpNqGMttB75zSWeFhE4IhlgoBhwbts3lmjmf7UwjT8hkIv5TBUl88E
9oS7gbCRhTM2L3rdml4wsfzqWo0scjgXiS8WY9s/hBFphm5TQ/mzCk/2Tlf+F3lnshy5kW7pVynr
PWSY4Vj0JoCYyWBwTnIDYyaZjtExj0/fH1RXVyV1VdmV2d30be1kzGQyGAH3/5z/DBtdLG1GP3Wh
v1smQeyoQgPbtp41KrXgRIYx0ADAm2qi6qcspnjnDPlbW7h2aNhyL0sjerbYYkMYcyhndJVu/Lj6
lKR833V6/DksaHM6RUSplyS8o218m5vsdAprOc/VaMGokMOGkPfvi47/n1mV3/KBDO/fEivhR/a3
y5+IlT/81d+5FSwya5kMbZ8weFBk/8Ct0AMKc4LmAjjGV37nVtib4YLjrMZo96tr8XduxWPCWr+G
29Bl8P0r3Irn/Xk3ADsHsSNcKgC53g3/TyujsZmzybKqhAYPPz+1RDxuUk7l7NfjeT2oqeeVW8dm
didw0QmKuAF3FdyXVunmD1GtPyac+vROBuDULS6oo6KeYhOtF4S1XhX1GE/BMCY/kUA/9S1J+8Kh
A2Jco5hL7pre87Vb0NWL5BZq9Qnam+aotSG42pncVZ50QZXcXqKmI8qYSR1MudlmbjiER+RxFMst
k4G70eBAN/F6IbotVcYjd6TDXZm6zsFLs2GLMvStWK9TgViYWXZ4NtarNlkvXakbrwm3sNSyG49b
OVqvZxIAOpK/VrUId7fBHZ7xX1Cv13rC/U7j+8jN4RNOxtXPKUfQmNGGuoYmIvG9N1RQxEqjoDq3
iUkPxDpFUPFdhmORfhaR/7mskwYWnRvZqn4TpwMlyTPzCKqxC5MCh2WZACXWqWVZ55eMtTrZvAhQ
19mGxDGU5Ou80+LrGNcJSPbej26diUaGo2Sdkpx1XuLOOQkGqDL2DhoDVWSd03YSO48C6oaBqzBw
SXf2dGsxisWZZEAexjtGxSMmEpTHsoCzYoDLDPcVS5lLKEtzWhjxXEa9iZHPYfSzGAF9qnR2UbMj
FPtWMSIC//ci8kimXKdHbC3E/TFQlutkKRIdVe+0zpvOIr7aNT64ae3uxF7iNp6G9qFkTBWc0EHG
4LqMHbl7lCsTQap+9Ot0W2fxgUafw8LYG83qoex8tanWiTgiTSf9dUb26NthaCaV9SYiHC5jmM7W
qXpZtHBkzO7iCGMUg7dmlbBuyfvSMZJiOdv2fY06cDrW68wu+JDNDPEDw7zBUG9KD/KRMZ+p3Aqz
dfInH+DOXLFACiggEWHrrSihtOLDTCVZPWeHbMUQlMuGClBBWsLZWlEGq+LQGbY97QjFikLsUhVB
BTApAShdkp+sFbEIVewLIAzFgU8RkGaOun0GxKmAOsLu9yJflyLisRnTECc1maCAo2h2whSwRKjA
K1qaPYUOpHg6zl0GrMIWSLFidD+seEu4/T2aBElZuFdsY1TlLuAsBqQllv8jBbSNgLcGEJfU5k93
GM7Giu78SbuLgHu9U30MwD9crrfVCgeBhb4iXZJGjkdviaMAydx3Y8WQE2Cy0btrDriMhtZCushI
6KeHQa/2tOu9W8BR2RpEUa0IVZs6GVBWxe2+4lcmRshKEC19i68DEyUZ29cRyJsBfdUKgWN5a62Q
uPDuFRC5X7GyCWhGeKr2g73kTFD2Xhp0PK4Iu5vrEN3FnniHzxIIToMyD2Epbn3AuRzTo1zROrFT
PNLRhJ0BKC+A9NbsP/Vlbm28Fe1rWveu1RpP+1CS8DSbCMPriSKUiGJevsvPWstSrFlpDeNrtgGs
0sikOnhgTFK20jSj2IUuqA3rLyo3S+fBdhW9y6qmS7inPGPxTQ7XpFz2dIZiLBkDxT+mpxntS6Cm
wvKqNUJWI9DMEkdDCeCbaMmorld9ulHZh5KeD36U7Mm3SzBcNt0tznTqk+nBk+VKSgw/O0HqvaWf
q3RZVqU9sHaYh5BKjopByZn3c9rVWyuNTvq8lm4WzYUgspEi1f6G2pWCRaL1bXHyZ/wcm66ZP7p2
zLYRxqO0oFUHQbxDgupi7bU+hzqYYWm0ruMJGOizH3T7J5kAR5v80bAUQx809rQ3S/851cdTE8M7
+ZxooVU0X6NB1n/UyeqRRMiLVw9NaETjBcbRApZ7cIvr2WlGMqQDO3ls9eJtriZY78ZI9zWwLmiS
pA6GDgdaW3cioF+JMHFSdnem6khOg2F1I/89Sy1z11cLWWjuV69TPm/WJb/53uK0JBWuZklaVWUP
tzzjA5qiG3KhqOgiG76S+ls8USFg9JE6jrM9bLJcSigKWIPZj3bOPJS7pCIYOvOgAX2BXbdf3Imp
0OdkU93Fn7CXxDVBzR2VzFIAZFSEKWuwmu521rwTm8CNbP0bLWVstRvFW+XI7khYth82JJU3cPZb
irw+47Z6WTO9YNl3aS9IxG7r7C7RDe01q2sybGf0CHZR4ruafACBUOV1McaQOeQyFnVPm1nSnmrP
ePbHnZaS5ezXcxyuozAqXo+HEAmRV+wo8rm1aXQjYM/6iBwWAREeVAoZ2i3bZrYvuv7TXgZSQBZz
PDexvIJamfR7Ld2VfmQeesZrnHprQKndprjzoce7SoYZeMhrvuzbZoxDii2vrpwvHQ9YrOsfjhEN
m6kxZeiRGRpo8fgTe9OVJfdH4+dPZV5/krODUZL3cVIl/a4/c5nv9JLUVnWTdOYVO9VeH/GFANa9
gEDdCyIprFy69d3na6yc3ecqg463kinAYs3u3+DJ14vuXE1JmGBdK/nQVuLgjdSWm2mxBFEj97lb
Ez0756+45O3AmMQbgaJbH4EEyeXaz9lPrhYb2vxad/QGr5MBtcFMNDGpx57pPnlLRQXmKEhMpaPW
8ZZLsohvJbB7W1omzb0LXieLLGMRJSg/EVuw7X8VXfQYFZE4x1jGInPGplZp32Vt8FuSSoRLyYmW
tfodztkPg1zsBOZqM9FplqMdIke674JRCUIBuU+MyLHYVWm8PKo5N2MPGwrXO04R7rlapVtplVmo
1g+V1ctnEsmJkM799fW3SajX7OHVTFkrYsOEnOqMHQOA7Dyovt9KTIiMLEBhgRyxzsu7VPWPbq7j
/eicCDWwnZGT1qDcopg+zGi54xcUT9vRy0qgfDZvOcOuLoQlKRsRZW62pQVTvewB0P1Wi4uzrMVD
VftemJiKjnoxHRaHn6ibbtZExnnUOdYLnpa4etZm88y8uYucZuvPapcOzq4iUHGaEidcKvtmgUHH
LnDSnWmX23JHS8xRqO6by5YpRbqg+9FJM+wfPQ+6tXc0g56OVDfO6ZLpD5mazhwHsD8GFQeR/8BW
jXzZxmgD2+nTbS4WGnJzRAx5W77pTTlfo5TbuqlocOu7XuOiaY5Jiv04S5uDm5H36zrF0fTzQ7/M
xLeXfUkflWLnYPL7KB3uMVqfZECwaDgPlNlHXAWC+Yos/Ydh9doMpvnoagPnr/biOwOaELqqMNbN
eHOne6upjqTbrZHhLc+oP5JCt3THOe8owyArPsi6gpWjXe5RZbShmsr46pTJZ01SdNDF05UGhAfJ
fgdjbVAUHgmZ/HHHezZrnmpqKnRzDCAy93pd70VZX+ds2KUTEcZVJc6VYK7zeFp9AXqVcf62UCxO
sNO0K2x6Vz2yETdLQZ22LtMG2qAPtInqCuifV2X7XUhJFtemocp1b3DKv8U0hAtuSd9DB0QEWNBR
LLArQRKjDjNvFTlzYG59d+lB3syaU2wSCBNZpU8ynj8yq77JMoKrZXpYGutpnsYnv2YZqmm3qiuu
iG4Os+NcajsJvdk9Tnb8bjfecSgE5t4KO1nEjWl0bij1BYHZMIceGaR2l57mleyaVtpLrQTYr8v+
v4TP/x/TMwgg6L/WM+yTj7/dfCT/t5xh/Wu/Q+7VvsCbSEQT+jD0Ar9DbtpDdebFNbkC4cLvkNv+
BYvL2iBlOWBypD3/mWVnmL+QR4P+gMg2C4saCXh/ki/8OzkDcug/yRlQYqFgJ8EYiQT1Uqva4h/V
k3Zhuowg9IhOTseYRqcGSdn6HJpzvkZdLqCi3KI6mqmi0rZ+L7vdrJHP1TnJc2sVb4lf+vT6NWCJ
VnvDauFgxAVQ1ap6dYrpeW6WsxXRalJUFDw1dCRTe10HONDX2pD0GstyX+d03BcxGreOJkeMx0wz
zhK95aLKAjUwvxG8wfiYwzGL2aShRljP3VTvctqSA72rk0DZrNGF2Vy4Rp5iR3/rBt+HjOVhcLFv
DT1lGI2XqjdkPvSC6mzfPI7DXQG+YanhfqYuFhZ31mALME14txgz+daevSWnPt4OE0nwGoKy1L4i
krxxG5bQZdd1gcrg+XFYfRjU34GOb3Wq5TaGGd9MY8ecQGTVtsRczA8efXljdcvy8JpK/Ucda0NA
QfahTfOPQpH0neSRxlFZmwH/u9PVoB8Su2Q6JooeJReN9roUlMePMwWOI5vwqG8Dfy4eTMF80LfG
cxE5Ym/YHJ6WB/eZSe2S6Y5O16YWb3m0j/lkL8zwQPt4iu6djjaeJZJvmk8AiOJzsBlNLPE2eqwt
2ygSz0mlIYvAxcBcgInU09AuIakAJQb6sbtzBWy1scT0/9hCsikcpqAZKjhJHgdcCpOk4QKpY0wK
GciqD3rCU3YGSgVjE7lr7ui0FDuZD6e4NC+Z5frbxOi7k026Jm+pTccRxGyoNxELgtSnS3RcXYWy
A7iBpXmlczhmhCoT6Xxx8fxvFtXuMPosOBes94XwmUPdZZQU87FOI5O9KMOdltOW1U7OfeqJQ9tS
1+n1KdXG8efiRv1RSiu7tmlCD3I8zidEK/NuqbHNt0q6pyhG3E8aWwbtYXzNLZ2KJF+IXbkk5rbJ
W3mbUIscsDANhsEYzgnpQdh5aSJcY4ZYkYzN3eq2PtBL8RZjT/iaCsHd69MsjPRWQnabLcsj433I
p/w0amLapCLDG9+ShF8Z9PikttMFmseyzHPcnXSYW7jHtRBTsUalrDLCCRVDwPIZWUwhHopmeVoS
AjGydu6DtumezLx/LkU1b3xWYmw/8F4UlZMToRCdO6sFr7cEyDeqxXLeZpT05JDdXa/8rS20EwYg
2nPQtocs2tozQr5DUk3PdBLVu1FP96ZXvjJr6peldx5nLz/LRLxIB/7ETljfd4hNNlY3VvvJSzvK
MIqFhhJ0dkNPPUAFnR3ihUHSJL0p9NtCg3QunKAV+LDsPCdBQcZHWfltMFURJFfLry8mFwBEFt9J
z6TwdLprdFXtRjHIkOyoi50RqUTCG4DPu/iUOjZR+zjYtDxO7HU30qb5MVs7IEt/vp3WVkix9kPC
DqF2dZR+aWJ6H2LVnjyjXsIWwoVZxzfpojVEkFA+carMboGsy82jrmn+YbB9ezs1S3JHwJfHdFbd
9KPxkqj4nBcDeSb+U+L8TN35wSPdGrHcpoNwOyu7NmjNcBjsa18nYlcKgkYiO3To3drqHYJYYnTv
hMcyLPFYf7jIxIPOgE8LRpG8pjlNd1J8LNQUoHC16iMcU7FrqNdC/dG8JenISDbLgtWy2fFc5gKD
8/AkPAXxb2tvXtneFo5eMyMxjUbuBPY0VjWSTg8TcPRp5CrhmnCp/NV71rUIsVJ7/Kka891A62wu
0+c8amXQdM6Pyhk58kXBB2h9QyPW2e3CqmqUWjin4zFOlo+aKKpNLhcWc4TBgFaLbypGEVAu0EiG
/zLUEEJznNf73IvtXTSbHp8CdZtNyb2h5WcyUi6w1jmtIpp+XJblNYrG9d2kgBkO9rwIVnGScvKx
x8stWvLGzUfP8mlqMoywIA+m9pV+G6nlLh7Z48RF80FozYQWe3zQTDe9GYisZgk9P7IRfl1abHRp
Ma3/wrB2/hYe0rNEhYLP6ENS0YTbTj7yEBqVzmmBWKhM0+6JSILmhjPepGNmiLYNIc6BPokDYgNq
d2T5RKl4dT/x1FeYmzeDYbZh4TvhpGaacys+dq3Ob0mvqAcHi5SVySWB37oeygdVJvnWr5ecPev4
jh6Z2g3HHWj1mvdUbJGk3M90xOB4of3WTKAWaIOhSq6xd1Df9l4U1jeboIuhY8cd847ZUTffoM1G
LbgQEG+PXD2iohnYRRER9LlVMt0Kh6SOFKe/qF7jfvQPCyxlo0wzNC2Lh9drRTBa1bLtZlcFtSSQ
XNXOY2mWYRHRO1LXi7+n3s7d1XSRb1UOLztwd1KbU7zOinaqtPK+nJ5IHa1oULprfERsN4+2FXy0
1DmynCg+6D0LqaTLT3OXKmo80EdOdvKot1SWszf1w0yaqLRJug4TSkcOtIFBTQ4QIKZb1Nsk1k90
J3qgjljs2c/PN56HgJmP6tMs3IF9QPZJVVZzkyxZsq/j5DVWyHiynpUuEVI1y2Lnpm/1htWENH8a
swJsVnRwbOhLy39YXoTkscir5jrnmQ3kkVGa8mdn59Dmus2chaxiTaXvdJBk1nuQZsaENAjagRSQ
it2d0493tcwqrkHFuWZ9WY0hA7tvrU3t9xnp3Np9UZXWVkTqjYdE37YqgchJhjqwJocwengCTwz3
TVQffbuqQlrXZTCYLq9TzE+LFXFu1O9DMa9ksAFhbSYXqsNHnn9xla5/37Tirq29FPeS81xM5NK0
KylX5A9Tk5yEBJOOZaGzh+2owmn5Fr2XUssbIzfM6AwOxsrvDrlOvW0/6K8EArLksMi4sJwlY7dM
WxIf8GinaJk/MubRHMQMvMVZtOpJ6tM0Jh95vECSjuzEvfjLVNFnWg2Xysx/pJF+ngr55Sz+s7sa
keGxvqeL/1JZK7rx8/0oCDsv82GCSofWcBqOtiyzXpCT7MrKenCdI2dlaHY3EdV4ncHoBLEMvGf5
Lvhs0X7sYknId4a3cFsYkRf27TW2EJGTm0PpYHOD71Nbzm2B1tGfmwuRG/LgxnzMylwbjrKgakpX
M+IRgX5D3TbtvCt5yzqX3Cu/uSREdfCrGwpoA+7bgm6oSHulTf7JI3hi401VEzpqPjSCIzSmqTob
Qtz2q9C2fOnsagjY/xOai919Q4xQGU6UxaLioqZLU86NHyeMaM7wNsWZT+F69NPo/PgKfecotJGx
w5abRve3qeRN9yXGCFvFMkB39er47evs2mszhMtaDrpYU/OHb7QvlRgfhjYfA6/LwnbCczVWAlng
4K6lYgsDqTz3vibgq7kZDaI0/FQvDq1uIgpVWkK7PJMZP3e1tz3zmjlYkcjJD6ncsDfUDU43Zpec
qrFN31tZXJLSja50EYBHXDcOir5sdhNK0ShrH/WBmolUWD+ysefRoK9pB6wxNuAxtEixSVMc3V5b
J7bgd1WrzgT9hA6OnWdtKCgOcrrbQfT2ycjsD7yxP2zHvatakuJSNSQEAyy5PHBC26Fba6jkZuNi
eSo/JAvSzrjZ2Mb8REfsnVkkV3Iw9n5N11JkYpZ08vGqE3Ib1pOxY/i5peocuZ3mHtEd5kCh6ud/
F8T+g6tg/1VePoqv9s/Wgz84EQCS/wHtw4/u4w//s/1Vvn/ffzXzwxdBWH93LSCpX//kf/WL/2EC
eJqrr//9vz4+C27JBMd08qP7R0DNLph2CXwv/xqGP/3TVPn//Iu/AXH3FxJDTHbfPim/lg2m/g2I
O7+smd4OBnLDdv8AxPVfHAF48G3GOWsNl/wdiOu/8JPxvTxUx6Rw6+KvAHHD/yd+PMsjd2aNuMFU
Lv7k5OlMAhHbzLYPlS6OxBJ8GHH3kdDc9pDbXhYWE4cJd39GYpopn22Lh65rJx2aPtFgYge1i6sG
H5mWvfk12W9btd7DfuERbm0TcfXSod1Eal7ZS1inteVs+mJsH/LZh2233DYkrgm2C116sPSNeoos
8ssJhaR80cqWVY4q7grm1hChcBn4hhtfmggiwCii+36EfHfQTh1Y3xe0ZU6v+LtpMo3NwxIPRMJ0
zbEAoUIb5y/lkO6krSCZwYbH1s1J6SvLLEBg8tLEMRynfhQFWlDVW+x88YhlMt33WkkjlhY/LGb9
lNjpk2azDzORqUw+a2Gep/2I0MaBsLAoS93w8vc0bmSbmlm7IMUsmpcfcZTROj+xFsFn2+zw8N7N
ZaMF/Rid8TtaQS3MD6pgb9NMXhavt8Lcm7+xb2s3lc+oYGA5mLkIUviGIPbYRDtyOEXQaPiuxne4
92NBMdq2HErk6q4WbUoxBsJbXJjs8WIa/jfbYT2B1OA9nnS0XRpqtMrO7+M49gMztu4VVS1hBwPC
lqanYVSlgUNQ3GYuMtLMCrqhR4cDso+yZmu7zbae4sMydSnzeHxu1QktmxfUlF/qrjhTsgMTDBwm
myvnze918ix0PS03XTtDbtBDmj+n2D25MVri7Fqm3ptY53J4hIJdZ6jab9KHhfI1QVo63SUrqN/l
Ir8MTuI+OA07entMbhePULLaHLWQrtu9t/iIg0tITKnZ1v3QU6KrGU3yMkgmUeIMqu+uVjjHgVP3
zVBTv88100ABwKo4QqW+gSBZZ765obqH+WHlJxt51BxPXKSKDlOrthFiA4Sw5vCt9ZyG2lDP1G48
5Rj3otAZPgxZFufZz69wR6Rn9QPS3ILP0AHbidFs+5n/x//CklbK6m3kPP9WsspaStEB8sVYho3G
igCjmhNvdQdptlbG8gDVPb2neYU+HpEwijwjDf/6Ef4/0hsm/u0hvvrC/nb5p2Qqf++3M9z7hVMa
i5Vj/3Yc/3aGc7pjFuJDDdX699P9N/2SwRlOMvCvdR3YdE0ozt/0SxzvJEjhnnQNMop1DuW/QKb+
Paz7Dw5DRFWODiwlyhsO6M95qfC/DhVCnXdAdmCGEYU3GFDUBjo/pPhn20P+7KqlCLF23bcu5QNV
pdN53AKHTO2rWWyecGJU0O3NTxLsFmLQsfdZ2ST7oqe83hnRVSL1fl6cviZqT1F13NGJiZkBSqxz
IFIadw5JhKCeszbt28m2b/1C2nuoAKQzfUzfgXstG+rJCnknnYWVXEPepS1vsAaEEpXGA+mQjwO7
DJQb9Qx3aSABp4aStE4W217zlHhAmgbDdphpqDATxBQBEKqDKJju8C5/q5L06sf9IwJiD7l1ejbn
4bGv0V2WcX5be8V+qX1EijPK1CLVNlFjPMXKeO6s6FvCTuagqHudm+lSNiNlZ6b2mRAzvTVrDrlq
WQ+QSv8y9PJo9D66KKvYFTTC7+lIOsG2Qsn2ZArn5YKGHhPZZpnQhJbwZj0Rh4BXhma4ys5RwVSi
sJnF0c3xIRhV/NJNNK0ioE03GdxU4Pap2pVC/1Y6oHSUKkXbXcD5W23w7vQUFZWL+HTtb9tM2KXT
kVWYCdNSiHFH1GkJihn2vqhNVuX2S9IW76nX3UpR35S5/bZY+HLqkmSEKF5QwyR3gEDyInJWTLXN
1uto9e5CC5zWoEjVf8iy/p5p2h0vh19GhsGtoO55tI1xb9YV3FYMVWrKZQnqNCbeyiiBCyMhLnwo
N3WTuphs6Jcf7fOQW3ib4UnQi6Xmu584xdMwV+53S7NXkCfqz8qtQUuNpNxyzI6x0clNqlUhrHdl
UyHq4cPL63DqW6IQ46LfdJYzI4oZ1GGp14rlbqxD1OlxKFY1UmyKjsKQ/GVaVOCT3gVAiIKoTn8S
93js8d9uugn1Ue3Hl1LHAbGIlEBM2bMwQMcmRf8u3Pq6OAabx5F8RPRoyOll9anMZoRoxXOdmNCu
C9WfKOeOVYdLzfSHG4Qiu7QF75UtypjZHcNK0SeB2H5f2hY0l53c1JVdh/00NEFLcR+GNfvdEWRI
zpXkVbvFM5IScnMRe0V6/jyLOg06O33IG3Qt+WSZJG4mb5GIH7qKek21xD/SBTcmou06ZSaQyI+r
uj/VTYe4oSFP2O4OQDMvUIYfFmRyaFALWDuOXlmFFfJqQzu1hv4lNLsM4lQcJsNIwkGRG1mPM5UO
Vvs5DiMzipBBXZXLpnVlgq6IZFp7Vgc181hqscf2fIm/6qR/dVz5WXnN1qqpEiuoUs+N3SibbxDI
j5o1fUScn1xn+nMski3l2V90x39Xarl6jh8MDW2kIwoVHMzZTg76YzTC+mGI/D7ZuBCIbdBw6A/f
9AlHGG7UdMezfkzQ8u+aVe5soHuWZfrqrELoPka+jpj0S0f4zicGuXSvnpq+3RCKclYw86CN0F8V
1nKVWte07TFpXIlNACmveuxprv2zQqJd6QqbO6LtpExgVsdXgnl2Q26EWYu/xFmF3lEiMffAAEVx
vjFhWegP6x99zCajLWp0cBxl02I/GyUvFPqvPGY6vzwKhJbQRWxejTPZwKjPAQIIVVZFerxq0wcj
+dCNQm1cZOtlTOwtMvbYWeSeZ1hsu1XjjrUNHYomroZJi3WNEN6fUJYR4ZoGvjLrLaGsP0A+/a5b
FfQ+Uvq0ZWxftfWObI/Jqra3CoMzdFXgz2Y+bmZE+ShEb21E+hKyirKlCEkDm1ojRm5o5N5L6kWY
XyQa/3UGnZH9kxasu2epMhoKp56AxmgaPx3JeseJkhocTGKo06EPkG39PTfqYSPVGjxvOze4k5/T
nAzjAdYKNTkT50jYZ3bGth0YdHwULJaUW34fSDa2Gjh5Ds7bHAUTbXV4bQRXodtf9cUkmDovLvHk
fGCYJIqBTYSleew9uq2WUuBQVdZ2KYwd7MYmScY7B4qdmPPvpqfe/UaNAbqNr8VbvoBID6heLjo5
zxubKOdJTtcSihw35z7irLU4Lpj+8U2vorcin76GfHg0bbHaSy6dP29tshBR1B0i/H8LHiMkRjQH
F/Dktbgkoj5iJN/FEzKnYXjJxggCpD+20XhyvPZ2suCR8ga5cCM+lNE/pF37BqN0oaX4vWmMUyqN
x74av7kxJgOYs2NS1SMl4TGoYKAl270t0+jeMllntN1wjpP4lA/5w8Brmpv8OKOQ6OC4gpbWutmw
n0ejZw6oTsRmHDqJMURVe9ey7uISPiJX11niJRNquyCcaP3s3EKuLTYTcdH5h8g0t11qbWdUZCC0
5bXwkqM0bO794sFv6w/Nt0P+pbdImlFgwHP4hTqUho+fIj4i9AvplTpJtbDOcwQXpAytNroQd3Jo
Xe1zwG3NxTDtkrZH5YUK2Wl3w6oRqrXt0iWX0a351tmVGyCsNWqek/kBFuhs0j4RRdYOX/DOSNKf
dD8WGy2f90QE3Wm+unci80ZGZsYPjSojGmjaTBBhyVinoh2SDw3YfYaON4xVuUaSKPKG56+qH+oD
zVSPGZ6ikK1VtcPhjdrJ4pXQ2/bCYXyr5pmT1E53kV1SnlmP76oyWs6+duv6WVjX9k/akGMkRFyG
qowtarySJeAIuHFjPQ50ziOqIgmPUoIbAsTrhm3l3UV+X+wIOrc3dFxO2wht9NbrSUqkMbPbmX6G
85gbeCI46m6w+vEQ2+S5VZUhSP3uu01vletagkjKtHlILNOFSky9bZXkDDENUao2y1EEH6jUdfzi
zWgj4sUHbIycP6Lrb6e+O2i0xJGNLwQio3w3K4SGzdjMnO4oejMUdC2xHBOxuSKzUNMwULPiIw1K
mtPWIRGK7wbYIj24IVReTfulci8sHB+aFNuduRDdnlHsSv9t9Rglk7Nx68EKB5ZDZMZ/eWX9hn+l
RVeSsAwHsnXN/H0smmGvQzOHkd5629Jw5JvO5PRKNIu+GyreTW0VtsFNP8x+69I2ULzWRiUPdl7f
JrP8hNF9K6eEHuvKgWHMs5hEKffOdzRt31TDZ1YCxw1Fvl/URGsP7UxezZRE8p3yV7o4e48BQFDn
DUgwwiGamlej0dNTZ+XNgy2IjFFjWl6qCQ6WRh6uUdcqWMEh4DI7kmhYMfrML+ktDjbsX37BTNFQ
maGTz+Mry/+GOBj9cqTuZ8lmrGmoPHV8ip3S2EOXHFFSK2J1ldYM+8zi/+8JRH9JV/M/EzGSLvOv
ab/wA7wIaAxIEvlHxhBVzK+NTb+jRvGLRUYOZc7rV3C3/M78eTB/NM35SHR0+9eq7d9Qo/uLCSdo
kBdCw54JQPwdNTq/QEmSy0+yIJl/uuH+FdToOH9k/ohGI9/UgJLkezrrv/Yn10tkt6IZuf+OiXjE
VXju/JPNnpwO1XDwJI8ueQ+ays5RYlzZsnxhed2Z9vg4ujkOdI6het1CCn3CzL7c9mPOqU8KL726
V1m279ZQHiFseswfhNB63Znm+MvUoQHpctIKLJaKtblKFSf83smiDp4dNaEamzQ05uyuS6OgMoc7
NEL3WmN+L9r6ZqyNa9f3J4RFO+FwBWSIyizs/DlgtF8zI6UbErD/mfretffAGVn+0lbLKbaciy3n
H1XnYG/1vA8qdE65b+8AOGGPBU5mBpsGhJgcU7a2MvjsZWr8aBUQmkwVh/WryKlbVN6TXz7krjgO
+Yvs2r3rrMoOEhYoB1CIitaVQFsPaLmRGG6aRT1xWN4wtAUDMSBGmpzdaLz3yE5sBheHLbJCmg3u
o/qisSxp/OFYN9YOZIRTwwtNfl2VjkTQYnXmassXqRlf/KCBXESAs+ie9rDN4Gs35FIo5Lfjcr86
8UbvZ+phlRTptouxfiK3dNvqmns637bcqnRPtS7rv8x3STwZcvpPun1R+x/EJa4aBO0Zj8fEkN9u
Md0rxPyeuhlKdjup43Uh+/uBtJjizRuQ62uFwN/t7WEhN2jli80gcf/1IezvLpfzNovFbhnH/0Pe
l23HrWprP5H2EJIAcVuuskuynTh27DQ3GmkloRZQ//Tn017nrN9mJcsj3P4PYEwhJhPm/JqTqTw8
RNF2j4r+B5jaN7D2fetN9RXgaA+1zj9W3XQalLxnaMhTRb4PhH8rCH3DaXeeK9AGOERb6ARV9K4E
UJyZABJX2W2/dUfTPcCu+yP4pU/ZNhuAGOPjqDrgmqb4W5HTDyLYQb3kp9HR41JOP5ph+2wWfsxM
cVrU+ElHGCya8Exp3lV5lyP4gW/p4+FGd0AVEDYfAIo8lSEEPTgePLFH6HGdyTU0wIH8Wb7W/fKT
1PEJawPX6xWkYgW5AdE9ifEHbI4TWoI+ToKLrZwhEgG5EuTCnvapidTlovNHjnsr6E24YZDqxIh3
s0QZSuvZuzrz8Z6J8FOLi1pCfwZskEOWZ4gX9YYQWBptc3bXdDASafxvTIMxDz9GvAJOC56e0Pz9
QNvgraJAEqHqcQpXvMGG/BEeTN8XeLJIcLuvhmy6moV8E+F+OQ7TexaDbWPa97Xqb/GDwG8+CQht
oO8UAnwy34UkIQpv8H6V10sQfYdr+5H506nezEU9E5A340Nd0ndQPX0vt/JMR3ZbxMtTMdXntQnE
VTjhGd9HmCjhgQ/PcbiPdzBuOQPrgSy4XsIKBZXlq1UUR42Htyrrz0tDHjaxF7FXYHBA2lee97gA
Vr1m5G4B1A9CiTsKADIN/Zu27AHmn/F4rC7xYL+H/cQPDZTfwQhy7a31DTriD91an1lYXTasw/Ud
jtWyuEXfAJ2H4j4S9MKLSCLL9UvBvbdBKR6g6XEF6MrtoLxzjdJCBxkjP6KI//UW/O6bGEbv6CLe
A2V4pcPibbCCiqUh1dGNT6H/sY/Vsareyfhr0D60RXjdcPY5A2NtRHAH6BxzEF6O9Qh6vDZ3g5Tn
IAPHGy+zIxoZb0ag0VU1PoAkcWeq7nLS9OOU0+8RcHDdEuHzrjxPkPGx5VRaGO9+Zuirmqn/SPz1
2mfyY+4vqQRr7xD55CjK4ZaZ8SHK1FNv4ABSx+jM5/MTwAQJI2DprPj0ArA/wLqw3Wa8IgaRGN8/
19joqHR96uj8Fpi7SxDUgMasJXQQaki1eN1Vk4cA5QwQX6pndCNAUT+u3XJdgMtbKjwWyGQugPR+
69exh3rVejfx4Y4vJTQt5wxd72L+EW0c5PjhkIvlOgQhbz8sTxv69QeI7Z3BdbkD7PS0BctFDDua
oPTv1YByh1c94Gr3GMsVjLL2YQLqy+vBee5ncOO7r23xYdr0LfR0QKxEhPcAEZRgPF7A4RsUsG35
GOTVPWBk9w1U/ibWfmJU32crCProhCcVwE/wWoJ0vncFi0Z8tvlcDupi8aNjt7Z3hMoUwLqPLRne
92WVhht6AnNZFTiOmnPOGw0Rc/KZl23KuY/zfjzinvDGYxxHkwEpLDpWZXgGwu3ryIurYdhOsG+V
B7+rb+r10cM+Rj2AXYRb/rZrVzT6Zwh1rOzeo/AtL8AYm0D5Vqy/XmL1xvgKxzaEagZZX8uJX4om
NAc4fvw0gAg1JLhuJxxowywv6WaOyEhvFhA/eklQjvVPWqHqqUFOfMs1TLPG8BISPuxiooM8ydZf
U7b178Ho3LF1X7ughYJIc/IYuxXRegk6DMKPiqslMDdlPn+hElAyXHJx+lwjNLFcmIrZoNrjXdR4
ywWcflWr90XXO7MU4NOBx5909jEvfbgDwVspIkfqG+zoFWUCIqtjz1A5AdfpC9hZh80bPzAPNJ06
hz0LlW/ZiJprVG2XhRmg0zGcx5LcgKrIv3Rzk1IBzYIIbJaO/H8jsvetG1u8jO5/5GXXPr/aBhTX
0N/fiJ/KH0P7pfnHX/xf90T8Bw6jhEZoU/x1b/27Ax78Zwd/A9cggG8AHPxvKHoQ/gc4dB/3UwIL
R1jogRj+v92T+D+4r6BfDRk8jgs38f+I/Y32+zN1RrT3Ipyq8L609GBRyVi7re6WNGtBDeFfQJs7
P1uDu7/6L881+34zsi1VuQDyquu+ntNimL+FVfXNU/krcpi/G3q/0j/THIY1lwemabukcAtDb1yR
+wq2vn896wDEAFDiD+aNj/F88F36G9BfOaecFs1x6Zq3dYVSiduiWHh/0XvVbl++17JGqN/V1QUI
UtNfRI8/nrn1kolRwu30iJnHAOtACtZrT50Q7V8N0j8eff8YzxYdqoahrwKQ8HFd4ID7CNBtdjio
28LsRIlno+dlIYcYHzFVuZpOrNfZNdSaZse5I4qej74CUMiyjY1pFUP2KIabk+CvfNGXz8i/A2g/
IZ4PPQPot4CEjXdU0PnBGWIxxlxtgazUl2HatuViXFE8h+TL5F1HbYT7t9OC2e7IwTroYNDZkOLK
BxHVIASOF8KNboPbp0KdkXrNwA9jU1neNU2jbjWNXpGi3jfM/2vX/r1ioaVh21djTEHBG9OGi9tM
+126SyC/cZq5rQ8a09of2egPqQetv3tZF+N7D9aJToNTa1kWuAwAEryMKYR5foBVcSSd+e40tG2u
EwQg6JgmHNMFOG5wQ2BXhh7Ols+vmIX/ZtEjKwLiEZ4xDdrCaaj84UoMnbqCa/Nr9gi/G906kAU2
IsgEPRZm8G4NYUBhT+/dFsY6jslIxpYTjhstB5kOVHTd3kXbMDmui3Ugw7XS56NCfxCvI3mPazi4
e4RTxyC1TuS8jobC9zpMXqF+a1qWH+tse+e2MvvHeHZk9v0GNZQcU9fwOFdHPP/6r4BtVF/+ffh9
BX4Rpv+lrj0bvuCzYD3UD1NIIoBp6uEBk45h09wDOg6SSEZLP/n3//Sb3RNan3hBcZobanDaSMAV
SAwJ82aVr9n+/G506wtDdHBj+RxCf67PSoDIZVm+XUq+OeZF209lXuNsxmMQ4xsdnOCnigqLGr+5
LY31jWtP8GoEtzztwc765AEe/rFH+eSV3PW7pbGSLiCJeNaDu5P2xTiisoJmftmqu3+f+v71frF/
QuvECWoFsamcm1RqOv9UNcUrq9/4HVRtAgkAcYZ2Nqr31G2ldm2l59HgFwFI83qAF6onbgFBRENH
14///lN+s07/dUZ7FgoRClfFxled1lJBDGI5rmo5ug1tpZRBmmBXKIOETms+oKCLQqP56yH2pxc2
25S96/tuDkvMeijIbTPUV+CcuCVCYp33tOgruPKSIQ374PtcrTcQe3ObtW30MbNemThCKvGnPCmW
4ifKba8ZLf3mO9pWLLoM8naYca2p4/k6FPH7KOgf3L6jdamBFoLU4KoPqZiKG+lPydrkV25DW4sN
y6MWY+e4vDKATZrR+0Q1lFbcBrfO3gKl2an3cToOo1/dbpCAuOrmoP/gNrp19sJhsQY2Njep0Fcr
Go0BcMZuI1uZlQYS6nhDoFNPRmBWgr1ZcseQ3HfPs2hvCQzti9bTKVhRb8elfOxi4vgprQN3QXHA
k/2GWQ+7tofP3hcLAB9OS0KsT7mBCAIxnVKDR0HBiiwOeee4JGi5vViSUvjZRlir05x3XwQZ7hXK
2o7Ttr5kr9fF6/Jep0sBmOHcVQpMsLE6uS2K9THB1GOFWrAoIVUXEYFIugwcD0HrY05xEOumrXQK
3UwO2r73XfDtp9u0rWxGGa8HWDvhW4bh52Lt3knwbdyGth6s3Zx1DNA1Dc4stJXzHwL1V7eRrVzW
owls4n2tC29D5+UbigVuX9G3TtfY8LxFB1SnvM2/w0eUgm9qvjrNGkSSF3t7nRctgf3QabCAuzk0
4w8QJN1OKd8KyTjKealqCeLyGlyh73aq6sntKPGtkEQfcyfT1DrtZv9u0uxj1pR/Zg/39wvdbon3
6OotPegA6QJdFHBcVI22g6gb9aNpAtocIxlrp/c63+ubzw/buGoA88mpTgXPwanxayEuocO3vGYT
9ZuU71vxv7YRetsE40/rcktN8BkSGfduG8eKf5FXEBIz+LimB1FS9Cize2iVuQUTqrsvFiY3nT8s
A0Gq2HnmsXm7TsatfGq7Fs2biKRokOCAvoaaYAOxKwM5WMc9b50CnYSoxJJ5CmI26ykvIDaQ1U7H
AOxmXq4JKNkk30qkIRBHALsXETxVu+DJ5XPCpejl4LgIjYaBKoP6YAx9igdcso5uI1ungEGjqRIa
I+ud4tRTNExfccf79e4Gl+LlnHN/gkAFybDWjAEFzjgUzuD/8u/T3hPwPx9w6DG8HBwC237Oltmk
GVHoP/I+VOIebhy0e8pGaDf9+3/5zU/gVjoClnnOwMFQKWQ1xaEpcb4zOLc5DS6s6BdaDZxJrLxc
wB1iAwhmmeNHtaI/KGrc8LlQ8M9Qx2mBIxcuoW6ztkK/Mjh0B9gFpL75vnPbpXTc4tZa+xszfrdh
zpFpbkB4hHBI/2d+9/+XM8CLfrlbohEaaW3HsdRtwQ/zBOp8Jd3un//wiW6jee4M5L5TPm3yrFZu
0EaXgVMq5bEV+aCxiCwCUSSNoepaQ9CxAi3e6VPuHKzn6c0LpmUuOqz4EsvLUXnHcsmcqmawV3w5
NBYXfBWO2B9aejXU4Q3BO8tt1lbkVyZk8wIOShovDKKxDwCwO65H9HLSZM7RzldYagN/HOi6Xbby
f+GYf1jugPfry6EDHuahX2I9wgbo/0UcUNh1Smk8tgLSH3Hc9XhApGNdHRcot/CcOA5thaSK2roa
VmyQELlhDOqbdSocN4gVkRCbgSYjC1XqbTK4h9zOChCDDNxG51YuJmjOQbE8wlkSgpxA4G5jxGs1
oD06fpF5dtG251HDF1Ns+YiqJ58gm3kZjWgUrQsBYjpauIDA/bouO9QEqmROG972JtRbBrZA2yCW
4Po2R+ZrRsAWchvbjtNMrapbZ51WepMnyMAAAKelW0UBFPqXS6VG4oEpU6p0XlYgbmCloh2TJ7di
dZXA34YRhu7G5R3IPg+w1Pwjm92/kwW3YrXRpSBjRbDem0rBojhkjXfpttz2rtewQoagmkrJJqML
UVbmyJuQup1fzNr1mnAFZj6kaCGQx2HAANqdL90KffDkfvkto3EDCLjALuxMDGAOtjuDGpbbNrTN
ePHYr4JpQwoV9TgEx80HWeZK1B0UVJwW3pYyHBu4nUjAk1M8XQBUBEkBEGC3oa1N7mWGs01iJ/IJ
jPC1uhvU5HaMMWuTZ2Mv81VIhWVR13LRcN31T26ztjY5lFbELCF/lxrPhw5afplD4sxt6ODlTlnA
5g9yv9HpDPOTi7yvIQkIh9/2m9vwVlKSAGPQrF4BlWhKcr8UdDmbLaY/3Ea3IjQOMtEUEsKviwx+
SF18hLawWw0U/MiXC7NuAwtGAu3MymRfmKffmHJ0HdsKz7KovW6m2IW1Fj8IxHP6YHzNtX3fbr/I
eNS6J/rTyKDziA/aeX4WnEBV7NfjLno/ue0YamUhCJvPbSBwcFUl3InJ1FxNRrptF2qFZ+mF9Uo6
xBAz85utAXVAMSesCKdWeHahqvOC5LhleMEHTeN0nF67mu9b4ldLboUn9KMgENJrvMrr1dB3EM9S
8jKGcQkA0COZoKFabPRJwqhbnmCNBIefIjRmcvxhVgQDbRCCFdJB5HVWPysO3bKQw9jNKcJsTBI0
4PUAr9q9zQA5ctDrkmKDXqTb4Hb4Cg+G2npQaaPWpzaMn3A9++g0tA2CgcL+0kw9Skei2/yfUznz
46Y777WCxm+CLLICeNqgsQK9UVzjwSwcfNwemwEMFbe5WxGcmT7blfpRijHFHagpnwofclduY1vB
6wPGVLQ9NgsAnGd4CDxuQ+BWQYqs2GWA9akBLZIU5itgSuTXQ2zu3WZtxe7gbWVfwQweqBEJzj/4
NSADOdZIbHQKhMHq0NP77REaYz0uMY3RjqsdvMwhps9rWXG89kqffgyAFq/q0S3qbdCeGNt688iM
23oenSc6Qwi0BTvFbb2twKxR6QYIi+P6GOR3usng6xu7VeltyF4dGdNNJSIHYj4gsI+KHUpoFDjN
24bs4R4Ttdv+BBai+1xDvQ1cOYCm1gu34a3AjGAyw2FhgLcGNJdLkCqymbhdHkMrLqFSSOAightB
RCBbAFuL+sAjN7ACt3FFEckYpKSRsU0I6giFH2fDNseKRmjFpvLyYQy1r9KAV/dZuNy2feW4V6y8
Om4DaXOOoXdxyj7DZd3k926f0orMOgYzAxXcPhVD9hQs8h4ON45DW1deb17DecgQ9PEob6Ds/dSC
/3dwm7YVmIupq51wjkfjpL/jDLhRTet2lw6s+64JqorAxXXf3OUV8/LrJu7dHtKBlS270sR8GVAE
ZFt14lCPGOfuwWlBdnnB5/WdZTNgdcHjOvXl8H3RHM6rkWOu3OWmno89xAsohhumHYkp3SDBDlS5
23cMrFwJf6ICJUtEJGmnd7wv7oXwzm4rYsUjxMChSBHigA1HyMBE/s3GHOMxsOKxE1CS36ZdxVj5
j8r3wCQLesdbj426Gxb4WFV7QgN75XLVGHyYIXXhtihWTFLaQcmz0nizdLF3GjfI93l8Nm6XzcCK
SpjZgBKjkRdolF3BjfVtgY6o08Rt5F0TKgCUc4iGLF7+aYr9h9arnfDK3EbeTXSZYMKOlBNQ+C5K
iC4c4LBVuMW8DSGK+gV2DUWA+4knaigDjdBdgCKE26pYkYn7AwlL+OSlbGwf4kG8hzHMJ7ehrciE
AnZXlAbP/nmCrLKMwbIEA9htGxIrNvkYyDifsQ37DTT0CEIiB9YMJ7eZW9HJvXrq2r1+6y0FqOHB
sYmJ48cMXp6EEjym1YP2fEoNyKvoz+UH2FGoC7eJW8E5Z8M8VHRVaVbV5kAXcaeUcSy12Ep+rRmp
yXIch+MYgnlSSYgS+W6gHG6DiVgZ9Js/4nsuZoESqnzUuXFLbDaWaNfjmaDnhpwJcv8h4OyB5JMT
aoPbWKKcBIzRES8eOYsZxmjNdopgvuK2yW04UVl7RTZ1pk9LxM3sF9/oTF7Lm3uA/6LSYsOJZj+T
9VYAFzZCSfwJJ9h4D8P2PM1wu21OQ571r9V09pD81X+yQlWAhJ8VfdSnWaau+Dq9l0S6tSx2FZPn
94q5KQYG50IEqoJnxVCM+dFboBXmFE022qeoYeiWIW+khaI31A+TXe/ObWgrUAGBCD0Q1ZGMulBC
rKT4Xk7w1HEb3Eqi2RIZNkAfPeV69y+ZIIclnI4vuBu/XPA2kioaIoB9Jh14MPer4bqyUqeyB7PB
PhufBi+GB0vq1/Im3vSbupBOj8K/VEqfwYdR2fagxSz2Yo1cYcVmrrvAkSYJRb2XiwKP7xEwc5y6
sIGTR17vqozCDSvHbMCP9uHXuUK8N615iOpedx/43heXfcJsIE64jl6oGA70KEKthnsluTDoHztt
cSas2KxFu01VsSfRMLrU1fAIZcVHt4lbSRRv7xBSYF6fKghfTD1U8Wb15Da0HZhBELTAs2qcg3Dz
JNArnWKnsASr/OU2kTH6lFuE1lPdAPYYz7DaamFA45QrWGxFpvB6MUPPok/HwLsCCv/H4PEPTmti
Q3EWDQ2SxsN5IgcCvhycTOTitiY2FKceFDiVQ44C7QDrxaXY/a8G5bZNbDAO5HCrZQiwvyHM+ils
xpsoj5zyPtu97Z4nHr36cbZ6KP6KsIG2cHM/bZnTO4XtFnjPhw4gRB8AtoabEC/qr2EBbd2gg1qH
27e0opJkZhbg+eJNG2+weuMKAosDdcsONiQHXPQggrA4us3BOxEUV5GpHUe2wpJHoyBywvldqX4+
92aA5FEHo1C3RbEiE+qba6V7bBTBxqt22q4Xoq6chrYROVk9K6mhAZhu0OKigf9OVMLprcxsQM7W
rrB3w0xTIbufywJjOOFW02M29KbpaExhOoobhOz7y2Ez21Wlm8npzcm4nS9p0HeiRXtDLxR6317a
1/l7t+W24rIUBaCCCmgNymBqEJVX8GlxnLUVl5k/SZ4bRI4uokMtUH4rardUaSNvkINbmIRhk+SM
nVFmv858tyPQRvKDGJC3vYcPuZbDp0YQCICWUe44bSsoIQjYDVCwxt4ufEj71jeR/xqOci86/vPN
AHfNl4cgyoWQG9XoA0MWnUWfG0BMP9cd6cszVKx9Bgku49+tsJHRr/yW+Nf/0O7OmnlrOWoVVdrh
RxQXMMbKb5Zci+ttDhTwLVPd3YNskcElknW122FsSxcEqgnIWmrcY7pBfozYBk2urVLSbcfauCh0
EDL4TuPjxyK6U3lw25HObeY2KqoQDDDDTPRp28WQJodiek1743Yc26ioLKoHqKqio8BZdqrbGs5C
q1MfhNl4KKS/MesM5m2g3A/lVXUQIbT0nA4fZh0+fCjHmmqs9zCWP9spfIQLa/HK2PsYvwgIGxKV
wwplnouoS3uo7dYt0/dTKNmHbJ3dEhWzLgZgtUD7buE9ruvwPYyG7ouc5Gulo9+EM7Mu7CiSlOtK
UP9vOLwftrAefvTlLsqVZzH8TXJII99lXed46u06pc+vUGWmteyg3g8Xa/OBrMEtHNOdSr3MlmaC
4WefixH10k30oBbBhg8uaJMbvwgmHC8n3pW6zAx2ZdrOLPxZ+P4IXNM8utXu2X9VV5+9gkmo0ddB
8T5d6bg++tkiP4UalkZO29+GS4W1YpqTFkszsy4JyK6F2UCQ0W1069KweP1Sb/BkR7/OtOiqwVBy
CszsVh+w0VJbBUraEOH1VEwLyF30zgsntyPHRksJFDNmRlB+RItbtochUpM+sGJ7JcP/t9H1i5OB
WoHb0jCXLSyn03ncrZ0gsb6+GQC8KI/LAhcIeKqP3XsUmtW9Loj/2MoBhngsavh3+HNW1wWE1eVl
Ww3iWke59xiHIWwuKO4N78qh6j5VcQ3ddFX6y/fBo15/iURvshsYgkzXk6cw1tRP2Y4zX9wwzoxa
p0WrTB81ZGvTLVTXGjKfshNuJSYbzFQu8xTN9SQS3At/FKK/6Drvm9MGtYFMtehaLSoMHQW3AKzr
zS3Vwtz8xWEG7SroEmuMm8NYApLZkCguX7n07FfXX2ydyIqpCQqezOBBmPiyiN/t2eoBz6vms9uC
WOmw7cZVwNtZJFrJ47Lmx7787jby/nuen2N5pesJdsdJ5DeHBTZljRvvndkIpkzClZNlnUhaqAv7
8IUd3XjYLLI2dVAwP1gMRqZhf1pNfDMDlua2HFa6m8OWqrHD0ETIS9iQHlFYdkt3kXUPL/oyAs8G
m6+lcJHMc7SR462ZT04TtxFMdDVw1A2USKp8I0d/au+mNnYrsTMbwSSzcWsZx+ARzII4vWQwA3Gb
thWReVGHZgGBLIFDNFyo1WGW791GtgKSbjqgNWnxJSvYLBC4UM2f3Ea2glHKZY4n07GER7S+2AYj
YQ6QuSEOmI1ciobMq3kjOUDGPqzKx6I4bMVSuyXn0MpwAItnuQcXr0RSWl5zCvO5dlPlKwn0N4eg
LYm0wB2R1bxniRjC6jbo6uy9UovrFrdiE7aTQWQWuOnGM8THKYHteeAYPVZsSl3PyzZNNCH+dAy6
z6Xe3B6ONoCpFHE8GzIwWFX0hy77rjbHG6iNX4qy0Q+hP4ORB9Ef84jcS9LHl0573EYwQe6rrnQW
0UTO09tsW27N7NZDZjaAaYVUsiI5pYmvoO4+qAxSwR1zvPbbGKa8ZWVEt5kmDQ0f4Np9pw29d1sT
O1XGoIj4FYbG3SSBSXaqI7d7rQ1hgvBzHwMmQXF4r+WZmHE8ZzUspdzmbaVLHXBJgHShCc6V4pJ7
/nAcuqZwgvwyWzvMrDI0U4PQmQRokpymdHBDdjEbwTTPAC3SdqRJPwsYVouLMnI7qGwAUx4pSbZy
pclK4uYUy9GH8H3kBlRmNoap557IqhGjxzPtIaBehhfwG32tAPCbQ9bGMHkonppgxjYEb+mmG+WH
bovcsoMtgzRERVSYBlFvxlh+wfOKwx/VSM+4nSo2xmAtegrC+LYkovPPBXwdhrpxu7jZAIMt86pI
Z8uSMAURsXkV78EtdDvDbT2RdtMkzsm4JAvti1Nf5epyyHjnVi0i1nWigpch1EQJvmffF1chXopn
PRDHjW6dWVsRs9IvPJqUELWSWTtcRC1zPFiIdZmI6wnYiwCDd7mKDnDXXXZvDeZ2bBHr2BIwAZOE
xDSZcwkZl0hlHnApZS7d6DKMWPcJsFE5+oI6SpqtP8Is4CKAW4vTkWvju1Bej5Xf1T5s3WB7RrIk
nAPHjS5ePthWIM9nEE/8pJxAQ10kHAOF2y3IRnf1EMeDp1nuJ8pTD31Qv1eN54QuYja4q2mLuuqL
aUuCJniC/Ae056rZbaPY0C4WTv3At3hNINc9HbZSfJj58s7pQ9rQrgreYptqii3JQBiFbwQvp/em
atxEBpit3tRWcglCyXFqwTmFtQ1scH23V4pvXWnBhxSQKZNLMsL1dRzqU1tkTsc4tZFLTMzEIHHO
SdujKIbOY3XQa/TRZcWpjVzqGNpFfinmBIRooIDobTe6UefpbkPwvNaRBf1QbMYbExS1j9wUScUj
p0MckKSXQ499PZpyKqakhDd8FAUHjzoVa2Ew9nLkDqJzC2w4x0Sy5STj7HLKfrittJUbZLT2RTdG
I3bIPN8zeE+f4z50o/eAzf9y3nUXNktY+CPMTBU/FlArOIWzm5IAFVZuAMM/DEo5jUk902NDyW3u
yHmiwsoKTEZLGXf5lMCu642BpxmQaE6HILVRS1Oo8oiqDtZfux0YLCMSr45/On1MG7Ok5kXVK5Th
k4LyZNbeMdfM6QykNmYpFlMMZWnswCWC4gG8VdvLwh88pzsntWFLdJFk0D4ZATwLp5MnBIUT0ECO
bstixWUDi+QQ9fYxKVvvfpPzZVmxr25DW4HJoXqwUF+OCfGqJAvad/FWP7kNbUXmGoH3VNJhTCA1
BWti8QS7LKccT20VIUh5TiOeEGPSV/VVPa9n7ih6Qm3IkpHFusweZl0Hfn5oeXCd1/yb24pYUUlq
mYEJ1o9JwOBuNZ9IWzouiJUn26EeaMwERgYlfmvGK0Vfk/nZN9k/ewIwxXl5BAZtDbPrcR535+1V
nGAKxcvTlOngU46mMNybTSTd6kzURjAtw+z7nRhxmIfldQDZzKH3nO5X1EYwyTESBVQPhkRU/UUG
ToGvA8ehrfDMtrBfgy4aklXO2aPx+/Ima7ibYgvy18v1Z0xxJCEP/uINfH2hHcyvw6Vb3VK+LR/E
YVo9SlrixG13AQVxrPLS7cS1QUzwEo3nEDreyTywq1CYGyg3XjoFko1i6tCnhBo73OA3Iw5cZ+e+
4k6PHpibvlzurUITLJyLIWGf4+kUdo7DWgHK2SJFX5fwrZ+8C8p3k/Hs0WkxbFSP4BKnH8obyehx
qLXIMzR+XkOZ7Gf1L4LfhvWE0TL5RY3VKPmQXc+IorPHpHHLmjaup1kYvONrbhIt6WO4xs2hFXAY
dFsWKyphaqV8IOWHJPeAzxp1+dgXenB6v4LW/XKXAGcQwneamCTefY45P8uFOpUiqQ3sKQouyylv
hmQj9YMM9JHWi1uxgNqYHm8JYfUAD6ekmYKfRJLP3Ujc6oWAU75cEjbEOpb1YJKg+0GX6liJ0u36
Y6N3aD2qIBuw2Fm3XQDOcAltE7e8aaN35nUNer1v6Lwx85mNlT7RGEa5/74F9yfZL6LHRu8IryUj
hyoDUqcM0xmI5S+wIaY5MH2lik6DZ3JyCBXkj932vA1anM0yyx4qtknjefqoO+0fGdxv//3X/OYs
sMFC/grLgcn0Jilyf4Pb7Kgu4EDlhMOgNlaoGVTkxVNtktbb+sueyf7I26Z1e7PYukqVNywN09ib
cFPyb2rCcQXQjsrB1MYKFWCbF4HROhEE9nxF03ykQ+2mT0ZttBDscKHWHiiddIK/aeW7MmcPbt8z
fBmw+aKGCGQfnYTVdJhF+L0qOrfyhw3YGQpY1bcSQ+sO/CecxAc2j68RFX+3D61UOtekK7c+0gkh
EMKp/ZvBdG4JyUYDhXEYz9PY6SRe46MPS9W2ceuIUxsNNAsfmklRo5Oyyy63/kfgZ25xaeOB/CWG
HrYPUUkShEcoB1zEg+M7y8YDsa0MCg9aTImGf/kolkPct24XIlvSaG26CvSkTSVNl+cf43kp7zY/
D7467e1o3zvPAEGiK+IMxlgqySHGQuvs0CyOVyIbERQPa9GOFYae42I4VusoL3jfL4470Mqi3dh5
EITF6IrA97wbz4BROzWA4EX6ck2g4ZfnIq8b5LpgOMItqT0XsDp2/J5WVPY73yzc2jwhQAPhKvcu
7t0aetRGBZVzQ8vMXySgKgTI2qyt56fGbI2bJjG1gUE4TjI4q2P8aZjJUW3V59GrHSuItm0a/K5D
aOF79DwZkQ5reOBQDnTa5LawUVE2m56ikp87bzzOwQJ7gxriRm6D05e7ZYUYCfyTI3aOTAgveH5g
xC02bWyQP5SRUmU5nVU5RZcwCN+uhjWe3C6LNjYI4EjNc5pP58pjN15RnMTU37ktiR2bsSF0QBH7
DMvH+eBrcRtkpVujkNqOWvU8mwDQzulc6vW9hh3JofeE473fttQSXoOqhNkXZcxhIcfjBOrejjO3
wUEhbK+ieRHjWeRQZoW7OrvA/N2KCDY+qMmKyasXjsGz7AEaNh+y2e1OaIODdNO3Zm3D6ezV/QWR
xZFP3C0wbXAQKeAMXszBiFdhcZyCGPigL05b0AYGjZo0U8TW6exT+an2msu50o7rYaVMJMlVF908
nalarvupvBSbmwwgtZFBPdp4QVGo6TzJJrsUuUcOU9QFbg9mW90I/iJEosUxnfXCj8qXj9mmHt2W
20qZU1OhrqLG6TwM5DbIc6j4BsStvQ6q58sTFtfjqW7HCRuQqjdC8A7VZu12VNnQIN76ZaeKajrP
ZrvAP7oK+eS2T2xckNF+RcsKH3NrfO/Ag+7k0c2xlPoPWNAks1759XTuDNoca7WxExTlvzt9TRsY
BJuHiY7gI5+7RV1tDTtgkdyyjg1/8eOhQ50cQ3NaXdSmvOhzNwsTagsbZZqsilcYelm2SzHtIhvC
8VNaL0A9Kh8K44gcOLoOh66Vj7GvpdsFwka+KNCiqF7a6dxK/4KG46lljncqG/Mi6f9w9mVLcuNY
sr/SVu/sAQhwuzY9DyRjyX2XVHqBpaQUQYIEuIEE+fXXQ923VWLplqbDrMpMmZHBBcvBWfy4k2Ki
+P+YzOIrileZ7MK389bIZlOWPKlWPWLjsJXvDTFTGiPbft6QbDmNdLMMfVXJ6diY6slXn4wXnQXL
D7agl06bxB8MBpsRhzMhOBTdeJ5jvwW9EPDCmmrGYJcDCG9qeUBfz3nBzhbzYjjYwChKydBj12kI
aY0Q/BpnzeMW8tJT7BTVVNOxKNdcRRdja8473Ldol9qfjD95nj06CWlxK1MoFp9X1tgiC0nXLx3R
sH7FSbq2jNHtvJ6pYRJssYVJUYWKFnjuJOk/1WvwNNVLdeZob87JqCYecPK4tmTXlsYZWdczr7zZ
jzWVa0gQKBxtu6SLeGvj9+csEL6F/4yFDIPRYYEAT5MDyZ3OdXfWYQBNoh8PdtKGsh90bI+dC0KQ
gQCQN6rBO/Pqp2TzH1IbMlZhYU/u9kCpzQFOec+n2p013HyLADoF2NHc49EHthxatxxmcx4VHd9C
gGjk+y6CANoRFd4uNSfqmKQ4b1PyLXPRUEYCyQ1mjz1XSWabtXtwyTz8wpv6dtb+OZHPtzCgZFwR
LhkyHAmSpuRIFtl7t7JNrMgCOtXiqa5oFaMK2c/yAM6GHsI3wTz1hz5xpjrUpCl5SpbEqVu5um4u
oYxZ8/NSi3zLPRPUOK+muR6OLRXgnKP0K3TJzgrW+ZZ8ZlJeIBqoEB7XtvmdB0WFTPF5MlN8i+KY
DOMy8tVwjIfyWNZxmdLuPFgY38I41rXpVAwc+NFNrZ923bSkYLWMz9sm8cbeGVKUbqXlacSVSqOI
nRpk1/PYP3i8sXl26swwdhhzi72YFlSYbIyDr2fZvS2cw1ZiAlM1Hl0E8gMZ5wvWe78od3FYoJ/s
ki16Y/LLVU5c4Ln9IueOHZPovI4vvkVvjM3YzOGApeJTwzOI+9BshdrhWUOyxeGJKQjhgLjhSGt2
FVQuBzPcWc4C3+Lw4onEfZUMuHQy++kceBcKVA1nngSbdVI2RTCV3jwcFbE7V+EGYGw+j2aOb6F4
YcGsbEQ/HAutmzyYlmY3Jz07y1/lWzSeEBFpgJk7BZFRh9Cj4XOBnvJRnBXZ8C0er6oaqSjReHrM
7EVZdfI6GefwvNiGb4nEbDIXEN3FJuqmF/Cg3ShbnZXM4FsqJDK3dVBiiRzFaH43rrjHHPzClAf/
n+15+v0fHIdpDv0ijmtkpRKur8AupC9twhaCvtIh+njWVtrCiSga4chIAph0HcXprIfPYmrPS0nz
PwGKSgi/1q2P9R5UB3/43en4vJ20xRPhdPfQQIork2QpsoqRjEDi5LzDYosoKsaWtnrFxWXU3Yiu
RumlO6tqzresSKFTxgTomj6GvPXyJlR3XiHOSzzwLa6oQct6T2Y2HOsThgB93x+bUp3pxW6BRSOb
175s+XBcqvKG903Wj/V5W2iLKhIduGUiRrEGi7JEolSKDFRu54kQ8i1hkOyZWQ3FqMTteNSS5Yjp
zyrQ8S2oKDRe1XgAFR2Tsj6IUGdxE56FV4Lk+I97nxhXhgto26AQ5qGPYkpleV5tgW8xRYEb4hrk
HFgmjqZAbMThWbluvgUU+WHfqd7DhSdIQN14RVKmQxWeR2/Et6CiKrExYb4djpFo5iIf204XaStb
9N2dZQq30CIf7J4xeAlPs9lmbWBfGDuvh5f/CVcUtN1SdnBYatf4uS/dcbaJPM9cbWE+XR+10GCG
y9LU/DCPSSoTct4C34J8PFqjxanGpVkdXSKFksv2PK1KvkX4CJCLrBObsMC9RN4o0WDMa5RGz5rL
LcLnBNsGvSfRR84Keik9K/dNPMbnbc4txGdteNLTrsPVS1mS1NSDaTLXFN15/BR8ywgUeIuugrrV
R6GbOu0QT7RLcd6Jv4X6NKPfd0J1w9H2awrs1pUq5ct5o76JsmQ1JENHm+4IFUy7n2WwZh6BcsB5
V994zwvyg2NfJ+5YJkiAB+Y+rMbzjuUtjGhlXtCrdnXHyXllDmaqfucMOdPt3yKJgPUdZNgv7mjq
+F2BtG+qA3fe2bnFEgkFYQPqd8sRin4DSKAm/zAk6jwGFr6FE/U+71FxFe7YRMvYpMB0sCZLumV+
O2tKt5giqQ1oGR2m1MMj27nahd2vMCI/h3LyLaDIKGpLN2FKUXidviaYXr4r9Nx/Nh2vwawFQvHq
nbdGzbA7713Yjyf26ki7QL/dHcPx0Rs8ED2dOwv+5sq6KTignO4YKJuOtk7H4Dx9Ar6FGHkLBzt5
jFGS83BXRfRAzxTI4VvioWhZvWYsqTsixADhoVnrtOzPTIpsEUYFF2B/H3p3FLxUL8gdeTZdep/9
KsNAybfI9ifJkS3IqGo6NParpD1q9PnyZ2gUy8spnLzgWo7oy38EtRltn4dClRDlXVY1mFcXzmwB
9aho66lJS1S9dJcik2jWS8jWgFLHrYXsn2gTBt0V7WtbXvZTt4y3w1KUyU4RtPtejKDy6nNd+4G9
WMZwjm84BB3oTgtWNPkUFGB5SEWQFB+4F/hxVq8wAXktOtPnQxBCZ5MlXj0fxxLJqHvuWy/Yq5Hw
4hA64Kbu5zbm2Roszu1QqbycGp+/gxNlP3FixpvgXfugd/IR6SY5FPF+ANr5s8XdliyAakh4BAce
2I1YTOKvHuqRoMSB2SjQ319GxZ4thpsnWvnT19WBTg1Uq03HoI8C+YgL41jQfKF6RdUr8OrGHGUV
Veu7qpW1249x6C37CG2n/QVamOr4yhuSqbsJmkCzj6BFX+yRQWqhzOJwrF6GYgmKTASAJGaWmra+
aIq56G8bMGwuzyGkR8tcGTT4ZapIdJhBmSAQ+5GuYrg8yZLLnGi18DtUmMs5TYTvJZ8WDHp/EfiD
hTZmnbDqfVk5QS68Gf2DuQvl2OzjsPGLLGGoD+zCyHl3c7BKvgMVwRJnnFsR3i1lqR9nv6rMrpBW
8wcDdgU8zaj1iY7MxCTriqGOUzdWWu0JGG/YnZJ+X2cdeOVRn1onMJpK3aD9JlIzAP8zt4WXJToy
Y746oNAzMo8UTOudCEHZRLkxhzgBwC7teLK+mwfAtdKKxa2XzUQVPF0XG6k9CKdJsmsGW1RZ7Hr7
3tY1BQemJLM9sCD0orcVDFbsyERLiwOj0EBPbcsg/OOBvslmovPmy4iICOTdgMwU2dq1/ituM4Bg
N6qnSwT6bZiCK7EdPtgqHlSKtG6UHMtgIBOIiHxk0h3HLkpHzUJ7bxO+CJkOfjGtadUYtuSBE57e
WxUvZTYU4BGGCs66isxog77pmUXxsOtbH7BZXhNRZn4sVbGvxcBdTgGmf52rwk2pR4yBLoeurMhj
opLpubM8eo/EgZB5OwdJnzZiFvNhwK/ro43ZuKZl3fH4DqWDcEhBizybg2hi/LuTLgpk6oVdDQF7
BYIfl/fWyuUDXRIJHB+47yvzFpVJn+SkbCy7rkEb+eavpSMHL/bc5x4SKh+XQvnPNNYqRM6i9PpH
UaiVgGAmnNerQM7gKM4q3rd0Nwo/5PdzswRkb4um1heLFb45yDlSXToEdrrrJlvrPfYWs5kJ+vbL
XHJk/gQotO0RQkJedfCWqXifhGjhbi3hHege+yZ6mQPjXaoJv0lLsLpE78c2bup2B17J2qjdPEy8
fihDUeuvqObRcAdaGT+2wBILFl66kYFVOdVTEUidKZSFWpaGhJVLhpdd+tsWhAPTofO4H1+3c3ta
A15UwCwVbYHpQlwontDGVtInZb1SQ710ELRL265AFi2smvZFU0LKL3HHmuLLABWKLie9gItdlnXY
XJWg73YXOqRrfbf2VfiudspjmSLTHOx7I+1wC2vquYyX1oR7VE4jPwX9ompe0D7CkpfCUHEZt6jr
oyVaDMVlG7rwa239BuhdHun5RmsNd8FvpuE9KF4t5Nekrb6O9TTeG+lElDYtdpSXDauvmqfKrp7I
6QofIwVD28zyEv5SdyAt1gTxQhnfukQU5KA82xW7Cq6al3VxVLBdhC6zIh/i0jOpjIbA21WeN7+G
OtbdhVFrzlbYjnRGvfM0vI9+MuGsieFASsFTKRZQ8fZ3azHs2nJ4UF6frDuYhAhPWCgB66xjwcl+
rAWhFx7SrobmDB0u77olQL6MhkPy2lMWXcXMzDdh71XmMonKhh0CaFz4e45NMN7gALxsljbrQAVp
XXmTzGGJrpKKrzdxqLtrpLVwujPgRvxsibSo9kZFs0wXjoxxig2afARj53KbSF5HGWiQf/erLvkS
JF3xyW9Jqx/aqFyxEkoqaRaSMs5dRxUORJBlgnptEeAs9CGHperyE5/i/cSVvdSadDsk0GUOHhu9
M6M4lM4dOalMHkiUjoaIHXpGSZrQ5U40rk+ZWJs0ATlcKkHxhHVZPcCNsGmNTtzMOm9OV3ASqCRa
cxGFNhUmMteV7984qvIg6j+I2Zv2PqnK3EIQKYdc+fUa9QtSeSr28hHybrlopiSTxpuSlIJH7+AK
8F/BOtfRTRLXz3bpLey5+xQJMe7BV87zcFLzczQVJu8q0FuDWaDvsgQigBbLNi5gfgLnLsFo56cQ
YXpWHBGEBwuPo02/LLEHe1h0ScoxuRkwFDTldLmhizjQyt0kU092oL13EFJtZDZGqsyWgdzWof0d
wxjuOjA3HpHI+iS5WHeMzTlgrSJvluor9EjKnWdRUY6heAYHwNV76eRhaUSXFQkZM9JaHCuW3pMm
vrNLdMlaYAXLABAfNAvrNCrsoeFdct3y+qaQbs7DcHmodd+qfem83zmkq1JVqKtxWm9oIUwq6PBi
ZhVfDmHc74o5/KrK6VYolIszjTEMajNiJxiXdSS+Rsi5nk4AUJi7ycAEaW+kZeqLHt4WC9iwlyxU
aezklPm19DLedo9FJKKjPwrwhxvywNFEAnalOmPSb1Nl+7RqCb4TaXQhTMD97uqAqwskK8IipTN6
TBSSzmmv6+AewvURTpoixwsJna8Q95RpG63DvS9o+HUOi7HIk6n0n0vD7JJ3U42iI/UrVV3TgAbI
HUyWLrdQG4rymWghDyKupcrwftTPAq8p6D5CZspdEsPoTUg8aVIu0Iuaut7En80S6LytmBdfxHUR
vm+bJnApW0b3AYKRIdknfVe8n+t6HuDzoS/0MvF57LAye3AYi7ZcXxKOSuguBjFo1izafw95GNOn
fVX276O2E197gcrPVdNYjI5V2FPYTl0E5emyWnGAIFF2G3quXh57nQh9GQkS+/veFwSI68Yb+a6l
fcPzuNYCaCc9F7dDUAz2UDOuPjbrqE6Idck1gMgSy8pvh2VGfWlJbC7GGs/K0S5TP7CkpJ+HCCpz
L9KQ2qZ+i2QrcqRz94HUTWfhVMVlfSyLVr8z48Lb380YzV/HEKiltA8ZkPw9PGLUrmZNeQ4CbT++
n2RjzM63NXjqlF5qdYyg0PREKC/UrjUSC7KzMdo5RTlCS1XaqL8b51mscE36UUGHyll933atqLLG
akZhWCoypsiwBsM+GfRK016JpcvQ9EzvOtDiq6cOdBPDXT8Q0u1bYge5r2gB3zBh6DrOZuejGxhv
ocf91LIq54aQI5xmP1lyhILXoHkbgH+m9BK0HkN0BTZzH/5YsK79roadeU98trovwVIA7mmmzhsP
fQsO6xx9wZV4UJApZRcdi3mBoahClk4TlTIjkd/AroTCpTPmsz4G4KQGV7FTaL4LRFW1D552urqj
NNRlHsDlpelowIB0j7gFcuF8WHm8g299D67FEl1NJMZRuk7LsuY2kuFV5XggL2MqRuBrwshKwACH
uEinau2enI37V96BFO9QA0fvZWEF/fSMKzl/NV4s/VSiN/hFLx5oOHUX1uIIvnt4JaFDE0U+jfDd
U8/E/dVYGW+ncJC/csuC56Hz1GUYJQgoKu0uYQqpvA3YyKdUqcnxy0SKiiMEmECfzdf1q5qC4R2i
ujhK67YvWNb75OgXQu48NTdjPnlxxw+Me85lZuLUPYy0GpeMmXrKYeviD6tVBVi1IU+sscda/cEj
Uex2TQ1f4LqD5V3vFNzV1EJ9cV+E2pBPZBzYmiHYqfRh9BZldmtCxSPwHUm5Wz1vopeR4zy5Eq1d
niFBKb8C5zGJbOiMLg8d3K0K9aS5o/nK6+txamb/rlYnx0jbAoo74Eo0XxK/4uF9JPi6axc9RBmq
f0cHSk+XDhDfNGnh8ZugXxNEiBCO0ZAyKZYBiTbOeG5DLkgmS6Xgj0FY+6ErW+9R9ZPESTSq6CGe
I2nv1mBo+/uZLs0nPWvno6/YSC9dpI/jaRhYD8bddvVvAy2n+3JQLYTg5/KDrBbXfShoaKaMFWgz
Y0nseTk2AJgCRD2cLPzS9QmsfTz2mVvnvjzMavUvp3gsKxC1rdxlg0EsTMDdVH+AU1eHqeZ+BVV1
PMjTmiTVWyDl/IB0OXspo2A2O7mO8mKAEi6cpDFcamzI0COXJZA/eeXotCuiUR4lKnWpdKtf7Ym2
rrhS0+DEbdkT8dJNwR1Es3lqfDTv+nKUuwhi9CybS0D4diFzpboaWjaDJKxmIyjlxIIuF9Emcjc6
LqpbW7HVO5BJkWs/7uf3xcy8G+1FfMxZWBukENCSFB3XHnHFjnaM9TfF4MtPrtJSpQSe7LzrA2rj
q5A20XFJVA00lT91wFzQULa7Nui8d4uiPEUSIcp0HNQHy5ruBLP53E7kltsWmhdeHK7wKerIy3VE
mTiIohuqdBJr8pDM9fpqAiMu6SymWyURCaaJa2h1E+MMXz5BhnaZduuCM/Aw6qk9OroWH1ttF7Pr
5kjjtJGunfa6oKS9Q04OQfnkwz2EDKn4ghi6flLDCKRtuYbHLp6mpx7G8sJfWBFeETeW6h5p/OZN
xE3SZa1cxtzvXHPJggL+jer72zER4HUEGTDMWJtw9qEDbounPggC113nVnM7ttUodkUwR3cU8qrj
sRAjwtJmIcFn7OxTsoZEi/fYd662CGiT9lrXrj0GvuUfBuAxG/hXyTTvGmp6rCocilWqhjK5CEGj
ytOlioyXuaSb/CuhApHkXaRPR0JdPtHS3KqJs1yp9bJaly6tgpY8Qo5xvW4JxDtvfBa75xVnRber
xYwW8x5ECLuOmii8aK1z/qUWNnqWA2TLMOiyURmUdehHjBpnlyVTeiWA9ne+HmB1hsXlxdxN9yGP
YEdL6g0PUsYFpIdlk1yZen4D6DNcXwf0t79pfwKbL5J4KlVyWTLngQj2MItlIelC0H2oo/GKrG4X
8JqWu6aR7qbwq6MrmvulGfiM5IQfXeDwB+QMZHhEB5mHfqgvi4jpcVrW4amkvlUZOo4guEFrOnQX
vInBKx8PfH30Vm1pamvuvwI7r36ffMv4kTQ4k7KJBa7bVwsaoVQNfQSx+PPNYKce7pcy3sEGyHdk
cz+v8pKAW9peLQOKshnvfb+99hSJMfizJM+qINNwmwQ8ifY+UKDdE2DSZsiaeWns81ia8iuKDKPJ
cQRPSMOYosVVVnTvgO3QBtW15zD+PnPhfWAaU+9Nt0L4l9t+CY4BEKR+KhKwlqdzSfldFfsmyCYY
9htixPwqy7qJDpFqAUCDFarAsg1uQppXRWnaPXiLht+5dKjyQvQO1mYEz4bKDKc4+aDvhr3cWumH
xzbSk7ooF+zxC/SitE+RSmhw1fZljUXNTZlPmusqbXCgyRSufJtcLsz6JkWdx8LBJY2V7+OTLG2O
MwMSKMEC+bE9Vw0f8r5vknofMT2Ut6YwAlGPP4Xtzo5y+jSCjotkdPJRZ5xkbOOMdmX8BDK0SmSd
FwblNWHIaDwjCEiWC2bZQp/9AgLGXyIJlP7tHKvRXgYA4/iHbirq/j5umpa9rYVW8gCCP/F1Gi0t
ryii9RU7V/XBHS2RIMhlX5befeGvoAhJqUQhAjt9iHscohTtvbldGoTTTkJe4R3EjCIwwYx+cMuQ
3fSb1IPV4fd+oMkl0VU05XPUNSy1BINxVaE5hh0qP+nUnjcYwXdzowZ/5wq38HyKoM2RqXls9Ac7
LrBuKHF17q51SFKmNmC6TkWsSJGBPX0UORhPp6eGlZC2M0KHgOzMiKdTnCLyfWirod9b4SF1YEfb
wtsNB9reKui++bmYo6h8cpp4bYb+SjJnbb+68T6yVbdrtEXciBikUXsRlzT5ijRSMO90VAcdylbw
tNMBCan2EfDWqQVlJL5wUcck9FVaGCunvYiQyPzQ0UJymiJ/ge4O7DLm3XXGg6VtBhmDRMfTSbmk
EW+G6VrBy5IuDSffF68FSxKZJoSrPh0hHPUqFf4NF6kK5rRpVrwHePX7V2S9Q4jWoxg6ZkXVY4Ya
Ha39ccYN6tw4gq69Cs50+EoMhGCOdRsMwWMyN7PYhQUWeeovkbknNRnV57j3wPrU1lVR5dVCZARI
gY+ejyFvuHb84xCsXvKZTaZF5mHqbLUD9NdD/NSokWeRGUiSOvjiy3kwuG1z8Mikqkph2uMAQc2j
Tvr4DskyfmY5Ztsg3NOWGtL07TEeictrrUy6avkvaYz/+uz+T/Fm7v9ZvBj+57/x82dQfPVlIcfN
j//zbBr899+n7/z7b378xv8c3szta/M2bP/oh+/guv+6b/46vv7ww06P5bg82Ld+eXwbbD1+uz6e
8PSX/9sP//b27SrPS/v2j99evzSlzsth7MvP42//+ujiyz9+owQMlfwEXvuvP97kX39xeot//HYl
X7X829EAzPLPa/74xbfXYTxdKPk7gFM04AzEaZScWs7mt39+Ev89hAZuHAEHwmLE3L/9TZt+lPiS
//c4jPFhQMCrH31T+B0MTCI+on+PceTRJAwgaAtmfP+3//eAP8zT93n7m7bNvSn1OPzjtxPg73sp
KoojylkUoYhI8U+886a+Hp+KINp59oKzcgd0fl6swHl5vyKj+dbptb1PHISJn/h448A/PccfgIff
qRf5inhZhfbRD4uL5aTswXt3oDgirXin+mdUgq8Wv3qMK17+oqUGA/2nd/3jM5w+/8MzFH00GrmA
oHGd+U1RcshUn0ga7bg+eMT+ZyQI/xzZGElqSBVxRuMtsh29AEkPvQF7wZb66UTYuPYJFtK/V9u/
JvOPk3dCbP1pUCMSAskWYoltEa59YaOm/kbc2AXfiBtD1jz/9S1+tj5itHyQhIKflW1RL8YWk6c5
qBAD6z0QNuSlHz6hNJD/x7dBpAm1G8KJnyRbAFnZu3EA3YC9MNFyIHTa9xM9lOo/I888zQlUGgi2
YAiPjGAH/bgCziJ2/POI4R4BejR9eqK3275KLaIEIfCJ4HH5OPh1Tk7B6a/aJf68lH+8yWll/GEp
L3VrLfqZQMgYvCzVsg/0VenPx+5XjfHf9v+PS+x0oxiZVQrhTH/bZvmd+ZHI5VGu03XpAh8CWSS6
dZ0AFL99a2YZ5gMYCtOlJcsOAIk1HdrkvtEEkV6VfIx5+5UNprqpUFECCk+ALX/6ROrlthHe04B8
rF69l07oGyy18prb4F3Qy2qPehXqb+065qZsEQ5MzRM0Me+hKoHM9MktpTES6u0aEIT39GVsxUcl
zIWRGkwV3D0OhF8boy/12DapjZXKEWrB/WySw6LCe6C3rgPew1kT/xmb77/WGWQeKEcWhsLs/Tg9
iS0SAxb56UKAHlfXdxFSDX+9YX66AGI/xGbBpOCOP96Bkb5b+hgsmc0CuhVk3CiDqwnhCoiF/PWd
fraeowQpW4azBvfbdLKtTtAWxZ4RwkbPy/j5RJsp2C+AY6drbFdZTJBmSQgJgKfdvM139sy4R14H
bX7w54bmXdUs2TcqzQFkrJlM3P6vX+0np1LISAiTwwiFHWUbe/CdV3MpWzi4zbpfgbYpCnXvd/JG
LNUHAb+8ZP6uNPHHQNLHRte/gOL/2YjjGSLOGIEnEERboJgMqmhG5dZeIFebn9g3AQ3/hRrLT6bw
j7fYSspOcSggBwQWTtcmyOW9OxFxNhBP+evR/BEW9W3R4x3QdwfVaRokW0zad0LOAGOp2xc3rrmL
ntnQZ7+m5vzZzSgsnO+z05rczlxSQj6ROJBSIle4N8y/7myyH2p7T9/or6RbfzZ8FM4WOIZZGMPl
+nGvBQSR16JOvJ29Rt7QZBp4rMBFv9hoJ6Ow2QQMtiJCHokS2NyNK9YJZPWnE4fnJF7XBokeWVwQ
8ZVGCK3QwIwWnJSs839uR5gPm+vjzCWcblFPS20XBlkHnO8TWnYRD6olyQf90LP3f706fvZ2yICA
JhO1ej8gmy3O/s0i2szqZRrK16bp4rRvhyQDiOW2DcxFCx6g/H9BLfqz+fPD0wbDgkHZa2ONTTIK
CegSyst1+YqK0G1bq3e0Apbor1/xZ2sSgwhWLYh5IE22sSbf2UbR0n5c1CSBhy1fPIoy9zKrQ0eQ
u//rO/7szU5BgB8nEV5wO3uBSwi4x8CKiZrcNwpS20AMGIXQv77NT+0kg4OJlRLDC9y23n3nI50S
kYrRIvuN5A97Dg2Ub4IyK4PPLSGpdV1ahklGiP7VE5yQuNvN8ccn2JxC31lLNZD0pCPXJEL1aeXA
S4w7GbALW66Ag9C7xv3Krv1skEMYXgZ0CT058z9ufxxYYKhVII5sJpa2rMy0QRn8V3KbPznQYVxg
44kfBCzcSvMsnVeXzYngdPF5WpF9jzp6P35ail9123wTs9kOJZI0NIE1g5XZit185ztFteYqGRq6
C1p18CYktYQtj3EVPvtGX3gt22sTvq1hAS4C1A+N+9Wsfuvw2TwKh/2O4cL4EYu26/c7OWpfVrkH
WL326L4U4M0OffslUYAYsLFrdl04AGTBRSbZUUM2Ku1k/4hSlwSIg77NpHX7gvFDJPkCJEK48+do
SUPP3LKAXyQt0t8JsXM6B/Ojoc2HeTb3fVA8oRQG2FvbX7Rt8oDxv1+hcZcyP9g7MaPXcQCEJpyX
nS5inY2O3Xqzq/JwnONd40iTVYCuuU79DsNz54uJ5JbFKOML/ZkU9Qcb8KtypO/jIbkGqKc4bY8L
bwhfec9vrGmAcIyGIWODIsizKcx6Wb4xT/o7IPXjfGC6BAAjfklA/J2iljAACFN9/uud/RPHCxMQ
+uC4JvTkSP64tr8rZ8jeH9NWy0+FGdtdn5QAd+CsOoFAm7Thv2L7+Nl90djoo3Afouq2DY6DgtfG
nnhko3B619XNHaP9oUOtyPfWh8JIFN8G94s+0J/sMA6GpTiCygaL/y9757EdN5J13VfpF4AWgICd
AkhDZpJJK5oJFilKcAHv8fTfhrqqJVHq0tI/+t2wJLHSMBBx49xz9sWx9ONn/YaXVTBdedxpC8+U
o+aN3UJt+1vO7K8+4vcv927H+sabLazoVPSGte+aSeIQnC6Kvq89s8H+7kqclP/8K/3lx8QsCz/X
FepPB+0vSLSIqsxtM+oNqO3fZAR++WKmxv2Ag4Ff5Luj9RuZNsr20TSdgNOS5z/hmfrnD/WLIhl5
gE6LburcR9+D2gYczFo9AJMdtfIrp1aRyv0/v8Qvtnm6NEy0MchQUhO92+aFig/XiXiJuNI3X3m1
TiSDaol+h2j4RSVkqhR6JgO+LR6+d9/ZN0AzvYOLstTYm5iQ6JbNmxZGwQxn0cevEnu/pzZ/ndb1
br/9/qXfZ0W7aKQzwXi5s9G+bbXzqkw3SlJ5rbS3vf1gCpAV6XGy/yxl8PVmYGq6TqUq1mvk+3FF
bh6PNIpA6uKV28j8czf+7jv9xfpAPXI5OTXb0n56tv/XZvT8YrGzzLkoOmgitvH+HvAN3zswdCCa
VoKvgeNEK3+zEn/9Oo7JM8x6/KkmH3MLjYU88tm0yE1f3lhYtzP7Bi/1b4r/Xyx51zZtoXLr1tbb
1I87InGKEgEYtG+qfYzWJDhwX+13+fiv0u67RUfNreFqtR133Svevcp/KL91bd0MVXjVZdW+1OLe
Tyv7k9nlF2msJLA0U4YmJ+XOdsrPDIuaPWliriDCE8x6tsfg54t+fJnxOSZd/rKk5SEfootJqo95
Rios1PHoKr9jDjlfGyTf3r5DgxpRwtYFwrXj6ub7QNHY22GWLlF9hr97tS6ozXxcLMX18Fh8Wmwl
9ppYf6QhPwdJ7O7CmembergMvozhwMVdvW1d1zc647oWbXQjmrDyZr3dNlXU+IsuiSjjpMNYdqtF
xk6vGOYl89X6Yez6Qtm3dKa8xBY3A+PySAyMQVXgFZq76pbewSbSG7zuTjbvHSt9qPR5W8rS8uN8
vG/JzgYUIi9VSO0TLnq0bWN18RtpPeGBeMVFWu/ZDnErGPrExc9JPYQCag0INywE3Dc2FQDTUPdp
GEYereU2cDF7Yrd3gz4JX5cxZyJbot72xrCNu+zgTHQ0S21L2/XJmZejqlNUanZj+1XS3BlDLDdT
W59nitwthfEklHEf05Xm22kv2q46jphWHMUM2hDzZFwPp87teCmCF8JU75dFr2ibxjOOZjX2CYbg
irO0+0ptXgHtBIRHbK+OEhO3YhVv68y0g1zRVN9K+C2lchj3mtaGgZ4NLyIaD7kjL500PQOltnWl
4+N3u0jLiIm1EpNjtnOMEgvgoMR7l5DNscyVB02Vm7rX9rnbzxDqxzUWsomtLiK8UDw6c0XXm0aM
p8u82wyOutOg//BJuo+DjQV/Nq1yb5j2fI379JVMwVmhGyOW7elNoWF6a2Lu22HvYcm3xWkKHexT
dcZcJs7vFtN2p1rPTdttu7gMAyVJT3pjNTgDnQsrSvp9XtcFNXtDs5XnJ5iU9IRo+rnq0hZzeCg8
Gq7nhjrlPtwobyCJ4aTdM54+P+kzGO3JPosmLZhz5SKdJiNIZPFsuvIEnuaRKrb0sMvpfqPKx3Ys
noXUD7kRnWslHnzG/Q3eVFv3tgifGKDyUbETiqxw+og9sfL0sn/IxHgeTuJYOctySVrnqmqGLVe5
J20esWcO2qW+4CTSCSNoo3IyZL8Z7DIwtKL0TCzJl3A9GYAeR46X6xiZ1dpOAmMcb6dm4ApK5V6X
+haj2ZVlY+YM+/ltiHHIj6hRcReibpRnTVLvsDheKUXPNdKcS6/v2zf8seIJXiahjwqM433MpeNS
KHrsE5k3vTkxC98qWmdDjOGTGyqvlqJjopxjPnI5WwfTVF4dQwkSJXswCnHjKp3YuhlqrGOEWILM
evCspsTZWt8RNRi8dFJw5NRFvIlSJT4uZmX6OD+I0FjFrTmGW760yyXvKINDNg8cpcVWs3OXPHP0
pjW0tQs9bvy+Ds1zNVLOo9UDrPZzS0erYZgmv6EaO73W4VTXB534TNZ+6TWa9E7tToHVDOk2JU6C
JSQ5R5zGolPb/jTNtj9L7WGmce4N+vJqVqXuLStQJo2dAXNDzMbAAvJ5qp5Co0/uhCQOaRnkQhJl
U/Z24dez3uzUqRjv40k5KGGG6aCads5MW8AIjW0VG0SZ1E+znl/27bR8UYf21DFPijXpeuY4kU5x
s2ujiR+azuCJxV42izT0wFo4m2aKRz+LC3XXmoCRVGFf5qA8Pcc0aSBWV5EmC09mpuPxaMxezThq
/L+LIAmU3eTKhDW87myvbVsrSJM2Iq4yxoSkMHM30WAibCTSzwTBKXgdb+6SvU2VmhzKtF1/UnvE
7XsCMuZsyKXdxp09rPGM/UyKo231I1aGhKBCdmcsqHWywI7j2YokZhBlfrgoTxZBl2Aq29iPWlx9
VquPV6VMjY01YoztQ+PEDLajmxqlh9PA8vPSuEpd294KfA/YvsuLWE+QYGZTC/QJv7U2KSDcddvD
EnmtuCk2uuHcbpvrYYm3cUgXph3kdjGw6JvCuGoS7pmDaB8l7s6zWFcMv+7z8ywC+bnU6R1DsD9h
SDmf8PeQV7MetBAPMqsmIw2nMBBBwkvwhWE/1n11Plk57ZOq3+kqg0Bi2z40S6jv1SGhKmLaqC8r
PrfpTpepNWwlhntfhE4N50Nhx4BxyOTk0CM9iJmldjo/7g3eBrQY30049eZRPcxJ7mCk7esTqUwR
VG5tBLAo08SLTBm0k/WmRfVDZ1njBv/5qZumwbNNQTAsim6cPsWoY3dvamjF+2HUME0WbYDIg8VK
x9TfjcpmSRCw+rH1cCsh1tUZXqBq3I529EXr1Csd0yIZyMKXUX3DRZi3auXD+m90z+V67+ljdWBw
6OTrg/miJVGDy8uImS1ihp5qjezp440mp9rv2eG9KF1IA2TpR2kb4Mgi8wr3W7ubiqjadFhthjy6
cWWIvdwWtddl+aGkp2a05hwgrjZB3A7cTnrYtcbwUdhjwvsaPxImeyTdb+Mml49KNUuv6smOJJjH
OZMuFjvb0Qfp1y/lWNBw2+nKYAeI0IaPx1/x1DJ/XrpwL/USox8rkA2KUNpQXvLj2ApHle3J3bWZ
uVU7eZ1JcUxK0mv63L8VBg8pNmg/UjNqVII1Sdqx9WfVJ1In27kO0ZbTZ1Vxb8tSXo76srGXZS+7
6Uhs+rJtu6u07bw6JeDMMPPD0KaObxvZU51aF0Vnpx6WG9Mzxml+a9z0puF0zMTU+FqhNJvCCLlK
dyq70+pxFR4ed/sjTiSyfNiDAR0k+7k1fGFj3wvtUNvGtcSObqqXuhrj0S7GfBepTn1yuZ2fdwIf
Fbh+bZMn5rib8v7oIK3mbfUYmtJFrDEfh7C6Cd35c7oMJyLfIW9NZZSuem3Wve6x7udN3lMlVXpq
+mCvzE1J3tRbKgXg0hB9GSfnAnca+60a69u0IOcEe4yhAFN+o5uDsWsTTKK9eWid0iHDZnyqszkL
8r45Dlbt+uM8Rs9rTRXmRXmaUj3z21AliaS4Fzi+5QZeY8QluflsDuaWJFu17zugqvHQOTiaSIPW
VAY8BRoBA9vkisuQTUYgpUGtu3jO7PRaquI4LThR54x8uL0Y7LRmDBGgIDXZ9tongpkQtbR7K2fB
YBzuzzqpPHeZINagRF/6eT5iSvzYSqzXY0ver9DDG6Ux8rMuBLUu2FOPU1KfsrKufa7d855G573u
hOlx5FwIJeN4lbBkvyjSp5Yo8YXNae3JpeLt1Mo9/OP6ABa+wV7HiEZVKuGxsKdsK2rrVvbTlZ5H
hzrFhG6m+W2eqwdtJH5RlDwafPgqaNJ8vBjnOAyw2F0RtUz8SK7P7ugU21Cm8b3T5kpg9xWFkqqh
4Pfixg6Tp3op3N24jJKnYv7UMCeSjd0KHOhOXpFol1levC6qeqiWlmipilWOXf1OYxq1nxb5G7/A
F7Wb0wtlciyfn8r9Oktr5BlxMiAinMVufktoSXpxpbV3aWeFRyPKB5LHyXxoLZeqDITKzixt1FCp
iKAL00PKbuCR3R54TLsDLk/bjxclJTWLPXOa5U1acnIn0fw8Mb86kEq7V0JR7+jk3VejLjmIKAiX
Mboqsjr2G0XdhIlySfj0An4XpKBZPOt9tZsxGMxxSm5zMnP8/MqdEO0xVeVd1JEMKvDTeUvZPC/T
kGycwsXrvnSL3+mduFINxfIEBxvzKW5qlaAuNUWgUazKAlagbPSj0hVLgG33xkpN9+g4S+SPZmge
jJiO4sQ8F3LwoekRS9kvMdZzuCA73SDFWUXdIypwG3sakzx2InUvqn4ofGOyToWoripXvUpU5VNe
hNfpZDHXR1uNuVzXkqz93C7luV3zhtHCvSLDvzrl6tlUm8mms1qOJaZSHYjtTwfVVE5zWB06F1NC
LSXXofyRkYbqcVTkSzNTabEUP9mzyHaui996YAY0N6tF9fI0TnaKKF9IQN2WIdu9M4anuePg1BIs
UYAqH6ICBymMzL0cNBIpS32pufGBgHDmjU6ZbCxpfaqcjg05asIt+IanNV8vBTeEUFyLUE08yWiR
ralP1SnS62ib1LZxaPCGnc0yVk9FG874gPtEP4cdIHxGgi8QAbqLNlrOddE7Z/+sqf2oZPz77szE
IVfo9BfpOawCxHc2lTovaLzH2HpYLxtl/JgZR7Odz1w9/iN98K8XWj036qrvqj9RtWtDUEAx6zhL
9NM665gE9W/IPL/6LEAnHRJTqobe+U7G+DbzOEvcXU72cB17POITzrX64z9/bT+qWf/+NHAiac6g
SAokoB+/tqanXSnXEcgG9rGR3VnE5fXXl/gjw+ZF8qkp2/JL996O+YOD89e2zv9tHZsrxOs/HrrV
FvqDY/Mq7v/19Ln42a+5/th3fk0cTw4+MaQ+d8XdfufXJBqp0zygR0+H95tfU3xYvZpIXPRh6a2t
CKS//Zr6B6wluB5J16OBavA//8Cv+dVw9U2OWrVUYdm6rVuaTQNFe99HL5ZGAxXST2cq7bAGg4y0
xkMjnbc6N+8KY3hoJ/aOxh0eadxlga4bD999YVw25qgsvjcd/vgc/PUGbA0nJ+YmmKB8Cd8/01mV
oj+Ny3RG7eB3BhcIwlqy+iyhbPzzK/34GPz1Sl8lN/wCiFnvnriEJEjGdXViCiYeiHF274ou/81r
/PxpDA1N16XjShsdSu+Pn6atU/5mSaezKb03HM0zk4aThgIxb7f//Gl+9UosptVphAaqvccqMUYJ
i4XqjGfstZtZd19GMz5rxvbQKvVvfkU/f3GGhhuUjiq+Y24777ZdElKatGN3PKtL57zvzAtRNL/5
NDQr+GZ+XIhckfAEGHwkk+7hu9+O1kunGOKuO3NqbbyMKQYHdTyju/CpWatEda7mvbVWjvVUQNJZ
q8m4MY+JkZ4Y95ZgFCAWGtvTq5aaxUZSiPIyqV+ttWnd0tp1S/gnw1q5TrKt9hbFrKH1n8cUta0d
TUlATbnISl5hXGtgd62GlZy7Q6VPV9Ucph6oANfHtn+0MpEFMrI/NWtJbSdcVKmxc/LCEGzyG66x
wkvWQnxcS3Ilp37ihCU9Ti2rUreXI/9ArKV815HAkV/Le43OMBAbsjTU/obQ7yA6cPnhVuCut4O4
vUE+fexVSnbeP+Ptmu3IfaKvomnnKi5t92WB6bReOxTU/hM5N/JQYwFlxUDnTGARKnO6rHFPajMG
8ThZEuSRxbWrikvfKUt8NPOFDF3dh9iRrzIwIWJRzp7RyGqnmFMRFKmk8Uz+G3B+9RCiVHlRY9cb
kVsWQVxjF08u5I2urel711sDo5PvVHbpC5dOvKvdUrMf1HUQC961dDMopGj7NCVP3z5JTiZq8FvN
nq6WdhnxC+BZD0ZNz0gaRJPyUQyd2DR21RVEFy3jWYeRsB+ztDmpZXuZkLQIFui/Ows0kZdaykUu
+oeoplzqXf2+ibPd1CXJLm6VB6VwbiScfn8csu4ui9X2ktHpyqOWqMvG6rgPVuHiIDYAfYAn7Pjj
oj6Pzjx7apciQkZ34zhl2AnSVwoF6rQpbxAdravZqa9jO+Qbj9txIzJN38CPoJi3iUwtTXiUaJ24
9tH6nKYizrpsq5SJgkYyukEZtbNHpUUGOP9cG+VZi4djUzvipRpYmKTD91qVp94UaR9F5ezDQX9u
kpBfmKE9qV2+VytuElmrncw6uXIVtOuicMD+ZOl56UzaTgCDWhPXftrXV31sWjRxp6Po80vCttQH
3T4Vot+atRvtyiWe7vsZObAYq43i1tIj9Jj6rM8LJvEFNrkpdOp6Z1sgpdgPAWz0GcspNT+uwB5v
MJcsgELy2kjCnS6XObxcoBGM7Dpe3E2cxHuTnC9QGax2AxAWJ9tpUYrxt87uda05JKbxWvfLobDy
u7lGrTc0uXOjWGzrZfXgCvsj2r/lGTHKQ7P0R7AJfDRDe9Na7cCS2Qt0F7y6ypfZdD8neR0Ua0K7
Li86m19lWzAgROt74U9xn+81kzmDtrZmd1EGILqgq5mQE4McaZtJxNvBVawLvY9uZai4O1GGOyNW
BtxYwxl5SdOHsHXoHaCiQwagwB6Y8jLZ2uJLaDNjLs9LTQP7s7jLloSZ9traMnuzGcZ+BWaECzd3
Mm9RmtN6wmx0I2WHo0XlEeFL95GbmkTfVTRBmjJhpHwslomrlYiNrUVsaqNOWuv1I9dxRrs+jITv
vYpc5Lo79b5rkhPMdAk0RJ3RReJiQsiqtFPRCUHITnmCBjOwSWWnaDStLeLAU5oAuCWEB820tvxF
aYk3h9NZatCkUTV4CdOEiOkQkPJNM+v8SjWuk1oWpC5s06umHs3c7YqNmrFmaEcUXqkQ87TZn9er
3rkbAo6cpvhxKdLMT52US3EqIvKr83CYpuxeHZrlrFXi+8nqzhND2S6jax8JXB6tKu62UdlcyRhR
s0nDxlv0OTmSxrthA2d6ZtHJoOiXl2jMnXM3Y3gC2KRopy8x+7UTw71Kx+7UuxLFvl0gJcm7FJcd
p+rn1CCn3gyqQDyOhw3J8NWgDkvcdtn2ijF87JhWHERTSOSYb8AMmUxiFfJMama8gQ6m7tvMvQTn
1XlT3ApPhqaz61rtXl/Kynfm/IYtCaOOPaqbaRpRlfPcCWgvNTw6CcOYjJIRhkKlRxluo37Q/UQm
kc9/aWwzyUshun09W4OfROonR8+vrLG6sBlkUjDQEklJUzcjJhQAghHoF/aD0Dji6yP0GqkveWaY
JJ+6zjeb1PYKLT/aqXFVKXAHCmNX6nm8WWxjg60y8ruhBmcyK9bX4xVxu7fe8gYHj5Wq2hbuV38g
BsavzNVyVhAP+NLSm6giedUOnANaNT+RjruzdbBnBlGxtslJKlr8yNRW28ERyCILCTKCn/685K23
uFzgc6fi/E2dJ4Wckd9boSBIHXFf1WjsJFG5yzR5lZdrZhF8nU/IMCjg2RFeL0222OVg5dO9ZecP
NgOaQSjwZJat8rQQ5cT1XbpeI/Inc4ruawMH7uSsHIw6hcggRER3r4XzhsriVOc82HPg5Mw9Imn6
JYrEY1zJCzKm8abV1bdIZQWPRv+R2UvrJZ/ma6vmll/V6Avpkq+St3PG/rtxe3mi8XckkwqWQisD
qxc7I19oU2cFYiRsCK/PsU6MkakA/sgUz6zSlzmxEf90Ifw84TJKL2PGMRjBGtKTcpMVkbIN++is
LQeGEZn7knnA9A/afaFzGFVt+8kKsx19o8iP+vSzkLHrteFyUVXw+Yx4qTeaqrYkEWlJoiNXgTCc
eUuIsglE0RkeRBy4l4Rp92lWnSahPQjwYdeKwsgOxV2uY/TMbWSw049wirzOdgMrQR/owhcj3ba0
RFM7u1EtfI4Z2csxj09Zrl+75nDTa8Vx7KzAGlGkpYwDcBHups1tFY3EeGPHWQKZ2ZPvQiniQSiL
TZeL3xTrP/sV1gwdU2IINFAMvo/WKE6VL2piT2fJlJ+sIt/QHHis/vIa/b98NVZsnE2ubnBn/O7S
8tPt2H8p/nUXl9/fjn/4yb8vyOaHr1U/YuN6S15nfPx9QTY/6HgJcVlba45jBV/+HWhUP+CbFETg
Ve4lXOr4q78uyO4Hdw0z8j8iN7B6jP8o0Pj1Vvj9vQSDPvg5C0HfWEMI70eRdsD4rGTpZ4aoKult
VtgX5Wz3W/hCEat3+jQv5fJSdzOg8kHW8BQh3pmuU7EbJQVBfYhqQc2seK8z1acom55FWwDu0CwZ
WJFVb+3avdKVBNaiVDFBG9BPRnyA50rHsSnHYcdTcAa04DwMM2OvGHFQDGXqx5F1STWJWcMtLxPV
rDbc41/pZ12UWj8AHpyeaznuYsHNfbKYFTxJcUUPkpFXWm/V+wywgd+pk8TNsN57KnJlDe26LaCy
8rzFjBL749iOr0Zn6Qc6985xtFNdbOIoVK+hIGhPcTZR6tSS4VxdM0THeiqTO7NsJzdInYF7QllS
nbH/ts5DFDsG0C/ac6lo2mClDXvScOS5a2nbZQ4fVSv8qKRMiYLaoVHpLpUoCPKnrUHAqtDYgTH1
rNtgE0i1Ua6gAOzVDAXdk8NUBYBzmFfiZtFIf8Cx+eI6JpcDWxT0vBVuKQ6gtE1pyxL4QOUOQdqn
9nkLDTq9iZSL2okxAmYYI+x/7zF/9PT/WvL6QRX7Py7JvE60+e+6mP/yr4uX/vsH/9/55/Wnvj31
qApY4DGLrW7475564wOuTGFYWDRNHj80lL+eevcDuoFuoxVZyLL/eeKdD6wc7GYGggsha405dH8g
iaHTvJMiHJ0/Q+xYvQDsI+/dod+4umFdKaQABngOg2Wpnli4G89hhDlITkroC0sz/GoA72KG+pvQ
O0B3WUajXOiqF2eNeqCB2h9bS0b72SoyLhHWFlTBuLV7J9rgeNF3oFJN2K8hiLWBh2LuR92306be
Y6cXjCu1nou2eAljFIwpEXt4fc2rpa8UTWGDUbH7oX0dizoEhVIYdzAjRJA2RgERM9mkmK0CEwzD
y0RVbKydtbuQtzaNxUDhovVeFNYnO+3svWpXxT2tnYmLXN/vO2P5wszHdltRnYNEWb0kYe/sJG6B
KTe0bTnkzlY1mmeXO/gmay3wqgCuvC6H79R01OBmLb7ISNOpWTUzYN7eSwQ8Ry5YkuxGdHBmcwU+
WHPo2xrHuja0ZE7DO01m2kUmZ8w1C/5VQbcQbSJ6llNMM8iFPGHoEhJZmu6bJlO2RplVAdzP+KKT
WYussIAaXsg92DHsUvFqN/HiD1F34UqluaKdepzBUibqBX6wrZk3J3OIn+tjyMaB8NjmGXVkU86+
PZutT/s8xdLRQKPUBbWlOdbbrm6p9Z26urJUJ3wZVXvg/w8kyaTTSH9ks4wxORIzfI7MTHg6mH98
dZUoL20jPZfd8JCNdVATSd1kfaZbT2xNza2a6wkYCqfubgfOvUOmjw+KRtXUNpGzzxX4GExpNdmV
7VZMBSwmwI9ebI7uYbaE4cfpCC1NXzlY0Bnzu8JWDq1RYckxyy1UsN3SD9mR7ts2bcJgiIYEPggY
u9gwFH+e3RKXfg1r2Rk3iKd4u/re1a6MpRze0lSE7WZBHgk6VmhbR5CSdbIUOoii3aK60xVd0bH2
jNmRzwzTmq2NhpHwDL8IxBzSpttkxm0WjyHswYQM+GMnpLUVLK3b1NCjTeEo+jNLdPRMIy7PJZiy
XdaDnV00scVWV0Gxa0FDmY12aTYOxEcoO3A+8/wBSW0HF/Vi6EfruVXy9MwWI3Z4vTbni1HVeGbF
8ofOf/YHnULFIS0BmNV8H2IvBJMhypz5BJWb+Ot8AkhivnTCXaH8pkL9Ovn4x+pDp0B1dF6Jcke8
N8TD4PlrXkGkYB5vG1SnayC150vH6K/EPEXIHIbK0IvJzyCMggTlYaX9jjTgVtoBChRKz4wFr9t8
t5//QrbXftokBXukKehSsIOveaYfle53nBEbKGEgMqae5EZ+2/Sr8GTSZ9RzAM+WEe1dmcNJyMWe
hf47U+17KdxZ3wrdEKpHOiLu+zq+0X5mkuht+KWutaMpxe7rB/+jA/3/yk7Xuoz/+4l+W376113z
UkQ/H+rrD/59qFsfMFbQzSJTISCB8DffSnkT7zNsiRVMspq6/3OmE1Jz6MbQlzR1R7DO/lPIk53A
C6oRtTQtYtXWHx3rYu29/PgsiTUmgatf5cZAD/nHFevC6GltBJF9WGYQOeOOAzmMTTj4VddjBotL
49yZNbHR7ajZo969wLDPYAM0efilU3JxWFYCNy7CeF/i/sKqNSotHFJEglLk5uqhirZGLZ+dJe63
Um2HrSMn4BNthV4+SfMSdEv5nDKuc6sVFoflnHSVB/4SVq1o6quwbPWndR5Rbgno6GrXfx6acQq6
CPxV1ZvdY9IYn5tcRPiPEYSrC80OUZIz2LRvzQJHNdXc6jB0kfO6dB2wQR0zjNfmbrx4tpW697WA
z95y5O0VO7Uf0rCbYd9FKQcabPMgR9ik6nYsCmo13TQ8+KscdRYa3TOyIu+LvRgwG8HFavo45/ar
qTTneDWLjeaWRwtanafk85tdZ5s4A8KwxEf8lPYRvsDOLjv4/3EBH7aMNIJx0nwTStfcFNpgbEwH
pVsT0/SqkM4bfXVVE2DPdYci1uEKR06JsbIhQieg+YhlsH3A5CCnzVbzwqbi7EibPcg0/NEC5VJ2
yxUjNU8wAgCIielqKCfzPGwL5F9rG7Ml1TZ+Hoz2myxHYSqb7LGZMvJ4jlp7Ei4+F4dmZ9Ar0Kos
9fvQfi5mPKDYi60t+iriPyw9pA93GILWMKvVsXY+NghAoot2S9zs7D4r9ywmtQoyrcv2asrVJNNQ
aRhTex0V9qF0hwoRMHzG1X6eTuiDeNGtC2DGmmchmCWpBXd89UzqkfZstC7V0vQQKsNOt81Xs2uz
Q9Hkhd+44wsfx8GJqqu7sqyUnRi7S8Oc7qUs79UEfTyqHxuBtSzur9zF2RfzsK0i/ahG9b25OM9O
hYqYxhvXHa64/KNKFcoO0fHJ0c3r0amPBM1Pmd2QLUACRUUuqoGl55g+1ttD0SnXeaP3G0Mh64cy
ScNk1BHP8DPZxkrp5n5mhg+EBygU1IaUgGyBWUfDl7hbes/NhyspBLqZK1/7Rn3R+AN1QsDGJQiF
LK4+NyY1Bwi9k1oseOCq+yVE5loyPSj05QLt89RRDG5mmexB0Z4XanGRjKR5i/pUKOWDPk/PfWY+
ZWF1PXbJR5ODe7A600/VwXjTZJ8GcERkykpLjY9dziOT8w6NUb+u8ki//f/HyFfElcu2+9+PEdqe
MZpQ//ILz8T6k3+fI84HHDGrYQKIh/q1uPj7HLE/CI4K/kIjTvv1hPlbEtI+UIoh0pBdpwggw/6f
k0RTP6wYWooV29RcQl1/dEG0358jkBusNRhG7aeR+H1X+aRNzFzoiHrGtPvEbyDeDkJcsgertPuV
m7jXf8d+0n46urhJrs4dREod8ch8Z5LglCybcimiM2ewPadn8HMNGNoCBrpfUbDqmaN/ykZ983W+
BjnfLn777rf0i3KPqu6nT813zr2bDj12Efe9UQRWK505YERAgabed4yZNpnVUq0Dcw1fRJWYH8OQ
5prhRuFZUtKz8hiPmm1KFD4PbnrNFJTYsJ4qFxYyd4tm07lI3OUCCWZkG3NbpmZgZsteo3ZtfQGO
/GJ1NnM9CMxvrdIefUdUMVR7WR1HRHE/I7HCzI2i7oKp0ZnCkYVpbNMViea7FEDJfVQN1RaS8MEQ
2V06hrdZRE5xjAHoRE15MBrrXA7qU2kxl8rMXMVTAI9ilO+ajV6qb22Ul2+AcI1ALxfM13nRHlVH
Vz6PDJnYAoXbTwKEYltxLJKSsCpoi7NKp8+hIa0tlnJTdwru9BaObJ71s1eK6SM7lEPLCEL8wr9/
LYxWXirtgluhLbR91eYtK0pRPG74zRnt1BtFZaFZyl4jq3XNhbbzu6Rh/CRMwnNifcs2rnIiCqIL
pKOJ0lPjuP4M/Gh8SvquP+HooKuuriT+fNg5qtT3tUFGaap3Q1Fnt9Ja5vPOsPpNkUWP0TJfctPa
Dfb/sHdmS5Ia6bZ+lX4BZIwOXJ4IiCnnyDlvsJyKecYB5+n3h/qoWyWpe1ufq2O296VMKmVWBLj/
w1rfYk+zAIffm/2iAox4T2NdcnvLhYZYTC0yHR/jWSf6r7ZS93SCP5a8FQEtGVdV5pt720UMb2GC
2FOLlTdp1UFaZcOh23Z6GpUotoQUlJs8q+J9ss72pCoGdqbGM0rhNxARN2PpGsdU9C6b8jTCOo4k
liFnycdn/SB6J9nIqljCeW0UB41d2VQ6OTLfhZEhphg11fgc1x9ZgyNDimBfLbN4yQbtW9hKPi1R
OgU2KSYDS/g4PUnf+xwi2wrZ3crbWujrVacw+iyDEd+2dmSQ/Jsf0rI78dC9LkhjnxiDssPxF5uc
OkPFsFhZyqAcSHWk4LZ41KfR48cnz9Jqr+WiPbfacm7GrMGSNHiXOojfsMIaRTVHgaTH+ktOoiGL
R3FR5FVyAEP6PuaYKYAXJlvPz15G102CmkUna/g0OSULkEdbjNOFNM1PUWL2HbJGBYvRdtu85hOz
ycwKBlDrG7jfLOe19pO8ogp0L9KQ0VTdxtfqt6gk5CPS3YuSPAX+Omzy9Po19tvHOHfwS1UkikxN
fMRffm/UGPdM9tcKCheymozFsZOpEPb6Znbc+rFrCj8wUje5RmlLao7jrwT17mT0fM1J7F+XDiDX
hOAQWFpW4Ed60Ho19VTdEVjh69dU5hwIQyRDjB4HUWnJFo8GXgkyiXJw9664TKvMpPWlHkO7UT02
Joss0kKNADm9RC0ddWEJGvDDZu0YSttM96xWcQuAlHY4uzbx7Lyiw3a2hoaUg4FZMGY2/4GhoRmC
fXzQrMwJ6iRmHblY36Ot361C6QBhQxNSRe9EzIa4spaLhtU5iODkyiNViUdS5XgxGQ7gbvpKhEJS
b3dfjKZ4Il3WkZ1gnZiQ7/JoEng1EIkbAL1/bcoZi+Gc6yH0aWdDcthEfkXCEtoGBN4UEWMv7SCd
Un8zvKXPD7LhdNs4BB/5fadtDATTlF3yJamgpqb1fGMyq0pYXLBOrUjwUP2PYYWqeKnH19h49Sc1
Y7EzQe6/CmWTBDRJ+6moUWNHsetvSb4hLWtyr/KqgBudLiQQIdnZK99Ld7mrL6RjDC+9FkXI6Idi
O+T2R1nyXMatuq8aPoWsQgWT+d2Rnmyb1fMt8dkfsWt9k4IQVko9srxBiVSM79J17onAfYHWsJNl
RA/l7HyH9WQe4evqnh03or1ZXTjKYo1QlYSqCVSJuBS3FUI+Hk3E4BjFR+xHQxnIyvA2hjmlQQGP
2NVs5E3e/K0ipoAD9IQSvZg79FmA5fNgdy5QYRawBSdqEpfxRqnhjYyJh6qaDohgPmcPxVkktLtK
pq8UoWaYd56GISM5t06JuEEvHrWCG4lYjTu+/8e5QaZNiEW7YYn21glAFAPuqm2aExRUwKSL5YKB
p0n3Q2sQQuONzHYSWqcBQ5m9zDvDHy997HibrDaO8IzuEhMPULY0ycYtq2kbNeWXjihr400g/lFm
4blx+lvNlW8t4y+ck/gsMOBewMwrkVWQaAFjln4TNYDTaEfW3T/yPCJii3EnTkCu0YLcR48DmLQc
nng9YWnFmFK1yFdax6wOc+OrDWEUsKNlz35cL9oApdYm8/ZkOnLc+VMOgBPXniC8Bp3+F24wl75J
NeKjMfvyIeGVfeujaAozS/pHBpYXYkKANArnVORio018Uxs0SPWhow+RUi7bEtzz1p4mRuRD0wHs
rvtdX1unIulO3pjx4wdQ8Ag1tlGPt7DKh48iVvs2sWiWilUxFd/ORnzk1PyEvNxD62dQ6eD1isrk
3RKMVjGXoCuST7bW4Nzpo400u1OSIY4weqJHBycHbVw9LKLlxdeyayQKvMq1fkjB6oYF9QE7uAez
TZc9CMACkc54gJBWBf++AjP/XAO6rm1ahu4hFfaw0/w8vki53YBbz9kxGpE8talguRiN9rag3zEb
fdknWXcdLfqPrhavLuuCqCPqoLjR5ctQT/vWc2+hRt/11BlEMs3+bkld7JxFeiyX8kdeDfFToVXl
3b//tf+idF1/baxfkAc8xkKruPR3mn38E1HUJ/zabrvevUcz5txuwBOb2VaV5f3Ueod+Ml+6UVyR
34cMwkcaOW9+/TX+d2q3wi/+Tbv1zQa++/7zzG79Y7/1WuIXeL2s3kHFYURYx2K/9VriF5ZfgF9A
Kel/Wr/brOSpYTwmdzh9/9Fr+b8wroa8CIlkRUAwmf1PpnYIf//YdzCpg/OAOp0xIRyaP3RbA+KU
aNR681A4g/NmaULp27jKjH02T8WEhK+fqf46bc9FwFjA6JZzPNryIupGpI54sOrAG/V43zM6vlTL
cGi6xrnCAZl+IPBzmcRgril6C9EY1jyHFUee3A1rmMeweE2Y2Fi8dWnpW2zb/m2GGfGQLPl3ZGl2
wKmcQRAwiAgQXApFgz+XVIL5LW6S+GA4dXdFBhxiIc2a8q2WeFNN9Ic3nJpuuJqJb3rJ47h5FY2r
H6NpYLejJTRGTCvqQzTwz6R1yYKcleLWjGuEszrv+KYyB+POTwbtsq+qrtuMXj2+lD0Ge3t2HmNM
WNcWgiRwH7EKBtXV03YRJD3YwqROSIZ9PVBjYgCS2Js8CI5ufGd0bBA0f5aIEniLN5o9x3c0Iu4P
Ur/eBtfQAP1Pp3YydHYxMftCX1pBtawXsGe0rN5dgia1UZcojJqa60AKiszYnCK64g5fGVlVqBWY
RLpY8Uzbucf669UBxCQunETrCT9C/UPmIeaUBiltAgiOpgjlqddbOa5Ad/J//O+h8OsMRoC7+9eH
wh3Tl/hv6yTmz+fC+if/eS74HAgopBjpgwjnxPjtXHB+WdfwkPuwYjFy4d/8NoPxfsHiAqAWvrP7
85LeEL/4po7tgi0Wb7L/n03zUQf8NMtf7xNkA+skwgL29sf48YkWyhtJNDkWtHmM+GwMfSWIN13f
AwvZ+SO1U8Sr+PdrBCnGX+PN18vq9ysEfiwjGMQKHrY5DqP1jv7dZWbF4OR9NTnHpR/PZGzexon6
by5MNiF//hGgzJBCc9ezYPv5R1Dce46e8yMkrvGMxCcjPnX2f0NwNf7yp/AiC1CnpiN+3ZX87i/i
kWvPgMJ2jjhvKfW7LfFw2LUf0ZgSkHegzd96/VPPqSU4YWjqQgroAJV5OEdN+Lun7y9mS39c30G3
ZqLmUhrwZDhcKz//jXUs4ATM8rt0qIUsPBQLumtQ51f91N//+x9FMNxPHy86M5RhLt8iaVrrfFH8
YQmUtAJkAMKLY+qQG+FV+vPQ5CrIU48andA3FAAMmVyDUnjK9XdLlQrJkt/ulGnAdm+nZG8lDa72
fJC7Wq8r2BViSxsGaLo2Vt7WtGxa0dQhmbCBZvlP7lQ9IWa9NTA0Xi3acNHjQcHFkn2pjnEZCTc7
dmmKHqbxAbTKC9eJEUwOmhNK4dx5ZU1D0+rvlVk4LyI3ln7DcKt5qheLy6AfWPu7c/NGdCLlrcGo
0IOuAQOMDUok6z39P3bfQieo78pqnGzYtbpGUuXUDz1plKA4uuTdycxYwu6aaaM6lRNAuljqqe/8
s7IUPUm2xmC0PZr93EJQT/6Sv7drkbJwxhmJ47T2kaT1i/kD5bV9bvRZHFXdlg9yHpo9PpZ2D4Vo
4g9ipJ+L5XISwweU4gmfat1tcZgLvvH+7JPbGjDrw1Nu9nfNJGDciDy9mFMFe8fJi2BAyuDPVLdg
h2zGRXG1l2yFSQ8q4zCaC3urJ0wlltzrd8TM1Dszqh5z2tpbMui8Q1F71oksKf2Y5areEymER2tk
bCTIjMbkrsPWqJfPBcs1dJHUCJrUK3Y5oXoQNOtDSVLlxO6GnPnpq22X+WYS8560RdIJ72mYSBnp
3zHPIH/GM48Ti/jMLjDLPj7gxMOnFSEm18ieI6I+nXZ6SaB8MooiNEhWeUvsJDp1Pn7wSd9ZZoUA
eTCbfTOQwzURmLjx6H82cVlk6ExKPNma+9WRsHnoWive27KUe+HnD/SNy0Uh0npDbXRJASf31ZK7
O/TZ8g3hADGr0iQYsyxUmLbscOK8VTi982vs8wAzfER0KmtzHiDNCpViDDX61TGLcuIoSW5BK4RV
j0Br/dUi6uHAefWKk2SiiUzwCtXNTdaBPikN7wilLQv1GnHkTBTYwc7tx8xIiQSOUaqXGciHNE27
0CF1AI8hSYwUL6uToIdqAoC8lSMhjKWz7YcO6IzLANzPZvDsWUzIHSF9R1iWJENWXr3L7Fcmkded
xDSdAnHuplxwrKEk2vJRv6Jj4r1EnU/IUKqHZjWoneyA6EgQJtuRNnMPijkOR3IhQ2LIAQ90JXmy
HuJpb1lHhHTKTBi2qM+u+5y9UDs6gWmxP8XK0V6bqattizz9Bky/5ttuywZoUGtLGwjSihRwMAlN
nfgoTBCNFD1o72MERy7a9w3pfEE6Wz/G0n6xShrqbD5Pc0wQJEgKrllkUKl9l6GCDiY82yPpmYGT
5g9WT6ouWtM7h2jhO3vUznwf1aHvQG/pGpmQihtQB86d+Q95k2L7dvQPrC3PcUwkbZk+Y51ikGgQ
/sjxcaptLGt+aic73cgu3Fwdozy+sY07hySm3JjnTWQVW0K/b2fTfzEYZ4VxxeNtRyLezU3nARhS
htPzOPe5pxG5h31rqYdvlXuPoh4YAuYbP3fhHrn7RHOSIMqKkKeg2qRGmJDXoadakJdMKAEUb4os
vSb96cWwk2sNd0cMzmXfRNPZJBN0BMwCb+em98HhmCoqCIkkTI1Q2o717ejDSksR626kN/2g2k6C
WB8Ysk8TuJRRzBgfmMD0uWmE8GExnJJ8tVuwlm/F3Jy1bLJuCUZ1Q0IhD5OHeMk00fovPTbVyuTk
Yi8+mOlOROp11srPDqBBPZtjMPaDDni1fGGdXgRubzB5aDCx4GBwljtSrJEzYYOaMNBXFZQCfdRO
lLc4fbAjNqPuwnqLQ2oabP4FCWyL1Z/nLjVDHx/Fpo1dTIsRj2qUMafujGM2l7vZmR/spCMbfCmz
tSY3Nn0MGKGJkDa0oiVyrcb04PSEuXKZ9Bfko70CtzjkNgyuVHzr5LT1hnVBaud1kbCsUBcDdiwf
P4Zux9OlMcM/Soo2erTkTW1yuI19aNj4W1BNMy2ct5je6g1TyHQunlzJf+3lDCcrOdy3EXSMxfQv
Z+e5xhsyKHbmZdXsW5X32ypm9CRvGbp2Jx1lIuAI4mjzEUcNtSQ+LNcvjrUDgt0oodUhutiuMW+F
kz+IvPhaOjx5KWvyzF94u+JuvjIkpJ++ML9J4CJccGofyjl2dloRhXrRpwBAkP9Z0+qZ9XJjXxbO
O5HX9k4Dc7MZoZzAeUkZ9BBOfR4nK0foAEc4H5IuqAYsiYr3z21bxni97f7dBPs/eUjxD73/qqv/
1y3J4V3+bY9zKf59R/LTn/2tKcErwH7Xtf/pCPhnU2Kh/6WQXHuLnwVGWMup/FGH0bagJfrdrGLV
F/u0ORSKGA/+s70wGuWfikvXQxgI05HewHTXbIs/Zm/p/bAC1FEYjTael6nwLhrDJInIc661xmYH
l1EiEFuKBSY/wmi+i0na3HEKfZtDXQfugqaVKF7yLN03fRWd8ETfVYw7nZ55LvK3lke3WcfW5Uu2
ilYGkwzgVcYSo2cp0bVEevPoZgxUbRQvvYMjS0vmmwSCjUHqPEKnkdB5dDKli7QhlYiY9JzcdrfX
XQS5+pmbr8EZiNRm8duZE2ewuuFiQYuzFOvgmT2S+hhi3QhZwtsh31N3Bij2xUsysWxDvYkHVHXB
wjor0oR7qersMkUJNHYFl4X6anE1b0y0QovPYkagHiLE8qNFTTR5YNUAmaw4SzgszfSWojyqoBby
kTlZ2Eq9/7ZkYj8R1lhdgR8qWEMzfp8d1jXwgjAqF6Vxq1a3Q7r6HpQnCYmf3xoDR0RRNFdzE723
9tKEbB2v9dU9QR7hdb36KeKO2yj1rQOjMnwB07HEerG06Jjn1Y3Rx7l7q1aHhplp7sZqtVt3dW9Y
i1EES5/mAW6It6RVrykANCQkjqRWWg0gA6CvTbK6QspFQ2S7OkUwfqh30HSfZE8S+B3pqMUwlohm
ye5LIuZBVBbUuha1ESMUy/yBZCw9qylKt2jWu2NP2fNo2Mo4Ee7HoFeC9BLepXCSndlr4aSVhz6y
H0Ee3kZ6daQzvnUAnG60WbE9xSxqD+1HqssfNWtHYIpmiJuOlTsT9Y1MkrOJbnYYkZgKgxooy+0f
KjO/7Qb7u23yqUGtn/ZWnxpbEbkES+am+9ZAmbskDysmejQBGeMtJ1wpOtjh5LHuF2OrNHhjWefZ
BzztYZmBcsr69g0SHZv7aR7CVmEnWYxluEgWC9RV1t1nvu2ebBbvXD9uE2SF/RwNNVROU7sbpL2V
hNMSz0o1yzDwloBItHxKPFYd6zcSuwPMebAILT3fkq56rSs2jUndv2u5tjfQOjHm0sLSzr57j1J0
qqdLp253FWsN5n7Fa9tNPGLsfcd8WXvFlgrSaabA1e/dDBIWFuF0QoA2mEEiyHnGUetumD3+P4yp
/tpCst4s/8jG+/8p587njP3Xp/2vIqBA1j8f9ww7MG+sf/K3s56JEdk9zEDQWzOq+GkwbTEc4bR3
f51gcLf8NoAyflmNID6IIJLumNMwm+r/b9CdTgYeolT0n/zrVaD6nwymQb3/6bBHzarze+BMQy5j
riOq341QCLjWCmC17kFmy8mGgUYroY5Mks+w4MmNiL6ByRbbzClhT+DVj8uhuLDzEbdkCpC+d92J
nsd4ZqkjNrEsTcBg9Vlij9rFpkGuNUE3+BPOclqy0FHz/XrK9K16llF0QNERb0rHhVLrVK9g00go
pR1uR9zc6eyw0y/vixL8k0nBtVpYfKxlzllvxLWYu4NltI/DUN4k5hxavYuphQgZSnML/R1bss3c
R0epWdeCFkpLRrWZq7WbEOUOYQh3gRnrO0LCD4M3yCubvGV8HeW15jkHmWdExabmZcwbcWAZjzbD
540l/IgQJssU+ybrzrPsPqJR+ZcKkcqmbgzvHNtMWiR+9wNdv3nDDC6UySRvGzkOO7SK2daEERKS
hzqHWcFKWvZGucsr/wZ5iQhcEwuuUDMX2lKKjYtfZotn6LLQymXrmiWNiGK1X6IlgELn/iCeHanB
EPKz+0dgAG8siQUr0xxrjukxCUiuYD89rRznIMLtzp/EsdyXYxO0VXtPZ4qHTqrvsijuOeYhhpLw
GUxpf5d5qHMTzCp6yoYZodKuGMt5H2vrlCHig4mqO7+wb+JS0ZcD7TfT7Icr+h0ItZ3Z6rj5yguj
0M+N5uzh/wQ++VFTM7ziobj2hng3Td5Np3fUtPJCNKDcNNjhSFI2g9C+VAGEuSeThpbHd7ynKca3
4uurTMsMsiU5TpH2COnvoONJgkxEeFq/vEZw4JjBv2tmeZ5scc5aUGvwe0cxHhFl7PO5x6JPNIo9
NsfEiT88u0Wta2NWJrS9ox+ZcNir6Vm0012qkorKpBx2kxbLvTRMddTZHATE2AuAukAjdMAQNsDS
uV/u5hQYCncZuRhaypvgljsSmhjLtV9sft6nMXrJS4QTnupeWjfaxO145Y3tKfXQoo1TjL2gu7dk
eutpS7Gby+huytObZOh++Gr8cjNHYYxuJEqHSITorYtD4imb1GTUsi6P5QmlS0Y5n5b7IarGB23B
Wg8xrdshkmIfics6NBvzOUPyHJgeD9E8sbSP++q6LoyTpvdx2BjpjCQrcsLIgYARe4iy68yIdkZB
121XIt1FAw1clozMpnj7SImY8YsUzUOhomCwIVYmXfVSsEAqnefEBtQoU9RkuDyG0xp73yWlDtkC
bR8n5WdpNzfLrO05dqYj5JCbpo1QNWVQX1LnOFjOrb5qR7wZFGCp5ulq7iAyM+OsqAX9KvTTKtqm
VnXl6GBkKqLOd3WH9LvBvg/uTtC7EwofTs10cgYKMj7qLC+hH8KN2Vl6felYWk8I86BtcjkeNbNr
7z1p8rEkUk+PuV584PqyrtEptDcCaG9o96hRprFgy2a/F0Ar2hzJdjFq0w6LLbIJF4oMatCrjtXC
Nu01Z9drrr4rjcX4lHFKnWh0iHeWyOo2wuvcC8fPKFfYuKPBrKb0rUcWd85y+Zj1lGkkin9iRN/j
mwI5PCP19W1sfN4C/zNyrvRUfjhOd5fV5akV0bnt1a3uJXiKkO4NSXWqpxYmSyQu3cp8MLTo2i2j
QBb+44A/dTNZCTG/HsJkfzLhLet2mPQloqB0ep5FddvllRfgb0L+OFnNLm1iVGiwZreRP/EpIv7W
VoN97mbHOKH79pScOaUgqOgmQYTuwvMji+5B6vl9X1fadkzA7o4GEoRmdrKt4We3hYMM0B6QE9qL
9aFp8ytwrTerEs+q6F8g+t6oZsJ4h5CJyTbeKisD/N+gqgiqjgrMTYj5XqNhr0wdpMdobIyMDIdE
MnP107s5jh1AojwP5li0W03xDRtVHDK34bpoOkr7CohLN5VlUNYq3qdF7m3JBhl3kw6kMU3oy1uS
f4hEr+4Nz7jyDaCRbWsZPDjVvWtJd2sZMrqSjV1tcjy9YllWcMgAUxEtCZ8zwgwXjWcLgKnsJVwY
L642SU2qUDt33cGubSMA60jSbGtEoSHm5zHt0kdbr8pT1qr4NisEGRSLc51P9XVbgE9wRvpJh1dR
5C3yEJSEC4QQ24tORoWbwMmWBeW8d1nF8imv9A+fGGkpyzNeD2OTWvYrhxjCuuSxwpmZdYLOIZLn
X6uh/8lzgL8Xd+LfloWEb3//7f/8hTB8/WO/1YT0/wQr+ihg7J/sRdYvbJCw+//qA6OT/2dF6P8C
XRGemEXxR7lGGfdbQeghGAdiQO2GxAFOwH+kCv8TSY+KUifT0nQQfTprafhzPZjx0HrAu8WxzVEl
DvanW+3AQz9rovma/fIS0t6h6/NTZFXwWyFw/K6E/ostGsqKnwrSdbXFLpStLAtbyAzEqv38C2Az
bRj/5/ZRjPrLbCPUtTy4epzpoQtjt52Ld9mZnMDRciDv9JVp9aU+4uyVi3B3HtGUnO8AimqJXtOe
1b0lircZrOscS3/jK8+7jcTiQheZzmzJYOur8Swa63XOnOXUlikeIFEcZxxV+GMwVnRe8bk4s3oq
CmLqmyF6tUpbnUD6jKcCvgkcSmsOx5n2tcu65caR6fCYg8KcoU9wxkzd5dCrQd86qWzuc996ZsRz
OzY+qsi0d9hb+O8DyCc6PO+WxeF1npYfU+I228knuMIXu1ZrPEagYl8MDlNbINZtNzibdpoexiY5
DQZ6rbxbgKPGBRhUrLCoh7lPwNRgnC0xHFftheTe2aWjaz4BTqjvGUHNH5Q3F1xgJzOuBgI5ev2h
IR6CHUxffNFBe3f6IiC8aOkSdqbebpeRaiNuxYe5tM8lbayB8JxLGW7UqkgFiJOmy7bpUEtUznxF
4MczGnkz6NP+xS+hNLSWj5q6YneFxdNcpH4ltKo+GIqzc9a7sEe2ASl88iC6d8m9wwZjxxSbsznW
gMZX6Q/G07e9uX7dUprxZkC8HvZWRFeMhryKz8S6cyDrxpMYlmtfby+H9dbKyj7ge+wPtoznkBWM
vCui5jVp8lNWyCGwHANFYOPtLSzRx25m+OGZ/L4Qp3aeK05OAtdptu0LFflOMLbFwc/H/lRa/mOi
Un+LmTU5GAZqzrZWQTvpBD8N6rnvBgobYMVpwiUqGP0EBQq4rZrB6LXetUiQCrKkfHOHRR0hwfPt
LZUTWkqd6rp74u/hc/D317mifnGGtj4yVGBgXYLW0WOTkZd4gPhiOFlibN0Wd/FUMZkudO9oTQxr
lN29WlX5FnvzV22b/aGwEaHIZbmrMkYAJeC8fUTQw6arRzRFUxLzuNfahWcMF4ICPa6bccsM+iG2
qSrE+teSjTwUWXU2O6jRlpWMCQWA7T3IdOVouctXlLMQcjxUMQMDfnAZ47X0tfvBrMmN66kjdK0u
2enoN6WqFNVdfN142X5imGUtavU/GFum2Poq1Fn8h2haAru3birFTWcl8TP2qGc+pK9xXV8kjr4j
ZOlGlPFrTUcpk/y6BXfYefN4UBVvieyi14QpD5YuIpwg6JkIAOIrVEUN9Cu/DPrFfY1kfwUjGNcC
h+NGkTe6qVGBbCvRfFY9nA6PvebiwQXx+7CYzNsSXLrQ9H05eHrIK/6BmWKBEQgdT2+abAsAygHR
rq7M2b6Ttt9dJJN50QpgxOgUr2ydT0bFbhV61uSEvWvyBtsalD67nG8K3S8CJW0JkgwCEYNitlvy
bEhkRErlHeA0dsuNATbEqEV0lc7pEYQ5ameRVZteOQVHNkaFsneIEWV51q8q72Gx/B1rH1P1zbZ0
jDVcY3qLe/XpxSQExhkLJNN3l9089+98I9F2Ggb4fAlFUcRcoLHwymTr/66CRIZivjq5NZT+xKRX
4J+6AyoX6JoLEU2qrQ542a/RZVh7sL0+upbkbE+Vz+zVu+8SZW4XptqbStjsZTnkF7fXLlOHg7so
hlc5q3OsZ+umJ3+oo/IuXbqj7qXseyd9OSAVxhGuV0Fcn3NMOBADrFeeO+2tSFIQcUlzmaY2aDti
g7yC4Vbif7mFEnsCn+KTrBVqriybENMD3nKtrH214xQsZD4LMBcl+1Rt6dhqoiTd9il2RmLyNMYY
y3PNLjkynYclQuYADYGtr4fOizUPTDRrvuzs4cL1py5UcwW8Snfz06hTUVLWw9KpJugLSpNhgolm
B2s6PmirEmLKbRapZpdDv2diAHs8gnIhLx0jpkpPrFPpN3unzY6C1E3sjtaDS8d+gyy63oKji0k6
L5ztbDXzSS9xcxlT698gfWelFEMR7zt33tTE4ByxGd4UoDdHTd9Rgd7EWntUyju77XCXlH1YYgJw
pP+S+R4vrPPtdNPeKJaJF3c+NFwJIbCIZpNU+n00A4YtCF8k1IKna5wm6DZru+bqmDayKmeJrk8P
EXvZrYKusNMrrdz7Sbts9aG5p9qxL/g/9oHs43GLYxZXJES5kx7bx3yMg8GNrbBJs6s8km+ql588
hBcWF1ZBlE/Ays4KeQvGfeanLyTqxId0nszdXLRPEEG17RRjxdA1cZxd/XLQ2ZVadnVqFhiVnjPw
ES3Ihjln0TwAPNk4RjcGcA3njeqsNaJi9raea956MwivoTGsq2nFFTnvcCsPs7D3AFc4SBaPDsMO
tS5Jr7IiUuwttcdJluq02Anic1pruqzqexmsZyFG8mMKeiGsqIjXm/wzY0gTWg7Sfwm3VMOIEna1
f6ccQnba3h2JRqKEGES9XOat9ZUuun9a1aWhaq2LpMwICluW+9RM9sh9sn1uwYhTOQx43r1bKxE/
Snt5gKWCir5nzyEtbum2HT+jiwxv8Ww2TCxWQf7GgT6OxdsY7Nuk6+Q9n/l0YPqm7Sb0pnVhdYzG
0Fgslpntfb15xoWtb3yrlfd6DM5On3BCjagDSDFBX9ERwr7hd8/3TtmfatcksqCGKrtU1iXqgI/S
1svAGprLvkg+6niozrpRPzjSubFGZiNLRTDIYqbjJVSqZ9KGcBYlMwGAhrkOY7JNE4v+cu6mdtM1
7OnLJOcc63DJqDs0MjD9k/4dK2KgJhdijfsdD4W3CjBPRmS/LAhzPuo2ATcqWLYsVjHsZs8bQmNG
SOsWEw/RdEqLyyq6FwSuKfa/M5mkgcvbRmjq0Hk3nvWSRWdPX5NO3+OmODcFyaWE0+BIagzG95b3
Hvkd4M14fM7IH965U8f9mHnKPCgdEUUMbQPA4WiyM0/EDqYNMBTTpSRk1J8AJuUsBgWs2XiwuDWt
XUIwWhxrl7VQRxdDHq/zTZRVxTZS7ObrVpuRMTkXrFLyEHuUs48wcW+ceZShIXu5Gf0JxKg/Jbty
SHe2VPGZcRO6gIwX2rfgFzr5DtkBbgpUC6OoHhFb4ZAfzTxoIq6MYcmvuhgwDwMzhgGEjR3YRl6A
43uZO71+ShK/3RYLZaJhaYojOf2a2NHN7Zxekkx+qywLnzrLKglV1O+8fY3S2ZZiZ4/Iorxp3Z+k
13xgYlcAUKFUYeAitH4MzNX5p7US6uBQ3gsB3jO+9o39kPvLZk5TsfO9iBSYSm+JzmKGp1vySSTF
1UhNcsZ3Tj+uvC9p+gcZYzhoUokEhaSDXRwvPqdEA8MXkQ9jGKyH0tEvmIcg/1jUlbsmWPCRSrzb
xWFwOWFGvoCqm/uLBioqCWSlsa/jpf7o9P6rYM6Opa3F4mcpK/RLI92XFckO9A9HUWoWfLQE18Bk
WccSAfRWLFlPHnwvNiigOLXqlpG0RcFbWQYzPG8P38Dblklpbc2Uqxe350iiBpYll1NQRGvkj98R
aDMOOepHZ9sgHNLihdkfCsE1aSFhWMDOlHR2dmRjXzKWHzx2G81wMdaTtms8xDNlLd57n3O7HJlf
E3rcB5pKnnTi1zfQBMBJzsl103pQOCdmfyZCbJRX2WfkLlWQ5wXphZFBi9LL/yLvTJbkRrJk+ysl
vQcFswGLbpHn8xjzvIEwBgIwjIYZ+Pp3ENnMZLIqu4S162qRWhUzGAwPd8M1vapHCa0MhyqYm0BG
YKmB1ayDKi9XNTl8Mp+mT/kMlgtwo/26yBvIpNgNZde/+bK9KAvYjj7RTRxL5IATzp/YIE3R6DE9
VqwA0lgd2sQ7lR0iTGnYyNOu8c1BcAmi5iVJxLYhhs8hodi0pvoyG3JeOEveZUV3rWNPWxsBnwWA
Fc5KlmSeB5qtKGdhW0yHdzxDmFJsSVtTmf6qB+u4dCBNDCw6ekcj3j+k31Kjeah4zK9t+vlIZk1P
Q+eviV6urbzdG9kbN3SOkTZYFlN4zCK1iiLePu3oXRVlcVuF9DBUjfWVXBd8uJAGHV6NlFm0alcV
dVVONz40ST4up5hl5mRpyFs5Wr4zGpjH9PYWVx/XOvhbsHFeChFvwsZaaC3Gn7iFfY+qH/CeygJJ
CDj1R4q+6n3r1f4h6N14pVoMKZpRbLok+ohY/i/Cjt/7KHCnVO3YnUotVfeRSjZBXVXrpCnjwziX
Lg9zupau1Osa9tUyLs1xFYpi39Ts4t12LuKs13pm0MlnkSNlxj9jSb0zqv4RIjaaQZi9+oPd0vvR
s7jhKq4KiNZ50r8PgYPqT6B6jZuVr/eqb30phg3mlZPLGb2ZJoD6g0yMY8FYys+uV7/Fkv4va1W/
+07mTo5/tsX8yUX/p6/9rln5X9CecDljQkF/0nGNoDE2//kfRLm+oEyZqBbw63Rcvn+oVjYtD+hS
4A/RlAQB5T9kK+sLVwxjhhlQD0Ftgv8re8yfzddMe4B1fGwDZH90/RNA9cMW02w7INRFqu/ZgqzY
5ywi8ExawXoGifiHl+cfKFSodn9yts/fiuUEJB/ACZTrzv+UH76VoWmBhMGPq7D32AUhXEyx/+jk
1fnXvw+kTgFYgJfQnOMJP36ftlRT7YfdtM/qaR1wgTEhYnURod9f/j7ofOQfgBIalEnzK/rx+3jl
oEPtCfU9Foab0kzvej/G69ss/+dvY89vg59fOHRKZEVsTSz8ft40W/mQSicU/R5J6j6Y8dgySKdF
lHWgZqo8WdLZ9OTNOO28jY5aTaVAyOJlKRIXYb1A8mGaBaAbDDQtJZqzoLMsf1DwupsMAj5FmtTR
dx1jBKa2VTwDvnkY7PUZ+d26DDAq1tHWGHwzv3m2cSFuIkjh3icy3NGeK7q8V4EAJ17OYPF2sOgh
wJC4CmbsuNZr1J7OqyxoTwz1JgJYg4EbvhqdfF6KAtgX9oaPA8wyuOZ8WgCcu/opNEEjl5/w808M
+mg75EGzWytyzlWe7UunvdeH0sN1EnyAOa/IzMu5P+cT5TxwSR2UomOMIVgjqr6gaWTT6do3muZw
mZJL5MI1EW6YEofyJOS3eLRfqZk4GEIdUx4JkQ5tw+a2sFZyOk41XpmJPtBFPYUtxaFWvB4ahCeV
ttOi7IMeO7pvL2lOfGz86oZwv7FrBfJYPTQHC17iYjDMYweTZyl7Sa+gTdthQkGnPbKMi83kyiUY
z1zmu9le90sGBTTKwLNz+uuYarUASrNj7UWByDZkLg/98QJr/e041a8wlFCZoZ5T8pqttNz8EF12
RJglFz+Srrvz4Di9VR10IhVQzFzi6Fk6NuvnKTe3reXuu0buzKZ7rqNYA90dceFfQBWMt2zyKH91
9Wdi7WdyGq+9VoVgrJtpW2KWZGQfqxtw4agluXuTWNrBbSR39MHId0VQoZEJoPqL0XexiPnVBUVY
9dLRcdMk8Zjt7cJiyCmZlxrm5gVu6lPl4Lep46AtVxF0sJp3U8BfXyYprRXDdGfr1gXgiqs2GSa0
GFq+LDgOdAQCdlUFC00PbW12/JQYcFOA/ctGaODl/TJn+a+8hQUMa4WLG4h8CIs8cLcoSvs06ZEp
4yNeE4iepn6CZ/fSuBFztG9+NJF7rQ20jnpOEHBlQ/3BQRWCzc7ddDyP/kAfWZmvK0fd0US41Wfl
sUmwPUNYokkij2leMJpvfsbFsLbbC80fq7XrFC9tkGS73FUHbE17o9UGYILtV/7Zr46BlyHWxLIb
5Uc0JkeQ2+UmJR5NZy3YMQCflFsqiaU3ksRIomNt2We04o+klzd5pOg/jtpqQ1oPfpj3TNZ6qReU
xOlzYCUIKSfVBsgPYWw8FGPxMow6F+kMvII7rDW32qeNuB/oHtnqVfNYwChZtpVzJonJiYqgMiqB
2boS27jTl9hfMF1bXOLw2V+WZnkmEHwq2TcvDMN+TdJLZ3CujRr+LywHfrUTqY/BiF95Y1ADGAxb
ZNjZqZXEW8arq3roatwJdogmGLEPEFiAK8N+h0p8r/R8tpkMl5prXkS5dmFYLiWRNbfOHsQU4Xsb
dzGKiafhVEtTfa0LWuJ1mzABqxFtVZnGsEp0M14qMdarng/qsrRDvIkim1agjpuV2fSEL9KuXYA9
B/BhWwBBLOdhLJLj2Dq3knz7qoAKvdHK4coTVHPDYbxn6N+FboXNOufPSXNp50IFIJVzfz1oc0an
TtKFysGWmTUSdG0Rd6q04Jj1lC0mbhzR/ufSHOeh5bZ+dQ+c4K4OmpYEKv837/m7TAU3OSPf0gcn
OitG8SrBJYJ8x5NOs1nzipBYUSX7c2w7qEuGCJdsSyW1xkm57jTy1W06pIc6n1402sNn608IrZ5X
mMIEKkjytPuYoJzUrbIQDfvqciJMBY3dr2kjSHgbdEZHvQzg0R4ygVXF4TmfZp966IvNUOe4T0rj
wxvx4QeSR0tFScrBUoLBvO/GjYp6FkESajzNEAmezaDdO1P03nnJvqpVu0uEtyOldk0oo8E6KDe0
nPg4GDT2SImirNtxdlApXyZbnxZ0l2ycsaSXQNcvuoSS8KFRIxdVoW0BmzQLWmJpdZH+IRHI6AI3
y4ru1WTTIykulZY2Byz9/po9zgU5j4PWT9kGPO18SSoo8Wto09uoimhK6OSbmLIgXuAh3FLcRTm4
SPWFxvFOaYv51Z2bJ0IDaG5NGQVE6/jUNTiqaINxl3bWXDlzd0UqzNM4t1ko8KVkoQ5JntxPc9/F
P5kd/n5yIElomK7NpII9eTYs/zByaVVV8uKTdmKNxwcLD5WY/slU93d7T8Y612eiMxhS+d/PtVp4
c6j9g5a257ER0jIYDDs/kifMCPKgmvLFTeN6oejVOdlmc51QQ5fXsfgXriH/yzySLnPpX98uTrgj
//EynC/7frEguW+bFt1yrs0Ke156f79YOF8cAPi2Tq2BSZMcv/c/DJLsqLGt+dwgkMD4k+/rcJD6
5Pn5E94peE3Er1wrYJP99NaD3UJGmHAu7w620T/n9vMMBo5jVjb8Q2cLMYj0TMr5wyCQ6M3B7inF
AIEMNgnaTaCMDWLuE8ZvWq+SmyDqi60M5TYd03bFyLXXJd4ioMJ7FRHtytwHVeNIq8fSZpnrpPt+
asp1PyUbW6QPmcSrIZpqn8M6XqBX7hyHpRLF0Y9GFuUnECfJzoRhA9MruLZSPacWJInJcI0Fl36i
8so3vMuWe/bCFdaEyJdFrJWq/K7gKgfqhqWTHWjQRJo4WAaaqG/iSbMcxmZ6z+vRpInTsK1LGFkE
DbUs3bqmeHJ6gXdOPjlmcmxceRry+Jy4NNBkKOQLgFbPuTBvI1bMZqbuPPOYDcmFEXTgvzLEcop1
TAKyvtNe02l2m4v6BTMCjzSEaKtuDqOZPOR+sCs9/zlrixgzl6ex5mV55o80HPXtmxGjWNZIgQtH
lV8dsx5WmPxfFZM826XkMU2URnmXPJrzAFSgXST2sOxU/VKM/Q1Bs03vjO2CTb5aFFnLnFkwyGeV
cTOWyXEIKKU1Io8VUP+BEvzST8Wd6GD+U05DkDitr0naZOu0HIKlNHKe1448uq1xagM0Y534VOWm
d3pdL2Kser5Z3rtOfQbchnFORdcZA1GO/5DaoatExk/oOtHCbRt3PXksuyufHVbSrKK4u0QFwWse
tsNdnFJ2xSYuQ4ZE8C9zQepSUi2W2bvaDbqNNjXb2Enam8l1GLhjFksBjderCXV+lYIvIvlW1tbS
GSRUOl8FVyYdZ6ybOn/YRmERlavCdPELeJGK3rnyi6U9eKyTVQheVphI0WOYTFuBZpl13YPeIjGV
5WXDfi+xE6RELhN0RaAk2Swv8iAfzn45bnrP5dh0YIvC4xbz23IGyfp7ul7PhWcTvbWG7kpVjsta
YTp3GTsUK4fpVeLgXY2B9VRNOnswbWLWRqj0C43so0jbXZHP3hC3RO61CIuttWGKVh1NdVepHjmw
ZEbIl3LIT3VYa1+LavK/pZnesDIUm9LSm0c88OW6xcQlV35fklAx6nyGZLiEISkNdr8lbvTh9DC3
QGZ1i8oMKTb1i2XpsNqyzOndVqm5mpCSG+4qQT8+qbLas/6Y2MGUmLD0Ztv2eJHZ6bFhGRz0f7B/
LXtXmV92ec9hEuQigjxlkrQG3GQmL0Iv1xx8+lNXQo5YcD7sXK3Pbmd9ZUHkWayofSB2CHru0rEx
v4qR927SZ+zvLGi8iI5pS+tx0GZnVGMeyW2rnuWouKlySJHQizLN5KKh4aEdc0RWt+q8jVUkg49X
RGsnA+eM59+psu92VZpWh2nwWYxP1QilL2QEW/Mwrh4JIvrRbRMO/WmsR+u6yzu74Kpsp/dDZXjw
43W2k9wlgRRlnuJ8mPgFz9HNvZeKY6nVW2OqaF1mxzFFx3Fo5pZDkMTwExsyujRWAYgUGRkeF7Qb
ebbExgEh8a3arDRKDXE31rwV8dvrBp0TsEd6zUYL0WDQ+21u6i+WM8dtDR+tvL+I+xmmlZRLKITB
gvIRGCeBrdaRH+/JklDk3NF/FXYH347jZRfPYYtAkl8GVGdU08Eyef4PTf80CpAhgBnOtc/mnXZ7
QT3Hsk3D08AUTUkaVoWSy4qyuEnFQWIy/fZvaaRoZffvUrxTvwk4v6Rd/uOh4cdcxX/97+vm4Fn8
15PFZ/qC4tri7cew3W8GPZ+v/D5ciC9gm+bk3O8kj+/DhUvfhuGZtNkyYfxJtTTBf1O6Q2+HhVZl
z4U936cL4wueG1xxTCWAZuae11/o6EAg+Gm8EMQugBmYLlxX1Lefdcs8S9zCC+tgh669rvzkqHfa
g/Ty9RROl3iLr+LCXinDATzJJQ4JBZbhLlHloTNaTkf3Xgf7VVuCdTHtFLmX7QiUnIYhv0nHmOQS
oTeLsvVSYieX7hnU8X5E8IlKhZHWw+TXFS1kY4jcoXFbV8YhLo0XpcdwYOvnDM8JnpqvSeWu0wIt
wxb1uQnYjdbNPu2Dx8IZHtKR00T4G6XqvcLS1Kt8U8fRjJ+zcj7a+clrxS7U67OjTetk6JlPCCak
3a3pTx8NNaiLAmmkalmvaOzNIhntygCAojZe9WyLpjm96jBC6MK94en6MenGB8/FfklxyEuVdq9N
7zG0Qwos9JXvx84mhKUcQF0U5Jgiw2xpMjO3sCu+Ao+7MCYzWjSivjI8we6TmDBN4ot0EGdpR/Ro
2vqames11bD1h9mbpjnL1kqPgAF2fPrXfkNvZZJKHMbOfWk7p76lJKmUnLlRrV79usbxVPAEMWQx
Q/LYeQbF9N5ghVr09jBbOPTRdI8x58kC33+7j6PpIjAK82j3FjoYrgUKYR/apNe3CDchBp4+PGrj
u9Fy0++LDuC4atb0uMd39ij6bdJRKxQTUyJURyNgOaW3oxjd61DXCXKbGj47jOXLkEbRq3xk0+IO
KRIODJCVsACSitrvDvCU7so4d87pxH8h3eyqsQ1Wi3p6pRDx17ry/RXvoppwis8VTB+hsU67qBGr
PCCm77TDhis3E1kl9kaRvHSxt6/seBUbApiBs8ua7EqHD1XxiMF24dwBg9/V5BlSS536Sf9KPc2d
1D00Sj9bxLyLFmVqvdrZ/G+lKWSVD/l9237m2hxcTcb9VAdEqRm9H4qiPej0PWHQiUAu2X6zgtr6
GJLRXnmQZinjrI4EbqBFCbxCuU2HbJViSDGiOeKSPgdeby10keP09rwd1bFH3qfpIlb9xi/U1UQ5
qESAId63FHrL/V9B1gvuCwr0gtrblBi1QgTgphM3QzhdVQK+gFvE78VQRLB1vJQSX7aACv8mvYRD
rz+hnq4cooAaEQKnpXmq8C6qtN5TqDktGkVVD5Q89A9HcVXoroU+nnmQEZ6Na1ImnBFCYyIZ9Ftu
3XThBvmNbzcHrDncT7p2W3MYUA0FwxWrCz4P4Cr0Mg6seVlyZ/D9F5af7oST7ePEowOYNb1L593C
U9U+qEdtUZdYwjOiCAuDFpmrSDBDpFG2LHvsccUAVD+vjHrZ62rku/s3mDwPdAkVy0SMx2RK9BsF
7JMc5MANajfE6lqHuAmIczzgSl11bnwseQOggFqQ0ZtHs3a2kaj2EE+XU0SZrx2KY+3zb1OjuU9s
b18bwaVpFJe2Plzghd6wCQVMEdIHKRPSX7p1LiKD3aCl7sKemIXpXvq9d9t31RqYBAGG/KqAEha4
+aUZ1XuI/DcBiJMFSON9FDr4/Yr8XTbot0mYXPtlOGMc9p2S75krjkFkQElAxu66a4SfeMvoeoPw
s5vyN2kfrFieopEemiELd0NdXPeujlmmhUMSRVSM5Yp8FJrS5zi9rAd7n6bTa5UXj8mYXZVR+U22
zTO0V9gl9b0mXV53z78yGuc6SNq10o1DSpdSRgAqdQJKNqebzmzeKis9V0F9DK38Uip9b0Itdvz6
3Cmsmf2UH5T0dkUqr7uBO0aoyniRK/bJtuppnDWWUQ5XNXTdEOFsuJHzpp0E6x1dDB0QtvxaeeG3
0BrfIiEuWjkiehnegyN5ZU024n6MXc0bkB7V9Ize+ME7HDIvUa9xaI2vVcORBNyq2+gmL0bS+dGy
m7z00HuAmpDWwk3KpXcVT06GEXPwDnQqvOjWqDGDp9gNXbiUMghRxYPutsojbcHaHcsuFUJpPzMY
yPHpDfv9qaWL2smCWyoRTqY0KbPq+RV6/pn2hAs9mkEp7gAUVzYLtGmkMkzb8cTPEylrHyX8XSay
LtboDrXYfVGdOBq8tphL86fJKK5lTI90MLpXcR/Bzs5Xo5RfLUJ6pJGEZpjw+cabMYLbYUz8RKGi
06jy60OQ1iSfCjoSFNYYQ1kraMX7ARMBwsHJsCBMtDVfkFfRXcjyUrkcSlNyE1fmPirMHe7zY+jG
IGJjZ+mbzU7EfrJoXfGEy/fOw7MNHBC7EGN9ocekN+NokWfe165Uh2bQNsKezHbbOCoh81HcEy5/
w0t20XSEtzEQtKvStG+rhqw8L83cX6RjQIfQtybnjeWvil9dt9CWfpTvC2nuQ/4SOIHeSTaKNj5l
LyZpHgxM9DieY/229qa0PBLyZ8NmmFd8jLeUVjlAQEYyOsLa12IXy3zFTzuV6A9as9XS8t1srcvJ
JTVftYAGc4hDcQQZNLc+iji1N96EEB7NOw86UVdBZF01+JhzKd8rrb4w9Q9/JuqaLCicb5JNmd/2
6NluvqmmAd+YYlCw4mrlmN0FAbGll8+BrZH23TF7L1ld+JZ9GNrZjqrSbWWCH66JEfA9lho0A+oQ
+x2Q3QNH3Y2tzLdRqC3cbWshIb7wqJZrMwHHOLmy3oZOc1sk9rkL631oxudOjDucdG+enF5g4CB0
2/YtAUqsIb3OoihNzrruE6INQr6OdpBR0MZbQhLEk7qfnPoxSZq9ijXALXrKXfVG48nA1uEyDqCB
BDqgG8OL3zD38c7m7FnCaVy1XYeFV9zJrthjuFhXtbPWDF6PCF9XZPK0BndzqBKLBxb5WDM6JXja
E/SX0O6uaPDYjoasMOxZsLQlNyu4dOT1JJPNpBN8jUP61Ec2cC6xO7gCQJ2FFeHdnwNwyRyFY5PH
joxHG24+uouJy9kDOcQ5QOfPUbppDtXpefHadF68F5+JO1rfy1uurvvOpq2ugWK8QXI6ARbrN7Hn
JFuu8SSk5lBfURPnyuegXzXyc9GoWtFVl59ZvgVLo5CQ9OaIYD+HBdM5NijmAGGdO2qjulZdKlKG
NgNj5kZil+jZISWH6Hb+WzwHEzGR6cuUrKLrtytCWjSFxbhJ03yR9+Jd2hZNr+Ud2kWw1ecIJEUx
gLQkRj4ASXLjpGlCMYwXbAoF3IffNju8OVLZpPmwpJyMzxl5yyKjSXYOYJphknAuMtwZpDObOabJ
mIhNZo5uytTsllEn2ruoEuk2NyRpk0bJQ++qD4sBZx3NSVCGRrHO53Ro7ofTziMwGhIc5XC47JEG
vcaFkE20VOnlbTlnTePO2wEXPGhld3axdutpCYmDdGoReU8hcdWa2Go2uI/Y4DZVyq7dmpOthsP7
vgHmEbbxutATjIGnrMHCDytqDsUmXLhWJv0J+yIt2m1UNs1mpHBg5ZCnVcH46M8B23aO2uqYNFbC
Jn7rp/TsRsW+G2osmkVCfMTetiR2+wBPLwneVMR7fzIeaUdAQIEYhIV/nTb+jnBD9S/cpf8da7Ho
ivqfLtP/L/97bs3nVfrz675fpVHjwRvSW8mDyaJA4w+dHpsPVFuBw8djTyOIdH3X6XXgBybOHPYq
kJPZ0P9xlda/GB6CO09/QnCof79kADLmqtw/2UvmCzs1W1yjPY+/GDDnn5ZE9oiQWmfZuOsaErAG
76IbmbWobx2rUfrjm3addHSseqLiPKVMahcFpnZFJ3m1KhJ0JQAd3KScPm7slTZg7GGd+VniKmTH
+U6xaxg9exS9DirNDlAFiaNQnb7qKX1FAybJgwuq3Rh98wRzmEOgS9yt2VYWBmsuVbQGMtUl4it5
hXgd+hqLf2d4DibJWBhpBOBr9Wi5OFn8GHz32AVfPU/eKzWswSBCg6pydytF9abJdO7sdTklRSo2
ygy5moQGB9RQ2foFeIrxnEZBfFWlOZaZkyXppi1A08tW7Z2ApWFRwAanhhDng099ZOVlzV3MU3LV
DIZ+mrIkXA9GRTl8aXZka6fmtpo0caGDib9K2zLaC/B3R5w6yZ52+vi6952z7wHOGiwAZjNJeAb2
JKzyE65GmHDBHARQUVKu599kVPLfAKTHzOmkF0E9JMeEaPbKLHFAAtd8qz2u/JNybu26jfa206Yn
TKc0qndt1hOAGZz7aWyHtTOIYKVreIiMSNgPdupm4L5KtiYYJ/hFS0195LK9rfWgWbkOQXegkAcv
c8w13ZQsM0OH/YzlaMu4ysyLDm18HaS0hZS2hEpuRSdPT/ZTznWkasqR+y/ank8WqViNtSq2Zpl9
tbT32upv05CuNb+ts3XQAaVxw7L6YCwQxreSlo6PUbjNC6NnQLS4mqhkKohPyg386XgpGxjtlLPH
e5bd4iPHin4iHyPh8NfNyezLmeVeGvqlyT7Xfgg9+6yJhuvNUGbBurMS/zI3xg8ASJggPK47XtbZ
v3nR/s9LjDaHyF9LjBQF/u3hJ2fk56kIffQPgdHF/OiA8vpeF/jHqeh84dhz9P+Gu8zVwH+ciuDv
ubCTbqV8Ehbv76ci3cC0ElHRTR2l75i0Q/2KwMia8udT0UShFoaP74yD0Z9byX9cndsFRCSM6Xg5
QCrdmER/Rvo9uIs0z2Vb3JkkYwiitRNdr41pMF2Kxuc+ILG988QOize/yY33viyYFsth5r0QRbea
3D0ybvKMTvC7U67QRutGQLb2oQACdp151xgEQF/zZCcelX8isePf8NifqOzsE5sdWhC080+YdvEJ
1nZnxnbv6RjlY3sOvEuWSUFaXZS6vve94t3Hay0FxnI9oqwvZTBSU4IriSiL0yLsA1aTO5Ug4+RW
+wqORuMeYx9KQBHjkD3YbU/FUTOOK2o9n3MzNg6oe/o59cbmYOiJubdNzVjXRUPspgu8/eA181Is
kWpPCtq4MBoFXonpcdtRDYvSAI1yqq4KLbuiFZ0WQpFBz63lOtWsO9fQNnpnsUv1GFukhVhiG4V1
O/jlVam12BKTsNxAIrAvjawQSyUr8De1HXf4EOk1rBwaDgmZcXrh+rivPgsQq88yxHHuRWznhsTY
oCuR0F34KOf+RHC5UBfibq5VpEZ5hrhQtli0tC522Ae3gsaLq45qnmfuoP2BMnRGXlcT50pYp6aq
3/pg+O/ir186Pv7NpqrfHdLzJ+qvj5Bd8bdlFP/tPPfF0Rw9/rir+NNf8X3GEl8w+wrugXgYPtcL
v3sh3C8WhGufM4MxwpxdEt9PE+OL4eosOZi/gE8T4P/9NDEwQwiGLhA5Hn8vY9ivnCY/O5/xQmBD
psjUnF0R/ucy4wcbzsywK6oKLF0T3XShOjYjLAtMaD+8QP/AX03Dwp/OLIZBaIbMUfxr9bng9PPP
f/g+BEUQh3Lp7lQVYxatJLq1vptSlWQLwAn5gWiRdzZjQZpBjAwSxBmAHrnZe56m73HSoqFPUIWX
cEyYXzJd29WTrDaDjQ3Ukbp6SvFJLJ1JwH2h5BQRV5BEraS/6mIJULAmX4DZ7g6PZb9zVaTRxTkS
Z/ai/Gqo269JJJDRfQXRt4o8eqcNBGANvczxkm2QW/4TnkrMbDWng26nG1+vOBQ7upUCcg9WMwsm
LdWTBZAnpIAJqyGA6UXRy+LC8epww5lUEbDWuegFQ/UI2R6EszdiH2sQVd2ohtua19FLUUqXO5Ge
gLQu4SB7tcfassRDq2xtG5bupd510XVUEG7JB0RKZQ/PqpDvTqrOFA6zPu6zR5eQxW4ittviJZn4
4VHHUcaDdiRb7er+Y2k44XPrjaRnJgvVHa/UNiZaC6fVb7pbalXl2obx5ZRQsO1S37VpWsNPKW4K
O0bVkGxC82F6bASwsILBkKgZADHW0+kx8t2d5uEErQ3y9im8sXCoLxP4Y+bU74uKbGYwDIcIPAl7
KEmXtveSAi4ZMtqYLBvhEQcig+FN1NdfU1AnFeLm5Lgnd2agMMCOSwssimb7BwUmBfslP55TYbMF
oVLNLBUJVIVFzUUyU1aSmbdS5H126GcGC7rhYxZ1wdqf+SzOTGpxKeTaUf8d7zBEIArMRJfKHK5s
QNvsnkm7sjxIIPp312AnHcAM0XU3s2E0vxwYga869mESzDm7Cdgx+CNv4zgwNsHMleFzf/bC9FZ1
mBPlzJ4ZZgpNqsOjGSve0pmqwq0cASAi7+zcssX4DL9mKiHZpLBnmS9R8sJJ3dIbgHd+Jt80joSB
4yOJJhAvTfA4+Px410epu7cIJy0wR3RrZECC9jNcpw3B7MTS48UuZ/SON1HAUz/xgHj06uml6iBm
w+qhW4NUkp+hueTerQeaGr8FrXVzR95QWeJm8qV1HmSzzaR9A5X3EETR15YapEXizpS0iBXm5EMF
io14IxLeGwmfogUKGn+TKbMVCxaCk9UmVLSX9qUSK3hI0budV+g04adppddnA4sxe1k8TC2GMxKa
SvKOW1ed5sayINsFN6QZsMLMrpgOzH306ZOBqlnNzhkxOjuIw9aGg0NsDOw11KVlyxg8LiWMeG9Y
l9RYi7vLZPblcEi/APDZxEXuruF98cY1tcceM0/l8wmK5Guu5HU8u33GqDp72H9U5IGSrhddWNxl
sz+owSg0ptaJdP8xnh1EsB8hmM2uIgd7kTv7jPJhJC2M9agxxxfCckSx6a6bvUmEDY4pZiWREqYs
sEGvqLKljTYzyUVgbiqM8abF7KQHPW5ZXqkMFlKGHWqQLWiIIHscM3yUY+q82ibeKW5uX3WvzyC9
sXLqMVjRkcXLh+WqmL1X6ezCYnfyLHt/F1M5a2LTSkCYQtGEj46Bq8fIFTn1dfrp7MLA1bjJtTvY
iuyzfh9iBZMmgXGsYensESMbhttFk+ca+5gvsX3X0ZONrSxOgyetpX2dWzPUwAlsKSg6hyI9w9sY
XKy4t5fRsPFKBapu8uYcPxVVhGmTWp5CPkorPjMw7mgz5JOtlrYjkp1XQ9emhlpRCmDKaevQw4dl
66bLTPuhLKb2Vc/DcBPN5TlwD4+6G/mrtu4aBD9K6JyH8jpfRzf1DobL+C/oTf+W3g1SRH89FS2+
vv3tFH+0P05Dv12sZtvt91EIRhI3KyCYJqmkn2yhjAU2Fg3X823H+mMU8r+4FrBe3IuMEFiFrR8v
VjoCEdZQ06TzkhTSL8lNEIn+NKR8QpIRtlgOOATB0DV/kpvIXPbOUOXtDkzZUUSZ7ZEPhz8YtJop
llVJ+Rzr25HiTMUJvR0nqqc9iiqua3CFi9ryxSVojRyVwrpQLqPCOqld7iY1Xm8L2Lgz1iBCEHUR
ZRvP22ptEj9kVC210ALgemOxTMYzOhMJqrnpuf0sfS7TSbJU1ux3McACABLMcjB5gHVzXdbuMy0Y
LCKKR0PWl5JS6YJyaRnZwIvDXTu3TmP5PvehfcFNaNWxBVigMVyWAMdDPrKg1taalhy0ggcZ4sdH
k4COmwYyUU7eXAX2QIGufE0sPG/KqU4EkAxSI9037A30mutVR/a3pU2w9h4ZQNo18fONT7W2HcFS
iF0ISVA/GcTo364q/3oC9lBHc0cD5AG20sxY4imlz3QQxuXA61kb1nVpCQg32rZI5hAwpd81xIQ0
zy6b2H0xKAU3Sv1UUBIe5YLBtb3q+vGuDtVTUljLjFLxYujuTUrG5zzVtqnpHfd0KEfEzTEN0klu
NDI5MmW/ZhYUSHt6dGr/yFjxouY+cxFnz2mkw0oghJ3Mpec5IWIM6tUByA84YYrRbeEduUpfJ209
b9qwVtYy41wKKxrVvblcXSvrrU3bOnl5Hk/0r6MVlssiFj2L2LmefZAUtZtzZXsOz9KaMdvYdz/C
2B43rDn45cq9DpHb44nNohf4U2CJCzVjuzv43fUIcY64zX2rTXSF5mG3kA683xq6T9Hs9IDXVKUL
t0v6lT8DggWkp4UPM7ia4cFNKZ8Lv2pmTh/NjnFxWWu4aFpIaKGjrV1P+5Cj4H5uXwVdfsyc0sPL
N5OKad5hBYUByYQhS1/XoxrdexBc9JU2bJ1Fd6hLAkV55d78f/bOpKmNJIvjX6Vj7qWoJWs7zBwk
IQm7QcbG2M2lAmO7NtW+69PPLxF4QLJxYzmi6zB14ACESpWV+fLle//FHQSO63DTUadMbhT09QBz
QulwyNJdFbMSzMzO8sy7zZsSsZymW5foXFNyeweKpgGxoaTwd/L3aQVTztjCMaENugKxnC4z1hep
TYR8ZapZuAu61bnrQYHWyA4TN4HQ3hX6QlGcz14HADPI0DXDTgJWcmzcqmX2J0YQELfC5LJX8o9b
pxHAvqP3Sl+sw60nTXKl2gl6G80mEsvIqiCFDDeONpzmmkKD0qpfw3H2zkyMDtUWqDju2Kh1YSuG
n21j89GAyE+qGpRu3X5I8w1rzMjOky3R8SQLEVUpTe966KjS5LY4EXpy3vhedI7TQgvO1PFuckvJ
3pj4hJwaWVEsLIfVQAQpr+yUwquRANbAQm2YIX3U4n+JwwSqOOeuEl2TuK+1uFn4oXpGw1TdEqc2
Svmm8eszUCJb2IzGp8FULuJtdWojrTbv8Y6krqEGZyJWsnnauN7CiUBz9MFmNrhQ1JAuZg5l/jVE
DQF1MgoQvR6yUzNtNJS9vMtSa6vXdVUgwWKWgKcThQzdhsQJt3yJ5MMqJJunTWjOAa+QqxfGVwO3
LHKCVpsH9QYodWUhOBkYJkbH+XUKcWXhNj3FeeHRjwre3+1P/69goLEnOynP7dV/vA1vlCsEYv+4
vHmyZX8rYMhPeNi1bZpEunAsB79MoI2PyBzWhNKFhXI1nRrDkDzjhwKGihoiNmGIIWvQcBxJKbnH
W8Isp5ND/QK+Nb0olK5eUsA43LMF9lQG4E26RHSy9vbsIOTo1orQXmUK2IdKZLRHMW9SIlGdDLqJ
cEaUfXg0WN+pZhzUTCSCVKee66ABTlFnr/5apmKTpxsXMpGvrjx1OMFi4GJbxj8hi+uyx/a0/cWN
HEG6BJWGsXT2dBvdNAuHfmNYq0zvbDy2ISWKLJnFse9gD8Lhchr0gJbRuPU/9poGf8DSSgRyLAvw
lbtd2FHaz2kVpXANQOAhTQ2xoYUrgPuSddoYxG/GST8DlKpc+/XWvHFrGCdDJ279RP3UtKL7YFpR
+LorhvQKzRUfQCNmvYXRwkqzAQRA2EFIOumKGQ734YWTNZdqVNjvE78CHtXqDirZQWbOXek6ayf9
KkUVF7W0fLus3UsOzKA5pFctWgSrwZXJBO0jVfrZphjbIo0Yn6CR8zqUnrdNWr8KpAuuT68Zbb8r
kE7IsFrOSsEwt9YT8KXbYlqHaUVDMLh1wxB0iv/GvHPbxXY38QdSivoTNHR9mkln3rT25q706oU2
8KrGzYJzTbUwBKJopnT2bfo2AbtGe80o4M/2QqMtl+jF3IixQUes+yR2gzdBVnxKe/W2DZUSzTNd
uqytSnEWNQD7kMZAjkP316RSy6GI4TP0Og44G2BPpDtGWJ1ZdnS93epXQZrq00ptlv1gZxQRuoUV
IxEediUJKQClGNsmiu4MNVWVcjDXRmKepFV9PtjGOke/p2sGQL9usqhqzj1ICVLblxpcah5cDQYl
ZCW0T7ssvO6DFM1yZREbAHlaA8o4LEwl0/FXxqRzaurNMIuKTbnsbLWeNVn+Kk28fOkYySIH5Aly
BdHC0PhSbKnUGQUwfytW7JNAVz5nijS3KfvzhBJ85Jr2ysTGOwTc6Q0GHckkYuvXt6dG5CxKO1li
GgK2TeumKMgg1IxIgN7as9wt323i4I1wk4+WaNeZHzaLAZPrmRPqSGEhDja3bNAruZZfqgZWT90W
pwmVJ3ZwhzrpQIbODb195zIXcENwhP+nq3PazhztbZj4627oz9TIepOayuvaAOPmJL5Y1op+tkkr
cdYH8K169JzmNZhY8qeElL1CVkZRfOtENZviXeQ07y0pIJZgNL6Mc6jBimcaSyV2OwpK3aUbO95U
yVVEClznS1fTMVXznFQ03vypWNqFPOV7WVEih7NdVQzl1HWdW7Zpna+sdquYamUgy5bAaACGcnbC
T52iZjWYwYm4K3TKkqfWJMXHTpZBEyiQ85RtPiT8ovXTrtIaOU3X44dpJGKRihhl9AzclFrLlQxZ
tFLzT1YYmnPEzAGUIksplYxnfV5ar7egSqeiCwY4FD2TGEVksC89MnZ988rX4mK5VWA+KEn0vu0Q
iRENwkBK4/1Z+CqF0E4DA2gE9rRSNldIPSvLsAy+Yk+N/oA/4IpNoYsuVjN7PjqDPng2aO5tCGrj
NYGRCwt4sg24ke+t/PWSO0hgAwdRZKFVth0X4Vh2vcf9N2WA2GuiX7uiPLmObG2pWfFPXDCfbjEH
t9hX7KUCrqDopfWruvCCGUD9DWhA7QPWPpfPP4v+lK2wuxP8aOjAnNY5e+89DDY/ma5XZb+KWuVD
q4LOL4P2HJVXa6ZZkbeIMvEugdG5MiQirlTJ7tQARp+A4KaQGzaaeluL7UXF/Ooj0m6/UEusSZrl
kFo3aV5dPP+FD0bGUSldu7RTNFulcyH//qiRsAVy6ied3q90M0Nx7EPdbKaodOxqOJBnvu+m+p1+
BVrOpkMmBYGY4ZFpx6PbZLHWhH3LO8bj+XUGhGPR1qAN4iQ8QyOqWRgBKvBa0cyjRKErkFRfwxiZ
TeF1F1LWhvaFpp2UeGOAZ94u/bQrcUuBQWWXlEptiOYLlf7dvDUDdV5XDtZ17ZoayLyMza9aq4OF
pL61Vbu3oW5+9LP6lU+JcLppt2/hDxDkEhUlKDPQlk2qXcacMjD0i+Yct5xZKJq/qjLBolnJulmd
2BwwPFBsugWuFo/Ca18hHHVFze5tVqdW6qzJG7zFxvc4v/CNbew5FtZQ4XGTf0hVY53lBdbuoP0C
SbTP1HfC8G5tkp92gyJBq6bG8uUv2bDRJGKVUSbS915yIdQiwcm3X23Nt0qloIL5St96P3nH35tJ
MJS5i23Jko9cGY9ecVfRGIIh168o/7LdXzU4XvbC+Uk40mWS9j9jXtn5ItpigGW6dP6xCdhbYKUu
yiE1oJ4jX4RYfausAfMUoNBL5Feicq33YBHVrl4krrgEIwqfDurgNDFDbDSlPJe9yWdwCeOZ2GjV
qUMvZFqi8DrdxI17lbb6T7JbGR+f+b7uXtIZuPrGpJ7Sr8q+vGnYOxtFveptbDr6T8+/ZbmGDu6E
FxeICqzRLHNvjSEtAqBCL4aV2NjNDFNOHBzjVl+WJfTVyKDonrx6+R1NTiv4M3NcFfvvAuE1s4xz
VnXbs2rbdjv3Y3XdtJtgHngwO4Gu7l7/iw6Z3y8Gy4/4RYek+7vPb+qbk7SmBX3RfCmHt1+qZlPj
tbSLcvKvb7IwrS+zX/un5z/ojy93d74c8i///tfN5wQpXShiZXhbH1aALebQk9Po3fe6+9LPfczm
hmdrPvP5GidQ+Pqq4zBbN+gPPPxetaD1cToypX4Et3g0Mj969ucfazeIz//Pc995Nyqnn6WEGqg8
6tbHPjomARTKTZuT8u7aGwFzIiiaI5LGjJbXOMdBGiUcNwXciU6pAXUdlFLkRbh+MhPEhL6BZTNJ
RjoCR88EG56qLizgZd8fAVBrFpUzajEPAzTGFSFYwsfNBEDG9H1kp+b74wBGj6KS6uCaMcqYcIBQ
fGk4dCc2hRVbRydldx1GRZpbOiqD938f2zgAXqSbx35/7ESgpQYNkOzqYcY/CQnAq2SDUBic17iI
GGNcEOaxoRF8KSPAmrh7Sn7sTwcWhJwKwtmN+Ig2yYdys9T0OXIyaMiS4mbFsWFvY3DoOcNVBZd7
Nz7/1Cy4zZq0llmaD4zkcY6EPtXfe/a9T3iUHhkIIhiyD34/A/b3RmdCpdtCW+mfevifJIiyvnFc
KNDY+zhJgDA8ePvIMIK/tkaaHj2sAOLUkWPAruAI8gPoN7uLytiTcGhOSA/o5Ni7gDOiMPDb9gPQ
SfCEOAvsPbir04RCnvYfjQA/WQSyvXPcInCAE6tYfAOJ2V0H42CTQKuWPuoEUfLJjhuHO60XAEFI
xT288CfzwSFBZKBUef4fY0bgHJsRaGICBQ99O2d/KcjmK6dS/T75GlEMuD8v7zeuX5ob8+hk/4LG
82EeQNNZHqNHekA8cKZ+8aNrE4S4EUY6eOucDDFesoTcHUc54X9D9id0h4m9F/FsaBQciXWEou6u
cT6+LD0fG/EQvNKoav6gOOJwYoTkS5V1nCNwH4n3KpcvqRBaE7ChRHubFtb9q96L+ZLfwiCMLuZ/
ywCP3/jUiQpZRuJl99aBSW6I+6N+nxqO9Bjg7oq4R8wCaFNQxXVKQz+aBaqg10mi/JAYjCscfpsL
BwCuF28G6oT3jQgdiJDdtTcl7AkHAThk41sQ95nAb5gMguVA4+AH6bDF5oArrfOQLo8zNErhw+M2
ByojbAyoMVMPfRITrYmroqow2rIA/jFHPjoVQCqhjknk/8EiQIUaLvX9DjyidPhbJDggo/5CJJCW
y6yF/bIQaSF1WDAdIz0XfxsDCbE5bg2IiYb3NTSMwwMR7Wfsq+6rsCOaAbswaB8bBt2JQ0kAsMxD
eZjjz5MoYE7YJsCySmjQuHbD3Qi4Rx8OaBjhTYTaO9D6u2tvBFCNJXc0sVof6QgcO/2x+QKDDUPq
oTS4f06STWRXV0F3j3MEJLL8uACA0BE7PYZiP6gJ2Qh7UCCkZf8wRca1Fr7FwuNr5ZTHkCMwDKmB
/CQS2BP8FYQBlH6Us+BQ8OoXtkIgZRK2v78NmBNaRxSP1V22Nbpt4PgSgTGBiCF1GH6wANyJlKhh
gxznyxfurpv/64dDHpBkR7PtXR8QM+e96c8coFNo37fjxjcFfsM+SLecMsl9/f8AQiMPRGDMdRTQ
/3Ym8DeGCUia/K/bzZeb8j//BQAA//8=</cx:binary>
              </cx:geoCache>
            </cx:geography>
          </cx:layoutPr>
        </cx:series>
      </cx:plotAreaRegion>
    </cx:plotArea>
    <cx:legend pos="r" align="min" overlay="0">
      <cx:txPr>
        <a:bodyPr vertOverflow="overflow" horzOverflow="overflow" wrap="square" lIns="0" tIns="0" rIns="0" bIns="0"/>
        <a:lstStyle/>
        <a:p>
          <a:pPr algn="ctr" rtl="0">
            <a:defRPr sz="800" b="0" i="0">
              <a:solidFill>
                <a:srgbClr val="595959"/>
              </a:solidFill>
              <a:latin typeface="Nunito" pitchFamily="2" charset="0"/>
              <a:ea typeface="Nunito" pitchFamily="2" charset="0"/>
              <a:cs typeface="Nunito" pitchFamily="2" charset="0"/>
            </a:defRPr>
          </a:pPr>
          <a:endParaRPr lang="en-US" sz="800">
            <a:latin typeface="Nunito" pitchFamily="2" charset="0"/>
          </a:endParaRPr>
        </a:p>
      </cx:txPr>
    </cx:legend>
  </cx:chart>
  <cx:spPr>
    <a:ln>
      <a:noFill/>
    </a:ln>
  </cx:spPr>
</cx:chartSpace>
</file>

<file path=xl/charts/chartEx7.xml><?xml version="1.0" encoding="utf-8"?>
<cx:chartSpace xmlns:a="http://schemas.openxmlformats.org/drawingml/2006/main" xmlns:r="http://schemas.openxmlformats.org/officeDocument/2006/relationships" xmlns:cx="http://schemas.microsoft.com/office/drawing/2014/chartex">
  <cx:chartData>
    <cx:data id="0">
      <cx:numDim type="val">
        <cx:f>_xlchart.v1.18</cx:f>
      </cx:numDim>
    </cx:data>
  </cx:chartData>
  <cx:chart>
    <cx:title pos="t" align="ctr" overlay="0">
      <cx:tx>
        <cx:txData>
          <cx:v>Tiêu đề biểu đồ</cx:v>
        </cx:txData>
      </cx:tx>
      <cx:txPr>
        <a:bodyPr vertOverflow="overflow" horzOverflow="overflow" wrap="square" lIns="0" tIns="0" rIns="0" bIns="0"/>
        <a:lstStyle/>
        <a:p>
          <a:pPr algn="ctr" rtl="0">
            <a:defRPr sz="1400" b="0" i="0">
              <a:solidFill>
                <a:srgbClr val="7F7F7F"/>
              </a:solidFill>
              <a:latin typeface="Calibri" panose="020F0502020204030204" pitchFamily="34" charset="0"/>
              <a:ea typeface="Calibri" panose="020F0502020204030204" pitchFamily="34" charset="0"/>
              <a:cs typeface="Calibri" panose="020F0502020204030204" pitchFamily="34" charset="0"/>
            </a:defRPr>
          </a:pPr>
          <a:r>
            <a:t>Tiêu đề biểu đồ</a:t>
          </a:r>
        </a:p>
      </cx:txPr>
    </cx:title>
    <cx:plotArea>
      <cx:plotAreaRegion>
        <cx:series layoutId="clusteredColumn" uniqueId="{D585C21D-0B72-4C16-B6CC-1E33F1527A86}">
          <cx:dataId val="0"/>
          <cx:layoutPr>
            <cx:binning intervalClosed="r"/>
          </cx:layoutPr>
        </cx:series>
      </cx:plotAreaRegion>
      <cx:axis id="0">
        <cx:catScaling gapWidth="0"/>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axis id="1">
        <cx:valScaling/>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chart>
</cx:chartSpace>
</file>

<file path=xl/charts/chartEx8.xml><?xml version="1.0" encoding="utf-8"?>
<cx:chartSpace xmlns:a="http://schemas.openxmlformats.org/drawingml/2006/main" xmlns:r="http://schemas.openxmlformats.org/officeDocument/2006/relationships" xmlns:cx="http://schemas.microsoft.com/office/drawing/2014/chartex">
  <cx:chartData>
    <cx:data id="0">
      <cx:numDim type="val">
        <cx:f>_xlchart.v1.19</cx:f>
      </cx:numDim>
    </cx:data>
  </cx:chartData>
  <cx:chart>
    <cx:plotArea>
      <cx:plotAreaRegion>
        <cx:series layoutId="clusteredColumn" uniqueId="{640C280F-26EA-4705-BB29-FFB8F5F8815C}">
          <cx:dataId val="0"/>
          <cx:layoutPr>
            <cx:binning intervalClosed="r"/>
          </cx:layoutPr>
        </cx:series>
      </cx:plotAreaRegion>
      <cx:axis id="0">
        <cx:catScaling gapWidth="0"/>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axis id="1">
        <cx:valScaling/>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chart>
</cx:chartSpace>
</file>

<file path=xl/charts/chartEx9.xml><?xml version="1.0" encoding="utf-8"?>
<cx:chartSpace xmlns:a="http://schemas.openxmlformats.org/drawingml/2006/main" xmlns:r="http://schemas.openxmlformats.org/officeDocument/2006/relationships" xmlns:cx="http://schemas.microsoft.com/office/drawing/2014/chartex">
  <cx:chartData>
    <cx:data id="0">
      <cx:strDim type="cat">
        <cx:f>_xlchart.v1.20</cx:f>
      </cx:strDim>
      <cx:numDim type="val">
        <cx:f>_xlchart.v1.21</cx:f>
      </cx:numDim>
    </cx:data>
  </cx:chartData>
  <cx:chart>
    <cx:plotArea>
      <cx:plotAreaRegion>
        <cx:series layoutId="waterfall" uniqueId="{54AC5D1F-DE82-44BB-A3BA-B9B134330501}">
          <cx:spPr>
            <a:ln w="28575"/>
          </cx:spPr>
          <cx:data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visibility seriesName="0" categoryName="0" value="1"/>
            <cx:separator>, </cx:separator>
          </cx:dataLabels>
          <cx:dataId val="0"/>
          <cx:layoutPr>
            <cx:visibility connectorLines="1"/>
            <cx:subtotals>
              <cx:idx val="8"/>
            </cx:subtotals>
          </cx:layoutPr>
        </cx:series>
      </cx:plotAreaRegion>
      <cx:axis id="0">
        <cx:catScaling gapWidth="0.5"/>
        <cx:tickLabels/>
        <cx:txPr>
          <a:bodyPr vertOverflow="overflow" horzOverflow="overflow" wrap="square" lIns="0" tIns="0" rIns="0" bIns="0"/>
          <a:lstStyle/>
          <a:p>
            <a:pPr algn="ctr" rtl="0">
              <a:defRPr sz="800" b="0" i="0">
                <a:solidFill>
                  <a:srgbClr val="595959"/>
                </a:solidFill>
                <a:latin typeface="Calibri" panose="020F0502020204030204" pitchFamily="34" charset="0"/>
                <a:ea typeface="Calibri" panose="020F0502020204030204" pitchFamily="34" charset="0"/>
                <a:cs typeface="Calibri" panose="020F0502020204030204" pitchFamily="34" charset="0"/>
              </a:defRPr>
            </a:pPr>
            <a:endParaRPr lang="vi-VN" sz="800">
              <a:latin typeface="Calibri" panose="020F0502020204030204" pitchFamily="34" charset="0"/>
              <a:ea typeface="Calibri" panose="020F0502020204030204" pitchFamily="34" charset="0"/>
              <a:cs typeface="Calibri" panose="020F0502020204030204" pitchFamily="34" charset="0"/>
            </a:endParaRPr>
          </a:p>
        </cx:txPr>
      </cx:axis>
      <cx:axis id="1">
        <cx:valScaling/>
        <cx:tickLabels/>
        <cx:txPr>
          <a:bodyPr vertOverflow="overflow" horzOverflow="overflow" wrap="square" lIns="0" tIns="0" rIns="0" bIns="0"/>
          <a:lstStyle/>
          <a:p>
            <a:pPr algn="ctr" rtl="0">
              <a:defRPr sz="800" b="0" i="0">
                <a:solidFill>
                  <a:srgbClr val="595959"/>
                </a:solidFill>
                <a:latin typeface="Calibri" panose="020F0502020204030204" pitchFamily="34" charset="0"/>
                <a:ea typeface="Calibri" panose="020F0502020204030204" pitchFamily="34" charset="0"/>
                <a:cs typeface="Calibri" panose="020F0502020204030204" pitchFamily="34" charset="0"/>
              </a:defRPr>
            </a:pPr>
            <a:endParaRPr lang="vi-VN" sz="800">
              <a:latin typeface="Calibri" panose="020F0502020204030204" pitchFamily="34" charset="0"/>
              <a:ea typeface="Calibri" panose="020F0502020204030204" pitchFamily="34" charset="0"/>
              <a:cs typeface="Calibri" panose="020F0502020204030204" pitchFamily="34" charset="0"/>
            </a:endParaRPr>
          </a:p>
        </cx:txPr>
      </cx:axis>
    </cx:plotArea>
    <cx:legend pos="t" align="ctr" overlay="0">
      <cx:txPr>
        <a:bodyPr vertOverflow="overflow" horzOverflow="overflow" wrap="square" lIns="0" tIns="0" rIns="0" bIns="0"/>
        <a:lstStyle/>
        <a:p>
          <a:pPr algn="ctr" rtl="0">
            <a:defRPr sz="800" b="0" i="0">
              <a:solidFill>
                <a:srgbClr val="595959"/>
              </a:solidFill>
              <a:latin typeface="Calibri" panose="020F0502020204030204" pitchFamily="34" charset="0"/>
              <a:ea typeface="Calibri" panose="020F0502020204030204" pitchFamily="34" charset="0"/>
              <a:cs typeface="Calibri" panose="020F0502020204030204" pitchFamily="34" charset="0"/>
            </a:defRPr>
          </a:pPr>
          <a:endParaRPr lang="vi-VN" sz="800">
            <a:latin typeface="Calibri" panose="020F0502020204030204" pitchFamily="34" charset="0"/>
            <a:ea typeface="Calibri" panose="020F0502020204030204" pitchFamily="34" charset="0"/>
            <a:cs typeface="Calibri" panose="020F0502020204030204" pitchFamily="34" charset="0"/>
          </a:endParaRPr>
        </a:p>
      </cx:txPr>
    </cx:legend>
  </cx:chart>
  <cx:spPr>
    <a:ln>
      <a:noFill/>
    </a:ln>
  </cx:spPr>
</cx:chartSpace>
</file>

<file path=xl/charts/chartEx10.xml><?xml version="1.0" encoding="utf-8"?>
<cx:chartSpace xmlns:a="http://schemas.openxmlformats.org/drawingml/2006/main" xmlns:r="http://schemas.openxmlformats.org/officeDocument/2006/relationships" xmlns:cx="http://schemas.microsoft.com/office/drawing/2014/chartex">
  <cx:chartData>
    <cx:data id="0">
      <cx:strDim type="cat">
        <cx:f>_xlchart.v1.22</cx:f>
      </cx:strDim>
      <cx:numDim type="val">
        <cx:f>_xlchart.v1.24</cx:f>
      </cx:numDim>
    </cx:data>
  </cx:chartData>
  <cx:chart>
    <cx:plotArea>
      <cx:plotAreaRegion>
        <cx:series layoutId="waterfall" uniqueId="{F7E028DC-ABFA-4A8B-8BA3-3BAAEAB8193C}" formatIdx="0">
          <cx:tx>
            <cx:txData>
              <cx:f>_xlchart.v1.23</cx:f>
              <cx:v>2023F-2022E</cx:v>
            </cx:txData>
          </cx:tx>
          <cx:dataLabels pos="outEnd">
            <cx:txPr>
              <a:bodyPr vertOverflow="overflow" horzOverflow="overflow" wrap="square" lIns="0" tIns="0" rIns="0" bIns="0"/>
              <a:lstStyle/>
              <a:p>
                <a:pPr algn="ctr" rtl="0">
                  <a:defRPr sz="800" b="0" i="0">
                    <a:solidFill>
                      <a:srgbClr val="595959"/>
                    </a:solidFill>
                    <a:latin typeface="Calibri" panose="020F0502020204030204" pitchFamily="34" charset="0"/>
                    <a:ea typeface="Calibri" panose="020F0502020204030204" pitchFamily="34" charset="0"/>
                    <a:cs typeface="Calibri" panose="020F0502020204030204" pitchFamily="34" charset="0"/>
                  </a:defRPr>
                </a:pPr>
                <a:endParaRPr lang="vi-VN" sz="800">
                  <a:latin typeface="Calibri" panose="020F0502020204030204" pitchFamily="34" charset="0"/>
                  <a:ea typeface="Calibri" panose="020F0502020204030204" pitchFamily="34" charset="0"/>
                  <a:cs typeface="Calibri" panose="020F0502020204030204" pitchFamily="34" charset="0"/>
                </a:endParaRPr>
              </a:p>
            </cx:txPr>
            <cx:visibility seriesName="0" categoryName="0" value="1"/>
          </cx:dataLabels>
          <cx:dataId val="0"/>
          <cx:layoutPr>
            <cx:visibility connectorLines="1"/>
            <cx:subtotals>
              <cx:idx val="8"/>
            </cx:subtotals>
          </cx:layoutPr>
        </cx:series>
      </cx:plotAreaRegion>
      <cx:axis id="0">
        <cx:catScaling/>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axis id="1">
        <cx:valScaling/>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t" align="ctr" overlay="0">
      <cx:spPr>
        <a:ln>
          <a:noFill/>
        </a:ln>
      </cx:spPr>
      <cx:txPr>
        <a:bodyPr spcFirstLastPara="1" vertOverflow="ellipsis" horzOverflow="overflow" wrap="square" lIns="0" tIns="0" rIns="0" bIns="0" anchor="ctr" anchorCtr="1"/>
        <a:lstStyle/>
        <a:p>
          <a:pPr algn="ctr" rtl="0">
            <a:defRPr sz="800">
              <a:solidFill>
                <a:schemeClr val="tx1">
                  <a:lumMod val="95000"/>
                  <a:lumOff val="5000"/>
                </a:schemeClr>
              </a:solidFill>
              <a:latin typeface="Calibri" panose="020F0502020204030204" pitchFamily="34" charset="0"/>
              <a:ea typeface="Calibri" panose="020F0502020204030204" pitchFamily="34" charset="0"/>
              <a:cs typeface="Calibri" panose="020F0502020204030204" pitchFamily="34" charset="0"/>
            </a:defRPr>
          </a:pPr>
          <a:endParaRPr lang="en-US" sz="800" b="0" i="0" u="none" strike="noStrike" baseline="0">
            <a:solidFill>
              <a:schemeClr val="tx1">
                <a:lumMod val="95000"/>
                <a:lumOff val="5000"/>
              </a:schemeClr>
            </a:solidFill>
            <a:latin typeface="Calibri" panose="020F0502020204030204" pitchFamily="34" charset="0"/>
            <a:ea typeface="Calibri" panose="020F0502020204030204" pitchFamily="34" charset="0"/>
            <a:cs typeface="Calibri" panose="020F0502020204030204" pitchFamily="34" charset="0"/>
          </a:endParaRPr>
        </a:p>
      </cx:txPr>
    </cx:legend>
  </cx:chart>
  <cx:spPr>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7.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6.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1.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B5886681-C89A-478B-97A4-0C2817193754}" type="doc">
      <dgm:prSet loTypeId="urn:microsoft.com/office/officeart/2008/layout/IncreasingCircleProcess" loCatId="process" qsTypeId="urn:microsoft.com/office/officeart/2005/8/quickstyle/simple1" qsCatId="simple" csTypeId="urn:microsoft.com/office/officeart/2005/8/colors/accent1_2" csCatId="accent1" phldr="1"/>
      <dgm:spPr/>
      <dgm:t>
        <a:bodyPr/>
        <a:lstStyle/>
        <a:p>
          <a:endParaRPr lang="vi-VN"/>
        </a:p>
      </dgm:t>
    </dgm:pt>
    <dgm:pt modelId="{91D2B9F7-62A6-4E35-85D9-4A38B32AEB87}">
      <dgm:prSet phldrT="[Text]"/>
      <dgm:spPr/>
      <dgm:t>
        <a:bodyPr/>
        <a:lstStyle/>
        <a:p>
          <a:r>
            <a:rPr lang="en-US" b="1"/>
            <a:t>2018-Q1/22</a:t>
          </a:r>
          <a:endParaRPr lang="vi-VN" b="1"/>
        </a:p>
      </dgm:t>
    </dgm:pt>
    <dgm:pt modelId="{2DEB42C3-8FCE-4BA5-804B-7A87CDAD2B6C}" type="parTrans" cxnId="{2E1A48A9-9D53-49C0-9E28-17146509BE68}">
      <dgm:prSet/>
      <dgm:spPr/>
      <dgm:t>
        <a:bodyPr/>
        <a:lstStyle/>
        <a:p>
          <a:endParaRPr lang="vi-VN"/>
        </a:p>
      </dgm:t>
    </dgm:pt>
    <dgm:pt modelId="{57FD56D7-873F-42BD-B366-69531E5CDA9D}" type="sibTrans" cxnId="{2E1A48A9-9D53-49C0-9E28-17146509BE68}">
      <dgm:prSet/>
      <dgm:spPr/>
      <dgm:t>
        <a:bodyPr/>
        <a:lstStyle/>
        <a:p>
          <a:endParaRPr lang="vi-VN"/>
        </a:p>
      </dgm:t>
    </dgm:pt>
    <dgm:pt modelId="{C4EA4D33-C713-4FDA-B9B5-CC3D56ED8FAC}">
      <dgm:prSet phldrT="[Text]"/>
      <dgm:spPr/>
      <dgm:t>
        <a:bodyPr/>
        <a:lstStyle/>
        <a:p>
          <a:r>
            <a:rPr lang="en-US"/>
            <a:t>Mô hình "Thử- sửa" và mở CH chiếm thị phần</a:t>
          </a:r>
          <a:endParaRPr lang="vi-VN"/>
        </a:p>
      </dgm:t>
    </dgm:pt>
    <dgm:pt modelId="{47E901D8-CB10-4EC5-BCA0-2F423FB6A52D}" type="parTrans" cxnId="{118BAEF6-E7DF-4980-AB6F-C954644AE356}">
      <dgm:prSet/>
      <dgm:spPr/>
      <dgm:t>
        <a:bodyPr/>
        <a:lstStyle/>
        <a:p>
          <a:endParaRPr lang="vi-VN"/>
        </a:p>
      </dgm:t>
    </dgm:pt>
    <dgm:pt modelId="{69DC9631-9673-427A-8179-F77182A7654B}" type="sibTrans" cxnId="{118BAEF6-E7DF-4980-AB6F-C954644AE356}">
      <dgm:prSet/>
      <dgm:spPr/>
      <dgm:t>
        <a:bodyPr/>
        <a:lstStyle/>
        <a:p>
          <a:endParaRPr lang="vi-VN"/>
        </a:p>
      </dgm:t>
    </dgm:pt>
    <dgm:pt modelId="{D0A989AF-9CA2-4532-BCB3-EE2D0135E330}">
      <dgm:prSet phldrT="[Text]"/>
      <dgm:spPr/>
      <dgm:t>
        <a:bodyPr/>
        <a:lstStyle/>
        <a:p>
          <a:r>
            <a:rPr lang="en-US" b="1"/>
            <a:t>Q2/22-Q3/22</a:t>
          </a:r>
          <a:endParaRPr lang="vi-VN" b="1"/>
        </a:p>
      </dgm:t>
    </dgm:pt>
    <dgm:pt modelId="{71F14BB9-0363-4860-8865-26E562C66632}" type="parTrans" cxnId="{3180CA8B-5F53-440A-B2AF-648531F3EABE}">
      <dgm:prSet/>
      <dgm:spPr/>
      <dgm:t>
        <a:bodyPr/>
        <a:lstStyle/>
        <a:p>
          <a:endParaRPr lang="vi-VN"/>
        </a:p>
      </dgm:t>
    </dgm:pt>
    <dgm:pt modelId="{D4773550-5EB5-40A6-A7DB-F72A28CA3958}" type="sibTrans" cxnId="{3180CA8B-5F53-440A-B2AF-648531F3EABE}">
      <dgm:prSet/>
      <dgm:spPr/>
      <dgm:t>
        <a:bodyPr/>
        <a:lstStyle/>
        <a:p>
          <a:endParaRPr lang="vi-VN"/>
        </a:p>
      </dgm:t>
    </dgm:pt>
    <dgm:pt modelId="{9ACED9C2-3621-4341-844C-E7186706C971}">
      <dgm:prSet phldrT="[Text]"/>
      <dgm:spPr/>
      <dgm:t>
        <a:bodyPr/>
        <a:lstStyle/>
        <a:p>
          <a:r>
            <a:rPr lang="en-US"/>
            <a:t>Chuẩn hoá model kinh doanh và tái định vị tập khách hàng mục tiêu</a:t>
          </a:r>
          <a:endParaRPr lang="vi-VN"/>
        </a:p>
      </dgm:t>
    </dgm:pt>
    <dgm:pt modelId="{CBEFE6DC-0BB1-4959-BFAF-09F5800CDDD6}" type="parTrans" cxnId="{5021ECC8-5C2F-464F-B0CA-526EA31139FD}">
      <dgm:prSet/>
      <dgm:spPr/>
      <dgm:t>
        <a:bodyPr/>
        <a:lstStyle/>
        <a:p>
          <a:endParaRPr lang="vi-VN"/>
        </a:p>
      </dgm:t>
    </dgm:pt>
    <dgm:pt modelId="{C89EE0E6-CF5E-4F52-B775-60175B5BCDAD}" type="sibTrans" cxnId="{5021ECC8-5C2F-464F-B0CA-526EA31139FD}">
      <dgm:prSet/>
      <dgm:spPr/>
      <dgm:t>
        <a:bodyPr/>
        <a:lstStyle/>
        <a:p>
          <a:endParaRPr lang="vi-VN"/>
        </a:p>
      </dgm:t>
    </dgm:pt>
    <dgm:pt modelId="{D1408DA1-BD97-4139-B302-C5E67D162C5B}">
      <dgm:prSet phldrT="[Text]"/>
      <dgm:spPr/>
      <dgm:t>
        <a:bodyPr/>
        <a:lstStyle/>
        <a:p>
          <a:r>
            <a:rPr lang="en-US" b="1"/>
            <a:t>Q4/22- Sau 2023</a:t>
          </a:r>
          <a:endParaRPr lang="vi-VN" b="1"/>
        </a:p>
      </dgm:t>
    </dgm:pt>
    <dgm:pt modelId="{FB153D1C-D045-48F1-9244-B979B41C5381}" type="parTrans" cxnId="{1F3441A0-C997-467F-B7A5-CB2E5D92E240}">
      <dgm:prSet/>
      <dgm:spPr/>
      <dgm:t>
        <a:bodyPr/>
        <a:lstStyle/>
        <a:p>
          <a:endParaRPr lang="vi-VN"/>
        </a:p>
      </dgm:t>
    </dgm:pt>
    <dgm:pt modelId="{573893BE-81C0-4536-8CC1-64AE7E470BCF}" type="sibTrans" cxnId="{1F3441A0-C997-467F-B7A5-CB2E5D92E240}">
      <dgm:prSet/>
      <dgm:spPr/>
      <dgm:t>
        <a:bodyPr/>
        <a:lstStyle/>
        <a:p>
          <a:endParaRPr lang="vi-VN"/>
        </a:p>
      </dgm:t>
    </dgm:pt>
    <dgm:pt modelId="{C327C1F2-C43F-4C41-8331-0FBF7C9A88B5}">
      <dgm:prSet phldrT="[Text]"/>
      <dgm:spPr/>
      <dgm:t>
        <a:bodyPr/>
        <a:lstStyle/>
        <a:p>
          <a:r>
            <a:rPr lang="en-US"/>
            <a:t>Tối ưu hoá chi phí</a:t>
          </a:r>
          <a:endParaRPr lang="vi-VN"/>
        </a:p>
      </dgm:t>
    </dgm:pt>
    <dgm:pt modelId="{16078599-12CC-4EB5-BA01-502508BCFA3F}" type="parTrans" cxnId="{613C8DCC-1BEC-43F2-A370-51ED5524215D}">
      <dgm:prSet/>
      <dgm:spPr/>
      <dgm:t>
        <a:bodyPr/>
        <a:lstStyle/>
        <a:p>
          <a:endParaRPr lang="vi-VN"/>
        </a:p>
      </dgm:t>
    </dgm:pt>
    <dgm:pt modelId="{8FA154CC-601B-4584-9CB6-B87C28ED4510}" type="sibTrans" cxnId="{613C8DCC-1BEC-43F2-A370-51ED5524215D}">
      <dgm:prSet/>
      <dgm:spPr/>
      <dgm:t>
        <a:bodyPr/>
        <a:lstStyle/>
        <a:p>
          <a:endParaRPr lang="vi-VN"/>
        </a:p>
      </dgm:t>
    </dgm:pt>
    <dgm:pt modelId="{03B644DF-FD93-4815-A590-915B128A049C}">
      <dgm:prSet phldrT="[Text]"/>
      <dgm:spPr/>
      <dgm:t>
        <a:bodyPr/>
        <a:lstStyle/>
        <a:p>
          <a:r>
            <a:rPr lang="en-US" b="1"/>
            <a:t>Trung hạn</a:t>
          </a:r>
          <a:endParaRPr lang="vi-VN" b="1"/>
        </a:p>
      </dgm:t>
    </dgm:pt>
    <dgm:pt modelId="{99013098-E3E4-4D1C-9EFB-933BE9FBC0C3}" type="parTrans" cxnId="{10D55836-BF11-4521-9C15-6D6CA446D33C}">
      <dgm:prSet/>
      <dgm:spPr/>
      <dgm:t>
        <a:bodyPr/>
        <a:lstStyle/>
        <a:p>
          <a:endParaRPr lang="vi-VN"/>
        </a:p>
      </dgm:t>
    </dgm:pt>
    <dgm:pt modelId="{7E9CFEA1-01D5-4DBD-8B13-45627E8EC7A7}" type="sibTrans" cxnId="{10D55836-BF11-4521-9C15-6D6CA446D33C}">
      <dgm:prSet/>
      <dgm:spPr/>
      <dgm:t>
        <a:bodyPr/>
        <a:lstStyle/>
        <a:p>
          <a:endParaRPr lang="vi-VN"/>
        </a:p>
      </dgm:t>
    </dgm:pt>
    <dgm:pt modelId="{D5826C14-2466-46FF-A1BE-5608CF4BF113}">
      <dgm:prSet phldrT="[Text]"/>
      <dgm:spPr/>
      <dgm:t>
        <a:bodyPr/>
        <a:lstStyle/>
        <a:p>
          <a:r>
            <a:rPr lang="en-US"/>
            <a:t>Tăng DT/CH</a:t>
          </a:r>
          <a:endParaRPr lang="vi-VN"/>
        </a:p>
      </dgm:t>
    </dgm:pt>
    <dgm:pt modelId="{7884F771-883F-499B-BA79-F7A57E8CDC0A}" type="parTrans" cxnId="{C3F4696B-0FA4-452D-82F6-34CA892AF058}">
      <dgm:prSet/>
      <dgm:spPr/>
      <dgm:t>
        <a:bodyPr/>
        <a:lstStyle/>
        <a:p>
          <a:endParaRPr lang="vi-VN"/>
        </a:p>
      </dgm:t>
    </dgm:pt>
    <dgm:pt modelId="{33D7AE14-E157-45E3-8D49-976980F11EFF}" type="sibTrans" cxnId="{C3F4696B-0FA4-452D-82F6-34CA892AF058}">
      <dgm:prSet/>
      <dgm:spPr/>
      <dgm:t>
        <a:bodyPr/>
        <a:lstStyle/>
        <a:p>
          <a:endParaRPr lang="vi-VN"/>
        </a:p>
      </dgm:t>
    </dgm:pt>
    <dgm:pt modelId="{2A401A8E-28BF-45C8-81E3-3798B2C5D18C}">
      <dgm:prSet phldrT="[Text]"/>
      <dgm:spPr/>
      <dgm:t>
        <a:bodyPr/>
        <a:lstStyle/>
        <a:p>
          <a:r>
            <a:rPr lang="en-US"/>
            <a:t>Nhân bản mô hình thành công</a:t>
          </a:r>
          <a:endParaRPr lang="vi-VN"/>
        </a:p>
      </dgm:t>
    </dgm:pt>
    <dgm:pt modelId="{83E63737-6703-42B3-8049-BA28C3A03945}" type="parTrans" cxnId="{AC1C0C45-F577-4269-B84B-36A2E700B5F8}">
      <dgm:prSet/>
      <dgm:spPr/>
      <dgm:t>
        <a:bodyPr/>
        <a:lstStyle/>
        <a:p>
          <a:endParaRPr lang="vi-VN"/>
        </a:p>
      </dgm:t>
    </dgm:pt>
    <dgm:pt modelId="{78A352CD-BFC5-40E2-A647-8B84091C88EC}" type="sibTrans" cxnId="{AC1C0C45-F577-4269-B84B-36A2E700B5F8}">
      <dgm:prSet/>
      <dgm:spPr/>
      <dgm:t>
        <a:bodyPr/>
        <a:lstStyle/>
        <a:p>
          <a:endParaRPr lang="vi-VN"/>
        </a:p>
      </dgm:t>
    </dgm:pt>
    <dgm:pt modelId="{AA678686-6374-48E3-8985-94016CE470B5}" type="pres">
      <dgm:prSet presAssocID="{B5886681-C89A-478B-97A4-0C2817193754}" presName="Name0" presStyleCnt="0">
        <dgm:presLayoutVars>
          <dgm:chMax val="7"/>
          <dgm:chPref val="7"/>
          <dgm:dir/>
          <dgm:animOne val="branch"/>
          <dgm:animLvl val="lvl"/>
        </dgm:presLayoutVars>
      </dgm:prSet>
      <dgm:spPr/>
    </dgm:pt>
    <dgm:pt modelId="{3AD63493-9C65-4C2D-901A-AB0F6B12BE33}" type="pres">
      <dgm:prSet presAssocID="{91D2B9F7-62A6-4E35-85D9-4A38B32AEB87}" presName="composite" presStyleCnt="0"/>
      <dgm:spPr/>
    </dgm:pt>
    <dgm:pt modelId="{5C1AB8E6-3827-483F-B64F-BE778D6FCE4A}" type="pres">
      <dgm:prSet presAssocID="{91D2B9F7-62A6-4E35-85D9-4A38B32AEB87}" presName="BackAccent" presStyleLbl="bgShp" presStyleIdx="0" presStyleCnt="4"/>
      <dgm:spPr/>
    </dgm:pt>
    <dgm:pt modelId="{DAC2B580-3D68-4ED1-B44B-0E3E58F10AC7}" type="pres">
      <dgm:prSet presAssocID="{91D2B9F7-62A6-4E35-85D9-4A38B32AEB87}" presName="Accent" presStyleLbl="alignNode1" presStyleIdx="0" presStyleCnt="4"/>
      <dgm:spPr/>
    </dgm:pt>
    <dgm:pt modelId="{62C7AA39-C819-4C15-B19E-46993DCE0E18}" type="pres">
      <dgm:prSet presAssocID="{91D2B9F7-62A6-4E35-85D9-4A38B32AEB87}" presName="Child" presStyleLbl="revTx" presStyleIdx="0" presStyleCnt="8">
        <dgm:presLayoutVars>
          <dgm:chMax val="0"/>
          <dgm:chPref val="0"/>
          <dgm:bulletEnabled val="1"/>
        </dgm:presLayoutVars>
      </dgm:prSet>
      <dgm:spPr/>
    </dgm:pt>
    <dgm:pt modelId="{D8CB9998-7AFB-4FE9-8C2B-5AB95C0D5D99}" type="pres">
      <dgm:prSet presAssocID="{91D2B9F7-62A6-4E35-85D9-4A38B32AEB87}" presName="Parent" presStyleLbl="revTx" presStyleIdx="1" presStyleCnt="8">
        <dgm:presLayoutVars>
          <dgm:chMax val="1"/>
          <dgm:chPref val="1"/>
          <dgm:bulletEnabled val="1"/>
        </dgm:presLayoutVars>
      </dgm:prSet>
      <dgm:spPr/>
    </dgm:pt>
    <dgm:pt modelId="{36BBB2F2-B111-4788-A984-168C9FBCD966}" type="pres">
      <dgm:prSet presAssocID="{57FD56D7-873F-42BD-B366-69531E5CDA9D}" presName="sibTrans" presStyleCnt="0"/>
      <dgm:spPr/>
    </dgm:pt>
    <dgm:pt modelId="{A6544BE9-A2CA-4084-A6F0-F05E8D89D62F}" type="pres">
      <dgm:prSet presAssocID="{D0A989AF-9CA2-4532-BCB3-EE2D0135E330}" presName="composite" presStyleCnt="0"/>
      <dgm:spPr/>
    </dgm:pt>
    <dgm:pt modelId="{26FEFA44-831A-45DA-A4AF-C2103641F369}" type="pres">
      <dgm:prSet presAssocID="{D0A989AF-9CA2-4532-BCB3-EE2D0135E330}" presName="BackAccent" presStyleLbl="bgShp" presStyleIdx="1" presStyleCnt="4"/>
      <dgm:spPr/>
    </dgm:pt>
    <dgm:pt modelId="{687064AB-4BBA-4FED-A9B9-D270B15D213E}" type="pres">
      <dgm:prSet presAssocID="{D0A989AF-9CA2-4532-BCB3-EE2D0135E330}" presName="Accent" presStyleLbl="alignNode1" presStyleIdx="1" presStyleCnt="4"/>
      <dgm:spPr/>
    </dgm:pt>
    <dgm:pt modelId="{634AB8DF-693A-44C7-89C0-9382411B3E7C}" type="pres">
      <dgm:prSet presAssocID="{D0A989AF-9CA2-4532-BCB3-EE2D0135E330}" presName="Child" presStyleLbl="revTx" presStyleIdx="2" presStyleCnt="8">
        <dgm:presLayoutVars>
          <dgm:chMax val="0"/>
          <dgm:chPref val="0"/>
          <dgm:bulletEnabled val="1"/>
        </dgm:presLayoutVars>
      </dgm:prSet>
      <dgm:spPr/>
    </dgm:pt>
    <dgm:pt modelId="{BE1A0F19-C8DB-4C63-830F-0205AF316006}" type="pres">
      <dgm:prSet presAssocID="{D0A989AF-9CA2-4532-BCB3-EE2D0135E330}" presName="Parent" presStyleLbl="revTx" presStyleIdx="3" presStyleCnt="8">
        <dgm:presLayoutVars>
          <dgm:chMax val="1"/>
          <dgm:chPref val="1"/>
          <dgm:bulletEnabled val="1"/>
        </dgm:presLayoutVars>
      </dgm:prSet>
      <dgm:spPr/>
    </dgm:pt>
    <dgm:pt modelId="{82E340AA-9EB6-4806-9674-03BD64A8F29F}" type="pres">
      <dgm:prSet presAssocID="{D4773550-5EB5-40A6-A7DB-F72A28CA3958}" presName="sibTrans" presStyleCnt="0"/>
      <dgm:spPr/>
    </dgm:pt>
    <dgm:pt modelId="{04F10CAF-3B07-4164-8380-04B84ECCE2EC}" type="pres">
      <dgm:prSet presAssocID="{D1408DA1-BD97-4139-B302-C5E67D162C5B}" presName="composite" presStyleCnt="0"/>
      <dgm:spPr/>
    </dgm:pt>
    <dgm:pt modelId="{558F7606-1572-4D43-BBBE-13D6E36A2E3A}" type="pres">
      <dgm:prSet presAssocID="{D1408DA1-BD97-4139-B302-C5E67D162C5B}" presName="BackAccent" presStyleLbl="bgShp" presStyleIdx="2" presStyleCnt="4"/>
      <dgm:spPr/>
    </dgm:pt>
    <dgm:pt modelId="{7FD7ACFC-BF81-4D2E-9FCB-A5190B308539}" type="pres">
      <dgm:prSet presAssocID="{D1408DA1-BD97-4139-B302-C5E67D162C5B}" presName="Accent" presStyleLbl="alignNode1" presStyleIdx="2" presStyleCnt="4"/>
      <dgm:spPr/>
    </dgm:pt>
    <dgm:pt modelId="{C05B1341-2195-4E6E-8D6B-270A88F98952}" type="pres">
      <dgm:prSet presAssocID="{D1408DA1-BD97-4139-B302-C5E67D162C5B}" presName="Child" presStyleLbl="revTx" presStyleIdx="4" presStyleCnt="8">
        <dgm:presLayoutVars>
          <dgm:chMax val="0"/>
          <dgm:chPref val="0"/>
          <dgm:bulletEnabled val="1"/>
        </dgm:presLayoutVars>
      </dgm:prSet>
      <dgm:spPr/>
    </dgm:pt>
    <dgm:pt modelId="{AE69D5F7-89C5-4636-B436-B1A9AE7179FC}" type="pres">
      <dgm:prSet presAssocID="{D1408DA1-BD97-4139-B302-C5E67D162C5B}" presName="Parent" presStyleLbl="revTx" presStyleIdx="5" presStyleCnt="8">
        <dgm:presLayoutVars>
          <dgm:chMax val="1"/>
          <dgm:chPref val="1"/>
          <dgm:bulletEnabled val="1"/>
        </dgm:presLayoutVars>
      </dgm:prSet>
      <dgm:spPr/>
    </dgm:pt>
    <dgm:pt modelId="{F3AF6B5C-1CA4-433B-B24F-2330F01215D6}" type="pres">
      <dgm:prSet presAssocID="{573893BE-81C0-4536-8CC1-64AE7E470BCF}" presName="sibTrans" presStyleCnt="0"/>
      <dgm:spPr/>
    </dgm:pt>
    <dgm:pt modelId="{2EBC9A55-80C1-4327-81D9-5CC31F1567E0}" type="pres">
      <dgm:prSet presAssocID="{03B644DF-FD93-4815-A590-915B128A049C}" presName="composite" presStyleCnt="0"/>
      <dgm:spPr/>
    </dgm:pt>
    <dgm:pt modelId="{49F0FC79-63AC-400D-9D76-80FFBEE00B5C}" type="pres">
      <dgm:prSet presAssocID="{03B644DF-FD93-4815-A590-915B128A049C}" presName="BackAccent" presStyleLbl="bgShp" presStyleIdx="3" presStyleCnt="4"/>
      <dgm:spPr/>
    </dgm:pt>
    <dgm:pt modelId="{1D912584-2C02-4434-B78E-7B184E0FD116}" type="pres">
      <dgm:prSet presAssocID="{03B644DF-FD93-4815-A590-915B128A049C}" presName="Accent" presStyleLbl="alignNode1" presStyleIdx="3" presStyleCnt="4"/>
      <dgm:spPr/>
    </dgm:pt>
    <dgm:pt modelId="{C7E89043-21FB-458D-B635-40154441D390}" type="pres">
      <dgm:prSet presAssocID="{03B644DF-FD93-4815-A590-915B128A049C}" presName="Child" presStyleLbl="revTx" presStyleIdx="6" presStyleCnt="8">
        <dgm:presLayoutVars>
          <dgm:chMax val="0"/>
          <dgm:chPref val="0"/>
          <dgm:bulletEnabled val="1"/>
        </dgm:presLayoutVars>
      </dgm:prSet>
      <dgm:spPr/>
    </dgm:pt>
    <dgm:pt modelId="{11BEE840-4028-409F-8BE3-E83C6B26B7A1}" type="pres">
      <dgm:prSet presAssocID="{03B644DF-FD93-4815-A590-915B128A049C}" presName="Parent" presStyleLbl="revTx" presStyleIdx="7" presStyleCnt="8">
        <dgm:presLayoutVars>
          <dgm:chMax val="1"/>
          <dgm:chPref val="1"/>
          <dgm:bulletEnabled val="1"/>
        </dgm:presLayoutVars>
      </dgm:prSet>
      <dgm:spPr/>
    </dgm:pt>
  </dgm:ptLst>
  <dgm:cxnLst>
    <dgm:cxn modelId="{EA6F680C-B038-4E00-9DFD-069663D83537}" type="presOf" srcId="{2A401A8E-28BF-45C8-81E3-3798B2C5D18C}" destId="{C7E89043-21FB-458D-B635-40154441D390}" srcOrd="0" destOrd="0" presId="urn:microsoft.com/office/officeart/2008/layout/IncreasingCircleProcess"/>
    <dgm:cxn modelId="{1730940E-BD34-4849-B48A-E9F6A71D149B}" type="presOf" srcId="{D1408DA1-BD97-4139-B302-C5E67D162C5B}" destId="{AE69D5F7-89C5-4636-B436-B1A9AE7179FC}" srcOrd="0" destOrd="0" presId="urn:microsoft.com/office/officeart/2008/layout/IncreasingCircleProcess"/>
    <dgm:cxn modelId="{4517470F-B585-4ACF-AAFD-303E929AD618}" type="presOf" srcId="{D0A989AF-9CA2-4532-BCB3-EE2D0135E330}" destId="{BE1A0F19-C8DB-4C63-830F-0205AF316006}" srcOrd="0" destOrd="0" presId="urn:microsoft.com/office/officeart/2008/layout/IncreasingCircleProcess"/>
    <dgm:cxn modelId="{EDB9B624-A53B-40D1-96AA-434C64600AA1}" type="presOf" srcId="{B5886681-C89A-478B-97A4-0C2817193754}" destId="{AA678686-6374-48E3-8985-94016CE470B5}" srcOrd="0" destOrd="0" presId="urn:microsoft.com/office/officeart/2008/layout/IncreasingCircleProcess"/>
    <dgm:cxn modelId="{10D55836-BF11-4521-9C15-6D6CA446D33C}" srcId="{B5886681-C89A-478B-97A4-0C2817193754}" destId="{03B644DF-FD93-4815-A590-915B128A049C}" srcOrd="3" destOrd="0" parTransId="{99013098-E3E4-4D1C-9EFB-933BE9FBC0C3}" sibTransId="{7E9CFEA1-01D5-4DBD-8B13-45627E8EC7A7}"/>
    <dgm:cxn modelId="{AC1C0C45-F577-4269-B84B-36A2E700B5F8}" srcId="{03B644DF-FD93-4815-A590-915B128A049C}" destId="{2A401A8E-28BF-45C8-81E3-3798B2C5D18C}" srcOrd="0" destOrd="0" parTransId="{83E63737-6703-42B3-8049-BA28C3A03945}" sibTransId="{78A352CD-BFC5-40E2-A647-8B84091C88EC}"/>
    <dgm:cxn modelId="{C8FD9048-1519-482C-B056-EAADDBAF47E4}" type="presOf" srcId="{91D2B9F7-62A6-4E35-85D9-4A38B32AEB87}" destId="{D8CB9998-7AFB-4FE9-8C2B-5AB95C0D5D99}" srcOrd="0" destOrd="0" presId="urn:microsoft.com/office/officeart/2008/layout/IncreasingCircleProcess"/>
    <dgm:cxn modelId="{3D9C0255-F134-401F-BC38-6E8C428F137D}" type="presOf" srcId="{C4EA4D33-C713-4FDA-B9B5-CC3D56ED8FAC}" destId="{62C7AA39-C819-4C15-B19E-46993DCE0E18}" srcOrd="0" destOrd="0" presId="urn:microsoft.com/office/officeart/2008/layout/IncreasingCircleProcess"/>
    <dgm:cxn modelId="{C3F4696B-0FA4-452D-82F6-34CA892AF058}" srcId="{D1408DA1-BD97-4139-B302-C5E67D162C5B}" destId="{D5826C14-2466-46FF-A1BE-5608CF4BF113}" srcOrd="0" destOrd="0" parTransId="{7884F771-883F-499B-BA79-F7A57E8CDC0A}" sibTransId="{33D7AE14-E157-45E3-8D49-976980F11EFF}"/>
    <dgm:cxn modelId="{3180CA8B-5F53-440A-B2AF-648531F3EABE}" srcId="{B5886681-C89A-478B-97A4-0C2817193754}" destId="{D0A989AF-9CA2-4532-BCB3-EE2D0135E330}" srcOrd="1" destOrd="0" parTransId="{71F14BB9-0363-4860-8865-26E562C66632}" sibTransId="{D4773550-5EB5-40A6-A7DB-F72A28CA3958}"/>
    <dgm:cxn modelId="{B91EFA9A-45C1-4AC4-BA7D-D9724EF0923B}" type="presOf" srcId="{03B644DF-FD93-4815-A590-915B128A049C}" destId="{11BEE840-4028-409F-8BE3-E83C6B26B7A1}" srcOrd="0" destOrd="0" presId="urn:microsoft.com/office/officeart/2008/layout/IncreasingCircleProcess"/>
    <dgm:cxn modelId="{1F3441A0-C997-467F-B7A5-CB2E5D92E240}" srcId="{B5886681-C89A-478B-97A4-0C2817193754}" destId="{D1408DA1-BD97-4139-B302-C5E67D162C5B}" srcOrd="2" destOrd="0" parTransId="{FB153D1C-D045-48F1-9244-B979B41C5381}" sibTransId="{573893BE-81C0-4536-8CC1-64AE7E470BCF}"/>
    <dgm:cxn modelId="{2E1A48A9-9D53-49C0-9E28-17146509BE68}" srcId="{B5886681-C89A-478B-97A4-0C2817193754}" destId="{91D2B9F7-62A6-4E35-85D9-4A38B32AEB87}" srcOrd="0" destOrd="0" parTransId="{2DEB42C3-8FCE-4BA5-804B-7A87CDAD2B6C}" sibTransId="{57FD56D7-873F-42BD-B366-69531E5CDA9D}"/>
    <dgm:cxn modelId="{4204F6B3-E584-4735-9AF0-C761E8826D3E}" type="presOf" srcId="{9ACED9C2-3621-4341-844C-E7186706C971}" destId="{634AB8DF-693A-44C7-89C0-9382411B3E7C}" srcOrd="0" destOrd="0" presId="urn:microsoft.com/office/officeart/2008/layout/IncreasingCircleProcess"/>
    <dgm:cxn modelId="{5021ECC8-5C2F-464F-B0CA-526EA31139FD}" srcId="{D0A989AF-9CA2-4532-BCB3-EE2D0135E330}" destId="{9ACED9C2-3621-4341-844C-E7186706C971}" srcOrd="0" destOrd="0" parTransId="{CBEFE6DC-0BB1-4959-BFAF-09F5800CDDD6}" sibTransId="{C89EE0E6-CF5E-4F52-B775-60175B5BCDAD}"/>
    <dgm:cxn modelId="{613C8DCC-1BEC-43F2-A370-51ED5524215D}" srcId="{D1408DA1-BD97-4139-B302-C5E67D162C5B}" destId="{C327C1F2-C43F-4C41-8331-0FBF7C9A88B5}" srcOrd="1" destOrd="0" parTransId="{16078599-12CC-4EB5-BA01-502508BCFA3F}" sibTransId="{8FA154CC-601B-4584-9CB6-B87C28ED4510}"/>
    <dgm:cxn modelId="{0180DBCF-9F3D-41C1-8F3E-BD36A5438F47}" type="presOf" srcId="{D5826C14-2466-46FF-A1BE-5608CF4BF113}" destId="{C05B1341-2195-4E6E-8D6B-270A88F98952}" srcOrd="0" destOrd="0" presId="urn:microsoft.com/office/officeart/2008/layout/IncreasingCircleProcess"/>
    <dgm:cxn modelId="{118BAEF6-E7DF-4980-AB6F-C954644AE356}" srcId="{91D2B9F7-62A6-4E35-85D9-4A38B32AEB87}" destId="{C4EA4D33-C713-4FDA-B9B5-CC3D56ED8FAC}" srcOrd="0" destOrd="0" parTransId="{47E901D8-CB10-4EC5-BCA0-2F423FB6A52D}" sibTransId="{69DC9631-9673-427A-8179-F77182A7654B}"/>
    <dgm:cxn modelId="{171EFEFF-A610-419B-9E69-847AD303ED66}" type="presOf" srcId="{C327C1F2-C43F-4C41-8331-0FBF7C9A88B5}" destId="{C05B1341-2195-4E6E-8D6B-270A88F98952}" srcOrd="0" destOrd="1" presId="urn:microsoft.com/office/officeart/2008/layout/IncreasingCircleProcess"/>
    <dgm:cxn modelId="{D5EE2AA8-1510-4BE4-A0D0-B08D82AF5749}" type="presParOf" srcId="{AA678686-6374-48E3-8985-94016CE470B5}" destId="{3AD63493-9C65-4C2D-901A-AB0F6B12BE33}" srcOrd="0" destOrd="0" presId="urn:microsoft.com/office/officeart/2008/layout/IncreasingCircleProcess"/>
    <dgm:cxn modelId="{B74F32DD-3B2F-4C89-AD1A-767A1112290A}" type="presParOf" srcId="{3AD63493-9C65-4C2D-901A-AB0F6B12BE33}" destId="{5C1AB8E6-3827-483F-B64F-BE778D6FCE4A}" srcOrd="0" destOrd="0" presId="urn:microsoft.com/office/officeart/2008/layout/IncreasingCircleProcess"/>
    <dgm:cxn modelId="{C656FCC7-951E-47AC-BC0A-7AC3A8957965}" type="presParOf" srcId="{3AD63493-9C65-4C2D-901A-AB0F6B12BE33}" destId="{DAC2B580-3D68-4ED1-B44B-0E3E58F10AC7}" srcOrd="1" destOrd="0" presId="urn:microsoft.com/office/officeart/2008/layout/IncreasingCircleProcess"/>
    <dgm:cxn modelId="{11FBACF7-C05A-485B-947B-7CB6A237BFE0}" type="presParOf" srcId="{3AD63493-9C65-4C2D-901A-AB0F6B12BE33}" destId="{62C7AA39-C819-4C15-B19E-46993DCE0E18}" srcOrd="2" destOrd="0" presId="urn:microsoft.com/office/officeart/2008/layout/IncreasingCircleProcess"/>
    <dgm:cxn modelId="{E68DC273-E6E9-41E6-8F06-0C54DA753DEE}" type="presParOf" srcId="{3AD63493-9C65-4C2D-901A-AB0F6B12BE33}" destId="{D8CB9998-7AFB-4FE9-8C2B-5AB95C0D5D99}" srcOrd="3" destOrd="0" presId="urn:microsoft.com/office/officeart/2008/layout/IncreasingCircleProcess"/>
    <dgm:cxn modelId="{F533938C-49AE-4DA7-A1BF-331258B2F18B}" type="presParOf" srcId="{AA678686-6374-48E3-8985-94016CE470B5}" destId="{36BBB2F2-B111-4788-A984-168C9FBCD966}" srcOrd="1" destOrd="0" presId="urn:microsoft.com/office/officeart/2008/layout/IncreasingCircleProcess"/>
    <dgm:cxn modelId="{ABC24894-723C-46C8-90C2-66313FCFB4A2}" type="presParOf" srcId="{AA678686-6374-48E3-8985-94016CE470B5}" destId="{A6544BE9-A2CA-4084-A6F0-F05E8D89D62F}" srcOrd="2" destOrd="0" presId="urn:microsoft.com/office/officeart/2008/layout/IncreasingCircleProcess"/>
    <dgm:cxn modelId="{652F9F04-ECA6-4A3D-AE58-E026B5B3B2C5}" type="presParOf" srcId="{A6544BE9-A2CA-4084-A6F0-F05E8D89D62F}" destId="{26FEFA44-831A-45DA-A4AF-C2103641F369}" srcOrd="0" destOrd="0" presId="urn:microsoft.com/office/officeart/2008/layout/IncreasingCircleProcess"/>
    <dgm:cxn modelId="{314B4483-4246-4108-A72A-FFAFB40813B3}" type="presParOf" srcId="{A6544BE9-A2CA-4084-A6F0-F05E8D89D62F}" destId="{687064AB-4BBA-4FED-A9B9-D270B15D213E}" srcOrd="1" destOrd="0" presId="urn:microsoft.com/office/officeart/2008/layout/IncreasingCircleProcess"/>
    <dgm:cxn modelId="{DECA20EE-38F2-4ADC-B8DB-1466ABFCB8F1}" type="presParOf" srcId="{A6544BE9-A2CA-4084-A6F0-F05E8D89D62F}" destId="{634AB8DF-693A-44C7-89C0-9382411B3E7C}" srcOrd="2" destOrd="0" presId="urn:microsoft.com/office/officeart/2008/layout/IncreasingCircleProcess"/>
    <dgm:cxn modelId="{F1040BF7-F92B-41BF-ABEE-EA88F19C173F}" type="presParOf" srcId="{A6544BE9-A2CA-4084-A6F0-F05E8D89D62F}" destId="{BE1A0F19-C8DB-4C63-830F-0205AF316006}" srcOrd="3" destOrd="0" presId="urn:microsoft.com/office/officeart/2008/layout/IncreasingCircleProcess"/>
    <dgm:cxn modelId="{08FA44D1-9BE0-4FC4-897A-794505AFDBCD}" type="presParOf" srcId="{AA678686-6374-48E3-8985-94016CE470B5}" destId="{82E340AA-9EB6-4806-9674-03BD64A8F29F}" srcOrd="3" destOrd="0" presId="urn:microsoft.com/office/officeart/2008/layout/IncreasingCircleProcess"/>
    <dgm:cxn modelId="{5E9E86DC-8ED4-4E08-8347-300B2BC8FD9F}" type="presParOf" srcId="{AA678686-6374-48E3-8985-94016CE470B5}" destId="{04F10CAF-3B07-4164-8380-04B84ECCE2EC}" srcOrd="4" destOrd="0" presId="urn:microsoft.com/office/officeart/2008/layout/IncreasingCircleProcess"/>
    <dgm:cxn modelId="{F2444CD7-25BB-4996-9AF9-48EE5008969B}" type="presParOf" srcId="{04F10CAF-3B07-4164-8380-04B84ECCE2EC}" destId="{558F7606-1572-4D43-BBBE-13D6E36A2E3A}" srcOrd="0" destOrd="0" presId="urn:microsoft.com/office/officeart/2008/layout/IncreasingCircleProcess"/>
    <dgm:cxn modelId="{63AB3691-05C9-43AE-A442-E07698459793}" type="presParOf" srcId="{04F10CAF-3B07-4164-8380-04B84ECCE2EC}" destId="{7FD7ACFC-BF81-4D2E-9FCB-A5190B308539}" srcOrd="1" destOrd="0" presId="urn:microsoft.com/office/officeart/2008/layout/IncreasingCircleProcess"/>
    <dgm:cxn modelId="{E8F40DE8-D4C9-40D7-8B26-ABDB004432CC}" type="presParOf" srcId="{04F10CAF-3B07-4164-8380-04B84ECCE2EC}" destId="{C05B1341-2195-4E6E-8D6B-270A88F98952}" srcOrd="2" destOrd="0" presId="urn:microsoft.com/office/officeart/2008/layout/IncreasingCircleProcess"/>
    <dgm:cxn modelId="{4C8018D5-89C2-4C19-A839-5EA55E6888E6}" type="presParOf" srcId="{04F10CAF-3B07-4164-8380-04B84ECCE2EC}" destId="{AE69D5F7-89C5-4636-B436-B1A9AE7179FC}" srcOrd="3" destOrd="0" presId="urn:microsoft.com/office/officeart/2008/layout/IncreasingCircleProcess"/>
    <dgm:cxn modelId="{56F543EA-CC83-48DA-8C30-F6820FF0C808}" type="presParOf" srcId="{AA678686-6374-48E3-8985-94016CE470B5}" destId="{F3AF6B5C-1CA4-433B-B24F-2330F01215D6}" srcOrd="5" destOrd="0" presId="urn:microsoft.com/office/officeart/2008/layout/IncreasingCircleProcess"/>
    <dgm:cxn modelId="{485A43A2-1CA2-44C0-92F7-90FDA8F0649A}" type="presParOf" srcId="{AA678686-6374-48E3-8985-94016CE470B5}" destId="{2EBC9A55-80C1-4327-81D9-5CC31F1567E0}" srcOrd="6" destOrd="0" presId="urn:microsoft.com/office/officeart/2008/layout/IncreasingCircleProcess"/>
    <dgm:cxn modelId="{4613DAB6-3880-4CE6-9695-59D3C7DC9949}" type="presParOf" srcId="{2EBC9A55-80C1-4327-81D9-5CC31F1567E0}" destId="{49F0FC79-63AC-400D-9D76-80FFBEE00B5C}" srcOrd="0" destOrd="0" presId="urn:microsoft.com/office/officeart/2008/layout/IncreasingCircleProcess"/>
    <dgm:cxn modelId="{6C2746F9-443A-45FD-B02C-F33CF6DBC77E}" type="presParOf" srcId="{2EBC9A55-80C1-4327-81D9-5CC31F1567E0}" destId="{1D912584-2C02-4434-B78E-7B184E0FD116}" srcOrd="1" destOrd="0" presId="urn:microsoft.com/office/officeart/2008/layout/IncreasingCircleProcess"/>
    <dgm:cxn modelId="{D0507BC4-C488-417F-BFB4-EF061BE1936A}" type="presParOf" srcId="{2EBC9A55-80C1-4327-81D9-5CC31F1567E0}" destId="{C7E89043-21FB-458D-B635-40154441D390}" srcOrd="2" destOrd="0" presId="urn:microsoft.com/office/officeart/2008/layout/IncreasingCircleProcess"/>
    <dgm:cxn modelId="{799A4D12-737C-4820-8B2B-B4CCC6B0DCD4}" type="presParOf" srcId="{2EBC9A55-80C1-4327-81D9-5CC31F1567E0}" destId="{11BEE840-4028-409F-8BE3-E83C6B26B7A1}" srcOrd="3" destOrd="0" presId="urn:microsoft.com/office/officeart/2008/layout/IncreasingCircleProcess"/>
  </dgm:cxnLst>
  <dgm:bg/>
  <dgm:whole/>
  <dgm:extLst>
    <a:ext uri="http://schemas.microsoft.com/office/drawing/2008/diagram">
      <dsp:dataModelExt xmlns:dsp="http://schemas.microsoft.com/office/drawing/2008/diagram" relId="rId9"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469256CF-499C-4910-AC88-B9969BC5624B}" type="doc">
      <dgm:prSet loTypeId="urn:microsoft.com/office/officeart/2009/3/layout/StepUpProcess" loCatId="process" qsTypeId="urn:microsoft.com/office/officeart/2005/8/quickstyle/simple1" qsCatId="simple" csTypeId="urn:microsoft.com/office/officeart/2005/8/colors/accent1_2" csCatId="accent1" phldr="1"/>
      <dgm:spPr/>
      <dgm:t>
        <a:bodyPr/>
        <a:lstStyle/>
        <a:p>
          <a:endParaRPr lang="vi-VN"/>
        </a:p>
      </dgm:t>
    </dgm:pt>
    <dgm:pt modelId="{899872D0-E8ED-4F39-9C9F-D776693457A1}">
      <dgm:prSet phldrT="[Text]"/>
      <dgm:spPr/>
      <dgm:t>
        <a:bodyPr/>
        <a:lstStyle/>
        <a:p>
          <a:r>
            <a:rPr lang="en-US"/>
            <a:t>2016-2021</a:t>
          </a:r>
        </a:p>
      </dgm:t>
    </dgm:pt>
    <dgm:pt modelId="{413FB82C-E913-4E71-B657-A062A7EA5CE7}" type="parTrans" cxnId="{380C3180-757F-423E-A971-2D06F4E586EA}">
      <dgm:prSet/>
      <dgm:spPr/>
      <dgm:t>
        <a:bodyPr/>
        <a:lstStyle/>
        <a:p>
          <a:endParaRPr lang="vi-VN"/>
        </a:p>
      </dgm:t>
    </dgm:pt>
    <dgm:pt modelId="{A53A080F-BE16-456C-9A29-02C8D4586B7C}" type="sibTrans" cxnId="{380C3180-757F-423E-A971-2D06F4E586EA}">
      <dgm:prSet/>
      <dgm:spPr/>
      <dgm:t>
        <a:bodyPr/>
        <a:lstStyle/>
        <a:p>
          <a:endParaRPr lang="vi-VN"/>
        </a:p>
      </dgm:t>
    </dgm:pt>
    <dgm:pt modelId="{C7C915EA-58CB-46BE-A438-232711DA184D}">
      <dgm:prSet phldrT="[Text]" phldr="1"/>
      <dgm:spPr/>
      <dgm:t>
        <a:bodyPr/>
        <a:lstStyle/>
        <a:p>
          <a:endParaRPr lang="vi-VN"/>
        </a:p>
      </dgm:t>
    </dgm:pt>
    <dgm:pt modelId="{94899A1E-6676-453B-A0C1-842881822140}" type="parTrans" cxnId="{1F780F74-23F8-453A-8453-2BEF8BEF0335}">
      <dgm:prSet/>
      <dgm:spPr/>
      <dgm:t>
        <a:bodyPr/>
        <a:lstStyle/>
        <a:p>
          <a:endParaRPr lang="vi-VN"/>
        </a:p>
      </dgm:t>
    </dgm:pt>
    <dgm:pt modelId="{B632F77D-5A34-4544-BC31-B1E001A6471F}" type="sibTrans" cxnId="{1F780F74-23F8-453A-8453-2BEF8BEF0335}">
      <dgm:prSet/>
      <dgm:spPr/>
      <dgm:t>
        <a:bodyPr/>
        <a:lstStyle/>
        <a:p>
          <a:endParaRPr lang="vi-VN"/>
        </a:p>
      </dgm:t>
    </dgm:pt>
    <dgm:pt modelId="{F10B18DC-A2D1-4870-8BD0-0EACA349085B}">
      <dgm:prSet phldrT="[Text]" phldr="1"/>
      <dgm:spPr/>
      <dgm:t>
        <a:bodyPr/>
        <a:lstStyle/>
        <a:p>
          <a:endParaRPr lang="vi-VN"/>
        </a:p>
      </dgm:t>
    </dgm:pt>
    <dgm:pt modelId="{B14BF3F7-9B17-43F1-A40A-C7A37B6CEFFA}" type="parTrans" cxnId="{F101F3F7-44F0-4C93-9946-4809E41112BB}">
      <dgm:prSet/>
      <dgm:spPr/>
      <dgm:t>
        <a:bodyPr/>
        <a:lstStyle/>
        <a:p>
          <a:endParaRPr lang="vi-VN"/>
        </a:p>
      </dgm:t>
    </dgm:pt>
    <dgm:pt modelId="{C3914453-1F2F-462B-9845-2C00DB0FD2B9}" type="sibTrans" cxnId="{F101F3F7-44F0-4C93-9946-4809E41112BB}">
      <dgm:prSet/>
      <dgm:spPr/>
      <dgm:t>
        <a:bodyPr/>
        <a:lstStyle/>
        <a:p>
          <a:endParaRPr lang="vi-VN"/>
        </a:p>
      </dgm:t>
    </dgm:pt>
    <dgm:pt modelId="{00C984A9-FF53-4C14-9BE0-6AB59CFB8C7B}">
      <dgm:prSet/>
      <dgm:spPr/>
      <dgm:t>
        <a:bodyPr/>
        <a:lstStyle/>
        <a:p>
          <a:r>
            <a:rPr lang="en-US"/>
            <a:t>DT/CH/ tháng từ 0.5 đến 1.5 tỷ VND</a:t>
          </a:r>
          <a:endParaRPr lang="vi-VN"/>
        </a:p>
      </dgm:t>
    </dgm:pt>
    <dgm:pt modelId="{DA63CB66-60D6-491A-BBC3-515FCD56DDB0}" type="parTrans" cxnId="{52EAB94F-0370-44C8-9E48-6A179546F373}">
      <dgm:prSet/>
      <dgm:spPr/>
      <dgm:t>
        <a:bodyPr/>
        <a:lstStyle/>
        <a:p>
          <a:endParaRPr lang="vi-VN"/>
        </a:p>
      </dgm:t>
    </dgm:pt>
    <dgm:pt modelId="{68F9EE87-0C5B-48D3-B782-E73133B99A4B}" type="sibTrans" cxnId="{52EAB94F-0370-44C8-9E48-6A179546F373}">
      <dgm:prSet/>
      <dgm:spPr/>
      <dgm:t>
        <a:bodyPr/>
        <a:lstStyle/>
        <a:p>
          <a:endParaRPr lang="vi-VN"/>
        </a:p>
      </dgm:t>
    </dgm:pt>
    <dgm:pt modelId="{315CC0F4-0481-42E0-A207-0E494F196D12}">
      <dgm:prSet/>
      <dgm:spPr/>
      <dgm:t>
        <a:bodyPr/>
        <a:lstStyle/>
        <a:p>
          <a:endParaRPr lang="vi-VN"/>
        </a:p>
      </dgm:t>
    </dgm:pt>
    <dgm:pt modelId="{39C20F2C-A9F5-4801-A752-DE7951BD7032}" type="parTrans" cxnId="{44D55EDC-19FA-4B28-947C-4AC1E525B4AB}">
      <dgm:prSet/>
      <dgm:spPr/>
      <dgm:t>
        <a:bodyPr/>
        <a:lstStyle/>
        <a:p>
          <a:endParaRPr lang="vi-VN"/>
        </a:p>
      </dgm:t>
    </dgm:pt>
    <dgm:pt modelId="{89A60A0D-D2E9-482E-88C6-F5EC56D84B34}" type="sibTrans" cxnId="{44D55EDC-19FA-4B28-947C-4AC1E525B4AB}">
      <dgm:prSet/>
      <dgm:spPr/>
      <dgm:t>
        <a:bodyPr/>
        <a:lstStyle/>
        <a:p>
          <a:endParaRPr lang="vi-VN"/>
        </a:p>
      </dgm:t>
    </dgm:pt>
    <dgm:pt modelId="{DBB3A1EB-29FD-46A2-8FF0-B2E8D656A6C7}" type="pres">
      <dgm:prSet presAssocID="{469256CF-499C-4910-AC88-B9969BC5624B}" presName="rootnode" presStyleCnt="0">
        <dgm:presLayoutVars>
          <dgm:chMax/>
          <dgm:chPref/>
          <dgm:dir/>
          <dgm:animLvl val="lvl"/>
        </dgm:presLayoutVars>
      </dgm:prSet>
      <dgm:spPr/>
    </dgm:pt>
    <dgm:pt modelId="{E8C2BA71-461C-4D79-B5C8-1BD306B011EC}" type="pres">
      <dgm:prSet presAssocID="{899872D0-E8ED-4F39-9C9F-D776693457A1}" presName="composite" presStyleCnt="0"/>
      <dgm:spPr/>
    </dgm:pt>
    <dgm:pt modelId="{3C88738D-1B94-4052-AA7A-EF6BD2F05745}" type="pres">
      <dgm:prSet presAssocID="{899872D0-E8ED-4F39-9C9F-D776693457A1}" presName="LShape" presStyleLbl="alignNode1" presStyleIdx="0" presStyleCnt="5"/>
      <dgm:spPr/>
    </dgm:pt>
    <dgm:pt modelId="{FE4D70D1-3ABE-474F-92CF-0C22C85596FD}" type="pres">
      <dgm:prSet presAssocID="{899872D0-E8ED-4F39-9C9F-D776693457A1}" presName="ParentText" presStyleLbl="revTx" presStyleIdx="0" presStyleCnt="3">
        <dgm:presLayoutVars>
          <dgm:chMax val="0"/>
          <dgm:chPref val="0"/>
          <dgm:bulletEnabled val="1"/>
        </dgm:presLayoutVars>
      </dgm:prSet>
      <dgm:spPr/>
    </dgm:pt>
    <dgm:pt modelId="{C4514527-1B5B-4547-829C-EF3C3FB9EA2D}" type="pres">
      <dgm:prSet presAssocID="{899872D0-E8ED-4F39-9C9F-D776693457A1}" presName="Triangle" presStyleLbl="alignNode1" presStyleIdx="1" presStyleCnt="5"/>
      <dgm:spPr/>
    </dgm:pt>
    <dgm:pt modelId="{4AE2D373-D513-4115-AE84-714817148E9B}" type="pres">
      <dgm:prSet presAssocID="{A53A080F-BE16-456C-9A29-02C8D4586B7C}" presName="sibTrans" presStyleCnt="0"/>
      <dgm:spPr/>
    </dgm:pt>
    <dgm:pt modelId="{C77020B4-766C-4D65-AA53-32DAC00FD046}" type="pres">
      <dgm:prSet presAssocID="{A53A080F-BE16-456C-9A29-02C8D4586B7C}" presName="space" presStyleCnt="0"/>
      <dgm:spPr/>
    </dgm:pt>
    <dgm:pt modelId="{4D08B729-CF97-4671-87B2-C141C496E821}" type="pres">
      <dgm:prSet presAssocID="{C7C915EA-58CB-46BE-A438-232711DA184D}" presName="composite" presStyleCnt="0"/>
      <dgm:spPr/>
    </dgm:pt>
    <dgm:pt modelId="{27BC5C14-8C5F-4447-92AE-16D04D3C6AC3}" type="pres">
      <dgm:prSet presAssocID="{C7C915EA-58CB-46BE-A438-232711DA184D}" presName="LShape" presStyleLbl="alignNode1" presStyleIdx="2" presStyleCnt="5"/>
      <dgm:spPr/>
    </dgm:pt>
    <dgm:pt modelId="{F70C94A4-3EEB-48E3-933E-50FD22A562AD}" type="pres">
      <dgm:prSet presAssocID="{C7C915EA-58CB-46BE-A438-232711DA184D}" presName="ParentText" presStyleLbl="revTx" presStyleIdx="1" presStyleCnt="3">
        <dgm:presLayoutVars>
          <dgm:chMax val="0"/>
          <dgm:chPref val="0"/>
          <dgm:bulletEnabled val="1"/>
        </dgm:presLayoutVars>
      </dgm:prSet>
      <dgm:spPr/>
    </dgm:pt>
    <dgm:pt modelId="{AD3061CC-3A6F-4A54-83AA-82329C3DBA13}" type="pres">
      <dgm:prSet presAssocID="{C7C915EA-58CB-46BE-A438-232711DA184D}" presName="Triangle" presStyleLbl="alignNode1" presStyleIdx="3" presStyleCnt="5"/>
      <dgm:spPr/>
    </dgm:pt>
    <dgm:pt modelId="{D193D882-05DB-4733-8A28-C4723506DBAB}" type="pres">
      <dgm:prSet presAssocID="{B632F77D-5A34-4544-BC31-B1E001A6471F}" presName="sibTrans" presStyleCnt="0"/>
      <dgm:spPr/>
    </dgm:pt>
    <dgm:pt modelId="{404F14AA-0DC7-4311-9142-9FA7223E765D}" type="pres">
      <dgm:prSet presAssocID="{B632F77D-5A34-4544-BC31-B1E001A6471F}" presName="space" presStyleCnt="0"/>
      <dgm:spPr/>
    </dgm:pt>
    <dgm:pt modelId="{97B694AB-FD48-41C5-85D8-5D2014F89120}" type="pres">
      <dgm:prSet presAssocID="{F10B18DC-A2D1-4870-8BD0-0EACA349085B}" presName="composite" presStyleCnt="0"/>
      <dgm:spPr/>
    </dgm:pt>
    <dgm:pt modelId="{52828CC2-AD6A-4583-911D-5DEA64118B2C}" type="pres">
      <dgm:prSet presAssocID="{F10B18DC-A2D1-4870-8BD0-0EACA349085B}" presName="LShape" presStyleLbl="alignNode1" presStyleIdx="4" presStyleCnt="5"/>
      <dgm:spPr/>
    </dgm:pt>
    <dgm:pt modelId="{9A732952-5596-4CA2-80C5-149BE2A61FAC}" type="pres">
      <dgm:prSet presAssocID="{F10B18DC-A2D1-4870-8BD0-0EACA349085B}" presName="ParentText" presStyleLbl="revTx" presStyleIdx="2" presStyleCnt="3">
        <dgm:presLayoutVars>
          <dgm:chMax val="0"/>
          <dgm:chPref val="0"/>
          <dgm:bulletEnabled val="1"/>
        </dgm:presLayoutVars>
      </dgm:prSet>
      <dgm:spPr/>
    </dgm:pt>
  </dgm:ptLst>
  <dgm:cxnLst>
    <dgm:cxn modelId="{52EAB94F-0370-44C8-9E48-6A179546F373}" srcId="{899872D0-E8ED-4F39-9C9F-D776693457A1}" destId="{00C984A9-FF53-4C14-9BE0-6AB59CFB8C7B}" srcOrd="0" destOrd="0" parTransId="{DA63CB66-60D6-491A-BBC3-515FCD56DDB0}" sibTransId="{68F9EE87-0C5B-48D3-B782-E73133B99A4B}"/>
    <dgm:cxn modelId="{7DBE0E51-AA46-4180-A7BA-6F8A20CA6EB5}" type="presOf" srcId="{469256CF-499C-4910-AC88-B9969BC5624B}" destId="{DBB3A1EB-29FD-46A2-8FF0-B2E8D656A6C7}" srcOrd="0" destOrd="0" presId="urn:microsoft.com/office/officeart/2009/3/layout/StepUpProcess"/>
    <dgm:cxn modelId="{4C215D6E-7746-4E62-A01A-41024903157F}" type="presOf" srcId="{C7C915EA-58CB-46BE-A438-232711DA184D}" destId="{F70C94A4-3EEB-48E3-933E-50FD22A562AD}" srcOrd="0" destOrd="0" presId="urn:microsoft.com/office/officeart/2009/3/layout/StepUpProcess"/>
    <dgm:cxn modelId="{1F780F74-23F8-453A-8453-2BEF8BEF0335}" srcId="{469256CF-499C-4910-AC88-B9969BC5624B}" destId="{C7C915EA-58CB-46BE-A438-232711DA184D}" srcOrd="1" destOrd="0" parTransId="{94899A1E-6676-453B-A0C1-842881822140}" sibTransId="{B632F77D-5A34-4544-BC31-B1E001A6471F}"/>
    <dgm:cxn modelId="{380C3180-757F-423E-A971-2D06F4E586EA}" srcId="{469256CF-499C-4910-AC88-B9969BC5624B}" destId="{899872D0-E8ED-4F39-9C9F-D776693457A1}" srcOrd="0" destOrd="0" parTransId="{413FB82C-E913-4E71-B657-A062A7EA5CE7}" sibTransId="{A53A080F-BE16-456C-9A29-02C8D4586B7C}"/>
    <dgm:cxn modelId="{B66FEE85-E9A7-4473-9D88-2AFD6C6038D9}" type="presOf" srcId="{315CC0F4-0481-42E0-A207-0E494F196D12}" destId="{FE4D70D1-3ABE-474F-92CF-0C22C85596FD}" srcOrd="0" destOrd="2" presId="urn:microsoft.com/office/officeart/2009/3/layout/StepUpProcess"/>
    <dgm:cxn modelId="{02659099-446B-4BBC-9343-34E8FC9E1E26}" type="presOf" srcId="{899872D0-E8ED-4F39-9C9F-D776693457A1}" destId="{FE4D70D1-3ABE-474F-92CF-0C22C85596FD}" srcOrd="0" destOrd="0" presId="urn:microsoft.com/office/officeart/2009/3/layout/StepUpProcess"/>
    <dgm:cxn modelId="{B0993D9D-EC66-4B1E-9E2E-39CEE1EB3873}" type="presOf" srcId="{F10B18DC-A2D1-4870-8BD0-0EACA349085B}" destId="{9A732952-5596-4CA2-80C5-149BE2A61FAC}" srcOrd="0" destOrd="0" presId="urn:microsoft.com/office/officeart/2009/3/layout/StepUpProcess"/>
    <dgm:cxn modelId="{44D55EDC-19FA-4B28-947C-4AC1E525B4AB}" srcId="{899872D0-E8ED-4F39-9C9F-D776693457A1}" destId="{315CC0F4-0481-42E0-A207-0E494F196D12}" srcOrd="1" destOrd="0" parTransId="{39C20F2C-A9F5-4801-A752-DE7951BD7032}" sibTransId="{89A60A0D-D2E9-482E-88C6-F5EC56D84B34}"/>
    <dgm:cxn modelId="{F101F3F7-44F0-4C93-9946-4809E41112BB}" srcId="{469256CF-499C-4910-AC88-B9969BC5624B}" destId="{F10B18DC-A2D1-4870-8BD0-0EACA349085B}" srcOrd="2" destOrd="0" parTransId="{B14BF3F7-9B17-43F1-A40A-C7A37B6CEFFA}" sibTransId="{C3914453-1F2F-462B-9845-2C00DB0FD2B9}"/>
    <dgm:cxn modelId="{865B81F8-4C1E-45D5-8EBB-1B8DEAD0B1CC}" type="presOf" srcId="{00C984A9-FF53-4C14-9BE0-6AB59CFB8C7B}" destId="{FE4D70D1-3ABE-474F-92CF-0C22C85596FD}" srcOrd="0" destOrd="1" presId="urn:microsoft.com/office/officeart/2009/3/layout/StepUpProcess"/>
    <dgm:cxn modelId="{4D1C8508-FE5A-4CDE-BFC4-765071BFFC3A}" type="presParOf" srcId="{DBB3A1EB-29FD-46A2-8FF0-B2E8D656A6C7}" destId="{E8C2BA71-461C-4D79-B5C8-1BD306B011EC}" srcOrd="0" destOrd="0" presId="urn:microsoft.com/office/officeart/2009/3/layout/StepUpProcess"/>
    <dgm:cxn modelId="{48EA0AF6-BCA9-4A2E-80C1-B39DC9CFFDB6}" type="presParOf" srcId="{E8C2BA71-461C-4D79-B5C8-1BD306B011EC}" destId="{3C88738D-1B94-4052-AA7A-EF6BD2F05745}" srcOrd="0" destOrd="0" presId="urn:microsoft.com/office/officeart/2009/3/layout/StepUpProcess"/>
    <dgm:cxn modelId="{C10FADD3-58DB-4AFA-8332-FED3C01BADE2}" type="presParOf" srcId="{E8C2BA71-461C-4D79-B5C8-1BD306B011EC}" destId="{FE4D70D1-3ABE-474F-92CF-0C22C85596FD}" srcOrd="1" destOrd="0" presId="urn:microsoft.com/office/officeart/2009/3/layout/StepUpProcess"/>
    <dgm:cxn modelId="{96D72F55-8675-446D-9AA3-F9F063FB0A55}" type="presParOf" srcId="{E8C2BA71-461C-4D79-B5C8-1BD306B011EC}" destId="{C4514527-1B5B-4547-829C-EF3C3FB9EA2D}" srcOrd="2" destOrd="0" presId="urn:microsoft.com/office/officeart/2009/3/layout/StepUpProcess"/>
    <dgm:cxn modelId="{7B561D26-ADEA-4784-BAB4-7E7CD40F0533}" type="presParOf" srcId="{DBB3A1EB-29FD-46A2-8FF0-B2E8D656A6C7}" destId="{4AE2D373-D513-4115-AE84-714817148E9B}" srcOrd="1" destOrd="0" presId="urn:microsoft.com/office/officeart/2009/3/layout/StepUpProcess"/>
    <dgm:cxn modelId="{B742560C-A473-4199-B4D6-EC2A49D6A4F3}" type="presParOf" srcId="{4AE2D373-D513-4115-AE84-714817148E9B}" destId="{C77020B4-766C-4D65-AA53-32DAC00FD046}" srcOrd="0" destOrd="0" presId="urn:microsoft.com/office/officeart/2009/3/layout/StepUpProcess"/>
    <dgm:cxn modelId="{CB17F518-2C4B-41C5-9095-C428D586D26F}" type="presParOf" srcId="{DBB3A1EB-29FD-46A2-8FF0-B2E8D656A6C7}" destId="{4D08B729-CF97-4671-87B2-C141C496E821}" srcOrd="2" destOrd="0" presId="urn:microsoft.com/office/officeart/2009/3/layout/StepUpProcess"/>
    <dgm:cxn modelId="{FA782628-9331-4C25-B088-DA351B4DBF2D}" type="presParOf" srcId="{4D08B729-CF97-4671-87B2-C141C496E821}" destId="{27BC5C14-8C5F-4447-92AE-16D04D3C6AC3}" srcOrd="0" destOrd="0" presId="urn:microsoft.com/office/officeart/2009/3/layout/StepUpProcess"/>
    <dgm:cxn modelId="{75C983D7-AF3E-4F34-BB7F-BCA657EE5AA2}" type="presParOf" srcId="{4D08B729-CF97-4671-87B2-C141C496E821}" destId="{F70C94A4-3EEB-48E3-933E-50FD22A562AD}" srcOrd="1" destOrd="0" presId="urn:microsoft.com/office/officeart/2009/3/layout/StepUpProcess"/>
    <dgm:cxn modelId="{652F10F2-2E16-4CBE-A66D-CBBB8B382848}" type="presParOf" srcId="{4D08B729-CF97-4671-87B2-C141C496E821}" destId="{AD3061CC-3A6F-4A54-83AA-82329C3DBA13}" srcOrd="2" destOrd="0" presId="urn:microsoft.com/office/officeart/2009/3/layout/StepUpProcess"/>
    <dgm:cxn modelId="{A08BAC93-E028-4D61-9685-C9DBBD7E50DA}" type="presParOf" srcId="{DBB3A1EB-29FD-46A2-8FF0-B2E8D656A6C7}" destId="{D193D882-05DB-4733-8A28-C4723506DBAB}" srcOrd="3" destOrd="0" presId="urn:microsoft.com/office/officeart/2009/3/layout/StepUpProcess"/>
    <dgm:cxn modelId="{D34B9A05-710C-4A8E-96D1-06BFC3158A4F}" type="presParOf" srcId="{D193D882-05DB-4733-8A28-C4723506DBAB}" destId="{404F14AA-0DC7-4311-9142-9FA7223E765D}" srcOrd="0" destOrd="0" presId="urn:microsoft.com/office/officeart/2009/3/layout/StepUpProcess"/>
    <dgm:cxn modelId="{E91DDCF1-C11E-4BD2-89EE-9928A42AC51B}" type="presParOf" srcId="{DBB3A1EB-29FD-46A2-8FF0-B2E8D656A6C7}" destId="{97B694AB-FD48-41C5-85D8-5D2014F89120}" srcOrd="4" destOrd="0" presId="urn:microsoft.com/office/officeart/2009/3/layout/StepUpProcess"/>
    <dgm:cxn modelId="{3F8AEA44-2EE4-4AC3-834D-693C98C7DFCD}" type="presParOf" srcId="{97B694AB-FD48-41C5-85D8-5D2014F89120}" destId="{52828CC2-AD6A-4583-911D-5DEA64118B2C}" srcOrd="0" destOrd="0" presId="urn:microsoft.com/office/officeart/2009/3/layout/StepUpProcess"/>
    <dgm:cxn modelId="{8F3FC813-9495-4E9B-98B4-7588C3DE72DC}" type="presParOf" srcId="{97B694AB-FD48-41C5-85D8-5D2014F89120}" destId="{9A732952-5596-4CA2-80C5-149BE2A61FAC}" srcOrd="1" destOrd="0" presId="urn:microsoft.com/office/officeart/2009/3/layout/StepUpProcess"/>
  </dgm:cxnLst>
  <dgm:bg/>
  <dgm:whole/>
  <dgm:extLst>
    <a:ext uri="http://schemas.microsoft.com/office/drawing/2008/diagram">
      <dsp:dataModelExt xmlns:dsp="http://schemas.microsoft.com/office/drawing/2008/diagram" relId="rId21"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818DF66C-89A4-4717-BE2B-9C802F179677}" type="doc">
      <dgm:prSet loTypeId="urn:microsoft.com/office/officeart/2005/8/layout/gear1" loCatId="relationship" qsTypeId="urn:microsoft.com/office/officeart/2005/8/quickstyle/simple5" qsCatId="simple" csTypeId="urn:microsoft.com/office/officeart/2005/8/colors/accent1_2" csCatId="accent1" phldr="1"/>
      <dgm:spPr/>
      <dgm:t>
        <a:bodyPr/>
        <a:lstStyle/>
        <a:p>
          <a:endParaRPr lang="vi-VN"/>
        </a:p>
      </dgm:t>
    </dgm:pt>
    <dgm:pt modelId="{50CA2A67-7D7F-441D-92C7-ED6EDB3C343F}">
      <dgm:prSet phldrT="[Text]" custT="1"/>
      <dgm:spPr/>
      <dgm:t>
        <a:bodyPr/>
        <a:lstStyle/>
        <a:p>
          <a:r>
            <a:rPr lang="en-US" sz="1100" b="1">
              <a:latin typeface="Calibri (Body)"/>
            </a:rPr>
            <a:t>Vị thế</a:t>
          </a:r>
          <a:endParaRPr lang="vi-VN" sz="1100" b="1">
            <a:latin typeface="Calibri (Body)"/>
          </a:endParaRPr>
        </a:p>
      </dgm:t>
    </dgm:pt>
    <dgm:pt modelId="{5552781E-4F73-4B3C-9EAA-FDE9BD3812BD}" type="parTrans" cxnId="{C8B9C0C5-88A2-4C33-9609-65137D163E82}">
      <dgm:prSet/>
      <dgm:spPr/>
      <dgm:t>
        <a:bodyPr/>
        <a:lstStyle/>
        <a:p>
          <a:endParaRPr lang="vi-VN" sz="900">
            <a:latin typeface="Calibri (Body)"/>
          </a:endParaRPr>
        </a:p>
      </dgm:t>
    </dgm:pt>
    <dgm:pt modelId="{570BB92E-3701-4D04-90EC-FCAF1B0BC790}" type="sibTrans" cxnId="{C8B9C0C5-88A2-4C33-9609-65137D163E82}">
      <dgm:prSet/>
      <dgm:spPr/>
      <dgm:t>
        <a:bodyPr/>
        <a:lstStyle/>
        <a:p>
          <a:endParaRPr lang="vi-VN" sz="900">
            <a:latin typeface="Calibri (Body)"/>
          </a:endParaRPr>
        </a:p>
      </dgm:t>
    </dgm:pt>
    <dgm:pt modelId="{8BE777EF-D6FA-4D01-B1F2-1865859BB7B6}">
      <dgm:prSet phldrT="[Text]" custT="1"/>
      <dgm:spPr/>
      <dgm:t>
        <a:bodyPr/>
        <a:lstStyle/>
        <a:p>
          <a:r>
            <a:rPr lang="en-US" sz="900">
              <a:latin typeface="Calibri (Body)"/>
            </a:rPr>
            <a:t>Top 3 thị phần bán lẻ chuỗi  bách hoá và dược hiện đại</a:t>
          </a:r>
          <a:endParaRPr lang="vi-VN" sz="900">
            <a:latin typeface="Calibri (Body)"/>
          </a:endParaRPr>
        </a:p>
      </dgm:t>
    </dgm:pt>
    <dgm:pt modelId="{4E5720D1-798C-4406-821A-AF80EEC10F9C}" type="parTrans" cxnId="{520C4141-EA59-4847-A2DD-227800144531}">
      <dgm:prSet/>
      <dgm:spPr/>
      <dgm:t>
        <a:bodyPr/>
        <a:lstStyle/>
        <a:p>
          <a:endParaRPr lang="vi-VN" sz="900">
            <a:latin typeface="Calibri (Body)"/>
          </a:endParaRPr>
        </a:p>
      </dgm:t>
    </dgm:pt>
    <dgm:pt modelId="{9AED730B-5B97-432B-9918-3356486FAC19}" type="sibTrans" cxnId="{520C4141-EA59-4847-A2DD-227800144531}">
      <dgm:prSet/>
      <dgm:spPr/>
      <dgm:t>
        <a:bodyPr/>
        <a:lstStyle/>
        <a:p>
          <a:endParaRPr lang="vi-VN" sz="900">
            <a:latin typeface="Calibri (Body)"/>
          </a:endParaRPr>
        </a:p>
      </dgm:t>
    </dgm:pt>
    <dgm:pt modelId="{14E82F33-BD7B-4700-A138-A9A8D791C7A9}">
      <dgm:prSet phldrT="[Text]" custT="1"/>
      <dgm:spPr/>
      <dgm:t>
        <a:bodyPr/>
        <a:lstStyle/>
        <a:p>
          <a:r>
            <a:rPr lang="en-US" sz="1100" b="1">
              <a:latin typeface="Calibri (Body)"/>
            </a:rPr>
            <a:t>Quản trị &amp; vận hành</a:t>
          </a:r>
          <a:endParaRPr lang="vi-VN" sz="1100" b="1">
            <a:latin typeface="Calibri (Body)"/>
          </a:endParaRPr>
        </a:p>
      </dgm:t>
    </dgm:pt>
    <dgm:pt modelId="{6599FD94-962B-43F2-A7C4-73E8F3F4CAD4}" type="parTrans" cxnId="{509D22CF-69F2-4A82-83AD-2DF98555D170}">
      <dgm:prSet/>
      <dgm:spPr/>
      <dgm:t>
        <a:bodyPr/>
        <a:lstStyle/>
        <a:p>
          <a:endParaRPr lang="vi-VN" sz="900">
            <a:latin typeface="Calibri (Body)"/>
          </a:endParaRPr>
        </a:p>
      </dgm:t>
    </dgm:pt>
    <dgm:pt modelId="{C8FAD5E4-8BF2-4D06-A930-C19AB9F62CAA}" type="sibTrans" cxnId="{509D22CF-69F2-4A82-83AD-2DF98555D170}">
      <dgm:prSet/>
      <dgm:spPr/>
      <dgm:t>
        <a:bodyPr/>
        <a:lstStyle/>
        <a:p>
          <a:endParaRPr lang="vi-VN" sz="900">
            <a:latin typeface="Calibri (Body)"/>
          </a:endParaRPr>
        </a:p>
      </dgm:t>
    </dgm:pt>
    <dgm:pt modelId="{270A6402-FB94-4D72-8253-497D8C0A2731}">
      <dgm:prSet phldrT="[Text]" custT="1"/>
      <dgm:spPr/>
      <dgm:t>
        <a:bodyPr/>
        <a:lstStyle/>
        <a:p>
          <a:r>
            <a:rPr lang="en-US" sz="900">
              <a:latin typeface="Calibri (Body)"/>
            </a:rPr>
            <a:t>BOM và BOD: 20+ năm kinh nghiệm, chịu đổi mới tư duy.</a:t>
          </a:r>
          <a:endParaRPr lang="vi-VN" sz="900">
            <a:latin typeface="Calibri (Body)"/>
          </a:endParaRPr>
        </a:p>
      </dgm:t>
    </dgm:pt>
    <dgm:pt modelId="{AFD456A4-CFD2-4138-A038-64DC7C47B294}" type="parTrans" cxnId="{38689B25-40AC-4054-8D2A-868920E16D41}">
      <dgm:prSet/>
      <dgm:spPr/>
      <dgm:t>
        <a:bodyPr/>
        <a:lstStyle/>
        <a:p>
          <a:endParaRPr lang="vi-VN" sz="900">
            <a:latin typeface="Calibri (Body)"/>
          </a:endParaRPr>
        </a:p>
      </dgm:t>
    </dgm:pt>
    <dgm:pt modelId="{04EE666A-7C13-4B17-9501-5EA9580BBCFF}" type="sibTrans" cxnId="{38689B25-40AC-4054-8D2A-868920E16D41}">
      <dgm:prSet/>
      <dgm:spPr/>
      <dgm:t>
        <a:bodyPr/>
        <a:lstStyle/>
        <a:p>
          <a:endParaRPr lang="vi-VN" sz="900">
            <a:latin typeface="Calibri (Body)"/>
          </a:endParaRPr>
        </a:p>
      </dgm:t>
    </dgm:pt>
    <dgm:pt modelId="{E5F3C32C-5B88-495D-9E76-F645BA9A2717}">
      <dgm:prSet phldrT="[Text]" custT="1"/>
      <dgm:spPr/>
      <dgm:t>
        <a:bodyPr/>
        <a:lstStyle/>
        <a:p>
          <a:r>
            <a:rPr lang="en-US" sz="1100" b="1">
              <a:latin typeface="Calibri (Body)"/>
            </a:rPr>
            <a:t>Tăng trưởng</a:t>
          </a:r>
          <a:endParaRPr lang="vi-VN" sz="1100" b="1">
            <a:latin typeface="Calibri (Body)"/>
          </a:endParaRPr>
        </a:p>
      </dgm:t>
    </dgm:pt>
    <dgm:pt modelId="{12608ABA-A4F5-459A-837A-315443BF1BE4}" type="parTrans" cxnId="{E0A86C87-8691-4F08-AF7E-0A8D8C5EDF0B}">
      <dgm:prSet/>
      <dgm:spPr/>
      <dgm:t>
        <a:bodyPr/>
        <a:lstStyle/>
        <a:p>
          <a:endParaRPr lang="vi-VN" sz="900">
            <a:latin typeface="Calibri (Body)"/>
          </a:endParaRPr>
        </a:p>
      </dgm:t>
    </dgm:pt>
    <dgm:pt modelId="{5AE3EB42-DC46-4B7B-A8D3-E06EB9019F53}" type="sibTrans" cxnId="{E0A86C87-8691-4F08-AF7E-0A8D8C5EDF0B}">
      <dgm:prSet/>
      <dgm:spPr/>
      <dgm:t>
        <a:bodyPr/>
        <a:lstStyle/>
        <a:p>
          <a:endParaRPr lang="vi-VN" sz="900">
            <a:latin typeface="Calibri (Body)"/>
          </a:endParaRPr>
        </a:p>
      </dgm:t>
    </dgm:pt>
    <dgm:pt modelId="{2B8BBE78-CD7A-4FCA-A2EF-3A44C907728F}">
      <dgm:prSet phldrT="[Text]" custT="1"/>
      <dgm:spPr/>
      <dgm:t>
        <a:bodyPr/>
        <a:lstStyle/>
        <a:p>
          <a:r>
            <a:rPr lang="en-US" sz="900">
              <a:latin typeface="Calibri (Body)"/>
            </a:rPr>
            <a:t>Trung hạn từ TGDĐ+ĐMX (link) và BHX</a:t>
          </a:r>
          <a:endParaRPr lang="vi-VN" sz="900">
            <a:latin typeface="Calibri (Body)"/>
          </a:endParaRPr>
        </a:p>
      </dgm:t>
    </dgm:pt>
    <dgm:pt modelId="{2F666B28-5C0D-4D9B-B8F3-C9871CAF4107}" type="parTrans" cxnId="{68E5B4C9-7BC4-4E27-9B68-7DD035874D06}">
      <dgm:prSet/>
      <dgm:spPr/>
      <dgm:t>
        <a:bodyPr/>
        <a:lstStyle/>
        <a:p>
          <a:endParaRPr lang="vi-VN" sz="900">
            <a:latin typeface="Calibri (Body)"/>
          </a:endParaRPr>
        </a:p>
      </dgm:t>
    </dgm:pt>
    <dgm:pt modelId="{9263F230-C60F-4894-A635-10D26349CE2E}" type="sibTrans" cxnId="{68E5B4C9-7BC4-4E27-9B68-7DD035874D06}">
      <dgm:prSet/>
      <dgm:spPr/>
      <dgm:t>
        <a:bodyPr/>
        <a:lstStyle/>
        <a:p>
          <a:endParaRPr lang="vi-VN" sz="900">
            <a:latin typeface="Calibri (Body)"/>
          </a:endParaRPr>
        </a:p>
      </dgm:t>
    </dgm:pt>
    <dgm:pt modelId="{EA486C87-0CA0-43DA-BAF5-2A00E744BB65}">
      <dgm:prSet phldrT="[Text]" custT="1"/>
      <dgm:spPr/>
      <dgm:t>
        <a:bodyPr/>
        <a:lstStyle/>
        <a:p>
          <a:endParaRPr lang="vi-VN" sz="900">
            <a:latin typeface="Calibri (Body)"/>
          </a:endParaRPr>
        </a:p>
      </dgm:t>
    </dgm:pt>
    <dgm:pt modelId="{C6000F40-1C71-40D7-B333-D9D43E23E64B}" type="parTrans" cxnId="{12A2F367-81FD-41E3-B1DD-DBE01050B58A}">
      <dgm:prSet/>
      <dgm:spPr/>
      <dgm:t>
        <a:bodyPr/>
        <a:lstStyle/>
        <a:p>
          <a:endParaRPr lang="vi-VN" sz="900">
            <a:latin typeface="Calibri (Body)"/>
          </a:endParaRPr>
        </a:p>
      </dgm:t>
    </dgm:pt>
    <dgm:pt modelId="{4FFD74A7-8007-4FF4-B802-A295901C9305}" type="sibTrans" cxnId="{12A2F367-81FD-41E3-B1DD-DBE01050B58A}">
      <dgm:prSet/>
      <dgm:spPr/>
      <dgm:t>
        <a:bodyPr/>
        <a:lstStyle/>
        <a:p>
          <a:endParaRPr lang="vi-VN" sz="900">
            <a:latin typeface="Calibri (Body)"/>
          </a:endParaRPr>
        </a:p>
      </dgm:t>
    </dgm:pt>
    <dgm:pt modelId="{C1CB165D-973E-4E78-A7C9-AC3EF503946E}">
      <dgm:prSet phldrT="[Text]"/>
      <dgm:spPr/>
      <dgm:t>
        <a:bodyPr/>
        <a:lstStyle/>
        <a:p>
          <a:endParaRPr lang="vi-VN"/>
        </a:p>
      </dgm:t>
    </dgm:pt>
    <dgm:pt modelId="{4895FD9D-D9BA-4EEE-84D5-0901695E6AAF}" type="parTrans" cxnId="{1593CF2A-1080-4E31-B09F-7818108CCAFA}">
      <dgm:prSet/>
      <dgm:spPr/>
      <dgm:t>
        <a:bodyPr/>
        <a:lstStyle/>
        <a:p>
          <a:endParaRPr lang="vi-VN" sz="900">
            <a:latin typeface="Calibri (Body)"/>
          </a:endParaRPr>
        </a:p>
      </dgm:t>
    </dgm:pt>
    <dgm:pt modelId="{BE3F96E7-F897-44A3-8D85-02A2305F57C1}" type="sibTrans" cxnId="{1593CF2A-1080-4E31-B09F-7818108CCAFA}">
      <dgm:prSet/>
      <dgm:spPr/>
      <dgm:t>
        <a:bodyPr/>
        <a:lstStyle/>
        <a:p>
          <a:endParaRPr lang="vi-VN" sz="900">
            <a:latin typeface="Calibri (Body)"/>
          </a:endParaRPr>
        </a:p>
      </dgm:t>
    </dgm:pt>
    <dgm:pt modelId="{9A2FCB4D-F19C-4307-B2BE-D3D0B9AF8A4A}">
      <dgm:prSet phldrT="[Text]"/>
      <dgm:spPr/>
      <dgm:t>
        <a:bodyPr/>
        <a:lstStyle/>
        <a:p>
          <a:endParaRPr lang="vi-VN" sz="900">
            <a:latin typeface="Calibri (Body)"/>
          </a:endParaRPr>
        </a:p>
      </dgm:t>
    </dgm:pt>
    <dgm:pt modelId="{F5AC2D15-0EF5-4489-A2E4-1D465963DB46}" type="parTrans" cxnId="{78692E0C-E7BA-4FC2-BB98-256B443ABC69}">
      <dgm:prSet/>
      <dgm:spPr/>
      <dgm:t>
        <a:bodyPr/>
        <a:lstStyle/>
        <a:p>
          <a:endParaRPr lang="vi-VN" sz="900">
            <a:latin typeface="Calibri (Body)"/>
          </a:endParaRPr>
        </a:p>
      </dgm:t>
    </dgm:pt>
    <dgm:pt modelId="{F082EE86-3B33-4D0F-9A12-C8D61CA6650C}" type="sibTrans" cxnId="{78692E0C-E7BA-4FC2-BB98-256B443ABC69}">
      <dgm:prSet/>
      <dgm:spPr/>
      <dgm:t>
        <a:bodyPr/>
        <a:lstStyle/>
        <a:p>
          <a:endParaRPr lang="vi-VN" sz="900">
            <a:latin typeface="Calibri (Body)"/>
          </a:endParaRPr>
        </a:p>
      </dgm:t>
    </dgm:pt>
    <dgm:pt modelId="{3C12406A-48F4-4BA2-BA51-5183F5CC37A6}">
      <dgm:prSet phldrT="[Text]" custT="1"/>
      <dgm:spPr/>
      <dgm:t>
        <a:bodyPr/>
        <a:lstStyle/>
        <a:p>
          <a:r>
            <a:rPr lang="en-US" sz="900">
              <a:latin typeface="Calibri (Body)"/>
            </a:rPr>
            <a:t>Dài hạn: An Khang,Avakid Erablues- tăng quy mô theo chiều ngang</a:t>
          </a:r>
          <a:endParaRPr lang="vi-VN" sz="900">
            <a:latin typeface="Calibri (Body)"/>
          </a:endParaRPr>
        </a:p>
      </dgm:t>
    </dgm:pt>
    <dgm:pt modelId="{93B4C875-C4A6-4DD5-B199-620D7CFC6D1D}" type="parTrans" cxnId="{2B2E21E4-D9FE-472B-8E1A-242B8285459C}">
      <dgm:prSet/>
      <dgm:spPr/>
      <dgm:t>
        <a:bodyPr/>
        <a:lstStyle/>
        <a:p>
          <a:endParaRPr lang="vi-VN" sz="900">
            <a:latin typeface="Calibri (Body)"/>
          </a:endParaRPr>
        </a:p>
      </dgm:t>
    </dgm:pt>
    <dgm:pt modelId="{FB6AA6DB-D07D-45A5-9A98-54D1CDF27399}" type="sibTrans" cxnId="{2B2E21E4-D9FE-472B-8E1A-242B8285459C}">
      <dgm:prSet/>
      <dgm:spPr/>
      <dgm:t>
        <a:bodyPr/>
        <a:lstStyle/>
        <a:p>
          <a:endParaRPr lang="vi-VN" sz="900">
            <a:latin typeface="Calibri (Body)"/>
          </a:endParaRPr>
        </a:p>
      </dgm:t>
    </dgm:pt>
    <dgm:pt modelId="{3200AA8C-5C1B-4A0E-9938-C1C512269C22}">
      <dgm:prSet phldrT="[Text]" custT="1"/>
      <dgm:spPr/>
      <dgm:t>
        <a:bodyPr/>
        <a:lstStyle/>
        <a:p>
          <a:r>
            <a:rPr lang="en-US" sz="900">
              <a:latin typeface="Calibri (Body)"/>
            </a:rPr>
            <a:t>Tập khách hàng chiếm 40% dân số</a:t>
          </a:r>
          <a:endParaRPr lang="vi-VN" sz="900">
            <a:latin typeface="Calibri (Body)"/>
          </a:endParaRPr>
        </a:p>
      </dgm:t>
    </dgm:pt>
    <dgm:pt modelId="{2ED7BB98-C915-405F-9BB0-136615AD2A7D}" type="parTrans" cxnId="{A4BFCFA6-43B8-4447-AF96-38D7324A88DD}">
      <dgm:prSet/>
      <dgm:spPr/>
      <dgm:t>
        <a:bodyPr/>
        <a:lstStyle/>
        <a:p>
          <a:endParaRPr lang="vi-VN" sz="900">
            <a:latin typeface="Calibri (Body)"/>
          </a:endParaRPr>
        </a:p>
      </dgm:t>
    </dgm:pt>
    <dgm:pt modelId="{54584D3C-FCCD-462B-BD3A-1C7F6E2C6382}" type="sibTrans" cxnId="{A4BFCFA6-43B8-4447-AF96-38D7324A88DD}">
      <dgm:prSet/>
      <dgm:spPr/>
      <dgm:t>
        <a:bodyPr/>
        <a:lstStyle/>
        <a:p>
          <a:endParaRPr lang="vi-VN" sz="900">
            <a:latin typeface="Calibri (Body)"/>
          </a:endParaRPr>
        </a:p>
      </dgm:t>
    </dgm:pt>
    <dgm:pt modelId="{64A07915-3D14-47C0-848B-2EE3D0F02E7D}">
      <dgm:prSet phldrT="[Text]" custT="1"/>
      <dgm:spPr/>
      <dgm:t>
        <a:bodyPr/>
        <a:lstStyle/>
        <a:p>
          <a:r>
            <a:rPr lang="en-US" sz="900">
              <a:latin typeface="Calibri (Body)"/>
            </a:rPr>
            <a:t>Số lượng nhân viên: 60,000+</a:t>
          </a:r>
          <a:endParaRPr lang="vi-VN" sz="900">
            <a:latin typeface="Calibri (Body)"/>
          </a:endParaRPr>
        </a:p>
      </dgm:t>
    </dgm:pt>
    <dgm:pt modelId="{BC35A7A8-5639-4B39-883E-B05ECEA881D6}" type="parTrans" cxnId="{A5BD9967-B82C-43F6-8A1A-53BD1B36E1A7}">
      <dgm:prSet/>
      <dgm:spPr/>
      <dgm:t>
        <a:bodyPr/>
        <a:lstStyle/>
        <a:p>
          <a:endParaRPr lang="vi-VN" sz="900">
            <a:latin typeface="Calibri (Body)"/>
          </a:endParaRPr>
        </a:p>
      </dgm:t>
    </dgm:pt>
    <dgm:pt modelId="{83B532E2-86D8-4627-9D26-D013DD33BCC8}" type="sibTrans" cxnId="{A5BD9967-B82C-43F6-8A1A-53BD1B36E1A7}">
      <dgm:prSet/>
      <dgm:spPr/>
      <dgm:t>
        <a:bodyPr/>
        <a:lstStyle/>
        <a:p>
          <a:endParaRPr lang="vi-VN" sz="900">
            <a:latin typeface="Calibri (Body)"/>
          </a:endParaRPr>
        </a:p>
      </dgm:t>
    </dgm:pt>
    <dgm:pt modelId="{4316B2D9-329F-401E-88FE-A92B02015F03}">
      <dgm:prSet phldrT="[Text]" custT="1"/>
      <dgm:spPr/>
      <dgm:t>
        <a:bodyPr/>
        <a:lstStyle/>
        <a:p>
          <a:endParaRPr lang="vi-VN" sz="900">
            <a:latin typeface="Calibri (Body)"/>
          </a:endParaRPr>
        </a:p>
      </dgm:t>
    </dgm:pt>
    <dgm:pt modelId="{229999F9-7C9F-42D6-9DFA-2886ABA3EAE0}" type="parTrans" cxnId="{F9B5CF7D-E3F8-48E7-95B3-1F47E27E3A52}">
      <dgm:prSet/>
      <dgm:spPr/>
      <dgm:t>
        <a:bodyPr/>
        <a:lstStyle/>
        <a:p>
          <a:endParaRPr lang="vi-VN" sz="900">
            <a:latin typeface="Calibri (Body)"/>
          </a:endParaRPr>
        </a:p>
      </dgm:t>
    </dgm:pt>
    <dgm:pt modelId="{284E940E-C54C-4441-AC04-A87800993646}" type="sibTrans" cxnId="{F9B5CF7D-E3F8-48E7-95B3-1F47E27E3A52}">
      <dgm:prSet/>
      <dgm:spPr/>
      <dgm:t>
        <a:bodyPr/>
        <a:lstStyle/>
        <a:p>
          <a:endParaRPr lang="vi-VN" sz="900">
            <a:latin typeface="Calibri (Body)"/>
          </a:endParaRPr>
        </a:p>
      </dgm:t>
    </dgm:pt>
    <dgm:pt modelId="{723A2816-CFDF-4077-822C-5954F93EB7FC}">
      <dgm:prSet phldrT="[Text]" custT="1"/>
      <dgm:spPr/>
      <dgm:t>
        <a:bodyPr/>
        <a:lstStyle/>
        <a:p>
          <a:r>
            <a:rPr lang="en-US" sz="900">
              <a:latin typeface="Calibri (Body)"/>
            </a:rPr>
            <a:t>50% Thị phần bán lẻ ICT+CE</a:t>
          </a:r>
          <a:endParaRPr lang="vi-VN" sz="900">
            <a:latin typeface="Calibri (Body)"/>
          </a:endParaRPr>
        </a:p>
      </dgm:t>
    </dgm:pt>
    <dgm:pt modelId="{0FFB4594-CB67-46F5-9632-D1673377A2D2}" type="sibTrans" cxnId="{AB51FBA3-7966-4F26-852A-793F2441BC71}">
      <dgm:prSet/>
      <dgm:spPr/>
      <dgm:t>
        <a:bodyPr/>
        <a:lstStyle/>
        <a:p>
          <a:endParaRPr lang="vi-VN" sz="900">
            <a:latin typeface="Calibri (Body)"/>
          </a:endParaRPr>
        </a:p>
      </dgm:t>
    </dgm:pt>
    <dgm:pt modelId="{363BA49F-513E-468A-9630-454B430F9755}" type="parTrans" cxnId="{AB51FBA3-7966-4F26-852A-793F2441BC71}">
      <dgm:prSet/>
      <dgm:spPr/>
      <dgm:t>
        <a:bodyPr/>
        <a:lstStyle/>
        <a:p>
          <a:endParaRPr lang="vi-VN" sz="900">
            <a:latin typeface="Calibri (Body)"/>
          </a:endParaRPr>
        </a:p>
      </dgm:t>
    </dgm:pt>
    <dgm:pt modelId="{423E662A-5CC6-4662-803F-F28570D3FF47}">
      <dgm:prSet phldrT="[Text]" custT="1"/>
      <dgm:spPr/>
      <dgm:t>
        <a:bodyPr/>
        <a:lstStyle/>
        <a:p>
          <a:r>
            <a:rPr lang="en-US" sz="900">
              <a:latin typeface="Calibri (Body)"/>
            </a:rPr>
            <a:t>50% Thị phần bán lẻ ICT+CE</a:t>
          </a:r>
          <a:endParaRPr lang="vi-VN" sz="900">
            <a:latin typeface="Calibri (Body)"/>
          </a:endParaRPr>
        </a:p>
      </dgm:t>
    </dgm:pt>
    <dgm:pt modelId="{0283225B-F161-44C2-BADB-706035F2ED51}" type="parTrans" cxnId="{F87EA7D4-1D0D-4FC9-AA05-8FD0E6A3DC7B}">
      <dgm:prSet/>
      <dgm:spPr/>
      <dgm:t>
        <a:bodyPr/>
        <a:lstStyle/>
        <a:p>
          <a:endParaRPr lang="vi-VN"/>
        </a:p>
      </dgm:t>
    </dgm:pt>
    <dgm:pt modelId="{A0E3C549-294E-40B2-BB05-7039F9D8DF15}" type="sibTrans" cxnId="{F87EA7D4-1D0D-4FC9-AA05-8FD0E6A3DC7B}">
      <dgm:prSet/>
      <dgm:spPr/>
      <dgm:t>
        <a:bodyPr/>
        <a:lstStyle/>
        <a:p>
          <a:endParaRPr lang="vi-VN"/>
        </a:p>
      </dgm:t>
    </dgm:pt>
    <dgm:pt modelId="{DF83F0D8-80EA-45DD-A04A-F2FE60257BCD}">
      <dgm:prSet phldrT="[Text]" custT="1"/>
      <dgm:spPr/>
      <dgm:t>
        <a:bodyPr/>
        <a:lstStyle/>
        <a:p>
          <a:r>
            <a:rPr lang="en-US" sz="900">
              <a:latin typeface="Calibri (Body)"/>
            </a:rPr>
            <a:t>Vận hành 5,000+CH</a:t>
          </a:r>
          <a:endParaRPr lang="vi-VN" sz="900">
            <a:latin typeface="Calibri (Body)"/>
          </a:endParaRPr>
        </a:p>
      </dgm:t>
    </dgm:pt>
    <dgm:pt modelId="{6667E89F-03C4-4837-8CA7-FCB1F190C140}" type="parTrans" cxnId="{9FFBABA8-5C30-4D3F-9515-EF8A28F1BAA2}">
      <dgm:prSet/>
      <dgm:spPr/>
      <dgm:t>
        <a:bodyPr/>
        <a:lstStyle/>
        <a:p>
          <a:endParaRPr lang="vi-VN"/>
        </a:p>
      </dgm:t>
    </dgm:pt>
    <dgm:pt modelId="{35D8FBD8-3EEA-4F20-945E-1BA9C61C8C69}" type="sibTrans" cxnId="{9FFBABA8-5C30-4D3F-9515-EF8A28F1BAA2}">
      <dgm:prSet/>
      <dgm:spPr/>
      <dgm:t>
        <a:bodyPr/>
        <a:lstStyle/>
        <a:p>
          <a:endParaRPr lang="vi-VN"/>
        </a:p>
      </dgm:t>
    </dgm:pt>
    <dgm:pt modelId="{358BCC31-F71D-4135-B1A5-B20EEA972E9C}" type="pres">
      <dgm:prSet presAssocID="{818DF66C-89A4-4717-BE2B-9C802F179677}" presName="composite" presStyleCnt="0">
        <dgm:presLayoutVars>
          <dgm:chMax val="3"/>
          <dgm:animLvl val="lvl"/>
          <dgm:resizeHandles val="exact"/>
        </dgm:presLayoutVars>
      </dgm:prSet>
      <dgm:spPr/>
    </dgm:pt>
    <dgm:pt modelId="{EB9DEC60-E27D-4D67-8567-9B8C74D5ADEE}" type="pres">
      <dgm:prSet presAssocID="{50CA2A67-7D7F-441D-92C7-ED6EDB3C343F}" presName="gear1" presStyleLbl="node1" presStyleIdx="0" presStyleCnt="3">
        <dgm:presLayoutVars>
          <dgm:chMax val="1"/>
          <dgm:bulletEnabled val="1"/>
        </dgm:presLayoutVars>
      </dgm:prSet>
      <dgm:spPr/>
    </dgm:pt>
    <dgm:pt modelId="{650A1B8A-18AC-42BA-B3A6-7735DC383E61}" type="pres">
      <dgm:prSet presAssocID="{50CA2A67-7D7F-441D-92C7-ED6EDB3C343F}" presName="gear1srcNode" presStyleLbl="node1" presStyleIdx="0" presStyleCnt="3"/>
      <dgm:spPr/>
    </dgm:pt>
    <dgm:pt modelId="{C856CFB1-69FD-44E7-9009-6FBD7EF30DD9}" type="pres">
      <dgm:prSet presAssocID="{50CA2A67-7D7F-441D-92C7-ED6EDB3C343F}" presName="gear1dstNode" presStyleLbl="node1" presStyleIdx="0" presStyleCnt="3"/>
      <dgm:spPr/>
    </dgm:pt>
    <dgm:pt modelId="{A32C625E-6773-4D4D-A02D-5ACE50296F79}" type="pres">
      <dgm:prSet presAssocID="{50CA2A67-7D7F-441D-92C7-ED6EDB3C343F}" presName="gear1ch" presStyleLbl="fgAcc1" presStyleIdx="0" presStyleCnt="3" custScaleX="127073">
        <dgm:presLayoutVars>
          <dgm:chMax val="0"/>
          <dgm:bulletEnabled val="1"/>
        </dgm:presLayoutVars>
      </dgm:prSet>
      <dgm:spPr/>
    </dgm:pt>
    <dgm:pt modelId="{AB063AD4-E3AF-4B6B-A95E-FA137C67BCE7}" type="pres">
      <dgm:prSet presAssocID="{14E82F33-BD7B-4700-A138-A9A8D791C7A9}" presName="gear2" presStyleLbl="node1" presStyleIdx="1" presStyleCnt="3">
        <dgm:presLayoutVars>
          <dgm:chMax val="1"/>
          <dgm:bulletEnabled val="1"/>
        </dgm:presLayoutVars>
      </dgm:prSet>
      <dgm:spPr/>
    </dgm:pt>
    <dgm:pt modelId="{1C6BB471-39F6-4490-9A67-67D42D7006C2}" type="pres">
      <dgm:prSet presAssocID="{14E82F33-BD7B-4700-A138-A9A8D791C7A9}" presName="gear2srcNode" presStyleLbl="node1" presStyleIdx="1" presStyleCnt="3"/>
      <dgm:spPr/>
    </dgm:pt>
    <dgm:pt modelId="{EA79FF9B-E3B0-4690-8D1B-E1B64E41CAB4}" type="pres">
      <dgm:prSet presAssocID="{14E82F33-BD7B-4700-A138-A9A8D791C7A9}" presName="gear2dstNode" presStyleLbl="node1" presStyleIdx="1" presStyleCnt="3"/>
      <dgm:spPr/>
    </dgm:pt>
    <dgm:pt modelId="{2C18D4D5-830B-48D4-B28F-C99954691CDF}" type="pres">
      <dgm:prSet presAssocID="{14E82F33-BD7B-4700-A138-A9A8D791C7A9}" presName="gear2ch" presStyleLbl="fgAcc1" presStyleIdx="1" presStyleCnt="3">
        <dgm:presLayoutVars>
          <dgm:chMax val="0"/>
          <dgm:bulletEnabled val="1"/>
        </dgm:presLayoutVars>
      </dgm:prSet>
      <dgm:spPr/>
    </dgm:pt>
    <dgm:pt modelId="{5C6FF852-F590-4E2B-A55A-F762256C69CF}" type="pres">
      <dgm:prSet presAssocID="{E5F3C32C-5B88-495D-9E76-F645BA9A2717}" presName="gear3" presStyleLbl="node1" presStyleIdx="2" presStyleCnt="3"/>
      <dgm:spPr/>
    </dgm:pt>
    <dgm:pt modelId="{93C1AEA3-5E6A-4E84-AD88-3CAC1067BEED}" type="pres">
      <dgm:prSet presAssocID="{E5F3C32C-5B88-495D-9E76-F645BA9A2717}" presName="gear3tx" presStyleLbl="node1" presStyleIdx="2" presStyleCnt="3">
        <dgm:presLayoutVars>
          <dgm:chMax val="1"/>
          <dgm:bulletEnabled val="1"/>
        </dgm:presLayoutVars>
      </dgm:prSet>
      <dgm:spPr/>
    </dgm:pt>
    <dgm:pt modelId="{17B485A3-4259-4A11-896D-57D03EDD9F9B}" type="pres">
      <dgm:prSet presAssocID="{E5F3C32C-5B88-495D-9E76-F645BA9A2717}" presName="gear3srcNode" presStyleLbl="node1" presStyleIdx="2" presStyleCnt="3"/>
      <dgm:spPr/>
    </dgm:pt>
    <dgm:pt modelId="{66CD0D93-5167-4137-AA4C-D15FF1D55996}" type="pres">
      <dgm:prSet presAssocID="{E5F3C32C-5B88-495D-9E76-F645BA9A2717}" presName="gear3dstNode" presStyleLbl="node1" presStyleIdx="2" presStyleCnt="3"/>
      <dgm:spPr/>
    </dgm:pt>
    <dgm:pt modelId="{0C5A494A-E6D2-4C18-93B2-67CE1AEEEEBC}" type="pres">
      <dgm:prSet presAssocID="{E5F3C32C-5B88-495D-9E76-F645BA9A2717}" presName="gear3ch" presStyleLbl="fgAcc1" presStyleIdx="2" presStyleCnt="3">
        <dgm:presLayoutVars>
          <dgm:chMax val="0"/>
          <dgm:bulletEnabled val="1"/>
        </dgm:presLayoutVars>
      </dgm:prSet>
      <dgm:spPr/>
    </dgm:pt>
    <dgm:pt modelId="{48493473-53C2-4E1C-9120-1ABA58414E43}" type="pres">
      <dgm:prSet presAssocID="{570BB92E-3701-4D04-90EC-FCAF1B0BC790}" presName="connector1" presStyleLbl="sibTrans2D1" presStyleIdx="0" presStyleCnt="3"/>
      <dgm:spPr/>
    </dgm:pt>
    <dgm:pt modelId="{25B331B5-AE70-408D-A733-48DA0640E579}" type="pres">
      <dgm:prSet presAssocID="{C8FAD5E4-8BF2-4D06-A930-C19AB9F62CAA}" presName="connector2" presStyleLbl="sibTrans2D1" presStyleIdx="1" presStyleCnt="3"/>
      <dgm:spPr/>
    </dgm:pt>
    <dgm:pt modelId="{549298AA-E03B-48F9-973D-CD6EFE04254C}" type="pres">
      <dgm:prSet presAssocID="{5AE3EB42-DC46-4B7B-A8D3-E06EB9019F53}" presName="connector3" presStyleLbl="sibTrans2D1" presStyleIdx="2" presStyleCnt="3"/>
      <dgm:spPr/>
    </dgm:pt>
  </dgm:ptLst>
  <dgm:cxnLst>
    <dgm:cxn modelId="{4FAEE601-1669-48AE-83F7-212C165CB213}" type="presOf" srcId="{4316B2D9-329F-401E-88FE-A92B02015F03}" destId="{2C18D4D5-830B-48D4-B28F-C99954691CDF}" srcOrd="0" destOrd="3" presId="urn:microsoft.com/office/officeart/2005/8/layout/gear1"/>
    <dgm:cxn modelId="{E31EA605-1A12-4B85-A11C-76E1141AC5A0}" type="presOf" srcId="{64A07915-3D14-47C0-848B-2EE3D0F02E7D}" destId="{2C18D4D5-830B-48D4-B28F-C99954691CDF}" srcOrd="0" destOrd="2" presId="urn:microsoft.com/office/officeart/2005/8/layout/gear1"/>
    <dgm:cxn modelId="{D7B79E09-F161-42E1-8308-DC31B4994961}" type="presOf" srcId="{EA486C87-0CA0-43DA-BAF5-2A00E744BB65}" destId="{2C18D4D5-830B-48D4-B28F-C99954691CDF}" srcOrd="0" destOrd="4" presId="urn:microsoft.com/office/officeart/2005/8/layout/gear1"/>
    <dgm:cxn modelId="{78692E0C-E7BA-4FC2-BB98-256B443ABC69}" srcId="{818DF66C-89A4-4717-BE2B-9C802F179677}" destId="{9A2FCB4D-F19C-4307-B2BE-D3D0B9AF8A4A}" srcOrd="4" destOrd="0" parTransId="{F5AC2D15-0EF5-4489-A2E4-1D465963DB46}" sibTransId="{F082EE86-3B33-4D0F-9A12-C8D61CA6650C}"/>
    <dgm:cxn modelId="{53CCB00C-D7BD-454C-A11B-6158DA383259}" type="presOf" srcId="{50CA2A67-7D7F-441D-92C7-ED6EDB3C343F}" destId="{650A1B8A-18AC-42BA-B3A6-7735DC383E61}" srcOrd="1" destOrd="0" presId="urn:microsoft.com/office/officeart/2005/8/layout/gear1"/>
    <dgm:cxn modelId="{38689B25-40AC-4054-8D2A-868920E16D41}" srcId="{14E82F33-BD7B-4700-A138-A9A8D791C7A9}" destId="{270A6402-FB94-4D72-8253-497D8C0A2731}" srcOrd="0" destOrd="0" parTransId="{AFD456A4-CFD2-4138-A038-64DC7C47B294}" sibTransId="{04EE666A-7C13-4B17-9501-5EA9580BBCFF}"/>
    <dgm:cxn modelId="{1593CF2A-1080-4E31-B09F-7818108CCAFA}" srcId="{818DF66C-89A4-4717-BE2B-9C802F179677}" destId="{C1CB165D-973E-4E78-A7C9-AC3EF503946E}" srcOrd="3" destOrd="0" parTransId="{4895FD9D-D9BA-4EEE-84D5-0901695E6AAF}" sibTransId="{BE3F96E7-F897-44A3-8D85-02A2305F57C1}"/>
    <dgm:cxn modelId="{520C4141-EA59-4847-A2DD-227800144531}" srcId="{50CA2A67-7D7F-441D-92C7-ED6EDB3C343F}" destId="{8BE777EF-D6FA-4D01-B1F2-1865859BB7B6}" srcOrd="2" destOrd="0" parTransId="{4E5720D1-798C-4406-821A-AF80EEC10F9C}" sibTransId="{9AED730B-5B97-432B-9918-3356486FAC19}"/>
    <dgm:cxn modelId="{CEF7B842-1304-42F6-B690-8598F712910D}" type="presOf" srcId="{8BE777EF-D6FA-4D01-B1F2-1865859BB7B6}" destId="{A32C625E-6773-4D4D-A02D-5ACE50296F79}" srcOrd="0" destOrd="2" presId="urn:microsoft.com/office/officeart/2005/8/layout/gear1"/>
    <dgm:cxn modelId="{B75CCB49-6420-4CFC-81DF-B73DF5CAEB9A}" type="presOf" srcId="{570BB92E-3701-4D04-90EC-FCAF1B0BC790}" destId="{48493473-53C2-4E1C-9120-1ABA58414E43}" srcOrd="0" destOrd="0" presId="urn:microsoft.com/office/officeart/2005/8/layout/gear1"/>
    <dgm:cxn modelId="{43F55854-B3FB-4474-818E-BA3DB610C3ED}" type="presOf" srcId="{50CA2A67-7D7F-441D-92C7-ED6EDB3C343F}" destId="{C856CFB1-69FD-44E7-9009-6FBD7EF30DD9}" srcOrd="2" destOrd="0" presId="urn:microsoft.com/office/officeart/2005/8/layout/gear1"/>
    <dgm:cxn modelId="{A5BD9967-B82C-43F6-8A1A-53BD1B36E1A7}" srcId="{14E82F33-BD7B-4700-A138-A9A8D791C7A9}" destId="{64A07915-3D14-47C0-848B-2EE3D0F02E7D}" srcOrd="2" destOrd="0" parTransId="{BC35A7A8-5639-4B39-883E-B05ECEA881D6}" sibTransId="{83B532E2-86D8-4627-9D26-D013DD33BCC8}"/>
    <dgm:cxn modelId="{12A2F367-81FD-41E3-B1DD-DBE01050B58A}" srcId="{14E82F33-BD7B-4700-A138-A9A8D791C7A9}" destId="{EA486C87-0CA0-43DA-BAF5-2A00E744BB65}" srcOrd="4" destOrd="0" parTransId="{C6000F40-1C71-40D7-B333-D9D43E23E64B}" sibTransId="{4FFD74A7-8007-4FF4-B802-A295901C9305}"/>
    <dgm:cxn modelId="{BCF3836C-E3D5-4C0B-A769-90556951CA31}" type="presOf" srcId="{50CA2A67-7D7F-441D-92C7-ED6EDB3C343F}" destId="{EB9DEC60-E27D-4D67-8567-9B8C74D5ADEE}" srcOrd="0" destOrd="0" presId="urn:microsoft.com/office/officeart/2005/8/layout/gear1"/>
    <dgm:cxn modelId="{18571578-FDB7-41B0-B555-44BA91D14276}" type="presOf" srcId="{14E82F33-BD7B-4700-A138-A9A8D791C7A9}" destId="{1C6BB471-39F6-4490-9A67-67D42D7006C2}" srcOrd="1" destOrd="0" presId="urn:microsoft.com/office/officeart/2005/8/layout/gear1"/>
    <dgm:cxn modelId="{3FC44B7D-90D3-4269-BEE5-E2BB0D7BBE7D}" type="presOf" srcId="{14E82F33-BD7B-4700-A138-A9A8D791C7A9}" destId="{AB063AD4-E3AF-4B6B-A95E-FA137C67BCE7}" srcOrd="0" destOrd="0" presId="urn:microsoft.com/office/officeart/2005/8/layout/gear1"/>
    <dgm:cxn modelId="{14CDAD7D-E9AB-4912-A776-476251617B9B}" type="presOf" srcId="{2B8BBE78-CD7A-4FCA-A2EF-3A44C907728F}" destId="{0C5A494A-E6D2-4C18-93B2-67CE1AEEEEBC}" srcOrd="0" destOrd="0" presId="urn:microsoft.com/office/officeart/2005/8/layout/gear1"/>
    <dgm:cxn modelId="{F9B5CF7D-E3F8-48E7-95B3-1F47E27E3A52}" srcId="{14E82F33-BD7B-4700-A138-A9A8D791C7A9}" destId="{4316B2D9-329F-401E-88FE-A92B02015F03}" srcOrd="3" destOrd="0" parTransId="{229999F9-7C9F-42D6-9DFA-2886ABA3EAE0}" sibTransId="{284E940E-C54C-4441-AC04-A87800993646}"/>
    <dgm:cxn modelId="{341D0E83-EACE-4C43-8421-84BB67D1DFB0}" type="presOf" srcId="{E5F3C32C-5B88-495D-9E76-F645BA9A2717}" destId="{5C6FF852-F590-4E2B-A55A-F762256C69CF}" srcOrd="0" destOrd="0" presId="urn:microsoft.com/office/officeart/2005/8/layout/gear1"/>
    <dgm:cxn modelId="{E0A86C87-8691-4F08-AF7E-0A8D8C5EDF0B}" srcId="{818DF66C-89A4-4717-BE2B-9C802F179677}" destId="{E5F3C32C-5B88-495D-9E76-F645BA9A2717}" srcOrd="2" destOrd="0" parTransId="{12608ABA-A4F5-459A-837A-315443BF1BE4}" sibTransId="{5AE3EB42-DC46-4B7B-A8D3-E06EB9019F53}"/>
    <dgm:cxn modelId="{14AE5E8B-0FA8-4EC4-8803-9A972BB69797}" type="presOf" srcId="{14E82F33-BD7B-4700-A138-A9A8D791C7A9}" destId="{EA79FF9B-E3B0-4690-8D1B-E1B64E41CAB4}" srcOrd="2" destOrd="0" presId="urn:microsoft.com/office/officeart/2005/8/layout/gear1"/>
    <dgm:cxn modelId="{5DEBBE91-4727-4CB6-937A-A61082FF811A}" type="presOf" srcId="{3C12406A-48F4-4BA2-BA51-5183F5CC37A6}" destId="{0C5A494A-E6D2-4C18-93B2-67CE1AEEEEBC}" srcOrd="0" destOrd="1" presId="urn:microsoft.com/office/officeart/2005/8/layout/gear1"/>
    <dgm:cxn modelId="{D7D29498-D2B1-4621-9A03-CEC31A7AE52A}" type="presOf" srcId="{E5F3C32C-5B88-495D-9E76-F645BA9A2717}" destId="{66CD0D93-5167-4137-AA4C-D15FF1D55996}" srcOrd="3" destOrd="0" presId="urn:microsoft.com/office/officeart/2005/8/layout/gear1"/>
    <dgm:cxn modelId="{30DD649B-5D9C-4A79-8D57-70E5B66D4259}" type="presOf" srcId="{723A2816-CFDF-4077-822C-5954F93EB7FC}" destId="{A32C625E-6773-4D4D-A02D-5ACE50296F79}" srcOrd="0" destOrd="1" presId="urn:microsoft.com/office/officeart/2005/8/layout/gear1"/>
    <dgm:cxn modelId="{AB51FBA3-7966-4F26-852A-793F2441BC71}" srcId="{50CA2A67-7D7F-441D-92C7-ED6EDB3C343F}" destId="{723A2816-CFDF-4077-822C-5954F93EB7FC}" srcOrd="1" destOrd="0" parTransId="{363BA49F-513E-468A-9630-454B430F9755}" sibTransId="{0FFB4594-CB67-46F5-9632-D1673377A2D2}"/>
    <dgm:cxn modelId="{A4BFCFA6-43B8-4447-AF96-38D7324A88DD}" srcId="{50CA2A67-7D7F-441D-92C7-ED6EDB3C343F}" destId="{3200AA8C-5C1B-4A0E-9938-C1C512269C22}" srcOrd="3" destOrd="0" parTransId="{2ED7BB98-C915-405F-9BB0-136615AD2A7D}" sibTransId="{54584D3C-FCCD-462B-BD3A-1C7F6E2C6382}"/>
    <dgm:cxn modelId="{9FFBABA8-5C30-4D3F-9515-EF8A28F1BAA2}" srcId="{14E82F33-BD7B-4700-A138-A9A8D791C7A9}" destId="{DF83F0D8-80EA-45DD-A04A-F2FE60257BCD}" srcOrd="1" destOrd="0" parTransId="{6667E89F-03C4-4837-8CA7-FCB1F190C140}" sibTransId="{35D8FBD8-3EEA-4F20-945E-1BA9C61C8C69}"/>
    <dgm:cxn modelId="{28538CB3-FA55-47E5-9074-50C2DEC71FCD}" type="presOf" srcId="{270A6402-FB94-4D72-8253-497D8C0A2731}" destId="{2C18D4D5-830B-48D4-B28F-C99954691CDF}" srcOrd="0" destOrd="0" presId="urn:microsoft.com/office/officeart/2005/8/layout/gear1"/>
    <dgm:cxn modelId="{C8B9C0C5-88A2-4C33-9609-65137D163E82}" srcId="{818DF66C-89A4-4717-BE2B-9C802F179677}" destId="{50CA2A67-7D7F-441D-92C7-ED6EDB3C343F}" srcOrd="0" destOrd="0" parTransId="{5552781E-4F73-4B3C-9EAA-FDE9BD3812BD}" sibTransId="{570BB92E-3701-4D04-90EC-FCAF1B0BC790}"/>
    <dgm:cxn modelId="{BFD965C8-49D1-455E-903D-1A3B835FFFC1}" type="presOf" srcId="{E5F3C32C-5B88-495D-9E76-F645BA9A2717}" destId="{17B485A3-4259-4A11-896D-57D03EDD9F9B}" srcOrd="2" destOrd="0" presId="urn:microsoft.com/office/officeart/2005/8/layout/gear1"/>
    <dgm:cxn modelId="{68E5B4C9-7BC4-4E27-9B68-7DD035874D06}" srcId="{E5F3C32C-5B88-495D-9E76-F645BA9A2717}" destId="{2B8BBE78-CD7A-4FCA-A2EF-3A44C907728F}" srcOrd="0" destOrd="0" parTransId="{2F666B28-5C0D-4D9B-B8F3-C9871CAF4107}" sibTransId="{9263F230-C60F-4894-A635-10D26349CE2E}"/>
    <dgm:cxn modelId="{F16F37CA-6E80-4561-B01A-4C7547C6CEBC}" type="presOf" srcId="{818DF66C-89A4-4717-BE2B-9C802F179677}" destId="{358BCC31-F71D-4135-B1A5-B20EEA972E9C}" srcOrd="0" destOrd="0" presId="urn:microsoft.com/office/officeart/2005/8/layout/gear1"/>
    <dgm:cxn modelId="{509D22CF-69F2-4A82-83AD-2DF98555D170}" srcId="{818DF66C-89A4-4717-BE2B-9C802F179677}" destId="{14E82F33-BD7B-4700-A138-A9A8D791C7A9}" srcOrd="1" destOrd="0" parTransId="{6599FD94-962B-43F2-A7C4-73E8F3F4CAD4}" sibTransId="{C8FAD5E4-8BF2-4D06-A930-C19AB9F62CAA}"/>
    <dgm:cxn modelId="{A39767D0-C0E8-4C51-B5D1-D98EA3A29E4B}" type="presOf" srcId="{DF83F0D8-80EA-45DD-A04A-F2FE60257BCD}" destId="{2C18D4D5-830B-48D4-B28F-C99954691CDF}" srcOrd="0" destOrd="1" presId="urn:microsoft.com/office/officeart/2005/8/layout/gear1"/>
    <dgm:cxn modelId="{BB1532D1-8C95-4890-B42C-D04C693C62D7}" type="presOf" srcId="{5AE3EB42-DC46-4B7B-A8D3-E06EB9019F53}" destId="{549298AA-E03B-48F9-973D-CD6EFE04254C}" srcOrd="0" destOrd="0" presId="urn:microsoft.com/office/officeart/2005/8/layout/gear1"/>
    <dgm:cxn modelId="{D35553D1-A3D1-4920-B62B-0F16271C26AE}" type="presOf" srcId="{E5F3C32C-5B88-495D-9E76-F645BA9A2717}" destId="{93C1AEA3-5E6A-4E84-AD88-3CAC1067BEED}" srcOrd="1" destOrd="0" presId="urn:microsoft.com/office/officeart/2005/8/layout/gear1"/>
    <dgm:cxn modelId="{F87EA7D4-1D0D-4FC9-AA05-8FD0E6A3DC7B}" srcId="{50CA2A67-7D7F-441D-92C7-ED6EDB3C343F}" destId="{423E662A-5CC6-4662-803F-F28570D3FF47}" srcOrd="0" destOrd="0" parTransId="{0283225B-F161-44C2-BADB-706035F2ED51}" sibTransId="{A0E3C549-294E-40B2-BB05-7039F9D8DF15}"/>
    <dgm:cxn modelId="{924EB8D7-D9E9-41F8-9C8F-82E7B10CBE8C}" type="presOf" srcId="{3200AA8C-5C1B-4A0E-9938-C1C512269C22}" destId="{A32C625E-6773-4D4D-A02D-5ACE50296F79}" srcOrd="0" destOrd="3" presId="urn:microsoft.com/office/officeart/2005/8/layout/gear1"/>
    <dgm:cxn modelId="{49630FDB-4906-4A66-BB75-9A25FEC3A230}" type="presOf" srcId="{C8FAD5E4-8BF2-4D06-A930-C19AB9F62CAA}" destId="{25B331B5-AE70-408D-A733-48DA0640E579}" srcOrd="0" destOrd="0" presId="urn:microsoft.com/office/officeart/2005/8/layout/gear1"/>
    <dgm:cxn modelId="{2B2E21E4-D9FE-472B-8E1A-242B8285459C}" srcId="{E5F3C32C-5B88-495D-9E76-F645BA9A2717}" destId="{3C12406A-48F4-4BA2-BA51-5183F5CC37A6}" srcOrd="1" destOrd="0" parTransId="{93B4C875-C4A6-4DD5-B199-620D7CFC6D1D}" sibTransId="{FB6AA6DB-D07D-45A5-9A98-54D1CDF27399}"/>
    <dgm:cxn modelId="{92ACCAE6-3AC3-49C8-B4F9-6618A092ECE1}" type="presOf" srcId="{423E662A-5CC6-4662-803F-F28570D3FF47}" destId="{A32C625E-6773-4D4D-A02D-5ACE50296F79}" srcOrd="0" destOrd="0" presId="urn:microsoft.com/office/officeart/2005/8/layout/gear1"/>
    <dgm:cxn modelId="{F2287EE9-C6D0-43B1-9FA3-37AA737E2CBF}" type="presParOf" srcId="{358BCC31-F71D-4135-B1A5-B20EEA972E9C}" destId="{EB9DEC60-E27D-4D67-8567-9B8C74D5ADEE}" srcOrd="0" destOrd="0" presId="urn:microsoft.com/office/officeart/2005/8/layout/gear1"/>
    <dgm:cxn modelId="{DA066AAB-7610-41A1-9732-59FE222E9F3D}" type="presParOf" srcId="{358BCC31-F71D-4135-B1A5-B20EEA972E9C}" destId="{650A1B8A-18AC-42BA-B3A6-7735DC383E61}" srcOrd="1" destOrd="0" presId="urn:microsoft.com/office/officeart/2005/8/layout/gear1"/>
    <dgm:cxn modelId="{4264C086-4BA4-4004-B242-8144DD96C8C5}" type="presParOf" srcId="{358BCC31-F71D-4135-B1A5-B20EEA972E9C}" destId="{C856CFB1-69FD-44E7-9009-6FBD7EF30DD9}" srcOrd="2" destOrd="0" presId="urn:microsoft.com/office/officeart/2005/8/layout/gear1"/>
    <dgm:cxn modelId="{99AFAB77-2F6D-4277-A78C-65CD9B475098}" type="presParOf" srcId="{358BCC31-F71D-4135-B1A5-B20EEA972E9C}" destId="{A32C625E-6773-4D4D-A02D-5ACE50296F79}" srcOrd="3" destOrd="0" presId="urn:microsoft.com/office/officeart/2005/8/layout/gear1"/>
    <dgm:cxn modelId="{E0E967C1-AF9A-45AF-9B5E-8236CC9E6789}" type="presParOf" srcId="{358BCC31-F71D-4135-B1A5-B20EEA972E9C}" destId="{AB063AD4-E3AF-4B6B-A95E-FA137C67BCE7}" srcOrd="4" destOrd="0" presId="urn:microsoft.com/office/officeart/2005/8/layout/gear1"/>
    <dgm:cxn modelId="{4AA64596-3E17-4FED-8736-F00889ADCE98}" type="presParOf" srcId="{358BCC31-F71D-4135-B1A5-B20EEA972E9C}" destId="{1C6BB471-39F6-4490-9A67-67D42D7006C2}" srcOrd="5" destOrd="0" presId="urn:microsoft.com/office/officeart/2005/8/layout/gear1"/>
    <dgm:cxn modelId="{2F99C613-FA8B-49A1-B32C-C2FD4C3170F5}" type="presParOf" srcId="{358BCC31-F71D-4135-B1A5-B20EEA972E9C}" destId="{EA79FF9B-E3B0-4690-8D1B-E1B64E41CAB4}" srcOrd="6" destOrd="0" presId="urn:microsoft.com/office/officeart/2005/8/layout/gear1"/>
    <dgm:cxn modelId="{89CFB6AA-28D5-4A37-8E98-5749C14D1599}" type="presParOf" srcId="{358BCC31-F71D-4135-B1A5-B20EEA972E9C}" destId="{2C18D4D5-830B-48D4-B28F-C99954691CDF}" srcOrd="7" destOrd="0" presId="urn:microsoft.com/office/officeart/2005/8/layout/gear1"/>
    <dgm:cxn modelId="{E026E611-B17C-460F-A2B3-729F0A3D831F}" type="presParOf" srcId="{358BCC31-F71D-4135-B1A5-B20EEA972E9C}" destId="{5C6FF852-F590-4E2B-A55A-F762256C69CF}" srcOrd="8" destOrd="0" presId="urn:microsoft.com/office/officeart/2005/8/layout/gear1"/>
    <dgm:cxn modelId="{82A7F94E-A870-484E-A914-1EC899BF4AD2}" type="presParOf" srcId="{358BCC31-F71D-4135-B1A5-B20EEA972E9C}" destId="{93C1AEA3-5E6A-4E84-AD88-3CAC1067BEED}" srcOrd="9" destOrd="0" presId="urn:microsoft.com/office/officeart/2005/8/layout/gear1"/>
    <dgm:cxn modelId="{92D1D0A5-63A3-44B0-983D-7CAA271A909B}" type="presParOf" srcId="{358BCC31-F71D-4135-B1A5-B20EEA972E9C}" destId="{17B485A3-4259-4A11-896D-57D03EDD9F9B}" srcOrd="10" destOrd="0" presId="urn:microsoft.com/office/officeart/2005/8/layout/gear1"/>
    <dgm:cxn modelId="{3702F2F9-D85D-4B53-90A9-3677138CAA1C}" type="presParOf" srcId="{358BCC31-F71D-4135-B1A5-B20EEA972E9C}" destId="{66CD0D93-5167-4137-AA4C-D15FF1D55996}" srcOrd="11" destOrd="0" presId="urn:microsoft.com/office/officeart/2005/8/layout/gear1"/>
    <dgm:cxn modelId="{80019BD8-A96C-4BA6-B889-4EA94C6CFE0D}" type="presParOf" srcId="{358BCC31-F71D-4135-B1A5-B20EEA972E9C}" destId="{0C5A494A-E6D2-4C18-93B2-67CE1AEEEEBC}" srcOrd="12" destOrd="0" presId="urn:microsoft.com/office/officeart/2005/8/layout/gear1"/>
    <dgm:cxn modelId="{3B40BAB1-7D78-43C7-97CC-13590918968E}" type="presParOf" srcId="{358BCC31-F71D-4135-B1A5-B20EEA972E9C}" destId="{48493473-53C2-4E1C-9120-1ABA58414E43}" srcOrd="13" destOrd="0" presId="urn:microsoft.com/office/officeart/2005/8/layout/gear1"/>
    <dgm:cxn modelId="{6C767E41-C484-47C2-9A38-CD7A60B23253}" type="presParOf" srcId="{358BCC31-F71D-4135-B1A5-B20EEA972E9C}" destId="{25B331B5-AE70-408D-A733-48DA0640E579}" srcOrd="14" destOrd="0" presId="urn:microsoft.com/office/officeart/2005/8/layout/gear1"/>
    <dgm:cxn modelId="{85D1B854-9AD9-47DD-807A-1DE39F11C028}" type="presParOf" srcId="{358BCC31-F71D-4135-B1A5-B20EEA972E9C}" destId="{549298AA-E03B-48F9-973D-CD6EFE04254C}" srcOrd="15" destOrd="0" presId="urn:microsoft.com/office/officeart/2005/8/layout/gear1"/>
  </dgm:cxnLst>
  <dgm:bg/>
  <dgm:whole/>
  <dgm:extLst>
    <a:ext uri="http://schemas.microsoft.com/office/drawing/2008/diagram">
      <dsp:dataModelExt xmlns:dsp="http://schemas.microsoft.com/office/drawing/2008/diagram" relId="rId16"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5C1AB8E6-3827-483F-B64F-BE778D6FCE4A}">
      <dsp:nvSpPr>
        <dsp:cNvPr id="0" name=""/>
        <dsp:cNvSpPr/>
      </dsp:nvSpPr>
      <dsp:spPr>
        <a:xfrm>
          <a:off x="394" y="0"/>
          <a:ext cx="228003" cy="228003"/>
        </a:xfrm>
        <a:prstGeom prst="ellipse">
          <a:avLst/>
        </a:prstGeom>
        <a:solidFill>
          <a:schemeClr val="accent1">
            <a:tint val="40000"/>
            <a:hueOff val="0"/>
            <a:satOff val="0"/>
            <a:lumOff val="0"/>
            <a:alphaOff val="0"/>
          </a:schemeClr>
        </a:solidFill>
        <a:ln>
          <a:noFill/>
        </a:ln>
        <a:effectLst/>
      </dsp:spPr>
      <dsp:style>
        <a:lnRef idx="0">
          <a:scrgbClr r="0" g="0" b="0"/>
        </a:lnRef>
        <a:fillRef idx="1">
          <a:scrgbClr r="0" g="0" b="0"/>
        </a:fillRef>
        <a:effectRef idx="0">
          <a:scrgbClr r="0" g="0" b="0"/>
        </a:effectRef>
        <a:fontRef idx="minor"/>
      </dsp:style>
    </dsp:sp>
    <dsp:sp modelId="{DAC2B580-3D68-4ED1-B44B-0E3E58F10AC7}">
      <dsp:nvSpPr>
        <dsp:cNvPr id="0" name=""/>
        <dsp:cNvSpPr/>
      </dsp:nvSpPr>
      <dsp:spPr>
        <a:xfrm>
          <a:off x="23195" y="22800"/>
          <a:ext cx="182402" cy="182402"/>
        </a:xfrm>
        <a:prstGeom prst="chord">
          <a:avLst>
            <a:gd name="adj1" fmla="val 1800000"/>
            <a:gd name="adj2" fmla="val 9000000"/>
          </a:avLst>
        </a:prstGeom>
        <a:solidFill>
          <a:schemeClr val="accent1">
            <a:hueOff val="0"/>
            <a:satOff val="0"/>
            <a:lumOff val="0"/>
            <a:alphaOff val="0"/>
          </a:schemeClr>
        </a:solidFill>
        <a:ln w="12700" cap="flat" cmpd="sng" algn="ctr">
          <a:solidFill>
            <a:schemeClr val="accen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sp>
    <dsp:sp modelId="{62C7AA39-C819-4C15-B19E-46993DCE0E18}">
      <dsp:nvSpPr>
        <dsp:cNvPr id="0" name=""/>
        <dsp:cNvSpPr/>
      </dsp:nvSpPr>
      <dsp:spPr>
        <a:xfrm>
          <a:off x="275898" y="228003"/>
          <a:ext cx="674510" cy="95951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17780" tIns="17780" rIns="17780" bIns="17780" numCol="1" spcCol="1270" anchor="t" anchorCtr="0">
          <a:noAutofit/>
        </a:bodyPr>
        <a:lstStyle/>
        <a:p>
          <a:pPr marL="0" lvl="0" indent="0" algn="l" defTabSz="311150">
            <a:lnSpc>
              <a:spcPct val="90000"/>
            </a:lnSpc>
            <a:spcBef>
              <a:spcPct val="0"/>
            </a:spcBef>
            <a:spcAft>
              <a:spcPct val="35000"/>
            </a:spcAft>
            <a:buNone/>
          </a:pPr>
          <a:r>
            <a:rPr lang="en-US" sz="700" kern="1200"/>
            <a:t>Mô hình "Thử- sửa" và mở CH chiếm thị phần</a:t>
          </a:r>
          <a:endParaRPr lang="vi-VN" sz="700" kern="1200"/>
        </a:p>
      </dsp:txBody>
      <dsp:txXfrm>
        <a:off x="275898" y="228003"/>
        <a:ext cx="674510" cy="959514"/>
      </dsp:txXfrm>
    </dsp:sp>
    <dsp:sp modelId="{D8CB9998-7AFB-4FE9-8C2B-5AB95C0D5D99}">
      <dsp:nvSpPr>
        <dsp:cNvPr id="0" name=""/>
        <dsp:cNvSpPr/>
      </dsp:nvSpPr>
      <dsp:spPr>
        <a:xfrm>
          <a:off x="275898" y="0"/>
          <a:ext cx="674510" cy="22800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17780" tIns="17780" rIns="17780" bIns="17780" numCol="1" spcCol="1270" anchor="b" anchorCtr="0">
          <a:noAutofit/>
        </a:bodyPr>
        <a:lstStyle/>
        <a:p>
          <a:pPr marL="0" lvl="0" indent="0" algn="l" defTabSz="311150">
            <a:lnSpc>
              <a:spcPct val="90000"/>
            </a:lnSpc>
            <a:spcBef>
              <a:spcPct val="0"/>
            </a:spcBef>
            <a:spcAft>
              <a:spcPct val="35000"/>
            </a:spcAft>
            <a:buNone/>
          </a:pPr>
          <a:r>
            <a:rPr lang="en-US" sz="700" b="1" kern="1200"/>
            <a:t>2018-Q1/22</a:t>
          </a:r>
          <a:endParaRPr lang="vi-VN" sz="700" b="1" kern="1200"/>
        </a:p>
      </dsp:txBody>
      <dsp:txXfrm>
        <a:off x="275898" y="0"/>
        <a:ext cx="674510" cy="228003"/>
      </dsp:txXfrm>
    </dsp:sp>
    <dsp:sp modelId="{26FEFA44-831A-45DA-A4AF-C2103641F369}">
      <dsp:nvSpPr>
        <dsp:cNvPr id="0" name=""/>
        <dsp:cNvSpPr/>
      </dsp:nvSpPr>
      <dsp:spPr>
        <a:xfrm>
          <a:off x="997910" y="0"/>
          <a:ext cx="228003" cy="228003"/>
        </a:xfrm>
        <a:prstGeom prst="ellipse">
          <a:avLst/>
        </a:prstGeom>
        <a:solidFill>
          <a:schemeClr val="accent1">
            <a:tint val="40000"/>
            <a:hueOff val="0"/>
            <a:satOff val="0"/>
            <a:lumOff val="0"/>
            <a:alphaOff val="0"/>
          </a:schemeClr>
        </a:solidFill>
        <a:ln>
          <a:noFill/>
        </a:ln>
        <a:effectLst/>
      </dsp:spPr>
      <dsp:style>
        <a:lnRef idx="0">
          <a:scrgbClr r="0" g="0" b="0"/>
        </a:lnRef>
        <a:fillRef idx="1">
          <a:scrgbClr r="0" g="0" b="0"/>
        </a:fillRef>
        <a:effectRef idx="0">
          <a:scrgbClr r="0" g="0" b="0"/>
        </a:effectRef>
        <a:fontRef idx="minor"/>
      </dsp:style>
    </dsp:sp>
    <dsp:sp modelId="{687064AB-4BBA-4FED-A9B9-D270B15D213E}">
      <dsp:nvSpPr>
        <dsp:cNvPr id="0" name=""/>
        <dsp:cNvSpPr/>
      </dsp:nvSpPr>
      <dsp:spPr>
        <a:xfrm>
          <a:off x="1020710" y="22800"/>
          <a:ext cx="182402" cy="182402"/>
        </a:xfrm>
        <a:prstGeom prst="chord">
          <a:avLst>
            <a:gd name="adj1" fmla="val 0"/>
            <a:gd name="adj2" fmla="val 10800000"/>
          </a:avLst>
        </a:prstGeom>
        <a:solidFill>
          <a:schemeClr val="accent1">
            <a:hueOff val="0"/>
            <a:satOff val="0"/>
            <a:lumOff val="0"/>
            <a:alphaOff val="0"/>
          </a:schemeClr>
        </a:solidFill>
        <a:ln w="12700" cap="flat" cmpd="sng" algn="ctr">
          <a:solidFill>
            <a:schemeClr val="accen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sp>
    <dsp:sp modelId="{634AB8DF-693A-44C7-89C0-9382411B3E7C}">
      <dsp:nvSpPr>
        <dsp:cNvPr id="0" name=""/>
        <dsp:cNvSpPr/>
      </dsp:nvSpPr>
      <dsp:spPr>
        <a:xfrm>
          <a:off x="1273414" y="228003"/>
          <a:ext cx="674510" cy="95951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17780" tIns="17780" rIns="17780" bIns="17780" numCol="1" spcCol="1270" anchor="t" anchorCtr="0">
          <a:noAutofit/>
        </a:bodyPr>
        <a:lstStyle/>
        <a:p>
          <a:pPr marL="0" lvl="0" indent="0" algn="l" defTabSz="311150">
            <a:lnSpc>
              <a:spcPct val="90000"/>
            </a:lnSpc>
            <a:spcBef>
              <a:spcPct val="0"/>
            </a:spcBef>
            <a:spcAft>
              <a:spcPct val="35000"/>
            </a:spcAft>
            <a:buNone/>
          </a:pPr>
          <a:r>
            <a:rPr lang="en-US" sz="700" kern="1200"/>
            <a:t>Chuẩn hoá model kinh doanh và tái định vị tập khách hàng mục tiêu</a:t>
          </a:r>
          <a:endParaRPr lang="vi-VN" sz="700" kern="1200"/>
        </a:p>
      </dsp:txBody>
      <dsp:txXfrm>
        <a:off x="1273414" y="228003"/>
        <a:ext cx="674510" cy="959514"/>
      </dsp:txXfrm>
    </dsp:sp>
    <dsp:sp modelId="{BE1A0F19-C8DB-4C63-830F-0205AF316006}">
      <dsp:nvSpPr>
        <dsp:cNvPr id="0" name=""/>
        <dsp:cNvSpPr/>
      </dsp:nvSpPr>
      <dsp:spPr>
        <a:xfrm>
          <a:off x="1273414" y="0"/>
          <a:ext cx="674510" cy="22800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17780" tIns="17780" rIns="17780" bIns="17780" numCol="1" spcCol="1270" anchor="b" anchorCtr="0">
          <a:noAutofit/>
        </a:bodyPr>
        <a:lstStyle/>
        <a:p>
          <a:pPr marL="0" lvl="0" indent="0" algn="l" defTabSz="311150">
            <a:lnSpc>
              <a:spcPct val="90000"/>
            </a:lnSpc>
            <a:spcBef>
              <a:spcPct val="0"/>
            </a:spcBef>
            <a:spcAft>
              <a:spcPct val="35000"/>
            </a:spcAft>
            <a:buNone/>
          </a:pPr>
          <a:r>
            <a:rPr lang="en-US" sz="700" b="1" kern="1200"/>
            <a:t>Q2/22-Q3/22</a:t>
          </a:r>
          <a:endParaRPr lang="vi-VN" sz="700" b="1" kern="1200"/>
        </a:p>
      </dsp:txBody>
      <dsp:txXfrm>
        <a:off x="1273414" y="0"/>
        <a:ext cx="674510" cy="228003"/>
      </dsp:txXfrm>
    </dsp:sp>
    <dsp:sp modelId="{558F7606-1572-4D43-BBBE-13D6E36A2E3A}">
      <dsp:nvSpPr>
        <dsp:cNvPr id="0" name=""/>
        <dsp:cNvSpPr/>
      </dsp:nvSpPr>
      <dsp:spPr>
        <a:xfrm>
          <a:off x="1995425" y="0"/>
          <a:ext cx="228003" cy="228003"/>
        </a:xfrm>
        <a:prstGeom prst="ellipse">
          <a:avLst/>
        </a:prstGeom>
        <a:solidFill>
          <a:schemeClr val="accent1">
            <a:tint val="40000"/>
            <a:hueOff val="0"/>
            <a:satOff val="0"/>
            <a:lumOff val="0"/>
            <a:alphaOff val="0"/>
          </a:schemeClr>
        </a:solidFill>
        <a:ln>
          <a:noFill/>
        </a:ln>
        <a:effectLst/>
      </dsp:spPr>
      <dsp:style>
        <a:lnRef idx="0">
          <a:scrgbClr r="0" g="0" b="0"/>
        </a:lnRef>
        <a:fillRef idx="1">
          <a:scrgbClr r="0" g="0" b="0"/>
        </a:fillRef>
        <a:effectRef idx="0">
          <a:scrgbClr r="0" g="0" b="0"/>
        </a:effectRef>
        <a:fontRef idx="minor"/>
      </dsp:style>
    </dsp:sp>
    <dsp:sp modelId="{7FD7ACFC-BF81-4D2E-9FCB-A5190B308539}">
      <dsp:nvSpPr>
        <dsp:cNvPr id="0" name=""/>
        <dsp:cNvSpPr/>
      </dsp:nvSpPr>
      <dsp:spPr>
        <a:xfrm>
          <a:off x="2018225" y="22800"/>
          <a:ext cx="182402" cy="182402"/>
        </a:xfrm>
        <a:prstGeom prst="chord">
          <a:avLst>
            <a:gd name="adj1" fmla="val 19800000"/>
            <a:gd name="adj2" fmla="val 12600000"/>
          </a:avLst>
        </a:prstGeom>
        <a:solidFill>
          <a:schemeClr val="accent1">
            <a:hueOff val="0"/>
            <a:satOff val="0"/>
            <a:lumOff val="0"/>
            <a:alphaOff val="0"/>
          </a:schemeClr>
        </a:solidFill>
        <a:ln w="12700" cap="flat" cmpd="sng" algn="ctr">
          <a:solidFill>
            <a:schemeClr val="accen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sp>
    <dsp:sp modelId="{C05B1341-2195-4E6E-8D6B-270A88F98952}">
      <dsp:nvSpPr>
        <dsp:cNvPr id="0" name=""/>
        <dsp:cNvSpPr/>
      </dsp:nvSpPr>
      <dsp:spPr>
        <a:xfrm>
          <a:off x="2270929" y="228003"/>
          <a:ext cx="674510" cy="95951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17780" tIns="17780" rIns="17780" bIns="17780" numCol="1" spcCol="1270" anchor="t" anchorCtr="0">
          <a:noAutofit/>
        </a:bodyPr>
        <a:lstStyle/>
        <a:p>
          <a:pPr marL="0" lvl="0" indent="0" algn="l" defTabSz="311150">
            <a:lnSpc>
              <a:spcPct val="90000"/>
            </a:lnSpc>
            <a:spcBef>
              <a:spcPct val="0"/>
            </a:spcBef>
            <a:spcAft>
              <a:spcPct val="35000"/>
            </a:spcAft>
            <a:buNone/>
          </a:pPr>
          <a:r>
            <a:rPr lang="en-US" sz="700" kern="1200"/>
            <a:t>Tăng DT/CH</a:t>
          </a:r>
          <a:endParaRPr lang="vi-VN" sz="700" kern="1200"/>
        </a:p>
        <a:p>
          <a:pPr marL="0" lvl="0" indent="0" algn="l" defTabSz="311150">
            <a:lnSpc>
              <a:spcPct val="90000"/>
            </a:lnSpc>
            <a:spcBef>
              <a:spcPct val="0"/>
            </a:spcBef>
            <a:spcAft>
              <a:spcPct val="35000"/>
            </a:spcAft>
            <a:buNone/>
          </a:pPr>
          <a:r>
            <a:rPr lang="en-US" sz="700" kern="1200"/>
            <a:t>Tối ưu hoá chi phí</a:t>
          </a:r>
          <a:endParaRPr lang="vi-VN" sz="700" kern="1200"/>
        </a:p>
      </dsp:txBody>
      <dsp:txXfrm>
        <a:off x="2270929" y="228003"/>
        <a:ext cx="674510" cy="959514"/>
      </dsp:txXfrm>
    </dsp:sp>
    <dsp:sp modelId="{AE69D5F7-89C5-4636-B436-B1A9AE7179FC}">
      <dsp:nvSpPr>
        <dsp:cNvPr id="0" name=""/>
        <dsp:cNvSpPr/>
      </dsp:nvSpPr>
      <dsp:spPr>
        <a:xfrm>
          <a:off x="2270929" y="0"/>
          <a:ext cx="674510" cy="22800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17780" tIns="17780" rIns="17780" bIns="17780" numCol="1" spcCol="1270" anchor="b" anchorCtr="0">
          <a:noAutofit/>
        </a:bodyPr>
        <a:lstStyle/>
        <a:p>
          <a:pPr marL="0" lvl="0" indent="0" algn="l" defTabSz="311150">
            <a:lnSpc>
              <a:spcPct val="90000"/>
            </a:lnSpc>
            <a:spcBef>
              <a:spcPct val="0"/>
            </a:spcBef>
            <a:spcAft>
              <a:spcPct val="35000"/>
            </a:spcAft>
            <a:buNone/>
          </a:pPr>
          <a:r>
            <a:rPr lang="en-US" sz="700" b="1" kern="1200"/>
            <a:t>Q4/22- Sau 2023</a:t>
          </a:r>
          <a:endParaRPr lang="vi-VN" sz="700" b="1" kern="1200"/>
        </a:p>
      </dsp:txBody>
      <dsp:txXfrm>
        <a:off x="2270929" y="0"/>
        <a:ext cx="674510" cy="228003"/>
      </dsp:txXfrm>
    </dsp:sp>
    <dsp:sp modelId="{49F0FC79-63AC-400D-9D76-80FFBEE00B5C}">
      <dsp:nvSpPr>
        <dsp:cNvPr id="0" name=""/>
        <dsp:cNvSpPr/>
      </dsp:nvSpPr>
      <dsp:spPr>
        <a:xfrm>
          <a:off x="2992940" y="0"/>
          <a:ext cx="228003" cy="228003"/>
        </a:xfrm>
        <a:prstGeom prst="ellipse">
          <a:avLst/>
        </a:prstGeom>
        <a:solidFill>
          <a:schemeClr val="accent1">
            <a:tint val="40000"/>
            <a:hueOff val="0"/>
            <a:satOff val="0"/>
            <a:lumOff val="0"/>
            <a:alphaOff val="0"/>
          </a:schemeClr>
        </a:solidFill>
        <a:ln>
          <a:noFill/>
        </a:ln>
        <a:effectLst/>
      </dsp:spPr>
      <dsp:style>
        <a:lnRef idx="0">
          <a:scrgbClr r="0" g="0" b="0"/>
        </a:lnRef>
        <a:fillRef idx="1">
          <a:scrgbClr r="0" g="0" b="0"/>
        </a:fillRef>
        <a:effectRef idx="0">
          <a:scrgbClr r="0" g="0" b="0"/>
        </a:effectRef>
        <a:fontRef idx="minor"/>
      </dsp:style>
    </dsp:sp>
    <dsp:sp modelId="{1D912584-2C02-4434-B78E-7B184E0FD116}">
      <dsp:nvSpPr>
        <dsp:cNvPr id="0" name=""/>
        <dsp:cNvSpPr/>
      </dsp:nvSpPr>
      <dsp:spPr>
        <a:xfrm>
          <a:off x="3015741" y="22800"/>
          <a:ext cx="182402" cy="182402"/>
        </a:xfrm>
        <a:prstGeom prst="chord">
          <a:avLst>
            <a:gd name="adj1" fmla="val 16200000"/>
            <a:gd name="adj2" fmla="val 16200000"/>
          </a:avLst>
        </a:prstGeom>
        <a:solidFill>
          <a:schemeClr val="accent1">
            <a:hueOff val="0"/>
            <a:satOff val="0"/>
            <a:lumOff val="0"/>
            <a:alphaOff val="0"/>
          </a:schemeClr>
        </a:solidFill>
        <a:ln w="12700" cap="flat" cmpd="sng" algn="ctr">
          <a:solidFill>
            <a:schemeClr val="accen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sp>
    <dsp:sp modelId="{C7E89043-21FB-458D-B635-40154441D390}">
      <dsp:nvSpPr>
        <dsp:cNvPr id="0" name=""/>
        <dsp:cNvSpPr/>
      </dsp:nvSpPr>
      <dsp:spPr>
        <a:xfrm>
          <a:off x="3268444" y="228003"/>
          <a:ext cx="674510" cy="95951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17780" tIns="17780" rIns="17780" bIns="17780" numCol="1" spcCol="1270" anchor="t" anchorCtr="0">
          <a:noAutofit/>
        </a:bodyPr>
        <a:lstStyle/>
        <a:p>
          <a:pPr marL="0" lvl="0" indent="0" algn="l" defTabSz="311150">
            <a:lnSpc>
              <a:spcPct val="90000"/>
            </a:lnSpc>
            <a:spcBef>
              <a:spcPct val="0"/>
            </a:spcBef>
            <a:spcAft>
              <a:spcPct val="35000"/>
            </a:spcAft>
            <a:buNone/>
          </a:pPr>
          <a:r>
            <a:rPr lang="en-US" sz="700" kern="1200"/>
            <a:t>Nhân bản mô hình thành công</a:t>
          </a:r>
          <a:endParaRPr lang="vi-VN" sz="700" kern="1200"/>
        </a:p>
      </dsp:txBody>
      <dsp:txXfrm>
        <a:off x="3268444" y="228003"/>
        <a:ext cx="674510" cy="959514"/>
      </dsp:txXfrm>
    </dsp:sp>
    <dsp:sp modelId="{11BEE840-4028-409F-8BE3-E83C6B26B7A1}">
      <dsp:nvSpPr>
        <dsp:cNvPr id="0" name=""/>
        <dsp:cNvSpPr/>
      </dsp:nvSpPr>
      <dsp:spPr>
        <a:xfrm>
          <a:off x="3268444" y="0"/>
          <a:ext cx="674510" cy="22800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17780" tIns="17780" rIns="17780" bIns="17780" numCol="1" spcCol="1270" anchor="b" anchorCtr="0">
          <a:noAutofit/>
        </a:bodyPr>
        <a:lstStyle/>
        <a:p>
          <a:pPr marL="0" lvl="0" indent="0" algn="l" defTabSz="311150">
            <a:lnSpc>
              <a:spcPct val="90000"/>
            </a:lnSpc>
            <a:spcBef>
              <a:spcPct val="0"/>
            </a:spcBef>
            <a:spcAft>
              <a:spcPct val="35000"/>
            </a:spcAft>
            <a:buNone/>
          </a:pPr>
          <a:r>
            <a:rPr lang="en-US" sz="700" b="1" kern="1200"/>
            <a:t>Trung hạn</a:t>
          </a:r>
          <a:endParaRPr lang="vi-VN" sz="700" b="1" kern="1200"/>
        </a:p>
      </dsp:txBody>
      <dsp:txXfrm>
        <a:off x="3268444" y="0"/>
        <a:ext cx="674510" cy="228003"/>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3C88738D-1B94-4052-AA7A-EF6BD2F05745}">
      <dsp:nvSpPr>
        <dsp:cNvPr id="0" name=""/>
        <dsp:cNvSpPr/>
      </dsp:nvSpPr>
      <dsp:spPr>
        <a:xfrm rot="5400000">
          <a:off x="363235" y="1506604"/>
          <a:ext cx="1090920" cy="1815267"/>
        </a:xfrm>
        <a:prstGeom prst="corner">
          <a:avLst>
            <a:gd name="adj1" fmla="val 16120"/>
            <a:gd name="adj2" fmla="val 16110"/>
          </a:avLst>
        </a:prstGeom>
        <a:solidFill>
          <a:schemeClr val="accent1">
            <a:hueOff val="0"/>
            <a:satOff val="0"/>
            <a:lumOff val="0"/>
            <a:alphaOff val="0"/>
          </a:schemeClr>
        </a:solidFill>
        <a:ln w="12700" cap="flat" cmpd="sng" algn="ctr">
          <a:solidFill>
            <a:schemeClr val="accen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sp>
    <dsp:sp modelId="{FE4D70D1-3ABE-474F-92CF-0C22C85596FD}">
      <dsp:nvSpPr>
        <dsp:cNvPr id="0" name=""/>
        <dsp:cNvSpPr/>
      </dsp:nvSpPr>
      <dsp:spPr>
        <a:xfrm>
          <a:off x="181133" y="2048978"/>
          <a:ext cx="1638833" cy="143653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72390" tIns="72390" rIns="72390" bIns="72390" numCol="1" spcCol="1270" anchor="t" anchorCtr="0">
          <a:noAutofit/>
        </a:bodyPr>
        <a:lstStyle/>
        <a:p>
          <a:pPr marL="0" lvl="0" indent="0" algn="l" defTabSz="844550">
            <a:lnSpc>
              <a:spcPct val="90000"/>
            </a:lnSpc>
            <a:spcBef>
              <a:spcPct val="0"/>
            </a:spcBef>
            <a:spcAft>
              <a:spcPct val="35000"/>
            </a:spcAft>
            <a:buNone/>
          </a:pPr>
          <a:r>
            <a:rPr lang="en-US" sz="1900" kern="1200"/>
            <a:t>2016-2021</a:t>
          </a:r>
        </a:p>
        <a:p>
          <a:pPr marL="114300" lvl="1" indent="-114300" algn="l" defTabSz="666750">
            <a:lnSpc>
              <a:spcPct val="90000"/>
            </a:lnSpc>
            <a:spcBef>
              <a:spcPct val="0"/>
            </a:spcBef>
            <a:spcAft>
              <a:spcPct val="15000"/>
            </a:spcAft>
            <a:buChar char="•"/>
          </a:pPr>
          <a:r>
            <a:rPr lang="en-US" sz="1500" kern="1200"/>
            <a:t>DT/CH/ tháng từ 0.5 đến 1.5 tỷ VND</a:t>
          </a:r>
          <a:endParaRPr lang="vi-VN" sz="1500" kern="1200"/>
        </a:p>
        <a:p>
          <a:pPr marL="114300" lvl="1" indent="-114300" algn="l" defTabSz="666750">
            <a:lnSpc>
              <a:spcPct val="90000"/>
            </a:lnSpc>
            <a:spcBef>
              <a:spcPct val="0"/>
            </a:spcBef>
            <a:spcAft>
              <a:spcPct val="15000"/>
            </a:spcAft>
            <a:buChar char="•"/>
          </a:pPr>
          <a:endParaRPr lang="vi-VN" sz="1500" kern="1200"/>
        </a:p>
      </dsp:txBody>
      <dsp:txXfrm>
        <a:off x="181133" y="2048978"/>
        <a:ext cx="1638833" cy="1436533"/>
      </dsp:txXfrm>
    </dsp:sp>
    <dsp:sp modelId="{C4514527-1B5B-4547-829C-EF3C3FB9EA2D}">
      <dsp:nvSpPr>
        <dsp:cNvPr id="0" name=""/>
        <dsp:cNvSpPr/>
      </dsp:nvSpPr>
      <dsp:spPr>
        <a:xfrm>
          <a:off x="1510753" y="1372962"/>
          <a:ext cx="309213" cy="309213"/>
        </a:xfrm>
        <a:prstGeom prst="triangle">
          <a:avLst>
            <a:gd name="adj" fmla="val 100000"/>
          </a:avLst>
        </a:prstGeom>
        <a:solidFill>
          <a:schemeClr val="accent1">
            <a:hueOff val="0"/>
            <a:satOff val="0"/>
            <a:lumOff val="0"/>
            <a:alphaOff val="0"/>
          </a:schemeClr>
        </a:solidFill>
        <a:ln w="12700" cap="flat" cmpd="sng" algn="ctr">
          <a:solidFill>
            <a:schemeClr val="accen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sp>
    <dsp:sp modelId="{27BC5C14-8C5F-4447-92AE-16D04D3C6AC3}">
      <dsp:nvSpPr>
        <dsp:cNvPr id="0" name=""/>
        <dsp:cNvSpPr/>
      </dsp:nvSpPr>
      <dsp:spPr>
        <a:xfrm rot="5400000">
          <a:off x="2369487" y="1010155"/>
          <a:ext cx="1090920" cy="1815267"/>
        </a:xfrm>
        <a:prstGeom prst="corner">
          <a:avLst>
            <a:gd name="adj1" fmla="val 16120"/>
            <a:gd name="adj2" fmla="val 16110"/>
          </a:avLst>
        </a:prstGeom>
        <a:solidFill>
          <a:schemeClr val="accent1">
            <a:hueOff val="0"/>
            <a:satOff val="0"/>
            <a:lumOff val="0"/>
            <a:alphaOff val="0"/>
          </a:schemeClr>
        </a:solidFill>
        <a:ln w="12700" cap="flat" cmpd="sng" algn="ctr">
          <a:solidFill>
            <a:schemeClr val="accen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sp>
    <dsp:sp modelId="{F70C94A4-3EEB-48E3-933E-50FD22A562AD}">
      <dsp:nvSpPr>
        <dsp:cNvPr id="0" name=""/>
        <dsp:cNvSpPr/>
      </dsp:nvSpPr>
      <dsp:spPr>
        <a:xfrm>
          <a:off x="2187385" y="1552529"/>
          <a:ext cx="1638833" cy="143653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72390" tIns="72390" rIns="72390" bIns="72390" numCol="1" spcCol="1270" anchor="t" anchorCtr="0">
          <a:noAutofit/>
        </a:bodyPr>
        <a:lstStyle/>
        <a:p>
          <a:pPr marL="0" lvl="0" indent="0" algn="l" defTabSz="844550">
            <a:lnSpc>
              <a:spcPct val="90000"/>
            </a:lnSpc>
            <a:spcBef>
              <a:spcPct val="0"/>
            </a:spcBef>
            <a:spcAft>
              <a:spcPct val="35000"/>
            </a:spcAft>
            <a:buNone/>
          </a:pPr>
          <a:endParaRPr lang="vi-VN" sz="1900" kern="1200"/>
        </a:p>
      </dsp:txBody>
      <dsp:txXfrm>
        <a:off x="2187385" y="1552529"/>
        <a:ext cx="1638833" cy="1436533"/>
      </dsp:txXfrm>
    </dsp:sp>
    <dsp:sp modelId="{AD3061CC-3A6F-4A54-83AA-82329C3DBA13}">
      <dsp:nvSpPr>
        <dsp:cNvPr id="0" name=""/>
        <dsp:cNvSpPr/>
      </dsp:nvSpPr>
      <dsp:spPr>
        <a:xfrm>
          <a:off x="3517005" y="876513"/>
          <a:ext cx="309213" cy="309213"/>
        </a:xfrm>
        <a:prstGeom prst="triangle">
          <a:avLst>
            <a:gd name="adj" fmla="val 100000"/>
          </a:avLst>
        </a:prstGeom>
        <a:solidFill>
          <a:schemeClr val="accent1">
            <a:hueOff val="0"/>
            <a:satOff val="0"/>
            <a:lumOff val="0"/>
            <a:alphaOff val="0"/>
          </a:schemeClr>
        </a:solidFill>
        <a:ln w="12700" cap="flat" cmpd="sng" algn="ctr">
          <a:solidFill>
            <a:schemeClr val="accen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sp>
    <dsp:sp modelId="{52828CC2-AD6A-4583-911D-5DEA64118B2C}">
      <dsp:nvSpPr>
        <dsp:cNvPr id="0" name=""/>
        <dsp:cNvSpPr/>
      </dsp:nvSpPr>
      <dsp:spPr>
        <a:xfrm rot="5400000">
          <a:off x="4375739" y="513706"/>
          <a:ext cx="1090920" cy="1815267"/>
        </a:xfrm>
        <a:prstGeom prst="corner">
          <a:avLst>
            <a:gd name="adj1" fmla="val 16120"/>
            <a:gd name="adj2" fmla="val 16110"/>
          </a:avLst>
        </a:prstGeom>
        <a:solidFill>
          <a:schemeClr val="accent1">
            <a:hueOff val="0"/>
            <a:satOff val="0"/>
            <a:lumOff val="0"/>
            <a:alphaOff val="0"/>
          </a:schemeClr>
        </a:solidFill>
        <a:ln w="12700" cap="flat" cmpd="sng" algn="ctr">
          <a:solidFill>
            <a:schemeClr val="accen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sp>
    <dsp:sp modelId="{9A732952-5596-4CA2-80C5-149BE2A61FAC}">
      <dsp:nvSpPr>
        <dsp:cNvPr id="0" name=""/>
        <dsp:cNvSpPr/>
      </dsp:nvSpPr>
      <dsp:spPr>
        <a:xfrm>
          <a:off x="4193637" y="1056080"/>
          <a:ext cx="1638833" cy="143653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72390" tIns="72390" rIns="72390" bIns="72390" numCol="1" spcCol="1270" anchor="t" anchorCtr="0">
          <a:noAutofit/>
        </a:bodyPr>
        <a:lstStyle/>
        <a:p>
          <a:pPr marL="0" lvl="0" indent="0" algn="l" defTabSz="844550">
            <a:lnSpc>
              <a:spcPct val="90000"/>
            </a:lnSpc>
            <a:spcBef>
              <a:spcPct val="0"/>
            </a:spcBef>
            <a:spcAft>
              <a:spcPct val="35000"/>
            </a:spcAft>
            <a:buNone/>
          </a:pPr>
          <a:endParaRPr lang="vi-VN" sz="1900" kern="1200"/>
        </a:p>
      </dsp:txBody>
      <dsp:txXfrm>
        <a:off x="4193637" y="1056080"/>
        <a:ext cx="1638833" cy="1436533"/>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EB9DEC60-E27D-4D67-8567-9B8C74D5ADEE}">
      <dsp:nvSpPr>
        <dsp:cNvPr id="0" name=""/>
        <dsp:cNvSpPr/>
      </dsp:nvSpPr>
      <dsp:spPr>
        <a:xfrm>
          <a:off x="3738668" y="1918335"/>
          <a:ext cx="2344631" cy="2344631"/>
        </a:xfrm>
        <a:prstGeom prst="gear9">
          <a:avLst/>
        </a:prstGeom>
        <a:gradFill rotWithShape="0">
          <a:gsLst>
            <a:gs pos="0">
              <a:schemeClr val="accent1">
                <a:hueOff val="0"/>
                <a:satOff val="0"/>
                <a:lumOff val="0"/>
                <a:alphaOff val="0"/>
                <a:satMod val="103000"/>
                <a:lumMod val="102000"/>
                <a:tint val="94000"/>
              </a:schemeClr>
            </a:gs>
            <a:gs pos="50000">
              <a:schemeClr val="accent1">
                <a:hueOff val="0"/>
                <a:satOff val="0"/>
                <a:lumOff val="0"/>
                <a:alphaOff val="0"/>
                <a:satMod val="110000"/>
                <a:lumMod val="100000"/>
                <a:shade val="100000"/>
              </a:schemeClr>
            </a:gs>
            <a:gs pos="100000">
              <a:schemeClr val="accent1">
                <a:hueOff val="0"/>
                <a:satOff val="0"/>
                <a:lumOff val="0"/>
                <a:alphaOff val="0"/>
                <a:lumMod val="99000"/>
                <a:satMod val="120000"/>
                <a:shade val="78000"/>
              </a:schemeClr>
            </a:gs>
          </a:gsLst>
          <a:lin ang="5400000" scaled="0"/>
        </a:gradFill>
        <a:ln>
          <a:noFill/>
        </a:ln>
        <a:effectLst>
          <a:outerShdw blurRad="57150" dist="19050" dir="5400000" algn="ctr" rotWithShape="0">
            <a:srgbClr val="000000">
              <a:alpha val="63000"/>
            </a:srgbClr>
          </a:outerShdw>
        </a:effectLst>
      </dsp:spPr>
      <dsp:style>
        <a:lnRef idx="0">
          <a:scrgbClr r="0" g="0" b="0"/>
        </a:lnRef>
        <a:fillRef idx="3">
          <a:scrgbClr r="0" g="0" b="0"/>
        </a:fillRef>
        <a:effectRef idx="3">
          <a:scrgbClr r="0" g="0" b="0"/>
        </a:effectRef>
        <a:fontRef idx="minor">
          <a:schemeClr val="lt1"/>
        </a:fontRef>
      </dsp:style>
      <dsp:txBody>
        <a:bodyPr spcFirstLastPara="0" vert="horz" wrap="square" lIns="13970" tIns="13970" rIns="13970" bIns="13970" numCol="1" spcCol="1270" anchor="ctr" anchorCtr="0">
          <a:noAutofit/>
        </a:bodyPr>
        <a:lstStyle/>
        <a:p>
          <a:pPr marL="0" lvl="0" indent="0" algn="ctr" defTabSz="488950">
            <a:lnSpc>
              <a:spcPct val="90000"/>
            </a:lnSpc>
            <a:spcBef>
              <a:spcPct val="0"/>
            </a:spcBef>
            <a:spcAft>
              <a:spcPct val="35000"/>
            </a:spcAft>
            <a:buNone/>
          </a:pPr>
          <a:r>
            <a:rPr lang="en-US" sz="1100" b="1" kern="1200">
              <a:latin typeface="Calibri (Body)"/>
            </a:rPr>
            <a:t>Vị thế</a:t>
          </a:r>
          <a:endParaRPr lang="vi-VN" sz="1100" b="1" kern="1200">
            <a:latin typeface="Calibri (Body)"/>
          </a:endParaRPr>
        </a:p>
      </dsp:txBody>
      <dsp:txXfrm>
        <a:off x="4210043" y="2467554"/>
        <a:ext cx="1401881" cy="1205188"/>
      </dsp:txXfrm>
    </dsp:sp>
    <dsp:sp modelId="{A32C625E-6773-4D4D-A02D-5ACE50296F79}">
      <dsp:nvSpPr>
        <dsp:cNvPr id="0" name=""/>
        <dsp:cNvSpPr/>
      </dsp:nvSpPr>
      <dsp:spPr>
        <a:xfrm>
          <a:off x="3238290" y="3367743"/>
          <a:ext cx="1895978" cy="895223"/>
        </a:xfrm>
        <a:prstGeom prst="roundRect">
          <a:avLst>
            <a:gd name="adj" fmla="val 10000"/>
          </a:avLst>
        </a:prstGeom>
        <a:solidFill>
          <a:schemeClr val="lt1">
            <a:alpha val="90000"/>
            <a:hueOff val="0"/>
            <a:satOff val="0"/>
            <a:lumOff val="0"/>
            <a:alphaOff val="0"/>
          </a:schemeClr>
        </a:solidFill>
        <a:ln w="6350" cap="flat" cmpd="sng" algn="ctr">
          <a:solidFill>
            <a:schemeClr val="accent1">
              <a:hueOff val="0"/>
              <a:satOff val="0"/>
              <a:lumOff val="0"/>
              <a:alphaOff val="0"/>
            </a:schemeClr>
          </a:solidFill>
          <a:prstDash val="solid"/>
          <a:miter lim="800000"/>
        </a:ln>
        <a:effectLst/>
      </dsp:spPr>
      <dsp:style>
        <a:lnRef idx="1">
          <a:scrgbClr r="0" g="0" b="0"/>
        </a:lnRef>
        <a:fillRef idx="1">
          <a:scrgbClr r="0" g="0" b="0"/>
        </a:fillRef>
        <a:effectRef idx="2">
          <a:scrgbClr r="0" g="0" b="0"/>
        </a:effectRef>
        <a:fontRef idx="minor"/>
      </dsp:style>
      <dsp:txBody>
        <a:bodyPr spcFirstLastPara="0" vert="horz" wrap="square" lIns="34290" tIns="34290" rIns="34290" bIns="34290" numCol="1" spcCol="1270" anchor="t" anchorCtr="0">
          <a:noAutofit/>
        </a:bodyPr>
        <a:lstStyle/>
        <a:p>
          <a:pPr marL="57150" lvl="1" indent="-57150" algn="l" defTabSz="400050">
            <a:lnSpc>
              <a:spcPct val="90000"/>
            </a:lnSpc>
            <a:spcBef>
              <a:spcPct val="0"/>
            </a:spcBef>
            <a:spcAft>
              <a:spcPct val="15000"/>
            </a:spcAft>
            <a:buChar char="•"/>
          </a:pPr>
          <a:r>
            <a:rPr lang="en-US" sz="900" kern="1200">
              <a:latin typeface="Calibri (Body)"/>
            </a:rPr>
            <a:t>50% Thị phần bán lẻ ICT+CE</a:t>
          </a:r>
          <a:endParaRPr lang="vi-VN" sz="900" kern="1200">
            <a:latin typeface="Calibri (Body)"/>
          </a:endParaRPr>
        </a:p>
        <a:p>
          <a:pPr marL="57150" lvl="1" indent="-57150" algn="l" defTabSz="400050">
            <a:lnSpc>
              <a:spcPct val="90000"/>
            </a:lnSpc>
            <a:spcBef>
              <a:spcPct val="0"/>
            </a:spcBef>
            <a:spcAft>
              <a:spcPct val="15000"/>
            </a:spcAft>
            <a:buChar char="•"/>
          </a:pPr>
          <a:r>
            <a:rPr lang="en-US" sz="900" kern="1200">
              <a:latin typeface="Calibri (Body)"/>
            </a:rPr>
            <a:t>50% Thị phần bán lẻ ICT+CE</a:t>
          </a:r>
          <a:endParaRPr lang="vi-VN" sz="900" kern="1200">
            <a:latin typeface="Calibri (Body)"/>
          </a:endParaRPr>
        </a:p>
        <a:p>
          <a:pPr marL="57150" lvl="1" indent="-57150" algn="l" defTabSz="400050">
            <a:lnSpc>
              <a:spcPct val="90000"/>
            </a:lnSpc>
            <a:spcBef>
              <a:spcPct val="0"/>
            </a:spcBef>
            <a:spcAft>
              <a:spcPct val="15000"/>
            </a:spcAft>
            <a:buChar char="•"/>
          </a:pPr>
          <a:r>
            <a:rPr lang="en-US" sz="900" kern="1200">
              <a:latin typeface="Calibri (Body)"/>
            </a:rPr>
            <a:t>Top 3 thị phần bán lẻ chuỗi  bách hoá và dược hiện đại</a:t>
          </a:r>
          <a:endParaRPr lang="vi-VN" sz="900" kern="1200">
            <a:latin typeface="Calibri (Body)"/>
          </a:endParaRPr>
        </a:p>
        <a:p>
          <a:pPr marL="57150" lvl="1" indent="-57150" algn="l" defTabSz="400050">
            <a:lnSpc>
              <a:spcPct val="90000"/>
            </a:lnSpc>
            <a:spcBef>
              <a:spcPct val="0"/>
            </a:spcBef>
            <a:spcAft>
              <a:spcPct val="15000"/>
            </a:spcAft>
            <a:buChar char="•"/>
          </a:pPr>
          <a:r>
            <a:rPr lang="en-US" sz="900" kern="1200">
              <a:latin typeface="Calibri (Body)"/>
            </a:rPr>
            <a:t>Tập khách hàng chiếm 40% dân số</a:t>
          </a:r>
          <a:endParaRPr lang="vi-VN" sz="900" kern="1200">
            <a:latin typeface="Calibri (Body)"/>
          </a:endParaRPr>
        </a:p>
      </dsp:txBody>
      <dsp:txXfrm>
        <a:off x="3264510" y="3393963"/>
        <a:ext cx="1843538" cy="842783"/>
      </dsp:txXfrm>
    </dsp:sp>
    <dsp:sp modelId="{AB063AD4-E3AF-4B6B-A95E-FA137C67BCE7}">
      <dsp:nvSpPr>
        <dsp:cNvPr id="0" name=""/>
        <dsp:cNvSpPr/>
      </dsp:nvSpPr>
      <dsp:spPr>
        <a:xfrm>
          <a:off x="2374518" y="1364149"/>
          <a:ext cx="1705186" cy="1705186"/>
        </a:xfrm>
        <a:prstGeom prst="gear6">
          <a:avLst/>
        </a:prstGeom>
        <a:gradFill rotWithShape="0">
          <a:gsLst>
            <a:gs pos="0">
              <a:schemeClr val="accent1">
                <a:hueOff val="0"/>
                <a:satOff val="0"/>
                <a:lumOff val="0"/>
                <a:alphaOff val="0"/>
                <a:satMod val="103000"/>
                <a:lumMod val="102000"/>
                <a:tint val="94000"/>
              </a:schemeClr>
            </a:gs>
            <a:gs pos="50000">
              <a:schemeClr val="accent1">
                <a:hueOff val="0"/>
                <a:satOff val="0"/>
                <a:lumOff val="0"/>
                <a:alphaOff val="0"/>
                <a:satMod val="110000"/>
                <a:lumMod val="100000"/>
                <a:shade val="100000"/>
              </a:schemeClr>
            </a:gs>
            <a:gs pos="100000">
              <a:schemeClr val="accent1">
                <a:hueOff val="0"/>
                <a:satOff val="0"/>
                <a:lumOff val="0"/>
                <a:alphaOff val="0"/>
                <a:lumMod val="99000"/>
                <a:satMod val="120000"/>
                <a:shade val="78000"/>
              </a:schemeClr>
            </a:gs>
          </a:gsLst>
          <a:lin ang="5400000" scaled="0"/>
        </a:gradFill>
        <a:ln>
          <a:noFill/>
        </a:ln>
        <a:effectLst>
          <a:outerShdw blurRad="57150" dist="19050" dir="5400000" algn="ctr" rotWithShape="0">
            <a:srgbClr val="000000">
              <a:alpha val="63000"/>
            </a:srgbClr>
          </a:outerShdw>
        </a:effectLst>
      </dsp:spPr>
      <dsp:style>
        <a:lnRef idx="0">
          <a:scrgbClr r="0" g="0" b="0"/>
        </a:lnRef>
        <a:fillRef idx="3">
          <a:scrgbClr r="0" g="0" b="0"/>
        </a:fillRef>
        <a:effectRef idx="3">
          <a:scrgbClr r="0" g="0" b="0"/>
        </a:effectRef>
        <a:fontRef idx="minor">
          <a:schemeClr val="lt1"/>
        </a:fontRef>
      </dsp:style>
      <dsp:txBody>
        <a:bodyPr spcFirstLastPara="0" vert="horz" wrap="square" lIns="13970" tIns="13970" rIns="13970" bIns="13970" numCol="1" spcCol="1270" anchor="ctr" anchorCtr="0">
          <a:noAutofit/>
        </a:bodyPr>
        <a:lstStyle/>
        <a:p>
          <a:pPr marL="0" lvl="0" indent="0" algn="ctr" defTabSz="488950">
            <a:lnSpc>
              <a:spcPct val="90000"/>
            </a:lnSpc>
            <a:spcBef>
              <a:spcPct val="0"/>
            </a:spcBef>
            <a:spcAft>
              <a:spcPct val="35000"/>
            </a:spcAft>
            <a:buNone/>
          </a:pPr>
          <a:r>
            <a:rPr lang="en-US" sz="1100" b="1" kern="1200">
              <a:latin typeface="Calibri (Body)"/>
            </a:rPr>
            <a:t>Quản trị &amp; vận hành</a:t>
          </a:r>
          <a:endParaRPr lang="vi-VN" sz="1100" b="1" kern="1200">
            <a:latin typeface="Calibri (Body)"/>
          </a:endParaRPr>
        </a:p>
      </dsp:txBody>
      <dsp:txXfrm>
        <a:off x="2803804" y="1796029"/>
        <a:ext cx="846614" cy="841426"/>
      </dsp:txXfrm>
    </dsp:sp>
    <dsp:sp modelId="{2C18D4D5-830B-48D4-B28F-C99954691CDF}">
      <dsp:nvSpPr>
        <dsp:cNvPr id="0" name=""/>
        <dsp:cNvSpPr/>
      </dsp:nvSpPr>
      <dsp:spPr>
        <a:xfrm>
          <a:off x="1820333" y="2472520"/>
          <a:ext cx="1492038" cy="895223"/>
        </a:xfrm>
        <a:prstGeom prst="roundRect">
          <a:avLst>
            <a:gd name="adj" fmla="val 10000"/>
          </a:avLst>
        </a:prstGeom>
        <a:solidFill>
          <a:schemeClr val="lt1">
            <a:alpha val="90000"/>
            <a:hueOff val="0"/>
            <a:satOff val="0"/>
            <a:lumOff val="0"/>
            <a:alphaOff val="0"/>
          </a:schemeClr>
        </a:solidFill>
        <a:ln w="6350" cap="flat" cmpd="sng" algn="ctr">
          <a:solidFill>
            <a:schemeClr val="accent1">
              <a:hueOff val="0"/>
              <a:satOff val="0"/>
              <a:lumOff val="0"/>
              <a:alphaOff val="0"/>
            </a:schemeClr>
          </a:solidFill>
          <a:prstDash val="solid"/>
          <a:miter lim="800000"/>
        </a:ln>
        <a:effectLst/>
      </dsp:spPr>
      <dsp:style>
        <a:lnRef idx="1">
          <a:scrgbClr r="0" g="0" b="0"/>
        </a:lnRef>
        <a:fillRef idx="1">
          <a:scrgbClr r="0" g="0" b="0"/>
        </a:fillRef>
        <a:effectRef idx="2">
          <a:scrgbClr r="0" g="0" b="0"/>
        </a:effectRef>
        <a:fontRef idx="minor"/>
      </dsp:style>
      <dsp:txBody>
        <a:bodyPr spcFirstLastPara="0" vert="horz" wrap="square" lIns="34290" tIns="34290" rIns="34290" bIns="34290" numCol="1" spcCol="1270" anchor="t" anchorCtr="0">
          <a:noAutofit/>
        </a:bodyPr>
        <a:lstStyle/>
        <a:p>
          <a:pPr marL="57150" lvl="1" indent="-57150" algn="l" defTabSz="400050">
            <a:lnSpc>
              <a:spcPct val="90000"/>
            </a:lnSpc>
            <a:spcBef>
              <a:spcPct val="0"/>
            </a:spcBef>
            <a:spcAft>
              <a:spcPct val="15000"/>
            </a:spcAft>
            <a:buChar char="•"/>
          </a:pPr>
          <a:r>
            <a:rPr lang="en-US" sz="900" kern="1200">
              <a:latin typeface="Calibri (Body)"/>
            </a:rPr>
            <a:t>BOM và BOD: 20+ năm kinh nghiệm, chịu đổi mới tư duy.</a:t>
          </a:r>
          <a:endParaRPr lang="vi-VN" sz="900" kern="1200">
            <a:latin typeface="Calibri (Body)"/>
          </a:endParaRPr>
        </a:p>
        <a:p>
          <a:pPr marL="57150" lvl="1" indent="-57150" algn="l" defTabSz="400050">
            <a:lnSpc>
              <a:spcPct val="90000"/>
            </a:lnSpc>
            <a:spcBef>
              <a:spcPct val="0"/>
            </a:spcBef>
            <a:spcAft>
              <a:spcPct val="15000"/>
            </a:spcAft>
            <a:buChar char="•"/>
          </a:pPr>
          <a:r>
            <a:rPr lang="en-US" sz="900" kern="1200">
              <a:latin typeface="Calibri (Body)"/>
            </a:rPr>
            <a:t>Vận hành 5,000+CH</a:t>
          </a:r>
          <a:endParaRPr lang="vi-VN" sz="900" kern="1200">
            <a:latin typeface="Calibri (Body)"/>
          </a:endParaRPr>
        </a:p>
        <a:p>
          <a:pPr marL="57150" lvl="1" indent="-57150" algn="l" defTabSz="400050">
            <a:lnSpc>
              <a:spcPct val="90000"/>
            </a:lnSpc>
            <a:spcBef>
              <a:spcPct val="0"/>
            </a:spcBef>
            <a:spcAft>
              <a:spcPct val="15000"/>
            </a:spcAft>
            <a:buChar char="•"/>
          </a:pPr>
          <a:r>
            <a:rPr lang="en-US" sz="900" kern="1200">
              <a:latin typeface="Calibri (Body)"/>
            </a:rPr>
            <a:t>Số lượng nhân viên: 60,000+</a:t>
          </a:r>
          <a:endParaRPr lang="vi-VN" sz="900" kern="1200">
            <a:latin typeface="Calibri (Body)"/>
          </a:endParaRPr>
        </a:p>
        <a:p>
          <a:pPr marL="57150" lvl="1" indent="-57150" algn="l" defTabSz="400050">
            <a:lnSpc>
              <a:spcPct val="90000"/>
            </a:lnSpc>
            <a:spcBef>
              <a:spcPct val="0"/>
            </a:spcBef>
            <a:spcAft>
              <a:spcPct val="15000"/>
            </a:spcAft>
            <a:buChar char="•"/>
          </a:pPr>
          <a:endParaRPr lang="vi-VN" sz="900" kern="1200">
            <a:latin typeface="Calibri (Body)"/>
          </a:endParaRPr>
        </a:p>
        <a:p>
          <a:pPr marL="57150" lvl="1" indent="-57150" algn="l" defTabSz="400050">
            <a:lnSpc>
              <a:spcPct val="90000"/>
            </a:lnSpc>
            <a:spcBef>
              <a:spcPct val="0"/>
            </a:spcBef>
            <a:spcAft>
              <a:spcPct val="15000"/>
            </a:spcAft>
            <a:buChar char="•"/>
          </a:pPr>
          <a:endParaRPr lang="vi-VN" sz="900" kern="1200">
            <a:latin typeface="Calibri (Body)"/>
          </a:endParaRPr>
        </a:p>
      </dsp:txBody>
      <dsp:txXfrm>
        <a:off x="1846553" y="2498740"/>
        <a:ext cx="1439598" cy="842783"/>
      </dsp:txXfrm>
    </dsp:sp>
    <dsp:sp modelId="{5C6FF852-F590-4E2B-A55A-F762256C69CF}">
      <dsp:nvSpPr>
        <dsp:cNvPr id="0" name=""/>
        <dsp:cNvSpPr/>
      </dsp:nvSpPr>
      <dsp:spPr>
        <a:xfrm rot="20700000">
          <a:off x="3329597" y="187744"/>
          <a:ext cx="1670735" cy="1670735"/>
        </a:xfrm>
        <a:prstGeom prst="gear6">
          <a:avLst/>
        </a:prstGeom>
        <a:gradFill rotWithShape="0">
          <a:gsLst>
            <a:gs pos="0">
              <a:schemeClr val="accent1">
                <a:hueOff val="0"/>
                <a:satOff val="0"/>
                <a:lumOff val="0"/>
                <a:alphaOff val="0"/>
                <a:satMod val="103000"/>
                <a:lumMod val="102000"/>
                <a:tint val="94000"/>
              </a:schemeClr>
            </a:gs>
            <a:gs pos="50000">
              <a:schemeClr val="accent1">
                <a:hueOff val="0"/>
                <a:satOff val="0"/>
                <a:lumOff val="0"/>
                <a:alphaOff val="0"/>
                <a:satMod val="110000"/>
                <a:lumMod val="100000"/>
                <a:shade val="100000"/>
              </a:schemeClr>
            </a:gs>
            <a:gs pos="100000">
              <a:schemeClr val="accent1">
                <a:hueOff val="0"/>
                <a:satOff val="0"/>
                <a:lumOff val="0"/>
                <a:alphaOff val="0"/>
                <a:lumMod val="99000"/>
                <a:satMod val="120000"/>
                <a:shade val="78000"/>
              </a:schemeClr>
            </a:gs>
          </a:gsLst>
          <a:lin ang="5400000" scaled="0"/>
        </a:gradFill>
        <a:ln>
          <a:noFill/>
        </a:ln>
        <a:effectLst>
          <a:outerShdw blurRad="57150" dist="19050" dir="5400000" algn="ctr" rotWithShape="0">
            <a:srgbClr val="000000">
              <a:alpha val="63000"/>
            </a:srgbClr>
          </a:outerShdw>
        </a:effectLst>
      </dsp:spPr>
      <dsp:style>
        <a:lnRef idx="0">
          <a:scrgbClr r="0" g="0" b="0"/>
        </a:lnRef>
        <a:fillRef idx="3">
          <a:scrgbClr r="0" g="0" b="0"/>
        </a:fillRef>
        <a:effectRef idx="3">
          <a:scrgbClr r="0" g="0" b="0"/>
        </a:effectRef>
        <a:fontRef idx="minor">
          <a:schemeClr val="lt1"/>
        </a:fontRef>
      </dsp:style>
      <dsp:txBody>
        <a:bodyPr spcFirstLastPara="0" vert="horz" wrap="square" lIns="13970" tIns="13970" rIns="13970" bIns="13970" numCol="1" spcCol="1270" anchor="ctr" anchorCtr="0">
          <a:noAutofit/>
        </a:bodyPr>
        <a:lstStyle/>
        <a:p>
          <a:pPr marL="0" lvl="0" indent="0" algn="ctr" defTabSz="488950">
            <a:lnSpc>
              <a:spcPct val="90000"/>
            </a:lnSpc>
            <a:spcBef>
              <a:spcPct val="0"/>
            </a:spcBef>
            <a:spcAft>
              <a:spcPct val="35000"/>
            </a:spcAft>
            <a:buNone/>
          </a:pPr>
          <a:r>
            <a:rPr lang="en-US" sz="1100" b="1" kern="1200">
              <a:latin typeface="Calibri (Body)"/>
            </a:rPr>
            <a:t>Tăng trưởng</a:t>
          </a:r>
          <a:endParaRPr lang="vi-VN" sz="1100" b="1" kern="1200">
            <a:latin typeface="Calibri (Body)"/>
          </a:endParaRPr>
        </a:p>
      </dsp:txBody>
      <dsp:txXfrm rot="-20700000">
        <a:off x="3696038" y="554185"/>
        <a:ext cx="937852" cy="937852"/>
      </dsp:txXfrm>
    </dsp:sp>
    <dsp:sp modelId="{0C5A494A-E6D2-4C18-93B2-67CE1AEEEEBC}">
      <dsp:nvSpPr>
        <dsp:cNvPr id="0" name=""/>
        <dsp:cNvSpPr/>
      </dsp:nvSpPr>
      <dsp:spPr>
        <a:xfrm>
          <a:off x="4591261" y="554185"/>
          <a:ext cx="1492038" cy="895223"/>
        </a:xfrm>
        <a:prstGeom prst="roundRect">
          <a:avLst>
            <a:gd name="adj" fmla="val 10000"/>
          </a:avLst>
        </a:prstGeom>
        <a:solidFill>
          <a:schemeClr val="lt1">
            <a:alpha val="90000"/>
            <a:hueOff val="0"/>
            <a:satOff val="0"/>
            <a:lumOff val="0"/>
            <a:alphaOff val="0"/>
          </a:schemeClr>
        </a:solidFill>
        <a:ln w="6350" cap="flat" cmpd="sng" algn="ctr">
          <a:solidFill>
            <a:schemeClr val="accent1">
              <a:hueOff val="0"/>
              <a:satOff val="0"/>
              <a:lumOff val="0"/>
              <a:alphaOff val="0"/>
            </a:schemeClr>
          </a:solidFill>
          <a:prstDash val="solid"/>
          <a:miter lim="800000"/>
        </a:ln>
        <a:effectLst/>
      </dsp:spPr>
      <dsp:style>
        <a:lnRef idx="1">
          <a:scrgbClr r="0" g="0" b="0"/>
        </a:lnRef>
        <a:fillRef idx="1">
          <a:scrgbClr r="0" g="0" b="0"/>
        </a:fillRef>
        <a:effectRef idx="2">
          <a:scrgbClr r="0" g="0" b="0"/>
        </a:effectRef>
        <a:fontRef idx="minor"/>
      </dsp:style>
      <dsp:txBody>
        <a:bodyPr spcFirstLastPara="0" vert="horz" wrap="square" lIns="34290" tIns="34290" rIns="34290" bIns="34290" numCol="1" spcCol="1270" anchor="t" anchorCtr="0">
          <a:noAutofit/>
        </a:bodyPr>
        <a:lstStyle/>
        <a:p>
          <a:pPr marL="57150" lvl="1" indent="-57150" algn="l" defTabSz="400050">
            <a:lnSpc>
              <a:spcPct val="90000"/>
            </a:lnSpc>
            <a:spcBef>
              <a:spcPct val="0"/>
            </a:spcBef>
            <a:spcAft>
              <a:spcPct val="15000"/>
            </a:spcAft>
            <a:buChar char="•"/>
          </a:pPr>
          <a:r>
            <a:rPr lang="en-US" sz="900" kern="1200">
              <a:latin typeface="Calibri (Body)"/>
            </a:rPr>
            <a:t>Trung hạn từ TGDĐ+ĐMX (link) và BHX</a:t>
          </a:r>
          <a:endParaRPr lang="vi-VN" sz="900" kern="1200">
            <a:latin typeface="Calibri (Body)"/>
          </a:endParaRPr>
        </a:p>
        <a:p>
          <a:pPr marL="57150" lvl="1" indent="-57150" algn="l" defTabSz="400050">
            <a:lnSpc>
              <a:spcPct val="90000"/>
            </a:lnSpc>
            <a:spcBef>
              <a:spcPct val="0"/>
            </a:spcBef>
            <a:spcAft>
              <a:spcPct val="15000"/>
            </a:spcAft>
            <a:buChar char="•"/>
          </a:pPr>
          <a:r>
            <a:rPr lang="en-US" sz="900" kern="1200">
              <a:latin typeface="Calibri (Body)"/>
            </a:rPr>
            <a:t>Dài hạn: An Khang,Avakid Erablues- tăng quy mô theo chiều ngang</a:t>
          </a:r>
          <a:endParaRPr lang="vi-VN" sz="900" kern="1200">
            <a:latin typeface="Calibri (Body)"/>
          </a:endParaRPr>
        </a:p>
      </dsp:txBody>
      <dsp:txXfrm>
        <a:off x="4617481" y="580405"/>
        <a:ext cx="1439598" cy="842783"/>
      </dsp:txXfrm>
    </dsp:sp>
    <dsp:sp modelId="{48493473-53C2-4E1C-9120-1ABA58414E43}">
      <dsp:nvSpPr>
        <dsp:cNvPr id="0" name=""/>
        <dsp:cNvSpPr/>
      </dsp:nvSpPr>
      <dsp:spPr>
        <a:xfrm>
          <a:off x="3559134" y="1564106"/>
          <a:ext cx="3001128" cy="3001128"/>
        </a:xfrm>
        <a:prstGeom prst="circularArrow">
          <a:avLst>
            <a:gd name="adj1" fmla="val 4688"/>
            <a:gd name="adj2" fmla="val 299029"/>
            <a:gd name="adj3" fmla="val 2517844"/>
            <a:gd name="adj4" fmla="val 15857666"/>
            <a:gd name="adj5" fmla="val 5469"/>
          </a:avLst>
        </a:prstGeom>
        <a:gradFill rotWithShape="0">
          <a:gsLst>
            <a:gs pos="0">
              <a:schemeClr val="accent1">
                <a:tint val="60000"/>
                <a:hueOff val="0"/>
                <a:satOff val="0"/>
                <a:lumOff val="0"/>
                <a:alphaOff val="0"/>
                <a:satMod val="103000"/>
                <a:lumMod val="102000"/>
                <a:tint val="94000"/>
              </a:schemeClr>
            </a:gs>
            <a:gs pos="50000">
              <a:schemeClr val="accent1">
                <a:tint val="60000"/>
                <a:hueOff val="0"/>
                <a:satOff val="0"/>
                <a:lumOff val="0"/>
                <a:alphaOff val="0"/>
                <a:satMod val="110000"/>
                <a:lumMod val="100000"/>
                <a:shade val="100000"/>
              </a:schemeClr>
            </a:gs>
            <a:gs pos="100000">
              <a:schemeClr val="accent1">
                <a:tint val="60000"/>
                <a:hueOff val="0"/>
                <a:satOff val="0"/>
                <a:lumOff val="0"/>
                <a:alphaOff val="0"/>
                <a:lumMod val="99000"/>
                <a:satMod val="120000"/>
                <a:shade val="78000"/>
              </a:schemeClr>
            </a:gs>
          </a:gsLst>
          <a:lin ang="5400000" scaled="0"/>
        </a:gradFill>
        <a:ln>
          <a:noFill/>
        </a:ln>
        <a:effectLst>
          <a:outerShdw blurRad="57150" dist="19050" dir="5400000" algn="ctr" rotWithShape="0">
            <a:srgbClr val="000000">
              <a:alpha val="63000"/>
            </a:srgbClr>
          </a:outerShdw>
        </a:effectLst>
      </dsp:spPr>
      <dsp:style>
        <a:lnRef idx="0">
          <a:scrgbClr r="0" g="0" b="0"/>
        </a:lnRef>
        <a:fillRef idx="3">
          <a:scrgbClr r="0" g="0" b="0"/>
        </a:fillRef>
        <a:effectRef idx="3">
          <a:scrgbClr r="0" g="0" b="0"/>
        </a:effectRef>
        <a:fontRef idx="minor">
          <a:schemeClr val="lt1"/>
        </a:fontRef>
      </dsp:style>
    </dsp:sp>
    <dsp:sp modelId="{25B331B5-AE70-408D-A733-48DA0640E579}">
      <dsp:nvSpPr>
        <dsp:cNvPr id="0" name=""/>
        <dsp:cNvSpPr/>
      </dsp:nvSpPr>
      <dsp:spPr>
        <a:xfrm>
          <a:off x="2072533" y="986561"/>
          <a:ext cx="2180507" cy="2180507"/>
        </a:xfrm>
        <a:prstGeom prst="leftCircularArrow">
          <a:avLst>
            <a:gd name="adj1" fmla="val 6452"/>
            <a:gd name="adj2" fmla="val 429999"/>
            <a:gd name="adj3" fmla="val 10489124"/>
            <a:gd name="adj4" fmla="val 14837806"/>
            <a:gd name="adj5" fmla="val 7527"/>
          </a:avLst>
        </a:prstGeom>
        <a:gradFill rotWithShape="0">
          <a:gsLst>
            <a:gs pos="0">
              <a:schemeClr val="accent1">
                <a:tint val="60000"/>
                <a:hueOff val="0"/>
                <a:satOff val="0"/>
                <a:lumOff val="0"/>
                <a:alphaOff val="0"/>
                <a:satMod val="103000"/>
                <a:lumMod val="102000"/>
                <a:tint val="94000"/>
              </a:schemeClr>
            </a:gs>
            <a:gs pos="50000">
              <a:schemeClr val="accent1">
                <a:tint val="60000"/>
                <a:hueOff val="0"/>
                <a:satOff val="0"/>
                <a:lumOff val="0"/>
                <a:alphaOff val="0"/>
                <a:satMod val="110000"/>
                <a:lumMod val="100000"/>
                <a:shade val="100000"/>
              </a:schemeClr>
            </a:gs>
            <a:gs pos="100000">
              <a:schemeClr val="accent1">
                <a:tint val="60000"/>
                <a:hueOff val="0"/>
                <a:satOff val="0"/>
                <a:lumOff val="0"/>
                <a:alphaOff val="0"/>
                <a:lumMod val="99000"/>
                <a:satMod val="120000"/>
                <a:shade val="78000"/>
              </a:schemeClr>
            </a:gs>
          </a:gsLst>
          <a:lin ang="5400000" scaled="0"/>
        </a:gradFill>
        <a:ln>
          <a:noFill/>
        </a:ln>
        <a:effectLst>
          <a:outerShdw blurRad="57150" dist="19050" dir="5400000" algn="ctr" rotWithShape="0">
            <a:srgbClr val="000000">
              <a:alpha val="63000"/>
            </a:srgbClr>
          </a:outerShdw>
        </a:effectLst>
      </dsp:spPr>
      <dsp:style>
        <a:lnRef idx="0">
          <a:scrgbClr r="0" g="0" b="0"/>
        </a:lnRef>
        <a:fillRef idx="3">
          <a:scrgbClr r="0" g="0" b="0"/>
        </a:fillRef>
        <a:effectRef idx="3">
          <a:scrgbClr r="0" g="0" b="0"/>
        </a:effectRef>
        <a:fontRef idx="minor">
          <a:schemeClr val="lt1"/>
        </a:fontRef>
      </dsp:style>
    </dsp:sp>
    <dsp:sp modelId="{549298AA-E03B-48F9-973D-CD6EFE04254C}">
      <dsp:nvSpPr>
        <dsp:cNvPr id="0" name=""/>
        <dsp:cNvSpPr/>
      </dsp:nvSpPr>
      <dsp:spPr>
        <a:xfrm>
          <a:off x="2943139" y="-178503"/>
          <a:ext cx="2351026" cy="2351026"/>
        </a:xfrm>
        <a:prstGeom prst="circularArrow">
          <a:avLst>
            <a:gd name="adj1" fmla="val 5984"/>
            <a:gd name="adj2" fmla="val 394124"/>
            <a:gd name="adj3" fmla="val 13313824"/>
            <a:gd name="adj4" fmla="val 10508221"/>
            <a:gd name="adj5" fmla="val 6981"/>
          </a:avLst>
        </a:prstGeom>
        <a:gradFill rotWithShape="0">
          <a:gsLst>
            <a:gs pos="0">
              <a:schemeClr val="accent1">
                <a:tint val="60000"/>
                <a:hueOff val="0"/>
                <a:satOff val="0"/>
                <a:lumOff val="0"/>
                <a:alphaOff val="0"/>
                <a:satMod val="103000"/>
                <a:lumMod val="102000"/>
                <a:tint val="94000"/>
              </a:schemeClr>
            </a:gs>
            <a:gs pos="50000">
              <a:schemeClr val="accent1">
                <a:tint val="60000"/>
                <a:hueOff val="0"/>
                <a:satOff val="0"/>
                <a:lumOff val="0"/>
                <a:alphaOff val="0"/>
                <a:satMod val="110000"/>
                <a:lumMod val="100000"/>
                <a:shade val="100000"/>
              </a:schemeClr>
            </a:gs>
            <a:gs pos="100000">
              <a:schemeClr val="accent1">
                <a:tint val="60000"/>
                <a:hueOff val="0"/>
                <a:satOff val="0"/>
                <a:lumOff val="0"/>
                <a:alphaOff val="0"/>
                <a:lumMod val="99000"/>
                <a:satMod val="120000"/>
                <a:shade val="78000"/>
              </a:schemeClr>
            </a:gs>
          </a:gsLst>
          <a:lin ang="5400000" scaled="0"/>
        </a:gradFill>
        <a:ln>
          <a:noFill/>
        </a:ln>
        <a:effectLst>
          <a:outerShdw blurRad="57150" dist="19050" dir="5400000" algn="ctr" rotWithShape="0">
            <a:srgbClr val="000000">
              <a:alpha val="63000"/>
            </a:srgbClr>
          </a:outerShdw>
        </a:effectLst>
      </dsp:spPr>
      <dsp:style>
        <a:lnRef idx="0">
          <a:scrgbClr r="0" g="0" b="0"/>
        </a:lnRef>
        <a:fillRef idx="3">
          <a:scrgbClr r="0" g="0" b="0"/>
        </a:fillRef>
        <a:effectRef idx="3">
          <a:scrgbClr r="0" g="0" b="0"/>
        </a:effectRef>
        <a:fontRef idx="minor">
          <a:schemeClr val="lt1"/>
        </a:fontRef>
      </dsp:style>
    </dsp:sp>
  </dsp:spTree>
</dsp:drawing>
</file>

<file path=xl/diagrams/layout1.xml><?xml version="1.0" encoding="utf-8"?>
<dgm:layoutDef xmlns:dgm="http://schemas.openxmlformats.org/drawingml/2006/diagram" xmlns:a="http://schemas.openxmlformats.org/drawingml/2006/main" uniqueId="urn:microsoft.com/office/officeart/2008/layout/IncreasingCircleProcess">
  <dgm:title val=""/>
  <dgm:desc val=""/>
  <dgm:catLst>
    <dgm:cat type="list" pri="8300"/>
    <dgm:cat type="process" pri="43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40" srcId="0" destId="10" srcOrd="0" destOrd="0"/>
        <dgm:cxn modelId="12" srcId="10" destId="11" srcOrd="0" destOrd="0"/>
        <dgm:cxn modelId="50" srcId="0" destId="20" srcOrd="1" destOrd="0"/>
        <dgm:cxn modelId="22" srcId="20" destId="21" srcOrd="0" destOrd="0"/>
        <dgm:cxn modelId="6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30" srcId="0" destId="10" srcOrd="0" destOrd="0"/>
        <dgm:cxn modelId="40" srcId="0" destId="20" srcOrd="1" destOrd="0"/>
      </dgm:cxnLst>
      <dgm:bg/>
      <dgm:whole/>
    </dgm:dataModel>
  </dgm:styleData>
  <dgm:clrData>
    <dgm:dataModel>
      <dgm:ptLst>
        <dgm:pt modelId="0" type="doc"/>
        <dgm:pt modelId="10">
          <dgm:prSet phldr="1"/>
        </dgm:pt>
        <dgm:pt modelId="20">
          <dgm:prSet phldr="1"/>
        </dgm:pt>
      </dgm:ptLst>
      <dgm:cxnLst>
        <dgm:cxn modelId="30" srcId="0" destId="10" srcOrd="0" destOrd="0"/>
        <dgm:cxn modelId="40" srcId="0" destId="20" srcOrd="1" destOrd="0"/>
      </dgm:cxnLst>
      <dgm:bg/>
      <dgm:whole/>
    </dgm:dataModel>
  </dgm:clrData>
  <dgm:layoutNode name="Name0">
    <dgm:varLst>
      <dgm:chMax val="7"/>
      <dgm:chPref val="7"/>
      <dgm:dir/>
      <dgm:animOne val="branch"/>
      <dgm:animLvl val="lvl"/>
    </dgm:varLst>
    <dgm:choose name="Name1">
      <dgm:if name="Name2" func="var" arg="dir" op="equ" val="norm">
        <dgm:alg type="lin">
          <dgm:param type="linDir" val="fromL"/>
          <dgm:param type="horzAlign" val="ctr"/>
          <dgm:param type="vertAlign" val="t"/>
        </dgm:alg>
      </dgm:if>
      <dgm:else name="Name3">
        <dgm:alg type="lin">
          <dgm:param type="linDir" val="fromR"/>
          <dgm:param type="horzAlign" val="ctr"/>
          <dgm:param type="vertAlign" val="t"/>
        </dgm:alg>
      </dgm:else>
    </dgm:choose>
    <dgm:shape xmlns:r="http://schemas.openxmlformats.org/officeDocument/2006/relationships" r:blip="">
      <dgm:adjLst/>
    </dgm:shape>
    <dgm:constrLst>
      <dgm:constr type="primFontSz" for="des" forName="Child" val="65"/>
      <dgm:constr type="primFontSz" for="des" forName="Parent" val="65"/>
      <dgm:constr type="primFontSz" for="des" forName="Child" refType="primFontSz" refFor="des" refForName="Parent" op="lte"/>
      <dgm:constr type="w" for="ch" forName="composite" refType="w"/>
      <dgm:constr type="h" for="ch" forName="composite" refType="h"/>
      <dgm:constr type="sp" refType="w" refFor="ch" refForName="composite" op="equ" fact="0.05"/>
      <dgm:constr type="w" for="ch" forName="sibTrans" refType="h" refFor="ch" refForName="composite" op="equ" fact="0.04"/>
    </dgm:constrLst>
    <dgm:forEach name="nodesForEach" axis="ch" ptType="node" cnt="7">
      <dgm:layoutNode name="composite">
        <dgm:alg type="composite">
          <dgm:param type="ar" val="0.8"/>
        </dgm:alg>
        <dgm:choose name="Name4">
          <dgm:if name="Name5" func="var" arg="dir" op="equ" val="norm">
            <dgm:constrLst>
              <dgm:constr type="l" for="ch" forName="Child" refType="w" fact="0.29"/>
              <dgm:constr type="t" for="ch" forName="Child" refType="h" fact="0.192"/>
              <dgm:constr type="w" for="ch" forName="Child" refType="w" fact="0.71"/>
              <dgm:constr type="h" for="ch" forName="Child" refType="h" fact="0.808"/>
              <dgm:constr type="l" for="ch" forName="Parent" refType="w" fact="0.29"/>
              <dgm:constr type="t" for="ch" forName="Parent" refType="h" fact="0"/>
              <dgm:constr type="w" for="ch" forName="Parent" refType="w" fact="0.71"/>
              <dgm:constr type="h" for="ch" forName="Parent" refType="h" fact="0.192"/>
              <dgm:constr type="l" for="ch" forName="BackAccent" refType="w" fact="0"/>
              <dgm:constr type="t" for="ch" forName="BackAccent" refType="h" fact="0"/>
              <dgm:constr type="w" for="ch" forName="BackAccent" refType="w" fact="0.24"/>
              <dgm:constr type="h" for="ch" forName="BackAccent" refType="h" fact="0.192"/>
              <dgm:constr type="l" for="ch" forName="Accent" refType="w" fact="0.024"/>
              <dgm:constr type="t" for="ch" forName="Accent" refType="h" fact="0.0192"/>
              <dgm:constr type="w" for="ch" forName="Accent" refType="w" fact="0.192"/>
              <dgm:constr type="h" for="ch" forName="Accent" refType="h" fact="0.1536"/>
            </dgm:constrLst>
          </dgm:if>
          <dgm:else name="Name6">
            <dgm:constrLst>
              <dgm:constr type="r" for="ch" forName="Child" refType="w" fact="0.71"/>
              <dgm:constr type="t" for="ch" forName="Child" refType="h" fact="0.192"/>
              <dgm:constr type="w" for="ch" forName="Child" refType="w" fact="0.71"/>
              <dgm:constr type="h" for="ch" forName="Child" refType="h" fact="0.808"/>
              <dgm:constr type="r" for="ch" forName="Parent" refType="w" fact="0.71"/>
              <dgm:constr type="t" for="ch" forName="Parent" refType="h" fact="0"/>
              <dgm:constr type="w" for="ch" forName="Parent" refType="w" fact="0.71"/>
              <dgm:constr type="h" for="ch" forName="Parent" refType="h" fact="0.192"/>
              <dgm:constr type="r" for="ch" forName="BackAccent" refType="w"/>
              <dgm:constr type="t" for="ch" forName="BackAccent" refType="h" fact="0"/>
              <dgm:constr type="w" for="ch" forName="BackAccent" refType="w" fact="0.24"/>
              <dgm:constr type="h" for="ch" forName="BackAccent" refType="h" fact="0.192"/>
              <dgm:constr type="r" for="ch" forName="Accent" refType="w" fact="0.976"/>
              <dgm:constr type="t" for="ch" forName="Accent" refType="h" fact="0.0192"/>
              <dgm:constr type="w" for="ch" forName="Accent" refType="w" fact="0.192"/>
              <dgm:constr type="h" for="ch" forName="Accent" refType="h" fact="0.1536"/>
            </dgm:constrLst>
          </dgm:else>
        </dgm:choose>
        <dgm:layoutNode name="BackAccent" styleLbl="bgShp">
          <dgm:alg type="sp"/>
          <dgm:shape xmlns:r="http://schemas.openxmlformats.org/officeDocument/2006/relationships" type="ellipse" r:blip="">
            <dgm:adjLst/>
          </dgm:shape>
          <dgm:presOf/>
        </dgm:layoutNode>
        <dgm:layoutNode name="Accent" styleLbl="alignNode1">
          <dgm:alg type="sp"/>
          <dgm:choose name="Name7">
            <dgm:if name="Name8" axis="precedSib" ptType="node" func="cnt" op="equ" val="0">
              <dgm:choose name="Name9">
                <dgm:if name="Name10" axis="followSib" ptType="node" func="cnt" op="equ" val="0">
                  <dgm:shape xmlns:r="http://schemas.openxmlformats.org/officeDocument/2006/relationships" type="chord" r:blip="">
                    <dgm:adjLst>
                      <dgm:adj idx="1" val="-90"/>
                      <dgm:adj idx="2" val="-90"/>
                    </dgm:adjLst>
                  </dgm:shape>
                </dgm:if>
                <dgm:if name="Name11" axis="followSib" ptType="node" func="cnt" op="equ" val="1">
                  <dgm:shape xmlns:r="http://schemas.openxmlformats.org/officeDocument/2006/relationships" type="chord" r:blip="">
                    <dgm:adjLst>
                      <dgm:adj idx="1" val="0"/>
                      <dgm:adj idx="2" val="180"/>
                    </dgm:adjLst>
                  </dgm:shape>
                </dgm:if>
                <dgm:if name="Name12" axis="followSib" ptType="node" func="cnt" op="equ" val="2">
                  <dgm:shape xmlns:r="http://schemas.openxmlformats.org/officeDocument/2006/relationships" type="chord" r:blip="">
                    <dgm:adjLst>
                      <dgm:adj idx="1" val="19.4712"/>
                      <dgm:adj idx="2" val="160.5288"/>
                    </dgm:adjLst>
                  </dgm:shape>
                </dgm:if>
                <dgm:if name="Name13" axis="followSib" ptType="node" func="cnt" op="equ" val="3">
                  <dgm:shape xmlns:r="http://schemas.openxmlformats.org/officeDocument/2006/relationships" type="chord" r:blip="">
                    <dgm:adjLst>
                      <dgm:adj idx="1" val="30"/>
                      <dgm:adj idx="2" val="150"/>
                    </dgm:adjLst>
                  </dgm:shape>
                </dgm:if>
                <dgm:if name="Name14" axis="followSib" ptType="node" func="cnt" op="equ" val="4">
                  <dgm:shape xmlns:r="http://schemas.openxmlformats.org/officeDocument/2006/relationships" type="chord" r:blip="">
                    <dgm:adjLst>
                      <dgm:adj idx="1" val="38.8699"/>
                      <dgm:adj idx="2" val="143.1301"/>
                    </dgm:adjLst>
                  </dgm:shape>
                </dgm:if>
                <dgm:if name="Name15" axis="followSib" ptType="node" func="cnt" op="equ" val="5">
                  <dgm:shape xmlns:r="http://schemas.openxmlformats.org/officeDocument/2006/relationships" type="chord" r:blip="">
                    <dgm:adjLst>
                      <dgm:adj idx="1" val="41.8103"/>
                      <dgm:adj idx="2" val="138.1897"/>
                    </dgm:adjLst>
                  </dgm:shape>
                </dgm:if>
                <dgm:else name="Name16">
                  <dgm:shape xmlns:r="http://schemas.openxmlformats.org/officeDocument/2006/relationships" type="chord" r:blip="">
                    <dgm:adjLst>
                      <dgm:adj idx="1" val="45.5847"/>
                      <dgm:adj idx="2" val="134.4153"/>
                    </dgm:adjLst>
                  </dgm:shape>
                </dgm:else>
              </dgm:choose>
            </dgm:if>
            <dgm:if name="Name17" axis="precedSib" ptType="node" func="cnt" op="equ" val="1">
              <dgm:choose name="Name18">
                <dgm:if name="Name19" axis="followSib" ptType="node" func="cnt" op="equ" val="0">
                  <dgm:shape xmlns:r="http://schemas.openxmlformats.org/officeDocument/2006/relationships" type="chord" r:blip="">
                    <dgm:adjLst>
                      <dgm:adj idx="1" val="-90"/>
                      <dgm:adj idx="2" val="-90"/>
                    </dgm:adjLst>
                  </dgm:shape>
                </dgm:if>
                <dgm:if name="Name20" axis="followSib" ptType="node" func="cnt" op="equ" val="1">
                  <dgm:shape xmlns:r="http://schemas.openxmlformats.org/officeDocument/2006/relationships" type="chord" r:blip="">
                    <dgm:adjLst>
                      <dgm:adj idx="1" val="-19.4712"/>
                      <dgm:adj idx="2" val="-160.5288"/>
                    </dgm:adjLst>
                  </dgm:shape>
                </dgm:if>
                <dgm:if name="Name21" axis="followSib" ptType="node" func="cnt" op="equ" val="2">
                  <dgm:shape xmlns:r="http://schemas.openxmlformats.org/officeDocument/2006/relationships" type="chord" r:blip="">
                    <dgm:adjLst>
                      <dgm:adj idx="1" val="0"/>
                      <dgm:adj idx="2" val="180"/>
                    </dgm:adjLst>
                  </dgm:shape>
                </dgm:if>
                <dgm:if name="Name22" axis="followSib" ptType="node" func="cnt" op="equ" val="3">
                  <dgm:shape xmlns:r="http://schemas.openxmlformats.org/officeDocument/2006/relationships" type="chord" r:blip="">
                    <dgm:adjLst>
                      <dgm:adj idx="1" val="11.537"/>
                      <dgm:adj idx="2" val="168.463"/>
                    </dgm:adjLst>
                  </dgm:shape>
                </dgm:if>
                <dgm:if name="Name23" axis="followSib" ptType="node" func="cnt" op="equ" val="4">
                  <dgm:shape xmlns:r="http://schemas.openxmlformats.org/officeDocument/2006/relationships" type="chord" r:blip="">
                    <dgm:adjLst>
                      <dgm:adj idx="1" val="19.4712"/>
                      <dgm:adj idx="2" val="160.5288"/>
                    </dgm:adjLst>
                  </dgm:shape>
                </dgm:if>
                <dgm:else name="Name24">
                  <dgm:shape xmlns:r="http://schemas.openxmlformats.org/officeDocument/2006/relationships" type="chord" r:blip="">
                    <dgm:adjLst>
                      <dgm:adj idx="1" val="25.3769"/>
                      <dgm:adj idx="2" val="154.6231"/>
                    </dgm:adjLst>
                  </dgm:shape>
                </dgm:else>
              </dgm:choose>
            </dgm:if>
            <dgm:if name="Name25" axis="precedSib" ptType="node" func="cnt" op="equ" val="2">
              <dgm:choose name="Name26">
                <dgm:if name="Name27" axis="followSib" ptType="node" func="cnt" op="equ" val="0">
                  <dgm:shape xmlns:r="http://schemas.openxmlformats.org/officeDocument/2006/relationships" type="chord" r:blip="">
                    <dgm:adjLst>
                      <dgm:adj idx="1" val="-90"/>
                      <dgm:adj idx="2" val="-90"/>
                    </dgm:adjLst>
                  </dgm:shape>
                </dgm:if>
                <dgm:if name="Name28" axis="followSib" ptType="node" func="cnt" op="equ" val="1">
                  <dgm:shape xmlns:r="http://schemas.openxmlformats.org/officeDocument/2006/relationships" type="chord" r:blip="">
                    <dgm:adjLst>
                      <dgm:adj idx="1" val="-30"/>
                      <dgm:adj idx="2" val="-150"/>
                    </dgm:adjLst>
                  </dgm:shape>
                </dgm:if>
                <dgm:if name="Name29" axis="followSib" ptType="node" func="cnt" op="equ" val="2">
                  <dgm:shape xmlns:r="http://schemas.openxmlformats.org/officeDocument/2006/relationships" type="chord" r:blip="">
                    <dgm:adjLst>
                      <dgm:adj idx="1" val="-11.537"/>
                      <dgm:adj idx="2" val="-168.463"/>
                    </dgm:adjLst>
                  </dgm:shape>
                </dgm:if>
                <dgm:if name="Name30" axis="followSib" ptType="node" func="cnt" op="equ" val="3">
                  <dgm:shape xmlns:r="http://schemas.openxmlformats.org/officeDocument/2006/relationships" type="chord" r:blip="">
                    <dgm:adjLst>
                      <dgm:adj idx="1" val="0"/>
                      <dgm:adj idx="2" val="180"/>
                    </dgm:adjLst>
                  </dgm:shape>
                </dgm:if>
                <dgm:else name="Name31">
                  <dgm:shape xmlns:r="http://schemas.openxmlformats.org/officeDocument/2006/relationships" type="chord" r:blip="">
                    <dgm:adjLst>
                      <dgm:adj idx="1" val="8.2133"/>
                      <dgm:adj idx="2" val="171.7867"/>
                    </dgm:adjLst>
                  </dgm:shape>
                </dgm:else>
              </dgm:choose>
            </dgm:if>
            <dgm:if name="Name32" axis="precedSib" ptType="node" func="cnt" op="equ" val="3">
              <dgm:choose name="Name33">
                <dgm:if name="Name34" axis="followSib" ptType="node" func="cnt" op="equ" val="0">
                  <dgm:shape xmlns:r="http://schemas.openxmlformats.org/officeDocument/2006/relationships" type="chord" r:blip="">
                    <dgm:adjLst>
                      <dgm:adj idx="1" val="-90"/>
                      <dgm:adj idx="2" val="-90"/>
                    </dgm:adjLst>
                  </dgm:shape>
                </dgm:if>
                <dgm:if name="Name35" axis="followSib" ptType="node" func="cnt" op="equ" val="1">
                  <dgm:shape xmlns:r="http://schemas.openxmlformats.org/officeDocument/2006/relationships" type="chord" r:blip="">
                    <dgm:adjLst>
                      <dgm:adj idx="1" val="-38.8699"/>
                      <dgm:adj idx="2" val="-143.1301"/>
                    </dgm:adjLst>
                  </dgm:shape>
                </dgm:if>
                <dgm:if name="Name36" axis="followSib" ptType="node" func="cnt" op="equ" val="2">
                  <dgm:shape xmlns:r="http://schemas.openxmlformats.org/officeDocument/2006/relationships" type="chord" r:blip="">
                    <dgm:adjLst>
                      <dgm:adj idx="1" val="-19.4712"/>
                      <dgm:adj idx="2" val="-160.5288"/>
                    </dgm:adjLst>
                  </dgm:shape>
                </dgm:if>
                <dgm:else name="Name37">
                  <dgm:shape xmlns:r="http://schemas.openxmlformats.org/officeDocument/2006/relationships" type="chord" r:blip="">
                    <dgm:adjLst>
                      <dgm:adj idx="1" val="-8.2133"/>
                      <dgm:adj idx="2" val="-171.7867"/>
                    </dgm:adjLst>
                  </dgm:shape>
                </dgm:else>
              </dgm:choose>
            </dgm:if>
            <dgm:if name="Name38" axis="precedSib" ptType="node" func="cnt" op="equ" val="4">
              <dgm:choose name="Name39">
                <dgm:if name="Name40" axis="followSib" ptType="node" func="cnt" op="equ" val="0">
                  <dgm:shape xmlns:r="http://schemas.openxmlformats.org/officeDocument/2006/relationships" type="chord" r:blip="">
                    <dgm:adjLst>
                      <dgm:adj idx="1" val="-90"/>
                      <dgm:adj idx="2" val="-90"/>
                    </dgm:adjLst>
                  </dgm:shape>
                </dgm:if>
                <dgm:if name="Name41" axis="followSib" ptType="node" func="cnt" op="equ" val="1">
                  <dgm:shape xmlns:r="http://schemas.openxmlformats.org/officeDocument/2006/relationships" type="chord" r:blip="">
                    <dgm:adjLst>
                      <dgm:adj idx="1" val="-41.8103"/>
                      <dgm:adj idx="2" val="-138.1897"/>
                    </dgm:adjLst>
                  </dgm:shape>
                </dgm:if>
                <dgm:else name="Name42">
                  <dgm:shape xmlns:r="http://schemas.openxmlformats.org/officeDocument/2006/relationships" type="chord" r:blip="">
                    <dgm:adjLst>
                      <dgm:adj idx="1" val="-25.3769"/>
                      <dgm:adj idx="2" val="-154.6231"/>
                    </dgm:adjLst>
                  </dgm:shape>
                </dgm:else>
              </dgm:choose>
            </dgm:if>
            <dgm:if name="Name43" axis="precedSib" ptType="node" func="cnt" op="equ" val="5">
              <dgm:choose name="Name44">
                <dgm:if name="Name45" axis="followSib" ptType="node" func="cnt" op="equ" val="0">
                  <dgm:shape xmlns:r="http://schemas.openxmlformats.org/officeDocument/2006/relationships" type="chord" r:blip="">
                    <dgm:adjLst>
                      <dgm:adj idx="1" val="-90"/>
                      <dgm:adj idx="2" val="-90"/>
                    </dgm:adjLst>
                  </dgm:shape>
                </dgm:if>
                <dgm:else name="Name46">
                  <dgm:shape xmlns:r="http://schemas.openxmlformats.org/officeDocument/2006/relationships" type="chord" r:blip="">
                    <dgm:adjLst>
                      <dgm:adj idx="1" val="-45.5847"/>
                      <dgm:adj idx="2" val="-134.4153"/>
                    </dgm:adjLst>
                  </dgm:shape>
                </dgm:else>
              </dgm:choose>
            </dgm:if>
            <dgm:else name="Name47">
              <dgm:shape xmlns:r="http://schemas.openxmlformats.org/officeDocument/2006/relationships" type="chord" r:blip="">
                <dgm:adjLst>
                  <dgm:adj idx="1" val="-90"/>
                  <dgm:adj idx="2" val="-90"/>
                </dgm:adjLst>
              </dgm:shape>
            </dgm:else>
          </dgm:choose>
          <dgm:presOf/>
        </dgm:layoutNode>
        <dgm:layoutNode name="Child" styleLbl="revTx">
          <dgm:varLst>
            <dgm:chMax val="0"/>
            <dgm:chPref val="0"/>
            <dgm:bulletEnabled val="1"/>
          </dgm:varLst>
          <dgm:choose name="Name48">
            <dgm:if name="Name49" func="var" arg="dir" op="equ" val="norm">
              <dgm:alg type="tx">
                <dgm:param type="parTxLTRAlign" val="l"/>
                <dgm:param type="parTxRTLAlign" val="l"/>
                <dgm:param type="txAnchorVert" val="t"/>
              </dgm:alg>
            </dgm:if>
            <dgm:else name="Name50">
              <dgm:alg type="tx">
                <dgm:param type="parTxLTRAlign" val="r"/>
                <dgm:param type="parTxRTLAlign" val="r"/>
                <dgm:param type="txAnchorVert" val="t"/>
              </dgm:alg>
            </dgm:else>
          </dgm:choose>
          <dgm:choose name="Name51">
            <dgm:if name="Name52" axis="ch" ptType="node" func="cnt" op="gte" val="1">
              <dgm:shape xmlns:r="http://schemas.openxmlformats.org/officeDocument/2006/relationships" type="rect" r:blip="">
                <dgm:adjLst/>
              </dgm:shape>
            </dgm:if>
            <dgm:else name="Name53">
              <dgm:shape xmlns:r="http://schemas.openxmlformats.org/officeDocument/2006/relationships" type="rect" r:blip="" hideGeom="1">
                <dgm:adjLst/>
              </dgm:shape>
            </dgm:else>
          </dgm:choose>
          <dgm:choose name="Name54">
            <dgm:if name="Name55" axis="ch" ptType="node" func="cnt" op="gte" val="1">
              <dgm:presOf axis="des" ptType="node"/>
            </dgm:if>
            <dgm:else name="Name56">
              <dgm:presOf/>
            </dgm:else>
          </dgm:choose>
          <dgm:constrLst>
            <dgm:constr type="lMarg" refType="primFontSz" fact="0.2"/>
            <dgm:constr type="rMarg" refType="primFontSz" fact="0.2"/>
            <dgm:constr type="tMarg" refType="primFontSz" fact="0.2"/>
            <dgm:constr type="bMarg" refType="primFontSz" fact="0.2"/>
          </dgm:constrLst>
          <dgm:ruleLst>
            <dgm:rule type="primFontSz" val="5" fact="NaN" max="NaN"/>
          </dgm:ruleLst>
        </dgm:layoutNode>
        <dgm:layoutNode name="Parent" styleLbl="revTx">
          <dgm:varLst>
            <dgm:chMax val="1"/>
            <dgm:chPref val="1"/>
            <dgm:bulletEnabled val="1"/>
          </dgm:varLst>
          <dgm:choose name="Name57">
            <dgm:if name="Name58" func="var" arg="dir" op="equ" val="norm">
              <dgm:alg type="tx">
                <dgm:param type="parTxLTRAlign" val="l"/>
                <dgm:param type="parTxRTLAlign" val="l"/>
                <dgm:param type="shpTxLTRAlignCh" val="l"/>
                <dgm:param type="shpTxRTLAlignCh" val="l"/>
                <dgm:param type="txAnchorVert" val="b"/>
                <dgm:param type="txAnchorVertCh" val="b"/>
              </dgm:alg>
            </dgm:if>
            <dgm:else name="Name59">
              <dgm:alg type="tx">
                <dgm:param type="parTxLTRAlign" val="r"/>
                <dgm:param type="parTxRTLAlign" val="r"/>
                <dgm:param type="shpTxLTRAlignCh" val="r"/>
                <dgm:param type="shpTxRTLAlignCh" val="r"/>
                <dgm:param type="txAnchorVert" val="b"/>
                <dgm:param type="txAnchorVertCh" val="b"/>
              </dgm:alg>
            </dgm:else>
          </dgm:choose>
          <dgm:shape xmlns:r="http://schemas.openxmlformats.org/officeDocument/2006/relationships" type="rect" r:blip="">
            <dgm:adjLst/>
          </dgm:shape>
          <dgm:presOf axis="self" ptType="node"/>
          <dgm:constrLst>
            <dgm:constr type="lMarg" refType="primFontSz" fact="0.2"/>
            <dgm:constr type="rMarg" refType="primFontSz" fact="0.2"/>
            <dgm:constr type="tMarg" refType="primFontSz" fact="0.2"/>
            <dgm:constr type="bMarg" refType="primFontSz" fact="0.2"/>
          </dgm:constrLst>
          <dgm:ruleLst>
            <dgm:rule type="primFontSz" val="5" fact="NaN" max="NaN"/>
          </dgm:ruleLst>
        </dgm:layoutNod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9/3/layout/StepUpProcess">
  <dgm:title val=""/>
  <dgm:desc val=""/>
  <dgm:catLst>
    <dgm:cat type="process" pri="1300"/>
  </dgm:catLst>
  <dgm:sampData>
    <dgm:dataModel>
      <dgm:ptLst>
        <dgm:pt modelId="0" type="doc"/>
        <dgm:pt modelId="10">
          <dgm:prSet phldr="1"/>
        </dgm:pt>
        <dgm:pt modelId="20">
          <dgm:prSet phldr="1"/>
        </dgm:pt>
        <dgm:pt modelId="30">
          <dgm:prSet phldr="1"/>
        </dgm:pt>
      </dgm:ptLst>
      <dgm:cxnLst>
        <dgm:cxn modelId="60" srcId="0" destId="10" srcOrd="0" destOrd="0"/>
        <dgm:cxn modelId="70" srcId="0" destId="20" srcOrd="1" destOrd="0"/>
        <dgm:cxn modelId="80" srcId="0" destId="30" srcOrd="2"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bL"/>
          <dgm:param type="flowDir" val="row"/>
          <dgm:param type="off" val="off"/>
          <dgm:param type="bkpt" val="fixed"/>
          <dgm:param type="bkPtFixedVal" val="1"/>
        </dgm:alg>
      </dgm:if>
      <dgm:else name="Name2">
        <dgm:alg type="snake">
          <dgm:param type="grDir" val="bR"/>
          <dgm:param type="flowDir" val="row"/>
          <dgm:param type="off" val="off"/>
          <dgm:param type="bkpt" val="fixed"/>
          <dgm:param type="bkPtFixedVal" val="1"/>
        </dgm:alg>
      </dgm:else>
    </dgm:choose>
    <dgm:shape xmlns:r="http://schemas.openxmlformats.org/officeDocument/2006/relationships" r:blip="">
      <dgm:adjLst/>
    </dgm:shape>
    <dgm:constrLst>
      <dgm:constr type="alignOff" forName="rootnode" val="1"/>
      <dgm:constr type="primFontSz" for="des" ptType="node" op="equ" val="65"/>
      <dgm:constr type="w" for="ch" forName="composite" refType="w"/>
      <dgm:constr type="h" for="ch" forName="composite" refType="h"/>
      <dgm:constr type="sp" refType="h" refFor="ch" refForName="composite" op="equ" fact="-0.765"/>
      <dgm:constr type="w" for="ch" forName="sibTrans" refType="w" fact="0.103"/>
      <dgm:constr type="h" for="ch" forName="sibTrans" refType="h" fact="0.103"/>
    </dgm:constrLst>
    <dgm:forEach name="nodesForEach" axis="ch" ptType="node">
      <dgm:layoutNode name="composite">
        <dgm:alg type="composite">
          <dgm:param type="ar" val="0.861"/>
        </dgm:alg>
        <dgm:shape xmlns:r="http://schemas.openxmlformats.org/officeDocument/2006/relationships" r:blip="">
          <dgm:adjLst/>
        </dgm:shape>
        <dgm:choose name="Name3">
          <dgm:if name="Name4" func="var" arg="dir" op="equ" val="norm">
            <dgm:constrLst>
              <dgm:constr type="l" for="ch" forName="LShape" refType="w" fact="0"/>
              <dgm:constr type="t" for="ch" forName="LShape" refType="h" fact="0.2347"/>
              <dgm:constr type="w" for="ch" forName="LShape" refType="w" fact="0.998"/>
              <dgm:constr type="h" for="ch" forName="LShape" refType="h" fact="0.5164"/>
              <dgm:constr type="r" for="ch" forName="ParentText" refType="w"/>
              <dgm:constr type="t" for="ch" forName="ParentText" refType="h" fact="0.32"/>
              <dgm:constr type="w" for="ch" forName="ParentText" refType="w" fact="0.901"/>
              <dgm:constr type="h" for="ch" forName="ParentText" refType="h" fact="0.68"/>
              <dgm:constr type="l" for="ch" forName="Triangle" refType="w" fact="0.83"/>
              <dgm:constr type="t" for="ch" forName="Triangle" refType="h" fact="0"/>
              <dgm:constr type="w" for="ch" forName="Triangle" refType="w" fact="0.17"/>
              <dgm:constr type="h" for="ch" forName="Triangle" refType="w" refFor="ch" refForName="Triangle"/>
            </dgm:constrLst>
          </dgm:if>
          <dgm:else name="Name5">
            <dgm:constrLst>
              <dgm:constr type="l" for="ch" forName="LShape" refType="w" fact="0.002"/>
              <dgm:constr type="t" for="ch" forName="LShape" refType="h" fact="0.2347"/>
              <dgm:constr type="w" for="ch" forName="LShape" refType="w"/>
              <dgm:constr type="h" for="ch" forName="LShape" refType="h" fact="0.5164"/>
              <dgm:constr type="l" for="ch" forName="ParentText" refType="w" fact="0"/>
              <dgm:constr type="t" for="ch" forName="ParentText" refType="h" fact="0.32"/>
              <dgm:constr type="w" for="ch" forName="ParentText" refType="w" fact="0.902"/>
              <dgm:constr type="h" for="ch" forName="ParentText" refType="h" fact="0.68"/>
              <dgm:constr type="l" for="ch" forName="Triangle" refType="w" fact="0"/>
              <dgm:constr type="t" for="ch" forName="Triangle" refType="h" fact="0"/>
              <dgm:constr type="w" for="ch" forName="Triangle" refType="w" fact="0.17"/>
              <dgm:constr type="h" for="ch" forName="Triangle" refType="w" refFor="ch" refForName="Triangle"/>
            </dgm:constrLst>
          </dgm:else>
        </dgm:choose>
        <dgm:layoutNode name="LShape" styleLbl="alignNode1">
          <dgm:alg type="sp"/>
          <dgm:choose name="Name6">
            <dgm:if name="Name7" func="var" arg="dir" op="equ" val="norm">
              <dgm:shape xmlns:r="http://schemas.openxmlformats.org/officeDocument/2006/relationships" rot="90" type="corner" r:blip="">
                <dgm:adjLst>
                  <dgm:adj idx="1" val="0.1612"/>
                  <dgm:adj idx="2" val="0.1611"/>
                </dgm:adjLst>
              </dgm:shape>
            </dgm:if>
            <dgm:else name="Name8">
              <dgm:shape xmlns:r="http://schemas.openxmlformats.org/officeDocument/2006/relationships" rot="180" type="corner" r:blip="">
                <dgm:adjLst>
                  <dgm:adj idx="1" val="0.1612"/>
                  <dgm:adj idx="2" val="0.1611"/>
                </dgm:adjLst>
              </dgm:shape>
            </dgm:else>
          </dgm:choose>
          <dgm:presOf/>
        </dgm:layoutNode>
        <dgm:layoutNode name="ParentText" styleLbl="revTx">
          <dgm:varLst>
            <dgm:chMax val="0"/>
            <dgm:chPref val="0"/>
            <dgm:bulletEnabled val="1"/>
          </dgm:varLst>
          <dgm:alg type="tx">
            <dgm:param type="parTxLTRAlign" val="l"/>
            <dgm:param type="txAnchorVert" val="t"/>
          </dgm:alg>
          <dgm:shape xmlns:r="http://schemas.openxmlformats.org/officeDocument/2006/relationships" type="rect" r:blip="">
            <dgm:adjLst/>
          </dgm:shape>
          <dgm:presOf axis="desOr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9">
          <dgm:if name="Name10" axis="followSib" ptType="node" func="cnt" op="gte" val="1">
            <dgm:layoutNode name="Triangle" styleLbl="alignNode1">
              <dgm:alg type="sp"/>
              <dgm:choose name="Name11">
                <dgm:if name="Name12" func="var" arg="dir" op="equ" val="norm">
                  <dgm:shape xmlns:r="http://schemas.openxmlformats.org/officeDocument/2006/relationships" type="triangle" r:blip="">
                    <dgm:adjLst>
                      <dgm:adj idx="1" val="1"/>
                    </dgm:adjLst>
                  </dgm:shape>
                </dgm:if>
                <dgm:else name="Name13">
                  <dgm:shape xmlns:r="http://schemas.openxmlformats.org/officeDocument/2006/relationships" rot="90" type="triangle" r:blip="">
                    <dgm:adjLst>
                      <dgm:adj idx="1" val="1"/>
                    </dgm:adjLst>
                  </dgm:shape>
                </dgm:else>
              </dgm:choose>
              <dgm:presOf/>
            </dgm:layoutNode>
          </dgm:if>
          <dgm:else name="Name14"/>
        </dgm:choose>
      </dgm:layoutNode>
      <dgm:forEach name="sibTransForEach" axis="followSib" ptType="sibTrans" cnt="1">
        <dgm:layoutNode name="sibTrans">
          <dgm:alg type="composite">
            <dgm:param type="ar" val="0.861"/>
          </dgm:alg>
          <dgm:constrLst>
            <dgm:constr type="w" for="ch" forName="space" refType="w"/>
            <dgm:constr type="h" for="ch" forName="space" refType="w"/>
          </dgm:constrLst>
          <dgm:layoutNode name="space" styleLbl="alignNode1">
            <dgm:alg type="sp"/>
            <dgm:shape xmlns:r="http://schemas.openxmlformats.org/officeDocument/2006/relationships" r:blip="">
              <dgm:adjLst/>
            </dgm:shape>
            <dgm:presOf/>
          </dgm:layoutNod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gear1">
  <dgm:title val=""/>
  <dgm:desc val=""/>
  <dgm:catLst>
    <dgm:cat type="relationship" pri="3000"/>
    <dgm:cat type="process" pri="28000"/>
    <dgm:cat type="cycle" pri="14000"/>
  </dgm:catLst>
  <dgm:sampData useDef="1">
    <dgm:dataModel>
      <dgm:ptLst/>
      <dgm:bg/>
      <dgm:whole/>
    </dgm:dataModel>
  </dgm:sampData>
  <dgm:styleData>
    <dgm:dataModel>
      <dgm:ptLst>
        <dgm:pt modelId="0" type="doc"/>
        <dgm:pt modelId="1"/>
        <dgm:pt modelId="2"/>
      </dgm:ptLst>
      <dgm:cxnLst>
        <dgm:cxn modelId="3" srcId="0" destId="1" srcOrd="0" destOrd="0"/>
        <dgm:cxn modelId="4" srcId="0" destId="2" srcOrd="1" destOrd="0"/>
      </dgm:cxnLst>
      <dgm:bg/>
      <dgm:whole/>
    </dgm:dataModel>
  </dgm:styleData>
  <dgm:clrData useDef="1">
    <dgm:dataModel>
      <dgm:ptLst/>
      <dgm:bg/>
      <dgm:whole/>
    </dgm:dataModel>
  </dgm:clrData>
  <dgm:layoutNode name="composite">
    <dgm:varLst>
      <dgm:chMax val="3"/>
      <dgm:animLvl val="lvl"/>
      <dgm:resizeHandles val="exact"/>
    </dgm:varLst>
    <dgm:alg type="composite">
      <dgm:param type="ar" val="1"/>
    </dgm:alg>
    <dgm:shape xmlns:r="http://schemas.openxmlformats.org/officeDocument/2006/relationships" r:blip="">
      <dgm:adjLst/>
    </dgm:shape>
    <dgm:presOf/>
    <dgm:choose name="Name0">
      <dgm:if name="Name1" axis="ch" ptType="node" func="cnt" op="lte" val="1">
        <dgm:constrLst>
          <dgm:constr type="primFontSz" for="ch" ptType="node" op="equ" val="65"/>
          <dgm:constr type="w" for="ch" forName="gear1" refType="w" fact="0.55"/>
          <dgm:constr type="h" for="ch" forName="gear1" refType="w" fact="0.55"/>
          <dgm:constr type="l" for="ch" forName="gear1" refType="w" fact="0.05"/>
          <dgm:constr type="t" for="ch" forName="gear1" refType="w" fact="0.05"/>
          <dgm:constr type="w" for="ch" forName="gear1srcNode" val="1"/>
          <dgm:constr type="h" for="ch" forName="gear1srcNode" val="1"/>
          <dgm:constr type="l" for="ch" forName="gear1srcNode" refType="w" fact="0.32"/>
          <dgm:constr type="t" for="ch" forName="gear1srcNode"/>
          <dgm:constr type="w" for="ch" forName="gear1dstNode" val="1"/>
          <dgm:constr type="h" for="ch" forName="gear1dstNode" val="1"/>
          <dgm:constr type="r" for="ch" forName="gear1dstNode" refType="w" fact="0.58"/>
          <dgm:constr type="t" for="ch" forName="gear1dstNode" refType="h" fact="0.55"/>
          <dgm:constr type="diam" for="des" forName="connector1" refType="w" refFor="ch" refForName="gear1" op="equ" fact="1.1"/>
          <dgm:constr type="h" for="des" forName="connector1" refType="w" refFor="ch" refForName="gear1" op="equ" fact="0.1"/>
          <dgm:constr type="w" for="ch" forName="gear1ch" refType="w" fact="0.35"/>
          <dgm:constr type="h" for="ch" forName="gear1ch" refType="w" refFor="ch" refForName="gear1ch" fact="0.6"/>
          <dgm:constr type="l" for="ch" forName="gear1ch"/>
          <dgm:constr type="b" for="ch" forName="gear1ch" refType="h" fact="0.6"/>
        </dgm:constrLst>
      </dgm:if>
      <dgm:if name="Name2" axis="ch" ptType="node" func="cnt" op="equ" val="2">
        <dgm:constrLst>
          <dgm:constr type="primFontSz" for="ch" ptType="node" op="equ" val="65"/>
          <dgm:constr type="w" for="ch" forName="gear1" refType="w" fact="0.55"/>
          <dgm:constr type="h" for="ch" forName="gear1" refType="w" fact="0.55"/>
          <dgm:constr type="l" for="ch" forName="gear1" refType="w" fact="0.45"/>
          <dgm:constr type="t" for="ch" forName="gear1" refType="w" fact="0.25"/>
          <dgm:constr type="w" for="ch" forName="gear1srcNode" val="1"/>
          <dgm:constr type="h" for="ch" forName="gear1srcNode" val="1"/>
          <dgm:constr type="l" for="ch" forName="gear1srcNode" refType="w" fact="0.72"/>
          <dgm:constr type="t" for="ch" forName="gear1srcNode" refType="w" fact="0.2"/>
          <dgm:constr type="w" for="ch" forName="gear1dstNode" val="1"/>
          <dgm:constr type="h" for="ch" forName="gear1dstNode" val="1"/>
          <dgm:constr type="r" for="ch" forName="gear1dstNode" refType="w" fact="0.98"/>
          <dgm:constr type="t" for="ch" forName="gear1dstNode" refType="h" fact="0.75"/>
          <dgm:constr type="diam" for="des" forName="connector1" refType="w" refFor="ch" refForName="gear1" op="equ" fact="1.1"/>
          <dgm:constr type="h" for="des" forName="connector1" refType="w" refFor="ch" refForName="gear1" op="equ" fact="0.1"/>
          <dgm:constr type="w" for="ch" forName="gear1ch" refType="w" fact="0.35"/>
          <dgm:constr type="h" for="ch" forName="gear1ch" refType="w" refFor="ch" refForName="gear1ch" fact="0.6"/>
          <dgm:constr type="l" for="ch" forName="gear1ch" refType="w" fact="0.38"/>
          <dgm:constr type="b" for="ch" forName="gear1ch" refType="w" fact="0.8"/>
          <dgm:constr type="w" for="ch" forName="gear2" refType="w" fact="0.4"/>
          <dgm:constr type="h" for="ch" forName="gear2" refType="w" fact="0.4"/>
          <dgm:constr type="l" for="ch" forName="gear2" refType="w" fact="0.13"/>
          <dgm:constr type="t" for="ch" forName="gear2" refType="w" fact="0.12"/>
          <dgm:constr type="w" for="ch" forName="gear2srcNode" val="1"/>
          <dgm:constr type="h" for="ch" forName="gear2srcNode" val="1"/>
          <dgm:constr type="l" for="ch" forName="gear2srcNode" refType="w" fact="0.23"/>
          <dgm:constr type="t" for="ch" forName="gear2srcNode" refType="w" fact="0.08"/>
          <dgm:constr type="w" for="ch" forName="gear2dstNode" val="1"/>
          <dgm:constr type="h" for="ch" forName="gear2dstNode" val="1"/>
          <dgm:constr type="l" for="ch" forName="gear2dstNode" refType="w" fact="0.1"/>
          <dgm:constr type="t" for="ch" forName="gear2dstNode" refType="h" fact="0.33"/>
          <dgm:constr type="diam" for="des" forName="connector2" refType="w" refFor="ch" refForName="gear2" op="equ" fact="-1.1"/>
          <dgm:constr type="h" for="des" forName="connector2" refType="w" refFor="ch" refForName="gear1" op="equ" fact="0.1"/>
          <dgm:constr type="w" for="ch" forName="gear2ch" refType="w" fact="0.35"/>
          <dgm:constr type="h" for="ch" forName="gear2ch" refType="w" refFor="ch" refForName="gear2ch" fact="0.6"/>
          <dgm:constr type="l" for="ch" forName="gear2ch" refType="w" fact="0.34"/>
          <dgm:constr type="t" for="ch" forName="gear2ch" refType="w" fact="0.04"/>
        </dgm:constrLst>
      </dgm:if>
      <dgm:else name="Name3">
        <dgm:constrLst>
          <dgm:constr type="primFontSz" for="ch" ptType="node" op="equ" val="65"/>
          <dgm:constr type="w" for="ch" forName="gear1" refType="w" fact="0.55"/>
          <dgm:constr type="h" for="ch" forName="gear1" refType="w" fact="0.55"/>
          <dgm:constr type="l" for="ch" forName="gear1" refType="w" fact="0.45"/>
          <dgm:constr type="t" for="ch" forName="gear1" refType="w" fact="0.45"/>
          <dgm:constr type="w" for="ch" forName="gear1srcNode" val="1"/>
          <dgm:constr type="h" for="ch" forName="gear1srcNode" val="1"/>
          <dgm:constr type="l" for="ch" forName="gear1srcNode" refType="w" fact="0.72"/>
          <dgm:constr type="t" for="ch" forName="gear1srcNode" refType="w" fact="0.4"/>
          <dgm:constr type="w" for="ch" forName="gear1dstNode" val="1"/>
          <dgm:constr type="h" for="ch" forName="gear1dstNode" val="1"/>
          <dgm:constr type="r" for="ch" forName="gear1dstNode" refType="w" fact="0.98"/>
          <dgm:constr type="t" for="ch" forName="gear1dstNode" refType="h" fact="0.95"/>
          <dgm:constr type="diam" for="des" forName="connector1" refType="w" refFor="ch" refForName="gear1" op="equ" fact="1.15"/>
          <dgm:constr type="h" for="des" forName="connector1" refType="w" refFor="ch" refForName="gear1" op="equ" fact="0.1"/>
          <dgm:constr type="w" for="ch" forName="gear1ch" refType="w" fact="0.35"/>
          <dgm:constr type="h" for="ch" forName="gear1ch" refType="w" refFor="ch" refForName="gear1ch" fact="0.6"/>
          <dgm:constr type="l" for="ch" forName="gear1ch" refType="w" fact="0.38"/>
          <dgm:constr type="b" for="ch" forName="gear1ch" refType="h"/>
          <dgm:constr type="w" for="ch" forName="gear2" refType="w" fact="0.4"/>
          <dgm:constr type="h" for="ch" forName="gear2" refType="w" fact="0.4"/>
          <dgm:constr type="l" for="ch" forName="gear2" refType="w" fact="0.13"/>
          <dgm:constr type="t" for="ch" forName="gear2" refType="w" fact="0.32"/>
          <dgm:constr type="w" for="ch" forName="gear2srcNode" val="1"/>
          <dgm:constr type="h" for="ch" forName="gear2srcNode" val="1"/>
          <dgm:constr type="l" for="ch" forName="gear2srcNode" refType="w" fact="0.23"/>
          <dgm:constr type="t" for="ch" forName="gear2srcNode" refType="w" fact="0.28"/>
          <dgm:constr type="w" for="ch" forName="gear2dstNode" val="1"/>
          <dgm:constr type="h" for="ch" forName="gear2dstNode" val="1"/>
          <dgm:constr type="l" for="ch" forName="gear2dstNode" refType="w" fact="0.1"/>
          <dgm:constr type="t" for="ch" forName="gear2dstNode" refType="h" fact="0.53"/>
          <dgm:constr type="diam" for="des" forName="connector2" refType="w" refFor="ch" refForName="gear2" op="equ" fact="-1.1"/>
          <dgm:constr type="h" for="des" forName="connector2" refType="w" refFor="ch" refForName="gear1" op="equ" fact="0.1"/>
          <dgm:constr type="w" for="ch" forName="gear2ch" refType="w" fact="0.35"/>
          <dgm:constr type="h" for="ch" forName="gear2ch" refType="w" refFor="ch" refForName="gear2ch" fact="0.6"/>
          <dgm:constr type="l" for="ch" forName="gear2ch"/>
          <dgm:constr type="t" for="ch" forName="gear2ch" refType="w" fact="0.58"/>
          <dgm:constr type="w" for="ch" forName="gear3" refType="w" fact="0.48"/>
          <dgm:constr type="h" for="ch" forName="gear3" refType="w" fact="0.48"/>
          <dgm:constr type="l" for="ch" forName="gear3" refType="w" fact="0.31"/>
          <dgm:constr type="t" for="ch" forName="gear3"/>
          <dgm:constr type="w" for="ch" forName="gear3tx" refType="w" fact="0.22"/>
          <dgm:constr type="h" for="ch" forName="gear3tx" refType="w" fact="0.22"/>
          <dgm:constr type="ctrX" for="ch" forName="gear3tx" refType="ctrX" refFor="ch" refForName="gear3"/>
          <dgm:constr type="ctrY" for="ch" forName="gear3tx" refType="ctrY" refFor="ch" refForName="gear3"/>
          <dgm:constr type="w" for="ch" forName="gear3srcNode" val="1"/>
          <dgm:constr type="h" for="ch" forName="gear3srcNode" val="1"/>
          <dgm:constr type="l" for="ch" forName="gear3srcNode" refType="w" fact="0.3"/>
          <dgm:constr type="t" for="ch" forName="gear3srcNode" refType="w" fact="0.25"/>
          <dgm:constr type="w" for="ch" forName="gear3dstNode" val="1"/>
          <dgm:constr type="h" for="ch" forName="gear3dstNode" val="1"/>
          <dgm:constr type="l" for="ch" forName="gear3dstNode" refType="w" fact="0.38"/>
          <dgm:constr type="t" for="ch" forName="gear3dstNode" refType="h" fact="0.05"/>
          <dgm:constr type="diam" for="des" forName="connector3" refType="w" refFor="ch" refForName="gear3" op="equ"/>
          <dgm:constr type="h" for="des" forName="connector3" refType="w" refFor="ch" refForName="gear1" op="equ" fact="0.1"/>
          <dgm:constr type="w" for="ch" forName="gear3ch" refType="w" fact="0.35"/>
          <dgm:constr type="h" for="ch" forName="gear3ch" refType="w" refFor="ch" refForName="gear3ch" fact="0.6"/>
          <dgm:constr type="l" for="ch" forName="gear3ch" refType="w" fact="0.65"/>
          <dgm:constr type="t" for="ch" forName="gear3ch" refType="h" fact="0.13"/>
        </dgm:constrLst>
      </dgm:else>
    </dgm:choose>
    <dgm:ruleLst/>
    <dgm:forEach name="Name4" axis="ch" ptType="node" cnt="1">
      <dgm:layoutNode name="gear1" styleLbl="node1">
        <dgm:varLst>
          <dgm:chMax val="1"/>
          <dgm:bulletEnabled val="1"/>
        </dgm:varLst>
        <dgm:alg type="tx">
          <dgm:param type="txAnchorVertCh" val="mid"/>
        </dgm:alg>
        <dgm:shape xmlns:r="http://schemas.openxmlformats.org/officeDocument/2006/relationships" type="gear9" r:blip="">
          <dgm:adjLst/>
        </dgm:shape>
        <dgm:presOf axis="self"/>
        <dgm:constrLst>
          <dgm:constr type="tMarg" refType="primFontSz" fact="0.1"/>
          <dgm:constr type="bMarg" refType="primFontSz" fact="0.1"/>
          <dgm:constr type="lMarg" refType="primFontSz" fact="0.1"/>
          <dgm:constr type="rMarg" refType="primFontSz" fact="0.1"/>
        </dgm:constrLst>
        <dgm:ruleLst>
          <dgm:rule type="primFontSz" val="5" fact="NaN" max="NaN"/>
        </dgm:ruleLst>
      </dgm:layoutNode>
      <dgm:layoutNode name="gear1srcNode">
        <dgm:alg type="sp"/>
        <dgm:shape xmlns:r="http://schemas.openxmlformats.org/officeDocument/2006/relationships" type="rect" r:blip="" hideGeom="1">
          <dgm:adjLst/>
        </dgm:shape>
        <dgm:presOf axis="self"/>
        <dgm:constrLst/>
        <dgm:ruleLst/>
      </dgm:layoutNode>
      <dgm:layoutNode name="gear1dstNode">
        <dgm:alg type="sp"/>
        <dgm:shape xmlns:r="http://schemas.openxmlformats.org/officeDocument/2006/relationships" type="rect" r:blip="" hideGeom="1">
          <dgm:adjLst/>
        </dgm:shape>
        <dgm:presOf axis="self"/>
        <dgm:constrLst/>
        <dgm:ruleLst/>
      </dgm:layoutNode>
      <dgm:choose name="Name5">
        <dgm:if name="Name6" axis="ch" ptType="node" func="cnt" op="gte" val="1">
          <dgm:layoutNode name="gear1ch" styleLbl="fgAcc1">
            <dgm:varLst>
              <dgm:chMax val="0"/>
              <dgm:bulletEnabled val="1"/>
            </dgm:varLst>
            <dgm:alg type="tx">
              <dgm:param type="stBulletLvl" val="1"/>
            </dgm:alg>
            <dgm:shape xmlns:r="http://schemas.openxmlformats.org/officeDocument/2006/relationships" type="roundRect" r:blip="">
              <dgm:adjLst>
                <dgm:adj idx="1" val="0.1"/>
              </dgm:adjLst>
            </dgm:shape>
            <dgm:presOf axis="des" ptType="node"/>
            <dgm:constrLst>
              <dgm:constr type="tMarg" refType="primFontSz" fact="0.3"/>
              <dgm:constr type="bMarg" refType="primFontSz" fact="0.3"/>
              <dgm:constr type="lMarg" refType="primFontSz" fact="0.3"/>
              <dgm:constr type="rMarg" refType="primFontSz" fact="0.3"/>
            </dgm:constrLst>
            <dgm:ruleLst>
              <dgm:rule type="primFontSz" val="5" fact="NaN" max="NaN"/>
            </dgm:ruleLst>
          </dgm:layoutNode>
        </dgm:if>
        <dgm:else name="Name7"/>
      </dgm:choose>
    </dgm:forEach>
    <dgm:forEach name="Name8" axis="ch" ptType="node" st="2" cnt="1">
      <dgm:layoutNode name="gear2" styleLbl="node1">
        <dgm:varLst>
          <dgm:chMax val="1"/>
          <dgm:bulletEnabled val="1"/>
        </dgm:varLst>
        <dgm:alg type="tx">
          <dgm:param type="txAnchorVertCh" val="mid"/>
        </dgm:alg>
        <dgm:shape xmlns:r="http://schemas.openxmlformats.org/officeDocument/2006/relationships" type="gear6" r:blip="">
          <dgm:adjLst/>
        </dgm:shape>
        <dgm:presOf axis="self"/>
        <dgm:constrLst>
          <dgm:constr type="tMarg" refType="primFontSz" fact="0.1"/>
          <dgm:constr type="bMarg" refType="primFontSz" fact="0.1"/>
          <dgm:constr type="lMarg" refType="primFontSz" fact="0.1"/>
          <dgm:constr type="rMarg" refType="primFontSz" fact="0.1"/>
        </dgm:constrLst>
        <dgm:ruleLst>
          <dgm:rule type="primFontSz" val="5" fact="NaN" max="NaN"/>
        </dgm:ruleLst>
      </dgm:layoutNode>
      <dgm:layoutNode name="gear2srcNode">
        <dgm:alg type="sp"/>
        <dgm:shape xmlns:r="http://schemas.openxmlformats.org/officeDocument/2006/relationships" type="rect" r:blip="" hideGeom="1">
          <dgm:adjLst/>
        </dgm:shape>
        <dgm:presOf axis="self"/>
        <dgm:constrLst/>
        <dgm:ruleLst/>
      </dgm:layoutNode>
      <dgm:layoutNode name="gear2dstNode">
        <dgm:alg type="sp"/>
        <dgm:shape xmlns:r="http://schemas.openxmlformats.org/officeDocument/2006/relationships" type="rect" r:blip="" hideGeom="1">
          <dgm:adjLst/>
        </dgm:shape>
        <dgm:presOf axis="self"/>
        <dgm:constrLst/>
        <dgm:ruleLst/>
      </dgm:layoutNode>
      <dgm:choose name="Name9">
        <dgm:if name="Name10" axis="ch" ptType="node" func="cnt" op="gte" val="1">
          <dgm:layoutNode name="gear2ch" styleLbl="fgAcc1">
            <dgm:varLst>
              <dgm:chMax val="0"/>
              <dgm:bulletEnabled val="1"/>
            </dgm:varLst>
            <dgm:alg type="tx">
              <dgm:param type="stBulletLvl" val="1"/>
            </dgm:alg>
            <dgm:shape xmlns:r="http://schemas.openxmlformats.org/officeDocument/2006/relationships" type="roundRect" r:blip="">
              <dgm:adjLst>
                <dgm:adj idx="1" val="0.1"/>
              </dgm:adjLst>
            </dgm:shape>
            <dgm:presOf axis="des" ptType="node"/>
            <dgm:constrLst>
              <dgm:constr type="tMarg" refType="primFontSz" fact="0.3"/>
              <dgm:constr type="bMarg" refType="primFontSz" fact="0.3"/>
              <dgm:constr type="lMarg" refType="primFontSz" fact="0.3"/>
              <dgm:constr type="rMarg" refType="primFontSz" fact="0.3"/>
            </dgm:constrLst>
            <dgm:ruleLst>
              <dgm:rule type="primFontSz" val="5" fact="NaN" max="NaN"/>
            </dgm:ruleLst>
          </dgm:layoutNode>
        </dgm:if>
        <dgm:else name="Name11"/>
      </dgm:choose>
    </dgm:forEach>
    <dgm:forEach name="Name12" axis="ch" ptType="node" st="3" cnt="1">
      <dgm:layoutNode name="gear3" styleLbl="node1">
        <dgm:alg type="sp"/>
        <dgm:shape xmlns:r="http://schemas.openxmlformats.org/officeDocument/2006/relationships" rot="-15" type="gear6" r:blip="">
          <dgm:adjLst/>
        </dgm:shape>
        <dgm:presOf axis="self"/>
        <dgm:constrLst/>
        <dgm:ruleLst/>
      </dgm:layoutNode>
      <dgm:layoutNode name="gear3tx" styleLbl="node1">
        <dgm:varLst>
          <dgm:chMax val="1"/>
          <dgm:bulletEnabled val="1"/>
        </dgm:varLst>
        <dgm:alg type="tx">
          <dgm:param type="txAnchorVertCh" val="mid"/>
        </dgm:alg>
        <dgm:shape xmlns:r="http://schemas.openxmlformats.org/officeDocument/2006/relationships" type="rect" r:blip="" hideGeom="1">
          <dgm:adjLst/>
        </dgm:shape>
        <dgm:presOf axis="self"/>
        <dgm:constrLst>
          <dgm:constr type="tMarg" refType="primFontSz" fact="0.1"/>
          <dgm:constr type="bMarg" refType="primFontSz" fact="0.1"/>
          <dgm:constr type="lMarg" refType="primFontSz" fact="0.1"/>
          <dgm:constr type="rMarg" refType="primFontSz" fact="0.1"/>
        </dgm:constrLst>
        <dgm:ruleLst>
          <dgm:rule type="primFontSz" val="5" fact="NaN" max="NaN"/>
        </dgm:ruleLst>
      </dgm:layoutNode>
      <dgm:layoutNode name="gear3srcNode">
        <dgm:alg type="sp"/>
        <dgm:shape xmlns:r="http://schemas.openxmlformats.org/officeDocument/2006/relationships" type="rect" r:blip="" hideGeom="1">
          <dgm:adjLst/>
        </dgm:shape>
        <dgm:presOf axis="self"/>
        <dgm:constrLst/>
        <dgm:ruleLst/>
      </dgm:layoutNode>
      <dgm:layoutNode name="gear3dstNode">
        <dgm:alg type="sp"/>
        <dgm:shape xmlns:r="http://schemas.openxmlformats.org/officeDocument/2006/relationships" type="rect" r:blip="" hideGeom="1">
          <dgm:adjLst/>
        </dgm:shape>
        <dgm:presOf axis="self"/>
        <dgm:constrLst/>
        <dgm:ruleLst/>
      </dgm:layoutNode>
      <dgm:choose name="Name13">
        <dgm:if name="Name14" axis="ch" ptType="node" func="cnt" op="gte" val="1">
          <dgm:layoutNode name="gear3ch" styleLbl="fgAcc1">
            <dgm:varLst>
              <dgm:chMax val="0"/>
              <dgm:bulletEnabled val="1"/>
            </dgm:varLst>
            <dgm:alg type="tx">
              <dgm:param type="stBulletLvl" val="1"/>
            </dgm:alg>
            <dgm:shape xmlns:r="http://schemas.openxmlformats.org/officeDocument/2006/relationships" type="roundRect" r:blip="">
              <dgm:adjLst>
                <dgm:adj idx="1" val="0.1"/>
              </dgm:adjLst>
            </dgm:shape>
            <dgm:presOf axis="des" ptType="node"/>
            <dgm:constrLst>
              <dgm:constr type="tMarg" refType="primFontSz" fact="0.3"/>
              <dgm:constr type="bMarg" refType="primFontSz" fact="0.3"/>
              <dgm:constr type="lMarg" refType="primFontSz" fact="0.3"/>
              <dgm:constr type="rMarg" refType="primFontSz" fact="0.3"/>
            </dgm:constrLst>
            <dgm:ruleLst>
              <dgm:rule type="primFontSz" val="5" fact="NaN" max="NaN"/>
            </dgm:ruleLst>
          </dgm:layoutNode>
        </dgm:if>
        <dgm:else name="Name15"/>
      </dgm:choose>
    </dgm:forEach>
    <dgm:forEach name="Name16" axis="ch" ptType="sibTrans" hideLastTrans="0" cnt="1">
      <dgm:layoutNode name="connector1" styleLbl="sibTrans2D1">
        <dgm:alg type="conn">
          <dgm:param type="connRout" val="curve"/>
          <dgm:param type="srcNode" val="gear1srcNode"/>
          <dgm:param type="dstNode" val="gear1dstNode"/>
          <dgm:param type="begPts" val="midR"/>
          <dgm:param type="endPts" val="tCtr"/>
        </dgm:alg>
        <dgm:shape xmlns:r="http://schemas.openxmlformats.org/officeDocument/2006/relationships" type="conn" r:blip="">
          <dgm:adjLst/>
        </dgm:shape>
        <dgm:presOf axis="self"/>
        <dgm:constrLst>
          <dgm:constr type="w" val="10"/>
          <dgm:constr type="h" val="10"/>
          <dgm:constr type="begPad"/>
          <dgm:constr type="endPad"/>
        </dgm:constrLst>
        <dgm:ruleLst/>
      </dgm:layoutNode>
    </dgm:forEach>
    <dgm:forEach name="Name17" axis="ch" ptType="sibTrans" hideLastTrans="0" st="2" cnt="1">
      <dgm:layoutNode name="connector2" styleLbl="sibTrans2D1">
        <dgm:alg type="conn">
          <dgm:param type="connRout" val="curve"/>
          <dgm:param type="srcNode" val="gear2srcNode"/>
          <dgm:param type="dstNode" val="gear2dstNode"/>
          <dgm:param type="begPts" val="midL"/>
          <dgm:param type="endPts" val="midL"/>
        </dgm:alg>
        <dgm:shape xmlns:r="http://schemas.openxmlformats.org/officeDocument/2006/relationships" type="conn" r:blip="">
          <dgm:adjLst/>
        </dgm:shape>
        <dgm:presOf axis="self"/>
        <dgm:constrLst>
          <dgm:constr type="w" val="10"/>
          <dgm:constr type="h" val="10"/>
          <dgm:constr type="begPad"/>
          <dgm:constr type="endPad"/>
        </dgm:constrLst>
        <dgm:ruleLst/>
      </dgm:layoutNode>
    </dgm:forEach>
    <dgm:forEach name="Name18" axis="ch" ptType="sibTrans" hideLastTrans="0" st="3" cnt="1">
      <dgm:layoutNode name="connector3" styleLbl="sibTrans2D1">
        <dgm:alg type="conn">
          <dgm:param type="connRout" val="curve"/>
          <dgm:param type="srcNode" val="gear3srcNode"/>
          <dgm:param type="dstNode" val="gear3dstNode"/>
          <dgm:param type="begPts" val="midL"/>
          <dgm:param type="endPts" val="midL"/>
        </dgm:alg>
        <dgm:shape xmlns:r="http://schemas.openxmlformats.org/officeDocument/2006/relationships" type="conn" r:blip="">
          <dgm:adjLst/>
        </dgm:shape>
        <dgm:presOf axis="self"/>
        <dgm:constrLst>
          <dgm:constr type="w" val="10"/>
          <dgm:constr type="h" val="10"/>
          <dgm:constr type="begPad"/>
          <dgm:constr type="endPad"/>
        </dgm:constrLst>
        <dgm:ruleLst/>
      </dgm:layoutNode>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5">
  <dgm:title val=""/>
  <dgm:desc val=""/>
  <dgm:catLst>
    <dgm:cat type="simple" pri="10500"/>
  </dgm:catLst>
  <dgm:scene3d>
    <a:camera prst="orthographicFront"/>
    <a:lightRig rig="threePt" dir="t"/>
  </dgm:scene3d>
  <dgm:styleLbl name="node0">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lnNode1">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vennNode1">
    <dgm:scene3d>
      <a:camera prst="orthographicFront"/>
      <a:lightRig rig="threePt" dir="t"/>
    </dgm:scene3d>
    <dgm:sp3d/>
    <dgm:txPr/>
    <dgm:style>
      <a:lnRef idx="0">
        <a:scrgbClr r="0" g="0" b="0"/>
      </a:lnRef>
      <a:fillRef idx="3">
        <a:scrgbClr r="0" g="0" b="0"/>
      </a:fillRef>
      <a:effectRef idx="3">
        <a:scrgbClr r="0" g="0" b="0"/>
      </a:effectRef>
      <a:fontRef idx="minor">
        <a:schemeClr val="tx1"/>
      </a:fontRef>
    </dgm:style>
  </dgm:styleLbl>
  <dgm:styleLbl name="alignNode1">
    <dgm:scene3d>
      <a:camera prst="orthographicFront"/>
      <a:lightRig rig="threePt" dir="t"/>
    </dgm:scene3d>
    <dgm:sp3d/>
    <dgm:txPr/>
    <dgm:style>
      <a:lnRef idx="1">
        <a:scrgbClr r="0" g="0" b="0"/>
      </a:lnRef>
      <a:fillRef idx="3">
        <a:scrgbClr r="0" g="0" b="0"/>
      </a:fillRef>
      <a:effectRef idx="3">
        <a:scrgbClr r="0" g="0" b="0"/>
      </a:effectRef>
      <a:fontRef idx="minor">
        <a:schemeClr val="lt1"/>
      </a:fontRef>
    </dgm:style>
  </dgm:styleLbl>
  <dgm:styleLbl name="node1">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node2">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node3">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node4">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fgImgPlace1">
    <dgm:scene3d>
      <a:camera prst="orthographicFront"/>
      <a:lightRig rig="threePt" dir="t"/>
    </dgm:scene3d>
    <dgm:sp3d/>
    <dgm:txPr/>
    <dgm:style>
      <a:lnRef idx="0">
        <a:scrgbClr r="0" g="0" b="0"/>
      </a:lnRef>
      <a:fillRef idx="1">
        <a:scrgbClr r="0" g="0" b="0"/>
      </a:fillRef>
      <a:effectRef idx="3">
        <a:scrgbClr r="0" g="0" b="0"/>
      </a:effectRef>
      <a:fontRef idx="minor"/>
    </dgm:style>
  </dgm:styleLbl>
  <dgm:styleLbl name="alignImgPlace1">
    <dgm:scene3d>
      <a:camera prst="orthographicFront"/>
      <a:lightRig rig="threePt" dir="t"/>
    </dgm:scene3d>
    <dgm:sp3d/>
    <dgm:txPr/>
    <dgm:style>
      <a:lnRef idx="0">
        <a:scrgbClr r="0" g="0" b="0"/>
      </a:lnRef>
      <a:fillRef idx="1">
        <a:scrgbClr r="0" g="0" b="0"/>
      </a:fillRef>
      <a:effectRef idx="3">
        <a:scrgbClr r="0" g="0" b="0"/>
      </a:effectRef>
      <a:fontRef idx="minor"/>
    </dgm:style>
  </dgm:styleLbl>
  <dgm:styleLbl name="bgImgPlace1">
    <dgm:scene3d>
      <a:camera prst="orthographicFront"/>
      <a:lightRig rig="threePt" dir="t"/>
    </dgm:scene3d>
    <dgm:sp3d/>
    <dgm:txPr/>
    <dgm:style>
      <a:lnRef idx="0">
        <a:scrgbClr r="0" g="0" b="0"/>
      </a:lnRef>
      <a:fillRef idx="1">
        <a:scrgbClr r="0" g="0" b="0"/>
      </a:fillRef>
      <a:effectRef idx="3">
        <a:scrgbClr r="0" g="0" b="0"/>
      </a:effectRef>
      <a:fontRef idx="minor"/>
    </dgm:style>
  </dgm:styleLbl>
  <dgm:styleLbl name="sibTrans2D1">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1">
        <a:scrgbClr r="0" g="0" b="0"/>
      </a:lnRef>
      <a:fillRef idx="0">
        <a:scrgbClr r="0" g="0" b="0"/>
      </a:fillRef>
      <a:effectRef idx="1">
        <a:scrgbClr r="0" g="0" b="0"/>
      </a:effectRef>
      <a:fontRef idx="minor"/>
    </dgm:style>
  </dgm:styleLbl>
  <dgm:styleLbl name="asst0">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asst1">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asst2">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asst3">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asst4">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parChTrans2D1">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parChTrans2D2">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parChTrans2D3">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parChTrans2D4">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conFgAcc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alignAcc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solidFgAcc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solidAlignAcc1">
    <dgm:scene3d>
      <a:camera prst="orthographicFront"/>
      <a:lightRig rig="threePt" dir="t"/>
    </dgm:scene3d>
    <dgm:sp3d/>
    <dgm:txPr/>
    <dgm:style>
      <a:lnRef idx="1">
        <a:scrgbClr r="0" g="0" b="0"/>
      </a:lnRef>
      <a:fillRef idx="1">
        <a:scrgbClr r="0" g="0" b="0"/>
      </a:fillRef>
      <a:effectRef idx="3">
        <a:scrgbClr r="0" g="0" b="0"/>
      </a:effectRef>
      <a:fontRef idx="minor"/>
    </dgm:style>
  </dgm:styleLbl>
  <dgm:styleLbl name="solidBgAcc1">
    <dgm:scene3d>
      <a:camera prst="orthographicFront"/>
      <a:lightRig rig="threePt" dir="t"/>
    </dgm:scene3d>
    <dgm:sp3d/>
    <dgm:txPr/>
    <dgm:style>
      <a:lnRef idx="1">
        <a:scrgbClr r="0" g="0" b="0"/>
      </a:lnRef>
      <a:fillRef idx="1">
        <a:scrgbClr r="0" g="0" b="0"/>
      </a:fillRef>
      <a:effectRef idx="3">
        <a:scrgbClr r="0" g="0" b="0"/>
      </a:effectRef>
      <a:fontRef idx="minor"/>
    </dgm:style>
  </dgm:styleLbl>
  <dgm:styleLbl name="fgAccFollowNode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alignAccFollowNode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bgAccFollowNode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fgAcc0">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fgAcc2">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fgAcc3">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fgAcc4">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2">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3">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0">
        <a:scrgbClr r="0" g="0" b="0"/>
      </a:lnRef>
      <a:fillRef idx="3">
        <a:scrgbClr r="0" g="0" b="0"/>
      </a:fillRef>
      <a:effectRef idx="3">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2" Type="http://schemas.openxmlformats.org/officeDocument/2006/relationships/chart" Target="../charts/chart1.xml"/><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image" Target="../media/image10.png"/></Relationships>
</file>

<file path=xl/drawings/_rels/drawing5.xml.rels><?xml version="1.0" encoding="UTF-8" standalone="yes"?>
<Relationships xmlns="http://schemas.openxmlformats.org/package/2006/relationships"><Relationship Id="rId1" Type="http://schemas.openxmlformats.org/officeDocument/2006/relationships/image" Target="../media/image11.png"/></Relationships>
</file>

<file path=xl/drawings/_rels/drawing6.xml.rels><?xml version="1.0" encoding="UTF-8" standalone="yes"?>
<Relationships xmlns="http://schemas.openxmlformats.org/package/2006/relationships"><Relationship Id="rId8" Type="http://schemas.openxmlformats.org/officeDocument/2006/relationships/chart" Target="../charts/chart10.xml"/><Relationship Id="rId13" Type="http://schemas.openxmlformats.org/officeDocument/2006/relationships/chart" Target="../charts/chart15.xml"/><Relationship Id="rId18" Type="http://schemas.openxmlformats.org/officeDocument/2006/relationships/chart" Target="../charts/chart20.xml"/><Relationship Id="rId3" Type="http://schemas.openxmlformats.org/officeDocument/2006/relationships/chart" Target="../charts/chart5.xml"/><Relationship Id="rId21" Type="http://schemas.openxmlformats.org/officeDocument/2006/relationships/chart" Target="../charts/chart23.xml"/><Relationship Id="rId7" Type="http://schemas.openxmlformats.org/officeDocument/2006/relationships/chart" Target="../charts/chart9.xml"/><Relationship Id="rId12" Type="http://schemas.openxmlformats.org/officeDocument/2006/relationships/chart" Target="../charts/chart14.xml"/><Relationship Id="rId17" Type="http://schemas.openxmlformats.org/officeDocument/2006/relationships/chart" Target="../charts/chart19.xml"/><Relationship Id="rId2" Type="http://schemas.openxmlformats.org/officeDocument/2006/relationships/chart" Target="../charts/chart4.xml"/><Relationship Id="rId16" Type="http://schemas.openxmlformats.org/officeDocument/2006/relationships/chart" Target="../charts/chart18.xml"/><Relationship Id="rId20" Type="http://schemas.openxmlformats.org/officeDocument/2006/relationships/chart" Target="../charts/chart22.xml"/><Relationship Id="rId1" Type="http://schemas.openxmlformats.org/officeDocument/2006/relationships/chart" Target="../charts/chart3.xml"/><Relationship Id="rId6" Type="http://schemas.openxmlformats.org/officeDocument/2006/relationships/chart" Target="../charts/chart8.xml"/><Relationship Id="rId11" Type="http://schemas.openxmlformats.org/officeDocument/2006/relationships/chart" Target="../charts/chart13.xml"/><Relationship Id="rId5" Type="http://schemas.openxmlformats.org/officeDocument/2006/relationships/chart" Target="../charts/chart7.xml"/><Relationship Id="rId15" Type="http://schemas.openxmlformats.org/officeDocument/2006/relationships/chart" Target="../charts/chart17.xml"/><Relationship Id="rId23" Type="http://schemas.openxmlformats.org/officeDocument/2006/relationships/chart" Target="../charts/chart25.xml"/><Relationship Id="rId10" Type="http://schemas.openxmlformats.org/officeDocument/2006/relationships/chart" Target="../charts/chart12.xml"/><Relationship Id="rId19" Type="http://schemas.openxmlformats.org/officeDocument/2006/relationships/chart" Target="../charts/chart21.xml"/><Relationship Id="rId4" Type="http://schemas.openxmlformats.org/officeDocument/2006/relationships/chart" Target="../charts/chart6.xml"/><Relationship Id="rId9" Type="http://schemas.openxmlformats.org/officeDocument/2006/relationships/chart" Target="../charts/chart11.xml"/><Relationship Id="rId14" Type="http://schemas.openxmlformats.org/officeDocument/2006/relationships/chart" Target="../charts/chart16.xml"/><Relationship Id="rId22" Type="http://schemas.openxmlformats.org/officeDocument/2006/relationships/chart" Target="../charts/chart24.xml"/></Relationships>
</file>

<file path=xl/drawings/_rels/drawing12.xml.rels><?xml version="1.0" encoding="UTF-8" standalone="yes"?>
<Relationships xmlns="http://schemas.openxmlformats.org/package/2006/relationships"><Relationship Id="rId3" Type="http://schemas.openxmlformats.org/officeDocument/2006/relationships/chart" Target="../charts/chart26.xml"/><Relationship Id="rId2" Type="http://schemas.openxmlformats.org/officeDocument/2006/relationships/image" Target="../media/image13.png"/><Relationship Id="rId1" Type="http://schemas.openxmlformats.org/officeDocument/2006/relationships/image" Target="../media/image12.png"/></Relationships>
</file>

<file path=xl/drawings/_rels/drawing14.xml.rels><?xml version="1.0" encoding="UTF-8" standalone="yes"?>
<Relationships xmlns="http://schemas.openxmlformats.org/package/2006/relationships"><Relationship Id="rId8" Type="http://schemas.microsoft.com/office/2014/relationships/chartEx" Target="../charts/chartEx1.xml"/><Relationship Id="rId13" Type="http://schemas.openxmlformats.org/officeDocument/2006/relationships/chart" Target="../charts/chart36.xml"/><Relationship Id="rId18" Type="http://schemas.openxmlformats.org/officeDocument/2006/relationships/chart" Target="../charts/chart39.xml"/><Relationship Id="rId3" Type="http://schemas.openxmlformats.org/officeDocument/2006/relationships/chart" Target="../charts/chart29.xml"/><Relationship Id="rId7" Type="http://schemas.openxmlformats.org/officeDocument/2006/relationships/chart" Target="../charts/chart33.xml"/><Relationship Id="rId12" Type="http://schemas.openxmlformats.org/officeDocument/2006/relationships/chart" Target="../charts/chart35.xml"/><Relationship Id="rId17" Type="http://schemas.microsoft.com/office/2014/relationships/chartEx" Target="../charts/chartEx5.xml"/><Relationship Id="rId2" Type="http://schemas.openxmlformats.org/officeDocument/2006/relationships/chart" Target="../charts/chart28.xml"/><Relationship Id="rId16" Type="http://schemas.openxmlformats.org/officeDocument/2006/relationships/chart" Target="../charts/chart38.xml"/><Relationship Id="rId20" Type="http://schemas.microsoft.com/office/2014/relationships/chartEx" Target="../charts/chartEx6.xml"/><Relationship Id="rId1" Type="http://schemas.openxmlformats.org/officeDocument/2006/relationships/chart" Target="../charts/chart27.xml"/><Relationship Id="rId6" Type="http://schemas.openxmlformats.org/officeDocument/2006/relationships/chart" Target="../charts/chart32.xml"/><Relationship Id="rId11" Type="http://schemas.microsoft.com/office/2014/relationships/chartEx" Target="../charts/chartEx3.xml"/><Relationship Id="rId5" Type="http://schemas.openxmlformats.org/officeDocument/2006/relationships/chart" Target="../charts/chart31.xml"/><Relationship Id="rId15" Type="http://schemas.microsoft.com/office/2014/relationships/chartEx" Target="../charts/chartEx4.xml"/><Relationship Id="rId10" Type="http://schemas.openxmlformats.org/officeDocument/2006/relationships/chart" Target="../charts/chart34.xml"/><Relationship Id="rId19" Type="http://schemas.openxmlformats.org/officeDocument/2006/relationships/chart" Target="../charts/chart40.xml"/><Relationship Id="rId4" Type="http://schemas.openxmlformats.org/officeDocument/2006/relationships/chart" Target="../charts/chart30.xml"/><Relationship Id="rId9" Type="http://schemas.microsoft.com/office/2014/relationships/chartEx" Target="../charts/chartEx2.xml"/><Relationship Id="rId14" Type="http://schemas.openxmlformats.org/officeDocument/2006/relationships/chart" Target="../charts/chart37.xml"/></Relationships>
</file>

<file path=xl/drawings/_rels/drawing20.xml.rels><?xml version="1.0" encoding="UTF-8" standalone="yes"?>
<Relationships xmlns="http://schemas.openxmlformats.org/package/2006/relationships"><Relationship Id="rId1" Type="http://schemas.openxmlformats.org/officeDocument/2006/relationships/image" Target="../media/image14.png"/></Relationships>
</file>

<file path=xl/drawings/_rels/drawing21.xml.rels><?xml version="1.0" encoding="UTF-8" standalone="yes"?>
<Relationships xmlns="http://schemas.openxmlformats.org/package/2006/relationships"><Relationship Id="rId3" Type="http://schemas.openxmlformats.org/officeDocument/2006/relationships/chart" Target="../charts/chart43.xml"/><Relationship Id="rId2" Type="http://schemas.openxmlformats.org/officeDocument/2006/relationships/chart" Target="../charts/chart42.xml"/><Relationship Id="rId1" Type="http://schemas.openxmlformats.org/officeDocument/2006/relationships/chart" Target="../charts/chart41.xml"/><Relationship Id="rId6" Type="http://schemas.openxmlformats.org/officeDocument/2006/relationships/chart" Target="../charts/chart46.xml"/><Relationship Id="rId5" Type="http://schemas.openxmlformats.org/officeDocument/2006/relationships/chart" Target="../charts/chart45.xml"/><Relationship Id="rId4" Type="http://schemas.openxmlformats.org/officeDocument/2006/relationships/chart" Target="../charts/chart44.xml"/></Relationships>
</file>

<file path=xl/drawings/_rels/drawing24.xml.rels><?xml version="1.0" encoding="UTF-8" standalone="yes"?>
<Relationships xmlns="http://schemas.openxmlformats.org/package/2006/relationships"><Relationship Id="rId2" Type="http://schemas.openxmlformats.org/officeDocument/2006/relationships/chart" Target="../charts/chart48.xml"/><Relationship Id="rId1" Type="http://schemas.openxmlformats.org/officeDocument/2006/relationships/chart" Target="../charts/chart47.xml"/></Relationships>
</file>

<file path=xl/drawings/_rels/drawing25.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chart" Target="../charts/chart49.xml"/><Relationship Id="rId1" Type="http://schemas.openxmlformats.org/officeDocument/2006/relationships/image" Target="../media/image15.png"/></Relationships>
</file>

<file path=xl/drawings/_rels/drawing27.xml.rels><?xml version="1.0" encoding="UTF-8" standalone="yes"?>
<Relationships xmlns="http://schemas.openxmlformats.org/package/2006/relationships"><Relationship Id="rId3" Type="http://schemas.microsoft.com/office/2014/relationships/chartEx" Target="../charts/chartEx8.xml"/><Relationship Id="rId2" Type="http://schemas.microsoft.com/office/2014/relationships/chartEx" Target="../charts/chartEx7.xml"/><Relationship Id="rId1" Type="http://schemas.openxmlformats.org/officeDocument/2006/relationships/chart" Target="../charts/chart50.xml"/></Relationships>
</file>

<file path=xl/drawings/_rels/drawing28.xml.rels><?xml version="1.0" encoding="UTF-8" standalone="yes"?>
<Relationships xmlns="http://schemas.openxmlformats.org/package/2006/relationships"><Relationship Id="rId1" Type="http://schemas.openxmlformats.org/officeDocument/2006/relationships/image" Target="../media/image11.png"/></Relationships>
</file>

<file path=xl/drawings/_rels/drawing29.xml.rels><?xml version="1.0" encoding="UTF-8" standalone="yes"?>
<Relationships xmlns="http://schemas.openxmlformats.org/package/2006/relationships"><Relationship Id="rId3" Type="http://schemas.openxmlformats.org/officeDocument/2006/relationships/chart" Target="../charts/chart53.xml"/><Relationship Id="rId2" Type="http://schemas.openxmlformats.org/officeDocument/2006/relationships/chart" Target="../charts/chart52.xml"/><Relationship Id="rId1" Type="http://schemas.openxmlformats.org/officeDocument/2006/relationships/chart" Target="../charts/chart51.xml"/><Relationship Id="rId5" Type="http://schemas.openxmlformats.org/officeDocument/2006/relationships/chart" Target="../charts/chart55.xml"/><Relationship Id="rId4" Type="http://schemas.openxmlformats.org/officeDocument/2006/relationships/chart" Target="../charts/chart54.xml"/></Relationships>
</file>

<file path=xl/drawings/_rels/drawing30.xml.rels><?xml version="1.0" encoding="UTF-8" standalone="yes"?>
<Relationships xmlns="http://schemas.openxmlformats.org/package/2006/relationships"><Relationship Id="rId1" Type="http://schemas.openxmlformats.org/officeDocument/2006/relationships/image" Target="../media/image17.png"/></Relationships>
</file>

<file path=xl/drawings/_rels/drawing31.xml.rels><?xml version="1.0" encoding="UTF-8" standalone="yes"?>
<Relationships xmlns="http://schemas.openxmlformats.org/package/2006/relationships"><Relationship Id="rId1" Type="http://schemas.openxmlformats.org/officeDocument/2006/relationships/image" Target="../media/image18.png"/></Relationships>
</file>

<file path=xl/drawings/_rels/drawing32.xml.rels><?xml version="1.0" encoding="UTF-8" standalone="yes"?>
<Relationships xmlns="http://schemas.openxmlformats.org/package/2006/relationships"><Relationship Id="rId1" Type="http://schemas.openxmlformats.org/officeDocument/2006/relationships/image" Target="../media/image18.png"/></Relationships>
</file>

<file path=xl/drawings/_rels/drawing33.xml.rels><?xml version="1.0" encoding="UTF-8" standalone="yes"?>
<Relationships xmlns="http://schemas.openxmlformats.org/package/2006/relationships"><Relationship Id="rId8" Type="http://schemas.openxmlformats.org/officeDocument/2006/relationships/diagramColors" Target="../diagrams/colors1.xml"/><Relationship Id="rId13" Type="http://schemas.openxmlformats.org/officeDocument/2006/relationships/chart" Target="../charts/chart62.xml"/><Relationship Id="rId18" Type="http://schemas.openxmlformats.org/officeDocument/2006/relationships/diagramLayout" Target="../diagrams/layout2.xml"/><Relationship Id="rId3" Type="http://schemas.openxmlformats.org/officeDocument/2006/relationships/chart" Target="../charts/chart58.xml"/><Relationship Id="rId21" Type="http://schemas.microsoft.com/office/2007/relationships/diagramDrawing" Target="../diagrams/drawing2.xml"/><Relationship Id="rId7" Type="http://schemas.openxmlformats.org/officeDocument/2006/relationships/diagramQuickStyle" Target="../diagrams/quickStyle1.xml"/><Relationship Id="rId12" Type="http://schemas.openxmlformats.org/officeDocument/2006/relationships/chart" Target="../charts/chart61.xml"/><Relationship Id="rId17" Type="http://schemas.openxmlformats.org/officeDocument/2006/relationships/diagramData" Target="../diagrams/data2.xml"/><Relationship Id="rId2" Type="http://schemas.openxmlformats.org/officeDocument/2006/relationships/chart" Target="../charts/chart57.xml"/><Relationship Id="rId16" Type="http://schemas.openxmlformats.org/officeDocument/2006/relationships/chart" Target="../charts/chart64.xml"/><Relationship Id="rId20" Type="http://schemas.openxmlformats.org/officeDocument/2006/relationships/diagramColors" Target="../diagrams/colors2.xml"/><Relationship Id="rId1" Type="http://schemas.openxmlformats.org/officeDocument/2006/relationships/chart" Target="../charts/chart56.xml"/><Relationship Id="rId6" Type="http://schemas.openxmlformats.org/officeDocument/2006/relationships/diagramLayout" Target="../diagrams/layout1.xml"/><Relationship Id="rId11" Type="http://schemas.openxmlformats.org/officeDocument/2006/relationships/chart" Target="../charts/chart60.xml"/><Relationship Id="rId5" Type="http://schemas.openxmlformats.org/officeDocument/2006/relationships/diagramData" Target="../diagrams/data1.xml"/><Relationship Id="rId15" Type="http://schemas.openxmlformats.org/officeDocument/2006/relationships/image" Target="../media/image20.png"/><Relationship Id="rId10" Type="http://schemas.openxmlformats.org/officeDocument/2006/relationships/image" Target="../media/image19.png"/><Relationship Id="rId19" Type="http://schemas.openxmlformats.org/officeDocument/2006/relationships/diagramQuickStyle" Target="../diagrams/quickStyle2.xml"/><Relationship Id="rId4" Type="http://schemas.openxmlformats.org/officeDocument/2006/relationships/chart" Target="../charts/chart59.xml"/><Relationship Id="rId9" Type="http://schemas.microsoft.com/office/2007/relationships/diagramDrawing" Target="../diagrams/drawing1.xml"/><Relationship Id="rId14" Type="http://schemas.openxmlformats.org/officeDocument/2006/relationships/chart" Target="../charts/chart63.xml"/></Relationships>
</file>

<file path=xl/drawings/_rels/drawing34.xml.rels><?xml version="1.0" encoding="UTF-8" standalone="yes"?>
<Relationships xmlns="http://schemas.openxmlformats.org/package/2006/relationships"><Relationship Id="rId3" Type="http://schemas.openxmlformats.org/officeDocument/2006/relationships/image" Target="../media/image21.png"/><Relationship Id="rId7" Type="http://schemas.openxmlformats.org/officeDocument/2006/relationships/chart" Target="../charts/chart67.xml"/><Relationship Id="rId2" Type="http://schemas.openxmlformats.org/officeDocument/2006/relationships/chart" Target="../charts/chart66.xml"/><Relationship Id="rId1" Type="http://schemas.openxmlformats.org/officeDocument/2006/relationships/chart" Target="../charts/chart65.xml"/><Relationship Id="rId6" Type="http://schemas.openxmlformats.org/officeDocument/2006/relationships/image" Target="../media/image24.png"/><Relationship Id="rId5" Type="http://schemas.openxmlformats.org/officeDocument/2006/relationships/image" Target="../media/image23.png"/><Relationship Id="rId4" Type="http://schemas.openxmlformats.org/officeDocument/2006/relationships/image" Target="../media/image22.png"/></Relationships>
</file>

<file path=xl/drawings/_rels/drawing36.xml.rels><?xml version="1.0" encoding="UTF-8" standalone="yes"?>
<Relationships xmlns="http://schemas.openxmlformats.org/package/2006/relationships"><Relationship Id="rId8" Type="http://schemas.openxmlformats.org/officeDocument/2006/relationships/chart" Target="../charts/chart73.xml"/><Relationship Id="rId13" Type="http://schemas.openxmlformats.org/officeDocument/2006/relationships/diagramLayout" Target="../diagrams/layout3.xml"/><Relationship Id="rId3" Type="http://schemas.openxmlformats.org/officeDocument/2006/relationships/chart" Target="../charts/chart69.xml"/><Relationship Id="rId7" Type="http://schemas.microsoft.com/office/2014/relationships/chartEx" Target="../charts/chartEx10.xml"/><Relationship Id="rId12" Type="http://schemas.openxmlformats.org/officeDocument/2006/relationships/diagramData" Target="../diagrams/data3.xml"/><Relationship Id="rId2" Type="http://schemas.microsoft.com/office/2014/relationships/chartEx" Target="../charts/chartEx9.xml"/><Relationship Id="rId16" Type="http://schemas.microsoft.com/office/2007/relationships/diagramDrawing" Target="../diagrams/drawing3.xml"/><Relationship Id="rId1" Type="http://schemas.openxmlformats.org/officeDocument/2006/relationships/chart" Target="../charts/chart68.xml"/><Relationship Id="rId6" Type="http://schemas.openxmlformats.org/officeDocument/2006/relationships/chart" Target="../charts/chart72.xml"/><Relationship Id="rId11" Type="http://schemas.openxmlformats.org/officeDocument/2006/relationships/chart" Target="../charts/chart76.xml"/><Relationship Id="rId5" Type="http://schemas.openxmlformats.org/officeDocument/2006/relationships/chart" Target="../charts/chart71.xml"/><Relationship Id="rId15" Type="http://schemas.openxmlformats.org/officeDocument/2006/relationships/diagramColors" Target="../diagrams/colors3.xml"/><Relationship Id="rId10" Type="http://schemas.openxmlformats.org/officeDocument/2006/relationships/chart" Target="../charts/chart75.xml"/><Relationship Id="rId4" Type="http://schemas.openxmlformats.org/officeDocument/2006/relationships/chart" Target="../charts/chart70.xml"/><Relationship Id="rId9" Type="http://schemas.openxmlformats.org/officeDocument/2006/relationships/chart" Target="../charts/chart74.xml"/><Relationship Id="rId14" Type="http://schemas.openxmlformats.org/officeDocument/2006/relationships/diagramQuickStyle" Target="../diagrams/quickStyle3.xml"/></Relationships>
</file>

<file path=xl/drawings/_rels/drawing43.xml.rels><?xml version="1.0" encoding="UTF-8" standalone="yes"?>
<Relationships xmlns="http://schemas.openxmlformats.org/package/2006/relationships"><Relationship Id="rId1" Type="http://schemas.openxmlformats.org/officeDocument/2006/relationships/image" Target="../media/image25.png"/></Relationships>
</file>

<file path=xl/drawings/_rels/drawing44.xml.rels><?xml version="1.0" encoding="UTF-8" standalone="yes"?>
<Relationships xmlns="http://schemas.openxmlformats.org/package/2006/relationships"><Relationship Id="rId1"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twoCellAnchor editAs="oneCell">
    <xdr:from>
      <xdr:col>95</xdr:col>
      <xdr:colOff>419417</xdr:colOff>
      <xdr:row>70</xdr:row>
      <xdr:rowOff>42009</xdr:rowOff>
    </xdr:from>
    <xdr:to>
      <xdr:col>110</xdr:col>
      <xdr:colOff>76382</xdr:colOff>
      <xdr:row>115</xdr:row>
      <xdr:rowOff>178623</xdr:rowOff>
    </xdr:to>
    <xdr:pic>
      <xdr:nvPicPr>
        <xdr:cNvPr id="2" name="Picture 1">
          <a:extLst>
            <a:ext uri="{FF2B5EF4-FFF2-40B4-BE49-F238E27FC236}">
              <a16:creationId xmlns:a16="http://schemas.microsoft.com/office/drawing/2014/main" id="{DD7330A3-D3A7-F7C3-8601-588EE5F9A128}"/>
            </a:ext>
          </a:extLst>
        </xdr:cNvPr>
        <xdr:cNvPicPr>
          <a:picLocks noChangeAspect="1"/>
        </xdr:cNvPicPr>
      </xdr:nvPicPr>
      <xdr:blipFill>
        <a:blip xmlns:r="http://schemas.openxmlformats.org/officeDocument/2006/relationships" r:embed="rId1"/>
        <a:stretch>
          <a:fillRect/>
        </a:stretch>
      </xdr:blipFill>
      <xdr:spPr>
        <a:xfrm>
          <a:off x="23588980" y="10710009"/>
          <a:ext cx="9265309" cy="8709114"/>
        </a:xfrm>
        <a:prstGeom prst="rect">
          <a:avLst/>
        </a:prstGeom>
      </xdr:spPr>
    </xdr:pic>
    <xdr:clientData/>
  </xdr:twoCellAnchor>
  <xdr:twoCellAnchor>
    <xdr:from>
      <xdr:col>2</xdr:col>
      <xdr:colOff>216559</xdr:colOff>
      <xdr:row>87</xdr:row>
      <xdr:rowOff>84108</xdr:rowOff>
    </xdr:from>
    <xdr:to>
      <xdr:col>9</xdr:col>
      <xdr:colOff>259691</xdr:colOff>
      <xdr:row>104</xdr:row>
      <xdr:rowOff>77638</xdr:rowOff>
    </xdr:to>
    <xdr:graphicFrame macro="">
      <xdr:nvGraphicFramePr>
        <xdr:cNvPr id="3" name="Chart 2">
          <a:extLst>
            <a:ext uri="{FF2B5EF4-FFF2-40B4-BE49-F238E27FC236}">
              <a16:creationId xmlns:a16="http://schemas.microsoft.com/office/drawing/2014/main" id="{31D31B88-E6EF-7A83-9B31-162C90222BAF}"/>
            </a:ext>
            <a:ext uri="{147F2762-F138-4A5C-976F-8EAC2B608ADB}">
              <a16:predDERef xmlns:a16="http://schemas.microsoft.com/office/drawing/2014/main" pred="{DD7330A3-D3A7-F7C3-8601-588EE5F9A12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57</xdr:col>
      <xdr:colOff>186266</xdr:colOff>
      <xdr:row>174</xdr:row>
      <xdr:rowOff>81137</xdr:rowOff>
    </xdr:from>
    <xdr:to>
      <xdr:col>67</xdr:col>
      <xdr:colOff>398926</xdr:colOff>
      <xdr:row>186</xdr:row>
      <xdr:rowOff>896</xdr:rowOff>
    </xdr:to>
    <xdr:pic>
      <xdr:nvPicPr>
        <xdr:cNvPr id="2" name="Picture 1">
          <a:extLst>
            <a:ext uri="{FF2B5EF4-FFF2-40B4-BE49-F238E27FC236}">
              <a16:creationId xmlns:a16="http://schemas.microsoft.com/office/drawing/2014/main" id="{AA81DDD9-9DEA-4F99-F356-50229AC0EA0F}"/>
            </a:ext>
          </a:extLst>
        </xdr:cNvPr>
        <xdr:cNvPicPr>
          <a:picLocks noChangeAspect="1"/>
        </xdr:cNvPicPr>
      </xdr:nvPicPr>
      <xdr:blipFill>
        <a:blip xmlns:r="http://schemas.openxmlformats.org/officeDocument/2006/relationships" r:embed="rId1"/>
        <a:stretch>
          <a:fillRect/>
        </a:stretch>
      </xdr:blipFill>
      <xdr:spPr>
        <a:xfrm>
          <a:off x="38238641" y="24623887"/>
          <a:ext cx="7600121" cy="1884285"/>
        </a:xfrm>
        <a:prstGeom prst="rect">
          <a:avLst/>
        </a:prstGeom>
      </xdr:spPr>
    </xdr:pic>
    <xdr:clientData/>
  </xdr:twoCellAnchor>
  <xdr:twoCellAnchor editAs="oneCell">
    <xdr:from>
      <xdr:col>59</xdr:col>
      <xdr:colOff>244475</xdr:colOff>
      <xdr:row>150</xdr:row>
      <xdr:rowOff>177800</xdr:rowOff>
    </xdr:from>
    <xdr:to>
      <xdr:col>63</xdr:col>
      <xdr:colOff>453821</xdr:colOff>
      <xdr:row>178</xdr:row>
      <xdr:rowOff>70812</xdr:rowOff>
    </xdr:to>
    <xdr:pic>
      <xdr:nvPicPr>
        <xdr:cNvPr id="3" name="Picture 2">
          <a:extLst>
            <a:ext uri="{FF2B5EF4-FFF2-40B4-BE49-F238E27FC236}">
              <a16:creationId xmlns:a16="http://schemas.microsoft.com/office/drawing/2014/main" id="{304CB194-5C4C-36BE-9A1F-6052E1DD35BE}"/>
            </a:ext>
          </a:extLst>
        </xdr:cNvPr>
        <xdr:cNvPicPr>
          <a:picLocks noChangeAspect="1"/>
        </xdr:cNvPicPr>
      </xdr:nvPicPr>
      <xdr:blipFill>
        <a:blip xmlns:r="http://schemas.openxmlformats.org/officeDocument/2006/relationships" r:embed="rId2"/>
        <a:stretch>
          <a:fillRect/>
        </a:stretch>
      </xdr:blipFill>
      <xdr:spPr>
        <a:xfrm>
          <a:off x="44459525" y="21637625"/>
          <a:ext cx="2819196" cy="5255587"/>
        </a:xfrm>
        <a:prstGeom prst="rect">
          <a:avLst/>
        </a:prstGeom>
      </xdr:spPr>
    </xdr:pic>
    <xdr:clientData/>
  </xdr:twoCellAnchor>
  <xdr:twoCellAnchor editAs="oneCell">
    <xdr:from>
      <xdr:col>49</xdr:col>
      <xdr:colOff>229730</xdr:colOff>
      <xdr:row>229</xdr:row>
      <xdr:rowOff>240</xdr:rowOff>
    </xdr:from>
    <xdr:to>
      <xdr:col>55</xdr:col>
      <xdr:colOff>186229</xdr:colOff>
      <xdr:row>249</xdr:row>
      <xdr:rowOff>39121</xdr:rowOff>
    </xdr:to>
    <xdr:pic>
      <xdr:nvPicPr>
        <xdr:cNvPr id="5" name="Picture 4">
          <a:extLst>
            <a:ext uri="{FF2B5EF4-FFF2-40B4-BE49-F238E27FC236}">
              <a16:creationId xmlns:a16="http://schemas.microsoft.com/office/drawing/2014/main" id="{1AF5C88A-B757-4995-BD13-155DC5D86F9A}"/>
            </a:ext>
          </a:extLst>
        </xdr:cNvPr>
        <xdr:cNvPicPr>
          <a:picLocks noChangeAspect="1"/>
        </xdr:cNvPicPr>
      </xdr:nvPicPr>
      <xdr:blipFill>
        <a:blip xmlns:r="http://schemas.openxmlformats.org/officeDocument/2006/relationships" r:embed="rId3"/>
        <a:stretch>
          <a:fillRect/>
        </a:stretch>
      </xdr:blipFill>
      <xdr:spPr>
        <a:xfrm>
          <a:off x="26795187" y="31235270"/>
          <a:ext cx="4086752" cy="3736844"/>
        </a:xfrm>
        <a:prstGeom prst="rect">
          <a:avLst/>
        </a:prstGeom>
      </xdr:spPr>
    </xdr:pic>
    <xdr:clientData/>
  </xdr:twoCellAnchor>
  <xdr:twoCellAnchor editAs="oneCell">
    <xdr:from>
      <xdr:col>0</xdr:col>
      <xdr:colOff>0</xdr:colOff>
      <xdr:row>280</xdr:row>
      <xdr:rowOff>169098</xdr:rowOff>
    </xdr:from>
    <xdr:to>
      <xdr:col>6</xdr:col>
      <xdr:colOff>657532</xdr:colOff>
      <xdr:row>292</xdr:row>
      <xdr:rowOff>103247</xdr:rowOff>
    </xdr:to>
    <xdr:pic>
      <xdr:nvPicPr>
        <xdr:cNvPr id="6" name="Picture 5">
          <a:extLst>
            <a:ext uri="{FF2B5EF4-FFF2-40B4-BE49-F238E27FC236}">
              <a16:creationId xmlns:a16="http://schemas.microsoft.com/office/drawing/2014/main" id="{06DF84AE-B4E5-E803-0C4A-7B7DFC17D345}"/>
            </a:ext>
          </a:extLst>
        </xdr:cNvPr>
        <xdr:cNvPicPr>
          <a:picLocks noChangeAspect="1"/>
        </xdr:cNvPicPr>
      </xdr:nvPicPr>
      <xdr:blipFill>
        <a:blip xmlns:r="http://schemas.openxmlformats.org/officeDocument/2006/relationships" r:embed="rId4"/>
        <a:stretch>
          <a:fillRect/>
        </a:stretch>
      </xdr:blipFill>
      <xdr:spPr>
        <a:xfrm>
          <a:off x="0" y="45160716"/>
          <a:ext cx="5986625" cy="2064047"/>
        </a:xfrm>
        <a:prstGeom prst="rect">
          <a:avLst/>
        </a:prstGeom>
      </xdr:spPr>
    </xdr:pic>
    <xdr:clientData/>
  </xdr:twoCellAnchor>
  <xdr:twoCellAnchor editAs="oneCell">
    <xdr:from>
      <xdr:col>0</xdr:col>
      <xdr:colOff>0</xdr:colOff>
      <xdr:row>278</xdr:row>
      <xdr:rowOff>59913</xdr:rowOff>
    </xdr:from>
    <xdr:to>
      <xdr:col>4</xdr:col>
      <xdr:colOff>838173</xdr:colOff>
      <xdr:row>295</xdr:row>
      <xdr:rowOff>107324</xdr:rowOff>
    </xdr:to>
    <xdr:pic>
      <xdr:nvPicPr>
        <xdr:cNvPr id="7" name="Picture 6">
          <a:extLst>
            <a:ext uri="{FF2B5EF4-FFF2-40B4-BE49-F238E27FC236}">
              <a16:creationId xmlns:a16="http://schemas.microsoft.com/office/drawing/2014/main" id="{EACEE724-18BE-C406-1B1D-150117D6FA33}"/>
            </a:ext>
          </a:extLst>
        </xdr:cNvPr>
        <xdr:cNvPicPr>
          <a:picLocks noChangeAspect="1"/>
        </xdr:cNvPicPr>
      </xdr:nvPicPr>
      <xdr:blipFill>
        <a:blip xmlns:r="http://schemas.openxmlformats.org/officeDocument/2006/relationships" r:embed="rId5"/>
        <a:stretch>
          <a:fillRect/>
        </a:stretch>
      </xdr:blipFill>
      <xdr:spPr>
        <a:xfrm>
          <a:off x="0" y="45932313"/>
          <a:ext cx="4514823" cy="3285911"/>
        </a:xfrm>
        <a:prstGeom prst="rect">
          <a:avLst/>
        </a:prstGeom>
      </xdr:spPr>
    </xdr:pic>
    <xdr:clientData/>
  </xdr:twoCellAnchor>
  <xdr:twoCellAnchor editAs="oneCell">
    <xdr:from>
      <xdr:col>93</xdr:col>
      <xdr:colOff>34178</xdr:colOff>
      <xdr:row>89</xdr:row>
      <xdr:rowOff>157440</xdr:rowOff>
    </xdr:from>
    <xdr:to>
      <xdr:col>122</xdr:col>
      <xdr:colOff>9781</xdr:colOff>
      <xdr:row>142</xdr:row>
      <xdr:rowOff>141062</xdr:rowOff>
    </xdr:to>
    <xdr:pic>
      <xdr:nvPicPr>
        <xdr:cNvPr id="8" name="Picture 7" descr="A close up of a document&#10;&#10;Description automatically generated">
          <a:extLst>
            <a:ext uri="{FF2B5EF4-FFF2-40B4-BE49-F238E27FC236}">
              <a16:creationId xmlns:a16="http://schemas.microsoft.com/office/drawing/2014/main" id="{EF362B2D-29ED-1BAE-1647-B60B28B264DD}"/>
            </a:ext>
          </a:extLst>
        </xdr:cNvPr>
        <xdr:cNvPicPr>
          <a:picLocks noChangeAspect="1"/>
        </xdr:cNvPicPr>
      </xdr:nvPicPr>
      <xdr:blipFill>
        <a:blip xmlns:r="http://schemas.openxmlformats.org/officeDocument/2006/relationships" r:embed="rId6"/>
        <a:stretch>
          <a:fillRect/>
        </a:stretch>
      </xdr:blipFill>
      <xdr:spPr>
        <a:xfrm>
          <a:off x="66680603" y="9968190"/>
          <a:ext cx="10982581" cy="10108697"/>
        </a:xfrm>
        <a:prstGeom prst="rect">
          <a:avLst/>
        </a:prstGeom>
      </xdr:spPr>
    </xdr:pic>
    <xdr:clientData/>
  </xdr:twoCellAnchor>
  <xdr:twoCellAnchor editAs="oneCell">
    <xdr:from>
      <xdr:col>73</xdr:col>
      <xdr:colOff>531427</xdr:colOff>
      <xdr:row>111</xdr:row>
      <xdr:rowOff>42267</xdr:rowOff>
    </xdr:from>
    <xdr:to>
      <xdr:col>104</xdr:col>
      <xdr:colOff>90875</xdr:colOff>
      <xdr:row>125</xdr:row>
      <xdr:rowOff>51352</xdr:rowOff>
    </xdr:to>
    <xdr:pic>
      <xdr:nvPicPr>
        <xdr:cNvPr id="9" name="Picture 8">
          <a:extLst>
            <a:ext uri="{FF2B5EF4-FFF2-40B4-BE49-F238E27FC236}">
              <a16:creationId xmlns:a16="http://schemas.microsoft.com/office/drawing/2014/main" id="{A2D7CADB-92AC-AB0F-E2DE-1E8AD079FCC1}"/>
            </a:ext>
          </a:extLst>
        </xdr:cNvPr>
        <xdr:cNvPicPr>
          <a:picLocks noChangeAspect="1"/>
        </xdr:cNvPicPr>
      </xdr:nvPicPr>
      <xdr:blipFill>
        <a:blip xmlns:r="http://schemas.openxmlformats.org/officeDocument/2006/relationships" r:embed="rId7"/>
        <a:stretch>
          <a:fillRect/>
        </a:stretch>
      </xdr:blipFill>
      <xdr:spPr>
        <a:xfrm>
          <a:off x="53461852" y="14072592"/>
          <a:ext cx="3826648" cy="2676085"/>
        </a:xfrm>
        <a:prstGeom prst="rect">
          <a:avLst/>
        </a:prstGeom>
      </xdr:spPr>
    </xdr:pic>
    <xdr:clientData/>
  </xdr:twoCellAnchor>
  <xdr:twoCellAnchor editAs="oneCell">
    <xdr:from>
      <xdr:col>38</xdr:col>
      <xdr:colOff>473341</xdr:colOff>
      <xdr:row>325</xdr:row>
      <xdr:rowOff>147724</xdr:rowOff>
    </xdr:from>
    <xdr:to>
      <xdr:col>50</xdr:col>
      <xdr:colOff>601402</xdr:colOff>
      <xdr:row>375</xdr:row>
      <xdr:rowOff>152699</xdr:rowOff>
    </xdr:to>
    <xdr:pic>
      <xdr:nvPicPr>
        <xdr:cNvPr id="10" name="Picture 9">
          <a:extLst>
            <a:ext uri="{FF2B5EF4-FFF2-40B4-BE49-F238E27FC236}">
              <a16:creationId xmlns:a16="http://schemas.microsoft.com/office/drawing/2014/main" id="{BDF77531-CEFB-9388-0635-10E127E4FD89}"/>
            </a:ext>
          </a:extLst>
        </xdr:cNvPr>
        <xdr:cNvPicPr>
          <a:picLocks noChangeAspect="1"/>
        </xdr:cNvPicPr>
      </xdr:nvPicPr>
      <xdr:blipFill>
        <a:blip xmlns:r="http://schemas.openxmlformats.org/officeDocument/2006/relationships" r:embed="rId8"/>
        <a:stretch>
          <a:fillRect/>
        </a:stretch>
      </xdr:blipFill>
      <xdr:spPr>
        <a:xfrm>
          <a:off x="29594156" y="52674353"/>
          <a:ext cx="9351043" cy="803166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25</xdr:col>
      <xdr:colOff>781050</xdr:colOff>
      <xdr:row>0</xdr:row>
      <xdr:rowOff>15875</xdr:rowOff>
    </xdr:from>
    <xdr:to>
      <xdr:col>42</xdr:col>
      <xdr:colOff>69850</xdr:colOff>
      <xdr:row>20</xdr:row>
      <xdr:rowOff>92075</xdr:rowOff>
    </xdr:to>
    <xdr:graphicFrame macro="">
      <xdr:nvGraphicFramePr>
        <xdr:cNvPr id="2" name="Chart 1">
          <a:extLst>
            <a:ext uri="{FF2B5EF4-FFF2-40B4-BE49-F238E27FC236}">
              <a16:creationId xmlns:a16="http://schemas.microsoft.com/office/drawing/2014/main" id="{00000000-0008-0000-1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24</xdr:col>
      <xdr:colOff>176213</xdr:colOff>
      <xdr:row>198</xdr:row>
      <xdr:rowOff>85725</xdr:rowOff>
    </xdr:from>
    <xdr:to>
      <xdr:col>33</xdr:col>
      <xdr:colOff>222799</xdr:colOff>
      <xdr:row>207</xdr:row>
      <xdr:rowOff>83892</xdr:rowOff>
    </xdr:to>
    <xdr:pic>
      <xdr:nvPicPr>
        <xdr:cNvPr id="3" name="Picture 2">
          <a:extLst>
            <a:ext uri="{FF2B5EF4-FFF2-40B4-BE49-F238E27FC236}">
              <a16:creationId xmlns:a16="http://schemas.microsoft.com/office/drawing/2014/main" id="{3B1F56E9-C206-01FC-7D75-50AFA97D0B21}"/>
            </a:ext>
          </a:extLst>
        </xdr:cNvPr>
        <xdr:cNvPicPr>
          <a:picLocks noChangeAspect="1"/>
        </xdr:cNvPicPr>
      </xdr:nvPicPr>
      <xdr:blipFill>
        <a:blip xmlns:r="http://schemas.openxmlformats.org/officeDocument/2006/relationships" r:embed="rId1"/>
        <a:stretch>
          <a:fillRect/>
        </a:stretch>
      </xdr:blipFill>
      <xdr:spPr>
        <a:xfrm>
          <a:off x="15835313" y="37385625"/>
          <a:ext cx="5745296" cy="1729684"/>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37</xdr:row>
      <xdr:rowOff>31750</xdr:rowOff>
    </xdr:from>
    <xdr:to>
      <xdr:col>17</xdr:col>
      <xdr:colOff>242794</xdr:colOff>
      <xdr:row>48</xdr:row>
      <xdr:rowOff>173355</xdr:rowOff>
    </xdr:to>
    <xdr:pic>
      <xdr:nvPicPr>
        <xdr:cNvPr id="2" name="Hình ảnh 4" descr="Ảnh có chứa bàn&#10;&#10;Mô tả được tạo tự động">
          <a:extLst>
            <a:ext uri="{FF2B5EF4-FFF2-40B4-BE49-F238E27FC236}">
              <a16:creationId xmlns:a16="http://schemas.microsoft.com/office/drawing/2014/main" id="{3960A954-1A58-4F47-A913-86EAED4DEEC5}"/>
            </a:ext>
          </a:extLst>
        </xdr:cNvPr>
        <xdr:cNvPicPr/>
      </xdr:nvPicPr>
      <xdr:blipFill>
        <a:blip xmlns:r="http://schemas.openxmlformats.org/officeDocument/2006/relationships" r:embed="rId1"/>
        <a:stretch>
          <a:fillRect/>
        </a:stretch>
      </xdr:blipFill>
      <xdr:spPr>
        <a:xfrm>
          <a:off x="295275" y="7689850"/>
          <a:ext cx="4867275" cy="223710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12</xdr:col>
      <xdr:colOff>158750</xdr:colOff>
      <xdr:row>0</xdr:row>
      <xdr:rowOff>0</xdr:rowOff>
    </xdr:from>
    <xdr:to>
      <xdr:col>19</xdr:col>
      <xdr:colOff>523875</xdr:colOff>
      <xdr:row>15</xdr:row>
      <xdr:rowOff>76200</xdr:rowOff>
    </xdr:to>
    <xdr:graphicFrame macro="">
      <xdr:nvGraphicFramePr>
        <xdr:cNvPr id="3" name="Chart 2">
          <a:extLst>
            <a:ext uri="{FF2B5EF4-FFF2-40B4-BE49-F238E27FC236}">
              <a16:creationId xmlns:a16="http://schemas.microsoft.com/office/drawing/2014/main" id="{37E806B8-8ED2-4078-B41B-061B72A239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363536</xdr:colOff>
      <xdr:row>47</xdr:row>
      <xdr:rowOff>184216</xdr:rowOff>
    </xdr:from>
    <xdr:to>
      <xdr:col>19</xdr:col>
      <xdr:colOff>332581</xdr:colOff>
      <xdr:row>67</xdr:row>
      <xdr:rowOff>74413</xdr:rowOff>
    </xdr:to>
    <xdr:graphicFrame macro="">
      <xdr:nvGraphicFramePr>
        <xdr:cNvPr id="7" name="Chart 6">
          <a:extLst>
            <a:ext uri="{FF2B5EF4-FFF2-40B4-BE49-F238E27FC236}">
              <a16:creationId xmlns:a16="http://schemas.microsoft.com/office/drawing/2014/main" id="{6FC36F23-BA70-4DAA-8F28-851DA100F8B5}"/>
            </a:ext>
            <a:ext uri="{147F2762-F138-4A5C-976F-8EAC2B608ADB}">
              <a16:predDERef xmlns:a16="http://schemas.microsoft.com/office/drawing/2014/main" pred="{37E806B8-8ED2-4078-B41B-061B72A239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282802</xdr:colOff>
      <xdr:row>10</xdr:row>
      <xdr:rowOff>41049</xdr:rowOff>
    </xdr:from>
    <xdr:to>
      <xdr:col>5</xdr:col>
      <xdr:colOff>56017</xdr:colOff>
      <xdr:row>11</xdr:row>
      <xdr:rowOff>95478</xdr:rowOff>
    </xdr:to>
    <xdr:graphicFrame macro="">
      <xdr:nvGraphicFramePr>
        <xdr:cNvPr id="2" name="Chart 1">
          <a:extLst>
            <a:ext uri="{FF2B5EF4-FFF2-40B4-BE49-F238E27FC236}">
              <a16:creationId xmlns:a16="http://schemas.microsoft.com/office/drawing/2014/main" id="{82A457DA-F00F-4A7B-A380-E54FDED96B03}"/>
            </a:ext>
            <a:ext uri="{147F2762-F138-4A5C-976F-8EAC2B608ADB}">
              <a16:predDERef xmlns:a16="http://schemas.microsoft.com/office/drawing/2014/main" pred="{6FC36F23-BA70-4DAA-8F28-851DA100F8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304932</xdr:colOff>
      <xdr:row>15</xdr:row>
      <xdr:rowOff>133548</xdr:rowOff>
    </xdr:from>
    <xdr:to>
      <xdr:col>19</xdr:col>
      <xdr:colOff>550358</xdr:colOff>
      <xdr:row>32</xdr:row>
      <xdr:rowOff>124024</xdr:rowOff>
    </xdr:to>
    <xdr:graphicFrame macro="">
      <xdr:nvGraphicFramePr>
        <xdr:cNvPr id="6" name="Chart 5">
          <a:extLst>
            <a:ext uri="{FF2B5EF4-FFF2-40B4-BE49-F238E27FC236}">
              <a16:creationId xmlns:a16="http://schemas.microsoft.com/office/drawing/2014/main" id="{6A26C760-C1BD-43C3-A3C6-1A8DF6972E98}"/>
            </a:ext>
            <a:ext uri="{147F2762-F138-4A5C-976F-8EAC2B608ADB}">
              <a16:predDERef xmlns:a16="http://schemas.microsoft.com/office/drawing/2014/main" pred="{82A457DA-F00F-4A7B-A380-E54FDED96B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282575</xdr:colOff>
      <xdr:row>63</xdr:row>
      <xdr:rowOff>120650</xdr:rowOff>
    </xdr:from>
    <xdr:to>
      <xdr:col>17</xdr:col>
      <xdr:colOff>587375</xdr:colOff>
      <xdr:row>63</xdr:row>
      <xdr:rowOff>133350</xdr:rowOff>
    </xdr:to>
    <xdr:cxnSp macro="">
      <xdr:nvCxnSpPr>
        <xdr:cNvPr id="10" name="Straight Connector 9">
          <a:extLst>
            <a:ext uri="{FF2B5EF4-FFF2-40B4-BE49-F238E27FC236}">
              <a16:creationId xmlns:a16="http://schemas.microsoft.com/office/drawing/2014/main" id="{768818A9-3631-430B-B393-57AF08C03BA1}"/>
            </a:ext>
          </a:extLst>
        </xdr:cNvPr>
        <xdr:cNvCxnSpPr/>
      </xdr:nvCxnSpPr>
      <xdr:spPr>
        <a:xfrm>
          <a:off x="10617200" y="11122025"/>
          <a:ext cx="2971800" cy="12700"/>
        </a:xfrm>
        <a:prstGeom prst="line">
          <a:avLst/>
        </a:prstGeom>
        <a:ln w="12700">
          <a:solidFill>
            <a:schemeClr val="tx1"/>
          </a:solidFill>
          <a:prstDash val="sys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518318</xdr:colOff>
      <xdr:row>28</xdr:row>
      <xdr:rowOff>168673</xdr:rowOff>
    </xdr:from>
    <xdr:to>
      <xdr:col>19</xdr:col>
      <xdr:colOff>423068</xdr:colOff>
      <xdr:row>47</xdr:row>
      <xdr:rowOff>66279</xdr:rowOff>
    </xdr:to>
    <xdr:graphicFrame macro="">
      <xdr:nvGraphicFramePr>
        <xdr:cNvPr id="16" name="Chart 15">
          <a:extLst>
            <a:ext uri="{FF2B5EF4-FFF2-40B4-BE49-F238E27FC236}">
              <a16:creationId xmlns:a16="http://schemas.microsoft.com/office/drawing/2014/main" id="{BE01C69E-B945-4C02-BBC9-2A3BF73D7998}"/>
            </a:ext>
            <a:ext uri="{147F2762-F138-4A5C-976F-8EAC2B608ADB}">
              <a16:predDERef xmlns:a16="http://schemas.microsoft.com/office/drawing/2014/main" pred="{768818A9-3631-430B-B393-57AF08C03B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417513</xdr:colOff>
      <xdr:row>67</xdr:row>
      <xdr:rowOff>134938</xdr:rowOff>
    </xdr:from>
    <xdr:to>
      <xdr:col>19</xdr:col>
      <xdr:colOff>452460</xdr:colOff>
      <xdr:row>83</xdr:row>
      <xdr:rowOff>119063</xdr:rowOff>
    </xdr:to>
    <xdr:graphicFrame macro="">
      <xdr:nvGraphicFramePr>
        <xdr:cNvPr id="17" name="Chart 16">
          <a:extLst>
            <a:ext uri="{FF2B5EF4-FFF2-40B4-BE49-F238E27FC236}">
              <a16:creationId xmlns:a16="http://schemas.microsoft.com/office/drawing/2014/main" id="{D7780381-A9A2-47AB-909E-5D0553ECE6A9}"/>
            </a:ext>
            <a:ext uri="{147F2762-F138-4A5C-976F-8EAC2B608ADB}">
              <a16:predDERef xmlns:a16="http://schemas.microsoft.com/office/drawing/2014/main" pred="{BE01C69E-B945-4C02-BBC9-2A3BF73D79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20</xdr:col>
      <xdr:colOff>881743</xdr:colOff>
      <xdr:row>55</xdr:row>
      <xdr:rowOff>75747</xdr:rowOff>
    </xdr:from>
    <xdr:to>
      <xdr:col>28</xdr:col>
      <xdr:colOff>192477</xdr:colOff>
      <xdr:row>71</xdr:row>
      <xdr:rowOff>103413</xdr:rowOff>
    </xdr:to>
    <xdr:graphicFrame macro="">
      <xdr:nvGraphicFramePr>
        <xdr:cNvPr id="18" name="Chart 17">
          <a:extLst>
            <a:ext uri="{FF2B5EF4-FFF2-40B4-BE49-F238E27FC236}">
              <a16:creationId xmlns:a16="http://schemas.microsoft.com/office/drawing/2014/main" id="{285A22C0-E2CF-4931-AF57-0688B4BBEC7F}"/>
            </a:ext>
            <a:ext uri="{147F2762-F138-4A5C-976F-8EAC2B608ADB}">
              <a16:predDERef xmlns:a16="http://schemas.microsoft.com/office/drawing/2014/main" pred="{D7780381-A9A2-47AB-909E-5D0553ECE6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492786</xdr:colOff>
      <xdr:row>83</xdr:row>
      <xdr:rowOff>180248</xdr:rowOff>
    </xdr:from>
    <xdr:to>
      <xdr:col>19</xdr:col>
      <xdr:colOff>382652</xdr:colOff>
      <xdr:row>98</xdr:row>
      <xdr:rowOff>144264</xdr:rowOff>
    </xdr:to>
    <xdr:graphicFrame macro="">
      <xdr:nvGraphicFramePr>
        <xdr:cNvPr id="14" name="Chart 13">
          <a:extLst>
            <a:ext uri="{FF2B5EF4-FFF2-40B4-BE49-F238E27FC236}">
              <a16:creationId xmlns:a16="http://schemas.microsoft.com/office/drawing/2014/main" id="{08866C11-67AE-429A-A936-184B815CADDD}"/>
            </a:ext>
            <a:ext uri="{147F2762-F138-4A5C-976F-8EAC2B608ADB}">
              <a16:predDERef xmlns:a16="http://schemas.microsoft.com/office/drawing/2014/main" pred="{285A22C0-E2CF-4931-AF57-0688B4BBEC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37</xdr:col>
      <xdr:colOff>629708</xdr:colOff>
      <xdr:row>2</xdr:row>
      <xdr:rowOff>51861</xdr:rowOff>
    </xdr:from>
    <xdr:to>
      <xdr:col>44</xdr:col>
      <xdr:colOff>534458</xdr:colOff>
      <xdr:row>17</xdr:row>
      <xdr:rowOff>96311</xdr:rowOff>
    </xdr:to>
    <xdr:graphicFrame macro="">
      <xdr:nvGraphicFramePr>
        <xdr:cNvPr id="5" name="Chart 4">
          <a:extLst>
            <a:ext uri="{FF2B5EF4-FFF2-40B4-BE49-F238E27FC236}">
              <a16:creationId xmlns:a16="http://schemas.microsoft.com/office/drawing/2014/main" id="{77F6C0AA-FF6B-4753-AA67-E9EBB884B0E5}"/>
            </a:ext>
            <a:ext uri="{147F2762-F138-4A5C-976F-8EAC2B608ADB}">
              <a16:predDERef xmlns:a16="http://schemas.microsoft.com/office/drawing/2014/main" pred="{08866C11-67AE-429A-A936-184B815CAD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37</xdr:col>
      <xdr:colOff>325437</xdr:colOff>
      <xdr:row>23</xdr:row>
      <xdr:rowOff>91546</xdr:rowOff>
    </xdr:from>
    <xdr:to>
      <xdr:col>45</xdr:col>
      <xdr:colOff>661459</xdr:colOff>
      <xdr:row>44</xdr:row>
      <xdr:rowOff>55563</xdr:rowOff>
    </xdr:to>
    <xdr:graphicFrame macro="">
      <xdr:nvGraphicFramePr>
        <xdr:cNvPr id="8" name="Chart 7">
          <a:extLst>
            <a:ext uri="{FF2B5EF4-FFF2-40B4-BE49-F238E27FC236}">
              <a16:creationId xmlns:a16="http://schemas.microsoft.com/office/drawing/2014/main" id="{0AA6246C-B027-491D-B668-EFF0E42DAEF0}"/>
            </a:ext>
            <a:ext uri="{147F2762-F138-4A5C-976F-8EAC2B608ADB}">
              <a16:predDERef xmlns:a16="http://schemas.microsoft.com/office/drawing/2014/main" pred="{77F6C0AA-FF6B-4753-AA67-E9EBB884B0E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36</xdr:col>
      <xdr:colOff>359833</xdr:colOff>
      <xdr:row>50</xdr:row>
      <xdr:rowOff>73024</xdr:rowOff>
    </xdr:from>
    <xdr:to>
      <xdr:col>43</xdr:col>
      <xdr:colOff>391583</xdr:colOff>
      <xdr:row>65</xdr:row>
      <xdr:rowOff>117474</xdr:rowOff>
    </xdr:to>
    <xdr:graphicFrame macro="">
      <xdr:nvGraphicFramePr>
        <xdr:cNvPr id="9" name="Chart 8">
          <a:extLst>
            <a:ext uri="{FF2B5EF4-FFF2-40B4-BE49-F238E27FC236}">
              <a16:creationId xmlns:a16="http://schemas.microsoft.com/office/drawing/2014/main" id="{0C2C4997-BFD5-41A7-961F-5A089CDD3D26}"/>
            </a:ext>
            <a:ext uri="{147F2762-F138-4A5C-976F-8EAC2B608ADB}">
              <a16:predDERef xmlns:a16="http://schemas.microsoft.com/office/drawing/2014/main" pred="{0AA6246C-B027-491D-B668-EFF0E42DAE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xdr:col>
      <xdr:colOff>496359</xdr:colOff>
      <xdr:row>105</xdr:row>
      <xdr:rowOff>49741</xdr:rowOff>
    </xdr:from>
    <xdr:to>
      <xdr:col>15</xdr:col>
      <xdr:colOff>275167</xdr:colOff>
      <xdr:row>120</xdr:row>
      <xdr:rowOff>97366</xdr:rowOff>
    </xdr:to>
    <xdr:graphicFrame macro="">
      <xdr:nvGraphicFramePr>
        <xdr:cNvPr id="11" name="Chart 10">
          <a:extLst>
            <a:ext uri="{FF2B5EF4-FFF2-40B4-BE49-F238E27FC236}">
              <a16:creationId xmlns:a16="http://schemas.microsoft.com/office/drawing/2014/main" id="{E4FB2ECC-FBA1-4BA7-B9B3-13CAC75F5BA6}"/>
            </a:ext>
            <a:ext uri="{147F2762-F138-4A5C-976F-8EAC2B608ADB}">
              <a16:predDERef xmlns:a16="http://schemas.microsoft.com/office/drawing/2014/main" pred="{0C2C4997-BFD5-41A7-961F-5A089CDD3D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16</xdr:col>
      <xdr:colOff>77259</xdr:colOff>
      <xdr:row>108</xdr:row>
      <xdr:rowOff>179917</xdr:rowOff>
    </xdr:from>
    <xdr:to>
      <xdr:col>22</xdr:col>
      <xdr:colOff>324909</xdr:colOff>
      <xdr:row>124</xdr:row>
      <xdr:rowOff>44450</xdr:rowOff>
    </xdr:to>
    <xdr:graphicFrame macro="">
      <xdr:nvGraphicFramePr>
        <xdr:cNvPr id="20" name="Chart 19">
          <a:extLst>
            <a:ext uri="{FF2B5EF4-FFF2-40B4-BE49-F238E27FC236}">
              <a16:creationId xmlns:a16="http://schemas.microsoft.com/office/drawing/2014/main" id="{83BF355E-2EFD-464E-B80C-40247530463A}"/>
            </a:ext>
            <a:ext uri="{147F2762-F138-4A5C-976F-8EAC2B608ADB}">
              <a16:predDERef xmlns:a16="http://schemas.microsoft.com/office/drawing/2014/main" pred="{E4FB2ECC-FBA1-4BA7-B9B3-13CAC75F5BA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8</xdr:col>
      <xdr:colOff>287686</xdr:colOff>
      <xdr:row>139</xdr:row>
      <xdr:rowOff>156918</xdr:rowOff>
    </xdr:from>
    <xdr:to>
      <xdr:col>15</xdr:col>
      <xdr:colOff>23103</xdr:colOff>
      <xdr:row>159</xdr:row>
      <xdr:rowOff>23258</xdr:rowOff>
    </xdr:to>
    <xdr:graphicFrame macro="">
      <xdr:nvGraphicFramePr>
        <xdr:cNvPr id="4" name="Chart 3">
          <a:extLst>
            <a:ext uri="{FF2B5EF4-FFF2-40B4-BE49-F238E27FC236}">
              <a16:creationId xmlns:a16="http://schemas.microsoft.com/office/drawing/2014/main" id="{A5E66CE9-6682-48B2-9410-65554001A1C9}"/>
            </a:ext>
            <a:ext uri="{147F2762-F138-4A5C-976F-8EAC2B608ADB}">
              <a16:predDERef xmlns:a16="http://schemas.microsoft.com/office/drawing/2014/main" pred="{83BF355E-2EFD-464E-B80C-40247530463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24</xdr:col>
      <xdr:colOff>290244</xdr:colOff>
      <xdr:row>137</xdr:row>
      <xdr:rowOff>166597</xdr:rowOff>
    </xdr:from>
    <xdr:to>
      <xdr:col>37</xdr:col>
      <xdr:colOff>1189591</xdr:colOff>
      <xdr:row>157</xdr:row>
      <xdr:rowOff>45542</xdr:rowOff>
    </xdr:to>
    <xdr:graphicFrame macro="">
      <xdr:nvGraphicFramePr>
        <xdr:cNvPr id="13" name="Chart 12">
          <a:extLst>
            <a:ext uri="{FF2B5EF4-FFF2-40B4-BE49-F238E27FC236}">
              <a16:creationId xmlns:a16="http://schemas.microsoft.com/office/drawing/2014/main" id="{E6BE9128-10DD-4A8C-842F-0AEC0956EEF5}"/>
            </a:ext>
            <a:ext uri="{147F2762-F138-4A5C-976F-8EAC2B608ADB}">
              <a16:predDERef xmlns:a16="http://schemas.microsoft.com/office/drawing/2014/main" pred="{A5E66CE9-6682-48B2-9410-65554001A1C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25</xdr:col>
      <xdr:colOff>232918</xdr:colOff>
      <xdr:row>6</xdr:row>
      <xdr:rowOff>136556</xdr:rowOff>
    </xdr:from>
    <xdr:to>
      <xdr:col>31</xdr:col>
      <xdr:colOff>565411</xdr:colOff>
      <xdr:row>21</xdr:row>
      <xdr:rowOff>158328</xdr:rowOff>
    </xdr:to>
    <xdr:graphicFrame macro="">
      <xdr:nvGraphicFramePr>
        <xdr:cNvPr id="12" name="Chart 11">
          <a:extLst>
            <a:ext uri="{FF2B5EF4-FFF2-40B4-BE49-F238E27FC236}">
              <a16:creationId xmlns:a16="http://schemas.microsoft.com/office/drawing/2014/main" id="{F52FDFA0-C4CD-4D2D-9B20-55F8584FCAC5}"/>
            </a:ext>
            <a:ext uri="{147F2762-F138-4A5C-976F-8EAC2B608ADB}">
              <a16:predDERef xmlns:a16="http://schemas.microsoft.com/office/drawing/2014/main" pred="{E6BE9128-10DD-4A8C-842F-0AEC0956EE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31</xdr:col>
      <xdr:colOff>21167</xdr:colOff>
      <xdr:row>179</xdr:row>
      <xdr:rowOff>148167</xdr:rowOff>
    </xdr:from>
    <xdr:to>
      <xdr:col>42</xdr:col>
      <xdr:colOff>365428</xdr:colOff>
      <xdr:row>199</xdr:row>
      <xdr:rowOff>21166</xdr:rowOff>
    </xdr:to>
    <xdr:graphicFrame macro="">
      <xdr:nvGraphicFramePr>
        <xdr:cNvPr id="15" name="Chart 14">
          <a:extLst>
            <a:ext uri="{FF2B5EF4-FFF2-40B4-BE49-F238E27FC236}">
              <a16:creationId xmlns:a16="http://schemas.microsoft.com/office/drawing/2014/main" id="{E359DC19-3C2D-4E48-A46A-D6722A8DC894}"/>
            </a:ext>
            <a:ext uri="{147F2762-F138-4A5C-976F-8EAC2B608ADB}">
              <a16:predDERef xmlns:a16="http://schemas.microsoft.com/office/drawing/2014/main" pred="{F52FDFA0-C4CD-4D2D-9B20-55F8584FCA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5</xdr:col>
      <xdr:colOff>710677</xdr:colOff>
      <xdr:row>196</xdr:row>
      <xdr:rowOff>50626</xdr:rowOff>
    </xdr:from>
    <xdr:to>
      <xdr:col>12</xdr:col>
      <xdr:colOff>591507</xdr:colOff>
      <xdr:row>219</xdr:row>
      <xdr:rowOff>8698</xdr:rowOff>
    </xdr:to>
    <xdr:graphicFrame macro="">
      <xdr:nvGraphicFramePr>
        <xdr:cNvPr id="19" name="Chart 18">
          <a:extLst>
            <a:ext uri="{FF2B5EF4-FFF2-40B4-BE49-F238E27FC236}">
              <a16:creationId xmlns:a16="http://schemas.microsoft.com/office/drawing/2014/main" id="{D89126FF-A480-9ECC-439D-F25CDC02213A}"/>
            </a:ext>
            <a:ext uri="{147F2762-F138-4A5C-976F-8EAC2B608ADB}">
              <a16:predDERef xmlns:a16="http://schemas.microsoft.com/office/drawing/2014/main" pred="{E359DC19-3C2D-4E48-A46A-D6722A8DC89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15</xdr:col>
      <xdr:colOff>708315</xdr:colOff>
      <xdr:row>196</xdr:row>
      <xdr:rowOff>28365</xdr:rowOff>
    </xdr:from>
    <xdr:to>
      <xdr:col>21</xdr:col>
      <xdr:colOff>287645</xdr:colOff>
      <xdr:row>211</xdr:row>
      <xdr:rowOff>138163</xdr:rowOff>
    </xdr:to>
    <xdr:graphicFrame macro="">
      <xdr:nvGraphicFramePr>
        <xdr:cNvPr id="22" name="Chart 21">
          <a:extLst>
            <a:ext uri="{FF2B5EF4-FFF2-40B4-BE49-F238E27FC236}">
              <a16:creationId xmlns:a16="http://schemas.microsoft.com/office/drawing/2014/main" id="{89ACB21E-1D6D-869F-7E4D-E06F7DDD78DB}"/>
            </a:ext>
            <a:ext uri="{147F2762-F138-4A5C-976F-8EAC2B608ADB}">
              <a16:predDERef xmlns:a16="http://schemas.microsoft.com/office/drawing/2014/main" pred="{D89126FF-A480-9ECC-439D-F25CDC02213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46</xdr:col>
      <xdr:colOff>0</xdr:colOff>
      <xdr:row>177</xdr:row>
      <xdr:rowOff>0</xdr:rowOff>
    </xdr:from>
    <xdr:to>
      <xdr:col>61</xdr:col>
      <xdr:colOff>150716</xdr:colOff>
      <xdr:row>196</xdr:row>
      <xdr:rowOff>60374</xdr:rowOff>
    </xdr:to>
    <xdr:graphicFrame macro="">
      <xdr:nvGraphicFramePr>
        <xdr:cNvPr id="23" name="Chart 22">
          <a:extLst>
            <a:ext uri="{FF2B5EF4-FFF2-40B4-BE49-F238E27FC236}">
              <a16:creationId xmlns:a16="http://schemas.microsoft.com/office/drawing/2014/main" id="{E366501B-29E9-45EA-80EC-F890ACDB2077}"/>
            </a:ext>
            <a:ext uri="{147F2762-F138-4A5C-976F-8EAC2B608ADB}">
              <a16:predDERef xmlns:a16="http://schemas.microsoft.com/office/drawing/2014/main" pred="{89ACB21E-1D6D-869F-7E4D-E06F7DDD78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16</xdr:col>
      <xdr:colOff>365123</xdr:colOff>
      <xdr:row>226</xdr:row>
      <xdr:rowOff>80962</xdr:rowOff>
    </xdr:from>
    <xdr:to>
      <xdr:col>21</xdr:col>
      <xdr:colOff>515937</xdr:colOff>
      <xdr:row>243</xdr:row>
      <xdr:rowOff>0</xdr:rowOff>
    </xdr:to>
    <xdr:graphicFrame macro="">
      <xdr:nvGraphicFramePr>
        <xdr:cNvPr id="21" name="Chart 20">
          <a:extLst>
            <a:ext uri="{FF2B5EF4-FFF2-40B4-BE49-F238E27FC236}">
              <a16:creationId xmlns:a16="http://schemas.microsoft.com/office/drawing/2014/main" id="{0648C94E-7C0F-98C9-714C-CB50416631F1}"/>
            </a:ext>
            <a:ext uri="{147F2762-F138-4A5C-976F-8EAC2B608ADB}">
              <a16:predDERef xmlns:a16="http://schemas.microsoft.com/office/drawing/2014/main" pred="{E366501B-29E9-45EA-80EC-F890ACDB20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17</xdr:col>
      <xdr:colOff>225709</xdr:colOff>
      <xdr:row>279</xdr:row>
      <xdr:rowOff>86223</xdr:rowOff>
    </xdr:from>
    <xdr:to>
      <xdr:col>27</xdr:col>
      <xdr:colOff>199604</xdr:colOff>
      <xdr:row>299</xdr:row>
      <xdr:rowOff>12224</xdr:rowOff>
    </xdr:to>
    <xdr:graphicFrame macro="">
      <xdr:nvGraphicFramePr>
        <xdr:cNvPr id="25" name="Chart 24">
          <a:extLst>
            <a:ext uri="{FF2B5EF4-FFF2-40B4-BE49-F238E27FC236}">
              <a16:creationId xmlns:a16="http://schemas.microsoft.com/office/drawing/2014/main" id="{F7290776-B9D5-EFC7-6C17-8F0418065D5B}"/>
            </a:ext>
            <a:ext uri="{147F2762-F138-4A5C-976F-8EAC2B608ADB}">
              <a16:predDERef xmlns:a16="http://schemas.microsoft.com/office/drawing/2014/main" pred="{0648C94E-7C0F-98C9-714C-CB50416631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14</xdr:col>
      <xdr:colOff>279796</xdr:colOff>
      <xdr:row>337</xdr:row>
      <xdr:rowOff>128588</xdr:rowOff>
    </xdr:from>
    <xdr:to>
      <xdr:col>18</xdr:col>
      <xdr:colOff>458390</xdr:colOff>
      <xdr:row>345</xdr:row>
      <xdr:rowOff>633413</xdr:rowOff>
    </xdr:to>
    <xdr:graphicFrame macro="">
      <xdr:nvGraphicFramePr>
        <xdr:cNvPr id="24" name="Chart 23">
          <a:extLst>
            <a:ext uri="{FF2B5EF4-FFF2-40B4-BE49-F238E27FC236}">
              <a16:creationId xmlns:a16="http://schemas.microsoft.com/office/drawing/2014/main" id="{A2D291C6-F87C-5F87-0EE6-317F318FFAF7}"/>
            </a:ext>
            <a:ext uri="{147F2762-F138-4A5C-976F-8EAC2B608ADB}">
              <a16:predDERef xmlns:a16="http://schemas.microsoft.com/office/drawing/2014/main" pred="{F7290776-B9D5-EFC7-6C17-8F0418065D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wsDr>
</file>

<file path=xl/drawings/drawing7.xml><?xml version="1.0" encoding="utf-8"?>
<c:userShapes xmlns:c="http://schemas.openxmlformats.org/drawingml/2006/chart">
  <cdr:relSizeAnchor xmlns:cdr="http://schemas.openxmlformats.org/drawingml/2006/chartDrawing">
    <cdr:from>
      <cdr:x>0.06804</cdr:x>
      <cdr:y>0.0621</cdr:y>
    </cdr:from>
    <cdr:to>
      <cdr:x>0.82648</cdr:x>
      <cdr:y>0.752</cdr:y>
    </cdr:to>
    <cdr:grpSp>
      <cdr:nvGrpSpPr>
        <cdr:cNvPr id="11" name="Group 10">
          <a:extLst xmlns:a="http://schemas.openxmlformats.org/drawingml/2006/main">
            <a:ext uri="{FF2B5EF4-FFF2-40B4-BE49-F238E27FC236}">
              <a16:creationId xmlns:a16="http://schemas.microsoft.com/office/drawing/2014/main" id="{46573558-9984-5010-7305-419F8152A2C5}"/>
            </a:ext>
          </a:extLst>
        </cdr:cNvPr>
        <cdr:cNvGrpSpPr/>
      </cdr:nvGrpSpPr>
      <cdr:grpSpPr>
        <a:xfrm xmlns:a="http://schemas.openxmlformats.org/drawingml/2006/main">
          <a:off x="593512" y="229083"/>
          <a:ext cx="6615861" cy="2545004"/>
          <a:chOff x="2130848" y="196441"/>
          <a:chExt cx="4362646" cy="2412000"/>
        </a:xfrm>
      </cdr:grpSpPr>
      <cdr:grpSp>
        <cdr:nvGrpSpPr>
          <cdr:cNvPr id="4" name="Group 3">
            <a:extLst xmlns:a="http://schemas.openxmlformats.org/drawingml/2006/main">
              <a:ext uri="{FF2B5EF4-FFF2-40B4-BE49-F238E27FC236}">
                <a16:creationId xmlns:a16="http://schemas.microsoft.com/office/drawing/2014/main" id="{2C5E7284-A1E3-42FB-8FA1-C91E09846BF7}"/>
              </a:ext>
            </a:extLst>
          </cdr:cNvPr>
          <cdr:cNvGrpSpPr/>
        </cdr:nvGrpSpPr>
        <cdr:grpSpPr>
          <a:xfrm xmlns:a="http://schemas.openxmlformats.org/drawingml/2006/main">
            <a:off x="3985468" y="196441"/>
            <a:ext cx="2508026" cy="2402561"/>
            <a:chOff x="4487990" y="199191"/>
            <a:chExt cx="2841933" cy="2436282"/>
          </a:xfrm>
        </cdr:grpSpPr>
        <cdr:sp macro="" textlink="">
          <cdr:nvSpPr>
            <cdr:cNvPr id="3" name="Rectangle 2">
              <a:extLst xmlns:a="http://schemas.openxmlformats.org/drawingml/2006/main">
                <a:ext uri="{FF2B5EF4-FFF2-40B4-BE49-F238E27FC236}">
                  <a16:creationId xmlns:a16="http://schemas.microsoft.com/office/drawing/2014/main" id="{AC70C2A0-F603-4BCD-B98F-ADB078880FD2}"/>
                </a:ext>
              </a:extLst>
            </cdr:cNvPr>
            <cdr:cNvSpPr/>
          </cdr:nvSpPr>
          <cdr:spPr>
            <a:xfrm xmlns:a="http://schemas.openxmlformats.org/drawingml/2006/main">
              <a:off x="4487990" y="199191"/>
              <a:ext cx="2841933" cy="2436282"/>
            </a:xfrm>
            <a:prstGeom xmlns:a="http://schemas.openxmlformats.org/drawingml/2006/main" prst="rect">
              <a:avLst/>
            </a:prstGeom>
            <a:solidFill xmlns:a="http://schemas.openxmlformats.org/drawingml/2006/main">
              <a:srgbClr val="15C132">
                <a:alpha val="10000"/>
              </a:srgbClr>
            </a:solidFill>
            <a:ln xmlns:a="http://schemas.openxmlformats.org/drawingml/2006/main" w="9525" cap="flat" cmpd="sng" algn="ctr">
              <a:solidFill>
                <a:schemeClr val="accent4"/>
              </a:solidFill>
              <a:prstDash val="solid"/>
              <a:round/>
              <a:headEnd type="none" w="med" len="med"/>
              <a:tailEnd type="none" w="med" len="med"/>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accent5"/>
            </a:fontRef>
          </cdr:style>
          <cdr:txBody>
            <a:bodyPr xmlns:a="http://schemas.openxmlformats.org/drawingml/2006/main"/>
            <a:lstStyle xmlns:a="http://schemas.openxmlformats.org/drawingml/2006/main">
              <a:lvl1pPr marL="0" indent="0">
                <a:defRPr sz="1100">
                  <a:solidFill>
                    <a:schemeClr val="accent5"/>
                  </a:solidFill>
                  <a:latin typeface="+mn-lt"/>
                  <a:ea typeface="+mn-ea"/>
                  <a:cs typeface="+mn-cs"/>
                </a:defRPr>
              </a:lvl1pPr>
              <a:lvl2pPr marL="457200" indent="0">
                <a:defRPr sz="1100">
                  <a:solidFill>
                    <a:schemeClr val="accent5"/>
                  </a:solidFill>
                  <a:latin typeface="+mn-lt"/>
                  <a:ea typeface="+mn-ea"/>
                  <a:cs typeface="+mn-cs"/>
                </a:defRPr>
              </a:lvl2pPr>
              <a:lvl3pPr marL="914400" indent="0">
                <a:defRPr sz="1100">
                  <a:solidFill>
                    <a:schemeClr val="accent5"/>
                  </a:solidFill>
                  <a:latin typeface="+mn-lt"/>
                  <a:ea typeface="+mn-ea"/>
                  <a:cs typeface="+mn-cs"/>
                </a:defRPr>
              </a:lvl3pPr>
              <a:lvl4pPr marL="1371600" indent="0">
                <a:defRPr sz="1100">
                  <a:solidFill>
                    <a:schemeClr val="accent5"/>
                  </a:solidFill>
                  <a:latin typeface="+mn-lt"/>
                  <a:ea typeface="+mn-ea"/>
                  <a:cs typeface="+mn-cs"/>
                </a:defRPr>
              </a:lvl4pPr>
              <a:lvl5pPr marL="1828800" indent="0">
                <a:defRPr sz="1100">
                  <a:solidFill>
                    <a:schemeClr val="accent5"/>
                  </a:solidFill>
                  <a:latin typeface="+mn-lt"/>
                  <a:ea typeface="+mn-ea"/>
                  <a:cs typeface="+mn-cs"/>
                </a:defRPr>
              </a:lvl5pPr>
              <a:lvl6pPr marL="2286000" indent="0">
                <a:defRPr sz="1100">
                  <a:solidFill>
                    <a:schemeClr val="accent5"/>
                  </a:solidFill>
                  <a:latin typeface="+mn-lt"/>
                  <a:ea typeface="+mn-ea"/>
                  <a:cs typeface="+mn-cs"/>
                </a:defRPr>
              </a:lvl6pPr>
              <a:lvl7pPr marL="2743200" indent="0">
                <a:defRPr sz="1100">
                  <a:solidFill>
                    <a:schemeClr val="accent5"/>
                  </a:solidFill>
                  <a:latin typeface="+mn-lt"/>
                  <a:ea typeface="+mn-ea"/>
                  <a:cs typeface="+mn-cs"/>
                </a:defRPr>
              </a:lvl7pPr>
              <a:lvl8pPr marL="3200400" indent="0">
                <a:defRPr sz="1100">
                  <a:solidFill>
                    <a:schemeClr val="accent5"/>
                  </a:solidFill>
                  <a:latin typeface="+mn-lt"/>
                  <a:ea typeface="+mn-ea"/>
                  <a:cs typeface="+mn-cs"/>
                </a:defRPr>
              </a:lvl8pPr>
              <a:lvl9pPr marL="3657600" indent="0">
                <a:defRPr sz="1100">
                  <a:solidFill>
                    <a:schemeClr val="accent5"/>
                  </a:solidFill>
                  <a:latin typeface="+mn-lt"/>
                  <a:ea typeface="+mn-ea"/>
                  <a:cs typeface="+mn-cs"/>
                </a:defRPr>
              </a:lvl9pPr>
            </a:lstStyle>
            <a:p xmlns:a="http://schemas.openxmlformats.org/drawingml/2006/main">
              <a:pPr algn="ctr"/>
              <a:r>
                <a:rPr lang="en-US" sz="800" b="1" baseline="0">
                  <a:solidFill>
                    <a:sysClr val="windowText" lastClr="000000"/>
                  </a:solidFill>
                </a:rPr>
                <a:t>Sau tái cấu trúc: định vị mô hình Minimart mới</a:t>
              </a:r>
            </a:p>
          </cdr:txBody>
        </cdr:sp>
      </cdr:grpSp>
      <cdr:sp macro="" textlink="">
        <cdr:nvSpPr>
          <cdr:cNvPr id="6" name="Rectangle 5">
            <a:extLst xmlns:a="http://schemas.openxmlformats.org/drawingml/2006/main">
              <a:ext uri="{FF2B5EF4-FFF2-40B4-BE49-F238E27FC236}">
                <a16:creationId xmlns:a16="http://schemas.microsoft.com/office/drawing/2014/main" id="{C92A8A9F-32B9-4A5F-7477-9CD50842E63B}"/>
              </a:ext>
            </a:extLst>
          </cdr:cNvPr>
          <cdr:cNvSpPr/>
        </cdr:nvSpPr>
        <cdr:spPr>
          <a:xfrm xmlns:a="http://schemas.openxmlformats.org/drawingml/2006/main">
            <a:off x="2130848" y="197529"/>
            <a:ext cx="2145023" cy="2410912"/>
          </a:xfrm>
          <a:prstGeom xmlns:a="http://schemas.openxmlformats.org/drawingml/2006/main" prst="rect">
            <a:avLst/>
          </a:prstGeom>
          <a:solidFill xmlns:a="http://schemas.openxmlformats.org/drawingml/2006/main">
            <a:schemeClr val="accent5">
              <a:alpha val="10000"/>
            </a:schemeClr>
          </a:solidFill>
          <a:ln xmlns:a="http://schemas.openxmlformats.org/drawingml/2006/main" w="9525" cap="flat" cmpd="sng" algn="ctr">
            <a:solidFill>
              <a:schemeClr val="accent5"/>
            </a:solidFill>
            <a:prstDash val="solid"/>
            <a:round/>
            <a:headEnd type="none" w="med" len="med"/>
            <a:tailEnd type="none" w="med" len="med"/>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accent5"/>
          </a:fontRef>
        </cdr:style>
        <cdr:txBody>
          <a:bodyPr xmlns:a="http://schemas.openxmlformats.org/drawingml/2006/main"/>
          <a:lstStyle xmlns:a="http://schemas.openxmlformats.org/drawingml/2006/main">
            <a:lvl1pPr marL="0" indent="0">
              <a:defRPr sz="1100">
                <a:solidFill>
                  <a:schemeClr val="accent5"/>
                </a:solidFill>
                <a:latin typeface="+mn-lt"/>
                <a:ea typeface="+mn-ea"/>
                <a:cs typeface="+mn-cs"/>
              </a:defRPr>
            </a:lvl1pPr>
            <a:lvl2pPr marL="457200" indent="0">
              <a:defRPr sz="1100">
                <a:solidFill>
                  <a:schemeClr val="accent5"/>
                </a:solidFill>
                <a:latin typeface="+mn-lt"/>
                <a:ea typeface="+mn-ea"/>
                <a:cs typeface="+mn-cs"/>
              </a:defRPr>
            </a:lvl2pPr>
            <a:lvl3pPr marL="914400" indent="0">
              <a:defRPr sz="1100">
                <a:solidFill>
                  <a:schemeClr val="accent5"/>
                </a:solidFill>
                <a:latin typeface="+mn-lt"/>
                <a:ea typeface="+mn-ea"/>
                <a:cs typeface="+mn-cs"/>
              </a:defRPr>
            </a:lvl3pPr>
            <a:lvl4pPr marL="1371600" indent="0">
              <a:defRPr sz="1100">
                <a:solidFill>
                  <a:schemeClr val="accent5"/>
                </a:solidFill>
                <a:latin typeface="+mn-lt"/>
                <a:ea typeface="+mn-ea"/>
                <a:cs typeface="+mn-cs"/>
              </a:defRPr>
            </a:lvl4pPr>
            <a:lvl5pPr marL="1828800" indent="0">
              <a:defRPr sz="1100">
                <a:solidFill>
                  <a:schemeClr val="accent5"/>
                </a:solidFill>
                <a:latin typeface="+mn-lt"/>
                <a:ea typeface="+mn-ea"/>
                <a:cs typeface="+mn-cs"/>
              </a:defRPr>
            </a:lvl5pPr>
            <a:lvl6pPr marL="2286000" indent="0">
              <a:defRPr sz="1100">
                <a:solidFill>
                  <a:schemeClr val="accent5"/>
                </a:solidFill>
                <a:latin typeface="+mn-lt"/>
                <a:ea typeface="+mn-ea"/>
                <a:cs typeface="+mn-cs"/>
              </a:defRPr>
            </a:lvl6pPr>
            <a:lvl7pPr marL="2743200" indent="0">
              <a:defRPr sz="1100">
                <a:solidFill>
                  <a:schemeClr val="accent5"/>
                </a:solidFill>
                <a:latin typeface="+mn-lt"/>
                <a:ea typeface="+mn-ea"/>
                <a:cs typeface="+mn-cs"/>
              </a:defRPr>
            </a:lvl7pPr>
            <a:lvl8pPr marL="3200400" indent="0">
              <a:defRPr sz="1100">
                <a:solidFill>
                  <a:schemeClr val="accent5"/>
                </a:solidFill>
                <a:latin typeface="+mn-lt"/>
                <a:ea typeface="+mn-ea"/>
                <a:cs typeface="+mn-cs"/>
              </a:defRPr>
            </a:lvl8pPr>
            <a:lvl9pPr marL="3657600" indent="0">
              <a:defRPr sz="1100">
                <a:solidFill>
                  <a:schemeClr val="accent5"/>
                </a:solidFill>
                <a:latin typeface="+mn-lt"/>
                <a:ea typeface="+mn-ea"/>
                <a:cs typeface="+mn-cs"/>
              </a:defRPr>
            </a:lvl9pPr>
          </a:lstStyle>
          <a:p xmlns:a="http://schemas.openxmlformats.org/drawingml/2006/main">
            <a:pPr algn="ctr"/>
            <a:r>
              <a:rPr lang="en-US" sz="800" b="1">
                <a:solidFill>
                  <a:sysClr val="windowText" lastClr="000000"/>
                </a:solidFill>
              </a:rPr>
              <a:t>Trước</a:t>
            </a:r>
            <a:r>
              <a:rPr lang="en-US" sz="800" b="1" baseline="0">
                <a:solidFill>
                  <a:sysClr val="windowText" lastClr="000000"/>
                </a:solidFill>
              </a:rPr>
              <a:t> tái cấu trúc</a:t>
            </a:r>
            <a:endParaRPr lang="vi-VN" sz="800" b="1">
              <a:solidFill>
                <a:sysClr val="windowText" lastClr="000000"/>
              </a:solidFill>
            </a:endParaRPr>
          </a:p>
        </cdr:txBody>
      </cdr:sp>
    </cdr:grpSp>
  </cdr:relSizeAnchor>
  <cdr:relSizeAnchor xmlns:cdr="http://schemas.openxmlformats.org/drawingml/2006/chartDrawing">
    <cdr:from>
      <cdr:x>0.64776</cdr:x>
      <cdr:y>0.22478</cdr:y>
    </cdr:from>
    <cdr:to>
      <cdr:x>0.78058</cdr:x>
      <cdr:y>0.33456</cdr:y>
    </cdr:to>
    <cdr:cxnSp macro="">
      <cdr:nvCxnSpPr>
        <cdr:cNvPr id="13" name="Straight Arrow Connector 12">
          <a:extLst xmlns:a="http://schemas.openxmlformats.org/drawingml/2006/main">
            <a:ext uri="{FF2B5EF4-FFF2-40B4-BE49-F238E27FC236}">
              <a16:creationId xmlns:a16="http://schemas.microsoft.com/office/drawing/2014/main" id="{28F35BBA-081E-3C55-A8B6-6757E16C04FC}"/>
            </a:ext>
          </a:extLst>
        </cdr:cNvPr>
        <cdr:cNvCxnSpPr/>
      </cdr:nvCxnSpPr>
      <cdr:spPr>
        <a:xfrm xmlns:a="http://schemas.openxmlformats.org/drawingml/2006/main" flipV="1">
          <a:off x="5974695" y="780295"/>
          <a:ext cx="1225147" cy="381065"/>
        </a:xfrm>
        <a:prstGeom xmlns:a="http://schemas.openxmlformats.org/drawingml/2006/main" prst="straightConnector1">
          <a:avLst/>
        </a:prstGeom>
        <a:ln xmlns:a="http://schemas.openxmlformats.org/drawingml/2006/main">
          <a:tailEnd type="triangle"/>
        </a:ln>
      </cdr:spPr>
      <cdr:style>
        <a:lnRef xmlns:a="http://schemas.openxmlformats.org/drawingml/2006/main" idx="1">
          <a:schemeClr val="accent4"/>
        </a:lnRef>
        <a:fillRef xmlns:a="http://schemas.openxmlformats.org/drawingml/2006/main" idx="0">
          <a:schemeClr val="accent4"/>
        </a:fillRef>
        <a:effectRef xmlns:a="http://schemas.openxmlformats.org/drawingml/2006/main" idx="0">
          <a:schemeClr val="accent4"/>
        </a:effectRef>
        <a:fontRef xmlns:a="http://schemas.openxmlformats.org/drawingml/2006/main" idx="minor">
          <a:schemeClr val="tx1"/>
        </a:fontRef>
      </cdr:style>
    </cdr:cxnSp>
  </cdr:relSizeAnchor>
  <cdr:relSizeAnchor xmlns:cdr="http://schemas.openxmlformats.org/drawingml/2006/chartDrawing">
    <cdr:from>
      <cdr:x>0.84713</cdr:x>
      <cdr:y>0.26442</cdr:y>
    </cdr:from>
    <cdr:to>
      <cdr:x>0.93893</cdr:x>
      <cdr:y>0.42905</cdr:y>
    </cdr:to>
    <cdr:cxnSp macro="">
      <cdr:nvCxnSpPr>
        <cdr:cNvPr id="15" name="Straight Arrow Connector 14">
          <a:extLst xmlns:a="http://schemas.openxmlformats.org/drawingml/2006/main">
            <a:ext uri="{FF2B5EF4-FFF2-40B4-BE49-F238E27FC236}">
              <a16:creationId xmlns:a16="http://schemas.microsoft.com/office/drawing/2014/main" id="{B90FB556-8BBC-77A6-AF04-EEFC676EE800}"/>
            </a:ext>
          </a:extLst>
        </cdr:cNvPr>
        <cdr:cNvCxnSpPr/>
      </cdr:nvCxnSpPr>
      <cdr:spPr>
        <a:xfrm xmlns:a="http://schemas.openxmlformats.org/drawingml/2006/main" flipV="1">
          <a:off x="7813676" y="917878"/>
          <a:ext cx="846666" cy="571500"/>
        </a:xfrm>
        <a:prstGeom xmlns:a="http://schemas.openxmlformats.org/drawingml/2006/main" prst="straightConnector1">
          <a:avLst/>
        </a:prstGeom>
        <a:ln xmlns:a="http://schemas.openxmlformats.org/drawingml/2006/main" w="9525" cap="flat" cmpd="sng" algn="ctr">
          <a:solidFill>
            <a:schemeClr val="accent4"/>
          </a:solidFill>
          <a:prstDash val="dash"/>
          <a:round/>
          <a:headEnd type="none" w="med" len="med"/>
          <a:tailEnd type="triangle" w="med" len="med"/>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cxnSp>
  </cdr:relSizeAnchor>
</c:userShapes>
</file>

<file path=xl/drawings/drawing8.xml><?xml version="1.0" encoding="utf-8"?>
<c:userShapes xmlns:c="http://schemas.openxmlformats.org/drawingml/2006/chart">
  <cdr:relSizeAnchor xmlns:cdr="http://schemas.openxmlformats.org/drawingml/2006/chartDrawing">
    <cdr:from>
      <cdr:x>0.04464</cdr:x>
      <cdr:y>0.08954</cdr:y>
    </cdr:from>
    <cdr:to>
      <cdr:x>0.95806</cdr:x>
      <cdr:y>0.78249</cdr:y>
    </cdr:to>
    <cdr:grpSp>
      <cdr:nvGrpSpPr>
        <cdr:cNvPr id="11" name="Group 10">
          <a:extLst xmlns:a="http://schemas.openxmlformats.org/drawingml/2006/main">
            <a:ext uri="{FF2B5EF4-FFF2-40B4-BE49-F238E27FC236}">
              <a16:creationId xmlns:a16="http://schemas.microsoft.com/office/drawing/2014/main" id="{46573558-9984-5010-7305-419F8152A2C5}"/>
            </a:ext>
          </a:extLst>
        </cdr:cNvPr>
        <cdr:cNvGrpSpPr/>
      </cdr:nvGrpSpPr>
      <cdr:grpSpPr>
        <a:xfrm xmlns:a="http://schemas.openxmlformats.org/drawingml/2006/main">
          <a:off x="360803" y="329776"/>
          <a:ext cx="7382720" cy="2552134"/>
          <a:chOff x="313475" y="185783"/>
          <a:chExt cx="7113150" cy="2422658"/>
        </a:xfrm>
      </cdr:grpSpPr>
      <cdr:grpSp>
        <cdr:nvGrpSpPr>
          <cdr:cNvPr id="4" name="Group 3">
            <a:extLst xmlns:a="http://schemas.openxmlformats.org/drawingml/2006/main">
              <a:ext uri="{FF2B5EF4-FFF2-40B4-BE49-F238E27FC236}">
                <a16:creationId xmlns:a16="http://schemas.microsoft.com/office/drawing/2014/main" id="{2C5E7284-A1E3-42FB-8FA1-C91E09846BF7}"/>
              </a:ext>
            </a:extLst>
          </cdr:cNvPr>
          <cdr:cNvGrpSpPr/>
        </cdr:nvGrpSpPr>
        <cdr:grpSpPr>
          <a:xfrm xmlns:a="http://schemas.openxmlformats.org/drawingml/2006/main">
            <a:off x="313475" y="185783"/>
            <a:ext cx="7113150" cy="2412999"/>
            <a:chOff x="327125" y="188383"/>
            <a:chExt cx="8060164" cy="2446867"/>
          </a:xfrm>
        </cdr:grpSpPr>
        <cdr:sp macro="" textlink="">
          <cdr:nvSpPr>
            <cdr:cNvPr id="2" name="Rectangle 1">
              <a:extLst xmlns:a="http://schemas.openxmlformats.org/drawingml/2006/main">
                <a:ext uri="{FF2B5EF4-FFF2-40B4-BE49-F238E27FC236}">
                  <a16:creationId xmlns:a16="http://schemas.microsoft.com/office/drawing/2014/main" id="{60D275D6-4B02-4BF6-A34F-13AC86039205}"/>
                </a:ext>
              </a:extLst>
            </cdr:cNvPr>
            <cdr:cNvSpPr/>
          </cdr:nvSpPr>
          <cdr:spPr>
            <a:xfrm xmlns:a="http://schemas.openxmlformats.org/drawingml/2006/main">
              <a:off x="327125" y="190499"/>
              <a:ext cx="2059328" cy="2444751"/>
            </a:xfrm>
            <a:prstGeom xmlns:a="http://schemas.openxmlformats.org/drawingml/2006/main" prst="rect">
              <a:avLst/>
            </a:prstGeom>
            <a:solidFill xmlns:a="http://schemas.openxmlformats.org/drawingml/2006/main">
              <a:srgbClr val="FF0000">
                <a:alpha val="10000"/>
              </a:srgbClr>
            </a:solidFill>
            <a:ln xmlns:a="http://schemas.openxmlformats.org/drawingml/2006/main" w="3175" cap="flat" cmpd="sng" algn="ctr">
              <a:solidFill>
                <a:srgbClr val="C00000"/>
              </a:solidFill>
              <a:prstDash val="solid"/>
              <a:round/>
              <a:headEnd type="none" w="med" len="med"/>
              <a:tailEnd type="none" w="med" len="med"/>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accent5"/>
            </a:fontRef>
          </cdr:style>
          <cdr:txBody>
            <a:bodyPr xmlns:a="http://schemas.openxmlformats.org/drawingml/2006/main" vertOverflow="clip"/>
            <a:lstStyle xmlns:a="http://schemas.openxmlformats.org/drawingml/2006/main"/>
            <a:p xmlns:a="http://schemas.openxmlformats.org/drawingml/2006/main">
              <a:pPr algn="ctr"/>
              <a:r>
                <a:rPr lang="en-US" sz="800" b="1" baseline="0">
                  <a:solidFill>
                    <a:sysClr val="windowText" lastClr="000000"/>
                  </a:solidFill>
                </a:rPr>
                <a:t>Định vị mô hình cạnh tranh với chợ</a:t>
              </a:r>
            </a:p>
            <a:p xmlns:a="http://schemas.openxmlformats.org/drawingml/2006/main">
              <a:endParaRPr lang="vi-VN" sz="800" b="0">
                <a:solidFill>
                  <a:sysClr val="windowText" lastClr="000000"/>
                </a:solidFill>
              </a:endParaRPr>
            </a:p>
          </cdr:txBody>
        </cdr:sp>
        <cdr:sp macro="" textlink="">
          <cdr:nvSpPr>
            <cdr:cNvPr id="3" name="Rectangle 2">
              <a:extLst xmlns:a="http://schemas.openxmlformats.org/drawingml/2006/main">
                <a:ext uri="{FF2B5EF4-FFF2-40B4-BE49-F238E27FC236}">
                  <a16:creationId xmlns:a16="http://schemas.microsoft.com/office/drawing/2014/main" id="{AC70C2A0-F603-4BCD-B98F-ADB078880FD2}"/>
                </a:ext>
              </a:extLst>
            </cdr:cNvPr>
            <cdr:cNvSpPr/>
          </cdr:nvSpPr>
          <cdr:spPr>
            <a:xfrm xmlns:a="http://schemas.openxmlformats.org/drawingml/2006/main">
              <a:off x="5231570" y="188383"/>
              <a:ext cx="3155719" cy="2436282"/>
            </a:xfrm>
            <a:prstGeom xmlns:a="http://schemas.openxmlformats.org/drawingml/2006/main" prst="rect">
              <a:avLst/>
            </a:prstGeom>
            <a:solidFill xmlns:a="http://schemas.openxmlformats.org/drawingml/2006/main">
              <a:srgbClr val="15C132">
                <a:alpha val="10000"/>
              </a:srgbClr>
            </a:solidFill>
            <a:ln xmlns:a="http://schemas.openxmlformats.org/drawingml/2006/main" w="9525" cap="flat" cmpd="sng" algn="ctr">
              <a:solidFill>
                <a:schemeClr val="accent4"/>
              </a:solidFill>
              <a:prstDash val="solid"/>
              <a:round/>
              <a:headEnd type="none" w="med" len="med"/>
              <a:tailEnd type="none" w="med" len="med"/>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accent5"/>
            </a:fontRef>
          </cdr:style>
          <cdr:txBody>
            <a:bodyPr xmlns:a="http://schemas.openxmlformats.org/drawingml/2006/main"/>
            <a:lstStyle xmlns:a="http://schemas.openxmlformats.org/drawingml/2006/main">
              <a:lvl1pPr marL="0" indent="0">
                <a:defRPr sz="1100">
                  <a:solidFill>
                    <a:schemeClr val="accent5"/>
                  </a:solidFill>
                  <a:latin typeface="+mn-lt"/>
                  <a:ea typeface="+mn-ea"/>
                  <a:cs typeface="+mn-cs"/>
                </a:defRPr>
              </a:lvl1pPr>
              <a:lvl2pPr marL="457200" indent="0">
                <a:defRPr sz="1100">
                  <a:solidFill>
                    <a:schemeClr val="accent5"/>
                  </a:solidFill>
                  <a:latin typeface="+mn-lt"/>
                  <a:ea typeface="+mn-ea"/>
                  <a:cs typeface="+mn-cs"/>
                </a:defRPr>
              </a:lvl2pPr>
              <a:lvl3pPr marL="914400" indent="0">
                <a:defRPr sz="1100">
                  <a:solidFill>
                    <a:schemeClr val="accent5"/>
                  </a:solidFill>
                  <a:latin typeface="+mn-lt"/>
                  <a:ea typeface="+mn-ea"/>
                  <a:cs typeface="+mn-cs"/>
                </a:defRPr>
              </a:lvl3pPr>
              <a:lvl4pPr marL="1371600" indent="0">
                <a:defRPr sz="1100">
                  <a:solidFill>
                    <a:schemeClr val="accent5"/>
                  </a:solidFill>
                  <a:latin typeface="+mn-lt"/>
                  <a:ea typeface="+mn-ea"/>
                  <a:cs typeface="+mn-cs"/>
                </a:defRPr>
              </a:lvl4pPr>
              <a:lvl5pPr marL="1828800" indent="0">
                <a:defRPr sz="1100">
                  <a:solidFill>
                    <a:schemeClr val="accent5"/>
                  </a:solidFill>
                  <a:latin typeface="+mn-lt"/>
                  <a:ea typeface="+mn-ea"/>
                  <a:cs typeface="+mn-cs"/>
                </a:defRPr>
              </a:lvl5pPr>
              <a:lvl6pPr marL="2286000" indent="0">
                <a:defRPr sz="1100">
                  <a:solidFill>
                    <a:schemeClr val="accent5"/>
                  </a:solidFill>
                  <a:latin typeface="+mn-lt"/>
                  <a:ea typeface="+mn-ea"/>
                  <a:cs typeface="+mn-cs"/>
                </a:defRPr>
              </a:lvl6pPr>
              <a:lvl7pPr marL="2743200" indent="0">
                <a:defRPr sz="1100">
                  <a:solidFill>
                    <a:schemeClr val="accent5"/>
                  </a:solidFill>
                  <a:latin typeface="+mn-lt"/>
                  <a:ea typeface="+mn-ea"/>
                  <a:cs typeface="+mn-cs"/>
                </a:defRPr>
              </a:lvl7pPr>
              <a:lvl8pPr marL="3200400" indent="0">
                <a:defRPr sz="1100">
                  <a:solidFill>
                    <a:schemeClr val="accent5"/>
                  </a:solidFill>
                  <a:latin typeface="+mn-lt"/>
                  <a:ea typeface="+mn-ea"/>
                  <a:cs typeface="+mn-cs"/>
                </a:defRPr>
              </a:lvl8pPr>
              <a:lvl9pPr marL="3657600" indent="0">
                <a:defRPr sz="1100">
                  <a:solidFill>
                    <a:schemeClr val="accent5"/>
                  </a:solidFill>
                  <a:latin typeface="+mn-lt"/>
                  <a:ea typeface="+mn-ea"/>
                  <a:cs typeface="+mn-cs"/>
                </a:defRPr>
              </a:lvl9pPr>
            </a:lstStyle>
            <a:p xmlns:a="http://schemas.openxmlformats.org/drawingml/2006/main">
              <a:r>
                <a:rPr lang="en-US" sz="800" b="1" baseline="0">
                  <a:solidFill>
                    <a:sysClr val="windowText" lastClr="000000"/>
                  </a:solidFill>
                </a:rPr>
                <a:t>Sau tái cấu trúc: định vị mô hình Minimart mới</a:t>
              </a:r>
            </a:p>
          </cdr:txBody>
        </cdr:sp>
      </cdr:grpSp>
      <cdr:sp macro="" textlink="">
        <cdr:nvSpPr>
          <cdr:cNvPr id="6" name="Rectangle 5">
            <a:extLst xmlns:a="http://schemas.openxmlformats.org/drawingml/2006/main">
              <a:ext uri="{FF2B5EF4-FFF2-40B4-BE49-F238E27FC236}">
                <a16:creationId xmlns:a16="http://schemas.microsoft.com/office/drawing/2014/main" id="{C92A8A9F-32B9-4A5F-7477-9CD50842E63B}"/>
              </a:ext>
            </a:extLst>
          </cdr:cNvPr>
          <cdr:cNvSpPr/>
        </cdr:nvSpPr>
        <cdr:spPr>
          <a:xfrm xmlns:a="http://schemas.openxmlformats.org/drawingml/2006/main">
            <a:off x="2130847" y="197529"/>
            <a:ext cx="2501901" cy="2410912"/>
          </a:xfrm>
          <a:prstGeom xmlns:a="http://schemas.openxmlformats.org/drawingml/2006/main" prst="rect">
            <a:avLst/>
          </a:prstGeom>
          <a:solidFill xmlns:a="http://schemas.openxmlformats.org/drawingml/2006/main">
            <a:schemeClr val="accent5">
              <a:alpha val="10000"/>
            </a:schemeClr>
          </a:solidFill>
          <a:ln xmlns:a="http://schemas.openxmlformats.org/drawingml/2006/main" w="9525" cap="flat" cmpd="sng" algn="ctr">
            <a:solidFill>
              <a:schemeClr val="accent5"/>
            </a:solidFill>
            <a:prstDash val="solid"/>
            <a:round/>
            <a:headEnd type="none" w="med" len="med"/>
            <a:tailEnd type="none" w="med" len="med"/>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accent5"/>
          </a:fontRef>
        </cdr:style>
        <cdr:txBody>
          <a:bodyPr xmlns:a="http://schemas.openxmlformats.org/drawingml/2006/main"/>
          <a:lstStyle xmlns:a="http://schemas.openxmlformats.org/drawingml/2006/main">
            <a:lvl1pPr marL="0" indent="0">
              <a:defRPr sz="1100">
                <a:solidFill>
                  <a:schemeClr val="accent5"/>
                </a:solidFill>
                <a:latin typeface="+mn-lt"/>
                <a:ea typeface="+mn-ea"/>
                <a:cs typeface="+mn-cs"/>
              </a:defRPr>
            </a:lvl1pPr>
            <a:lvl2pPr marL="457200" indent="0">
              <a:defRPr sz="1100">
                <a:solidFill>
                  <a:schemeClr val="accent5"/>
                </a:solidFill>
                <a:latin typeface="+mn-lt"/>
                <a:ea typeface="+mn-ea"/>
                <a:cs typeface="+mn-cs"/>
              </a:defRPr>
            </a:lvl2pPr>
            <a:lvl3pPr marL="914400" indent="0">
              <a:defRPr sz="1100">
                <a:solidFill>
                  <a:schemeClr val="accent5"/>
                </a:solidFill>
                <a:latin typeface="+mn-lt"/>
                <a:ea typeface="+mn-ea"/>
                <a:cs typeface="+mn-cs"/>
              </a:defRPr>
            </a:lvl3pPr>
            <a:lvl4pPr marL="1371600" indent="0">
              <a:defRPr sz="1100">
                <a:solidFill>
                  <a:schemeClr val="accent5"/>
                </a:solidFill>
                <a:latin typeface="+mn-lt"/>
                <a:ea typeface="+mn-ea"/>
                <a:cs typeface="+mn-cs"/>
              </a:defRPr>
            </a:lvl4pPr>
            <a:lvl5pPr marL="1828800" indent="0">
              <a:defRPr sz="1100">
                <a:solidFill>
                  <a:schemeClr val="accent5"/>
                </a:solidFill>
                <a:latin typeface="+mn-lt"/>
                <a:ea typeface="+mn-ea"/>
                <a:cs typeface="+mn-cs"/>
              </a:defRPr>
            </a:lvl5pPr>
            <a:lvl6pPr marL="2286000" indent="0">
              <a:defRPr sz="1100">
                <a:solidFill>
                  <a:schemeClr val="accent5"/>
                </a:solidFill>
                <a:latin typeface="+mn-lt"/>
                <a:ea typeface="+mn-ea"/>
                <a:cs typeface="+mn-cs"/>
              </a:defRPr>
            </a:lvl6pPr>
            <a:lvl7pPr marL="2743200" indent="0">
              <a:defRPr sz="1100">
                <a:solidFill>
                  <a:schemeClr val="accent5"/>
                </a:solidFill>
                <a:latin typeface="+mn-lt"/>
                <a:ea typeface="+mn-ea"/>
                <a:cs typeface="+mn-cs"/>
              </a:defRPr>
            </a:lvl7pPr>
            <a:lvl8pPr marL="3200400" indent="0">
              <a:defRPr sz="1100">
                <a:solidFill>
                  <a:schemeClr val="accent5"/>
                </a:solidFill>
                <a:latin typeface="+mn-lt"/>
                <a:ea typeface="+mn-ea"/>
                <a:cs typeface="+mn-cs"/>
              </a:defRPr>
            </a:lvl8pPr>
            <a:lvl9pPr marL="3657600" indent="0">
              <a:defRPr sz="1100">
                <a:solidFill>
                  <a:schemeClr val="accent5"/>
                </a:solidFill>
                <a:latin typeface="+mn-lt"/>
                <a:ea typeface="+mn-ea"/>
                <a:cs typeface="+mn-cs"/>
              </a:defRPr>
            </a:lvl9pPr>
          </a:lstStyle>
          <a:p xmlns:a="http://schemas.openxmlformats.org/drawingml/2006/main">
            <a:pPr algn="ctr"/>
            <a:r>
              <a:rPr lang="en-US" sz="800" b="1">
                <a:solidFill>
                  <a:sysClr val="windowText" lastClr="000000"/>
                </a:solidFill>
              </a:rPr>
              <a:t>Tái</a:t>
            </a:r>
            <a:r>
              <a:rPr lang="en-US" sz="800" b="1" baseline="0">
                <a:solidFill>
                  <a:sysClr val="windowText" lastClr="000000"/>
                </a:solidFill>
              </a:rPr>
              <a:t> cấu trúc</a:t>
            </a:r>
            <a:endParaRPr lang="vi-VN" sz="800" b="1">
              <a:solidFill>
                <a:sysClr val="windowText" lastClr="000000"/>
              </a:solidFill>
            </a:endParaRPr>
          </a:p>
        </cdr:txBody>
      </cdr:sp>
    </cdr:grpSp>
  </cdr:relSizeAnchor>
  <cdr:relSizeAnchor xmlns:cdr="http://schemas.openxmlformats.org/drawingml/2006/chartDrawing">
    <cdr:from>
      <cdr:x>0.81872</cdr:x>
      <cdr:y>0.28104</cdr:y>
    </cdr:from>
    <cdr:to>
      <cdr:x>0.90609</cdr:x>
      <cdr:y>0.35285</cdr:y>
    </cdr:to>
    <cdr:cxnSp macro="">
      <cdr:nvCxnSpPr>
        <cdr:cNvPr id="13" name="Straight Arrow Connector 12">
          <a:extLst xmlns:a="http://schemas.openxmlformats.org/drawingml/2006/main">
            <a:ext uri="{FF2B5EF4-FFF2-40B4-BE49-F238E27FC236}">
              <a16:creationId xmlns:a16="http://schemas.microsoft.com/office/drawing/2014/main" id="{28F35BBA-081E-3C55-A8B6-6757E16C04FC}"/>
            </a:ext>
          </a:extLst>
        </cdr:cNvPr>
        <cdr:cNvCxnSpPr/>
      </cdr:nvCxnSpPr>
      <cdr:spPr>
        <a:xfrm xmlns:a="http://schemas.openxmlformats.org/drawingml/2006/main" flipV="1">
          <a:off x="6375703" y="958547"/>
          <a:ext cx="680357" cy="244928"/>
        </a:xfrm>
        <a:prstGeom xmlns:a="http://schemas.openxmlformats.org/drawingml/2006/main" prst="straightConnector1">
          <a:avLst/>
        </a:prstGeom>
        <a:ln xmlns:a="http://schemas.openxmlformats.org/drawingml/2006/main">
          <a:tailEnd type="triangle"/>
        </a:ln>
      </cdr:spPr>
      <cdr:style>
        <a:lnRef xmlns:a="http://schemas.openxmlformats.org/drawingml/2006/main" idx="1">
          <a:schemeClr val="accent4"/>
        </a:lnRef>
        <a:fillRef xmlns:a="http://schemas.openxmlformats.org/drawingml/2006/main" idx="0">
          <a:schemeClr val="accent4"/>
        </a:fillRef>
        <a:effectRef xmlns:a="http://schemas.openxmlformats.org/drawingml/2006/main" idx="0">
          <a:schemeClr val="accent4"/>
        </a:effectRef>
        <a:fontRef xmlns:a="http://schemas.openxmlformats.org/drawingml/2006/main" idx="minor">
          <a:schemeClr val="tx1"/>
        </a:fontRef>
      </cdr:style>
    </cdr:cxnSp>
  </cdr:relSizeAnchor>
</c:userShapes>
</file>

<file path=xl/drawings/drawing9.xml><?xml version="1.0" encoding="utf-8"?>
<c:userShapes xmlns:c="http://schemas.openxmlformats.org/drawingml/2006/chart">
  <cdr:relSizeAnchor xmlns:cdr="http://schemas.openxmlformats.org/drawingml/2006/chartDrawing">
    <cdr:from>
      <cdr:x>0.06804</cdr:x>
      <cdr:y>0.0621</cdr:y>
    </cdr:from>
    <cdr:to>
      <cdr:x>0.82648</cdr:x>
      <cdr:y>0.752</cdr:y>
    </cdr:to>
    <cdr:grpSp>
      <cdr:nvGrpSpPr>
        <cdr:cNvPr id="11" name="Group 10">
          <a:extLst xmlns:a="http://schemas.openxmlformats.org/drawingml/2006/main">
            <a:ext uri="{FF2B5EF4-FFF2-40B4-BE49-F238E27FC236}">
              <a16:creationId xmlns:a16="http://schemas.microsoft.com/office/drawing/2014/main" id="{46573558-9984-5010-7305-419F8152A2C5}"/>
            </a:ext>
          </a:extLst>
        </cdr:cNvPr>
        <cdr:cNvGrpSpPr/>
      </cdr:nvGrpSpPr>
      <cdr:grpSpPr>
        <a:xfrm xmlns:a="http://schemas.openxmlformats.org/drawingml/2006/main">
          <a:off x="600232" y="228520"/>
          <a:ext cx="6690768" cy="2538745"/>
          <a:chOff x="2130848" y="196441"/>
          <a:chExt cx="4362646" cy="2412000"/>
        </a:xfrm>
      </cdr:grpSpPr>
      <cdr:grpSp>
        <cdr:nvGrpSpPr>
          <cdr:cNvPr id="4" name="Group 3">
            <a:extLst xmlns:a="http://schemas.openxmlformats.org/drawingml/2006/main">
              <a:ext uri="{FF2B5EF4-FFF2-40B4-BE49-F238E27FC236}">
                <a16:creationId xmlns:a16="http://schemas.microsoft.com/office/drawing/2014/main" id="{2C5E7284-A1E3-42FB-8FA1-C91E09846BF7}"/>
              </a:ext>
            </a:extLst>
          </cdr:cNvPr>
          <cdr:cNvGrpSpPr/>
        </cdr:nvGrpSpPr>
        <cdr:grpSpPr>
          <a:xfrm xmlns:a="http://schemas.openxmlformats.org/drawingml/2006/main">
            <a:off x="3985468" y="196441"/>
            <a:ext cx="2508026" cy="2402561"/>
            <a:chOff x="4487990" y="199191"/>
            <a:chExt cx="2841933" cy="2436282"/>
          </a:xfrm>
        </cdr:grpSpPr>
        <cdr:sp macro="" textlink="">
          <cdr:nvSpPr>
            <cdr:cNvPr id="3" name="Rectangle 2">
              <a:extLst xmlns:a="http://schemas.openxmlformats.org/drawingml/2006/main">
                <a:ext uri="{FF2B5EF4-FFF2-40B4-BE49-F238E27FC236}">
                  <a16:creationId xmlns:a16="http://schemas.microsoft.com/office/drawing/2014/main" id="{AC70C2A0-F603-4BCD-B98F-ADB078880FD2}"/>
                </a:ext>
              </a:extLst>
            </cdr:cNvPr>
            <cdr:cNvSpPr/>
          </cdr:nvSpPr>
          <cdr:spPr>
            <a:xfrm xmlns:a="http://schemas.openxmlformats.org/drawingml/2006/main">
              <a:off x="4487990" y="199191"/>
              <a:ext cx="2841933" cy="2436282"/>
            </a:xfrm>
            <a:prstGeom xmlns:a="http://schemas.openxmlformats.org/drawingml/2006/main" prst="rect">
              <a:avLst/>
            </a:prstGeom>
            <a:solidFill xmlns:a="http://schemas.openxmlformats.org/drawingml/2006/main">
              <a:srgbClr val="15C132">
                <a:alpha val="10000"/>
              </a:srgbClr>
            </a:solidFill>
            <a:ln xmlns:a="http://schemas.openxmlformats.org/drawingml/2006/main" w="9525" cap="flat" cmpd="sng" algn="ctr">
              <a:solidFill>
                <a:schemeClr val="accent4"/>
              </a:solidFill>
              <a:prstDash val="solid"/>
              <a:round/>
              <a:headEnd type="none" w="med" len="med"/>
              <a:tailEnd type="none" w="med" len="med"/>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accent5"/>
            </a:fontRef>
          </cdr:style>
          <cdr:txBody>
            <a:bodyPr xmlns:a="http://schemas.openxmlformats.org/drawingml/2006/main"/>
            <a:lstStyle xmlns:a="http://schemas.openxmlformats.org/drawingml/2006/main">
              <a:lvl1pPr marL="0" indent="0">
                <a:defRPr sz="1100">
                  <a:solidFill>
                    <a:schemeClr val="accent5"/>
                  </a:solidFill>
                  <a:latin typeface="+mn-lt"/>
                  <a:ea typeface="+mn-ea"/>
                  <a:cs typeface="+mn-cs"/>
                </a:defRPr>
              </a:lvl1pPr>
              <a:lvl2pPr marL="457200" indent="0">
                <a:defRPr sz="1100">
                  <a:solidFill>
                    <a:schemeClr val="accent5"/>
                  </a:solidFill>
                  <a:latin typeface="+mn-lt"/>
                  <a:ea typeface="+mn-ea"/>
                  <a:cs typeface="+mn-cs"/>
                </a:defRPr>
              </a:lvl2pPr>
              <a:lvl3pPr marL="914400" indent="0">
                <a:defRPr sz="1100">
                  <a:solidFill>
                    <a:schemeClr val="accent5"/>
                  </a:solidFill>
                  <a:latin typeface="+mn-lt"/>
                  <a:ea typeface="+mn-ea"/>
                  <a:cs typeface="+mn-cs"/>
                </a:defRPr>
              </a:lvl3pPr>
              <a:lvl4pPr marL="1371600" indent="0">
                <a:defRPr sz="1100">
                  <a:solidFill>
                    <a:schemeClr val="accent5"/>
                  </a:solidFill>
                  <a:latin typeface="+mn-lt"/>
                  <a:ea typeface="+mn-ea"/>
                  <a:cs typeface="+mn-cs"/>
                </a:defRPr>
              </a:lvl4pPr>
              <a:lvl5pPr marL="1828800" indent="0">
                <a:defRPr sz="1100">
                  <a:solidFill>
                    <a:schemeClr val="accent5"/>
                  </a:solidFill>
                  <a:latin typeface="+mn-lt"/>
                  <a:ea typeface="+mn-ea"/>
                  <a:cs typeface="+mn-cs"/>
                </a:defRPr>
              </a:lvl5pPr>
              <a:lvl6pPr marL="2286000" indent="0">
                <a:defRPr sz="1100">
                  <a:solidFill>
                    <a:schemeClr val="accent5"/>
                  </a:solidFill>
                  <a:latin typeface="+mn-lt"/>
                  <a:ea typeface="+mn-ea"/>
                  <a:cs typeface="+mn-cs"/>
                </a:defRPr>
              </a:lvl6pPr>
              <a:lvl7pPr marL="2743200" indent="0">
                <a:defRPr sz="1100">
                  <a:solidFill>
                    <a:schemeClr val="accent5"/>
                  </a:solidFill>
                  <a:latin typeface="+mn-lt"/>
                  <a:ea typeface="+mn-ea"/>
                  <a:cs typeface="+mn-cs"/>
                </a:defRPr>
              </a:lvl7pPr>
              <a:lvl8pPr marL="3200400" indent="0">
                <a:defRPr sz="1100">
                  <a:solidFill>
                    <a:schemeClr val="accent5"/>
                  </a:solidFill>
                  <a:latin typeface="+mn-lt"/>
                  <a:ea typeface="+mn-ea"/>
                  <a:cs typeface="+mn-cs"/>
                </a:defRPr>
              </a:lvl8pPr>
              <a:lvl9pPr marL="3657600" indent="0">
                <a:defRPr sz="1100">
                  <a:solidFill>
                    <a:schemeClr val="accent5"/>
                  </a:solidFill>
                  <a:latin typeface="+mn-lt"/>
                  <a:ea typeface="+mn-ea"/>
                  <a:cs typeface="+mn-cs"/>
                </a:defRPr>
              </a:lvl9pPr>
            </a:lstStyle>
            <a:p xmlns:a="http://schemas.openxmlformats.org/drawingml/2006/main">
              <a:pPr algn="ctr"/>
              <a:r>
                <a:rPr lang="en-US" sz="800" b="1" baseline="0">
                  <a:solidFill>
                    <a:sysClr val="windowText" lastClr="000000"/>
                  </a:solidFill>
                </a:rPr>
                <a:t>Sau tái cấu trúc: định vị mô hình Minimart mới</a:t>
              </a:r>
            </a:p>
          </cdr:txBody>
        </cdr:sp>
      </cdr:grpSp>
      <cdr:sp macro="" textlink="">
        <cdr:nvSpPr>
          <cdr:cNvPr id="6" name="Rectangle 5">
            <a:extLst xmlns:a="http://schemas.openxmlformats.org/drawingml/2006/main">
              <a:ext uri="{FF2B5EF4-FFF2-40B4-BE49-F238E27FC236}">
                <a16:creationId xmlns:a16="http://schemas.microsoft.com/office/drawing/2014/main" id="{C92A8A9F-32B9-4A5F-7477-9CD50842E63B}"/>
              </a:ext>
            </a:extLst>
          </cdr:cNvPr>
          <cdr:cNvSpPr/>
        </cdr:nvSpPr>
        <cdr:spPr>
          <a:xfrm xmlns:a="http://schemas.openxmlformats.org/drawingml/2006/main">
            <a:off x="2130848" y="197529"/>
            <a:ext cx="2145023" cy="2410912"/>
          </a:xfrm>
          <a:prstGeom xmlns:a="http://schemas.openxmlformats.org/drawingml/2006/main" prst="rect">
            <a:avLst/>
          </a:prstGeom>
          <a:solidFill xmlns:a="http://schemas.openxmlformats.org/drawingml/2006/main">
            <a:schemeClr val="accent5">
              <a:alpha val="10000"/>
            </a:schemeClr>
          </a:solidFill>
          <a:ln xmlns:a="http://schemas.openxmlformats.org/drawingml/2006/main" w="9525" cap="flat" cmpd="sng" algn="ctr">
            <a:solidFill>
              <a:schemeClr val="accent5"/>
            </a:solidFill>
            <a:prstDash val="solid"/>
            <a:round/>
            <a:headEnd type="none" w="med" len="med"/>
            <a:tailEnd type="none" w="med" len="med"/>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accent5"/>
          </a:fontRef>
        </cdr:style>
        <cdr:txBody>
          <a:bodyPr xmlns:a="http://schemas.openxmlformats.org/drawingml/2006/main"/>
          <a:lstStyle xmlns:a="http://schemas.openxmlformats.org/drawingml/2006/main">
            <a:lvl1pPr marL="0" indent="0">
              <a:defRPr sz="1100">
                <a:solidFill>
                  <a:schemeClr val="accent5"/>
                </a:solidFill>
                <a:latin typeface="+mn-lt"/>
                <a:ea typeface="+mn-ea"/>
                <a:cs typeface="+mn-cs"/>
              </a:defRPr>
            </a:lvl1pPr>
            <a:lvl2pPr marL="457200" indent="0">
              <a:defRPr sz="1100">
                <a:solidFill>
                  <a:schemeClr val="accent5"/>
                </a:solidFill>
                <a:latin typeface="+mn-lt"/>
                <a:ea typeface="+mn-ea"/>
                <a:cs typeface="+mn-cs"/>
              </a:defRPr>
            </a:lvl2pPr>
            <a:lvl3pPr marL="914400" indent="0">
              <a:defRPr sz="1100">
                <a:solidFill>
                  <a:schemeClr val="accent5"/>
                </a:solidFill>
                <a:latin typeface="+mn-lt"/>
                <a:ea typeface="+mn-ea"/>
                <a:cs typeface="+mn-cs"/>
              </a:defRPr>
            </a:lvl3pPr>
            <a:lvl4pPr marL="1371600" indent="0">
              <a:defRPr sz="1100">
                <a:solidFill>
                  <a:schemeClr val="accent5"/>
                </a:solidFill>
                <a:latin typeface="+mn-lt"/>
                <a:ea typeface="+mn-ea"/>
                <a:cs typeface="+mn-cs"/>
              </a:defRPr>
            </a:lvl4pPr>
            <a:lvl5pPr marL="1828800" indent="0">
              <a:defRPr sz="1100">
                <a:solidFill>
                  <a:schemeClr val="accent5"/>
                </a:solidFill>
                <a:latin typeface="+mn-lt"/>
                <a:ea typeface="+mn-ea"/>
                <a:cs typeface="+mn-cs"/>
              </a:defRPr>
            </a:lvl5pPr>
            <a:lvl6pPr marL="2286000" indent="0">
              <a:defRPr sz="1100">
                <a:solidFill>
                  <a:schemeClr val="accent5"/>
                </a:solidFill>
                <a:latin typeface="+mn-lt"/>
                <a:ea typeface="+mn-ea"/>
                <a:cs typeface="+mn-cs"/>
              </a:defRPr>
            </a:lvl6pPr>
            <a:lvl7pPr marL="2743200" indent="0">
              <a:defRPr sz="1100">
                <a:solidFill>
                  <a:schemeClr val="accent5"/>
                </a:solidFill>
                <a:latin typeface="+mn-lt"/>
                <a:ea typeface="+mn-ea"/>
                <a:cs typeface="+mn-cs"/>
              </a:defRPr>
            </a:lvl7pPr>
            <a:lvl8pPr marL="3200400" indent="0">
              <a:defRPr sz="1100">
                <a:solidFill>
                  <a:schemeClr val="accent5"/>
                </a:solidFill>
                <a:latin typeface="+mn-lt"/>
                <a:ea typeface="+mn-ea"/>
                <a:cs typeface="+mn-cs"/>
              </a:defRPr>
            </a:lvl8pPr>
            <a:lvl9pPr marL="3657600" indent="0">
              <a:defRPr sz="1100">
                <a:solidFill>
                  <a:schemeClr val="accent5"/>
                </a:solidFill>
                <a:latin typeface="+mn-lt"/>
                <a:ea typeface="+mn-ea"/>
                <a:cs typeface="+mn-cs"/>
              </a:defRPr>
            </a:lvl9pPr>
          </a:lstStyle>
          <a:p xmlns:a="http://schemas.openxmlformats.org/drawingml/2006/main">
            <a:pPr algn="ctr"/>
            <a:r>
              <a:rPr lang="en-US" sz="800" b="1">
                <a:solidFill>
                  <a:sysClr val="windowText" lastClr="000000"/>
                </a:solidFill>
              </a:rPr>
              <a:t>Trước</a:t>
            </a:r>
            <a:r>
              <a:rPr lang="en-US" sz="800" b="1" baseline="0">
                <a:solidFill>
                  <a:sysClr val="windowText" lastClr="000000"/>
                </a:solidFill>
              </a:rPr>
              <a:t> tái cấu trúc</a:t>
            </a:r>
            <a:endParaRPr lang="vi-VN" sz="800" b="1">
              <a:solidFill>
                <a:sysClr val="windowText" lastClr="000000"/>
              </a:solidFill>
            </a:endParaRPr>
          </a:p>
        </cdr:txBody>
      </cdr:sp>
    </cdr:grpSp>
  </cdr:relSizeAnchor>
  <cdr:relSizeAnchor xmlns:cdr="http://schemas.openxmlformats.org/drawingml/2006/chartDrawing">
    <cdr:from>
      <cdr:x>0.64776</cdr:x>
      <cdr:y>0.22478</cdr:y>
    </cdr:from>
    <cdr:to>
      <cdr:x>0.78058</cdr:x>
      <cdr:y>0.33456</cdr:y>
    </cdr:to>
    <cdr:cxnSp macro="">
      <cdr:nvCxnSpPr>
        <cdr:cNvPr id="13" name="Straight Arrow Connector 12">
          <a:extLst xmlns:a="http://schemas.openxmlformats.org/drawingml/2006/main">
            <a:ext uri="{FF2B5EF4-FFF2-40B4-BE49-F238E27FC236}">
              <a16:creationId xmlns:a16="http://schemas.microsoft.com/office/drawing/2014/main" id="{28F35BBA-081E-3C55-A8B6-6757E16C04FC}"/>
            </a:ext>
          </a:extLst>
        </cdr:cNvPr>
        <cdr:cNvCxnSpPr/>
      </cdr:nvCxnSpPr>
      <cdr:spPr>
        <a:xfrm xmlns:a="http://schemas.openxmlformats.org/drawingml/2006/main" flipV="1">
          <a:off x="5974695" y="780295"/>
          <a:ext cx="1225147" cy="381065"/>
        </a:xfrm>
        <a:prstGeom xmlns:a="http://schemas.openxmlformats.org/drawingml/2006/main" prst="straightConnector1">
          <a:avLst/>
        </a:prstGeom>
        <a:ln xmlns:a="http://schemas.openxmlformats.org/drawingml/2006/main">
          <a:tailEnd type="triangle"/>
        </a:ln>
      </cdr:spPr>
      <cdr:style>
        <a:lnRef xmlns:a="http://schemas.openxmlformats.org/drawingml/2006/main" idx="1">
          <a:schemeClr val="accent4"/>
        </a:lnRef>
        <a:fillRef xmlns:a="http://schemas.openxmlformats.org/drawingml/2006/main" idx="0">
          <a:schemeClr val="accent4"/>
        </a:fillRef>
        <a:effectRef xmlns:a="http://schemas.openxmlformats.org/drawingml/2006/main" idx="0">
          <a:schemeClr val="accent4"/>
        </a:effectRef>
        <a:fontRef xmlns:a="http://schemas.openxmlformats.org/drawingml/2006/main" idx="minor">
          <a:schemeClr val="tx1"/>
        </a:fontRef>
      </cdr:style>
    </cdr:cxnSp>
  </cdr:relSizeAnchor>
  <cdr:relSizeAnchor xmlns:cdr="http://schemas.openxmlformats.org/drawingml/2006/chartDrawing">
    <cdr:from>
      <cdr:x>0.84713</cdr:x>
      <cdr:y>0.26442</cdr:y>
    </cdr:from>
    <cdr:to>
      <cdr:x>0.93893</cdr:x>
      <cdr:y>0.42905</cdr:y>
    </cdr:to>
    <cdr:cxnSp macro="">
      <cdr:nvCxnSpPr>
        <cdr:cNvPr id="15" name="Straight Arrow Connector 14">
          <a:extLst xmlns:a="http://schemas.openxmlformats.org/drawingml/2006/main">
            <a:ext uri="{FF2B5EF4-FFF2-40B4-BE49-F238E27FC236}">
              <a16:creationId xmlns:a16="http://schemas.microsoft.com/office/drawing/2014/main" id="{B90FB556-8BBC-77A6-AF04-EEFC676EE800}"/>
            </a:ext>
          </a:extLst>
        </cdr:cNvPr>
        <cdr:cNvCxnSpPr/>
      </cdr:nvCxnSpPr>
      <cdr:spPr>
        <a:xfrm xmlns:a="http://schemas.openxmlformats.org/drawingml/2006/main" flipV="1">
          <a:off x="7813676" y="917878"/>
          <a:ext cx="846666" cy="571500"/>
        </a:xfrm>
        <a:prstGeom xmlns:a="http://schemas.openxmlformats.org/drawingml/2006/main" prst="straightConnector1">
          <a:avLst/>
        </a:prstGeom>
        <a:ln xmlns:a="http://schemas.openxmlformats.org/drawingml/2006/main" w="9525" cap="flat" cmpd="sng" algn="ctr">
          <a:solidFill>
            <a:schemeClr val="accent4"/>
          </a:solidFill>
          <a:prstDash val="dash"/>
          <a:round/>
          <a:headEnd type="none" w="med" len="med"/>
          <a:tailEnd type="triangle" w="med" len="med"/>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cxnSp>
  </cdr:relSizeAnchor>
</c:userShapes>
</file>

<file path=xl/drawings/drawing10.xml><?xml version="1.0" encoding="utf-8"?>
<c:userShapes xmlns:c="http://schemas.openxmlformats.org/drawingml/2006/chart">
  <cdr:relSizeAnchor xmlns:cdr="http://schemas.openxmlformats.org/drawingml/2006/chartDrawing">
    <cdr:from>
      <cdr:x>0.71157</cdr:x>
      <cdr:y>0.01879</cdr:y>
    </cdr:from>
    <cdr:to>
      <cdr:x>0.9171</cdr:x>
      <cdr:y>0.6241</cdr:y>
    </cdr:to>
    <cdr:sp macro="" textlink="">
      <cdr:nvSpPr>
        <cdr:cNvPr id="4" name="Rectangle 3">
          <a:extLst xmlns:a="http://schemas.openxmlformats.org/drawingml/2006/main">
            <a:ext uri="{FF2B5EF4-FFF2-40B4-BE49-F238E27FC236}">
              <a16:creationId xmlns:a16="http://schemas.microsoft.com/office/drawing/2014/main" id="{610A811F-5C4A-B2CB-0A0C-BCC234924057}"/>
            </a:ext>
          </a:extLst>
        </cdr:cNvPr>
        <cdr:cNvSpPr/>
      </cdr:nvSpPr>
      <cdr:spPr>
        <a:xfrm xmlns:a="http://schemas.openxmlformats.org/drawingml/2006/main">
          <a:off x="3270251" y="53975"/>
          <a:ext cx="944563" cy="1738313"/>
        </a:xfrm>
        <a:prstGeom xmlns:a="http://schemas.openxmlformats.org/drawingml/2006/main" prst="rect">
          <a:avLst/>
        </a:prstGeom>
        <a:noFill xmlns:a="http://schemas.openxmlformats.org/drawingml/2006/main"/>
        <a:ln xmlns:a="http://schemas.openxmlformats.org/drawingml/2006/main" w="9525" cap="flat" cmpd="sng" algn="ctr">
          <a:solidFill>
            <a:schemeClr val="accent5"/>
          </a:solidFill>
          <a:prstDash val="solid"/>
          <a:round/>
          <a:headEnd type="none" w="med" len="med"/>
          <a:tailEnd type="none" w="med" len="med"/>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accent5"/>
        </a:fontRef>
      </cdr:style>
      <cdr:txBody>
        <a:bodyPr xmlns:a="http://schemas.openxmlformats.org/drawingml/2006/main" vertOverflow="clip"/>
        <a:lstStyle xmlns:a="http://schemas.openxmlformats.org/drawingml/2006/main"/>
        <a:p xmlns:a="http://schemas.openxmlformats.org/drawingml/2006/main">
          <a:endParaRPr lang="vi-VN"/>
        </a:p>
      </cdr:txBody>
    </cdr:sp>
  </cdr:relSizeAnchor>
</c:userShapes>
</file>

<file path=xl/drawings/drawing11.xml><?xml version="1.0" encoding="utf-8"?>
<c:userShapes xmlns:c="http://schemas.openxmlformats.org/drawingml/2006/chart">
  <cdr:relSizeAnchor xmlns:cdr="http://schemas.openxmlformats.org/drawingml/2006/chartDrawing">
    <cdr:from>
      <cdr:x>0.02184</cdr:x>
      <cdr:y>3.04089E-7</cdr:y>
    </cdr:from>
    <cdr:to>
      <cdr:x>0.4264</cdr:x>
      <cdr:y>0.21434</cdr:y>
    </cdr:to>
    <cdr:sp macro="" textlink="">
      <cdr:nvSpPr>
        <cdr:cNvPr id="2" name="Rectangle 1">
          <a:extLst xmlns:a="http://schemas.openxmlformats.org/drawingml/2006/main">
            <a:ext uri="{FF2B5EF4-FFF2-40B4-BE49-F238E27FC236}">
              <a16:creationId xmlns:a16="http://schemas.microsoft.com/office/drawing/2014/main" id="{953CDC49-307E-1655-27F2-3A6366B82461}"/>
            </a:ext>
          </a:extLst>
        </cdr:cNvPr>
        <cdr:cNvSpPr/>
      </cdr:nvSpPr>
      <cdr:spPr>
        <a:xfrm xmlns:a="http://schemas.openxmlformats.org/drawingml/2006/main">
          <a:off x="136924" y="1"/>
          <a:ext cx="2536026" cy="704848"/>
        </a:xfrm>
        <a:prstGeom xmlns:a="http://schemas.openxmlformats.org/drawingml/2006/main" prst="rect">
          <a:avLst/>
        </a:prstGeom>
        <a:noFill xmlns:a="http://schemas.openxmlformats.org/drawingml/2006/main"/>
        <a:ln xmlns:a="http://schemas.openxmlformats.org/drawingml/2006/main" w="9525" cap="flat" cmpd="sng" algn="ctr">
          <a:solidFill>
            <a:schemeClr val="accent4"/>
          </a:solidFill>
          <a:prstDash val="solid"/>
          <a:round/>
          <a:headEnd type="none" w="med" len="med"/>
          <a:tailEnd type="none" w="med" len="med"/>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accent4"/>
        </a:fontRef>
      </cdr:style>
      <cdr:txBody>
        <a:bodyPr xmlns:a="http://schemas.openxmlformats.org/drawingml/2006/main" vertOverflow="clip"/>
        <a:lstStyle xmlns:a="http://schemas.openxmlformats.org/drawingml/2006/main"/>
        <a:p xmlns:a="http://schemas.openxmlformats.org/drawingml/2006/main">
          <a:r>
            <a:rPr lang="en-US">
              <a:solidFill>
                <a:sysClr val="windowText" lastClr="000000"/>
              </a:solidFill>
            </a:rPr>
            <a:t>GĐ</a:t>
          </a:r>
          <a:r>
            <a:rPr lang="en-US" baseline="0">
              <a:solidFill>
                <a:sysClr val="windowText" lastClr="000000"/>
              </a:solidFill>
            </a:rPr>
            <a:t> mở mới CH nhiều</a:t>
          </a:r>
        </a:p>
        <a:p xmlns:a="http://schemas.openxmlformats.org/drawingml/2006/main">
          <a:r>
            <a:rPr lang="en-US" baseline="0">
              <a:solidFill>
                <a:sysClr val="windowText" lastClr="000000"/>
              </a:solidFill>
            </a:rPr>
            <a:t>- WCM-2019</a:t>
          </a:r>
        </a:p>
        <a:p xmlns:a="http://schemas.openxmlformats.org/drawingml/2006/main">
          <a:r>
            <a:rPr lang="en-US" baseline="0">
              <a:solidFill>
                <a:sysClr val="windowText" lastClr="000000"/>
              </a:solidFill>
            </a:rPr>
            <a:t>- BHX-2019-2021</a:t>
          </a:r>
          <a:endParaRPr lang="en-US">
            <a:solidFill>
              <a:sysClr val="windowText" lastClr="000000"/>
            </a:solidFill>
          </a:endParaRPr>
        </a:p>
      </cdr:txBody>
    </cdr:sp>
  </cdr:relSizeAnchor>
  <cdr:relSizeAnchor xmlns:cdr="http://schemas.openxmlformats.org/drawingml/2006/chartDrawing">
    <cdr:from>
      <cdr:x>0.4264</cdr:x>
      <cdr:y>0</cdr:y>
    </cdr:from>
    <cdr:to>
      <cdr:x>0.88604</cdr:x>
      <cdr:y>0.21027</cdr:y>
    </cdr:to>
    <cdr:sp macro="" textlink="">
      <cdr:nvSpPr>
        <cdr:cNvPr id="5" name="Rectangle 4">
          <a:extLst xmlns:a="http://schemas.openxmlformats.org/drawingml/2006/main">
            <a:ext uri="{FF2B5EF4-FFF2-40B4-BE49-F238E27FC236}">
              <a16:creationId xmlns:a16="http://schemas.microsoft.com/office/drawing/2014/main" id="{F84E6E2B-790C-9F60-1010-BD3B9277F0C2}"/>
            </a:ext>
          </a:extLst>
        </cdr:cNvPr>
        <cdr:cNvSpPr/>
      </cdr:nvSpPr>
      <cdr:spPr>
        <a:xfrm xmlns:a="http://schemas.openxmlformats.org/drawingml/2006/main">
          <a:off x="2689041" y="0"/>
          <a:ext cx="2898666" cy="670704"/>
        </a:xfrm>
        <a:prstGeom xmlns:a="http://schemas.openxmlformats.org/drawingml/2006/main" prst="rect">
          <a:avLst/>
        </a:prstGeom>
        <a:noFill xmlns:a="http://schemas.openxmlformats.org/drawingml/2006/main"/>
        <a:ln xmlns:a="http://schemas.openxmlformats.org/drawingml/2006/main" w="9525" cap="flat" cmpd="sng" algn="ctr">
          <a:solidFill>
            <a:schemeClr val="accent4"/>
          </a:solidFill>
          <a:prstDash val="solid"/>
          <a:round/>
          <a:headEnd type="none" w="med" len="med"/>
          <a:tailEnd type="none" w="med" len="med"/>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accent4"/>
        </a:fontRef>
      </cdr:style>
      <cdr:txBody>
        <a:bodyPr xmlns:a="http://schemas.openxmlformats.org/drawingml/2006/main" vertOverflow="clip"/>
        <a:lstStyle xmlns:a="http://schemas.openxmlformats.org/drawingml/2006/main"/>
        <a:p xmlns:a="http://schemas.openxmlformats.org/drawingml/2006/main">
          <a:r>
            <a:rPr lang="en-US"/>
            <a:t>Xu</a:t>
          </a:r>
          <a:r>
            <a:rPr lang="en-US" baseline="0"/>
            <a:t> hướng giảm khấu hao của các DN bán lẻ bách hóa 2023-2026</a:t>
          </a:r>
          <a:endParaRPr lang="en-US"/>
        </a:p>
      </cdr:txBody>
    </cdr:sp>
  </cdr:relSizeAnchor>
</c:userShapes>
</file>

<file path=xl/drawings/drawing12.xml><?xml version="1.0" encoding="utf-8"?>
<xdr:wsDr xmlns:xdr="http://schemas.openxmlformats.org/drawingml/2006/spreadsheetDrawing" xmlns:a="http://schemas.openxmlformats.org/drawingml/2006/main">
  <xdr:twoCellAnchor editAs="oneCell">
    <xdr:from>
      <xdr:col>1</xdr:col>
      <xdr:colOff>1129769</xdr:colOff>
      <xdr:row>39</xdr:row>
      <xdr:rowOff>102879</xdr:rowOff>
    </xdr:from>
    <xdr:to>
      <xdr:col>8</xdr:col>
      <xdr:colOff>537984</xdr:colOff>
      <xdr:row>53</xdr:row>
      <xdr:rowOff>68805</xdr:rowOff>
    </xdr:to>
    <xdr:pic>
      <xdr:nvPicPr>
        <xdr:cNvPr id="2" name="Picture 1">
          <a:extLst>
            <a:ext uri="{FF2B5EF4-FFF2-40B4-BE49-F238E27FC236}">
              <a16:creationId xmlns:a16="http://schemas.microsoft.com/office/drawing/2014/main" id="{6C16FC10-8DE4-863C-3708-B6D11D33D697}"/>
            </a:ext>
          </a:extLst>
        </xdr:cNvPr>
        <xdr:cNvPicPr>
          <a:picLocks noChangeAspect="1"/>
        </xdr:cNvPicPr>
      </xdr:nvPicPr>
      <xdr:blipFill>
        <a:blip xmlns:r="http://schemas.openxmlformats.org/officeDocument/2006/relationships" r:embed="rId1"/>
        <a:stretch>
          <a:fillRect/>
        </a:stretch>
      </xdr:blipFill>
      <xdr:spPr>
        <a:xfrm>
          <a:off x="1332175" y="7056129"/>
          <a:ext cx="6194778" cy="2573395"/>
        </a:xfrm>
        <a:prstGeom prst="rect">
          <a:avLst/>
        </a:prstGeom>
      </xdr:spPr>
    </xdr:pic>
    <xdr:clientData/>
  </xdr:twoCellAnchor>
  <xdr:twoCellAnchor editAs="oneCell">
    <xdr:from>
      <xdr:col>45</xdr:col>
      <xdr:colOff>585550</xdr:colOff>
      <xdr:row>43</xdr:row>
      <xdr:rowOff>12525</xdr:rowOff>
    </xdr:from>
    <xdr:to>
      <xdr:col>54</xdr:col>
      <xdr:colOff>301588</xdr:colOff>
      <xdr:row>55</xdr:row>
      <xdr:rowOff>71607</xdr:rowOff>
    </xdr:to>
    <xdr:pic>
      <xdr:nvPicPr>
        <xdr:cNvPr id="3" name="Picture 2">
          <a:extLst>
            <a:ext uri="{FF2B5EF4-FFF2-40B4-BE49-F238E27FC236}">
              <a16:creationId xmlns:a16="http://schemas.microsoft.com/office/drawing/2014/main" id="{3436A877-E502-F2FB-DCA3-A9CFAD1E0D6D}"/>
            </a:ext>
          </a:extLst>
        </xdr:cNvPr>
        <xdr:cNvPicPr>
          <a:picLocks noChangeAspect="1"/>
        </xdr:cNvPicPr>
      </xdr:nvPicPr>
      <xdr:blipFill>
        <a:blip xmlns:r="http://schemas.openxmlformats.org/officeDocument/2006/relationships" r:embed="rId2"/>
        <a:stretch>
          <a:fillRect/>
        </a:stretch>
      </xdr:blipFill>
      <xdr:spPr>
        <a:xfrm>
          <a:off x="28557300" y="7473775"/>
          <a:ext cx="6094613" cy="2264295"/>
        </a:xfrm>
        <a:prstGeom prst="rect">
          <a:avLst/>
        </a:prstGeom>
      </xdr:spPr>
    </xdr:pic>
    <xdr:clientData/>
  </xdr:twoCellAnchor>
  <xdr:twoCellAnchor>
    <xdr:from>
      <xdr:col>37</xdr:col>
      <xdr:colOff>229305</xdr:colOff>
      <xdr:row>104</xdr:row>
      <xdr:rowOff>18344</xdr:rowOff>
    </xdr:from>
    <xdr:to>
      <xdr:col>41</xdr:col>
      <xdr:colOff>208138</xdr:colOff>
      <xdr:row>120</xdr:row>
      <xdr:rowOff>101600</xdr:rowOff>
    </xdr:to>
    <xdr:grpSp>
      <xdr:nvGrpSpPr>
        <xdr:cNvPr id="11" name="Group 10">
          <a:extLst>
            <a:ext uri="{FF2B5EF4-FFF2-40B4-BE49-F238E27FC236}">
              <a16:creationId xmlns:a16="http://schemas.microsoft.com/office/drawing/2014/main" id="{F99C0114-D5C5-4A73-BF49-56EF177B684B}"/>
            </a:ext>
          </a:extLst>
        </xdr:cNvPr>
        <xdr:cNvGrpSpPr/>
      </xdr:nvGrpSpPr>
      <xdr:grpSpPr>
        <a:xfrm>
          <a:off x="47187555" y="19496969"/>
          <a:ext cx="4884208" cy="2924881"/>
          <a:chOff x="19646194" y="17664289"/>
          <a:chExt cx="4572000" cy="2743200"/>
        </a:xfrm>
      </xdr:grpSpPr>
      <xdr:graphicFrame macro="">
        <xdr:nvGraphicFramePr>
          <xdr:cNvPr id="8" name="Chart 7">
            <a:extLst>
              <a:ext uri="{FF2B5EF4-FFF2-40B4-BE49-F238E27FC236}">
                <a16:creationId xmlns:a16="http://schemas.microsoft.com/office/drawing/2014/main" id="{ED8741EF-FF1A-4E0B-89F0-4028876515AD}"/>
              </a:ext>
            </a:extLst>
          </xdr:cNvPr>
          <xdr:cNvGraphicFramePr/>
        </xdr:nvGraphicFramePr>
        <xdr:xfrm>
          <a:off x="19646194" y="17664289"/>
          <a:ext cx="4572000" cy="2743200"/>
        </xdr:xfrm>
        <a:graphic>
          <a:graphicData uri="http://schemas.openxmlformats.org/drawingml/2006/chart">
            <c:chart xmlns:c="http://schemas.openxmlformats.org/drawingml/2006/chart" xmlns:r="http://schemas.openxmlformats.org/officeDocument/2006/relationships" r:id="rId3"/>
          </a:graphicData>
        </a:graphic>
      </xdr:graphicFrame>
      <xdr:cxnSp macro="">
        <xdr:nvCxnSpPr>
          <xdr:cNvPr id="10" name="Straight Arrow Connector 9">
            <a:extLst>
              <a:ext uri="{FF2B5EF4-FFF2-40B4-BE49-F238E27FC236}">
                <a16:creationId xmlns:a16="http://schemas.microsoft.com/office/drawing/2014/main" id="{C35B4972-CA7F-4231-824F-7766A98F13F7}"/>
              </a:ext>
            </a:extLst>
          </xdr:cNvPr>
          <xdr:cNvCxnSpPr/>
        </xdr:nvCxnSpPr>
        <xdr:spPr>
          <a:xfrm>
            <a:off x="23727833" y="18245666"/>
            <a:ext cx="0" cy="606778"/>
          </a:xfrm>
          <a:prstGeom prst="straightConnector1">
            <a:avLst/>
          </a:prstGeom>
          <a:ln>
            <a:solidFill>
              <a:schemeClr val="accent3"/>
            </a:solidFill>
            <a:headEnd type="triangle"/>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wsDr>
</file>

<file path=xl/drawings/drawing13.xml><?xml version="1.0" encoding="utf-8"?>
<c:userShapes xmlns:c="http://schemas.openxmlformats.org/drawingml/2006/chart">
  <cdr:relSizeAnchor xmlns:cdr="http://schemas.openxmlformats.org/drawingml/2006/chartDrawing">
    <cdr:from>
      <cdr:x>0.46991</cdr:x>
      <cdr:y>0.39969</cdr:y>
    </cdr:from>
    <cdr:to>
      <cdr:x>0.89892</cdr:x>
      <cdr:y>0.39969</cdr:y>
    </cdr:to>
    <cdr:cxnSp macro="">
      <cdr:nvCxnSpPr>
        <cdr:cNvPr id="3" name="Straight Connector 2">
          <a:extLst xmlns:a="http://schemas.openxmlformats.org/drawingml/2006/main">
            <a:ext uri="{FF2B5EF4-FFF2-40B4-BE49-F238E27FC236}">
              <a16:creationId xmlns:a16="http://schemas.microsoft.com/office/drawing/2014/main" id="{9B15F3BB-0BA0-431E-9380-E391351DE585}"/>
            </a:ext>
          </a:extLst>
        </cdr:cNvPr>
        <cdr:cNvCxnSpPr/>
      </cdr:nvCxnSpPr>
      <cdr:spPr>
        <a:xfrm xmlns:a="http://schemas.openxmlformats.org/drawingml/2006/main" flipV="1">
          <a:off x="2148417" y="1096433"/>
          <a:ext cx="1961445" cy="1"/>
        </a:xfrm>
        <a:prstGeom xmlns:a="http://schemas.openxmlformats.org/drawingml/2006/main" prst="line">
          <a:avLst/>
        </a:prstGeom>
        <a:ln xmlns:a="http://schemas.openxmlformats.org/drawingml/2006/main">
          <a:solidFill>
            <a:srgbClr val="FF0000"/>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0.73071</cdr:x>
      <cdr:y>0.20422</cdr:y>
    </cdr:from>
    <cdr:to>
      <cdr:x>0.90046</cdr:x>
      <cdr:y>0.20936</cdr:y>
    </cdr:to>
    <cdr:cxnSp macro="">
      <cdr:nvCxnSpPr>
        <cdr:cNvPr id="4" name="Straight Connector 3">
          <a:extLst xmlns:a="http://schemas.openxmlformats.org/drawingml/2006/main">
            <a:ext uri="{FF2B5EF4-FFF2-40B4-BE49-F238E27FC236}">
              <a16:creationId xmlns:a16="http://schemas.microsoft.com/office/drawing/2014/main" id="{D23379CC-D946-4D5E-A6D2-7E7589AA311E}"/>
            </a:ext>
          </a:extLst>
        </cdr:cNvPr>
        <cdr:cNvCxnSpPr/>
      </cdr:nvCxnSpPr>
      <cdr:spPr>
        <a:xfrm xmlns:a="http://schemas.openxmlformats.org/drawingml/2006/main">
          <a:off x="3340806" y="560211"/>
          <a:ext cx="776111" cy="14111"/>
        </a:xfrm>
        <a:prstGeom xmlns:a="http://schemas.openxmlformats.org/drawingml/2006/main" prst="line">
          <a:avLst/>
        </a:prstGeom>
        <a:ln xmlns:a="http://schemas.openxmlformats.org/drawingml/2006/main">
          <a:solidFill>
            <a:srgbClr val="FF0000"/>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userShapes>
</file>

<file path=xl/drawings/drawing14.xml><?xml version="1.0" encoding="utf-8"?>
<xdr:wsDr xmlns:xdr="http://schemas.openxmlformats.org/drawingml/2006/spreadsheetDrawing" xmlns:a="http://schemas.openxmlformats.org/drawingml/2006/main">
  <xdr:twoCellAnchor>
    <xdr:from>
      <xdr:col>18</xdr:col>
      <xdr:colOff>86968</xdr:colOff>
      <xdr:row>25</xdr:row>
      <xdr:rowOff>42699</xdr:rowOff>
    </xdr:from>
    <xdr:to>
      <xdr:col>19</xdr:col>
      <xdr:colOff>331307</xdr:colOff>
      <xdr:row>27</xdr:row>
      <xdr:rowOff>95619</xdr:rowOff>
    </xdr:to>
    <xdr:graphicFrame macro="">
      <xdr:nvGraphicFramePr>
        <xdr:cNvPr id="4" name="Chart 3">
          <a:extLst>
            <a:ext uri="{FF2B5EF4-FFF2-40B4-BE49-F238E27FC236}">
              <a16:creationId xmlns:a16="http://schemas.microsoft.com/office/drawing/2014/main" id="{355DA6C3-37DB-07CF-C52F-23ED00EE16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267494</xdr:colOff>
      <xdr:row>28</xdr:row>
      <xdr:rowOff>41274</xdr:rowOff>
    </xdr:from>
    <xdr:to>
      <xdr:col>24</xdr:col>
      <xdr:colOff>578644</xdr:colOff>
      <xdr:row>42</xdr:row>
      <xdr:rowOff>117474</xdr:rowOff>
    </xdr:to>
    <xdr:graphicFrame macro="">
      <xdr:nvGraphicFramePr>
        <xdr:cNvPr id="3" name="Chart 2">
          <a:extLst>
            <a:ext uri="{FF2B5EF4-FFF2-40B4-BE49-F238E27FC236}">
              <a16:creationId xmlns:a16="http://schemas.microsoft.com/office/drawing/2014/main" id="{DA043F64-7032-3D81-2521-FFB7D2C52C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118396</xdr:colOff>
      <xdr:row>26</xdr:row>
      <xdr:rowOff>131496</xdr:rowOff>
    </xdr:from>
    <xdr:to>
      <xdr:col>16</xdr:col>
      <xdr:colOff>245303</xdr:colOff>
      <xdr:row>41</xdr:row>
      <xdr:rowOff>17196</xdr:rowOff>
    </xdr:to>
    <xdr:graphicFrame macro="">
      <xdr:nvGraphicFramePr>
        <xdr:cNvPr id="5" name="Chart 4">
          <a:extLst>
            <a:ext uri="{FF2B5EF4-FFF2-40B4-BE49-F238E27FC236}">
              <a16:creationId xmlns:a16="http://schemas.microsoft.com/office/drawing/2014/main" id="{6C3FE59B-4FAB-B5D6-0247-9FEE9C043C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26</xdr:col>
      <xdr:colOff>82408</xdr:colOff>
      <xdr:row>1</xdr:row>
      <xdr:rowOff>74706</xdr:rowOff>
    </xdr:from>
    <xdr:to>
      <xdr:col>35</xdr:col>
      <xdr:colOff>257967</xdr:colOff>
      <xdr:row>29</xdr:row>
      <xdr:rowOff>17556</xdr:rowOff>
    </xdr:to>
    <xdr:graphicFrame macro="">
      <xdr:nvGraphicFramePr>
        <xdr:cNvPr id="6" name="Chart 5">
          <a:extLst>
            <a:ext uri="{FF2B5EF4-FFF2-40B4-BE49-F238E27FC236}">
              <a16:creationId xmlns:a16="http://schemas.microsoft.com/office/drawing/2014/main" id="{09549B65-3D49-B741-7B0F-602A69AEA7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18</xdr:col>
      <xdr:colOff>435296</xdr:colOff>
      <xdr:row>1</xdr:row>
      <xdr:rowOff>70888</xdr:rowOff>
    </xdr:from>
    <xdr:to>
      <xdr:col>25</xdr:col>
      <xdr:colOff>481575</xdr:colOff>
      <xdr:row>18</xdr:row>
      <xdr:rowOff>142580</xdr:rowOff>
    </xdr:to>
    <xdr:graphicFrame macro="">
      <xdr:nvGraphicFramePr>
        <xdr:cNvPr id="7" name="Chart 6">
          <a:extLst>
            <a:ext uri="{FF2B5EF4-FFF2-40B4-BE49-F238E27FC236}">
              <a16:creationId xmlns:a16="http://schemas.microsoft.com/office/drawing/2014/main" id="{91B66315-8292-55BD-8399-2CBD75B2CD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37</xdr:col>
      <xdr:colOff>294722</xdr:colOff>
      <xdr:row>12</xdr:row>
      <xdr:rowOff>173566</xdr:rowOff>
    </xdr:from>
    <xdr:to>
      <xdr:col>43</xdr:col>
      <xdr:colOff>458764</xdr:colOff>
      <xdr:row>26</xdr:row>
      <xdr:rowOff>105833</xdr:rowOff>
    </xdr:to>
    <xdr:graphicFrame macro="">
      <xdr:nvGraphicFramePr>
        <xdr:cNvPr id="17" name="Chart 16">
          <a:extLst>
            <a:ext uri="{FF2B5EF4-FFF2-40B4-BE49-F238E27FC236}">
              <a16:creationId xmlns:a16="http://schemas.microsoft.com/office/drawing/2014/main" id="{C21EBB2D-8BC5-A2F9-F08F-DEB115DEC2C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37</xdr:col>
      <xdr:colOff>150434</xdr:colOff>
      <xdr:row>28</xdr:row>
      <xdr:rowOff>84365</xdr:rowOff>
    </xdr:from>
    <xdr:to>
      <xdr:col>42</xdr:col>
      <xdr:colOff>579061</xdr:colOff>
      <xdr:row>39</xdr:row>
      <xdr:rowOff>80131</xdr:rowOff>
    </xdr:to>
    <xdr:graphicFrame macro="">
      <xdr:nvGraphicFramePr>
        <xdr:cNvPr id="18" name="Chart 17">
          <a:extLst>
            <a:ext uri="{FF2B5EF4-FFF2-40B4-BE49-F238E27FC236}">
              <a16:creationId xmlns:a16="http://schemas.microsoft.com/office/drawing/2014/main" id="{3F976281-4D36-9118-099C-7AEC701E3B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267182</xdr:colOff>
      <xdr:row>33</xdr:row>
      <xdr:rowOff>129989</xdr:rowOff>
    </xdr:from>
    <xdr:to>
      <xdr:col>6</xdr:col>
      <xdr:colOff>24929</xdr:colOff>
      <xdr:row>47</xdr:row>
      <xdr:rowOff>51673</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D7309646-AACB-7910-1833-2A7B03D7BDD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902182" y="6416489"/>
              <a:ext cx="5104447" cy="258868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178404</xdr:colOff>
      <xdr:row>29</xdr:row>
      <xdr:rowOff>84665</xdr:rowOff>
    </xdr:from>
    <xdr:to>
      <xdr:col>8</xdr:col>
      <xdr:colOff>83154</xdr:colOff>
      <xdr:row>40</xdr:row>
      <xdr:rowOff>42332</xdr:rowOff>
    </xdr:to>
    <xdr:sp macro="" textlink="">
      <xdr:nvSpPr>
        <xdr:cNvPr id="10" name="Rectangle 9">
          <a:extLst>
            <a:ext uri="{FF2B5EF4-FFF2-40B4-BE49-F238E27FC236}">
              <a16:creationId xmlns:a16="http://schemas.microsoft.com/office/drawing/2014/main" id="{A0D2832A-704F-D7AE-507A-A6A834B6F9E6}"/>
            </a:ext>
          </a:extLst>
        </xdr:cNvPr>
        <xdr:cNvSpPr/>
      </xdr:nvSpPr>
      <xdr:spPr>
        <a:xfrm>
          <a:off x="5947833" y="5037665"/>
          <a:ext cx="1319892" cy="2053167"/>
        </a:xfrm>
        <a:prstGeom prst="rec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lang="en-US" sz="1100"/>
        </a:p>
      </xdr:txBody>
    </xdr:sp>
    <xdr:clientData/>
  </xdr:twoCellAnchor>
  <xdr:twoCellAnchor>
    <xdr:from>
      <xdr:col>17</xdr:col>
      <xdr:colOff>91492</xdr:colOff>
      <xdr:row>48</xdr:row>
      <xdr:rowOff>49263</xdr:rowOff>
    </xdr:from>
    <xdr:to>
      <xdr:col>22</xdr:col>
      <xdr:colOff>517713</xdr:colOff>
      <xdr:row>62</xdr:row>
      <xdr:rowOff>125463</xdr:rowOff>
    </xdr:to>
    <mc:AlternateContent xmlns:mc="http://schemas.openxmlformats.org/markup-compatibility/2006">
      <mc:Choice xmlns:cx4="http://schemas.microsoft.com/office/drawing/2016/5/10/chartex" Requires="cx4">
        <xdr:graphicFrame macro="">
          <xdr:nvGraphicFramePr>
            <xdr:cNvPr id="8" name="Chart 7">
              <a:extLst>
                <a:ext uri="{FF2B5EF4-FFF2-40B4-BE49-F238E27FC236}">
                  <a16:creationId xmlns:a16="http://schemas.microsoft.com/office/drawing/2014/main" id="{5DBB04C2-A812-D6AC-8824-0E5B8E420D4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14112292" y="9193263"/>
              <a:ext cx="3791721"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125667</xdr:colOff>
      <xdr:row>41</xdr:row>
      <xdr:rowOff>83164</xdr:rowOff>
    </xdr:from>
    <xdr:to>
      <xdr:col>15</xdr:col>
      <xdr:colOff>117262</xdr:colOff>
      <xdr:row>55</xdr:row>
      <xdr:rowOff>157963</xdr:rowOff>
    </xdr:to>
    <xdr:graphicFrame macro="">
      <xdr:nvGraphicFramePr>
        <xdr:cNvPr id="9" name="Chart 8">
          <a:extLst>
            <a:ext uri="{FF2B5EF4-FFF2-40B4-BE49-F238E27FC236}">
              <a16:creationId xmlns:a16="http://schemas.microsoft.com/office/drawing/2014/main" id="{D5A88C7C-7C0F-C64F-86A3-593B41FCA3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44</xdr:col>
      <xdr:colOff>303799</xdr:colOff>
      <xdr:row>26</xdr:row>
      <xdr:rowOff>90136</xdr:rowOff>
    </xdr:from>
    <xdr:to>
      <xdr:col>49</xdr:col>
      <xdr:colOff>403087</xdr:colOff>
      <xdr:row>38</xdr:row>
      <xdr:rowOff>57978</xdr:rowOff>
    </xdr:to>
    <mc:AlternateContent xmlns:mc="http://schemas.openxmlformats.org/markup-compatibility/2006">
      <mc:Choice xmlns:cx4="http://schemas.microsoft.com/office/drawing/2016/5/10/chartex" Requires="cx4">
        <xdr:graphicFrame macro="">
          <xdr:nvGraphicFramePr>
            <xdr:cNvPr id="12" name="Chart 11">
              <a:extLst>
                <a:ext uri="{FF2B5EF4-FFF2-40B4-BE49-F238E27FC236}">
                  <a16:creationId xmlns:a16="http://schemas.microsoft.com/office/drawing/2014/main" id="{F4AC051E-C19F-FF23-D2C2-D42C6E8CBC6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xfrm>
              <a:off x="32498299" y="5043136"/>
              <a:ext cx="3845788" cy="2253842"/>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31</xdr:col>
      <xdr:colOff>79277</xdr:colOff>
      <xdr:row>57</xdr:row>
      <xdr:rowOff>151809</xdr:rowOff>
    </xdr:from>
    <xdr:to>
      <xdr:col>37</xdr:col>
      <xdr:colOff>369165</xdr:colOff>
      <xdr:row>70</xdr:row>
      <xdr:rowOff>65670</xdr:rowOff>
    </xdr:to>
    <xdr:graphicFrame macro="">
      <xdr:nvGraphicFramePr>
        <xdr:cNvPr id="22" name="Chart 21">
          <a:extLst>
            <a:ext uri="{FF2B5EF4-FFF2-40B4-BE49-F238E27FC236}">
              <a16:creationId xmlns:a16="http://schemas.microsoft.com/office/drawing/2014/main" id="{9E68B4A9-9BB7-0187-3809-98CAB45A1C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18</xdr:col>
      <xdr:colOff>223678</xdr:colOff>
      <xdr:row>70</xdr:row>
      <xdr:rowOff>83905</xdr:rowOff>
    </xdr:from>
    <xdr:to>
      <xdr:col>25</xdr:col>
      <xdr:colOff>525481</xdr:colOff>
      <xdr:row>84</xdr:row>
      <xdr:rowOff>130139</xdr:rowOff>
    </xdr:to>
    <xdr:graphicFrame macro="">
      <xdr:nvGraphicFramePr>
        <xdr:cNvPr id="19" name="Chart 18">
          <a:extLst>
            <a:ext uri="{FF2B5EF4-FFF2-40B4-BE49-F238E27FC236}">
              <a16:creationId xmlns:a16="http://schemas.microsoft.com/office/drawing/2014/main" id="{7EAB195E-65E0-45F3-64D5-1A45302857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8</xdr:col>
      <xdr:colOff>327488</xdr:colOff>
      <xdr:row>69</xdr:row>
      <xdr:rowOff>94351</xdr:rowOff>
    </xdr:from>
    <xdr:to>
      <xdr:col>13</xdr:col>
      <xdr:colOff>575270</xdr:colOff>
      <xdr:row>84</xdr:row>
      <xdr:rowOff>53257</xdr:rowOff>
    </xdr:to>
    <xdr:graphicFrame macro="">
      <xdr:nvGraphicFramePr>
        <xdr:cNvPr id="11" name="Chart 10">
          <a:extLst>
            <a:ext uri="{FF2B5EF4-FFF2-40B4-BE49-F238E27FC236}">
              <a16:creationId xmlns:a16="http://schemas.microsoft.com/office/drawing/2014/main" id="{558EAE33-9415-F881-80FE-D0234844048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9</xdr:col>
      <xdr:colOff>606650</xdr:colOff>
      <xdr:row>90</xdr:row>
      <xdr:rowOff>115749</xdr:rowOff>
    </xdr:from>
    <xdr:to>
      <xdr:col>15</xdr:col>
      <xdr:colOff>315923</xdr:colOff>
      <xdr:row>103</xdr:row>
      <xdr:rowOff>123646</xdr:rowOff>
    </xdr:to>
    <mc:AlternateContent xmlns:mc="http://schemas.openxmlformats.org/markup-compatibility/2006">
      <mc:Choice xmlns:cx1="http://schemas.microsoft.com/office/drawing/2015/9/8/chartex" Requires="cx1">
        <xdr:graphicFrame macro="">
          <xdr:nvGraphicFramePr>
            <xdr:cNvPr id="20" name="Chart 19">
              <a:extLst>
                <a:ext uri="{FF2B5EF4-FFF2-40B4-BE49-F238E27FC236}">
                  <a16:creationId xmlns:a16="http://schemas.microsoft.com/office/drawing/2014/main" id="{FBB41B95-5D02-5CF4-92AD-9A5B2C7F220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5"/>
            </a:graphicData>
          </a:graphic>
        </xdr:graphicFrame>
      </mc:Choice>
      <mc:Fallback>
        <xdr:sp macro="" textlink="">
          <xdr:nvSpPr>
            <xdr:cNvPr id="0" name=""/>
            <xdr:cNvSpPr>
              <a:spLocks noTextEdit="1"/>
            </xdr:cNvSpPr>
          </xdr:nvSpPr>
          <xdr:spPr>
            <a:xfrm>
              <a:off x="8988650" y="17260749"/>
              <a:ext cx="4001873" cy="2484397"/>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381001</xdr:colOff>
      <xdr:row>3</xdr:row>
      <xdr:rowOff>74543</xdr:rowOff>
    </xdr:from>
    <xdr:to>
      <xdr:col>19</xdr:col>
      <xdr:colOff>372719</xdr:colOff>
      <xdr:row>17</xdr:row>
      <xdr:rowOff>24848</xdr:rowOff>
    </xdr:to>
    <xdr:graphicFrame macro="">
      <xdr:nvGraphicFramePr>
        <xdr:cNvPr id="23" name="Chart 22">
          <a:extLst>
            <a:ext uri="{FF2B5EF4-FFF2-40B4-BE49-F238E27FC236}">
              <a16:creationId xmlns:a16="http://schemas.microsoft.com/office/drawing/2014/main" id="{9CE6B472-D9DA-4263-850C-DA2589EEE4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2</xdr:col>
      <xdr:colOff>171172</xdr:colOff>
      <xdr:row>103</xdr:row>
      <xdr:rowOff>127552</xdr:rowOff>
    </xdr:from>
    <xdr:to>
      <xdr:col>6</xdr:col>
      <xdr:colOff>436216</xdr:colOff>
      <xdr:row>115</xdr:row>
      <xdr:rowOff>160130</xdr:rowOff>
    </xdr:to>
    <mc:AlternateContent xmlns:mc="http://schemas.openxmlformats.org/markup-compatibility/2006">
      <mc:Choice xmlns:cx1="http://schemas.microsoft.com/office/drawing/2015/9/8/chartex" Requires="cx1">
        <xdr:graphicFrame macro="">
          <xdr:nvGraphicFramePr>
            <xdr:cNvPr id="14" name="Chart 13">
              <a:extLst>
                <a:ext uri="{FF2B5EF4-FFF2-40B4-BE49-F238E27FC236}">
                  <a16:creationId xmlns:a16="http://schemas.microsoft.com/office/drawing/2014/main" id="{0D1FCB08-BCEA-54E0-F602-79A142A99EB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7"/>
            </a:graphicData>
          </a:graphic>
        </xdr:graphicFrame>
      </mc:Choice>
      <mc:Fallback>
        <xdr:sp macro="" textlink="">
          <xdr:nvSpPr>
            <xdr:cNvPr id="0" name=""/>
            <xdr:cNvSpPr>
              <a:spLocks noTextEdit="1"/>
            </xdr:cNvSpPr>
          </xdr:nvSpPr>
          <xdr:spPr>
            <a:xfrm>
              <a:off x="2952472" y="19749052"/>
              <a:ext cx="3465444" cy="275037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99390</xdr:colOff>
      <xdr:row>122</xdr:row>
      <xdr:rowOff>110987</xdr:rowOff>
    </xdr:from>
    <xdr:to>
      <xdr:col>17</xdr:col>
      <xdr:colOff>190499</xdr:colOff>
      <xdr:row>136</xdr:row>
      <xdr:rowOff>187187</xdr:rowOff>
    </xdr:to>
    <xdr:graphicFrame macro="">
      <xdr:nvGraphicFramePr>
        <xdr:cNvPr id="16" name="Chart 15">
          <a:extLst>
            <a:ext uri="{FF2B5EF4-FFF2-40B4-BE49-F238E27FC236}">
              <a16:creationId xmlns:a16="http://schemas.microsoft.com/office/drawing/2014/main" id="{C7C75BC1-7A0F-8411-BEDB-174E830DD6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8</xdr:col>
      <xdr:colOff>491184</xdr:colOff>
      <xdr:row>2</xdr:row>
      <xdr:rowOff>38200</xdr:rowOff>
    </xdr:from>
    <xdr:to>
      <xdr:col>15</xdr:col>
      <xdr:colOff>608143</xdr:colOff>
      <xdr:row>16</xdr:row>
      <xdr:rowOff>114401</xdr:rowOff>
    </xdr:to>
    <xdr:graphicFrame macro="">
      <xdr:nvGraphicFramePr>
        <xdr:cNvPr id="21" name="Chart 20">
          <a:extLst>
            <a:ext uri="{FF2B5EF4-FFF2-40B4-BE49-F238E27FC236}">
              <a16:creationId xmlns:a16="http://schemas.microsoft.com/office/drawing/2014/main" id="{1ACB7183-21B3-E688-F3A3-8D6BB9915E9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38</xdr:col>
      <xdr:colOff>137379</xdr:colOff>
      <xdr:row>14</xdr:row>
      <xdr:rowOff>123320</xdr:rowOff>
    </xdr:from>
    <xdr:to>
      <xdr:col>44</xdr:col>
      <xdr:colOff>183173</xdr:colOff>
      <xdr:row>28</xdr:row>
      <xdr:rowOff>7327</xdr:rowOff>
    </xdr:to>
    <mc:AlternateContent xmlns:mc="http://schemas.openxmlformats.org/markup-compatibility/2006">
      <mc:Choice xmlns:cx4="http://schemas.microsoft.com/office/drawing/2016/5/10/chartex" Requires="cx4">
        <xdr:graphicFrame macro="">
          <xdr:nvGraphicFramePr>
            <xdr:cNvPr id="24" name="Chart 23">
              <a:extLst>
                <a:ext uri="{FF2B5EF4-FFF2-40B4-BE49-F238E27FC236}">
                  <a16:creationId xmlns:a16="http://schemas.microsoft.com/office/drawing/2014/main" id="{2E1BB8C2-0EB6-5040-90AE-FEB6877F1B2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0"/>
            </a:graphicData>
          </a:graphic>
        </xdr:graphicFrame>
      </mc:Choice>
      <mc:Fallback>
        <xdr:sp macro="" textlink="">
          <xdr:nvSpPr>
            <xdr:cNvPr id="0" name=""/>
            <xdr:cNvSpPr>
              <a:spLocks noTextEdit="1"/>
            </xdr:cNvSpPr>
          </xdr:nvSpPr>
          <xdr:spPr>
            <a:xfrm>
              <a:off x="28293279" y="2790320"/>
              <a:ext cx="4084394" cy="2551007"/>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15.xml><?xml version="1.0" encoding="utf-8"?>
<c:userShapes xmlns:c="http://schemas.openxmlformats.org/drawingml/2006/chart">
  <cdr:relSizeAnchor xmlns:cdr="http://schemas.openxmlformats.org/drawingml/2006/chartDrawing">
    <cdr:from>
      <cdr:x>0.79167</cdr:x>
      <cdr:y>0.02257</cdr:y>
    </cdr:from>
    <cdr:to>
      <cdr:x>0.9125</cdr:x>
      <cdr:y>0.55035</cdr:y>
    </cdr:to>
    <cdr:sp macro="" textlink="">
      <cdr:nvSpPr>
        <cdr:cNvPr id="2" name="Rectangle 1">
          <a:extLst xmlns:a="http://schemas.openxmlformats.org/drawingml/2006/main">
            <a:ext uri="{FF2B5EF4-FFF2-40B4-BE49-F238E27FC236}">
              <a16:creationId xmlns:a16="http://schemas.microsoft.com/office/drawing/2014/main" id="{40C7ADDA-11B8-41AD-3CFD-068B4F05BDDB}"/>
            </a:ext>
          </a:extLst>
        </cdr:cNvPr>
        <cdr:cNvSpPr/>
      </cdr:nvSpPr>
      <cdr:spPr>
        <a:xfrm xmlns:a="http://schemas.openxmlformats.org/drawingml/2006/main">
          <a:off x="3619500" y="61913"/>
          <a:ext cx="552450" cy="1447800"/>
        </a:xfrm>
        <a:prstGeom xmlns:a="http://schemas.openxmlformats.org/drawingml/2006/main" prst="rect">
          <a:avLst/>
        </a:prstGeom>
        <a:noFill xmlns:a="http://schemas.openxmlformats.org/drawingml/2006/main"/>
        <a:ln xmlns:a="http://schemas.openxmlformats.org/drawingml/2006/main" w="9525" cap="flat" cmpd="sng" algn="ctr">
          <a:solidFill>
            <a:schemeClr val="accent4"/>
          </a:solidFill>
          <a:prstDash val="solid"/>
          <a:round/>
          <a:headEnd type="none" w="med" len="med"/>
          <a:tailEnd type="none" w="med" len="med"/>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accent4"/>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userShapes>
</file>

<file path=xl/drawings/drawing16.xml><?xml version="1.0" encoding="utf-8"?>
<c:userShapes xmlns:c="http://schemas.openxmlformats.org/drawingml/2006/chart">
  <cdr:relSizeAnchor xmlns:cdr="http://schemas.openxmlformats.org/drawingml/2006/chartDrawing">
    <cdr:from>
      <cdr:x>0.14627</cdr:x>
      <cdr:y>0.01003</cdr:y>
    </cdr:from>
    <cdr:to>
      <cdr:x>0.669</cdr:x>
      <cdr:y>0.76663</cdr:y>
    </cdr:to>
    <cdr:sp macro="" textlink="">
      <cdr:nvSpPr>
        <cdr:cNvPr id="3" name="Rectangle 2">
          <a:extLst xmlns:a="http://schemas.openxmlformats.org/drawingml/2006/main">
            <a:ext uri="{FF2B5EF4-FFF2-40B4-BE49-F238E27FC236}">
              <a16:creationId xmlns:a16="http://schemas.microsoft.com/office/drawing/2014/main" id="{A0685EBD-22D9-E600-3CF2-B0E2C1B9CB1A}"/>
            </a:ext>
          </a:extLst>
        </cdr:cNvPr>
        <cdr:cNvSpPr/>
      </cdr:nvSpPr>
      <cdr:spPr>
        <a:xfrm xmlns:a="http://schemas.openxmlformats.org/drawingml/2006/main">
          <a:off x="633719" y="27469"/>
          <a:ext cx="2264735" cy="2072094"/>
        </a:xfrm>
        <a:prstGeom xmlns:a="http://schemas.openxmlformats.org/drawingml/2006/main" prst="rect">
          <a:avLst/>
        </a:prstGeom>
        <a:noFill xmlns:a="http://schemas.openxmlformats.org/drawingml/2006/main"/>
        <a:ln xmlns:a="http://schemas.openxmlformats.org/drawingml/2006/main" w="9525" cap="flat" cmpd="sng" algn="ctr">
          <a:solidFill>
            <a:schemeClr val="bg1">
              <a:lumMod val="50000"/>
            </a:schemeClr>
          </a:solidFill>
          <a:prstDash val="solid"/>
          <a:round/>
          <a:headEnd type="none" w="med" len="med"/>
          <a:tailEnd type="none" w="med" len="med"/>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vertOverflow="clip"/>
        <a:lstStyle xmlns:a="http://schemas.openxmlformats.org/drawingml/2006/main"/>
        <a:p xmlns:a="http://schemas.openxmlformats.org/drawingml/2006/main">
          <a:pPr algn="ctr"/>
          <a:r>
            <a:rPr lang="en-US" sz="800" b="1" baseline="0">
              <a:solidFill>
                <a:schemeClr val="bg1">
                  <a:lumMod val="50000"/>
                </a:schemeClr>
              </a:solidFill>
            </a:rPr>
            <a:t>"Cuộc chiến về giá" bùng nổ, trong bối cảnh nhu cầu suy yếu</a:t>
          </a:r>
        </a:p>
        <a:p xmlns:a="http://schemas.openxmlformats.org/drawingml/2006/main">
          <a:pPr algn="ctr"/>
          <a:r>
            <a:rPr lang="en-US" sz="800" b="1" baseline="0">
              <a:solidFill>
                <a:schemeClr val="bg1">
                  <a:lumMod val="50000"/>
                </a:schemeClr>
              </a:solidFill>
            </a:rPr>
            <a:t>&amp; MWG bước đầu bước vào giai đoạn tối ưu hoạt động</a:t>
          </a:r>
          <a:endParaRPr lang="en-US" sz="800" b="1">
            <a:solidFill>
              <a:schemeClr val="bg1">
                <a:lumMod val="50000"/>
              </a:schemeClr>
            </a:solidFill>
          </a:endParaRPr>
        </a:p>
      </cdr:txBody>
    </cdr:sp>
  </cdr:relSizeAnchor>
  <cdr:relSizeAnchor xmlns:cdr="http://schemas.openxmlformats.org/drawingml/2006/chartDrawing">
    <cdr:from>
      <cdr:x>0.67122</cdr:x>
      <cdr:y>0.01112</cdr:y>
    </cdr:from>
    <cdr:to>
      <cdr:x>0.90041</cdr:x>
      <cdr:y>0.76663</cdr:y>
    </cdr:to>
    <cdr:sp macro="" textlink="">
      <cdr:nvSpPr>
        <cdr:cNvPr id="2" name="Rectangle 1">
          <a:extLst xmlns:a="http://schemas.openxmlformats.org/drawingml/2006/main">
            <a:ext uri="{FF2B5EF4-FFF2-40B4-BE49-F238E27FC236}">
              <a16:creationId xmlns:a16="http://schemas.microsoft.com/office/drawing/2014/main" id="{029A0107-007D-22BE-0AE0-32EF60FE36C9}"/>
            </a:ext>
          </a:extLst>
        </cdr:cNvPr>
        <cdr:cNvSpPr/>
      </cdr:nvSpPr>
      <cdr:spPr>
        <a:xfrm xmlns:a="http://schemas.openxmlformats.org/drawingml/2006/main">
          <a:off x="2910878" y="30454"/>
          <a:ext cx="993914" cy="2069109"/>
        </a:xfrm>
        <a:prstGeom xmlns:a="http://schemas.openxmlformats.org/drawingml/2006/main" prst="rect">
          <a:avLst/>
        </a:prstGeom>
        <a:noFill xmlns:a="http://schemas.openxmlformats.org/drawingml/2006/main"/>
        <a:ln xmlns:a="http://schemas.openxmlformats.org/drawingml/2006/main" w="9525" cap="flat" cmpd="sng" algn="ctr">
          <a:solidFill>
            <a:schemeClr val="accent3"/>
          </a:solidFill>
          <a:prstDash val="solid"/>
          <a:round/>
          <a:headEnd type="none" w="med" len="med"/>
          <a:tailEnd type="none" w="med" len="med"/>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r>
            <a:rPr lang="en-US" sz="800" b="1" baseline="0">
              <a:solidFill>
                <a:schemeClr val="accent3"/>
              </a:solidFill>
            </a:rPr>
            <a:t>Kết quả tích cực khi MWG theo đuổi chiến lược tối ưu hóa hoạt động</a:t>
          </a:r>
          <a:endParaRPr lang="en-US" sz="800" b="1">
            <a:solidFill>
              <a:schemeClr val="accent3"/>
            </a:solidFill>
          </a:endParaRPr>
        </a:p>
      </cdr:txBody>
    </cdr:sp>
  </cdr:relSizeAnchor>
</c:userShapes>
</file>

<file path=xl/drawings/drawing17.xml><?xml version="1.0" encoding="utf-8"?>
<c:userShapes xmlns:c="http://schemas.openxmlformats.org/drawingml/2006/chart">
  <cdr:relSizeAnchor xmlns:cdr="http://schemas.openxmlformats.org/drawingml/2006/chartDrawing">
    <cdr:from>
      <cdr:x>0.86189</cdr:x>
      <cdr:y>0.12896</cdr:y>
    </cdr:from>
    <cdr:to>
      <cdr:x>0.86189</cdr:x>
      <cdr:y>0.19615</cdr:y>
    </cdr:to>
    <cdr:cxnSp macro="">
      <cdr:nvCxnSpPr>
        <cdr:cNvPr id="6" name="Straight Arrow Connector 5">
          <a:extLst xmlns:a="http://schemas.openxmlformats.org/drawingml/2006/main">
            <a:ext uri="{FF2B5EF4-FFF2-40B4-BE49-F238E27FC236}">
              <a16:creationId xmlns:a16="http://schemas.microsoft.com/office/drawing/2014/main" id="{4B45F32E-2CBA-48C0-3B06-8721075E6981}"/>
            </a:ext>
          </a:extLst>
        </cdr:cNvPr>
        <cdr:cNvCxnSpPr/>
      </cdr:nvCxnSpPr>
      <cdr:spPr>
        <a:xfrm xmlns:a="http://schemas.openxmlformats.org/drawingml/2006/main" flipV="1">
          <a:off x="3922459" y="351064"/>
          <a:ext cx="0" cy="182880"/>
        </a:xfrm>
        <a:prstGeom xmlns:a="http://schemas.openxmlformats.org/drawingml/2006/main" prst="straightConnector1">
          <a:avLst/>
        </a:prstGeom>
        <a:ln xmlns:a="http://schemas.openxmlformats.org/drawingml/2006/main">
          <a:solidFill>
            <a:schemeClr val="accent5"/>
          </a:solidFill>
          <a:prstDash val="sysDash"/>
          <a:tailEnd type="triangle" w="sm" len="sm"/>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userShapes>
</file>

<file path=xl/drawings/drawing18.xml><?xml version="1.0" encoding="utf-8"?>
<c:userShapes xmlns:c="http://schemas.openxmlformats.org/drawingml/2006/chart">
  <cdr:relSizeAnchor xmlns:cdr="http://schemas.openxmlformats.org/drawingml/2006/chartDrawing">
    <cdr:from>
      <cdr:x>0.20389</cdr:x>
      <cdr:y>0.43758</cdr:y>
    </cdr:from>
    <cdr:to>
      <cdr:x>0.81016</cdr:x>
      <cdr:y>0.57413</cdr:y>
    </cdr:to>
    <cdr:cxnSp macro="">
      <cdr:nvCxnSpPr>
        <cdr:cNvPr id="3" name="Straight Arrow Connector 2">
          <a:extLst xmlns:a="http://schemas.openxmlformats.org/drawingml/2006/main">
            <a:ext uri="{FF2B5EF4-FFF2-40B4-BE49-F238E27FC236}">
              <a16:creationId xmlns:a16="http://schemas.microsoft.com/office/drawing/2014/main" id="{2EF1AF3A-84F9-6961-CCD9-D2AEA8B8E991}"/>
            </a:ext>
          </a:extLst>
        </cdr:cNvPr>
        <cdr:cNvCxnSpPr/>
      </cdr:nvCxnSpPr>
      <cdr:spPr>
        <a:xfrm xmlns:a="http://schemas.openxmlformats.org/drawingml/2006/main" flipV="1">
          <a:off x="932166" y="1200364"/>
          <a:ext cx="2771882" cy="374578"/>
        </a:xfrm>
        <a:prstGeom xmlns:a="http://schemas.openxmlformats.org/drawingml/2006/main" prst="straightConnector1">
          <a:avLst/>
        </a:prstGeom>
        <a:ln xmlns:a="http://schemas.openxmlformats.org/drawingml/2006/main">
          <a:prstDash val="sysDash"/>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0.23432</cdr:x>
      <cdr:y>0.03964</cdr:y>
    </cdr:from>
    <cdr:to>
      <cdr:x>0.95763</cdr:x>
      <cdr:y>0.37906</cdr:y>
    </cdr:to>
    <cdr:sp macro="" textlink="">
      <cdr:nvSpPr>
        <cdr:cNvPr id="4" name="Rectangle 3">
          <a:extLst xmlns:a="http://schemas.openxmlformats.org/drawingml/2006/main">
            <a:ext uri="{FF2B5EF4-FFF2-40B4-BE49-F238E27FC236}">
              <a16:creationId xmlns:a16="http://schemas.microsoft.com/office/drawing/2014/main" id="{7C410E97-B5F2-277D-2857-E4D2E96EF4B5}"/>
            </a:ext>
          </a:extLst>
        </cdr:cNvPr>
        <cdr:cNvSpPr/>
      </cdr:nvSpPr>
      <cdr:spPr>
        <a:xfrm xmlns:a="http://schemas.openxmlformats.org/drawingml/2006/main">
          <a:off x="1071294" y="108735"/>
          <a:ext cx="3306995" cy="931095"/>
        </a:xfrm>
        <a:prstGeom xmlns:a="http://schemas.openxmlformats.org/drawingml/2006/main" prst="rect">
          <a:avLst/>
        </a:prstGeom>
        <a:noFill xmlns:a="http://schemas.openxmlformats.org/drawingml/2006/main"/>
        <a:ln xmlns:a="http://schemas.openxmlformats.org/drawingml/2006/main" w="9525" cap="flat" cmpd="sng" algn="ctr">
          <a:solidFill>
            <a:schemeClr val="accent3"/>
          </a:solidFill>
          <a:prstDash val="sysDash"/>
          <a:round/>
          <a:headEnd type="none" w="med" len="med"/>
          <a:tailEnd type="none" w="med" len="med"/>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accent3"/>
        </a:fontRef>
      </cdr:style>
      <cdr:txBody>
        <a:bodyPr xmlns:a="http://schemas.openxmlformats.org/drawingml/2006/main" vertOverflow="clip"/>
        <a:lstStyle xmlns:a="http://schemas.openxmlformats.org/drawingml/2006/main"/>
        <a:p xmlns:a="http://schemas.openxmlformats.org/drawingml/2006/main">
          <a:pPr algn="l"/>
          <a:r>
            <a:rPr lang="en-US" b="1" kern="1200"/>
            <a:t>Thị</a:t>
          </a:r>
          <a:r>
            <a:rPr lang="en-US" b="1" kern="1200" baseline="0"/>
            <a:t> phần kênh MT tăng đáng kể hậu Covid</a:t>
          </a:r>
          <a:r>
            <a:rPr lang="en-US" kern="1200" baseline="0"/>
            <a:t>, dẫn dắt bởi: </a:t>
          </a:r>
          <a:r>
            <a:rPr lang="en-US" b="1" kern="1200" baseline="0"/>
            <a:t>(1) </a:t>
          </a:r>
          <a:r>
            <a:rPr lang="en-US" kern="1200" baseline="0"/>
            <a:t>thay đổi trong thói quen tiêu dùng;</a:t>
          </a:r>
          <a:r>
            <a:rPr lang="en-US" b="1" kern="1200" baseline="0"/>
            <a:t> (2) </a:t>
          </a:r>
          <a:r>
            <a:rPr lang="en-US" kern="1200" baseline="0"/>
            <a:t> sự phát triển của internet và xuất hiện các ngành nghề mới, hỗ trợ đáng kể thu nhập; </a:t>
          </a:r>
          <a:r>
            <a:rPr lang="en-US" b="1" kern="1200" baseline="0"/>
            <a:t>(3) </a:t>
          </a:r>
          <a:r>
            <a:rPr lang="en-US" b="0" kern="1200" baseline="0"/>
            <a:t>đa dạng các hình thức thanh toán, tiện lợi.</a:t>
          </a:r>
          <a:endParaRPr lang="en-US" kern="1200"/>
        </a:p>
      </cdr:txBody>
    </cdr:sp>
  </cdr:relSizeAnchor>
</c:userShapes>
</file>

<file path=xl/drawings/drawing19.xml><?xml version="1.0" encoding="utf-8"?>
<c:userShapes xmlns:c="http://schemas.openxmlformats.org/drawingml/2006/chart">
  <cdr:relSizeAnchor xmlns:cdr="http://schemas.openxmlformats.org/drawingml/2006/chartDrawing">
    <cdr:from>
      <cdr:x>0.18555</cdr:x>
      <cdr:y>0.42197</cdr:y>
    </cdr:from>
    <cdr:to>
      <cdr:x>0.38062</cdr:x>
      <cdr:y>0.63757</cdr:y>
    </cdr:to>
    <cdr:sp macro="" textlink="">
      <cdr:nvSpPr>
        <cdr:cNvPr id="2" name="TextBox 1">
          <a:extLst xmlns:a="http://schemas.openxmlformats.org/drawingml/2006/main">
            <a:ext uri="{FF2B5EF4-FFF2-40B4-BE49-F238E27FC236}">
              <a16:creationId xmlns:a16="http://schemas.microsoft.com/office/drawing/2014/main" id="{648DC4C8-008E-23A9-4949-4376694451B3}"/>
            </a:ext>
          </a:extLst>
        </cdr:cNvPr>
        <cdr:cNvSpPr txBox="1"/>
      </cdr:nvSpPr>
      <cdr:spPr>
        <a:xfrm xmlns:a="http://schemas.openxmlformats.org/drawingml/2006/main">
          <a:off x="841843" y="1129736"/>
          <a:ext cx="885036" cy="57720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900" b="1">
              <a:latin typeface="Nunito" pitchFamily="2" charset="0"/>
            </a:rPr>
            <a:t>Bên</a:t>
          </a:r>
          <a:r>
            <a:rPr lang="en-US" sz="900" b="1" baseline="0">
              <a:latin typeface="Nunito" pitchFamily="2" charset="0"/>
            </a:rPr>
            <a:t> trong</a:t>
          </a:r>
          <a:r>
            <a:rPr lang="en-US" sz="900" baseline="0">
              <a:latin typeface="Nunito" pitchFamily="2" charset="0"/>
            </a:rPr>
            <a:t>: năm 2023</a:t>
          </a:r>
        </a:p>
        <a:p xmlns:a="http://schemas.openxmlformats.org/drawingml/2006/main">
          <a:endParaRPr lang="vi-VN" sz="1100"/>
        </a:p>
      </cdr:txBody>
    </cdr:sp>
  </cdr:relSizeAnchor>
  <cdr:relSizeAnchor xmlns:cdr="http://schemas.openxmlformats.org/drawingml/2006/chartDrawing">
    <cdr:from>
      <cdr:x>0.52297</cdr:x>
      <cdr:y>0.41126</cdr:y>
    </cdr:from>
    <cdr:to>
      <cdr:x>0.71804</cdr:x>
      <cdr:y>0.62355</cdr:y>
    </cdr:to>
    <cdr:sp macro="" textlink="">
      <cdr:nvSpPr>
        <cdr:cNvPr id="4" name="TextBox 1">
          <a:extLst xmlns:a="http://schemas.openxmlformats.org/drawingml/2006/main">
            <a:ext uri="{FF2B5EF4-FFF2-40B4-BE49-F238E27FC236}">
              <a16:creationId xmlns:a16="http://schemas.microsoft.com/office/drawing/2014/main" id="{D5AD0BD7-7047-3F38-ED99-95041F13C408}"/>
            </a:ext>
          </a:extLst>
        </cdr:cNvPr>
        <cdr:cNvSpPr txBox="1"/>
      </cdr:nvSpPr>
      <cdr:spPr>
        <a:xfrm xmlns:a="http://schemas.openxmlformats.org/drawingml/2006/main">
          <a:off x="2216027" y="1083443"/>
          <a:ext cx="826580" cy="559282"/>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900" b="1">
              <a:latin typeface="Nunito" pitchFamily="2" charset="0"/>
            </a:rPr>
            <a:t>Bên</a:t>
          </a:r>
          <a:r>
            <a:rPr lang="en-US" sz="900" b="1" baseline="0">
              <a:latin typeface="Nunito" pitchFamily="2" charset="0"/>
            </a:rPr>
            <a:t> ngoài</a:t>
          </a:r>
          <a:r>
            <a:rPr lang="en-US" sz="900" baseline="0">
              <a:latin typeface="Nunito" pitchFamily="2" charset="0"/>
            </a:rPr>
            <a:t>: năm 2024</a:t>
          </a:r>
        </a:p>
        <a:p xmlns:a="http://schemas.openxmlformats.org/drawingml/2006/main">
          <a:endParaRPr lang="vi-VN" sz="900"/>
        </a:p>
      </cdr:txBody>
    </cdr:sp>
  </cdr:relSizeAnchor>
</c:userShapes>
</file>

<file path=xl/drawings/drawing20.xml><?xml version="1.0" encoding="utf-8"?>
<xdr:wsDr xmlns:xdr="http://schemas.openxmlformats.org/drawingml/2006/spreadsheetDrawing" xmlns:a="http://schemas.openxmlformats.org/drawingml/2006/main">
  <xdr:twoCellAnchor editAs="oneCell">
    <xdr:from>
      <xdr:col>20</xdr:col>
      <xdr:colOff>28575</xdr:colOff>
      <xdr:row>110</xdr:row>
      <xdr:rowOff>114300</xdr:rowOff>
    </xdr:from>
    <xdr:to>
      <xdr:col>26</xdr:col>
      <xdr:colOff>756369</xdr:colOff>
      <xdr:row>124</xdr:row>
      <xdr:rowOff>118933</xdr:rowOff>
    </xdr:to>
    <xdr:pic>
      <xdr:nvPicPr>
        <xdr:cNvPr id="2" name="Picture 1">
          <a:extLst>
            <a:ext uri="{FF2B5EF4-FFF2-40B4-BE49-F238E27FC236}">
              <a16:creationId xmlns:a16="http://schemas.microsoft.com/office/drawing/2014/main" id="{E536C59B-F249-440D-876D-9E2551590093}"/>
            </a:ext>
          </a:extLst>
        </xdr:cNvPr>
        <xdr:cNvPicPr>
          <a:picLocks noChangeAspect="1"/>
        </xdr:cNvPicPr>
      </xdr:nvPicPr>
      <xdr:blipFill>
        <a:blip xmlns:r="http://schemas.openxmlformats.org/officeDocument/2006/relationships" r:embed="rId1"/>
        <a:stretch>
          <a:fillRect/>
        </a:stretch>
      </xdr:blipFill>
      <xdr:spPr>
        <a:xfrm>
          <a:off x="10515600" y="21507450"/>
          <a:ext cx="5909394" cy="3243133"/>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xdr:from>
      <xdr:col>0</xdr:col>
      <xdr:colOff>599022</xdr:colOff>
      <xdr:row>44</xdr:row>
      <xdr:rowOff>69605</xdr:rowOff>
    </xdr:from>
    <xdr:to>
      <xdr:col>9</xdr:col>
      <xdr:colOff>593480</xdr:colOff>
      <xdr:row>61</xdr:row>
      <xdr:rowOff>146538</xdr:rowOff>
    </xdr:to>
    <xdr:graphicFrame macro="">
      <xdr:nvGraphicFramePr>
        <xdr:cNvPr id="2" name="Chart 1">
          <a:extLst>
            <a:ext uri="{FF2B5EF4-FFF2-40B4-BE49-F238E27FC236}">
              <a16:creationId xmlns:a16="http://schemas.microsoft.com/office/drawing/2014/main" id="{173955BF-C503-4C78-B6F8-6CF1CAFCE8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39</xdr:col>
      <xdr:colOff>285871</xdr:colOff>
      <xdr:row>43</xdr:row>
      <xdr:rowOff>162305</xdr:rowOff>
    </xdr:from>
    <xdr:to>
      <xdr:col>46</xdr:col>
      <xdr:colOff>529980</xdr:colOff>
      <xdr:row>60</xdr:row>
      <xdr:rowOff>162549</xdr:rowOff>
    </xdr:to>
    <xdr:graphicFrame macro="">
      <xdr:nvGraphicFramePr>
        <xdr:cNvPr id="3" name="Chart 2">
          <a:extLst>
            <a:ext uri="{FF2B5EF4-FFF2-40B4-BE49-F238E27FC236}">
              <a16:creationId xmlns:a16="http://schemas.microsoft.com/office/drawing/2014/main" id="{F24A741B-4068-4229-B20D-FDC28BC444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30</xdr:col>
      <xdr:colOff>14654</xdr:colOff>
      <xdr:row>17</xdr:row>
      <xdr:rowOff>41870</xdr:rowOff>
    </xdr:from>
    <xdr:to>
      <xdr:col>42</xdr:col>
      <xdr:colOff>131885</xdr:colOff>
      <xdr:row>43</xdr:row>
      <xdr:rowOff>14656</xdr:rowOff>
    </xdr:to>
    <xdr:graphicFrame macro="">
      <xdr:nvGraphicFramePr>
        <xdr:cNvPr id="13" name="Chart 12">
          <a:extLst>
            <a:ext uri="{FF2B5EF4-FFF2-40B4-BE49-F238E27FC236}">
              <a16:creationId xmlns:a16="http://schemas.microsoft.com/office/drawing/2014/main" id="{D25E992C-E0B9-4816-A872-5E07120A88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29</xdr:col>
      <xdr:colOff>414617</xdr:colOff>
      <xdr:row>22</xdr:row>
      <xdr:rowOff>67235</xdr:rowOff>
    </xdr:from>
    <xdr:to>
      <xdr:col>38</xdr:col>
      <xdr:colOff>335968</xdr:colOff>
      <xdr:row>38</xdr:row>
      <xdr:rowOff>51373</xdr:rowOff>
    </xdr:to>
    <xdr:grpSp>
      <xdr:nvGrpSpPr>
        <xdr:cNvPr id="59" name="Group 58">
          <a:extLst>
            <a:ext uri="{FF2B5EF4-FFF2-40B4-BE49-F238E27FC236}">
              <a16:creationId xmlns:a16="http://schemas.microsoft.com/office/drawing/2014/main" id="{5D5AEC8A-B22D-5C56-6F9C-06F311229C8F}"/>
            </a:ext>
          </a:extLst>
        </xdr:cNvPr>
        <xdr:cNvGrpSpPr/>
      </xdr:nvGrpSpPr>
      <xdr:grpSpPr>
        <a:xfrm>
          <a:off x="21810382" y="4713941"/>
          <a:ext cx="6241468" cy="3091903"/>
          <a:chOff x="2930768" y="1031630"/>
          <a:chExt cx="5326673" cy="2968869"/>
        </a:xfrm>
      </xdr:grpSpPr>
      <xdr:graphicFrame macro="">
        <xdr:nvGraphicFramePr>
          <xdr:cNvPr id="56" name="Chart 55">
            <a:extLst>
              <a:ext uri="{FF2B5EF4-FFF2-40B4-BE49-F238E27FC236}">
                <a16:creationId xmlns:a16="http://schemas.microsoft.com/office/drawing/2014/main" id="{98CA5237-9ED5-5B91-6FDB-26E1FBFA1FD6}"/>
              </a:ext>
            </a:extLst>
          </xdr:cNvPr>
          <xdr:cNvGraphicFramePr/>
        </xdr:nvGraphicFramePr>
        <xdr:xfrm>
          <a:off x="2930768" y="1031630"/>
          <a:ext cx="5326673" cy="2968869"/>
        </xdr:xfrm>
        <a:graphic>
          <a:graphicData uri="http://schemas.openxmlformats.org/drawingml/2006/chart">
            <c:chart xmlns:c="http://schemas.openxmlformats.org/drawingml/2006/chart" xmlns:r="http://schemas.openxmlformats.org/officeDocument/2006/relationships" r:id="rId4"/>
          </a:graphicData>
        </a:graphic>
      </xdr:graphicFrame>
      <xdr:sp macro="" textlink="">
        <xdr:nvSpPr>
          <xdr:cNvPr id="57" name="Rectangle 56">
            <a:extLst>
              <a:ext uri="{FF2B5EF4-FFF2-40B4-BE49-F238E27FC236}">
                <a16:creationId xmlns:a16="http://schemas.microsoft.com/office/drawing/2014/main" id="{45D43827-C64D-D22E-8D14-5E07BA567113}"/>
              </a:ext>
            </a:extLst>
          </xdr:cNvPr>
          <xdr:cNvSpPr/>
        </xdr:nvSpPr>
        <xdr:spPr>
          <a:xfrm>
            <a:off x="3648809" y="1150327"/>
            <a:ext cx="1890346" cy="1956288"/>
          </a:xfrm>
          <a:prstGeom prst="rect">
            <a:avLst/>
          </a:prstGeom>
          <a:noFill/>
          <a:ln w="9525" cap="flat" cmpd="sng" algn="ctr">
            <a:solidFill>
              <a:schemeClr val="accent5"/>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5"/>
          </a:fontRef>
        </xdr:style>
        <xdr:txBody>
          <a:bodyPr vertOverflow="clip" horzOverflow="clip" rtlCol="0" anchor="t"/>
          <a:lstStyle/>
          <a:p>
            <a:pPr algn="l"/>
            <a:r>
              <a:rPr lang="en-US" sz="800" b="1">
                <a:solidFill>
                  <a:sysClr val="windowText" lastClr="000000"/>
                </a:solidFill>
                <a:latin typeface="Calibri (Body)"/>
              </a:rPr>
              <a:t>KQKD 2H</a:t>
            </a:r>
            <a:r>
              <a:rPr lang="en-US" sz="800" b="1" baseline="0">
                <a:solidFill>
                  <a:sysClr val="windowText" lastClr="000000"/>
                </a:solidFill>
                <a:latin typeface="Calibri (Body)"/>
              </a:rPr>
              <a:t> thấp hơn kì vọng</a:t>
            </a:r>
            <a:endParaRPr lang="en-US" sz="800" b="1">
              <a:solidFill>
                <a:sysClr val="windowText" lastClr="000000"/>
              </a:solidFill>
              <a:latin typeface="Calibri (Body)"/>
            </a:endParaRPr>
          </a:p>
        </xdr:txBody>
      </xdr:sp>
      <xdr:sp macro="" textlink="">
        <xdr:nvSpPr>
          <xdr:cNvPr id="58" name="Rectangle 57">
            <a:extLst>
              <a:ext uri="{FF2B5EF4-FFF2-40B4-BE49-F238E27FC236}">
                <a16:creationId xmlns:a16="http://schemas.microsoft.com/office/drawing/2014/main" id="{21E64F5B-F171-4F1B-87D0-F34AE9CEE9C7}"/>
              </a:ext>
            </a:extLst>
          </xdr:cNvPr>
          <xdr:cNvSpPr/>
        </xdr:nvSpPr>
        <xdr:spPr>
          <a:xfrm>
            <a:off x="5546481" y="1148861"/>
            <a:ext cx="2102828" cy="1956288"/>
          </a:xfrm>
          <a:prstGeom prst="rect">
            <a:avLst/>
          </a:prstGeom>
          <a:noFill/>
          <a:ln w="9525" cap="flat" cmpd="sng" algn="ctr">
            <a:solidFill>
              <a:schemeClr val="accent4"/>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5"/>
          </a:fontRef>
        </xdr:style>
        <xdr:txBody>
          <a:bodyPr vertOverflow="clip" horzOverflow="clip" rtlCol="0" anchor="t"/>
          <a:lstStyle/>
          <a:p>
            <a:pPr algn="l"/>
            <a:r>
              <a:rPr lang="en-US" sz="800" b="1">
                <a:solidFill>
                  <a:sysClr val="windowText" lastClr="000000"/>
                </a:solidFill>
                <a:latin typeface="Calibri (Body)"/>
              </a:rPr>
              <a:t>KQKD</a:t>
            </a:r>
            <a:r>
              <a:rPr lang="en-US" sz="800" b="1" baseline="0">
                <a:solidFill>
                  <a:sysClr val="windowText" lastClr="000000"/>
                </a:solidFill>
                <a:latin typeface="Calibri (Body)"/>
              </a:rPr>
              <a:t> Q1/2024 ghi nhận xu hướng phục hồi </a:t>
            </a:r>
            <a:endParaRPr lang="en-US" sz="800" b="1">
              <a:solidFill>
                <a:sysClr val="windowText" lastClr="000000"/>
              </a:solidFill>
              <a:latin typeface="Calibri (Body)"/>
            </a:endParaRPr>
          </a:p>
        </xdr:txBody>
      </xdr:sp>
    </xdr:grpSp>
    <xdr:clientData/>
  </xdr:twoCellAnchor>
  <xdr:twoCellAnchor>
    <xdr:from>
      <xdr:col>30</xdr:col>
      <xdr:colOff>260536</xdr:colOff>
      <xdr:row>1</xdr:row>
      <xdr:rowOff>279027</xdr:rowOff>
    </xdr:from>
    <xdr:to>
      <xdr:col>36</xdr:col>
      <xdr:colOff>226884</xdr:colOff>
      <xdr:row>13</xdr:row>
      <xdr:rowOff>156710</xdr:rowOff>
    </xdr:to>
    <xdr:grpSp>
      <xdr:nvGrpSpPr>
        <xdr:cNvPr id="36" name="Group 35">
          <a:extLst>
            <a:ext uri="{FF2B5EF4-FFF2-40B4-BE49-F238E27FC236}">
              <a16:creationId xmlns:a16="http://schemas.microsoft.com/office/drawing/2014/main" id="{BDFFB113-4994-4C18-8E2A-89E4EF90BA8A}"/>
            </a:ext>
          </a:extLst>
        </xdr:cNvPr>
        <xdr:cNvGrpSpPr/>
      </xdr:nvGrpSpPr>
      <xdr:grpSpPr>
        <a:xfrm>
          <a:off x="22358536" y="473262"/>
          <a:ext cx="4179760" cy="2582036"/>
          <a:chOff x="18064816" y="315057"/>
          <a:chExt cx="4612476" cy="3116873"/>
        </a:xfrm>
      </xdr:grpSpPr>
      <xdr:grpSp>
        <xdr:nvGrpSpPr>
          <xdr:cNvPr id="37" name="Group 36">
            <a:extLst>
              <a:ext uri="{FF2B5EF4-FFF2-40B4-BE49-F238E27FC236}">
                <a16:creationId xmlns:a16="http://schemas.microsoft.com/office/drawing/2014/main" id="{451C0604-68D7-0261-995E-B59969E5FD1C}"/>
              </a:ext>
            </a:extLst>
          </xdr:cNvPr>
          <xdr:cNvGrpSpPr/>
        </xdr:nvGrpSpPr>
        <xdr:grpSpPr>
          <a:xfrm>
            <a:off x="18064816" y="315057"/>
            <a:ext cx="4612476" cy="3116873"/>
            <a:chOff x="17749759" y="637441"/>
            <a:chExt cx="4612476" cy="3116873"/>
          </a:xfrm>
        </xdr:grpSpPr>
        <xdr:grpSp>
          <xdr:nvGrpSpPr>
            <xdr:cNvPr id="64" name="Group 63">
              <a:extLst>
                <a:ext uri="{FF2B5EF4-FFF2-40B4-BE49-F238E27FC236}">
                  <a16:creationId xmlns:a16="http://schemas.microsoft.com/office/drawing/2014/main" id="{B7616A91-6300-4BD7-85E5-B7C5533EB7E8}"/>
                </a:ext>
              </a:extLst>
            </xdr:cNvPr>
            <xdr:cNvGrpSpPr/>
          </xdr:nvGrpSpPr>
          <xdr:grpSpPr>
            <a:xfrm>
              <a:off x="17749759" y="637441"/>
              <a:ext cx="4572000" cy="3116873"/>
              <a:chOff x="19559509" y="344364"/>
              <a:chExt cx="4572000" cy="3116873"/>
            </a:xfrm>
          </xdr:grpSpPr>
          <xdr:graphicFrame macro="">
            <xdr:nvGraphicFramePr>
              <xdr:cNvPr id="67" name="Chart 66">
                <a:extLst>
                  <a:ext uri="{FF2B5EF4-FFF2-40B4-BE49-F238E27FC236}">
                    <a16:creationId xmlns:a16="http://schemas.microsoft.com/office/drawing/2014/main" id="{68C9E95B-5BFB-20F6-6F48-C9FE88483A87}"/>
                  </a:ext>
                </a:extLst>
              </xdr:cNvPr>
              <xdr:cNvGraphicFramePr>
                <a:graphicFrameLocks/>
              </xdr:cNvGraphicFramePr>
            </xdr:nvGraphicFramePr>
            <xdr:xfrm>
              <a:off x="19559509" y="344364"/>
              <a:ext cx="4572000" cy="3116873"/>
            </xdr:xfrm>
            <a:graphic>
              <a:graphicData uri="http://schemas.openxmlformats.org/drawingml/2006/chart">
                <c:chart xmlns:c="http://schemas.openxmlformats.org/drawingml/2006/chart" xmlns:r="http://schemas.openxmlformats.org/officeDocument/2006/relationships" r:id="rId5"/>
              </a:graphicData>
            </a:graphic>
          </xdr:graphicFrame>
          <xdr:cxnSp macro="">
            <xdr:nvCxnSpPr>
              <xdr:cNvPr id="68" name="Straight Connector 67">
                <a:extLst>
                  <a:ext uri="{FF2B5EF4-FFF2-40B4-BE49-F238E27FC236}">
                    <a16:creationId xmlns:a16="http://schemas.microsoft.com/office/drawing/2014/main" id="{54C5B84F-C59E-AF8F-BD66-DF1113520EA5}"/>
                  </a:ext>
                </a:extLst>
              </xdr:cNvPr>
              <xdr:cNvCxnSpPr/>
            </xdr:nvCxnSpPr>
            <xdr:spPr>
              <a:xfrm flipV="1">
                <a:off x="20171018" y="1633904"/>
                <a:ext cx="2834640" cy="7327"/>
              </a:xfrm>
              <a:prstGeom prst="line">
                <a:avLst/>
              </a:prstGeom>
              <a:ln>
                <a:solidFill>
                  <a:srgbClr val="FFC000"/>
                </a:solidFill>
                <a:prstDash val="dash"/>
              </a:ln>
            </xdr:spPr>
            <xdr:style>
              <a:lnRef idx="1">
                <a:schemeClr val="accent1"/>
              </a:lnRef>
              <a:fillRef idx="0">
                <a:schemeClr val="accent1"/>
              </a:fillRef>
              <a:effectRef idx="0">
                <a:schemeClr val="accent1"/>
              </a:effectRef>
              <a:fontRef idx="minor">
                <a:schemeClr val="tx1"/>
              </a:fontRef>
            </xdr:style>
          </xdr:cxnSp>
          <xdr:cxnSp macro="">
            <xdr:nvCxnSpPr>
              <xdr:cNvPr id="69" name="Straight Connector 68">
                <a:extLst>
                  <a:ext uri="{FF2B5EF4-FFF2-40B4-BE49-F238E27FC236}">
                    <a16:creationId xmlns:a16="http://schemas.microsoft.com/office/drawing/2014/main" id="{FD89DD69-04E4-6C40-B6C3-81577A277C8A}"/>
                  </a:ext>
                </a:extLst>
              </xdr:cNvPr>
              <xdr:cNvCxnSpPr/>
            </xdr:nvCxnSpPr>
            <xdr:spPr>
              <a:xfrm flipV="1">
                <a:off x="20185674" y="2138000"/>
                <a:ext cx="2834640" cy="23443"/>
              </a:xfrm>
              <a:prstGeom prst="line">
                <a:avLst/>
              </a:prstGeom>
              <a:ln>
                <a:solidFill>
                  <a:srgbClr val="FFC000"/>
                </a:solidFill>
                <a:prstDash val="dash"/>
              </a:ln>
            </xdr:spPr>
            <xdr:style>
              <a:lnRef idx="1">
                <a:schemeClr val="accent1"/>
              </a:lnRef>
              <a:fillRef idx="0">
                <a:schemeClr val="accent1"/>
              </a:fillRef>
              <a:effectRef idx="0">
                <a:schemeClr val="accent1"/>
              </a:effectRef>
              <a:fontRef idx="minor">
                <a:schemeClr val="tx1"/>
              </a:fontRef>
            </xdr:style>
          </xdr:cxnSp>
          <xdr:cxnSp macro="">
            <xdr:nvCxnSpPr>
              <xdr:cNvPr id="70" name="Straight Arrow Connector 69">
                <a:extLst>
                  <a:ext uri="{FF2B5EF4-FFF2-40B4-BE49-F238E27FC236}">
                    <a16:creationId xmlns:a16="http://schemas.microsoft.com/office/drawing/2014/main" id="{B4F010AC-B989-56B6-205C-131757DD24FF}"/>
                  </a:ext>
                </a:extLst>
              </xdr:cNvPr>
              <xdr:cNvCxnSpPr/>
            </xdr:nvCxnSpPr>
            <xdr:spPr>
              <a:xfrm>
                <a:off x="22991887" y="1611924"/>
                <a:ext cx="0" cy="548640"/>
              </a:xfrm>
              <a:prstGeom prst="straightConnector1">
                <a:avLst/>
              </a:prstGeom>
              <a:ln w="12700" cap="flat" cmpd="sng" algn="ctr">
                <a:solidFill>
                  <a:schemeClr val="accent4"/>
                </a:solidFill>
                <a:prstDash val="dash"/>
                <a:round/>
                <a:headEnd type="triangle" w="med" len="sm"/>
                <a:tailEnd type="triangle" w="med" len="sm"/>
              </a:ln>
            </xdr:spPr>
            <xdr:style>
              <a:lnRef idx="0">
                <a:scrgbClr r="0" g="0" b="0"/>
              </a:lnRef>
              <a:fillRef idx="0">
                <a:scrgbClr r="0" g="0" b="0"/>
              </a:fillRef>
              <a:effectRef idx="0">
                <a:scrgbClr r="0" g="0" b="0"/>
              </a:effectRef>
              <a:fontRef idx="minor">
                <a:schemeClr val="tx1"/>
              </a:fontRef>
            </xdr:style>
          </xdr:cxnSp>
          <xdr:cxnSp macro="">
            <xdr:nvCxnSpPr>
              <xdr:cNvPr id="71" name="Straight Connector 70">
                <a:extLst>
                  <a:ext uri="{FF2B5EF4-FFF2-40B4-BE49-F238E27FC236}">
                    <a16:creationId xmlns:a16="http://schemas.microsoft.com/office/drawing/2014/main" id="{D5349B23-424F-50B1-3D9D-362159D0BF78}"/>
                  </a:ext>
                </a:extLst>
              </xdr:cNvPr>
              <xdr:cNvCxnSpPr/>
            </xdr:nvCxnSpPr>
            <xdr:spPr>
              <a:xfrm>
                <a:off x="23005073" y="2445727"/>
                <a:ext cx="685800" cy="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xnSp macro="">
            <xdr:nvCxnSpPr>
              <xdr:cNvPr id="72" name="Straight Connector 71">
                <a:extLst>
                  <a:ext uri="{FF2B5EF4-FFF2-40B4-BE49-F238E27FC236}">
                    <a16:creationId xmlns:a16="http://schemas.microsoft.com/office/drawing/2014/main" id="{8597318D-5EBC-24F0-81F6-30D51EE5AD15}"/>
                  </a:ext>
                </a:extLst>
              </xdr:cNvPr>
              <xdr:cNvCxnSpPr/>
            </xdr:nvCxnSpPr>
            <xdr:spPr>
              <a:xfrm>
                <a:off x="23003605" y="2202474"/>
                <a:ext cx="685800" cy="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xnSp macro="">
            <xdr:nvCxnSpPr>
              <xdr:cNvPr id="73" name="Straight Arrow Connector 72">
                <a:extLst>
                  <a:ext uri="{FF2B5EF4-FFF2-40B4-BE49-F238E27FC236}">
                    <a16:creationId xmlns:a16="http://schemas.microsoft.com/office/drawing/2014/main" id="{0B69D57C-F9E9-EDA0-25E7-502A8FCF71BC}"/>
                  </a:ext>
                </a:extLst>
              </xdr:cNvPr>
              <xdr:cNvCxnSpPr/>
            </xdr:nvCxnSpPr>
            <xdr:spPr>
              <a:xfrm>
                <a:off x="22990422" y="2203940"/>
                <a:ext cx="0" cy="256032"/>
              </a:xfrm>
              <a:prstGeom prst="straightConnector1">
                <a:avLst/>
              </a:prstGeom>
              <a:ln w="12700" cap="flat" cmpd="sng" algn="ctr">
                <a:solidFill>
                  <a:schemeClr val="accent4"/>
                </a:solidFill>
                <a:prstDash val="dash"/>
                <a:round/>
                <a:headEnd type="triangle" w="med" len="sm"/>
                <a:tailEnd type="triangle" w="med" len="sm"/>
              </a:ln>
            </xdr:spPr>
            <xdr:style>
              <a:lnRef idx="0">
                <a:scrgbClr r="0" g="0" b="0"/>
              </a:lnRef>
              <a:fillRef idx="0">
                <a:scrgbClr r="0" g="0" b="0"/>
              </a:fillRef>
              <a:effectRef idx="0">
                <a:scrgbClr r="0" g="0" b="0"/>
              </a:effectRef>
              <a:fontRef idx="minor">
                <a:schemeClr val="tx1"/>
              </a:fontRef>
            </xdr:style>
          </xdr:cxnSp>
        </xdr:grpSp>
        <xdr:sp macro="" textlink="">
          <xdr:nvSpPr>
            <xdr:cNvPr id="65" name="Rectangle 64">
              <a:extLst>
                <a:ext uri="{FF2B5EF4-FFF2-40B4-BE49-F238E27FC236}">
                  <a16:creationId xmlns:a16="http://schemas.microsoft.com/office/drawing/2014/main" id="{CFFCE50E-2C4D-CE42-F7F4-7D05E05AB3A0}"/>
                </a:ext>
              </a:extLst>
            </xdr:cNvPr>
            <xdr:cNvSpPr/>
          </xdr:nvSpPr>
          <xdr:spPr>
            <a:xfrm>
              <a:off x="19366829" y="802119"/>
              <a:ext cx="1486801" cy="473495"/>
            </a:xfrm>
            <a:prstGeom prst="rect">
              <a:avLst/>
            </a:prstGeom>
            <a:noFill/>
            <a:ln>
              <a:noFill/>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r>
                <a:rPr lang="en-US" sz="800">
                  <a:solidFill>
                    <a:sysClr val="windowText" lastClr="000000"/>
                  </a:solidFill>
                </a:rPr>
                <a:t>PE </a:t>
              </a:r>
              <a:r>
                <a:rPr lang="en-US" sz="800" baseline="0">
                  <a:solidFill>
                    <a:sysClr val="windowText" lastClr="000000"/>
                  </a:solidFill>
                </a:rPr>
                <a:t> ~ 392- 479 (lần)</a:t>
              </a:r>
            </a:p>
            <a:p>
              <a:pPr algn="ctr"/>
              <a:r>
                <a:rPr lang="en-US" sz="800" baseline="0">
                  <a:solidFill>
                    <a:sysClr val="windowText" lastClr="000000"/>
                  </a:solidFill>
                </a:rPr>
                <a:t> //</a:t>
              </a:r>
              <a:endParaRPr lang="en-US" sz="800">
                <a:solidFill>
                  <a:sysClr val="windowText" lastClr="000000"/>
                </a:solidFill>
              </a:endParaRPr>
            </a:p>
          </xdr:txBody>
        </xdr:sp>
        <xdr:sp macro="" textlink="">
          <xdr:nvSpPr>
            <xdr:cNvPr id="66" name="Rectangle 65">
              <a:extLst>
                <a:ext uri="{FF2B5EF4-FFF2-40B4-BE49-F238E27FC236}">
                  <a16:creationId xmlns:a16="http://schemas.microsoft.com/office/drawing/2014/main" id="{7F425DE8-E05B-7C36-0430-52C372542DB9}"/>
                </a:ext>
              </a:extLst>
            </xdr:cNvPr>
            <xdr:cNvSpPr/>
          </xdr:nvSpPr>
          <xdr:spPr>
            <a:xfrm>
              <a:off x="22193714" y="1063966"/>
              <a:ext cx="168521" cy="219808"/>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r>
                <a:rPr lang="en-US" sz="800"/>
                <a:t>+</a:t>
              </a:r>
            </a:p>
          </xdr:txBody>
        </xdr:sp>
      </xdr:grpSp>
      <xdr:grpSp>
        <xdr:nvGrpSpPr>
          <xdr:cNvPr id="38" name="Group 37">
            <a:extLst>
              <a:ext uri="{FF2B5EF4-FFF2-40B4-BE49-F238E27FC236}">
                <a16:creationId xmlns:a16="http://schemas.microsoft.com/office/drawing/2014/main" id="{626CEBC8-28AB-18CA-2BF5-3DA4CC4122D2}"/>
              </a:ext>
            </a:extLst>
          </xdr:cNvPr>
          <xdr:cNvGrpSpPr/>
        </xdr:nvGrpSpPr>
        <xdr:grpSpPr>
          <a:xfrm>
            <a:off x="20572786" y="1387925"/>
            <a:ext cx="1941399" cy="1202357"/>
            <a:chOff x="20572786" y="1387925"/>
            <a:chExt cx="1941399" cy="1202357"/>
          </a:xfrm>
        </xdr:grpSpPr>
        <xdr:grpSp>
          <xdr:nvGrpSpPr>
            <xdr:cNvPr id="39" name="Group 38">
              <a:extLst>
                <a:ext uri="{FF2B5EF4-FFF2-40B4-BE49-F238E27FC236}">
                  <a16:creationId xmlns:a16="http://schemas.microsoft.com/office/drawing/2014/main" id="{6D510438-B586-1557-6C81-4704B75DA38E}"/>
                </a:ext>
              </a:extLst>
            </xdr:cNvPr>
            <xdr:cNvGrpSpPr/>
          </xdr:nvGrpSpPr>
          <xdr:grpSpPr>
            <a:xfrm>
              <a:off x="20796045" y="1387925"/>
              <a:ext cx="1349273" cy="1202357"/>
              <a:chOff x="20796045" y="1387925"/>
              <a:chExt cx="1349273" cy="1202357"/>
            </a:xfrm>
          </xdr:grpSpPr>
          <xdr:sp macro="" textlink="">
            <xdr:nvSpPr>
              <xdr:cNvPr id="60" name="TextBox 59">
                <a:extLst>
                  <a:ext uri="{FF2B5EF4-FFF2-40B4-BE49-F238E27FC236}">
                    <a16:creationId xmlns:a16="http://schemas.microsoft.com/office/drawing/2014/main" id="{D29A8F59-E7AB-A574-BCB8-D83DE18AC3E3}"/>
                  </a:ext>
                </a:extLst>
              </xdr:cNvPr>
              <xdr:cNvSpPr txBox="1"/>
            </xdr:nvSpPr>
            <xdr:spPr>
              <a:xfrm>
                <a:off x="20825168" y="1387925"/>
                <a:ext cx="672171" cy="2034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a:t>5,136</a:t>
                </a:r>
              </a:p>
            </xdr:txBody>
          </xdr:sp>
          <xdr:sp macro="" textlink="">
            <xdr:nvSpPr>
              <xdr:cNvPr id="61" name="TextBox 60">
                <a:extLst>
                  <a:ext uri="{FF2B5EF4-FFF2-40B4-BE49-F238E27FC236}">
                    <a16:creationId xmlns:a16="http://schemas.microsoft.com/office/drawing/2014/main" id="{C9081718-EAC4-A052-49CF-F8D6671FD885}"/>
                  </a:ext>
                </a:extLst>
              </xdr:cNvPr>
              <xdr:cNvSpPr txBox="1"/>
            </xdr:nvSpPr>
            <xdr:spPr>
              <a:xfrm>
                <a:off x="20796045" y="2094037"/>
                <a:ext cx="691585" cy="2187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a:t>2,293</a:t>
                </a:r>
              </a:p>
            </xdr:txBody>
          </xdr:sp>
          <xdr:sp macro="" textlink="">
            <xdr:nvSpPr>
              <xdr:cNvPr id="62" name="TextBox 61">
                <a:extLst>
                  <a:ext uri="{FF2B5EF4-FFF2-40B4-BE49-F238E27FC236}">
                    <a16:creationId xmlns:a16="http://schemas.microsoft.com/office/drawing/2014/main" id="{55587C72-BBD7-74BF-0BF0-72140F7131B2}"/>
                  </a:ext>
                </a:extLst>
              </xdr:cNvPr>
              <xdr:cNvSpPr txBox="1"/>
            </xdr:nvSpPr>
            <xdr:spPr>
              <a:xfrm>
                <a:off x="21618817" y="1970607"/>
                <a:ext cx="526501" cy="2054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a:t>37 (lần)</a:t>
                </a:r>
              </a:p>
            </xdr:txBody>
          </xdr:sp>
          <xdr:sp macro="" textlink="">
            <xdr:nvSpPr>
              <xdr:cNvPr id="63" name="TextBox 62">
                <a:extLst>
                  <a:ext uri="{FF2B5EF4-FFF2-40B4-BE49-F238E27FC236}">
                    <a16:creationId xmlns:a16="http://schemas.microsoft.com/office/drawing/2014/main" id="{65C35B91-DACD-0264-6DA7-0C89461AB709}"/>
                  </a:ext>
                </a:extLst>
              </xdr:cNvPr>
              <xdr:cNvSpPr txBox="1"/>
            </xdr:nvSpPr>
            <xdr:spPr>
              <a:xfrm>
                <a:off x="21617355" y="2384181"/>
                <a:ext cx="498842" cy="2061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a:t>17</a:t>
                </a:r>
              </a:p>
            </xdr:txBody>
          </xdr:sp>
        </xdr:grpSp>
        <xdr:sp macro="" textlink="">
          <xdr:nvSpPr>
            <xdr:cNvPr id="51" name="TextBox 50">
              <a:extLst>
                <a:ext uri="{FF2B5EF4-FFF2-40B4-BE49-F238E27FC236}">
                  <a16:creationId xmlns:a16="http://schemas.microsoft.com/office/drawing/2014/main" id="{9CDCCF6F-E526-0E35-4B28-42CDB7A4B70C}"/>
                </a:ext>
              </a:extLst>
            </xdr:cNvPr>
            <xdr:cNvSpPr txBox="1"/>
          </xdr:nvSpPr>
          <xdr:spPr>
            <a:xfrm>
              <a:off x="20572786" y="1751133"/>
              <a:ext cx="944924" cy="2842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1"/>
                <a:t>NPAT 2024F</a:t>
              </a:r>
            </a:p>
          </xdr:txBody>
        </xdr:sp>
        <xdr:sp macro="" textlink="">
          <xdr:nvSpPr>
            <xdr:cNvPr id="54" name="TextBox 53">
              <a:extLst>
                <a:ext uri="{FF2B5EF4-FFF2-40B4-BE49-F238E27FC236}">
                  <a16:creationId xmlns:a16="http://schemas.microsoft.com/office/drawing/2014/main" id="{B935C265-B527-FD77-EE33-4A1B37BD1081}"/>
                </a:ext>
              </a:extLst>
            </xdr:cNvPr>
            <xdr:cNvSpPr txBox="1"/>
          </xdr:nvSpPr>
          <xdr:spPr>
            <a:xfrm>
              <a:off x="21510380" y="2196610"/>
              <a:ext cx="1003805" cy="1994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1"/>
                <a:t>PE</a:t>
              </a:r>
              <a:r>
                <a:rPr lang="en-US" sz="800" b="1" baseline="0"/>
                <a:t> FW</a:t>
              </a:r>
              <a:r>
                <a:rPr lang="en-US" sz="800" b="1"/>
                <a:t> 2024F</a:t>
              </a:r>
            </a:p>
          </xdr:txBody>
        </xdr:sp>
      </xdr:grpSp>
    </xdr:grpSp>
    <xdr:clientData/>
  </xdr:twoCellAnchor>
  <xdr:twoCellAnchor>
    <xdr:from>
      <xdr:col>18</xdr:col>
      <xdr:colOff>218097</xdr:colOff>
      <xdr:row>3</xdr:row>
      <xdr:rowOff>8879</xdr:rowOff>
    </xdr:from>
    <xdr:to>
      <xdr:col>28</xdr:col>
      <xdr:colOff>97724</xdr:colOff>
      <xdr:row>23</xdr:row>
      <xdr:rowOff>114053</xdr:rowOff>
    </xdr:to>
    <xdr:graphicFrame macro="">
      <xdr:nvGraphicFramePr>
        <xdr:cNvPr id="4" name="Chart 3">
          <a:extLst>
            <a:ext uri="{FF2B5EF4-FFF2-40B4-BE49-F238E27FC236}">
              <a16:creationId xmlns:a16="http://schemas.microsoft.com/office/drawing/2014/main" id="{E1BC8CD1-2F82-66F3-D13C-3ABC977130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17</xdr:col>
      <xdr:colOff>89859</xdr:colOff>
      <xdr:row>13</xdr:row>
      <xdr:rowOff>0</xdr:rowOff>
    </xdr:from>
    <xdr:to>
      <xdr:col>17</xdr:col>
      <xdr:colOff>89859</xdr:colOff>
      <xdr:row>14</xdr:row>
      <xdr:rowOff>107831</xdr:rowOff>
    </xdr:to>
    <xdr:cxnSp macro="">
      <xdr:nvCxnSpPr>
        <xdr:cNvPr id="6" name="Straight Arrow Connector 5">
          <a:extLst>
            <a:ext uri="{FF2B5EF4-FFF2-40B4-BE49-F238E27FC236}">
              <a16:creationId xmlns:a16="http://schemas.microsoft.com/office/drawing/2014/main" id="{F30D7D60-F446-6AB8-B42C-06B828D80CB0}"/>
            </a:ext>
          </a:extLst>
        </xdr:cNvPr>
        <xdr:cNvCxnSpPr/>
      </xdr:nvCxnSpPr>
      <xdr:spPr>
        <a:xfrm>
          <a:off x="10989694" y="2758656"/>
          <a:ext cx="0" cy="296533"/>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2.xml><?xml version="1.0" encoding="utf-8"?>
<c:userShapes xmlns:c="http://schemas.openxmlformats.org/drawingml/2006/chart">
  <cdr:relSizeAnchor xmlns:cdr="http://schemas.openxmlformats.org/drawingml/2006/chartDrawing">
    <cdr:from>
      <cdr:x>0.09141</cdr:x>
      <cdr:y>0.28217</cdr:y>
    </cdr:from>
    <cdr:to>
      <cdr:x>0.0994</cdr:x>
      <cdr:y>0.48417</cdr:y>
    </cdr:to>
    <cdr:grpSp>
      <cdr:nvGrpSpPr>
        <cdr:cNvPr id="13" name="Group 12">
          <a:extLst xmlns:a="http://schemas.openxmlformats.org/drawingml/2006/main">
            <a:ext uri="{FF2B5EF4-FFF2-40B4-BE49-F238E27FC236}">
              <a16:creationId xmlns:a16="http://schemas.microsoft.com/office/drawing/2014/main" id="{DF169DC0-7F09-08A5-BF38-2AF569635202}"/>
            </a:ext>
          </a:extLst>
        </cdr:cNvPr>
        <cdr:cNvGrpSpPr/>
      </cdr:nvGrpSpPr>
      <cdr:grpSpPr>
        <a:xfrm xmlns:a="http://schemas.openxmlformats.org/drawingml/2006/main">
          <a:off x="505512" y="935516"/>
          <a:ext cx="44186" cy="669717"/>
          <a:chOff x="2125805" y="672611"/>
          <a:chExt cx="95117" cy="1239658"/>
        </a:xfrm>
      </cdr:grpSpPr>
      <cdr:cxnSp macro="">
        <cdr:nvCxnSpPr>
          <cdr:cNvPr id="9" name="Straight Connector 8">
            <a:extLst xmlns:a="http://schemas.openxmlformats.org/drawingml/2006/main">
              <a:ext uri="{FF2B5EF4-FFF2-40B4-BE49-F238E27FC236}">
                <a16:creationId xmlns:a16="http://schemas.microsoft.com/office/drawing/2014/main" id="{D9D0B82A-6ED2-1B3F-7DFB-04B6B21F0EB7}"/>
              </a:ext>
            </a:extLst>
          </cdr:cNvPr>
          <cdr:cNvCxnSpPr/>
        </cdr:nvCxnSpPr>
        <cdr:spPr>
          <a:xfrm xmlns:a="http://schemas.openxmlformats.org/drawingml/2006/main">
            <a:off x="2173364" y="770617"/>
            <a:ext cx="0" cy="1141652"/>
          </a:xfrm>
          <a:prstGeom xmlns:a="http://schemas.openxmlformats.org/drawingml/2006/main" prst="line">
            <a:avLst/>
          </a:prstGeom>
          <a:ln xmlns:a="http://schemas.openxmlformats.org/drawingml/2006/main">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sp macro="" textlink="">
        <cdr:nvSpPr>
          <cdr:cNvPr id="11" name="Oval 10">
            <a:extLst xmlns:a="http://schemas.openxmlformats.org/drawingml/2006/main">
              <a:ext uri="{FF2B5EF4-FFF2-40B4-BE49-F238E27FC236}">
                <a16:creationId xmlns:a16="http://schemas.microsoft.com/office/drawing/2014/main" id="{F8071864-3FA0-4099-71AF-2D1E93CE0181}"/>
              </a:ext>
            </a:extLst>
          </cdr:cNvPr>
          <cdr:cNvSpPr/>
        </cdr:nvSpPr>
        <cdr:spPr>
          <a:xfrm xmlns:a="http://schemas.openxmlformats.org/drawingml/2006/main">
            <a:off x="2125805" y="672611"/>
            <a:ext cx="95117" cy="95250"/>
          </a:xfrm>
          <a:prstGeom xmlns:a="http://schemas.openxmlformats.org/drawingml/2006/main" prst="ellipse">
            <a:avLst/>
          </a:prstGeom>
          <a:solidFill xmlns:a="http://schemas.openxmlformats.org/drawingml/2006/main">
            <a:schemeClr val="bg1"/>
          </a:solidFill>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grpSp>
  </cdr:relSizeAnchor>
  <cdr:relSizeAnchor xmlns:cdr="http://schemas.openxmlformats.org/drawingml/2006/chartDrawing">
    <cdr:from>
      <cdr:x>0.30716</cdr:x>
      <cdr:y>0.13603</cdr:y>
    </cdr:from>
    <cdr:to>
      <cdr:x>0.31533</cdr:x>
      <cdr:y>0.39568</cdr:y>
    </cdr:to>
    <cdr:grpSp>
      <cdr:nvGrpSpPr>
        <cdr:cNvPr id="22" name="Group 21">
          <a:extLst xmlns:a="http://schemas.openxmlformats.org/drawingml/2006/main">
            <a:ext uri="{FF2B5EF4-FFF2-40B4-BE49-F238E27FC236}">
              <a16:creationId xmlns:a16="http://schemas.microsoft.com/office/drawing/2014/main" id="{A7F4024C-DEAF-5416-F262-DF2CE23D4955}"/>
            </a:ext>
          </a:extLst>
        </cdr:cNvPr>
        <cdr:cNvGrpSpPr/>
      </cdr:nvGrpSpPr>
      <cdr:grpSpPr>
        <a:xfrm xmlns:a="http://schemas.openxmlformats.org/drawingml/2006/main">
          <a:off x="1698645" y="450998"/>
          <a:ext cx="45182" cy="860853"/>
          <a:chOff x="0" y="0"/>
          <a:chExt cx="95117" cy="2221688"/>
        </a:xfrm>
      </cdr:grpSpPr>
      <cdr:cxnSp macro="">
        <cdr:nvCxnSpPr>
          <cdr:cNvPr id="23" name="Straight Connector 22">
            <a:extLst xmlns:a="http://schemas.openxmlformats.org/drawingml/2006/main">
              <a:ext uri="{FF2B5EF4-FFF2-40B4-BE49-F238E27FC236}">
                <a16:creationId xmlns:a16="http://schemas.microsoft.com/office/drawing/2014/main" id="{5F6AAF7B-0ED1-6BB6-8BF5-EF80DCADE2DC}"/>
              </a:ext>
            </a:extLst>
          </cdr:cNvPr>
          <cdr:cNvCxnSpPr/>
        </cdr:nvCxnSpPr>
        <cdr:spPr>
          <a:xfrm xmlns:a="http://schemas.openxmlformats.org/drawingml/2006/main">
            <a:off x="47559" y="139696"/>
            <a:ext cx="0" cy="2081992"/>
          </a:xfrm>
          <a:prstGeom xmlns:a="http://schemas.openxmlformats.org/drawingml/2006/main" prst="line">
            <a:avLst/>
          </a:prstGeom>
          <a:ln xmlns:a="http://schemas.openxmlformats.org/drawingml/2006/main">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sp macro="" textlink="">
        <cdr:nvSpPr>
          <cdr:cNvPr id="24" name="Oval 23">
            <a:extLst xmlns:a="http://schemas.openxmlformats.org/drawingml/2006/main">
              <a:ext uri="{FF2B5EF4-FFF2-40B4-BE49-F238E27FC236}">
                <a16:creationId xmlns:a16="http://schemas.microsoft.com/office/drawing/2014/main" id="{F7027095-57B3-D6F0-247D-C620210249D9}"/>
              </a:ext>
            </a:extLst>
          </cdr:cNvPr>
          <cdr:cNvSpPr/>
        </cdr:nvSpPr>
        <cdr:spPr>
          <a:xfrm xmlns:a="http://schemas.openxmlformats.org/drawingml/2006/main">
            <a:off x="0" y="0"/>
            <a:ext cx="95117" cy="135767"/>
          </a:xfrm>
          <a:prstGeom xmlns:a="http://schemas.openxmlformats.org/drawingml/2006/main" prst="ellipse">
            <a:avLst/>
          </a:prstGeom>
          <a:solidFill xmlns:a="http://schemas.openxmlformats.org/drawingml/2006/main">
            <a:schemeClr val="bg1"/>
          </a:solidFill>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en-US"/>
          </a:p>
        </cdr:txBody>
      </cdr:sp>
    </cdr:grpSp>
  </cdr:relSizeAnchor>
  <cdr:relSizeAnchor xmlns:cdr="http://schemas.openxmlformats.org/drawingml/2006/chartDrawing">
    <cdr:from>
      <cdr:x>0.12047</cdr:x>
      <cdr:y>0.19316</cdr:y>
    </cdr:from>
    <cdr:to>
      <cdr:x>0.27847</cdr:x>
      <cdr:y>0.25953</cdr:y>
    </cdr:to>
    <cdr:sp macro="" textlink="">
      <cdr:nvSpPr>
        <cdr:cNvPr id="25" name="TextBox 24">
          <a:extLst xmlns:a="http://schemas.openxmlformats.org/drawingml/2006/main">
            <a:ext uri="{FF2B5EF4-FFF2-40B4-BE49-F238E27FC236}">
              <a16:creationId xmlns:a16="http://schemas.microsoft.com/office/drawing/2014/main" id="{4131329A-156A-7FB5-4B69-A7AEA852117B}"/>
            </a:ext>
          </a:extLst>
        </cdr:cNvPr>
        <cdr:cNvSpPr txBox="1"/>
      </cdr:nvSpPr>
      <cdr:spPr>
        <a:xfrm xmlns:a="http://schemas.openxmlformats.org/drawingml/2006/main">
          <a:off x="1005574" y="831606"/>
          <a:ext cx="1318846"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0.10116</cdr:x>
      <cdr:y>0.26293</cdr:y>
    </cdr:from>
    <cdr:to>
      <cdr:x>0.30216</cdr:x>
      <cdr:y>0.4195</cdr:y>
    </cdr:to>
    <cdr:sp macro="" textlink="">
      <cdr:nvSpPr>
        <cdr:cNvPr id="26" name="TextBox 25">
          <a:extLst xmlns:a="http://schemas.openxmlformats.org/drawingml/2006/main">
            <a:ext uri="{FF2B5EF4-FFF2-40B4-BE49-F238E27FC236}">
              <a16:creationId xmlns:a16="http://schemas.microsoft.com/office/drawing/2014/main" id="{ECCDB228-6B0C-E3DC-56BA-5390619AA47A}"/>
            </a:ext>
          </a:extLst>
        </cdr:cNvPr>
        <cdr:cNvSpPr txBox="1"/>
      </cdr:nvSpPr>
      <cdr:spPr>
        <a:xfrm xmlns:a="http://schemas.openxmlformats.org/drawingml/2006/main">
          <a:off x="844382" y="1132010"/>
          <a:ext cx="1677866" cy="674076"/>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800" b="1" i="0" u="sng" baseline="0">
              <a:latin typeface="Calibri (Body)"/>
            </a:rPr>
            <a:t>Nhu cầu sụt giảm và KQKD lao dốc</a:t>
          </a:r>
        </a:p>
        <a:p xmlns:a="http://schemas.openxmlformats.org/drawingml/2006/main">
          <a:r>
            <a:rPr lang="en-US" sz="800" b="0" i="1" baseline="0">
              <a:latin typeface="Calibri (Body)"/>
            </a:rPr>
            <a:t>Định giá thuần phản ánh giá trị tài sản và thương hiệu</a:t>
          </a:r>
        </a:p>
        <a:p xmlns:a="http://schemas.openxmlformats.org/drawingml/2006/main">
          <a:endParaRPr lang="en-US" sz="1100"/>
        </a:p>
      </cdr:txBody>
    </cdr:sp>
  </cdr:relSizeAnchor>
  <cdr:relSizeAnchor xmlns:cdr="http://schemas.openxmlformats.org/drawingml/2006/chartDrawing">
    <cdr:from>
      <cdr:x>0.31857</cdr:x>
      <cdr:y>0.11731</cdr:y>
    </cdr:from>
    <cdr:to>
      <cdr:x>0.53977</cdr:x>
      <cdr:y>0.27388</cdr:y>
    </cdr:to>
    <cdr:sp macro="" textlink="">
      <cdr:nvSpPr>
        <cdr:cNvPr id="28" name="TextBox 1">
          <a:extLst xmlns:a="http://schemas.openxmlformats.org/drawingml/2006/main">
            <a:ext uri="{FF2B5EF4-FFF2-40B4-BE49-F238E27FC236}">
              <a16:creationId xmlns:a16="http://schemas.microsoft.com/office/drawing/2014/main" id="{C807C72F-4DCF-CAF9-1643-A2A7748DFCEC}"/>
            </a:ext>
          </a:extLst>
        </cdr:cNvPr>
        <cdr:cNvSpPr txBox="1"/>
      </cdr:nvSpPr>
      <cdr:spPr>
        <a:xfrm xmlns:a="http://schemas.openxmlformats.org/drawingml/2006/main">
          <a:off x="2659185" y="505068"/>
          <a:ext cx="1846385" cy="674077"/>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800" b="1" i="1" u="sng">
              <a:latin typeface="Calibri (Body)"/>
            </a:rPr>
            <a:t>Tín</a:t>
          </a:r>
          <a:r>
            <a:rPr lang="en-US" sz="800" b="1" i="1" u="sng" baseline="0">
              <a:latin typeface="Calibri (Body)"/>
            </a:rPr>
            <a:t> hiệu tích cực từ tái cấu trúc nhưng KQKD chưa cải thiện</a:t>
          </a:r>
        </a:p>
        <a:p xmlns:a="http://schemas.openxmlformats.org/drawingml/2006/main">
          <a:r>
            <a:rPr lang="en-US" sz="800" b="0" i="1" baseline="0">
              <a:latin typeface="Calibri (Body)"/>
            </a:rPr>
            <a:t>Định giá phản ánh tiềm năng BHX</a:t>
          </a:r>
        </a:p>
        <a:p xmlns:a="http://schemas.openxmlformats.org/drawingml/2006/main">
          <a:endParaRPr lang="en-US" sz="1100"/>
        </a:p>
      </cdr:txBody>
    </cdr:sp>
  </cdr:relSizeAnchor>
  <cdr:relSizeAnchor xmlns:cdr="http://schemas.openxmlformats.org/drawingml/2006/chartDrawing">
    <cdr:from>
      <cdr:x>0.53011</cdr:x>
      <cdr:y>0.17007</cdr:y>
    </cdr:from>
    <cdr:to>
      <cdr:x>0.53828</cdr:x>
      <cdr:y>0.42971</cdr:y>
    </cdr:to>
    <cdr:grpSp>
      <cdr:nvGrpSpPr>
        <cdr:cNvPr id="30" name="Group 29">
          <a:extLst xmlns:a="http://schemas.openxmlformats.org/drawingml/2006/main">
            <a:ext uri="{FF2B5EF4-FFF2-40B4-BE49-F238E27FC236}">
              <a16:creationId xmlns:a16="http://schemas.microsoft.com/office/drawing/2014/main" id="{0B2E4820-33E2-B12B-F576-50A3FFA9E496}"/>
            </a:ext>
          </a:extLst>
        </cdr:cNvPr>
        <cdr:cNvGrpSpPr/>
      </cdr:nvGrpSpPr>
      <cdr:grpSpPr>
        <a:xfrm xmlns:a="http://schemas.openxmlformats.org/drawingml/2006/main">
          <a:off x="2931595" y="563856"/>
          <a:ext cx="45182" cy="860819"/>
          <a:chOff x="0" y="0"/>
          <a:chExt cx="95117" cy="2221688"/>
        </a:xfrm>
      </cdr:grpSpPr>
      <cdr:cxnSp macro="">
        <cdr:nvCxnSpPr>
          <cdr:cNvPr id="31" name="Straight Connector 30">
            <a:extLst xmlns:a="http://schemas.openxmlformats.org/drawingml/2006/main">
              <a:ext uri="{FF2B5EF4-FFF2-40B4-BE49-F238E27FC236}">
                <a16:creationId xmlns:a16="http://schemas.microsoft.com/office/drawing/2014/main" id="{7CC7C4A5-39E4-BF3B-5E3D-8A1791A2A5BF}"/>
              </a:ext>
            </a:extLst>
          </cdr:cNvPr>
          <cdr:cNvCxnSpPr/>
        </cdr:nvCxnSpPr>
        <cdr:spPr>
          <a:xfrm xmlns:a="http://schemas.openxmlformats.org/drawingml/2006/main">
            <a:off x="47559" y="139696"/>
            <a:ext cx="0" cy="2081992"/>
          </a:xfrm>
          <a:prstGeom xmlns:a="http://schemas.openxmlformats.org/drawingml/2006/main" prst="line">
            <a:avLst/>
          </a:prstGeom>
          <a:ln xmlns:a="http://schemas.openxmlformats.org/drawingml/2006/main">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sp macro="" textlink="">
        <cdr:nvSpPr>
          <cdr:cNvPr id="32" name="Oval 31">
            <a:extLst xmlns:a="http://schemas.openxmlformats.org/drawingml/2006/main">
              <a:ext uri="{FF2B5EF4-FFF2-40B4-BE49-F238E27FC236}">
                <a16:creationId xmlns:a16="http://schemas.microsoft.com/office/drawing/2014/main" id="{F4F909CB-2332-7864-A8B5-8160AF575B17}"/>
              </a:ext>
            </a:extLst>
          </cdr:cNvPr>
          <cdr:cNvSpPr/>
        </cdr:nvSpPr>
        <cdr:spPr>
          <a:xfrm xmlns:a="http://schemas.openxmlformats.org/drawingml/2006/main">
            <a:off x="0" y="0"/>
            <a:ext cx="95117" cy="135767"/>
          </a:xfrm>
          <a:prstGeom xmlns:a="http://schemas.openxmlformats.org/drawingml/2006/main" prst="ellipse">
            <a:avLst/>
          </a:prstGeom>
          <a:solidFill xmlns:a="http://schemas.openxmlformats.org/drawingml/2006/main">
            <a:schemeClr val="bg1"/>
          </a:solidFill>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en-US"/>
          </a:p>
        </cdr:txBody>
      </cdr:sp>
    </cdr:grpSp>
  </cdr:relSizeAnchor>
</c:userShapes>
</file>

<file path=xl/drawings/drawing23.xml><?xml version="1.0" encoding="utf-8"?>
<c:userShapes xmlns:c="http://schemas.openxmlformats.org/drawingml/2006/chart">
  <cdr:relSizeAnchor xmlns:cdr="http://schemas.openxmlformats.org/drawingml/2006/chartDrawing">
    <cdr:from>
      <cdr:x>0.12047</cdr:x>
      <cdr:y>0.19316</cdr:y>
    </cdr:from>
    <cdr:to>
      <cdr:x>0.27847</cdr:x>
      <cdr:y>0.25953</cdr:y>
    </cdr:to>
    <cdr:sp macro="" textlink="">
      <cdr:nvSpPr>
        <cdr:cNvPr id="25" name="TextBox 24">
          <a:extLst xmlns:a="http://schemas.openxmlformats.org/drawingml/2006/main">
            <a:ext uri="{FF2B5EF4-FFF2-40B4-BE49-F238E27FC236}">
              <a16:creationId xmlns:a16="http://schemas.microsoft.com/office/drawing/2014/main" id="{4131329A-156A-7FB5-4B69-A7AEA852117B}"/>
            </a:ext>
          </a:extLst>
        </cdr:cNvPr>
        <cdr:cNvSpPr txBox="1"/>
      </cdr:nvSpPr>
      <cdr:spPr>
        <a:xfrm xmlns:a="http://schemas.openxmlformats.org/drawingml/2006/main">
          <a:off x="1005574" y="831606"/>
          <a:ext cx="1318846"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0.10747</cdr:x>
      <cdr:y>0.04776</cdr:y>
    </cdr:from>
    <cdr:to>
      <cdr:x>0.95891</cdr:x>
      <cdr:y>0.63472</cdr:y>
    </cdr:to>
    <cdr:grpSp>
      <cdr:nvGrpSpPr>
        <cdr:cNvPr id="17" name="Group 16">
          <a:extLst xmlns:a="http://schemas.openxmlformats.org/drawingml/2006/main">
            <a:ext uri="{FF2B5EF4-FFF2-40B4-BE49-F238E27FC236}">
              <a16:creationId xmlns:a16="http://schemas.microsoft.com/office/drawing/2014/main" id="{FA715F36-B92A-88BB-5389-CFB4ED2AE0DE}"/>
            </a:ext>
          </a:extLst>
        </cdr:cNvPr>
        <cdr:cNvGrpSpPr/>
      </cdr:nvGrpSpPr>
      <cdr:grpSpPr>
        <a:xfrm xmlns:a="http://schemas.openxmlformats.org/drawingml/2006/main">
          <a:off x="680738" y="186989"/>
          <a:ext cx="5393204" cy="2298050"/>
          <a:chOff x="749128" y="215343"/>
          <a:chExt cx="7107118" cy="2701258"/>
        </a:xfrm>
      </cdr:grpSpPr>
      <cdr:grpSp>
        <cdr:nvGrpSpPr>
          <cdr:cNvPr id="13" name="Group 12">
            <a:extLst xmlns:a="http://schemas.openxmlformats.org/drawingml/2006/main">
              <a:ext uri="{FF2B5EF4-FFF2-40B4-BE49-F238E27FC236}">
                <a16:creationId xmlns:a16="http://schemas.microsoft.com/office/drawing/2014/main" id="{DF169DC0-7F09-08A5-BF38-2AF569635202}"/>
              </a:ext>
            </a:extLst>
          </cdr:cNvPr>
          <cdr:cNvGrpSpPr/>
        </cdr:nvGrpSpPr>
        <cdr:grpSpPr>
          <a:xfrm xmlns:a="http://schemas.openxmlformats.org/drawingml/2006/main">
            <a:off x="749128" y="922484"/>
            <a:ext cx="80590" cy="1586744"/>
            <a:chOff x="2105990" y="652768"/>
            <a:chExt cx="114932" cy="2261800"/>
          </a:xfrm>
        </cdr:grpSpPr>
        <cdr:cxnSp macro="">
          <cdr:nvCxnSpPr>
            <cdr:cNvPr id="9" name="Straight Connector 8">
              <a:extLst xmlns:a="http://schemas.openxmlformats.org/drawingml/2006/main">
                <a:ext uri="{FF2B5EF4-FFF2-40B4-BE49-F238E27FC236}">
                  <a16:creationId xmlns:a16="http://schemas.microsoft.com/office/drawing/2014/main" id="{D9D0B82A-6ED2-1B3F-7DFB-04B6B21F0EB7}"/>
                </a:ext>
              </a:extLst>
            </cdr:cNvPr>
            <cdr:cNvCxnSpPr/>
          </cdr:nvCxnSpPr>
          <cdr:spPr>
            <a:xfrm xmlns:a="http://schemas.openxmlformats.org/drawingml/2006/main">
              <a:off x="2173363" y="770617"/>
              <a:ext cx="0" cy="2143951"/>
            </a:xfrm>
            <a:prstGeom xmlns:a="http://schemas.openxmlformats.org/drawingml/2006/main" prst="line">
              <a:avLst/>
            </a:prstGeom>
            <a:ln xmlns:a="http://schemas.openxmlformats.org/drawingml/2006/main">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sp macro="" textlink="">
          <cdr:nvSpPr>
            <cdr:cNvPr id="11" name="Oval 10">
              <a:extLst xmlns:a="http://schemas.openxmlformats.org/drawingml/2006/main">
                <a:ext uri="{FF2B5EF4-FFF2-40B4-BE49-F238E27FC236}">
                  <a16:creationId xmlns:a16="http://schemas.microsoft.com/office/drawing/2014/main" id="{F8071864-3FA0-4099-71AF-2D1E93CE0181}"/>
                </a:ext>
              </a:extLst>
            </cdr:cNvPr>
            <cdr:cNvSpPr/>
          </cdr:nvSpPr>
          <cdr:spPr>
            <a:xfrm xmlns:a="http://schemas.openxmlformats.org/drawingml/2006/main">
              <a:off x="2105990" y="652768"/>
              <a:ext cx="114932" cy="115093"/>
            </a:xfrm>
            <a:prstGeom xmlns:a="http://schemas.openxmlformats.org/drawingml/2006/main" prst="ellipse">
              <a:avLst/>
            </a:prstGeom>
            <a:solidFill xmlns:a="http://schemas.openxmlformats.org/drawingml/2006/main">
              <a:schemeClr val="bg1"/>
            </a:solidFill>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grpSp>
      <cdr:grpSp>
        <cdr:nvGrpSpPr>
          <cdr:cNvPr id="22" name="Group 21">
            <a:extLst xmlns:a="http://schemas.openxmlformats.org/drawingml/2006/main">
              <a:ext uri="{FF2B5EF4-FFF2-40B4-BE49-F238E27FC236}">
                <a16:creationId xmlns:a16="http://schemas.microsoft.com/office/drawing/2014/main" id="{A7F4024C-DEAF-5416-F262-DF2CE23D4955}"/>
              </a:ext>
            </a:extLst>
          </cdr:cNvPr>
          <cdr:cNvGrpSpPr/>
        </cdr:nvGrpSpPr>
        <cdr:grpSpPr>
          <a:xfrm xmlns:a="http://schemas.openxmlformats.org/drawingml/2006/main">
            <a:off x="1985009" y="737502"/>
            <a:ext cx="89245" cy="1795326"/>
            <a:chOff x="-204527" y="-3999"/>
            <a:chExt cx="124471" cy="3568077"/>
          </a:xfrm>
        </cdr:grpSpPr>
        <cdr:cxnSp macro="">
          <cdr:nvCxnSpPr>
            <cdr:cNvPr id="23" name="Straight Connector 22">
              <a:extLst xmlns:a="http://schemas.openxmlformats.org/drawingml/2006/main">
                <a:ext uri="{FF2B5EF4-FFF2-40B4-BE49-F238E27FC236}">
                  <a16:creationId xmlns:a16="http://schemas.microsoft.com/office/drawing/2014/main" id="{5F6AAF7B-0ED1-6BB6-8BF5-EF80DCADE2DC}"/>
                </a:ext>
              </a:extLst>
            </cdr:cNvPr>
            <cdr:cNvCxnSpPr/>
          </cdr:nvCxnSpPr>
          <cdr:spPr>
            <a:xfrm xmlns:a="http://schemas.openxmlformats.org/drawingml/2006/main">
              <a:off x="-153627" y="78286"/>
              <a:ext cx="0" cy="3485792"/>
            </a:xfrm>
            <a:prstGeom xmlns:a="http://schemas.openxmlformats.org/drawingml/2006/main" prst="line">
              <a:avLst/>
            </a:prstGeom>
            <a:ln xmlns:a="http://schemas.openxmlformats.org/drawingml/2006/main">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sp macro="" textlink="">
          <cdr:nvSpPr>
            <cdr:cNvPr id="24" name="Oval 23">
              <a:extLst xmlns:a="http://schemas.openxmlformats.org/drawingml/2006/main">
                <a:ext uri="{FF2B5EF4-FFF2-40B4-BE49-F238E27FC236}">
                  <a16:creationId xmlns:a16="http://schemas.microsoft.com/office/drawing/2014/main" id="{F7027095-57B3-D6F0-247D-C620210249D9}"/>
                </a:ext>
              </a:extLst>
            </cdr:cNvPr>
            <cdr:cNvSpPr/>
          </cdr:nvSpPr>
          <cdr:spPr>
            <a:xfrm xmlns:a="http://schemas.openxmlformats.org/drawingml/2006/main" flipH="1">
              <a:off x="-204527" y="-3999"/>
              <a:ext cx="124471" cy="121349"/>
            </a:xfrm>
            <a:prstGeom xmlns:a="http://schemas.openxmlformats.org/drawingml/2006/main" prst="ellipse">
              <a:avLst/>
            </a:prstGeom>
            <a:solidFill xmlns:a="http://schemas.openxmlformats.org/drawingml/2006/main">
              <a:schemeClr val="bg1"/>
            </a:solidFill>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en-US"/>
            </a:p>
          </cdr:txBody>
        </cdr:sp>
      </cdr:grpSp>
      <cdr:sp macro="" textlink="">
        <cdr:nvSpPr>
          <cdr:cNvPr id="26" name="TextBox 25">
            <a:extLst xmlns:a="http://schemas.openxmlformats.org/drawingml/2006/main">
              <a:ext uri="{FF2B5EF4-FFF2-40B4-BE49-F238E27FC236}">
                <a16:creationId xmlns:a16="http://schemas.microsoft.com/office/drawing/2014/main" id="{ECCDB228-6B0C-E3DC-56BA-5390619AA47A}"/>
              </a:ext>
            </a:extLst>
          </cdr:cNvPr>
          <cdr:cNvSpPr txBox="1"/>
        </cdr:nvSpPr>
        <cdr:spPr>
          <a:xfrm xmlns:a="http://schemas.openxmlformats.org/drawingml/2006/main">
            <a:off x="815103" y="873599"/>
            <a:ext cx="1075599" cy="1231027"/>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800" b="1" i="0" u="sng" baseline="0">
                <a:solidFill>
                  <a:schemeClr val="accent1"/>
                </a:solidFill>
                <a:latin typeface="Calibri (Body)"/>
              </a:rPr>
              <a:t>Cạnh tranh và KQKD lao dốc</a:t>
            </a:r>
          </a:p>
          <a:p xmlns:a="http://schemas.openxmlformats.org/drawingml/2006/main">
            <a:r>
              <a:rPr lang="en-US" sz="800" b="0" i="1" baseline="0">
                <a:latin typeface="Calibri (Body)"/>
              </a:rPr>
              <a:t>Định giá thuần phản ánh giá trị tài sản và thương hiệu </a:t>
            </a:r>
          </a:p>
          <a:p xmlns:a="http://schemas.openxmlformats.org/drawingml/2006/main">
            <a:endParaRPr lang="en-US" sz="1100"/>
          </a:p>
        </cdr:txBody>
      </cdr:sp>
      <cdr:sp macro="" textlink="">
        <cdr:nvSpPr>
          <cdr:cNvPr id="28" name="TextBox 1">
            <a:extLst xmlns:a="http://schemas.openxmlformats.org/drawingml/2006/main">
              <a:ext uri="{FF2B5EF4-FFF2-40B4-BE49-F238E27FC236}">
                <a16:creationId xmlns:a16="http://schemas.microsoft.com/office/drawing/2014/main" id="{C807C72F-4DCF-CAF9-1643-A2A7748DFCEC}"/>
              </a:ext>
            </a:extLst>
          </cdr:cNvPr>
          <cdr:cNvSpPr txBox="1"/>
        </cdr:nvSpPr>
        <cdr:spPr>
          <a:xfrm xmlns:a="http://schemas.openxmlformats.org/drawingml/2006/main">
            <a:off x="2022205" y="658919"/>
            <a:ext cx="916688" cy="674081"/>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800" b="1" i="1" u="sng" baseline="0">
                <a:solidFill>
                  <a:schemeClr val="accent1"/>
                </a:solidFill>
                <a:latin typeface="Calibri (Body)"/>
              </a:rPr>
              <a:t>KQKD chưa cải thiện</a:t>
            </a:r>
          </a:p>
          <a:p xmlns:a="http://schemas.openxmlformats.org/drawingml/2006/main">
            <a:r>
              <a:rPr lang="en-US" sz="800" b="0" i="1" baseline="0">
                <a:latin typeface="Calibri (Body)"/>
              </a:rPr>
              <a:t>Tái định giá BHX</a:t>
            </a:r>
          </a:p>
          <a:p xmlns:a="http://schemas.openxmlformats.org/drawingml/2006/main">
            <a:r>
              <a:rPr lang="en-US" sz="800" b="0" i="1" baseline="0">
                <a:latin typeface="Calibri (Body)"/>
              </a:rPr>
              <a:t>Định giá hai chuỗi TGDĐ+ĐMX bị chiết khấu do biên giảm mạnh</a:t>
            </a:r>
          </a:p>
          <a:p xmlns:a="http://schemas.openxmlformats.org/drawingml/2006/main">
            <a:endParaRPr lang="en-US" sz="1100"/>
          </a:p>
        </cdr:txBody>
      </cdr:sp>
      <cdr:grpSp>
        <cdr:nvGrpSpPr>
          <cdr:cNvPr id="30" name="Group 29">
            <a:extLst xmlns:a="http://schemas.openxmlformats.org/drawingml/2006/main">
              <a:ext uri="{FF2B5EF4-FFF2-40B4-BE49-F238E27FC236}">
                <a16:creationId xmlns:a16="http://schemas.microsoft.com/office/drawing/2014/main" id="{0B2E4820-33E2-B12B-F576-50A3FFA9E496}"/>
              </a:ext>
            </a:extLst>
          </cdr:cNvPr>
          <cdr:cNvGrpSpPr/>
        </cdr:nvGrpSpPr>
        <cdr:grpSpPr>
          <a:xfrm xmlns:a="http://schemas.openxmlformats.org/drawingml/2006/main">
            <a:off x="2869610" y="519007"/>
            <a:ext cx="70739" cy="2397594"/>
            <a:chOff x="-683452" y="-15982"/>
            <a:chExt cx="70739" cy="4765228"/>
          </a:xfrm>
        </cdr:grpSpPr>
        <cdr:cxnSp macro="">
          <cdr:nvCxnSpPr>
            <cdr:cNvPr id="31" name="Straight Connector 30">
              <a:extLst xmlns:a="http://schemas.openxmlformats.org/drawingml/2006/main">
                <a:ext uri="{FF2B5EF4-FFF2-40B4-BE49-F238E27FC236}">
                  <a16:creationId xmlns:a16="http://schemas.microsoft.com/office/drawing/2014/main" id="{7CC7C4A5-39E4-BF3B-5E3D-8A1791A2A5BF}"/>
                </a:ext>
              </a:extLst>
            </cdr:cNvPr>
            <cdr:cNvCxnSpPr/>
          </cdr:nvCxnSpPr>
          <cdr:spPr>
            <a:xfrm xmlns:a="http://schemas.openxmlformats.org/drawingml/2006/main">
              <a:off x="-638557" y="132305"/>
              <a:ext cx="0" cy="4616941"/>
            </a:xfrm>
            <a:prstGeom xmlns:a="http://schemas.openxmlformats.org/drawingml/2006/main" prst="line">
              <a:avLst/>
            </a:prstGeom>
            <a:ln xmlns:a="http://schemas.openxmlformats.org/drawingml/2006/main">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sp macro="" textlink="">
          <cdr:nvSpPr>
            <cdr:cNvPr id="32" name="Oval 31">
              <a:extLst xmlns:a="http://schemas.openxmlformats.org/drawingml/2006/main">
                <a:ext uri="{FF2B5EF4-FFF2-40B4-BE49-F238E27FC236}">
                  <a16:creationId xmlns:a16="http://schemas.microsoft.com/office/drawing/2014/main" id="{F4F909CB-2332-7864-A8B5-8160AF575B17}"/>
                </a:ext>
              </a:extLst>
            </cdr:cNvPr>
            <cdr:cNvSpPr/>
          </cdr:nvSpPr>
          <cdr:spPr>
            <a:xfrm xmlns:a="http://schemas.openxmlformats.org/drawingml/2006/main">
              <a:off x="-683452" y="-15982"/>
              <a:ext cx="70739" cy="126284"/>
            </a:xfrm>
            <a:prstGeom xmlns:a="http://schemas.openxmlformats.org/drawingml/2006/main" prst="ellipse">
              <a:avLst/>
            </a:prstGeom>
            <a:solidFill xmlns:a="http://schemas.openxmlformats.org/drawingml/2006/main">
              <a:schemeClr val="bg1"/>
            </a:solidFill>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en-US"/>
            </a:p>
          </cdr:txBody>
        </cdr:sp>
      </cdr:grpSp>
      <cdr:sp macro="" textlink="">
        <cdr:nvSpPr>
          <cdr:cNvPr id="4" name="TextBox 3">
            <a:extLst xmlns:a="http://schemas.openxmlformats.org/drawingml/2006/main">
              <a:ext uri="{FF2B5EF4-FFF2-40B4-BE49-F238E27FC236}">
                <a16:creationId xmlns:a16="http://schemas.microsoft.com/office/drawing/2014/main" id="{25178DC2-779D-9B1F-B792-DDD79485E72A}"/>
              </a:ext>
            </a:extLst>
          </cdr:cNvPr>
          <cdr:cNvSpPr txBox="1"/>
        </cdr:nvSpPr>
        <cdr:spPr>
          <a:xfrm xmlns:a="http://schemas.openxmlformats.org/drawingml/2006/main">
            <a:off x="1773262" y="215343"/>
            <a:ext cx="3366076" cy="197083"/>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800" b="1" i="1" u="sng">
                <a:effectLst/>
                <a:latin typeface="Calibri (Body)"/>
                <a:ea typeface="+mn-ea"/>
                <a:cs typeface="+mn-cs"/>
              </a:rPr>
              <a:t>Tín</a:t>
            </a:r>
            <a:r>
              <a:rPr lang="en-US" sz="800" b="1" i="1" u="sng" baseline="0">
                <a:effectLst/>
                <a:latin typeface="Calibri (Body)"/>
                <a:ea typeface="+mn-ea"/>
                <a:cs typeface="+mn-cs"/>
              </a:rPr>
              <a:t> hiệu tích cực từ tái cấu trúc theo "hướng hiệu quả"</a:t>
            </a:r>
            <a:endParaRPr lang="en-US" sz="800">
              <a:effectLst/>
              <a:latin typeface="Calibri (Body)"/>
            </a:endParaRPr>
          </a:p>
          <a:p xmlns:a="http://schemas.openxmlformats.org/drawingml/2006/main">
            <a:endParaRPr lang="en-US" sz="800">
              <a:latin typeface="Calibri (Body)"/>
            </a:endParaRPr>
          </a:p>
        </cdr:txBody>
      </cdr:sp>
      <cdr:sp macro="" textlink="">
        <cdr:nvSpPr>
          <cdr:cNvPr id="6" name="TextBox 1">
            <a:extLst xmlns:a="http://schemas.openxmlformats.org/drawingml/2006/main">
              <a:ext uri="{FF2B5EF4-FFF2-40B4-BE49-F238E27FC236}">
                <a16:creationId xmlns:a16="http://schemas.microsoft.com/office/drawing/2014/main" id="{E0CD8F2D-7625-E0E5-8FE4-853B538185A6}"/>
              </a:ext>
            </a:extLst>
          </cdr:cNvPr>
          <cdr:cNvSpPr txBox="1"/>
        </cdr:nvSpPr>
        <cdr:spPr>
          <a:xfrm xmlns:a="http://schemas.openxmlformats.org/drawingml/2006/main">
            <a:off x="2947207" y="465771"/>
            <a:ext cx="1495490" cy="735773"/>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800" b="1" i="1" u="sng" baseline="0">
                <a:solidFill>
                  <a:schemeClr val="accent1"/>
                </a:solidFill>
                <a:latin typeface="Calibri (Body)"/>
              </a:rPr>
              <a:t>KQKD phục hồi tích cực</a:t>
            </a:r>
          </a:p>
          <a:p xmlns:a="http://schemas.openxmlformats.org/drawingml/2006/main">
            <a:r>
              <a:rPr lang="en-US" sz="800" b="0" i="1" baseline="0">
                <a:latin typeface="Calibri (Body)"/>
              </a:rPr>
              <a:t>Tái định giá hai mảng kinh doanh TGDĐ+ĐMX</a:t>
            </a:r>
            <a:endParaRPr lang="en-US" sz="1100"/>
          </a:p>
        </cdr:txBody>
      </cdr:sp>
      <cdr:sp macro="" textlink="">
        <cdr:nvSpPr>
          <cdr:cNvPr id="10" name="TextBox 1">
            <a:extLst xmlns:a="http://schemas.openxmlformats.org/drawingml/2006/main">
              <a:ext uri="{FF2B5EF4-FFF2-40B4-BE49-F238E27FC236}">
                <a16:creationId xmlns:a16="http://schemas.microsoft.com/office/drawing/2014/main" id="{E30BB04F-B248-44C0-13D2-EF00F95D0C15}"/>
              </a:ext>
            </a:extLst>
          </cdr:cNvPr>
          <cdr:cNvSpPr txBox="1"/>
        </cdr:nvSpPr>
        <cdr:spPr>
          <a:xfrm xmlns:a="http://schemas.openxmlformats.org/drawingml/2006/main">
            <a:off x="5289550" y="248627"/>
            <a:ext cx="2566696" cy="674081"/>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800" b="1" i="1" u="sng" baseline="0">
                <a:solidFill>
                  <a:schemeClr val="accent1"/>
                </a:solidFill>
                <a:latin typeface="Calibri (Body)"/>
              </a:rPr>
              <a:t>Kỳ vọng KQKD tăng trưởng 2025+</a:t>
            </a:r>
          </a:p>
          <a:p xmlns:a="http://schemas.openxmlformats.org/drawingml/2006/main">
            <a:r>
              <a:rPr lang="en-US" sz="800" b="0" i="1" baseline="0">
                <a:latin typeface="Calibri (Body)"/>
              </a:rPr>
              <a:t>Định giá (1) TGDĐ+ĐMX duy trì định giá (2) BHX tiềm năng từ mở rộng quy mô và đóng góp lợi nhuận</a:t>
            </a:r>
            <a:endParaRPr lang="en-US" sz="1100"/>
          </a:p>
        </cdr:txBody>
      </cdr:sp>
      <cdr:grpSp>
        <cdr:nvGrpSpPr>
          <cdr:cNvPr id="12" name="Group 11">
            <a:extLst xmlns:a="http://schemas.openxmlformats.org/drawingml/2006/main">
              <a:ext uri="{FF2B5EF4-FFF2-40B4-BE49-F238E27FC236}">
                <a16:creationId xmlns:a16="http://schemas.microsoft.com/office/drawing/2014/main" id="{77ABACBF-43E7-D918-1661-42D8416DBB37}"/>
              </a:ext>
            </a:extLst>
          </cdr:cNvPr>
          <cdr:cNvGrpSpPr/>
        </cdr:nvGrpSpPr>
        <cdr:grpSpPr>
          <a:xfrm xmlns:a="http://schemas.openxmlformats.org/drawingml/2006/main">
            <a:off x="5186975" y="321897"/>
            <a:ext cx="75541" cy="1731213"/>
            <a:chOff x="0" y="0"/>
            <a:chExt cx="95117" cy="7193664"/>
          </a:xfrm>
        </cdr:grpSpPr>
        <cdr:cxnSp macro="">
          <cdr:nvCxnSpPr>
            <cdr:cNvPr id="14" name="Straight Connector 13">
              <a:extLst xmlns:a="http://schemas.openxmlformats.org/drawingml/2006/main">
                <a:ext uri="{FF2B5EF4-FFF2-40B4-BE49-F238E27FC236}">
                  <a16:creationId xmlns:a16="http://schemas.microsoft.com/office/drawing/2014/main" id="{125CA0EA-CAB1-DE9B-25B8-B742ECFFE993}"/>
                </a:ext>
              </a:extLst>
            </cdr:cNvPr>
            <cdr:cNvCxnSpPr/>
          </cdr:nvCxnSpPr>
          <cdr:spPr>
            <a:xfrm xmlns:a="http://schemas.openxmlformats.org/drawingml/2006/main">
              <a:off x="47559" y="173203"/>
              <a:ext cx="0" cy="7020461"/>
            </a:xfrm>
            <a:prstGeom xmlns:a="http://schemas.openxmlformats.org/drawingml/2006/main" prst="line">
              <a:avLst/>
            </a:prstGeom>
            <a:ln xmlns:a="http://schemas.openxmlformats.org/drawingml/2006/main">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sp macro="" textlink="">
          <cdr:nvSpPr>
            <cdr:cNvPr id="15" name="Oval 14">
              <a:extLst xmlns:a="http://schemas.openxmlformats.org/drawingml/2006/main">
                <a:ext uri="{FF2B5EF4-FFF2-40B4-BE49-F238E27FC236}">
                  <a16:creationId xmlns:a16="http://schemas.microsoft.com/office/drawing/2014/main" id="{B20B1792-A56B-854D-E428-607BC594D6C3}"/>
                </a:ext>
              </a:extLst>
            </cdr:cNvPr>
            <cdr:cNvSpPr/>
          </cdr:nvSpPr>
          <cdr:spPr>
            <a:xfrm xmlns:a="http://schemas.openxmlformats.org/drawingml/2006/main">
              <a:off x="0" y="0"/>
              <a:ext cx="95117" cy="269837"/>
            </a:xfrm>
            <a:prstGeom xmlns:a="http://schemas.openxmlformats.org/drawingml/2006/main" prst="ellipse">
              <a:avLst/>
            </a:prstGeom>
            <a:solidFill xmlns:a="http://schemas.openxmlformats.org/drawingml/2006/main">
              <a:schemeClr val="bg1"/>
            </a:solidFill>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en-US"/>
            </a:p>
          </cdr:txBody>
        </cdr:sp>
      </cdr:grpSp>
    </cdr:grpSp>
  </cdr:relSizeAnchor>
</c:userShapes>
</file>

<file path=xl/drawings/drawing24.xml><?xml version="1.0" encoding="utf-8"?>
<xdr:wsDr xmlns:xdr="http://schemas.openxmlformats.org/drawingml/2006/spreadsheetDrawing" xmlns:a="http://schemas.openxmlformats.org/drawingml/2006/main">
  <xdr:twoCellAnchor>
    <xdr:from>
      <xdr:col>18</xdr:col>
      <xdr:colOff>3175</xdr:colOff>
      <xdr:row>0</xdr:row>
      <xdr:rowOff>136525</xdr:rowOff>
    </xdr:from>
    <xdr:to>
      <xdr:col>25</xdr:col>
      <xdr:colOff>307975</xdr:colOff>
      <xdr:row>18</xdr:row>
      <xdr:rowOff>3175</xdr:rowOff>
    </xdr:to>
    <xdr:graphicFrame macro="">
      <xdr:nvGraphicFramePr>
        <xdr:cNvPr id="2" name="Chart 1">
          <a:extLst>
            <a:ext uri="{FF2B5EF4-FFF2-40B4-BE49-F238E27FC236}">
              <a16:creationId xmlns:a16="http://schemas.microsoft.com/office/drawing/2014/main" id="{FF2A6884-592C-4AF5-A76F-01EA7C08DF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180975</xdr:colOff>
      <xdr:row>1</xdr:row>
      <xdr:rowOff>73025</xdr:rowOff>
    </xdr:from>
    <xdr:to>
      <xdr:col>17</xdr:col>
      <xdr:colOff>333375</xdr:colOff>
      <xdr:row>18</xdr:row>
      <xdr:rowOff>117475</xdr:rowOff>
    </xdr:to>
    <xdr:graphicFrame macro="">
      <xdr:nvGraphicFramePr>
        <xdr:cNvPr id="3" name="Chart 2">
          <a:extLst>
            <a:ext uri="{FF2B5EF4-FFF2-40B4-BE49-F238E27FC236}">
              <a16:creationId xmlns:a16="http://schemas.microsoft.com/office/drawing/2014/main" id="{B6411659-679D-44B9-A8C6-F1D45916B5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5.xml><?xml version="1.0" encoding="utf-8"?>
<xdr:wsDr xmlns:xdr="http://schemas.openxmlformats.org/drawingml/2006/spreadsheetDrawing" xmlns:a="http://schemas.openxmlformats.org/drawingml/2006/main">
  <xdr:twoCellAnchor editAs="oneCell">
    <xdr:from>
      <xdr:col>0</xdr:col>
      <xdr:colOff>28574</xdr:colOff>
      <xdr:row>0</xdr:row>
      <xdr:rowOff>28575</xdr:rowOff>
    </xdr:from>
    <xdr:to>
      <xdr:col>1</xdr:col>
      <xdr:colOff>161925</xdr:colOff>
      <xdr:row>3</xdr:row>
      <xdr:rowOff>9525</xdr:rowOff>
    </xdr:to>
    <xdr:pic>
      <xdr:nvPicPr>
        <xdr:cNvPr id="2" name="Picture 1">
          <a:extLst>
            <a:ext uri="{FF2B5EF4-FFF2-40B4-BE49-F238E27FC236}">
              <a16:creationId xmlns:a16="http://schemas.microsoft.com/office/drawing/2014/main" id="{2A851457-58E9-4983-8189-65DE725F7996}"/>
            </a:ext>
          </a:extLst>
        </xdr:cNvPr>
        <xdr:cNvPicPr>
          <a:picLocks noChangeAspect="1"/>
        </xdr:cNvPicPr>
      </xdr:nvPicPr>
      <xdr:blipFill>
        <a:blip xmlns:r="http://schemas.openxmlformats.org/officeDocument/2006/relationships" r:embed="rId1"/>
        <a:stretch>
          <a:fillRect/>
        </a:stretch>
      </xdr:blipFill>
      <xdr:spPr>
        <a:xfrm>
          <a:off x="28574" y="28575"/>
          <a:ext cx="2781301" cy="552450"/>
        </a:xfrm>
        <a:prstGeom prst="rect">
          <a:avLst/>
        </a:prstGeom>
      </xdr:spPr>
    </xdr:pic>
    <xdr:clientData/>
  </xdr:twoCellAnchor>
  <xdr:twoCellAnchor>
    <xdr:from>
      <xdr:col>162</xdr:col>
      <xdr:colOff>700087</xdr:colOff>
      <xdr:row>9</xdr:row>
      <xdr:rowOff>114300</xdr:rowOff>
    </xdr:from>
    <xdr:to>
      <xdr:col>167</xdr:col>
      <xdr:colOff>842962</xdr:colOff>
      <xdr:row>23</xdr:row>
      <xdr:rowOff>171450</xdr:rowOff>
    </xdr:to>
    <xdr:graphicFrame macro="">
      <xdr:nvGraphicFramePr>
        <xdr:cNvPr id="4" name="Chart 3">
          <a:extLst>
            <a:ext uri="{FF2B5EF4-FFF2-40B4-BE49-F238E27FC236}">
              <a16:creationId xmlns:a16="http://schemas.microsoft.com/office/drawing/2014/main" id="{D08D5E7A-7C83-499D-9972-0CB6DC0AA2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xdr:col>
      <xdr:colOff>647700</xdr:colOff>
      <xdr:row>18</xdr:row>
      <xdr:rowOff>9525</xdr:rowOff>
    </xdr:from>
    <xdr:to>
      <xdr:col>12</xdr:col>
      <xdr:colOff>504825</xdr:colOff>
      <xdr:row>45</xdr:row>
      <xdr:rowOff>161925</xdr:rowOff>
    </xdr:to>
    <xdr:pic>
      <xdr:nvPicPr>
        <xdr:cNvPr id="3" name="Picture 4">
          <a:extLst>
            <a:ext uri="{FF2B5EF4-FFF2-40B4-BE49-F238E27FC236}">
              <a16:creationId xmlns:a16="http://schemas.microsoft.com/office/drawing/2014/main" id="{6EADFB72-92F1-3A0A-372B-30E3FD6561CD}"/>
            </a:ext>
          </a:extLst>
        </xdr:cNvPr>
        <xdr:cNvPicPr>
          <a:picLocks noChangeAspect="1"/>
        </xdr:cNvPicPr>
      </xdr:nvPicPr>
      <xdr:blipFill>
        <a:blip xmlns:r="http://schemas.openxmlformats.org/officeDocument/2006/relationships" r:embed="rId3"/>
        <a:stretch>
          <a:fillRect/>
        </a:stretch>
      </xdr:blipFill>
      <xdr:spPr>
        <a:xfrm>
          <a:off x="3295650" y="3857625"/>
          <a:ext cx="9601200" cy="5381625"/>
        </a:xfrm>
        <a:prstGeom prst="rect">
          <a:avLst/>
        </a:prstGeom>
      </xdr:spPr>
    </xdr:pic>
    <xdr:clientData/>
  </xdr:twoCellAnchor>
</xdr:wsDr>
</file>

<file path=xl/drawings/drawing26.xml><?xml version="1.0" encoding="utf-8"?>
<c:userShapes xmlns:c="http://schemas.openxmlformats.org/drawingml/2006/chart">
  <cdr:relSizeAnchor xmlns:cdr="http://schemas.openxmlformats.org/drawingml/2006/chartDrawing">
    <cdr:from>
      <cdr:x>0.69271</cdr:x>
      <cdr:y>0.05208</cdr:y>
    </cdr:from>
    <cdr:to>
      <cdr:x>0.84688</cdr:x>
      <cdr:y>0.61458</cdr:y>
    </cdr:to>
    <cdr:sp macro="" textlink="">
      <cdr:nvSpPr>
        <cdr:cNvPr id="2" name="Rectangle 1">
          <a:extLst xmlns:a="http://schemas.openxmlformats.org/drawingml/2006/main">
            <a:ext uri="{FF2B5EF4-FFF2-40B4-BE49-F238E27FC236}">
              <a16:creationId xmlns:a16="http://schemas.microsoft.com/office/drawing/2014/main" id="{26108412-12BA-A3A9-6669-47CA7700743D}"/>
            </a:ext>
          </a:extLst>
        </cdr:cNvPr>
        <cdr:cNvSpPr/>
      </cdr:nvSpPr>
      <cdr:spPr>
        <a:xfrm xmlns:a="http://schemas.openxmlformats.org/drawingml/2006/main">
          <a:off x="3167063" y="142875"/>
          <a:ext cx="704850" cy="1543050"/>
        </a:xfrm>
        <a:prstGeom xmlns:a="http://schemas.openxmlformats.org/drawingml/2006/main" prst="rect">
          <a:avLst/>
        </a:prstGeom>
        <a:noFill xmlns:a="http://schemas.openxmlformats.org/drawingml/2006/main"/>
        <a:ln xmlns:a="http://schemas.openxmlformats.org/drawingml/2006/main" w="9525" cap="flat" cmpd="sng" algn="ctr">
          <a:solidFill>
            <a:schemeClr val="accent4"/>
          </a:solidFill>
          <a:prstDash val="solid"/>
          <a:round/>
          <a:headEnd type="none" w="med" len="med"/>
          <a:tailEnd type="none" w="med" len="med"/>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accent4"/>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userShapes>
</file>

<file path=xl/drawings/drawing27.xml><?xml version="1.0" encoding="utf-8"?>
<xdr:wsDr xmlns:xdr="http://schemas.openxmlformats.org/drawingml/2006/spreadsheetDrawing" xmlns:a="http://schemas.openxmlformats.org/drawingml/2006/main">
  <xdr:twoCellAnchor>
    <xdr:from>
      <xdr:col>13</xdr:col>
      <xdr:colOff>14287</xdr:colOff>
      <xdr:row>5</xdr:row>
      <xdr:rowOff>0</xdr:rowOff>
    </xdr:from>
    <xdr:to>
      <xdr:col>20</xdr:col>
      <xdr:colOff>319087</xdr:colOff>
      <xdr:row>19</xdr:row>
      <xdr:rowOff>76200</xdr:rowOff>
    </xdr:to>
    <xdr:graphicFrame macro="">
      <xdr:nvGraphicFramePr>
        <xdr:cNvPr id="2" name="Chart 1">
          <a:extLst>
            <a:ext uri="{FF2B5EF4-FFF2-40B4-BE49-F238E27FC236}">
              <a16:creationId xmlns:a16="http://schemas.microsoft.com/office/drawing/2014/main" id="{556464E8-F65D-38B7-A4F7-D4C6E31EFA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596900</xdr:colOff>
      <xdr:row>3</xdr:row>
      <xdr:rowOff>31750</xdr:rowOff>
    </xdr:from>
    <xdr:to>
      <xdr:col>11</xdr:col>
      <xdr:colOff>844550</xdr:colOff>
      <xdr:row>18</xdr:row>
      <xdr:rowOff>107950</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47EAD959-4FC8-6D3C-4A26-6FC3F86F056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4787900" y="603250"/>
              <a:ext cx="4578350" cy="29337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69850</xdr:colOff>
      <xdr:row>173</xdr:row>
      <xdr:rowOff>165100</xdr:rowOff>
    </xdr:from>
    <xdr:to>
      <xdr:col>10</xdr:col>
      <xdr:colOff>368300</xdr:colOff>
      <xdr:row>189</xdr:row>
      <xdr:rowOff>63500</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49A7E487-F9C9-CAE7-4AA9-C840DAD97EE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3587750" y="33121600"/>
              <a:ext cx="4629150" cy="29464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8.xml><?xml version="1.0" encoding="utf-8"?>
<xdr:wsDr xmlns:xdr="http://schemas.openxmlformats.org/drawingml/2006/spreadsheetDrawing" xmlns:a="http://schemas.openxmlformats.org/drawingml/2006/main">
  <xdr:twoCellAnchor editAs="oneCell">
    <xdr:from>
      <xdr:col>1</xdr:col>
      <xdr:colOff>0</xdr:colOff>
      <xdr:row>37</xdr:row>
      <xdr:rowOff>31750</xdr:rowOff>
    </xdr:from>
    <xdr:to>
      <xdr:col>27</xdr:col>
      <xdr:colOff>114300</xdr:colOff>
      <xdr:row>51</xdr:row>
      <xdr:rowOff>1905</xdr:rowOff>
    </xdr:to>
    <xdr:pic>
      <xdr:nvPicPr>
        <xdr:cNvPr id="2" name="Hình ảnh 4" descr="Ảnh có chứa bàn&#10;&#10;Mô tả được tạo tự động">
          <a:extLst>
            <a:ext uri="{FF2B5EF4-FFF2-40B4-BE49-F238E27FC236}">
              <a16:creationId xmlns:a16="http://schemas.microsoft.com/office/drawing/2014/main" id="{FE17EEA8-B47F-4231-AFD3-03E9123FD5D7}"/>
            </a:ext>
          </a:extLst>
        </xdr:cNvPr>
        <xdr:cNvPicPr/>
      </xdr:nvPicPr>
      <xdr:blipFill>
        <a:blip xmlns:r="http://schemas.openxmlformats.org/officeDocument/2006/relationships" r:embed="rId1"/>
        <a:stretch>
          <a:fillRect/>
        </a:stretch>
      </xdr:blipFill>
      <xdr:spPr>
        <a:xfrm>
          <a:off x="304800" y="7080250"/>
          <a:ext cx="4876800" cy="2446655"/>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twoCellAnchor>
    <xdr:from>
      <xdr:col>3</xdr:col>
      <xdr:colOff>323850</xdr:colOff>
      <xdr:row>16</xdr:row>
      <xdr:rowOff>14287</xdr:rowOff>
    </xdr:from>
    <xdr:to>
      <xdr:col>10</xdr:col>
      <xdr:colOff>390525</xdr:colOff>
      <xdr:row>30</xdr:row>
      <xdr:rowOff>90487</xdr:rowOff>
    </xdr:to>
    <xdr:graphicFrame macro="">
      <xdr:nvGraphicFramePr>
        <xdr:cNvPr id="2" name="Chart 1">
          <a:extLst>
            <a:ext uri="{FF2B5EF4-FFF2-40B4-BE49-F238E27FC236}">
              <a16:creationId xmlns:a16="http://schemas.microsoft.com/office/drawing/2014/main" id="{41D0DC46-13A7-4F69-AB84-2B574DEE40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29</xdr:col>
      <xdr:colOff>110331</xdr:colOff>
      <xdr:row>51</xdr:row>
      <xdr:rowOff>165892</xdr:rowOff>
    </xdr:from>
    <xdr:to>
      <xdr:col>36</xdr:col>
      <xdr:colOff>51594</xdr:colOff>
      <xdr:row>67</xdr:row>
      <xdr:rowOff>61117</xdr:rowOff>
    </xdr:to>
    <xdr:graphicFrame macro="">
      <xdr:nvGraphicFramePr>
        <xdr:cNvPr id="3" name="Chart 2">
          <a:extLst>
            <a:ext uri="{FF2B5EF4-FFF2-40B4-BE49-F238E27FC236}">
              <a16:creationId xmlns:a16="http://schemas.microsoft.com/office/drawing/2014/main" id="{523914CC-DFD5-42E2-96CF-640AAE72FC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28</xdr:col>
      <xdr:colOff>523876</xdr:colOff>
      <xdr:row>35</xdr:row>
      <xdr:rowOff>89694</xdr:rowOff>
    </xdr:from>
    <xdr:to>
      <xdr:col>35</xdr:col>
      <xdr:colOff>466725</xdr:colOff>
      <xdr:row>50</xdr:row>
      <xdr:rowOff>165893</xdr:rowOff>
    </xdr:to>
    <xdr:graphicFrame macro="">
      <xdr:nvGraphicFramePr>
        <xdr:cNvPr id="4" name="Chart 3">
          <a:extLst>
            <a:ext uri="{FF2B5EF4-FFF2-40B4-BE49-F238E27FC236}">
              <a16:creationId xmlns:a16="http://schemas.microsoft.com/office/drawing/2014/main" id="{E394FF1A-F788-45E4-8636-7253157638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28</xdr:col>
      <xdr:colOff>469107</xdr:colOff>
      <xdr:row>2</xdr:row>
      <xdr:rowOff>152400</xdr:rowOff>
    </xdr:from>
    <xdr:to>
      <xdr:col>35</xdr:col>
      <xdr:colOff>245269</xdr:colOff>
      <xdr:row>18</xdr:row>
      <xdr:rowOff>116682</xdr:rowOff>
    </xdr:to>
    <xdr:graphicFrame macro="">
      <xdr:nvGraphicFramePr>
        <xdr:cNvPr id="5" name="Chart 4">
          <a:extLst>
            <a:ext uri="{FF2B5EF4-FFF2-40B4-BE49-F238E27FC236}">
              <a16:creationId xmlns:a16="http://schemas.microsoft.com/office/drawing/2014/main" id="{A6F603BF-3F80-470E-B77D-0ADF656A0BC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28</xdr:col>
      <xdr:colOff>553243</xdr:colOff>
      <xdr:row>18</xdr:row>
      <xdr:rowOff>149225</xdr:rowOff>
    </xdr:from>
    <xdr:to>
      <xdr:col>35</xdr:col>
      <xdr:colOff>266699</xdr:colOff>
      <xdr:row>34</xdr:row>
      <xdr:rowOff>85725</xdr:rowOff>
    </xdr:to>
    <xdr:graphicFrame macro="">
      <xdr:nvGraphicFramePr>
        <xdr:cNvPr id="6" name="Chart 5">
          <a:extLst>
            <a:ext uri="{FF2B5EF4-FFF2-40B4-BE49-F238E27FC236}">
              <a16:creationId xmlns:a16="http://schemas.microsoft.com/office/drawing/2014/main" id="{9D009ACC-9B0D-4624-963A-FB30D4F231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30.xml><?xml version="1.0" encoding="utf-8"?>
<xdr:wsDr xmlns:xdr="http://schemas.openxmlformats.org/drawingml/2006/spreadsheetDrawing" xmlns:a="http://schemas.openxmlformats.org/drawingml/2006/main">
  <xdr:twoCellAnchor editAs="oneCell">
    <xdr:from>
      <xdr:col>13</xdr:col>
      <xdr:colOff>314325</xdr:colOff>
      <xdr:row>3</xdr:row>
      <xdr:rowOff>28575</xdr:rowOff>
    </xdr:from>
    <xdr:to>
      <xdr:col>24</xdr:col>
      <xdr:colOff>552449</xdr:colOff>
      <xdr:row>10</xdr:row>
      <xdr:rowOff>19050</xdr:rowOff>
    </xdr:to>
    <xdr:pic>
      <xdr:nvPicPr>
        <xdr:cNvPr id="2" name="Picture 1">
          <a:extLst>
            <a:ext uri="{FF2B5EF4-FFF2-40B4-BE49-F238E27FC236}">
              <a16:creationId xmlns:a16="http://schemas.microsoft.com/office/drawing/2014/main" id="{00000000-0008-0000-01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05825" y="600075"/>
          <a:ext cx="6943725" cy="1323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11</xdr:col>
      <xdr:colOff>694766</xdr:colOff>
      <xdr:row>3</xdr:row>
      <xdr:rowOff>112060</xdr:rowOff>
    </xdr:from>
    <xdr:to>
      <xdr:col>13</xdr:col>
      <xdr:colOff>312085</xdr:colOff>
      <xdr:row>6</xdr:row>
      <xdr:rowOff>120745</xdr:rowOff>
    </xdr:to>
    <xdr:cxnSp macro="">
      <xdr:nvCxnSpPr>
        <xdr:cNvPr id="3" name="Elbow Connector 2" descr="81701825-b8ae-43a0-85a4-069b72e8d6af">
          <a:extLst>
            <a:ext uri="{FF2B5EF4-FFF2-40B4-BE49-F238E27FC236}">
              <a16:creationId xmlns:a16="http://schemas.microsoft.com/office/drawing/2014/main" id="{00000000-0008-0000-0100-000003000000}"/>
            </a:ext>
          </a:extLst>
        </xdr:cNvPr>
        <xdr:cNvCxnSpPr>
          <a:stCxn id="2" idx="1"/>
        </xdr:cNvCxnSpPr>
      </xdr:nvCxnSpPr>
      <xdr:spPr>
        <a:xfrm rot="10800000">
          <a:off x="7562291" y="683560"/>
          <a:ext cx="941294" cy="580185"/>
        </a:xfrm>
        <a:prstGeom prst="bentConnector3">
          <a:avLst/>
        </a:prstGeom>
        <a:ln w="38100">
          <a:prstDash val="sysDot"/>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1.xml><?xml version="1.0" encoding="utf-8"?>
<xdr:wsDr xmlns:xdr="http://schemas.openxmlformats.org/drawingml/2006/spreadsheetDrawing" xmlns:a="http://schemas.openxmlformats.org/drawingml/2006/main">
  <xdr:twoCellAnchor editAs="oneCell">
    <xdr:from>
      <xdr:col>0</xdr:col>
      <xdr:colOff>0</xdr:colOff>
      <xdr:row>0</xdr:row>
      <xdr:rowOff>28575</xdr:rowOff>
    </xdr:from>
    <xdr:to>
      <xdr:col>3</xdr:col>
      <xdr:colOff>142875</xdr:colOff>
      <xdr:row>3</xdr:row>
      <xdr:rowOff>57195</xdr:rowOff>
    </xdr:to>
    <xdr:pic>
      <xdr:nvPicPr>
        <xdr:cNvPr id="2" name="Picture 1">
          <a:extLst>
            <a:ext uri="{FF2B5EF4-FFF2-40B4-BE49-F238E27FC236}">
              <a16:creationId xmlns:a16="http://schemas.microsoft.com/office/drawing/2014/main" id="{DA591E61-8DAB-46E2-93C4-55625CE548AF}"/>
            </a:ext>
          </a:extLst>
        </xdr:cNvPr>
        <xdr:cNvPicPr preferRelativeResize="0">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28575"/>
          <a:ext cx="2441575" cy="485820"/>
        </a:xfrm>
        <a:prstGeom prst="rect">
          <a:avLst/>
        </a:prstGeom>
      </xdr:spPr>
    </xdr:pic>
    <xdr:clientData/>
  </xdr:twoCellAnchor>
</xdr:wsDr>
</file>

<file path=xl/drawings/drawing32.xml><?xml version="1.0" encoding="utf-8"?>
<xdr:wsDr xmlns:xdr="http://schemas.openxmlformats.org/drawingml/2006/spreadsheetDrawing" xmlns:a="http://schemas.openxmlformats.org/drawingml/2006/main">
  <xdr:twoCellAnchor editAs="oneCell">
    <xdr:from>
      <xdr:col>0</xdr:col>
      <xdr:colOff>0</xdr:colOff>
      <xdr:row>0</xdr:row>
      <xdr:rowOff>28575</xdr:rowOff>
    </xdr:from>
    <xdr:to>
      <xdr:col>3</xdr:col>
      <xdr:colOff>142875</xdr:colOff>
      <xdr:row>3</xdr:row>
      <xdr:rowOff>57195</xdr:rowOff>
    </xdr:to>
    <xdr:pic>
      <xdr:nvPicPr>
        <xdr:cNvPr id="2" name="Picture 1">
          <a:extLst>
            <a:ext uri="{FF2B5EF4-FFF2-40B4-BE49-F238E27FC236}">
              <a16:creationId xmlns:a16="http://schemas.microsoft.com/office/drawing/2014/main" id="{86DB1703-E9F7-45A5-BCEA-5C608D77CE3F}"/>
            </a:ext>
          </a:extLst>
        </xdr:cNvPr>
        <xdr:cNvPicPr preferRelativeResize="0">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28575"/>
          <a:ext cx="2441575" cy="485820"/>
        </a:xfrm>
        <a:prstGeom prst="rect">
          <a:avLst/>
        </a:prstGeom>
      </xdr:spPr>
    </xdr:pic>
    <xdr:clientData/>
  </xdr:twoCellAnchor>
</xdr:wsDr>
</file>

<file path=xl/drawings/drawing33.xml><?xml version="1.0" encoding="utf-8"?>
<xdr:wsDr xmlns:xdr="http://schemas.openxmlformats.org/drawingml/2006/spreadsheetDrawing" xmlns:a="http://schemas.openxmlformats.org/drawingml/2006/main">
  <xdr:twoCellAnchor>
    <xdr:from>
      <xdr:col>0</xdr:col>
      <xdr:colOff>180975</xdr:colOff>
      <xdr:row>13</xdr:row>
      <xdr:rowOff>57150</xdr:rowOff>
    </xdr:from>
    <xdr:to>
      <xdr:col>4</xdr:col>
      <xdr:colOff>676275</xdr:colOff>
      <xdr:row>13</xdr:row>
      <xdr:rowOff>57150</xdr:rowOff>
    </xdr:to>
    <xdr:graphicFrame macro="">
      <xdr:nvGraphicFramePr>
        <xdr:cNvPr id="3" name="Chart 2">
          <a:extLst>
            <a:ext uri="{FF2B5EF4-FFF2-40B4-BE49-F238E27FC236}">
              <a16:creationId xmlns:a16="http://schemas.microsoft.com/office/drawing/2014/main" id="{D47304E4-8159-40D1-BFD3-BFC1F1E155D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26</xdr:col>
      <xdr:colOff>43091</xdr:colOff>
      <xdr:row>1</xdr:row>
      <xdr:rowOff>-1</xdr:rowOff>
    </xdr:from>
    <xdr:to>
      <xdr:col>32</xdr:col>
      <xdr:colOff>526142</xdr:colOff>
      <xdr:row>17</xdr:row>
      <xdr:rowOff>-1</xdr:rowOff>
    </xdr:to>
    <xdr:graphicFrame macro="">
      <xdr:nvGraphicFramePr>
        <xdr:cNvPr id="4" name="Chart 3">
          <a:extLst>
            <a:ext uri="{FF2B5EF4-FFF2-40B4-BE49-F238E27FC236}">
              <a16:creationId xmlns:a16="http://schemas.microsoft.com/office/drawing/2014/main" id="{5A03E86A-2743-4DA9-AE5A-C183E306AE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23</xdr:col>
      <xdr:colOff>84818</xdr:colOff>
      <xdr:row>20</xdr:row>
      <xdr:rowOff>40368</xdr:rowOff>
    </xdr:from>
    <xdr:to>
      <xdr:col>30</xdr:col>
      <xdr:colOff>8618</xdr:colOff>
      <xdr:row>35</xdr:row>
      <xdr:rowOff>116568</xdr:rowOff>
    </xdr:to>
    <xdr:graphicFrame macro="">
      <xdr:nvGraphicFramePr>
        <xdr:cNvPr id="5" name="Chart 4">
          <a:extLst>
            <a:ext uri="{FF2B5EF4-FFF2-40B4-BE49-F238E27FC236}">
              <a16:creationId xmlns:a16="http://schemas.microsoft.com/office/drawing/2014/main" id="{E4FBA85B-E6C4-4BD2-A31E-7DCCEEE0D1E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555624</xdr:colOff>
      <xdr:row>82</xdr:row>
      <xdr:rowOff>136525</xdr:rowOff>
    </xdr:from>
    <xdr:to>
      <xdr:col>15</xdr:col>
      <xdr:colOff>1594303</xdr:colOff>
      <xdr:row>98</xdr:row>
      <xdr:rowOff>27215</xdr:rowOff>
    </xdr:to>
    <xdr:graphicFrame macro="">
      <xdr:nvGraphicFramePr>
        <xdr:cNvPr id="7" name="Chart 6">
          <a:extLst>
            <a:ext uri="{FF2B5EF4-FFF2-40B4-BE49-F238E27FC236}">
              <a16:creationId xmlns:a16="http://schemas.microsoft.com/office/drawing/2014/main" id="{8D41B2D1-16B2-4A56-B051-C172B3EBF9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711200</xdr:colOff>
      <xdr:row>52</xdr:row>
      <xdr:rowOff>98425</xdr:rowOff>
    </xdr:from>
    <xdr:to>
      <xdr:col>14</xdr:col>
      <xdr:colOff>311150</xdr:colOff>
      <xdr:row>67</xdr:row>
      <xdr:rowOff>174625</xdr:rowOff>
    </xdr:to>
    <xdr:graphicFrame macro="">
      <xdr:nvGraphicFramePr>
        <xdr:cNvPr id="10" name="Diagram 9">
          <a:extLst>
            <a:ext uri="{FF2B5EF4-FFF2-40B4-BE49-F238E27FC236}">
              <a16:creationId xmlns:a16="http://schemas.microsoft.com/office/drawing/2014/main" id="{FD45263A-999A-43A9-A1C8-F2BFE62AEE49}"/>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5" r:lo="rId6" r:qs="rId7" r:cs="rId8"/>
        </a:graphicData>
      </a:graphic>
    </xdr:graphicFrame>
    <xdr:clientData/>
  </xdr:twoCellAnchor>
  <xdr:twoCellAnchor editAs="oneCell">
    <xdr:from>
      <xdr:col>6</xdr:col>
      <xdr:colOff>368300</xdr:colOff>
      <xdr:row>32</xdr:row>
      <xdr:rowOff>75562</xdr:rowOff>
    </xdr:from>
    <xdr:to>
      <xdr:col>12</xdr:col>
      <xdr:colOff>771525</xdr:colOff>
      <xdr:row>48</xdr:row>
      <xdr:rowOff>126092</xdr:rowOff>
    </xdr:to>
    <xdr:pic>
      <xdr:nvPicPr>
        <xdr:cNvPr id="11" name="Picture 10">
          <a:extLst>
            <a:ext uri="{FF2B5EF4-FFF2-40B4-BE49-F238E27FC236}">
              <a16:creationId xmlns:a16="http://schemas.microsoft.com/office/drawing/2014/main" id="{F85F0ABD-4AF4-4A4C-B6D6-9F3CA3D9E544}"/>
            </a:ext>
          </a:extLst>
        </xdr:cNvPr>
        <xdr:cNvPicPr>
          <a:picLocks noChangeAspect="1"/>
        </xdr:cNvPicPr>
      </xdr:nvPicPr>
      <xdr:blipFill>
        <a:blip xmlns:r="http://schemas.openxmlformats.org/officeDocument/2006/relationships" r:embed="rId10"/>
        <a:stretch>
          <a:fillRect/>
        </a:stretch>
      </xdr:blipFill>
      <xdr:spPr>
        <a:xfrm>
          <a:off x="5838371" y="5736133"/>
          <a:ext cx="5628368" cy="2880816"/>
        </a:xfrm>
        <a:prstGeom prst="rect">
          <a:avLst/>
        </a:prstGeom>
      </xdr:spPr>
    </xdr:pic>
    <xdr:clientData/>
  </xdr:twoCellAnchor>
  <xdr:twoCellAnchor>
    <xdr:from>
      <xdr:col>6</xdr:col>
      <xdr:colOff>470807</xdr:colOff>
      <xdr:row>15</xdr:row>
      <xdr:rowOff>112939</xdr:rowOff>
    </xdr:from>
    <xdr:to>
      <xdr:col>11</xdr:col>
      <xdr:colOff>972457</xdr:colOff>
      <xdr:row>33</xdr:row>
      <xdr:rowOff>25400</xdr:rowOff>
    </xdr:to>
    <xdr:graphicFrame macro="">
      <xdr:nvGraphicFramePr>
        <xdr:cNvPr id="12" name="Chart 11">
          <a:extLst>
            <a:ext uri="{FF2B5EF4-FFF2-40B4-BE49-F238E27FC236}">
              <a16:creationId xmlns:a16="http://schemas.microsoft.com/office/drawing/2014/main" id="{232D99FF-6493-4D6A-A476-BA86B0D0BDE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23</xdr:col>
      <xdr:colOff>258082</xdr:colOff>
      <xdr:row>36</xdr:row>
      <xdr:rowOff>9978</xdr:rowOff>
    </xdr:from>
    <xdr:to>
      <xdr:col>30</xdr:col>
      <xdr:colOff>26307</xdr:colOff>
      <xdr:row>55</xdr:row>
      <xdr:rowOff>82097</xdr:rowOff>
    </xdr:to>
    <xdr:graphicFrame macro="">
      <xdr:nvGraphicFramePr>
        <xdr:cNvPr id="13" name="Chart 12">
          <a:extLst>
            <a:ext uri="{FF2B5EF4-FFF2-40B4-BE49-F238E27FC236}">
              <a16:creationId xmlns:a16="http://schemas.microsoft.com/office/drawing/2014/main" id="{A6951E33-C90F-446C-80FE-66CBEC8320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8</xdr:col>
      <xdr:colOff>552451</xdr:colOff>
      <xdr:row>44</xdr:row>
      <xdr:rowOff>118382</xdr:rowOff>
    </xdr:from>
    <xdr:to>
      <xdr:col>14</xdr:col>
      <xdr:colOff>104322</xdr:colOff>
      <xdr:row>64</xdr:row>
      <xdr:rowOff>16782</xdr:rowOff>
    </xdr:to>
    <xdr:graphicFrame macro="">
      <xdr:nvGraphicFramePr>
        <xdr:cNvPr id="14" name="Chart 13">
          <a:extLst>
            <a:ext uri="{FF2B5EF4-FFF2-40B4-BE49-F238E27FC236}">
              <a16:creationId xmlns:a16="http://schemas.microsoft.com/office/drawing/2014/main" id="{FED95F40-40AD-4EEC-BE75-FF865C8DC3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22</xdr:col>
      <xdr:colOff>549731</xdr:colOff>
      <xdr:row>55</xdr:row>
      <xdr:rowOff>158750</xdr:rowOff>
    </xdr:from>
    <xdr:to>
      <xdr:col>31</xdr:col>
      <xdr:colOff>279855</xdr:colOff>
      <xdr:row>71</xdr:row>
      <xdr:rowOff>58057</xdr:rowOff>
    </xdr:to>
    <xdr:graphicFrame macro="">
      <xdr:nvGraphicFramePr>
        <xdr:cNvPr id="16" name="Chart 15">
          <a:extLst>
            <a:ext uri="{FF2B5EF4-FFF2-40B4-BE49-F238E27FC236}">
              <a16:creationId xmlns:a16="http://schemas.microsoft.com/office/drawing/2014/main" id="{6C3AC339-7D07-44FA-B91E-E5DD915EC6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editAs="oneCell">
    <xdr:from>
      <xdr:col>4</xdr:col>
      <xdr:colOff>764885</xdr:colOff>
      <xdr:row>102</xdr:row>
      <xdr:rowOff>67667</xdr:rowOff>
    </xdr:from>
    <xdr:to>
      <xdr:col>8</xdr:col>
      <xdr:colOff>759015</xdr:colOff>
      <xdr:row>117</xdr:row>
      <xdr:rowOff>130837</xdr:rowOff>
    </xdr:to>
    <xdr:pic>
      <xdr:nvPicPr>
        <xdr:cNvPr id="2" name="Picture 1">
          <a:extLst>
            <a:ext uri="{FF2B5EF4-FFF2-40B4-BE49-F238E27FC236}">
              <a16:creationId xmlns:a16="http://schemas.microsoft.com/office/drawing/2014/main" id="{91880F2E-6CC0-436B-A0BA-2D47D6FDDDC1}"/>
            </a:ext>
          </a:extLst>
        </xdr:cNvPr>
        <xdr:cNvPicPr>
          <a:picLocks noChangeAspect="1"/>
        </xdr:cNvPicPr>
      </xdr:nvPicPr>
      <xdr:blipFill>
        <a:blip xmlns:r="http://schemas.openxmlformats.org/officeDocument/2006/relationships" r:embed="rId15"/>
        <a:stretch>
          <a:fillRect/>
        </a:stretch>
      </xdr:blipFill>
      <xdr:spPr>
        <a:xfrm>
          <a:off x="4967430" y="17743758"/>
          <a:ext cx="3643937" cy="2660897"/>
        </a:xfrm>
        <a:prstGeom prst="rect">
          <a:avLst/>
        </a:prstGeom>
      </xdr:spPr>
    </xdr:pic>
    <xdr:clientData/>
  </xdr:twoCellAnchor>
  <xdr:twoCellAnchor>
    <xdr:from>
      <xdr:col>5</xdr:col>
      <xdr:colOff>5773</xdr:colOff>
      <xdr:row>128</xdr:row>
      <xdr:rowOff>140856</xdr:rowOff>
    </xdr:from>
    <xdr:to>
      <xdr:col>9</xdr:col>
      <xdr:colOff>1010228</xdr:colOff>
      <xdr:row>144</xdr:row>
      <xdr:rowOff>113147</xdr:rowOff>
    </xdr:to>
    <xdr:graphicFrame macro="">
      <xdr:nvGraphicFramePr>
        <xdr:cNvPr id="6" name="Chart 5">
          <a:extLst>
            <a:ext uri="{FF2B5EF4-FFF2-40B4-BE49-F238E27FC236}">
              <a16:creationId xmlns:a16="http://schemas.microsoft.com/office/drawing/2014/main" id="{EA0C177F-35F6-4030-8EBD-9C5900F574E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12</xdr:col>
      <xdr:colOff>291042</xdr:colOff>
      <xdr:row>161</xdr:row>
      <xdr:rowOff>115358</xdr:rowOff>
    </xdr:from>
    <xdr:to>
      <xdr:col>17</xdr:col>
      <xdr:colOff>342900</xdr:colOff>
      <xdr:row>183</xdr:row>
      <xdr:rowOff>38100</xdr:rowOff>
    </xdr:to>
    <xdr:graphicFrame macro="">
      <xdr:nvGraphicFramePr>
        <xdr:cNvPr id="8" name="Diagram 7">
          <a:extLst>
            <a:ext uri="{FF2B5EF4-FFF2-40B4-BE49-F238E27FC236}">
              <a16:creationId xmlns:a16="http://schemas.microsoft.com/office/drawing/2014/main" id="{1E156FCA-E477-D45D-F663-8D590CFCF9E3}"/>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7" r:lo="rId18" r:qs="rId19" r:cs="rId20"/>
        </a:graphicData>
      </a:graphic>
    </xdr:graphicFrame>
    <xdr:clientData/>
  </xdr:twoCellAnchor>
</xdr:wsDr>
</file>

<file path=xl/drawings/drawing34.xml><?xml version="1.0" encoding="utf-8"?>
<xdr:wsDr xmlns:xdr="http://schemas.openxmlformats.org/drawingml/2006/spreadsheetDrawing" xmlns:a="http://schemas.openxmlformats.org/drawingml/2006/main">
  <xdr:twoCellAnchor>
    <xdr:from>
      <xdr:col>17</xdr:col>
      <xdr:colOff>95250</xdr:colOff>
      <xdr:row>0</xdr:row>
      <xdr:rowOff>161925</xdr:rowOff>
    </xdr:from>
    <xdr:to>
      <xdr:col>23</xdr:col>
      <xdr:colOff>152400</xdr:colOff>
      <xdr:row>14</xdr:row>
      <xdr:rowOff>428625</xdr:rowOff>
    </xdr:to>
    <xdr:graphicFrame macro="">
      <xdr:nvGraphicFramePr>
        <xdr:cNvPr id="2" name="Chart 1">
          <a:extLst>
            <a:ext uri="{FF2B5EF4-FFF2-40B4-BE49-F238E27FC236}">
              <a16:creationId xmlns:a16="http://schemas.microsoft.com/office/drawing/2014/main" id="{75BC3AD3-A5AD-C7DA-2D0B-7BE787390A3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185737</xdr:colOff>
      <xdr:row>14</xdr:row>
      <xdr:rowOff>57150</xdr:rowOff>
    </xdr:from>
    <xdr:to>
      <xdr:col>15</xdr:col>
      <xdr:colOff>404812</xdr:colOff>
      <xdr:row>14</xdr:row>
      <xdr:rowOff>2990850</xdr:rowOff>
    </xdr:to>
    <xdr:graphicFrame macro="">
      <xdr:nvGraphicFramePr>
        <xdr:cNvPr id="3" name="Chart 2">
          <a:extLst>
            <a:ext uri="{FF2B5EF4-FFF2-40B4-BE49-F238E27FC236}">
              <a16:creationId xmlns:a16="http://schemas.microsoft.com/office/drawing/2014/main" id="{E337AB8E-C893-9090-0C36-6639C0D73C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10</xdr:col>
      <xdr:colOff>527051</xdr:colOff>
      <xdr:row>33</xdr:row>
      <xdr:rowOff>41276</xdr:rowOff>
    </xdr:from>
    <xdr:to>
      <xdr:col>20</xdr:col>
      <xdr:colOff>571501</xdr:colOff>
      <xdr:row>50</xdr:row>
      <xdr:rowOff>14330</xdr:rowOff>
    </xdr:to>
    <xdr:pic>
      <xdr:nvPicPr>
        <xdr:cNvPr id="4" name="Picture 3">
          <a:extLst>
            <a:ext uri="{FF2B5EF4-FFF2-40B4-BE49-F238E27FC236}">
              <a16:creationId xmlns:a16="http://schemas.microsoft.com/office/drawing/2014/main" id="{32017062-AE32-E032-1344-3347E3F2D7AE}"/>
            </a:ext>
          </a:extLst>
        </xdr:cNvPr>
        <xdr:cNvPicPr>
          <a:picLocks noChangeAspect="1"/>
        </xdr:cNvPicPr>
      </xdr:nvPicPr>
      <xdr:blipFill>
        <a:blip xmlns:r="http://schemas.openxmlformats.org/officeDocument/2006/relationships" r:embed="rId3"/>
        <a:stretch>
          <a:fillRect/>
        </a:stretch>
      </xdr:blipFill>
      <xdr:spPr>
        <a:xfrm>
          <a:off x="9112251" y="9826626"/>
          <a:ext cx="7766050" cy="3014704"/>
        </a:xfrm>
        <a:prstGeom prst="rect">
          <a:avLst/>
        </a:prstGeom>
      </xdr:spPr>
    </xdr:pic>
    <xdr:clientData/>
  </xdr:twoCellAnchor>
  <xdr:twoCellAnchor editAs="oneCell">
    <xdr:from>
      <xdr:col>10</xdr:col>
      <xdr:colOff>266701</xdr:colOff>
      <xdr:row>36</xdr:row>
      <xdr:rowOff>152400</xdr:rowOff>
    </xdr:from>
    <xdr:to>
      <xdr:col>21</xdr:col>
      <xdr:colOff>6592</xdr:colOff>
      <xdr:row>54</xdr:row>
      <xdr:rowOff>38906</xdr:rowOff>
    </xdr:to>
    <xdr:pic>
      <xdr:nvPicPr>
        <xdr:cNvPr id="5" name="Picture 4">
          <a:extLst>
            <a:ext uri="{FF2B5EF4-FFF2-40B4-BE49-F238E27FC236}">
              <a16:creationId xmlns:a16="http://schemas.microsoft.com/office/drawing/2014/main" id="{4AB97E03-4CA7-9C09-F562-827CBDB22B93}"/>
            </a:ext>
          </a:extLst>
        </xdr:cNvPr>
        <xdr:cNvPicPr>
          <a:picLocks noChangeAspect="1"/>
        </xdr:cNvPicPr>
      </xdr:nvPicPr>
      <xdr:blipFill>
        <a:blip xmlns:r="http://schemas.openxmlformats.org/officeDocument/2006/relationships" r:embed="rId4"/>
        <a:stretch>
          <a:fillRect/>
        </a:stretch>
      </xdr:blipFill>
      <xdr:spPr>
        <a:xfrm>
          <a:off x="7124701" y="10420350"/>
          <a:ext cx="7331316" cy="3315506"/>
        </a:xfrm>
        <a:prstGeom prst="rect">
          <a:avLst/>
        </a:prstGeom>
      </xdr:spPr>
    </xdr:pic>
    <xdr:clientData/>
  </xdr:twoCellAnchor>
  <xdr:twoCellAnchor editAs="oneCell">
    <xdr:from>
      <xdr:col>11</xdr:col>
      <xdr:colOff>320674</xdr:colOff>
      <xdr:row>33</xdr:row>
      <xdr:rowOff>43284</xdr:rowOff>
    </xdr:from>
    <xdr:to>
      <xdr:col>22</xdr:col>
      <xdr:colOff>186388</xdr:colOff>
      <xdr:row>51</xdr:row>
      <xdr:rowOff>117475</xdr:rowOff>
    </xdr:to>
    <xdr:pic>
      <xdr:nvPicPr>
        <xdr:cNvPr id="6" name="Picture 5">
          <a:extLst>
            <a:ext uri="{FF2B5EF4-FFF2-40B4-BE49-F238E27FC236}">
              <a16:creationId xmlns:a16="http://schemas.microsoft.com/office/drawing/2014/main" id="{355DE4EA-CEF5-FC62-25A0-B9E477102F02}"/>
            </a:ext>
          </a:extLst>
        </xdr:cNvPr>
        <xdr:cNvPicPr>
          <a:picLocks noChangeAspect="1"/>
        </xdr:cNvPicPr>
      </xdr:nvPicPr>
      <xdr:blipFill>
        <a:blip xmlns:r="http://schemas.openxmlformats.org/officeDocument/2006/relationships" r:embed="rId5"/>
        <a:stretch>
          <a:fillRect/>
        </a:stretch>
      </xdr:blipFill>
      <xdr:spPr>
        <a:xfrm>
          <a:off x="9636124" y="9828634"/>
          <a:ext cx="8177864" cy="3293641"/>
        </a:xfrm>
        <a:prstGeom prst="rect">
          <a:avLst/>
        </a:prstGeom>
      </xdr:spPr>
    </xdr:pic>
    <xdr:clientData/>
  </xdr:twoCellAnchor>
  <xdr:twoCellAnchor editAs="oneCell">
    <xdr:from>
      <xdr:col>8</xdr:col>
      <xdr:colOff>352425</xdr:colOff>
      <xdr:row>57</xdr:row>
      <xdr:rowOff>28575</xdr:rowOff>
    </xdr:from>
    <xdr:to>
      <xdr:col>21</xdr:col>
      <xdr:colOff>10715</xdr:colOff>
      <xdr:row>87</xdr:row>
      <xdr:rowOff>105583</xdr:rowOff>
    </xdr:to>
    <xdr:pic>
      <xdr:nvPicPr>
        <xdr:cNvPr id="7" name="Picture 6">
          <a:extLst>
            <a:ext uri="{FF2B5EF4-FFF2-40B4-BE49-F238E27FC236}">
              <a16:creationId xmlns:a16="http://schemas.microsoft.com/office/drawing/2014/main" id="{F03439F2-CB27-3B53-B2CB-BAC62217B059}"/>
            </a:ext>
          </a:extLst>
        </xdr:cNvPr>
        <xdr:cNvPicPr>
          <a:picLocks noChangeAspect="1"/>
        </xdr:cNvPicPr>
      </xdr:nvPicPr>
      <xdr:blipFill>
        <a:blip xmlns:r="http://schemas.openxmlformats.org/officeDocument/2006/relationships" r:embed="rId6"/>
        <a:stretch>
          <a:fillRect/>
        </a:stretch>
      </xdr:blipFill>
      <xdr:spPr>
        <a:xfrm>
          <a:off x="6572250" y="15440025"/>
          <a:ext cx="8526065" cy="5792008"/>
        </a:xfrm>
        <a:prstGeom prst="rect">
          <a:avLst/>
        </a:prstGeom>
      </xdr:spPr>
    </xdr:pic>
    <xdr:clientData/>
  </xdr:twoCellAnchor>
  <xdr:twoCellAnchor>
    <xdr:from>
      <xdr:col>9</xdr:col>
      <xdr:colOff>727075</xdr:colOff>
      <xdr:row>28</xdr:row>
      <xdr:rowOff>85725</xdr:rowOff>
    </xdr:from>
    <xdr:to>
      <xdr:col>17</xdr:col>
      <xdr:colOff>406400</xdr:colOff>
      <xdr:row>40</xdr:row>
      <xdr:rowOff>174625</xdr:rowOff>
    </xdr:to>
    <xdr:graphicFrame macro="">
      <xdr:nvGraphicFramePr>
        <xdr:cNvPr id="8" name="Chart 7">
          <a:extLst>
            <a:ext uri="{FF2B5EF4-FFF2-40B4-BE49-F238E27FC236}">
              <a16:creationId xmlns:a16="http://schemas.microsoft.com/office/drawing/2014/main" id="{FC66B438-24BB-812E-6F7E-18A61FC7DC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35.xml><?xml version="1.0" encoding="utf-8"?>
<c:userShapes xmlns:c="http://schemas.openxmlformats.org/drawingml/2006/chart">
  <cdr:relSizeAnchor xmlns:cdr="http://schemas.openxmlformats.org/drawingml/2006/chartDrawing">
    <cdr:from>
      <cdr:x>0.67604</cdr:x>
      <cdr:y>0</cdr:y>
    </cdr:from>
    <cdr:to>
      <cdr:x>0.92396</cdr:x>
      <cdr:y>0.90972</cdr:y>
    </cdr:to>
    <cdr:sp macro="" textlink="">
      <cdr:nvSpPr>
        <cdr:cNvPr id="3" name="Rectangle 2">
          <a:extLst xmlns:a="http://schemas.openxmlformats.org/drawingml/2006/main">
            <a:ext uri="{FF2B5EF4-FFF2-40B4-BE49-F238E27FC236}">
              <a16:creationId xmlns:a16="http://schemas.microsoft.com/office/drawing/2014/main" id="{26ED1F2C-DE9B-283F-471D-24EB91DAC396}"/>
            </a:ext>
          </a:extLst>
        </cdr:cNvPr>
        <cdr:cNvSpPr/>
      </cdr:nvSpPr>
      <cdr:spPr>
        <a:xfrm xmlns:a="http://schemas.openxmlformats.org/drawingml/2006/main">
          <a:off x="3090863" y="0"/>
          <a:ext cx="1133475" cy="2495551"/>
        </a:xfrm>
        <a:prstGeom xmlns:a="http://schemas.openxmlformats.org/drawingml/2006/main" prst="rect">
          <a:avLst/>
        </a:prstGeom>
        <a:solidFill xmlns:a="http://schemas.openxmlformats.org/drawingml/2006/main">
          <a:schemeClr val="accent1">
            <a:alpha val="50000"/>
          </a:schemeClr>
        </a:solidFill>
        <a:ln xmlns:a="http://schemas.openxmlformats.org/drawingml/2006/main">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userShapes>
</file>

<file path=xl/drawings/drawing36.xml><?xml version="1.0" encoding="utf-8"?>
<xdr:wsDr xmlns:xdr="http://schemas.openxmlformats.org/drawingml/2006/spreadsheetDrawing" xmlns:a="http://schemas.openxmlformats.org/drawingml/2006/main">
  <xdr:twoCellAnchor>
    <xdr:from>
      <xdr:col>0</xdr:col>
      <xdr:colOff>0</xdr:colOff>
      <xdr:row>0</xdr:row>
      <xdr:rowOff>0</xdr:rowOff>
    </xdr:from>
    <xdr:to>
      <xdr:col>7</xdr:col>
      <xdr:colOff>529772</xdr:colOff>
      <xdr:row>15</xdr:row>
      <xdr:rowOff>51707</xdr:rowOff>
    </xdr:to>
    <xdr:graphicFrame macro="">
      <xdr:nvGraphicFramePr>
        <xdr:cNvPr id="2" name="Chart 1">
          <a:extLst>
            <a:ext uri="{FF2B5EF4-FFF2-40B4-BE49-F238E27FC236}">
              <a16:creationId xmlns:a16="http://schemas.microsoft.com/office/drawing/2014/main" id="{CF456694-8B8E-45BA-9C60-2BC570F640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654050</xdr:colOff>
      <xdr:row>0</xdr:row>
      <xdr:rowOff>0</xdr:rowOff>
    </xdr:from>
    <xdr:to>
      <xdr:col>14</xdr:col>
      <xdr:colOff>539750</xdr:colOff>
      <xdr:row>18</xdr:row>
      <xdr:rowOff>29935</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5D743DF7-A701-4E2E-9F36-08945B341EA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5365750" y="0"/>
              <a:ext cx="4597400" cy="345893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342900</xdr:colOff>
      <xdr:row>9</xdr:row>
      <xdr:rowOff>38100</xdr:rowOff>
    </xdr:from>
    <xdr:to>
      <xdr:col>9</xdr:col>
      <xdr:colOff>596900</xdr:colOff>
      <xdr:row>10</xdr:row>
      <xdr:rowOff>88900</xdr:rowOff>
    </xdr:to>
    <xdr:sp macro="" textlink="">
      <xdr:nvSpPr>
        <xdr:cNvPr id="4" name="Plus Sign 3">
          <a:extLst>
            <a:ext uri="{FF2B5EF4-FFF2-40B4-BE49-F238E27FC236}">
              <a16:creationId xmlns:a16="http://schemas.microsoft.com/office/drawing/2014/main" id="{2F8F3579-3E7F-49CA-9FF1-67C6E7A38E17}"/>
            </a:ext>
          </a:extLst>
        </xdr:cNvPr>
        <xdr:cNvSpPr/>
      </xdr:nvSpPr>
      <xdr:spPr>
        <a:xfrm>
          <a:off x="6286500" y="1638300"/>
          <a:ext cx="254000" cy="228600"/>
        </a:xfrm>
        <a:prstGeom prst="mathPlu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12</xdr:col>
      <xdr:colOff>196850</xdr:colOff>
      <xdr:row>9</xdr:row>
      <xdr:rowOff>44450</xdr:rowOff>
    </xdr:from>
    <xdr:to>
      <xdr:col>12</xdr:col>
      <xdr:colOff>450850</xdr:colOff>
      <xdr:row>10</xdr:row>
      <xdr:rowOff>95250</xdr:rowOff>
    </xdr:to>
    <xdr:sp macro="" textlink="">
      <xdr:nvSpPr>
        <xdr:cNvPr id="5" name="Plus Sign 4">
          <a:extLst>
            <a:ext uri="{FF2B5EF4-FFF2-40B4-BE49-F238E27FC236}">
              <a16:creationId xmlns:a16="http://schemas.microsoft.com/office/drawing/2014/main" id="{ECF4F7CC-97D4-4C28-B380-8474E7D969A0}"/>
            </a:ext>
          </a:extLst>
        </xdr:cNvPr>
        <xdr:cNvSpPr/>
      </xdr:nvSpPr>
      <xdr:spPr>
        <a:xfrm>
          <a:off x="8121650" y="1644650"/>
          <a:ext cx="254000" cy="228600"/>
        </a:xfrm>
        <a:prstGeom prst="mathPlu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10</xdr:col>
      <xdr:colOff>558800</xdr:colOff>
      <xdr:row>9</xdr:row>
      <xdr:rowOff>44450</xdr:rowOff>
    </xdr:from>
    <xdr:to>
      <xdr:col>11</xdr:col>
      <xdr:colOff>152400</xdr:colOff>
      <xdr:row>10</xdr:row>
      <xdr:rowOff>95250</xdr:rowOff>
    </xdr:to>
    <xdr:sp macro="" textlink="">
      <xdr:nvSpPr>
        <xdr:cNvPr id="6" name="Plus Sign 5">
          <a:extLst>
            <a:ext uri="{FF2B5EF4-FFF2-40B4-BE49-F238E27FC236}">
              <a16:creationId xmlns:a16="http://schemas.microsoft.com/office/drawing/2014/main" id="{D4F44F6F-D3A6-43EB-AE88-6E6CAD2BCAD6}"/>
            </a:ext>
          </a:extLst>
        </xdr:cNvPr>
        <xdr:cNvSpPr/>
      </xdr:nvSpPr>
      <xdr:spPr>
        <a:xfrm>
          <a:off x="7162800" y="1644650"/>
          <a:ext cx="254000" cy="228600"/>
        </a:xfrm>
        <a:prstGeom prst="mathPlu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13</xdr:col>
      <xdr:colOff>311150</xdr:colOff>
      <xdr:row>9</xdr:row>
      <xdr:rowOff>76200</xdr:rowOff>
    </xdr:from>
    <xdr:to>
      <xdr:col>13</xdr:col>
      <xdr:colOff>628650</xdr:colOff>
      <xdr:row>10</xdr:row>
      <xdr:rowOff>133350</xdr:rowOff>
    </xdr:to>
    <xdr:sp macro="" textlink="">
      <xdr:nvSpPr>
        <xdr:cNvPr id="7" name="Equals 6">
          <a:extLst>
            <a:ext uri="{FF2B5EF4-FFF2-40B4-BE49-F238E27FC236}">
              <a16:creationId xmlns:a16="http://schemas.microsoft.com/office/drawing/2014/main" id="{8EE82CA2-3894-4C9C-9EF9-BE813573B970}"/>
            </a:ext>
          </a:extLst>
        </xdr:cNvPr>
        <xdr:cNvSpPr/>
      </xdr:nvSpPr>
      <xdr:spPr>
        <a:xfrm>
          <a:off x="8896350" y="1676400"/>
          <a:ext cx="317500" cy="234950"/>
        </a:xfrm>
        <a:prstGeom prst="mathEqual">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solidFill>
              <a:schemeClr val="tx1"/>
            </a:solidFill>
          </a:endParaRPr>
        </a:p>
      </xdr:txBody>
    </xdr:sp>
    <xdr:clientData/>
  </xdr:twoCellAnchor>
  <xdr:twoCellAnchor>
    <xdr:from>
      <xdr:col>0</xdr:col>
      <xdr:colOff>0</xdr:colOff>
      <xdr:row>18</xdr:row>
      <xdr:rowOff>0</xdr:rowOff>
    </xdr:from>
    <xdr:to>
      <xdr:col>6</xdr:col>
      <xdr:colOff>609600</xdr:colOff>
      <xdr:row>33</xdr:row>
      <xdr:rowOff>76200</xdr:rowOff>
    </xdr:to>
    <xdr:graphicFrame macro="">
      <xdr:nvGraphicFramePr>
        <xdr:cNvPr id="10" name="Chart 9">
          <a:extLst>
            <a:ext uri="{FF2B5EF4-FFF2-40B4-BE49-F238E27FC236}">
              <a16:creationId xmlns:a16="http://schemas.microsoft.com/office/drawing/2014/main" id="{C80BF61D-4D21-422C-966E-7C541D3E4E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389466</xdr:colOff>
      <xdr:row>19</xdr:row>
      <xdr:rowOff>116416</xdr:rowOff>
    </xdr:from>
    <xdr:to>
      <xdr:col>14</xdr:col>
      <xdr:colOff>338666</xdr:colOff>
      <xdr:row>35</xdr:row>
      <xdr:rowOff>2116</xdr:rowOff>
    </xdr:to>
    <xdr:graphicFrame macro="">
      <xdr:nvGraphicFramePr>
        <xdr:cNvPr id="11" name="Chart 10">
          <a:extLst>
            <a:ext uri="{FF2B5EF4-FFF2-40B4-BE49-F238E27FC236}">
              <a16:creationId xmlns:a16="http://schemas.microsoft.com/office/drawing/2014/main" id="{CC3C64A1-4D48-4621-A905-53E04BF671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34</xdr:row>
      <xdr:rowOff>0</xdr:rowOff>
    </xdr:from>
    <xdr:to>
      <xdr:col>6</xdr:col>
      <xdr:colOff>306614</xdr:colOff>
      <xdr:row>49</xdr:row>
      <xdr:rowOff>21771</xdr:rowOff>
    </xdr:to>
    <xdr:graphicFrame macro="">
      <xdr:nvGraphicFramePr>
        <xdr:cNvPr id="16" name="Chart 15">
          <a:extLst>
            <a:ext uri="{FF2B5EF4-FFF2-40B4-BE49-F238E27FC236}">
              <a16:creationId xmlns:a16="http://schemas.microsoft.com/office/drawing/2014/main" id="{81C8EC03-EC09-4B53-AF0E-0D85B5536C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50</xdr:row>
      <xdr:rowOff>0</xdr:rowOff>
    </xdr:from>
    <xdr:to>
      <xdr:col>6</xdr:col>
      <xdr:colOff>301171</xdr:colOff>
      <xdr:row>65</xdr:row>
      <xdr:rowOff>21771</xdr:rowOff>
    </xdr:to>
    <xdr:graphicFrame macro="">
      <xdr:nvGraphicFramePr>
        <xdr:cNvPr id="18" name="Chart 17">
          <a:extLst>
            <a:ext uri="{FF2B5EF4-FFF2-40B4-BE49-F238E27FC236}">
              <a16:creationId xmlns:a16="http://schemas.microsoft.com/office/drawing/2014/main" id="{C70C8C78-3276-4C74-83AB-3398E94F18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609600</xdr:colOff>
      <xdr:row>56</xdr:row>
      <xdr:rowOff>67734</xdr:rowOff>
    </xdr:from>
    <xdr:to>
      <xdr:col>14</xdr:col>
      <xdr:colOff>69911</xdr:colOff>
      <xdr:row>71</xdr:row>
      <xdr:rowOff>124092</xdr:rowOff>
    </xdr:to>
    <xdr:grpSp>
      <xdr:nvGrpSpPr>
        <xdr:cNvPr id="40" name="Group 18">
          <a:extLst>
            <a:ext uri="{FF2B5EF4-FFF2-40B4-BE49-F238E27FC236}">
              <a16:creationId xmlns:a16="http://schemas.microsoft.com/office/drawing/2014/main" id="{47884FF1-713D-49AE-B860-A8EC8DF87EEB}"/>
            </a:ext>
          </a:extLst>
        </xdr:cNvPr>
        <xdr:cNvGrpSpPr/>
      </xdr:nvGrpSpPr>
      <xdr:grpSpPr>
        <a:xfrm>
          <a:off x="4698380" y="10475539"/>
          <a:ext cx="4912019" cy="2844163"/>
          <a:chOff x="6027571" y="21163027"/>
          <a:chExt cx="4733589" cy="2711451"/>
        </a:xfrm>
      </xdr:grpSpPr>
      <mc:AlternateContent xmlns:mc="http://schemas.openxmlformats.org/markup-compatibility/2006">
        <mc:Choice xmlns:cx1="http://schemas.microsoft.com/office/drawing/2015/9/8/chartex" Requires="cx1">
          <xdr:graphicFrame macro="">
            <xdr:nvGraphicFramePr>
              <xdr:cNvPr id="41" name="Chart 19">
                <a:extLst>
                  <a:ext uri="{FF2B5EF4-FFF2-40B4-BE49-F238E27FC236}">
                    <a16:creationId xmlns:a16="http://schemas.microsoft.com/office/drawing/2014/main" id="{6B493CBB-B74E-452D-BEEE-F07E91D3CD89}"/>
                  </a:ext>
                </a:extLst>
              </xdr:cNvPr>
              <xdr:cNvGraphicFramePr>
                <a:graphicFrameLocks/>
              </xdr:cNvGraphicFramePr>
            </xdr:nvGraphicFramePr>
            <xdr:xfrm>
              <a:off x="6027571" y="21163027"/>
              <a:ext cx="4733589" cy="2711451"/>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6027571" y="21163027"/>
                <a:ext cx="4733589" cy="271145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sp macro="" textlink="">
        <xdr:nvSpPr>
          <xdr:cNvPr id="42" name="Plus Sign 20">
            <a:extLst>
              <a:ext uri="{FF2B5EF4-FFF2-40B4-BE49-F238E27FC236}">
                <a16:creationId xmlns:a16="http://schemas.microsoft.com/office/drawing/2014/main" id="{92372EC7-3262-4081-B250-F37D19687778}"/>
              </a:ext>
            </a:extLst>
          </xdr:cNvPr>
          <xdr:cNvSpPr/>
        </xdr:nvSpPr>
        <xdr:spPr>
          <a:xfrm>
            <a:off x="7087526" y="22140125"/>
            <a:ext cx="287918" cy="278162"/>
          </a:xfrm>
          <a:prstGeom prst="mathPlu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sp macro="" textlink="">
        <xdr:nvSpPr>
          <xdr:cNvPr id="43" name="Plus Sign 21">
            <a:extLst>
              <a:ext uri="{FF2B5EF4-FFF2-40B4-BE49-F238E27FC236}">
                <a16:creationId xmlns:a16="http://schemas.microsoft.com/office/drawing/2014/main" id="{159DF350-F10C-46C2-ABBA-08FA7FB7618C}"/>
              </a:ext>
            </a:extLst>
          </xdr:cNvPr>
          <xdr:cNvSpPr/>
        </xdr:nvSpPr>
        <xdr:spPr>
          <a:xfrm>
            <a:off x="8026556" y="22113021"/>
            <a:ext cx="286524" cy="278471"/>
          </a:xfrm>
          <a:prstGeom prst="mathPlu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sp macro="" textlink="">
        <xdr:nvSpPr>
          <xdr:cNvPr id="44" name="Plus Sign 22">
            <a:extLst>
              <a:ext uri="{FF2B5EF4-FFF2-40B4-BE49-F238E27FC236}">
                <a16:creationId xmlns:a16="http://schemas.microsoft.com/office/drawing/2014/main" id="{03CF2E29-9334-43E6-B32A-1C5A448DC4B5}"/>
              </a:ext>
            </a:extLst>
          </xdr:cNvPr>
          <xdr:cNvSpPr/>
        </xdr:nvSpPr>
        <xdr:spPr>
          <a:xfrm>
            <a:off x="8909826" y="22080964"/>
            <a:ext cx="286524" cy="278471"/>
          </a:xfrm>
          <a:prstGeom prst="mathPlu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sp macro="" textlink="">
        <xdr:nvSpPr>
          <xdr:cNvPr id="45" name="Equals 23">
            <a:extLst>
              <a:ext uri="{FF2B5EF4-FFF2-40B4-BE49-F238E27FC236}">
                <a16:creationId xmlns:a16="http://schemas.microsoft.com/office/drawing/2014/main" id="{6B3CB192-F6CB-4191-A5FD-7FCA8E9A2204}"/>
              </a:ext>
            </a:extLst>
          </xdr:cNvPr>
          <xdr:cNvSpPr/>
        </xdr:nvSpPr>
        <xdr:spPr>
          <a:xfrm>
            <a:off x="9843430" y="22080189"/>
            <a:ext cx="312699" cy="247495"/>
          </a:xfrm>
          <a:prstGeom prst="mathEqual">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solidFill>
                <a:schemeClr val="tx1"/>
              </a:solidFill>
            </a:endParaRPr>
          </a:p>
        </xdr:txBody>
      </xdr:sp>
    </xdr:grpSp>
    <xdr:clientData/>
  </xdr:twoCellAnchor>
  <xdr:twoCellAnchor>
    <xdr:from>
      <xdr:col>8</xdr:col>
      <xdr:colOff>0</xdr:colOff>
      <xdr:row>39</xdr:row>
      <xdr:rowOff>0</xdr:rowOff>
    </xdr:from>
    <xdr:to>
      <xdr:col>19</xdr:col>
      <xdr:colOff>384175</xdr:colOff>
      <xdr:row>53</xdr:row>
      <xdr:rowOff>158750</xdr:rowOff>
    </xdr:to>
    <xdr:graphicFrame macro="">
      <xdr:nvGraphicFramePr>
        <xdr:cNvPr id="25" name="Chart 3">
          <a:extLst>
            <a:ext uri="{FF2B5EF4-FFF2-40B4-BE49-F238E27FC236}">
              <a16:creationId xmlns:a16="http://schemas.microsoft.com/office/drawing/2014/main" id="{ED70AB82-F3C9-4B00-AEFD-F80D2CD594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0</xdr:colOff>
      <xdr:row>81</xdr:row>
      <xdr:rowOff>0</xdr:rowOff>
    </xdr:from>
    <xdr:to>
      <xdr:col>12</xdr:col>
      <xdr:colOff>595086</xdr:colOff>
      <xdr:row>100</xdr:row>
      <xdr:rowOff>67998</xdr:rowOff>
    </xdr:to>
    <xdr:graphicFrame macro="">
      <xdr:nvGraphicFramePr>
        <xdr:cNvPr id="26" name="Chart 25">
          <a:extLst>
            <a:ext uri="{FF2B5EF4-FFF2-40B4-BE49-F238E27FC236}">
              <a16:creationId xmlns:a16="http://schemas.microsoft.com/office/drawing/2014/main" id="{60B88ED9-DF0F-46A9-84B7-A13E53000A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0</xdr:colOff>
      <xdr:row>101</xdr:row>
      <xdr:rowOff>0</xdr:rowOff>
    </xdr:from>
    <xdr:to>
      <xdr:col>6</xdr:col>
      <xdr:colOff>631144</xdr:colOff>
      <xdr:row>116</xdr:row>
      <xdr:rowOff>33678</xdr:rowOff>
    </xdr:to>
    <xdr:graphicFrame macro="">
      <xdr:nvGraphicFramePr>
        <xdr:cNvPr id="27" name="Chart 26">
          <a:extLst>
            <a:ext uri="{FF2B5EF4-FFF2-40B4-BE49-F238E27FC236}">
              <a16:creationId xmlns:a16="http://schemas.microsoft.com/office/drawing/2014/main" id="{E5DE2B5A-C984-4424-90E4-0F40873D71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xdr:col>
      <xdr:colOff>228600</xdr:colOff>
      <xdr:row>116</xdr:row>
      <xdr:rowOff>16933</xdr:rowOff>
    </xdr:from>
    <xdr:to>
      <xdr:col>8</xdr:col>
      <xdr:colOff>594632</xdr:colOff>
      <xdr:row>134</xdr:row>
      <xdr:rowOff>175683</xdr:rowOff>
    </xdr:to>
    <xdr:grpSp>
      <xdr:nvGrpSpPr>
        <xdr:cNvPr id="28" name="Group 27">
          <a:extLst>
            <a:ext uri="{FF2B5EF4-FFF2-40B4-BE49-F238E27FC236}">
              <a16:creationId xmlns:a16="http://schemas.microsoft.com/office/drawing/2014/main" id="{F961F4E8-1E2E-4986-8F54-586AC9D1CE85}"/>
            </a:ext>
          </a:extLst>
        </xdr:cNvPr>
        <xdr:cNvGrpSpPr/>
      </xdr:nvGrpSpPr>
      <xdr:grpSpPr>
        <a:xfrm>
          <a:off x="910063" y="21575957"/>
          <a:ext cx="5136276" cy="3504116"/>
          <a:chOff x="3431635" y="23964632"/>
          <a:chExt cx="4961618" cy="2762704"/>
        </a:xfrm>
      </xdr:grpSpPr>
      <xdr:graphicFrame macro="">
        <xdr:nvGraphicFramePr>
          <xdr:cNvPr id="29" name="Chart 28">
            <a:extLst>
              <a:ext uri="{FF2B5EF4-FFF2-40B4-BE49-F238E27FC236}">
                <a16:creationId xmlns:a16="http://schemas.microsoft.com/office/drawing/2014/main" id="{7B3DCA1A-A349-4E8A-9A74-83980E5278E3}"/>
              </a:ext>
            </a:extLst>
          </xdr:cNvPr>
          <xdr:cNvGraphicFramePr/>
        </xdr:nvGraphicFramePr>
        <xdr:xfrm>
          <a:off x="3431635" y="23964632"/>
          <a:ext cx="4961618" cy="2762704"/>
        </xdr:xfrm>
        <a:graphic>
          <a:graphicData uri="http://schemas.openxmlformats.org/drawingml/2006/chart">
            <c:chart xmlns:c="http://schemas.openxmlformats.org/drawingml/2006/chart" xmlns:r="http://schemas.openxmlformats.org/officeDocument/2006/relationships" r:id="rId11"/>
          </a:graphicData>
        </a:graphic>
      </xdr:graphicFrame>
      <xdr:cxnSp macro="">
        <xdr:nvCxnSpPr>
          <xdr:cNvPr id="30" name="Straight Arrow Connector 29">
            <a:extLst>
              <a:ext uri="{FF2B5EF4-FFF2-40B4-BE49-F238E27FC236}">
                <a16:creationId xmlns:a16="http://schemas.microsoft.com/office/drawing/2014/main" id="{B08DD6B2-D93E-4A96-9E49-355E86E94172}"/>
              </a:ext>
            </a:extLst>
          </xdr:cNvPr>
          <xdr:cNvCxnSpPr/>
        </xdr:nvCxnSpPr>
        <xdr:spPr>
          <a:xfrm flipV="1">
            <a:off x="5687786" y="25699357"/>
            <a:ext cx="1079499" cy="353787"/>
          </a:xfrm>
          <a:prstGeom prst="straightConnector1">
            <a:avLst/>
          </a:prstGeom>
          <a:ln>
            <a:noFill/>
            <a:tailEnd type="triangle"/>
          </a:ln>
        </xdr:spPr>
        <xdr:style>
          <a:lnRef idx="3">
            <a:schemeClr val="accent3"/>
          </a:lnRef>
          <a:fillRef idx="0">
            <a:schemeClr val="accent3"/>
          </a:fillRef>
          <a:effectRef idx="2">
            <a:schemeClr val="accent3"/>
          </a:effectRef>
          <a:fontRef idx="minor">
            <a:schemeClr val="tx1"/>
          </a:fontRef>
        </xdr:style>
      </xdr:cxnSp>
      <xdr:cxnSp macro="">
        <xdr:nvCxnSpPr>
          <xdr:cNvPr id="31" name="Straight Arrow Connector 30" descr="TGDĐ+ĐMX&#10;">
            <a:extLst>
              <a:ext uri="{FF2B5EF4-FFF2-40B4-BE49-F238E27FC236}">
                <a16:creationId xmlns:a16="http://schemas.microsoft.com/office/drawing/2014/main" id="{DBF09A54-0335-417C-97C2-B0BB86D2AA68}"/>
              </a:ext>
            </a:extLst>
          </xdr:cNvPr>
          <xdr:cNvCxnSpPr/>
        </xdr:nvCxnSpPr>
        <xdr:spPr>
          <a:xfrm flipV="1">
            <a:off x="6295572" y="24855716"/>
            <a:ext cx="589642" cy="172356"/>
          </a:xfrm>
          <a:prstGeom prst="straightConnector1">
            <a:avLst/>
          </a:prstGeom>
          <a:ln>
            <a:noFill/>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32" name="TextBox 31">
            <a:extLst>
              <a:ext uri="{FF2B5EF4-FFF2-40B4-BE49-F238E27FC236}">
                <a16:creationId xmlns:a16="http://schemas.microsoft.com/office/drawing/2014/main" id="{61FA4B98-4237-4DC2-AADF-A09B7895587A}"/>
              </a:ext>
            </a:extLst>
          </xdr:cNvPr>
          <xdr:cNvSpPr txBox="1"/>
        </xdr:nvSpPr>
        <xdr:spPr>
          <a:xfrm rot="20525574">
            <a:off x="6149631" y="24721330"/>
            <a:ext cx="892023" cy="15957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1"/>
              <a:t>TGDĐ+ĐMX</a:t>
            </a:r>
            <a:endParaRPr lang="vi-VN" sz="800" b="1"/>
          </a:p>
        </xdr:txBody>
      </xdr:sp>
      <xdr:sp macro="" textlink="">
        <xdr:nvSpPr>
          <xdr:cNvPr id="33" name="TextBox 32">
            <a:extLst>
              <a:ext uri="{FF2B5EF4-FFF2-40B4-BE49-F238E27FC236}">
                <a16:creationId xmlns:a16="http://schemas.microsoft.com/office/drawing/2014/main" id="{69E151D1-6DE7-424B-9657-E7914E0493A0}"/>
              </a:ext>
            </a:extLst>
          </xdr:cNvPr>
          <xdr:cNvSpPr txBox="1"/>
        </xdr:nvSpPr>
        <xdr:spPr>
          <a:xfrm rot="20610698">
            <a:off x="6019559" y="25788777"/>
            <a:ext cx="416887" cy="29306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1"/>
              <a:t>BHX</a:t>
            </a:r>
            <a:endParaRPr lang="vi-VN" sz="800" b="1"/>
          </a:p>
        </xdr:txBody>
      </xdr:sp>
    </xdr:grpSp>
    <xdr:clientData/>
  </xdr:twoCellAnchor>
  <xdr:twoCellAnchor>
    <xdr:from>
      <xdr:col>10</xdr:col>
      <xdr:colOff>0</xdr:colOff>
      <xdr:row>117</xdr:row>
      <xdr:rowOff>177799</xdr:rowOff>
    </xdr:from>
    <xdr:to>
      <xdr:col>21</xdr:col>
      <xdr:colOff>499533</xdr:colOff>
      <xdr:row>140</xdr:row>
      <xdr:rowOff>59266</xdr:rowOff>
    </xdr:to>
    <xdr:graphicFrame macro="">
      <xdr:nvGraphicFramePr>
        <xdr:cNvPr id="34" name="Diagram 33">
          <a:extLst>
            <a:ext uri="{FF2B5EF4-FFF2-40B4-BE49-F238E27FC236}">
              <a16:creationId xmlns:a16="http://schemas.microsoft.com/office/drawing/2014/main" id="{370C09EB-3E2F-4197-894B-AAFF64570D1C}"/>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2" r:lo="rId13" r:qs="rId14" r:cs="rId15"/>
        </a:graphicData>
      </a:graphic>
    </xdr:graphicFrame>
    <xdr:clientData/>
  </xdr:twoCellAnchor>
</xdr:wsDr>
</file>

<file path=xl/drawings/drawing37.xml><?xml version="1.0" encoding="utf-8"?>
<c:userShapes xmlns:c="http://schemas.openxmlformats.org/drawingml/2006/chart">
  <cdr:relSizeAnchor xmlns:cdr="http://schemas.openxmlformats.org/drawingml/2006/chartDrawing">
    <cdr:from>
      <cdr:x>0.68662</cdr:x>
      <cdr:y>0.03237</cdr:y>
    </cdr:from>
    <cdr:to>
      <cdr:x>0.8838</cdr:x>
      <cdr:y>0.77311</cdr:y>
    </cdr:to>
    <cdr:sp macro="" textlink="">
      <cdr:nvSpPr>
        <cdr:cNvPr id="2" name="Rectangle 1">
          <a:extLst xmlns:a="http://schemas.openxmlformats.org/drawingml/2006/main">
            <a:ext uri="{FF2B5EF4-FFF2-40B4-BE49-F238E27FC236}">
              <a16:creationId xmlns:a16="http://schemas.microsoft.com/office/drawing/2014/main" id="{0C7E2823-42DE-417C-B9F1-101C66E38D63}"/>
            </a:ext>
          </a:extLst>
        </cdr:cNvPr>
        <cdr:cNvSpPr/>
      </cdr:nvSpPr>
      <cdr:spPr>
        <a:xfrm xmlns:a="http://schemas.openxmlformats.org/drawingml/2006/main">
          <a:off x="3537857" y="87992"/>
          <a:ext cx="1016001" cy="2013857"/>
        </a:xfrm>
        <a:prstGeom xmlns:a="http://schemas.openxmlformats.org/drawingml/2006/main" prst="rect">
          <a:avLst/>
        </a:prstGeom>
        <a:noFill xmlns:a="http://schemas.openxmlformats.org/drawingml/2006/main"/>
        <a:ln xmlns:a="http://schemas.openxmlformats.org/drawingml/2006/main" w="9525" cap="flat" cmpd="sng" algn="ctr">
          <a:solidFill>
            <a:srgbClr val="C00000"/>
          </a:solidFill>
          <a:prstDash val="solid"/>
          <a:round/>
          <a:headEnd type="none" w="med" len="med"/>
          <a:tailEnd type="none" w="med" len="med"/>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accent6"/>
        </a:fontRef>
      </cdr:style>
      <cdr:txBody>
        <a:bodyPr xmlns:a="http://schemas.openxmlformats.org/drawingml/2006/main" vertOverflow="clip"/>
        <a:lstStyle xmlns:a="http://schemas.openxmlformats.org/drawingml/2006/main"/>
        <a:p xmlns:a="http://schemas.openxmlformats.org/drawingml/2006/main">
          <a:pPr algn="ctr"/>
          <a:r>
            <a:rPr lang="en-US" sz="800" b="1">
              <a:solidFill>
                <a:sysClr val="windowText" lastClr="000000"/>
              </a:solidFill>
              <a:latin typeface="Calibri (Body)"/>
            </a:rPr>
            <a:t>Tồn</a:t>
          </a:r>
          <a:r>
            <a:rPr lang="en-US" sz="800" b="1" baseline="0">
              <a:solidFill>
                <a:sysClr val="windowText" lastClr="000000"/>
              </a:solidFill>
              <a:latin typeface="Calibri (Body)"/>
            </a:rPr>
            <a:t> kho</a:t>
          </a:r>
          <a:endParaRPr lang="en-US" sz="800" b="1">
            <a:solidFill>
              <a:sysClr val="windowText" lastClr="000000"/>
            </a:solidFill>
            <a:latin typeface="Calibri (Body)"/>
          </a:endParaRPr>
        </a:p>
        <a:p xmlns:a="http://schemas.openxmlformats.org/drawingml/2006/main">
          <a:pPr algn="ctr"/>
          <a:r>
            <a:rPr lang="en-US" sz="800" b="1">
              <a:solidFill>
                <a:srgbClr val="00B050"/>
              </a:solidFill>
              <a:latin typeface="Calibri (Body)"/>
            </a:rPr>
            <a:t>MWG</a:t>
          </a:r>
          <a:r>
            <a:rPr lang="en-US" sz="800" b="1" baseline="0">
              <a:solidFill>
                <a:srgbClr val="00B050"/>
              </a:solidFill>
              <a:latin typeface="Calibri (Body)"/>
            </a:rPr>
            <a:t> giảm </a:t>
          </a:r>
        </a:p>
        <a:p xmlns:a="http://schemas.openxmlformats.org/drawingml/2006/main">
          <a:pPr algn="ctr"/>
          <a:r>
            <a:rPr lang="en-US" sz="800" b="1" baseline="0">
              <a:solidFill>
                <a:srgbClr val="C00000"/>
              </a:solidFill>
              <a:latin typeface="Calibri (Body)"/>
            </a:rPr>
            <a:t>DN còn lại tăng</a:t>
          </a:r>
          <a:endParaRPr lang="vi-VN" sz="800" b="1">
            <a:solidFill>
              <a:srgbClr val="C00000"/>
            </a:solidFill>
            <a:latin typeface="Calibri (Body)"/>
          </a:endParaRPr>
        </a:p>
      </cdr:txBody>
    </cdr:sp>
  </cdr:relSizeAnchor>
  <cdr:relSizeAnchor xmlns:cdr="http://schemas.openxmlformats.org/drawingml/2006/chartDrawing">
    <cdr:from>
      <cdr:x>0.71843</cdr:x>
      <cdr:y>0.55177</cdr:y>
    </cdr:from>
    <cdr:to>
      <cdr:x>0.80117</cdr:x>
      <cdr:y>0.62184</cdr:y>
    </cdr:to>
    <cdr:cxnSp macro="">
      <cdr:nvCxnSpPr>
        <cdr:cNvPr id="12" name="Straight Arrow Connector 11">
          <a:extLst xmlns:a="http://schemas.openxmlformats.org/drawingml/2006/main">
            <a:ext uri="{FF2B5EF4-FFF2-40B4-BE49-F238E27FC236}">
              <a16:creationId xmlns:a16="http://schemas.microsoft.com/office/drawing/2014/main" id="{8B6C965B-80FE-4341-8656-85372D17126E}"/>
            </a:ext>
          </a:extLst>
        </cdr:cNvPr>
        <cdr:cNvCxnSpPr/>
      </cdr:nvCxnSpPr>
      <cdr:spPr>
        <a:xfrm xmlns:a="http://schemas.openxmlformats.org/drawingml/2006/main">
          <a:off x="3701767" y="1500105"/>
          <a:ext cx="426324" cy="190500"/>
        </a:xfrm>
        <a:prstGeom xmlns:a="http://schemas.openxmlformats.org/drawingml/2006/main" prst="straightConnector1">
          <a:avLst/>
        </a:prstGeom>
        <a:ln xmlns:a="http://schemas.openxmlformats.org/drawingml/2006/main">
          <a:solidFill>
            <a:srgbClr val="C00000"/>
          </a:solidFill>
          <a:headEnd type="none" w="med" len="med"/>
          <a:tailEnd type="arrow" w="med" len="med"/>
        </a:ln>
      </cdr:spPr>
      <cdr:style>
        <a:lnRef xmlns:a="http://schemas.openxmlformats.org/drawingml/2006/main" idx="2">
          <a:schemeClr val="accent3"/>
        </a:lnRef>
        <a:fillRef xmlns:a="http://schemas.openxmlformats.org/drawingml/2006/main" idx="0">
          <a:schemeClr val="accent3"/>
        </a:fillRef>
        <a:effectRef xmlns:a="http://schemas.openxmlformats.org/drawingml/2006/main" idx="1">
          <a:schemeClr val="accent3"/>
        </a:effectRef>
        <a:fontRef xmlns:a="http://schemas.openxmlformats.org/drawingml/2006/main" idx="minor">
          <a:schemeClr val="tx1"/>
        </a:fontRef>
      </cdr:style>
    </cdr:cxnSp>
  </cdr:relSizeAnchor>
</c:userShapes>
</file>

<file path=xl/drawings/drawing38.xml><?xml version="1.0" encoding="utf-8"?>
<c:userShapes xmlns:c="http://schemas.openxmlformats.org/drawingml/2006/chart">
  <cdr:relSizeAnchor xmlns:cdr="http://schemas.openxmlformats.org/drawingml/2006/chartDrawing">
    <cdr:from>
      <cdr:x>0.20456</cdr:x>
      <cdr:y>0.07738</cdr:y>
    </cdr:from>
    <cdr:to>
      <cdr:x>0.24702</cdr:x>
      <cdr:y>0.15013</cdr:y>
    </cdr:to>
    <cdr:sp macro="" textlink="">
      <cdr:nvSpPr>
        <cdr:cNvPr id="3" name="Plus Sign 2">
          <a:extLst xmlns:a="http://schemas.openxmlformats.org/drawingml/2006/main">
            <a:ext uri="{FF2B5EF4-FFF2-40B4-BE49-F238E27FC236}">
              <a16:creationId xmlns:a16="http://schemas.microsoft.com/office/drawing/2014/main" id="{4A895C46-5077-421F-B75D-B4921069FAEA}"/>
            </a:ext>
          </a:extLst>
        </cdr:cNvPr>
        <cdr:cNvSpPr/>
      </cdr:nvSpPr>
      <cdr:spPr>
        <a:xfrm xmlns:a="http://schemas.openxmlformats.org/drawingml/2006/main">
          <a:off x="935264" y="212282"/>
          <a:ext cx="194127" cy="199568"/>
        </a:xfrm>
        <a:prstGeom xmlns:a="http://schemas.openxmlformats.org/drawingml/2006/main" prst="mathPlus">
          <a:avLst/>
        </a:prstGeom>
        <a:solidFill xmlns:a="http://schemas.openxmlformats.org/drawingml/2006/main">
          <a:srgbClr val="00B050"/>
        </a:solidFill>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vi-VN">
            <a:solidFill>
              <a:srgbClr val="00B050"/>
            </a:solidFill>
          </a:endParaRPr>
        </a:p>
      </cdr:txBody>
    </cdr:sp>
  </cdr:relSizeAnchor>
  <cdr:relSizeAnchor xmlns:cdr="http://schemas.openxmlformats.org/drawingml/2006/chartDrawing">
    <cdr:from>
      <cdr:x>0.36786</cdr:x>
      <cdr:y>0.08168</cdr:y>
    </cdr:from>
    <cdr:to>
      <cdr:x>0.41945</cdr:x>
      <cdr:y>0.15112</cdr:y>
    </cdr:to>
    <cdr:sp macro="" textlink="">
      <cdr:nvSpPr>
        <cdr:cNvPr id="5" name="Minus Sign 4">
          <a:extLst xmlns:a="http://schemas.openxmlformats.org/drawingml/2006/main">
            <a:ext uri="{FF2B5EF4-FFF2-40B4-BE49-F238E27FC236}">
              <a16:creationId xmlns:a16="http://schemas.microsoft.com/office/drawing/2014/main" id="{00DE6B7A-4883-44A5-A924-F797A76BACC7}"/>
            </a:ext>
          </a:extLst>
        </cdr:cNvPr>
        <cdr:cNvSpPr/>
      </cdr:nvSpPr>
      <cdr:spPr>
        <a:xfrm xmlns:a="http://schemas.openxmlformats.org/drawingml/2006/main">
          <a:off x="1681841" y="224065"/>
          <a:ext cx="235869" cy="190487"/>
        </a:xfrm>
        <a:prstGeom xmlns:a="http://schemas.openxmlformats.org/drawingml/2006/main" prst="mathMinus">
          <a:avLst/>
        </a:prstGeom>
        <a:solidFill xmlns:a="http://schemas.openxmlformats.org/drawingml/2006/main">
          <a:srgbClr val="C00000"/>
        </a:solidFill>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vi-VN"/>
        </a:p>
      </cdr:txBody>
    </cdr:sp>
  </cdr:relSizeAnchor>
  <cdr:relSizeAnchor xmlns:cdr="http://schemas.openxmlformats.org/drawingml/2006/chartDrawing">
    <cdr:from>
      <cdr:x>0.72222</cdr:x>
      <cdr:y>0.53142</cdr:y>
    </cdr:from>
    <cdr:to>
      <cdr:x>0.7877</cdr:x>
      <cdr:y>0.66369</cdr:y>
    </cdr:to>
    <cdr:cxnSp macro="">
      <cdr:nvCxnSpPr>
        <cdr:cNvPr id="9" name="Straight Arrow Connector 8">
          <a:extLst xmlns:a="http://schemas.openxmlformats.org/drawingml/2006/main">
            <a:ext uri="{FF2B5EF4-FFF2-40B4-BE49-F238E27FC236}">
              <a16:creationId xmlns:a16="http://schemas.microsoft.com/office/drawing/2014/main" id="{D9F3E6C0-582C-44C5-A9F4-0768DB3C428D}"/>
            </a:ext>
          </a:extLst>
        </cdr:cNvPr>
        <cdr:cNvCxnSpPr/>
      </cdr:nvCxnSpPr>
      <cdr:spPr>
        <a:xfrm xmlns:a="http://schemas.openxmlformats.org/drawingml/2006/main" flipV="1">
          <a:off x="3301998" y="1457778"/>
          <a:ext cx="299358" cy="362858"/>
        </a:xfrm>
        <a:prstGeom xmlns:a="http://schemas.openxmlformats.org/drawingml/2006/main" prst="straightConnector1">
          <a:avLst/>
        </a:prstGeom>
        <a:ln xmlns:a="http://schemas.openxmlformats.org/drawingml/2006/main">
          <a:solidFill>
            <a:srgbClr val="00B050"/>
          </a:solidFill>
          <a:tailEnd type="triangle"/>
        </a:ln>
      </cdr:spPr>
      <cdr:style>
        <a:lnRef xmlns:a="http://schemas.openxmlformats.org/drawingml/2006/main" idx="2">
          <a:schemeClr val="accent3"/>
        </a:lnRef>
        <a:fillRef xmlns:a="http://schemas.openxmlformats.org/drawingml/2006/main" idx="0">
          <a:schemeClr val="accent3"/>
        </a:fillRef>
        <a:effectRef xmlns:a="http://schemas.openxmlformats.org/drawingml/2006/main" idx="1">
          <a:schemeClr val="accent3"/>
        </a:effectRef>
        <a:fontRef xmlns:a="http://schemas.openxmlformats.org/drawingml/2006/main" idx="minor">
          <a:schemeClr val="tx1"/>
        </a:fontRef>
      </cdr:style>
    </cdr:cxnSp>
  </cdr:relSizeAnchor>
  <cdr:relSizeAnchor xmlns:cdr="http://schemas.openxmlformats.org/drawingml/2006/chartDrawing">
    <cdr:from>
      <cdr:x>0.51587</cdr:x>
      <cdr:y>0.21726</cdr:y>
    </cdr:from>
    <cdr:to>
      <cdr:x>0.72024</cdr:x>
      <cdr:y>0.51488</cdr:y>
    </cdr:to>
    <cdr:sp macro="" textlink="">
      <cdr:nvSpPr>
        <cdr:cNvPr id="11" name="TextBox 10">
          <a:extLst xmlns:a="http://schemas.openxmlformats.org/drawingml/2006/main">
            <a:ext uri="{FF2B5EF4-FFF2-40B4-BE49-F238E27FC236}">
              <a16:creationId xmlns:a16="http://schemas.microsoft.com/office/drawing/2014/main" id="{715FDDE8-5EF0-42E8-A6CD-298A5DA70E97}"/>
            </a:ext>
          </a:extLst>
        </cdr:cNvPr>
        <cdr:cNvSpPr txBox="1"/>
      </cdr:nvSpPr>
      <cdr:spPr>
        <a:xfrm xmlns:a="http://schemas.openxmlformats.org/drawingml/2006/main">
          <a:off x="2358571" y="595993"/>
          <a:ext cx="934357" cy="816429"/>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2500" b="1"/>
            <a:t>&amp;</a:t>
          </a:r>
          <a:endParaRPr lang="vi-VN" sz="2500" b="1"/>
        </a:p>
      </cdr:txBody>
    </cdr:sp>
  </cdr:relSizeAnchor>
  <cdr:relSizeAnchor xmlns:cdr="http://schemas.openxmlformats.org/drawingml/2006/chartDrawing">
    <cdr:from>
      <cdr:x>0.05139</cdr:x>
      <cdr:y>0.00893</cdr:y>
    </cdr:from>
    <cdr:to>
      <cdr:x>0.52083</cdr:x>
      <cdr:y>0.7338</cdr:y>
    </cdr:to>
    <cdr:sp macro="" textlink="">
      <cdr:nvSpPr>
        <cdr:cNvPr id="12" name="Rectangle 11">
          <a:extLst xmlns:a="http://schemas.openxmlformats.org/drawingml/2006/main">
            <a:ext uri="{FF2B5EF4-FFF2-40B4-BE49-F238E27FC236}">
              <a16:creationId xmlns:a16="http://schemas.microsoft.com/office/drawing/2014/main" id="{01020E38-D39A-4BC3-81D1-3EA7DDDD5253}"/>
            </a:ext>
          </a:extLst>
        </cdr:cNvPr>
        <cdr:cNvSpPr/>
      </cdr:nvSpPr>
      <cdr:spPr>
        <a:xfrm xmlns:a="http://schemas.openxmlformats.org/drawingml/2006/main">
          <a:off x="234950" y="24496"/>
          <a:ext cx="2146300" cy="1988454"/>
        </a:xfrm>
        <a:prstGeom xmlns:a="http://schemas.openxmlformats.org/drawingml/2006/main" prst="rect">
          <a:avLst/>
        </a:prstGeom>
        <a:noFill xmlns:a="http://schemas.openxmlformats.org/drawingml/2006/main"/>
        <a:ln xmlns:a="http://schemas.openxmlformats.org/drawingml/2006/main" w="9525" cap="flat" cmpd="sng" algn="ctr">
          <a:solidFill>
            <a:srgbClr val="FF0000"/>
          </a:solidFill>
          <a:prstDash val="solid"/>
          <a:round/>
          <a:headEnd type="none" w="med" len="med"/>
          <a:tailEnd type="none" w="med" len="med"/>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accent5"/>
        </a:fontRef>
      </cdr:style>
      <cdr:txBody>
        <a:bodyPr xmlns:a="http://schemas.openxmlformats.org/drawingml/2006/main" vertOverflow="clip" anchor="b"/>
        <a:lstStyle xmlns:a="http://schemas.openxmlformats.org/drawingml/2006/main"/>
        <a:p xmlns:a="http://schemas.openxmlformats.org/drawingml/2006/main">
          <a:pPr algn="ctr"/>
          <a:r>
            <a:rPr lang="en-US" sz="800" b="1" baseline="0">
              <a:solidFill>
                <a:sysClr val="windowText" lastClr="000000"/>
              </a:solidFill>
              <a:latin typeface="+mn-lt"/>
            </a:rPr>
            <a:t>Biên LNHĐ của TGDĐ +ĐMX duy trì mức dương  </a:t>
          </a:r>
          <a:endParaRPr lang="vi-VN" sz="800" b="1">
            <a:solidFill>
              <a:sysClr val="windowText" lastClr="000000"/>
            </a:solidFill>
            <a:latin typeface="+mn-lt"/>
          </a:endParaRPr>
        </a:p>
      </cdr:txBody>
    </cdr:sp>
  </cdr:relSizeAnchor>
  <cdr:relSizeAnchor xmlns:cdr="http://schemas.openxmlformats.org/drawingml/2006/chartDrawing">
    <cdr:from>
      <cdr:x>0.59583</cdr:x>
      <cdr:y>0</cdr:y>
    </cdr:from>
    <cdr:to>
      <cdr:x>1</cdr:x>
      <cdr:y>0.73843</cdr:y>
    </cdr:to>
    <cdr:sp macro="" textlink="">
      <cdr:nvSpPr>
        <cdr:cNvPr id="7" name="Rectangle 6">
          <a:extLst xmlns:a="http://schemas.openxmlformats.org/drawingml/2006/main">
            <a:ext uri="{FF2B5EF4-FFF2-40B4-BE49-F238E27FC236}">
              <a16:creationId xmlns:a16="http://schemas.microsoft.com/office/drawing/2014/main" id="{1544A6BD-8FBA-4F46-B6B4-3650C0345909}"/>
            </a:ext>
          </a:extLst>
        </cdr:cNvPr>
        <cdr:cNvSpPr/>
      </cdr:nvSpPr>
      <cdr:spPr>
        <a:xfrm xmlns:a="http://schemas.openxmlformats.org/drawingml/2006/main">
          <a:off x="2724150" y="0"/>
          <a:ext cx="1847850" cy="2025650"/>
        </a:xfrm>
        <a:prstGeom xmlns:a="http://schemas.openxmlformats.org/drawingml/2006/main" prst="rect">
          <a:avLst/>
        </a:prstGeom>
        <a:noFill xmlns:a="http://schemas.openxmlformats.org/drawingml/2006/main"/>
        <a:ln xmlns:a="http://schemas.openxmlformats.org/drawingml/2006/main" w="9525" cap="flat" cmpd="sng" algn="ctr">
          <a:solidFill>
            <a:srgbClr val="00B050"/>
          </a:solidFill>
          <a:prstDash val="solid"/>
          <a:round/>
          <a:headEnd type="none" w="med" len="med"/>
          <a:tailEnd type="none" w="med" len="med"/>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accent5"/>
        </a:fontRef>
      </cdr:style>
      <cdr:txBody>
        <a:bodyPr xmlns:a="http://schemas.openxmlformats.org/drawingml/2006/main" anchor="t"/>
        <a:lstStyle xmlns:a="http://schemas.openxmlformats.org/drawingml/2006/main">
          <a:lvl1pPr marL="0" indent="0">
            <a:defRPr sz="1100">
              <a:solidFill>
                <a:schemeClr val="accent5"/>
              </a:solidFill>
              <a:latin typeface="+mn-lt"/>
              <a:ea typeface="+mn-ea"/>
              <a:cs typeface="+mn-cs"/>
            </a:defRPr>
          </a:lvl1pPr>
          <a:lvl2pPr marL="457200" indent="0">
            <a:defRPr sz="1100">
              <a:solidFill>
                <a:schemeClr val="accent5"/>
              </a:solidFill>
              <a:latin typeface="+mn-lt"/>
              <a:ea typeface="+mn-ea"/>
              <a:cs typeface="+mn-cs"/>
            </a:defRPr>
          </a:lvl2pPr>
          <a:lvl3pPr marL="914400" indent="0">
            <a:defRPr sz="1100">
              <a:solidFill>
                <a:schemeClr val="accent5"/>
              </a:solidFill>
              <a:latin typeface="+mn-lt"/>
              <a:ea typeface="+mn-ea"/>
              <a:cs typeface="+mn-cs"/>
            </a:defRPr>
          </a:lvl3pPr>
          <a:lvl4pPr marL="1371600" indent="0">
            <a:defRPr sz="1100">
              <a:solidFill>
                <a:schemeClr val="accent5"/>
              </a:solidFill>
              <a:latin typeface="+mn-lt"/>
              <a:ea typeface="+mn-ea"/>
              <a:cs typeface="+mn-cs"/>
            </a:defRPr>
          </a:lvl4pPr>
          <a:lvl5pPr marL="1828800" indent="0">
            <a:defRPr sz="1100">
              <a:solidFill>
                <a:schemeClr val="accent5"/>
              </a:solidFill>
              <a:latin typeface="+mn-lt"/>
              <a:ea typeface="+mn-ea"/>
              <a:cs typeface="+mn-cs"/>
            </a:defRPr>
          </a:lvl5pPr>
          <a:lvl6pPr marL="2286000" indent="0">
            <a:defRPr sz="1100">
              <a:solidFill>
                <a:schemeClr val="accent5"/>
              </a:solidFill>
              <a:latin typeface="+mn-lt"/>
              <a:ea typeface="+mn-ea"/>
              <a:cs typeface="+mn-cs"/>
            </a:defRPr>
          </a:lvl6pPr>
          <a:lvl7pPr marL="2743200" indent="0">
            <a:defRPr sz="1100">
              <a:solidFill>
                <a:schemeClr val="accent5"/>
              </a:solidFill>
              <a:latin typeface="+mn-lt"/>
              <a:ea typeface="+mn-ea"/>
              <a:cs typeface="+mn-cs"/>
            </a:defRPr>
          </a:lvl7pPr>
          <a:lvl8pPr marL="3200400" indent="0">
            <a:defRPr sz="1100">
              <a:solidFill>
                <a:schemeClr val="accent5"/>
              </a:solidFill>
              <a:latin typeface="+mn-lt"/>
              <a:ea typeface="+mn-ea"/>
              <a:cs typeface="+mn-cs"/>
            </a:defRPr>
          </a:lvl8pPr>
          <a:lvl9pPr marL="3657600" indent="0">
            <a:defRPr sz="1100">
              <a:solidFill>
                <a:schemeClr val="accent5"/>
              </a:solidFill>
              <a:latin typeface="+mn-lt"/>
              <a:ea typeface="+mn-ea"/>
              <a:cs typeface="+mn-cs"/>
            </a:defRPr>
          </a:lvl9pPr>
        </a:lstStyle>
        <a:p xmlns:a="http://schemas.openxmlformats.org/drawingml/2006/main">
          <a:pPr algn="ctr"/>
          <a:r>
            <a:rPr lang="en-US" sz="800" b="1">
              <a:solidFill>
                <a:sysClr val="windowText" lastClr="000000"/>
              </a:solidFill>
            </a:rPr>
            <a:t>BHX giảm</a:t>
          </a:r>
          <a:r>
            <a:rPr lang="en-US" sz="800" b="1" baseline="0">
              <a:solidFill>
                <a:sysClr val="windowText" lastClr="000000"/>
              </a:solidFill>
            </a:rPr>
            <a:t> lỗ</a:t>
          </a:r>
          <a:endParaRPr lang="vi-VN" sz="800" b="1">
            <a:solidFill>
              <a:sysClr val="windowText" lastClr="000000"/>
            </a:solidFill>
          </a:endParaRPr>
        </a:p>
      </cdr:txBody>
    </cdr:sp>
  </cdr:relSizeAnchor>
</c:userShapes>
</file>

<file path=xl/drawings/drawing39.xml><?xml version="1.0" encoding="utf-8"?>
<c:userShapes xmlns:c="http://schemas.openxmlformats.org/drawingml/2006/chart">
  <cdr:relSizeAnchor xmlns:cdr="http://schemas.openxmlformats.org/drawingml/2006/chartDrawing">
    <cdr:from>
      <cdr:x>0.21825</cdr:x>
      <cdr:y>0.37269</cdr:y>
    </cdr:from>
    <cdr:to>
      <cdr:x>0.27778</cdr:x>
      <cdr:y>0.47851</cdr:y>
    </cdr:to>
    <cdr:sp macro="" textlink="">
      <cdr:nvSpPr>
        <cdr:cNvPr id="2" name="Plus Sign 1">
          <a:extLst xmlns:a="http://schemas.openxmlformats.org/drawingml/2006/main">
            <a:ext uri="{FF2B5EF4-FFF2-40B4-BE49-F238E27FC236}">
              <a16:creationId xmlns:a16="http://schemas.microsoft.com/office/drawing/2014/main" id="{6118DE3E-A54F-4403-8540-53D7C233C974}"/>
            </a:ext>
          </a:extLst>
        </cdr:cNvPr>
        <cdr:cNvSpPr/>
      </cdr:nvSpPr>
      <cdr:spPr>
        <a:xfrm xmlns:a="http://schemas.openxmlformats.org/drawingml/2006/main">
          <a:off x="997858" y="1022350"/>
          <a:ext cx="272142" cy="290285"/>
        </a:xfrm>
        <a:prstGeom xmlns:a="http://schemas.openxmlformats.org/drawingml/2006/main" prst="mathPlus">
          <a:avLst/>
        </a:prstGeom>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vi-VN"/>
        </a:p>
      </cdr:txBody>
    </cdr:sp>
  </cdr:relSizeAnchor>
  <cdr:relSizeAnchor xmlns:cdr="http://schemas.openxmlformats.org/drawingml/2006/chartDrawing">
    <cdr:from>
      <cdr:x>0.43968</cdr:x>
      <cdr:y>0.37235</cdr:y>
    </cdr:from>
    <cdr:to>
      <cdr:x>0.49921</cdr:x>
      <cdr:y>0.47817</cdr:y>
    </cdr:to>
    <cdr:sp macro="" textlink="">
      <cdr:nvSpPr>
        <cdr:cNvPr id="3" name="Plus Sign 2">
          <a:extLst xmlns:a="http://schemas.openxmlformats.org/drawingml/2006/main">
            <a:ext uri="{FF2B5EF4-FFF2-40B4-BE49-F238E27FC236}">
              <a16:creationId xmlns:a16="http://schemas.microsoft.com/office/drawing/2014/main" id="{77D1D9AA-8D14-4EB6-A950-176F464FEE29}"/>
            </a:ext>
          </a:extLst>
        </cdr:cNvPr>
        <cdr:cNvSpPr/>
      </cdr:nvSpPr>
      <cdr:spPr>
        <a:xfrm xmlns:a="http://schemas.openxmlformats.org/drawingml/2006/main">
          <a:off x="2010228" y="1021443"/>
          <a:ext cx="272142" cy="290285"/>
        </a:xfrm>
        <a:prstGeom xmlns:a="http://schemas.openxmlformats.org/drawingml/2006/main" prst="mathPlus">
          <a:avLst/>
        </a:prstGeom>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vi-VN"/>
        </a:p>
      </cdr:txBody>
    </cdr:sp>
  </cdr:relSizeAnchor>
  <cdr:relSizeAnchor xmlns:cdr="http://schemas.openxmlformats.org/drawingml/2006/chartDrawing">
    <cdr:from>
      <cdr:x>0.64683</cdr:x>
      <cdr:y>0.37268</cdr:y>
    </cdr:from>
    <cdr:to>
      <cdr:x>0.73413</cdr:x>
      <cdr:y>0.4752</cdr:y>
    </cdr:to>
    <cdr:sp macro="" textlink="">
      <cdr:nvSpPr>
        <cdr:cNvPr id="5" name="Equals 4">
          <a:extLst xmlns:a="http://schemas.openxmlformats.org/drawingml/2006/main">
            <a:ext uri="{FF2B5EF4-FFF2-40B4-BE49-F238E27FC236}">
              <a16:creationId xmlns:a16="http://schemas.microsoft.com/office/drawing/2014/main" id="{06968D71-0B6A-4EEE-AF1B-DFF306AC3009}"/>
            </a:ext>
          </a:extLst>
        </cdr:cNvPr>
        <cdr:cNvSpPr/>
      </cdr:nvSpPr>
      <cdr:spPr>
        <a:xfrm xmlns:a="http://schemas.openxmlformats.org/drawingml/2006/main">
          <a:off x="2957285" y="1022349"/>
          <a:ext cx="399143" cy="281215"/>
        </a:xfrm>
        <a:prstGeom xmlns:a="http://schemas.openxmlformats.org/drawingml/2006/main" prst="mathEqual">
          <a:avLst/>
        </a:prstGeom>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vi-VN"/>
        </a:p>
      </cdr:txBody>
    </cdr:sp>
  </cdr:relSizeAnchor>
  <cdr:relSizeAnchor xmlns:cdr="http://schemas.openxmlformats.org/drawingml/2006/chartDrawing">
    <cdr:from>
      <cdr:x>0.09127</cdr:x>
      <cdr:y>0.16435</cdr:y>
    </cdr:from>
    <cdr:to>
      <cdr:x>0.16071</cdr:x>
      <cdr:y>0.27017</cdr:y>
    </cdr:to>
    <cdr:cxnSp macro="">
      <cdr:nvCxnSpPr>
        <cdr:cNvPr id="7" name="Straight Arrow Connector 6">
          <a:extLst xmlns:a="http://schemas.openxmlformats.org/drawingml/2006/main">
            <a:ext uri="{FF2B5EF4-FFF2-40B4-BE49-F238E27FC236}">
              <a16:creationId xmlns:a16="http://schemas.microsoft.com/office/drawing/2014/main" id="{7FE889F7-EED1-4990-8160-3F49098C5221}"/>
            </a:ext>
          </a:extLst>
        </cdr:cNvPr>
        <cdr:cNvCxnSpPr/>
      </cdr:nvCxnSpPr>
      <cdr:spPr>
        <a:xfrm xmlns:a="http://schemas.openxmlformats.org/drawingml/2006/main" flipV="1">
          <a:off x="417286" y="450850"/>
          <a:ext cx="317500" cy="290285"/>
        </a:xfrm>
        <a:prstGeom xmlns:a="http://schemas.openxmlformats.org/drawingml/2006/main" prst="straightConnector1">
          <a:avLst/>
        </a:prstGeom>
        <a:ln xmlns:a="http://schemas.openxmlformats.org/drawingml/2006/main">
          <a:solidFill>
            <a:srgbClr val="15C132"/>
          </a:solidFill>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0.29563</cdr:x>
      <cdr:y>0.05522</cdr:y>
    </cdr:from>
    <cdr:to>
      <cdr:x>0.37302</cdr:x>
      <cdr:y>0.17427</cdr:y>
    </cdr:to>
    <cdr:cxnSp macro="">
      <cdr:nvCxnSpPr>
        <cdr:cNvPr id="9" name="Straight Arrow Connector 8">
          <a:extLst xmlns:a="http://schemas.openxmlformats.org/drawingml/2006/main">
            <a:ext uri="{FF2B5EF4-FFF2-40B4-BE49-F238E27FC236}">
              <a16:creationId xmlns:a16="http://schemas.microsoft.com/office/drawing/2014/main" id="{3D778EBF-9B68-464F-9E7C-C0ECB539EA3B}"/>
            </a:ext>
          </a:extLst>
        </cdr:cNvPr>
        <cdr:cNvCxnSpPr/>
      </cdr:nvCxnSpPr>
      <cdr:spPr>
        <a:xfrm xmlns:a="http://schemas.openxmlformats.org/drawingml/2006/main" flipV="1">
          <a:off x="1351642" y="151493"/>
          <a:ext cx="353786" cy="326572"/>
        </a:xfrm>
        <a:prstGeom xmlns:a="http://schemas.openxmlformats.org/drawingml/2006/main" prst="straightConnector1">
          <a:avLst/>
        </a:prstGeom>
        <a:ln xmlns:a="http://schemas.openxmlformats.org/drawingml/2006/main">
          <a:solidFill>
            <a:srgbClr val="00B050"/>
          </a:solidFill>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0.70952</cdr:x>
      <cdr:y>0.05489</cdr:y>
    </cdr:from>
    <cdr:to>
      <cdr:x>0.7869</cdr:x>
      <cdr:y>0.17394</cdr:y>
    </cdr:to>
    <cdr:cxnSp macro="">
      <cdr:nvCxnSpPr>
        <cdr:cNvPr id="10" name="Straight Arrow Connector 9">
          <a:extLst xmlns:a="http://schemas.openxmlformats.org/drawingml/2006/main">
            <a:ext uri="{FF2B5EF4-FFF2-40B4-BE49-F238E27FC236}">
              <a16:creationId xmlns:a16="http://schemas.microsoft.com/office/drawing/2014/main" id="{080653DF-E17A-4562-A45D-4C60FED623A6}"/>
            </a:ext>
          </a:extLst>
        </cdr:cNvPr>
        <cdr:cNvCxnSpPr/>
      </cdr:nvCxnSpPr>
      <cdr:spPr>
        <a:xfrm xmlns:a="http://schemas.openxmlformats.org/drawingml/2006/main" flipV="1">
          <a:off x="3243943" y="150586"/>
          <a:ext cx="353786" cy="326572"/>
        </a:xfrm>
        <a:prstGeom xmlns:a="http://schemas.openxmlformats.org/drawingml/2006/main" prst="straightConnector1">
          <a:avLst/>
        </a:prstGeom>
        <a:ln xmlns:a="http://schemas.openxmlformats.org/drawingml/2006/main">
          <a:solidFill>
            <a:srgbClr val="00B050"/>
          </a:solidFill>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userShapes>
</file>

<file path=xl/drawings/drawing40.xml><?xml version="1.0" encoding="utf-8"?>
<c:userShapes xmlns:c="http://schemas.openxmlformats.org/drawingml/2006/chart">
  <cdr:relSizeAnchor xmlns:cdr="http://schemas.openxmlformats.org/drawingml/2006/chartDrawing">
    <cdr:from>
      <cdr:x>0</cdr:x>
      <cdr:y>0</cdr:y>
    </cdr:from>
    <cdr:to>
      <cdr:x>0.85762</cdr:x>
      <cdr:y>0.66443</cdr:y>
    </cdr:to>
    <cdr:grpSp>
      <cdr:nvGrpSpPr>
        <cdr:cNvPr id="24" name="Group 23">
          <a:extLst xmlns:a="http://schemas.openxmlformats.org/drawingml/2006/main">
            <a:ext uri="{FF2B5EF4-FFF2-40B4-BE49-F238E27FC236}">
              <a16:creationId xmlns:a16="http://schemas.microsoft.com/office/drawing/2014/main" id="{29D06FD7-65B3-5885-F747-32F6516B5F55}"/>
            </a:ext>
          </a:extLst>
        </cdr:cNvPr>
        <cdr:cNvGrpSpPr/>
      </cdr:nvGrpSpPr>
      <cdr:grpSpPr>
        <a:xfrm xmlns:a="http://schemas.openxmlformats.org/drawingml/2006/main">
          <a:off x="0" y="0"/>
          <a:ext cx="6027733" cy="1834293"/>
          <a:chOff x="471508" y="28575"/>
          <a:chExt cx="4905356" cy="1885950"/>
        </a:xfrm>
      </cdr:grpSpPr>
      <cdr:sp macro="" textlink="">
        <cdr:nvSpPr>
          <cdr:cNvPr id="2" name="Rectangle 1">
            <a:extLst xmlns:a="http://schemas.openxmlformats.org/drawingml/2006/main">
              <a:ext uri="{FF2B5EF4-FFF2-40B4-BE49-F238E27FC236}">
                <a16:creationId xmlns:a16="http://schemas.microsoft.com/office/drawing/2014/main" id="{B5B77EBC-45F8-10CE-F69D-5508A1618FC9}"/>
              </a:ext>
            </a:extLst>
          </cdr:cNvPr>
          <cdr:cNvSpPr/>
        </cdr:nvSpPr>
        <cdr:spPr>
          <a:xfrm xmlns:a="http://schemas.openxmlformats.org/drawingml/2006/main">
            <a:off x="471508" y="28575"/>
            <a:ext cx="2057381" cy="1847854"/>
          </a:xfrm>
          <a:prstGeom xmlns:a="http://schemas.openxmlformats.org/drawingml/2006/main" prst="rect">
            <a:avLst/>
          </a:prstGeom>
          <a:noFill xmlns:a="http://schemas.openxmlformats.org/drawingml/2006/main"/>
          <a:ln xmlns:a="http://schemas.openxmlformats.org/drawingml/2006/main">
            <a:solidFill>
              <a:schemeClr val="tx1"/>
            </a:solid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accent5"/>
          </a:fontRef>
        </cdr:style>
        <cdr:txBody>
          <a:bodyPr xmlns:a="http://schemas.openxmlformats.org/drawingml/2006/main" vertOverflow="clip" anchor="b"/>
          <a:lstStyle xmlns:a="http://schemas.openxmlformats.org/drawingml/2006/main"/>
          <a:p xmlns:a="http://schemas.openxmlformats.org/drawingml/2006/main">
            <a:pPr algn="ctr"/>
            <a:r>
              <a:rPr lang="en-US" sz="800" b="1">
                <a:solidFill>
                  <a:schemeClr val="tx1"/>
                </a:solidFill>
                <a:latin typeface="Calibri (Body)"/>
              </a:rPr>
              <a:t>Top chỉ</a:t>
            </a:r>
            <a:r>
              <a:rPr lang="en-US" sz="800" b="1" baseline="0">
                <a:solidFill>
                  <a:schemeClr val="tx1"/>
                </a:solidFill>
                <a:latin typeface="Calibri (Body)"/>
              </a:rPr>
              <a:t> báo về nhu cầu tiêu dùng </a:t>
            </a:r>
            <a:endParaRPr lang="en-US" sz="800" b="1">
              <a:solidFill>
                <a:schemeClr val="tx1"/>
              </a:solidFill>
              <a:latin typeface="Calibri (Body)"/>
            </a:endParaRPr>
          </a:p>
        </cdr:txBody>
      </cdr:sp>
      <cdr:cxnSp macro="">
        <cdr:nvCxnSpPr>
          <cdr:cNvPr id="4" name="Straight Arrow Connector 3">
            <a:extLst xmlns:a="http://schemas.openxmlformats.org/drawingml/2006/main">
              <a:ext uri="{FF2B5EF4-FFF2-40B4-BE49-F238E27FC236}">
                <a16:creationId xmlns:a16="http://schemas.microsoft.com/office/drawing/2014/main" id="{A073F59F-E25B-38A1-8783-C6992BC2607A}"/>
              </a:ext>
            </a:extLst>
          </cdr:cNvPr>
          <cdr:cNvCxnSpPr/>
        </cdr:nvCxnSpPr>
        <cdr:spPr>
          <a:xfrm xmlns:a="http://schemas.openxmlformats.org/drawingml/2006/main" flipV="1">
            <a:off x="4957764" y="1219199"/>
            <a:ext cx="209527" cy="419101"/>
          </a:xfrm>
          <a:prstGeom xmlns:a="http://schemas.openxmlformats.org/drawingml/2006/main" prst="straightConnector1">
            <a:avLst/>
          </a:prstGeom>
          <a:ln xmlns:a="http://schemas.openxmlformats.org/drawingml/2006/main">
            <a:solidFill>
              <a:srgbClr val="00B050"/>
            </a:solidFill>
            <a:tailEnd type="triangle"/>
          </a:ln>
        </cdr:spPr>
        <cdr:style>
          <a:lnRef xmlns:a="http://schemas.openxmlformats.org/drawingml/2006/main" idx="2">
            <a:schemeClr val="accent3"/>
          </a:lnRef>
          <a:fillRef xmlns:a="http://schemas.openxmlformats.org/drawingml/2006/main" idx="0">
            <a:schemeClr val="accent3"/>
          </a:fillRef>
          <a:effectRef xmlns:a="http://schemas.openxmlformats.org/drawingml/2006/main" idx="1">
            <a:schemeClr val="accent3"/>
          </a:effectRef>
          <a:fontRef xmlns:a="http://schemas.openxmlformats.org/drawingml/2006/main" idx="minor">
            <a:schemeClr val="tx1"/>
          </a:fontRef>
        </cdr:style>
      </cdr:cxnSp>
      <cdr:sp macro="" textlink="">
        <cdr:nvSpPr>
          <cdr:cNvPr id="3" name="Rectangle 2">
            <a:extLst xmlns:a="http://schemas.openxmlformats.org/drawingml/2006/main">
              <a:ext uri="{FF2B5EF4-FFF2-40B4-BE49-F238E27FC236}">
                <a16:creationId xmlns:a16="http://schemas.microsoft.com/office/drawing/2014/main" id="{A973BA06-4AB2-1311-8141-3019A0B3EA67}"/>
              </a:ext>
            </a:extLst>
          </cdr:cNvPr>
          <cdr:cNvSpPr/>
        </cdr:nvSpPr>
        <cdr:spPr>
          <a:xfrm xmlns:a="http://schemas.openxmlformats.org/drawingml/2006/main">
            <a:off x="4462464" y="38099"/>
            <a:ext cx="914400" cy="1828801"/>
          </a:xfrm>
          <a:prstGeom xmlns:a="http://schemas.openxmlformats.org/drawingml/2006/main" prst="rect">
            <a:avLst/>
          </a:prstGeom>
          <a:noFill xmlns:a="http://schemas.openxmlformats.org/drawingml/2006/main"/>
          <a:ln xmlns:a="http://schemas.openxmlformats.org/drawingml/2006/main" w="9525" cap="flat" cmpd="sng" algn="ctr">
            <a:solidFill>
              <a:schemeClr val="accent4"/>
            </a:solidFill>
            <a:prstDash val="dash"/>
            <a:round/>
            <a:headEnd type="none" w="med" len="med"/>
            <a:tailEnd type="none" w="med" len="med"/>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accent4"/>
          </a:fontRef>
        </cdr:style>
        <cdr:txBody>
          <a:bodyPr xmlns:a="http://schemas.openxmlformats.org/drawingml/2006/main" vertOverflow="clip" anchor="b"/>
          <a:lstStyle xmlns:a="http://schemas.openxmlformats.org/drawingml/2006/main"/>
          <a:p xmlns:a="http://schemas.openxmlformats.org/drawingml/2006/main">
            <a:pPr algn="ctr"/>
            <a:r>
              <a:rPr lang="en-US" sz="800" b="1">
                <a:latin typeface="Calibri (Body)"/>
              </a:rPr>
              <a:t>BSC Dự</a:t>
            </a:r>
            <a:r>
              <a:rPr lang="en-US" sz="800" b="1" baseline="0">
                <a:latin typeface="Calibri (Body)"/>
              </a:rPr>
              <a:t> phóng</a:t>
            </a:r>
            <a:endParaRPr lang="en-US" sz="800" b="1">
              <a:latin typeface="Calibri (Body)"/>
            </a:endParaRPr>
          </a:p>
        </cdr:txBody>
      </cdr:sp>
      <cdr:cxnSp macro="">
        <cdr:nvCxnSpPr>
          <cdr:cNvPr id="6" name="Straight Arrow Connector 5">
            <a:extLst xmlns:a="http://schemas.openxmlformats.org/drawingml/2006/main">
              <a:ext uri="{FF2B5EF4-FFF2-40B4-BE49-F238E27FC236}">
                <a16:creationId xmlns:a16="http://schemas.microsoft.com/office/drawing/2014/main" id="{2EDEDD7D-F52A-6F9A-272F-C79E0508527A}"/>
              </a:ext>
            </a:extLst>
          </cdr:cNvPr>
          <cdr:cNvCxnSpPr/>
        </cdr:nvCxnSpPr>
        <cdr:spPr>
          <a:xfrm xmlns:a="http://schemas.openxmlformats.org/drawingml/2006/main">
            <a:off x="976314" y="152400"/>
            <a:ext cx="1219200" cy="209550"/>
          </a:xfrm>
          <a:prstGeom xmlns:a="http://schemas.openxmlformats.org/drawingml/2006/main" prst="straightConnector1">
            <a:avLst/>
          </a:prstGeom>
          <a:ln xmlns:a="http://schemas.openxmlformats.org/drawingml/2006/main">
            <a:solidFill>
              <a:srgbClr val="FF0000"/>
            </a:solidFill>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sp macro="" textlink="">
        <cdr:nvSpPr>
          <cdr:cNvPr id="10" name="Rectangle 9">
            <a:extLst xmlns:a="http://schemas.openxmlformats.org/drawingml/2006/main">
              <a:ext uri="{FF2B5EF4-FFF2-40B4-BE49-F238E27FC236}">
                <a16:creationId xmlns:a16="http://schemas.microsoft.com/office/drawing/2014/main" id="{5A69FB10-1F60-E91F-67A0-671DA9037E9B}"/>
              </a:ext>
            </a:extLst>
          </cdr:cNvPr>
          <cdr:cNvSpPr/>
        </cdr:nvSpPr>
        <cdr:spPr>
          <a:xfrm xmlns:a="http://schemas.openxmlformats.org/drawingml/2006/main">
            <a:off x="2528889" y="31750"/>
            <a:ext cx="1356525" cy="1847854"/>
          </a:xfrm>
          <a:prstGeom xmlns:a="http://schemas.openxmlformats.org/drawingml/2006/main" prst="rect">
            <a:avLst/>
          </a:prstGeom>
          <a:noFill xmlns:a="http://schemas.openxmlformats.org/drawingml/2006/main"/>
          <a:ln xmlns:a="http://schemas.openxmlformats.org/drawingml/2006/main">
            <a:solidFill>
              <a:srgbClr val="FF0000"/>
            </a:solid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accent5"/>
          </a:fontRef>
        </cdr:style>
        <cdr:txBody>
          <a:bodyPr xmlns:a="http://schemas.openxmlformats.org/drawingml/2006/main" anchor="b"/>
          <a:lstStyle xmlns:a="http://schemas.openxmlformats.org/drawingml/2006/main">
            <a:lvl1pPr marL="0" indent="0">
              <a:defRPr sz="1100">
                <a:solidFill>
                  <a:schemeClr val="accent5"/>
                </a:solidFill>
                <a:latin typeface="+mn-lt"/>
                <a:ea typeface="+mn-ea"/>
                <a:cs typeface="+mn-cs"/>
              </a:defRPr>
            </a:lvl1pPr>
            <a:lvl2pPr marL="457200" indent="0">
              <a:defRPr sz="1100">
                <a:solidFill>
                  <a:schemeClr val="accent5"/>
                </a:solidFill>
                <a:latin typeface="+mn-lt"/>
                <a:ea typeface="+mn-ea"/>
                <a:cs typeface="+mn-cs"/>
              </a:defRPr>
            </a:lvl2pPr>
            <a:lvl3pPr marL="914400" indent="0">
              <a:defRPr sz="1100">
                <a:solidFill>
                  <a:schemeClr val="accent5"/>
                </a:solidFill>
                <a:latin typeface="+mn-lt"/>
                <a:ea typeface="+mn-ea"/>
                <a:cs typeface="+mn-cs"/>
              </a:defRPr>
            </a:lvl3pPr>
            <a:lvl4pPr marL="1371600" indent="0">
              <a:defRPr sz="1100">
                <a:solidFill>
                  <a:schemeClr val="accent5"/>
                </a:solidFill>
                <a:latin typeface="+mn-lt"/>
                <a:ea typeface="+mn-ea"/>
                <a:cs typeface="+mn-cs"/>
              </a:defRPr>
            </a:lvl4pPr>
            <a:lvl5pPr marL="1828800" indent="0">
              <a:defRPr sz="1100">
                <a:solidFill>
                  <a:schemeClr val="accent5"/>
                </a:solidFill>
                <a:latin typeface="+mn-lt"/>
                <a:ea typeface="+mn-ea"/>
                <a:cs typeface="+mn-cs"/>
              </a:defRPr>
            </a:lvl5pPr>
            <a:lvl6pPr marL="2286000" indent="0">
              <a:defRPr sz="1100">
                <a:solidFill>
                  <a:schemeClr val="accent5"/>
                </a:solidFill>
                <a:latin typeface="+mn-lt"/>
                <a:ea typeface="+mn-ea"/>
                <a:cs typeface="+mn-cs"/>
              </a:defRPr>
            </a:lvl6pPr>
            <a:lvl7pPr marL="2743200" indent="0">
              <a:defRPr sz="1100">
                <a:solidFill>
                  <a:schemeClr val="accent5"/>
                </a:solidFill>
                <a:latin typeface="+mn-lt"/>
                <a:ea typeface="+mn-ea"/>
                <a:cs typeface="+mn-cs"/>
              </a:defRPr>
            </a:lvl7pPr>
            <a:lvl8pPr marL="3200400" indent="0">
              <a:defRPr sz="1100">
                <a:solidFill>
                  <a:schemeClr val="accent5"/>
                </a:solidFill>
                <a:latin typeface="+mn-lt"/>
                <a:ea typeface="+mn-ea"/>
                <a:cs typeface="+mn-cs"/>
              </a:defRPr>
            </a:lvl8pPr>
            <a:lvl9pPr marL="3657600" indent="0">
              <a:defRPr sz="1100">
                <a:solidFill>
                  <a:schemeClr val="accent5"/>
                </a:solidFill>
                <a:latin typeface="+mn-lt"/>
                <a:ea typeface="+mn-ea"/>
                <a:cs typeface="+mn-cs"/>
              </a:defRPr>
            </a:lvl9pPr>
          </a:lstStyle>
          <a:p xmlns:a="http://schemas.openxmlformats.org/drawingml/2006/main">
            <a:pPr algn="ctr"/>
            <a:r>
              <a:rPr lang="en-US" sz="800" b="1">
                <a:solidFill>
                  <a:srgbClr val="FF0000"/>
                </a:solidFill>
                <a:latin typeface="Calibri (Body)"/>
              </a:rPr>
              <a:t>Giai</a:t>
            </a:r>
            <a:r>
              <a:rPr lang="en-US" sz="800" b="1" baseline="0">
                <a:solidFill>
                  <a:srgbClr val="FF0000"/>
                </a:solidFill>
                <a:latin typeface="Calibri (Body)"/>
              </a:rPr>
              <a:t> đoạn cầu suy giảm</a:t>
            </a:r>
            <a:endParaRPr lang="en-US" sz="800" b="1">
              <a:solidFill>
                <a:srgbClr val="FF0000"/>
              </a:solidFill>
              <a:latin typeface="Calibri (Body)"/>
            </a:endParaRPr>
          </a:p>
        </cdr:txBody>
      </cdr:sp>
      <cdr:cxnSp macro="">
        <cdr:nvCxnSpPr>
          <cdr:cNvPr id="12" name="Straight Connector 11">
            <a:extLst xmlns:a="http://schemas.openxmlformats.org/drawingml/2006/main">
              <a:ext uri="{FF2B5EF4-FFF2-40B4-BE49-F238E27FC236}">
                <a16:creationId xmlns:a16="http://schemas.microsoft.com/office/drawing/2014/main" id="{5E228A99-BBB1-7BE8-6EFE-495BDA532684}"/>
              </a:ext>
            </a:extLst>
          </cdr:cNvPr>
          <cdr:cNvCxnSpPr/>
        </cdr:nvCxnSpPr>
        <cdr:spPr>
          <a:xfrm xmlns:a="http://schemas.openxmlformats.org/drawingml/2006/main" flipH="1">
            <a:off x="4348164" y="28575"/>
            <a:ext cx="9525" cy="1885950"/>
          </a:xfrm>
          <a:prstGeom xmlns:a="http://schemas.openxmlformats.org/drawingml/2006/main" prst="line">
            <a:avLst/>
          </a:prstGeom>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cxnSp macro="">
        <cdr:nvCxnSpPr>
          <cdr:cNvPr id="20" name="Straight Arrow Connector 19">
            <a:extLst xmlns:a="http://schemas.openxmlformats.org/drawingml/2006/main">
              <a:ext uri="{FF2B5EF4-FFF2-40B4-BE49-F238E27FC236}">
                <a16:creationId xmlns:a16="http://schemas.microsoft.com/office/drawing/2014/main" id="{A6FFFD53-1B26-544C-3DF8-AE8417D8077A}"/>
              </a:ext>
              <a:ext uri="{C183D7F6-B498-43B3-948B-1728B52AA6E4}">
                <adec:decorative xmlns:adec="http://schemas.microsoft.com/office/drawing/2017/decorative" val="1"/>
              </a:ext>
            </a:extLst>
          </cdr:cNvPr>
          <cdr:cNvCxnSpPr/>
        </cdr:nvCxnSpPr>
        <cdr:spPr>
          <a:xfrm xmlns:a="http://schemas.openxmlformats.org/drawingml/2006/main">
            <a:off x="4576764" y="428625"/>
            <a:ext cx="590550" cy="152400"/>
          </a:xfrm>
          <a:prstGeom xmlns:a="http://schemas.openxmlformats.org/drawingml/2006/main" prst="straightConnector1">
            <a:avLst/>
          </a:prstGeom>
          <a:ln xmlns:a="http://schemas.openxmlformats.org/drawingml/2006/main">
            <a:solidFill>
              <a:srgbClr val="00B050"/>
            </a:solidFill>
            <a:tailEnd type="triangle"/>
          </a:ln>
        </cdr:spPr>
        <cdr:style>
          <a:lnRef xmlns:a="http://schemas.openxmlformats.org/drawingml/2006/main" idx="2">
            <a:schemeClr val="accent3"/>
          </a:lnRef>
          <a:fillRef xmlns:a="http://schemas.openxmlformats.org/drawingml/2006/main" idx="0">
            <a:schemeClr val="accent3"/>
          </a:fillRef>
          <a:effectRef xmlns:a="http://schemas.openxmlformats.org/drawingml/2006/main" idx="1">
            <a:schemeClr val="accent3"/>
          </a:effectRef>
          <a:fontRef xmlns:a="http://schemas.openxmlformats.org/drawingml/2006/main" idx="minor">
            <a:schemeClr val="tx1"/>
          </a:fontRef>
        </cdr:style>
      </cdr:cxnSp>
      <cdr:sp macro="" textlink="">
        <cdr:nvSpPr>
          <cdr:cNvPr id="21" name="TextBox 20">
            <a:extLst xmlns:a="http://schemas.openxmlformats.org/drawingml/2006/main">
              <a:ext uri="{FF2B5EF4-FFF2-40B4-BE49-F238E27FC236}">
                <a16:creationId xmlns:a16="http://schemas.microsoft.com/office/drawing/2014/main" id="{C92E4930-C47F-5ABE-5597-B2F4527CB86B}"/>
              </a:ext>
            </a:extLst>
          </cdr:cNvPr>
          <cdr:cNvSpPr txBox="1"/>
        </cdr:nvSpPr>
        <cdr:spPr>
          <a:xfrm xmlns:a="http://schemas.openxmlformats.org/drawingml/2006/main" rot="867603">
            <a:off x="4643440" y="323850"/>
            <a:ext cx="504825" cy="20002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800" b="1">
                <a:solidFill>
                  <a:sysClr val="windowText" lastClr="000000"/>
                </a:solidFill>
              </a:rPr>
              <a:t>Lãi</a:t>
            </a:r>
            <a:r>
              <a:rPr lang="en-US" sz="800" b="1" baseline="0">
                <a:solidFill>
                  <a:sysClr val="windowText" lastClr="000000"/>
                </a:solidFill>
              </a:rPr>
              <a:t> suất</a:t>
            </a:r>
            <a:endParaRPr lang="en-US" sz="800" b="1">
              <a:solidFill>
                <a:sysClr val="windowText" lastClr="000000"/>
              </a:solidFill>
            </a:endParaRPr>
          </a:p>
        </cdr:txBody>
      </cdr:sp>
    </cdr:grpSp>
  </cdr:relSizeAnchor>
</c:userShapes>
</file>

<file path=xl/drawings/drawing41.xml><?xml version="1.0" encoding="utf-8"?>
<c:userShapes xmlns:c="http://schemas.openxmlformats.org/drawingml/2006/chart">
  <cdr:relSizeAnchor xmlns:cdr="http://schemas.openxmlformats.org/drawingml/2006/chartDrawing">
    <cdr:from>
      <cdr:x>0.04588</cdr:x>
      <cdr:y>0.08954</cdr:y>
    </cdr:from>
    <cdr:to>
      <cdr:x>0.9352</cdr:x>
      <cdr:y>0.77973</cdr:y>
    </cdr:to>
    <cdr:grpSp>
      <cdr:nvGrpSpPr>
        <cdr:cNvPr id="11" name="Group 10">
          <a:extLst xmlns:a="http://schemas.openxmlformats.org/drawingml/2006/main">
            <a:ext uri="{FF2B5EF4-FFF2-40B4-BE49-F238E27FC236}">
              <a16:creationId xmlns:a16="http://schemas.microsoft.com/office/drawing/2014/main" id="{46573558-9984-5010-7305-419F8152A2C5}"/>
            </a:ext>
          </a:extLst>
        </cdr:cNvPr>
        <cdr:cNvGrpSpPr/>
      </cdr:nvGrpSpPr>
      <cdr:grpSpPr>
        <a:xfrm xmlns:a="http://schemas.openxmlformats.org/drawingml/2006/main">
          <a:off x="359854" y="322274"/>
          <a:ext cx="6975274" cy="2484144"/>
          <a:chOff x="501118" y="185783"/>
          <a:chExt cx="6925508" cy="2412999"/>
        </a:xfrm>
      </cdr:grpSpPr>
      <cdr:grpSp>
        <cdr:nvGrpSpPr>
          <cdr:cNvPr id="4" name="Group 3">
            <a:extLst xmlns:a="http://schemas.openxmlformats.org/drawingml/2006/main">
              <a:ext uri="{FF2B5EF4-FFF2-40B4-BE49-F238E27FC236}">
                <a16:creationId xmlns:a16="http://schemas.microsoft.com/office/drawing/2014/main" id="{2C5E7284-A1E3-42FB-8FA1-C91E09846BF7}"/>
              </a:ext>
            </a:extLst>
          </cdr:cNvPr>
          <cdr:cNvGrpSpPr/>
        </cdr:nvGrpSpPr>
        <cdr:grpSpPr>
          <a:xfrm xmlns:a="http://schemas.openxmlformats.org/drawingml/2006/main">
            <a:off x="501118" y="185783"/>
            <a:ext cx="6925508" cy="2412999"/>
            <a:chOff x="539750" y="188383"/>
            <a:chExt cx="7847540" cy="2446867"/>
          </a:xfrm>
        </cdr:grpSpPr>
        <cdr:sp macro="" textlink="">
          <cdr:nvSpPr>
            <cdr:cNvPr id="2" name="Rectangle 1">
              <a:extLst xmlns:a="http://schemas.openxmlformats.org/drawingml/2006/main">
                <a:ext uri="{FF2B5EF4-FFF2-40B4-BE49-F238E27FC236}">
                  <a16:creationId xmlns:a16="http://schemas.microsoft.com/office/drawing/2014/main" id="{60D275D6-4B02-4BF6-A34F-13AC86039205}"/>
                </a:ext>
              </a:extLst>
            </cdr:cNvPr>
            <cdr:cNvSpPr/>
          </cdr:nvSpPr>
          <cdr:spPr>
            <a:xfrm xmlns:a="http://schemas.openxmlformats.org/drawingml/2006/main">
              <a:off x="539750" y="190499"/>
              <a:ext cx="1626178" cy="2444751"/>
            </a:xfrm>
            <a:prstGeom xmlns:a="http://schemas.openxmlformats.org/drawingml/2006/main" prst="rect">
              <a:avLst/>
            </a:prstGeom>
            <a:solidFill xmlns:a="http://schemas.openxmlformats.org/drawingml/2006/main">
              <a:srgbClr val="FF0000">
                <a:alpha val="10000"/>
              </a:srgbClr>
            </a:solidFill>
            <a:ln xmlns:a="http://schemas.openxmlformats.org/drawingml/2006/main" w="3175" cap="flat" cmpd="sng" algn="ctr">
              <a:solidFill>
                <a:srgbClr val="C00000"/>
              </a:solidFill>
              <a:prstDash val="solid"/>
              <a:round/>
              <a:headEnd type="none" w="med" len="med"/>
              <a:tailEnd type="none" w="med" len="med"/>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accent5"/>
            </a:fontRef>
          </cdr:style>
          <cdr:txBody>
            <a:bodyPr xmlns:a="http://schemas.openxmlformats.org/drawingml/2006/main" vertOverflow="clip"/>
            <a:lstStyle xmlns:a="http://schemas.openxmlformats.org/drawingml/2006/main"/>
            <a:p xmlns:a="http://schemas.openxmlformats.org/drawingml/2006/main">
              <a:pPr algn="ctr"/>
              <a:r>
                <a:rPr lang="en-US" sz="800" b="1" baseline="0">
                  <a:solidFill>
                    <a:sysClr val="windowText" lastClr="000000"/>
                  </a:solidFill>
                </a:rPr>
                <a:t>Định vị mô hình cạnh tranh với chợ</a:t>
              </a:r>
            </a:p>
            <a:p xmlns:a="http://schemas.openxmlformats.org/drawingml/2006/main">
              <a:endParaRPr lang="vi-VN" sz="800" b="0">
                <a:solidFill>
                  <a:sysClr val="windowText" lastClr="000000"/>
                </a:solidFill>
              </a:endParaRPr>
            </a:p>
          </cdr:txBody>
        </cdr:sp>
        <cdr:sp macro="" textlink="">
          <cdr:nvSpPr>
            <cdr:cNvPr id="3" name="Rectangle 2">
              <a:extLst xmlns:a="http://schemas.openxmlformats.org/drawingml/2006/main">
                <a:ext uri="{FF2B5EF4-FFF2-40B4-BE49-F238E27FC236}">
                  <a16:creationId xmlns:a16="http://schemas.microsoft.com/office/drawing/2014/main" id="{AC70C2A0-F603-4BCD-B98F-ADB078880FD2}"/>
                </a:ext>
              </a:extLst>
            </cdr:cNvPr>
            <cdr:cNvSpPr/>
          </cdr:nvSpPr>
          <cdr:spPr>
            <a:xfrm xmlns:a="http://schemas.openxmlformats.org/drawingml/2006/main">
              <a:off x="4613640" y="188383"/>
              <a:ext cx="3773650" cy="2436282"/>
            </a:xfrm>
            <a:prstGeom xmlns:a="http://schemas.openxmlformats.org/drawingml/2006/main" prst="rect">
              <a:avLst/>
            </a:prstGeom>
            <a:solidFill xmlns:a="http://schemas.openxmlformats.org/drawingml/2006/main">
              <a:srgbClr val="15C132">
                <a:alpha val="10000"/>
              </a:srgbClr>
            </a:solidFill>
            <a:ln xmlns:a="http://schemas.openxmlformats.org/drawingml/2006/main" w="9525" cap="flat" cmpd="sng" algn="ctr">
              <a:solidFill>
                <a:schemeClr val="accent4"/>
              </a:solidFill>
              <a:prstDash val="solid"/>
              <a:round/>
              <a:headEnd type="none" w="med" len="med"/>
              <a:tailEnd type="none" w="med" len="med"/>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accent5"/>
            </a:fontRef>
          </cdr:style>
          <cdr:txBody>
            <a:bodyPr xmlns:a="http://schemas.openxmlformats.org/drawingml/2006/main"/>
            <a:lstStyle xmlns:a="http://schemas.openxmlformats.org/drawingml/2006/main">
              <a:lvl1pPr marL="0" indent="0">
                <a:defRPr sz="1100">
                  <a:solidFill>
                    <a:schemeClr val="accent5"/>
                  </a:solidFill>
                  <a:latin typeface="+mn-lt"/>
                  <a:ea typeface="+mn-ea"/>
                  <a:cs typeface="+mn-cs"/>
                </a:defRPr>
              </a:lvl1pPr>
              <a:lvl2pPr marL="457200" indent="0">
                <a:defRPr sz="1100">
                  <a:solidFill>
                    <a:schemeClr val="accent5"/>
                  </a:solidFill>
                  <a:latin typeface="+mn-lt"/>
                  <a:ea typeface="+mn-ea"/>
                  <a:cs typeface="+mn-cs"/>
                </a:defRPr>
              </a:lvl2pPr>
              <a:lvl3pPr marL="914400" indent="0">
                <a:defRPr sz="1100">
                  <a:solidFill>
                    <a:schemeClr val="accent5"/>
                  </a:solidFill>
                  <a:latin typeface="+mn-lt"/>
                  <a:ea typeface="+mn-ea"/>
                  <a:cs typeface="+mn-cs"/>
                </a:defRPr>
              </a:lvl3pPr>
              <a:lvl4pPr marL="1371600" indent="0">
                <a:defRPr sz="1100">
                  <a:solidFill>
                    <a:schemeClr val="accent5"/>
                  </a:solidFill>
                  <a:latin typeface="+mn-lt"/>
                  <a:ea typeface="+mn-ea"/>
                  <a:cs typeface="+mn-cs"/>
                </a:defRPr>
              </a:lvl4pPr>
              <a:lvl5pPr marL="1828800" indent="0">
                <a:defRPr sz="1100">
                  <a:solidFill>
                    <a:schemeClr val="accent5"/>
                  </a:solidFill>
                  <a:latin typeface="+mn-lt"/>
                  <a:ea typeface="+mn-ea"/>
                  <a:cs typeface="+mn-cs"/>
                </a:defRPr>
              </a:lvl5pPr>
              <a:lvl6pPr marL="2286000" indent="0">
                <a:defRPr sz="1100">
                  <a:solidFill>
                    <a:schemeClr val="accent5"/>
                  </a:solidFill>
                  <a:latin typeface="+mn-lt"/>
                  <a:ea typeface="+mn-ea"/>
                  <a:cs typeface="+mn-cs"/>
                </a:defRPr>
              </a:lvl6pPr>
              <a:lvl7pPr marL="2743200" indent="0">
                <a:defRPr sz="1100">
                  <a:solidFill>
                    <a:schemeClr val="accent5"/>
                  </a:solidFill>
                  <a:latin typeface="+mn-lt"/>
                  <a:ea typeface="+mn-ea"/>
                  <a:cs typeface="+mn-cs"/>
                </a:defRPr>
              </a:lvl7pPr>
              <a:lvl8pPr marL="3200400" indent="0">
                <a:defRPr sz="1100">
                  <a:solidFill>
                    <a:schemeClr val="accent5"/>
                  </a:solidFill>
                  <a:latin typeface="+mn-lt"/>
                  <a:ea typeface="+mn-ea"/>
                  <a:cs typeface="+mn-cs"/>
                </a:defRPr>
              </a:lvl8pPr>
              <a:lvl9pPr marL="3657600" indent="0">
                <a:defRPr sz="1100">
                  <a:solidFill>
                    <a:schemeClr val="accent5"/>
                  </a:solidFill>
                  <a:latin typeface="+mn-lt"/>
                  <a:ea typeface="+mn-ea"/>
                  <a:cs typeface="+mn-cs"/>
                </a:defRPr>
              </a:lvl9pPr>
            </a:lstStyle>
            <a:p xmlns:a="http://schemas.openxmlformats.org/drawingml/2006/main">
              <a:r>
                <a:rPr lang="en-US" sz="800" b="1" baseline="0">
                  <a:solidFill>
                    <a:sysClr val="windowText" lastClr="000000"/>
                  </a:solidFill>
                </a:rPr>
                <a:t>Sau tái cấu trúc: định vị mô hình Minimart mới</a:t>
              </a:r>
            </a:p>
          </cdr:txBody>
        </cdr:sp>
      </cdr:grpSp>
      <cdr:sp macro="" textlink="">
        <cdr:nvSpPr>
          <cdr:cNvPr id="6" name="Rectangle 5">
            <a:extLst xmlns:a="http://schemas.openxmlformats.org/drawingml/2006/main">
              <a:ext uri="{FF2B5EF4-FFF2-40B4-BE49-F238E27FC236}">
                <a16:creationId xmlns:a16="http://schemas.microsoft.com/office/drawing/2014/main" id="{C92A8A9F-32B9-4A5F-7477-9CD50842E63B}"/>
              </a:ext>
            </a:extLst>
          </cdr:cNvPr>
          <cdr:cNvSpPr/>
        </cdr:nvSpPr>
        <cdr:spPr>
          <a:xfrm xmlns:a="http://schemas.openxmlformats.org/drawingml/2006/main">
            <a:off x="1942948" y="186871"/>
            <a:ext cx="2139799" cy="2410912"/>
          </a:xfrm>
          <a:prstGeom xmlns:a="http://schemas.openxmlformats.org/drawingml/2006/main" prst="rect">
            <a:avLst/>
          </a:prstGeom>
          <a:solidFill xmlns:a="http://schemas.openxmlformats.org/drawingml/2006/main">
            <a:schemeClr val="accent5">
              <a:alpha val="10000"/>
            </a:schemeClr>
          </a:solidFill>
          <a:ln xmlns:a="http://schemas.openxmlformats.org/drawingml/2006/main" w="9525" cap="flat" cmpd="sng" algn="ctr">
            <a:solidFill>
              <a:schemeClr val="accent5"/>
            </a:solidFill>
            <a:prstDash val="solid"/>
            <a:round/>
            <a:headEnd type="none" w="med" len="med"/>
            <a:tailEnd type="none" w="med" len="med"/>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accent5"/>
          </a:fontRef>
        </cdr:style>
        <cdr:txBody>
          <a:bodyPr xmlns:a="http://schemas.openxmlformats.org/drawingml/2006/main"/>
          <a:lstStyle xmlns:a="http://schemas.openxmlformats.org/drawingml/2006/main">
            <a:lvl1pPr marL="0" indent="0">
              <a:defRPr sz="1100">
                <a:solidFill>
                  <a:schemeClr val="accent5"/>
                </a:solidFill>
                <a:latin typeface="+mn-lt"/>
                <a:ea typeface="+mn-ea"/>
                <a:cs typeface="+mn-cs"/>
              </a:defRPr>
            </a:lvl1pPr>
            <a:lvl2pPr marL="457200" indent="0">
              <a:defRPr sz="1100">
                <a:solidFill>
                  <a:schemeClr val="accent5"/>
                </a:solidFill>
                <a:latin typeface="+mn-lt"/>
                <a:ea typeface="+mn-ea"/>
                <a:cs typeface="+mn-cs"/>
              </a:defRPr>
            </a:lvl2pPr>
            <a:lvl3pPr marL="914400" indent="0">
              <a:defRPr sz="1100">
                <a:solidFill>
                  <a:schemeClr val="accent5"/>
                </a:solidFill>
                <a:latin typeface="+mn-lt"/>
                <a:ea typeface="+mn-ea"/>
                <a:cs typeface="+mn-cs"/>
              </a:defRPr>
            </a:lvl3pPr>
            <a:lvl4pPr marL="1371600" indent="0">
              <a:defRPr sz="1100">
                <a:solidFill>
                  <a:schemeClr val="accent5"/>
                </a:solidFill>
                <a:latin typeface="+mn-lt"/>
                <a:ea typeface="+mn-ea"/>
                <a:cs typeface="+mn-cs"/>
              </a:defRPr>
            </a:lvl4pPr>
            <a:lvl5pPr marL="1828800" indent="0">
              <a:defRPr sz="1100">
                <a:solidFill>
                  <a:schemeClr val="accent5"/>
                </a:solidFill>
                <a:latin typeface="+mn-lt"/>
                <a:ea typeface="+mn-ea"/>
                <a:cs typeface="+mn-cs"/>
              </a:defRPr>
            </a:lvl5pPr>
            <a:lvl6pPr marL="2286000" indent="0">
              <a:defRPr sz="1100">
                <a:solidFill>
                  <a:schemeClr val="accent5"/>
                </a:solidFill>
                <a:latin typeface="+mn-lt"/>
                <a:ea typeface="+mn-ea"/>
                <a:cs typeface="+mn-cs"/>
              </a:defRPr>
            </a:lvl6pPr>
            <a:lvl7pPr marL="2743200" indent="0">
              <a:defRPr sz="1100">
                <a:solidFill>
                  <a:schemeClr val="accent5"/>
                </a:solidFill>
                <a:latin typeface="+mn-lt"/>
                <a:ea typeface="+mn-ea"/>
                <a:cs typeface="+mn-cs"/>
              </a:defRPr>
            </a:lvl7pPr>
            <a:lvl8pPr marL="3200400" indent="0">
              <a:defRPr sz="1100">
                <a:solidFill>
                  <a:schemeClr val="accent5"/>
                </a:solidFill>
                <a:latin typeface="+mn-lt"/>
                <a:ea typeface="+mn-ea"/>
                <a:cs typeface="+mn-cs"/>
              </a:defRPr>
            </a:lvl8pPr>
            <a:lvl9pPr marL="3657600" indent="0">
              <a:defRPr sz="1100">
                <a:solidFill>
                  <a:schemeClr val="accent5"/>
                </a:solidFill>
                <a:latin typeface="+mn-lt"/>
                <a:ea typeface="+mn-ea"/>
                <a:cs typeface="+mn-cs"/>
              </a:defRPr>
            </a:lvl9pPr>
          </a:lstStyle>
          <a:p xmlns:a="http://schemas.openxmlformats.org/drawingml/2006/main">
            <a:pPr algn="ctr"/>
            <a:r>
              <a:rPr lang="en-US" sz="800" b="1">
                <a:solidFill>
                  <a:sysClr val="windowText" lastClr="000000"/>
                </a:solidFill>
              </a:rPr>
              <a:t>Tái</a:t>
            </a:r>
            <a:r>
              <a:rPr lang="en-US" sz="800" b="1" baseline="0">
                <a:solidFill>
                  <a:sysClr val="windowText" lastClr="000000"/>
                </a:solidFill>
              </a:rPr>
              <a:t> cấu trúc</a:t>
            </a:r>
            <a:endParaRPr lang="vi-VN" sz="800" b="1">
              <a:solidFill>
                <a:sysClr val="windowText" lastClr="000000"/>
              </a:solidFill>
            </a:endParaRPr>
          </a:p>
        </cdr:txBody>
      </cdr:sp>
    </cdr:grpSp>
  </cdr:relSizeAnchor>
  <cdr:relSizeAnchor xmlns:cdr="http://schemas.openxmlformats.org/drawingml/2006/chartDrawing">
    <cdr:from>
      <cdr:x>0.42598</cdr:x>
      <cdr:y>0.27752</cdr:y>
    </cdr:from>
    <cdr:to>
      <cdr:x>0.54131</cdr:x>
      <cdr:y>0.34386</cdr:y>
    </cdr:to>
    <cdr:cxnSp macro="">
      <cdr:nvCxnSpPr>
        <cdr:cNvPr id="10" name="Straight Arrow Connector 9">
          <a:extLst xmlns:a="http://schemas.openxmlformats.org/drawingml/2006/main">
            <a:ext uri="{FF2B5EF4-FFF2-40B4-BE49-F238E27FC236}">
              <a16:creationId xmlns:a16="http://schemas.microsoft.com/office/drawing/2014/main" id="{0BC7579E-A3DD-7EBA-CFFB-2C4DC0089155}"/>
            </a:ext>
          </a:extLst>
        </cdr:cNvPr>
        <cdr:cNvCxnSpPr/>
      </cdr:nvCxnSpPr>
      <cdr:spPr>
        <a:xfrm xmlns:a="http://schemas.openxmlformats.org/drawingml/2006/main">
          <a:off x="3317270" y="946524"/>
          <a:ext cx="898072" cy="226288"/>
        </a:xfrm>
        <a:prstGeom xmlns:a="http://schemas.openxmlformats.org/drawingml/2006/main" prst="straightConnector1">
          <a:avLst/>
        </a:prstGeom>
        <a:ln xmlns:a="http://schemas.openxmlformats.org/drawingml/2006/main">
          <a:solidFill>
            <a:srgbClr val="FF0000"/>
          </a:solidFill>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0.81872</cdr:x>
      <cdr:y>0.28104</cdr:y>
    </cdr:from>
    <cdr:to>
      <cdr:x>0.90609</cdr:x>
      <cdr:y>0.35285</cdr:y>
    </cdr:to>
    <cdr:cxnSp macro="">
      <cdr:nvCxnSpPr>
        <cdr:cNvPr id="13" name="Straight Arrow Connector 12">
          <a:extLst xmlns:a="http://schemas.openxmlformats.org/drawingml/2006/main">
            <a:ext uri="{FF2B5EF4-FFF2-40B4-BE49-F238E27FC236}">
              <a16:creationId xmlns:a16="http://schemas.microsoft.com/office/drawing/2014/main" id="{28F35BBA-081E-3C55-A8B6-6757E16C04FC}"/>
            </a:ext>
          </a:extLst>
        </cdr:cNvPr>
        <cdr:cNvCxnSpPr/>
      </cdr:nvCxnSpPr>
      <cdr:spPr>
        <a:xfrm xmlns:a="http://schemas.openxmlformats.org/drawingml/2006/main" flipV="1">
          <a:off x="6375703" y="958547"/>
          <a:ext cx="680357" cy="244928"/>
        </a:xfrm>
        <a:prstGeom xmlns:a="http://schemas.openxmlformats.org/drawingml/2006/main" prst="straightConnector1">
          <a:avLst/>
        </a:prstGeom>
        <a:ln xmlns:a="http://schemas.openxmlformats.org/drawingml/2006/main">
          <a:tailEnd type="triangle"/>
        </a:ln>
      </cdr:spPr>
      <cdr:style>
        <a:lnRef xmlns:a="http://schemas.openxmlformats.org/drawingml/2006/main" idx="1">
          <a:schemeClr val="accent4"/>
        </a:lnRef>
        <a:fillRef xmlns:a="http://schemas.openxmlformats.org/drawingml/2006/main" idx="0">
          <a:schemeClr val="accent4"/>
        </a:fillRef>
        <a:effectRef xmlns:a="http://schemas.openxmlformats.org/drawingml/2006/main" idx="0">
          <a:schemeClr val="accent4"/>
        </a:effectRef>
        <a:fontRef xmlns:a="http://schemas.openxmlformats.org/drawingml/2006/main" idx="minor">
          <a:schemeClr val="tx1"/>
        </a:fontRef>
      </cdr:style>
    </cdr:cxnSp>
  </cdr:relSizeAnchor>
</c:userShapes>
</file>

<file path=xl/drawings/drawing42.xml><?xml version="1.0" encoding="utf-8"?>
<c:userShapes xmlns:c="http://schemas.openxmlformats.org/drawingml/2006/chart">
  <cdr:relSizeAnchor xmlns:cdr="http://schemas.openxmlformats.org/drawingml/2006/chartDrawing">
    <cdr:from>
      <cdr:x>0.58532</cdr:x>
      <cdr:y>0.27348</cdr:y>
    </cdr:from>
    <cdr:to>
      <cdr:x>0.86309</cdr:x>
      <cdr:y>0.75298</cdr:y>
    </cdr:to>
    <cdr:cxnSp macro="">
      <cdr:nvCxnSpPr>
        <cdr:cNvPr id="3" name="Straight Arrow Connector 2">
          <a:extLst xmlns:a="http://schemas.openxmlformats.org/drawingml/2006/main">
            <a:ext uri="{FF2B5EF4-FFF2-40B4-BE49-F238E27FC236}">
              <a16:creationId xmlns:a16="http://schemas.microsoft.com/office/drawing/2014/main" id="{B9B4AA41-32BB-4955-836C-64CFEE79A1FF}"/>
            </a:ext>
          </a:extLst>
        </cdr:cNvPr>
        <cdr:cNvCxnSpPr/>
      </cdr:nvCxnSpPr>
      <cdr:spPr>
        <a:xfrm xmlns:a="http://schemas.openxmlformats.org/drawingml/2006/main" flipV="1">
          <a:off x="2676070" y="750207"/>
          <a:ext cx="1270000" cy="1315357"/>
        </a:xfrm>
        <a:prstGeom xmlns:a="http://schemas.openxmlformats.org/drawingml/2006/main" prst="straightConnector1">
          <a:avLst/>
        </a:prstGeom>
        <a:ln xmlns:a="http://schemas.openxmlformats.org/drawingml/2006/main">
          <a:solidFill>
            <a:srgbClr val="00B050"/>
          </a:solidFill>
          <a:headEnd type="none" w="med" len="med"/>
          <a:tailEnd type="arrow" w="med" len="med"/>
        </a:ln>
      </cdr:spPr>
      <cdr:style>
        <a:lnRef xmlns:a="http://schemas.openxmlformats.org/drawingml/2006/main" idx="2">
          <a:schemeClr val="accent4"/>
        </a:lnRef>
        <a:fillRef xmlns:a="http://schemas.openxmlformats.org/drawingml/2006/main" idx="0">
          <a:schemeClr val="accent4"/>
        </a:fillRef>
        <a:effectRef xmlns:a="http://schemas.openxmlformats.org/drawingml/2006/main" idx="1">
          <a:schemeClr val="accent4"/>
        </a:effectRef>
        <a:fontRef xmlns:a="http://schemas.openxmlformats.org/drawingml/2006/main" idx="minor">
          <a:schemeClr val="tx1"/>
        </a:fontRef>
      </cdr:style>
    </cdr:cxnSp>
  </cdr:relSizeAnchor>
</c:userShapes>
</file>

<file path=xl/drawings/drawing43.xml><?xml version="1.0" encoding="utf-8"?>
<xdr:wsDr xmlns:xdr="http://schemas.openxmlformats.org/drawingml/2006/spreadsheetDrawing" xmlns:a="http://schemas.openxmlformats.org/drawingml/2006/main">
  <xdr:twoCellAnchor editAs="oneCell">
    <xdr:from>
      <xdr:col>23</xdr:col>
      <xdr:colOff>485775</xdr:colOff>
      <xdr:row>45</xdr:row>
      <xdr:rowOff>127556</xdr:rowOff>
    </xdr:from>
    <xdr:to>
      <xdr:col>33</xdr:col>
      <xdr:colOff>535740</xdr:colOff>
      <xdr:row>62</xdr:row>
      <xdr:rowOff>175731</xdr:rowOff>
    </xdr:to>
    <xdr:pic>
      <xdr:nvPicPr>
        <xdr:cNvPr id="2" name="Picture 1">
          <a:extLst>
            <a:ext uri="{FF2B5EF4-FFF2-40B4-BE49-F238E27FC236}">
              <a16:creationId xmlns:a16="http://schemas.microsoft.com/office/drawing/2014/main" id="{8654454D-9E42-5624-84E3-E2F809B611F2}"/>
            </a:ext>
          </a:extLst>
        </xdr:cNvPr>
        <xdr:cNvPicPr>
          <a:picLocks noChangeAspect="1"/>
        </xdr:cNvPicPr>
      </xdr:nvPicPr>
      <xdr:blipFill>
        <a:blip xmlns:r="http://schemas.openxmlformats.org/officeDocument/2006/relationships" r:embed="rId1"/>
        <a:stretch>
          <a:fillRect/>
        </a:stretch>
      </xdr:blipFill>
      <xdr:spPr>
        <a:xfrm>
          <a:off x="16744950" y="8500031"/>
          <a:ext cx="6869865" cy="3286675"/>
        </a:xfrm>
        <a:prstGeom prst="rect">
          <a:avLst/>
        </a:prstGeom>
      </xdr:spPr>
    </xdr:pic>
    <xdr:clientData/>
  </xdr:twoCellAnchor>
</xdr:wsDr>
</file>

<file path=xl/drawings/drawing44.xml><?xml version="1.0" encoding="utf-8"?>
<xdr:wsDr xmlns:xdr="http://schemas.openxmlformats.org/drawingml/2006/spreadsheetDrawing" xmlns:a="http://schemas.openxmlformats.org/drawingml/2006/main">
  <xdr:twoCellAnchor editAs="oneCell">
    <xdr:from>
      <xdr:col>1</xdr:col>
      <xdr:colOff>0</xdr:colOff>
      <xdr:row>37</xdr:row>
      <xdr:rowOff>31750</xdr:rowOff>
    </xdr:from>
    <xdr:to>
      <xdr:col>25</xdr:col>
      <xdr:colOff>66675</xdr:colOff>
      <xdr:row>50</xdr:row>
      <xdr:rowOff>1905</xdr:rowOff>
    </xdr:to>
    <xdr:pic>
      <xdr:nvPicPr>
        <xdr:cNvPr id="2" name="Hình ảnh 4" descr="Ảnh có chứa bàn&#10;&#10;Mô tả được tạo tự động">
          <a:extLst>
            <a:ext uri="{FF2B5EF4-FFF2-40B4-BE49-F238E27FC236}">
              <a16:creationId xmlns:a16="http://schemas.microsoft.com/office/drawing/2014/main" id="{00000000-0008-0000-0D00-000002000000}"/>
            </a:ext>
          </a:extLst>
        </xdr:cNvPr>
        <xdr:cNvPicPr/>
      </xdr:nvPicPr>
      <xdr:blipFill>
        <a:blip xmlns:r="http://schemas.openxmlformats.org/officeDocument/2006/relationships" r:embed="rId1"/>
        <a:stretch>
          <a:fillRect/>
        </a:stretch>
      </xdr:blipFill>
      <xdr:spPr>
        <a:xfrm>
          <a:off x="0" y="6432550"/>
          <a:ext cx="5559425" cy="228155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https://bscvn.sharepoint.com/sites/Teamnhmngnh/Shared%20Documents/General/04.%20Publish%20Report%20-%20B&#225;o%20c&#225;o%20ng&#224;nh/SECTOR%20Report/4.%20Logistics,%20Export,%20F&amp;B%20-%20Retail/Q3_2025/MWG/New%20folder/MWG_B&#192;N%20C&#7900;.xlsx" TargetMode="External"/><Relationship Id="rId1" Type="http://schemas.openxmlformats.org/officeDocument/2006/relationships/externalLinkPath" Target="https://bscvn.sharepoint.com/sites/Teamnhmngnh/Shared%20Documents/General/04.%20Publish%20Report%20-%20B&#225;o%20c&#225;o%20ng&#224;nh/SECTOR%20Report/4.%20Logistics,%20Export,%20F&amp;B%20-%20Retail/Q4_2025/MWG/New%20folder/MWG_B&#192;N%20C&#790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óm tắt_hđkd"/>
      <sheetName val="GaugeChart"/>
      <sheetName val="Data"/>
      <sheetName val="visual_earning"/>
      <sheetName val="Milestones"/>
      <sheetName val="Sheet4"/>
      <sheetName val="Sheet2"/>
      <sheetName val="Timeline"/>
      <sheetName val="org chart"/>
      <sheetName val="Timeline (2)"/>
      <sheetName val="Sheet3"/>
      <sheetName val="Sheet1"/>
    </sheetNames>
    <sheetDataSet>
      <sheetData sheetId="0"/>
      <sheetData sheetId="1"/>
      <sheetData sheetId="2"/>
      <sheetData sheetId="3"/>
      <sheetData sheetId="4">
        <row r="80">
          <cell r="L80">
            <v>4482.0231993790003</v>
          </cell>
          <cell r="M80">
            <v>6008.3488080699972</v>
          </cell>
          <cell r="N80">
            <v>7121.3625952399998</v>
          </cell>
          <cell r="O80">
            <v>7094.302021962998</v>
          </cell>
          <cell r="P80">
            <v>10221.467566597996</v>
          </cell>
          <cell r="Q80">
            <v>2087.4460145259982</v>
          </cell>
          <cell r="R80">
            <v>4468.6229806810024</v>
          </cell>
        </row>
      </sheetData>
      <sheetData sheetId="5"/>
      <sheetData sheetId="6"/>
      <sheetData sheetId="7"/>
      <sheetData sheetId="8"/>
      <sheetData sheetId="9"/>
      <sheetData sheetId="10"/>
      <sheetData sheetId="11"/>
    </sheetDataSet>
  </externalBook>
</externalLink>
</file>

<file path=xl/persons/person.xml><?xml version="1.0" encoding="utf-8"?>
<personList xmlns="http://schemas.microsoft.com/office/spreadsheetml/2018/threadedcomments" xmlns:x="http://schemas.openxmlformats.org/spreadsheetml/2006/main">
  <person displayName="Chan Minh" id="{9CB02F00-CA06-4AD7-B4AD-6FAB473100FA}" userId="efd6a1cc26bebc05" providerId="Windows Live"/>
  <person displayName="Pham Thi Minh Chau" id="{415EF8FB-7F8C-4B04-BEE3-16F2C766557C}" userId="S::chauptm@bsc.com.vn::e3c797ba-3a29-4aed-a0cc-3ccba9980a02" providerId="AD"/>
</personList>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00000000-0016-0000-0500-000000000000}" autoFormatId="16" applyNumberFormats="0" applyBorderFormats="0" applyFontFormats="0" applyPatternFormats="0" applyAlignmentFormats="0" applyWidthHeightFormats="0">
  <queryTableRefresh nextId="8" unboundColumnsRight="5">
    <queryTableFields count="6">
      <queryTableField id="1" name="Column1" tableColumnId="2"/>
      <queryTableField id="2" dataBound="0" tableColumnId="3"/>
      <queryTableField id="7" dataBound="0" tableColumnId="6"/>
      <queryTableField id="6" dataBound="0" tableColumnId="7"/>
      <queryTableField id="5" dataBound="0" tableColumnId="8"/>
      <queryTableField id="3" dataBound="0" tableColumnId="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1" xr16:uid="{00000000-0016-0000-1300-000001000000}" autoFormatId="16" applyNumberFormats="0" applyBorderFormats="0" applyFontFormats="0" applyPatternFormats="0" applyAlignmentFormats="0" applyWidthHeightFormats="0">
  <queryTableRefresh nextId="2">
    <queryTableFields count="1">
      <queryTableField id="1" name="Column3.2.1.1" tableColumnId="1"/>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linkedentity">
      <keyFlags>
        <key name="%cvi">
          <flag name="ShowInCardView" value="0"/>
          <flag name="ShowInDotNotation" value="0"/>
          <flag name="ShowInAutoComplete" value="0"/>
          <flag name="ExcludeFromCalcComparison" value="1"/>
        </key>
      </keyFlags>
      <extLst>
        <x:ext xmlns:xlrvr="http://schemas.microsoft.com/office/spreadsheetml/2020/richvaluerefresh" uri="{6D21E516-79A1-49C6-A8DF-7D825B72F6C7}">
          <xlrvr:refreshIntervals>
            <xlrvr:refreshInterval resourceIdInt="268435456" interval="-1"/>
          </xlrvr:refreshIntervals>
        </x:ext>
      </extLst>
    </type>
    <type name="_linkedentitycore">
      <keyFlags>
        <key name="%EntityServiceId">
          <flag name="ShowInCardView" value="0"/>
          <flag name="ShowInDotNotation" value="0"/>
          <flag name="ShowInAutoComplete" value="0"/>
        </key>
        <key name="%EntitySubDomain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s>
</rvTypesInfo>
</file>

<file path=xl/richData/rdrichvalue.xml><?xml version="1.0" encoding="utf-8"?>
<rvData xmlns="http://schemas.microsoft.com/office/spreadsheetml/2017/richdata" count="11">
  <rv s="0">
    <v>0</v>
    <v>EUR/VND</v>
    <v>2</v>
    <v>3</v>
    <v>Finance</v>
    <v>4</v>
    <v>en-US</v>
    <v>av93ec</v>
    <v>268435456</v>
    <v>1</v>
    <v>Powered by Refinitiv</v>
    <v>31392.01</v>
    <v>25555.43</v>
    <v>-55.08</v>
    <v>-1.8010000000000001E-3</v>
    <v>VND</v>
    <v>EUR</v>
    <v>Currency Pair</v>
    <v>46032.179363425923</v>
    <v>Euro/Vietnam Dong FX Cross Rate</v>
    <v>30578.93</v>
    <v>30523.85</v>
    <v>EURVND</v>
    <v>EUR/VND</v>
  </rv>
  <rv s="1">
    <v>0</v>
  </rv>
  <rv s="2">
    <v>https://www.bing.com/financeapi/forcetrigger?t=aqjooc&amp;q=XSTC%3aMWG&amp;form=skydnc</v>
    <v>Learn more on Bing</v>
  </rv>
  <rv s="3">
    <v>5</v>
    <v>MOBILE WORLD INVESTMENT CORPORATION (XSTC:MWG)</v>
    <v>6</v>
    <v>7</v>
    <v>Finance</v>
    <v>8</v>
    <v>en-US</v>
    <v>aqjooc</v>
    <v>268435456</v>
    <v>1</v>
    <v>Powered by Refinitiv</v>
    <v>90000</v>
    <v>45101</v>
    <v>0.94369999999999998</v>
    <v>-1500</v>
    <v>-1.7142999999999999E-2</v>
    <v>VND</v>
    <v>Mobile World Investment Corp is a Vietnam-based company active in the retail sale industry, primarily computer and electronics retailing. The Company is engaged in the operations of several retail chains in the forms of physical and electronic stores, namely DienmayXANH.com, thegioididong.com, BachhoaXANH.com and BigPhone.com. Thegioididong.com chain specializes in the retail sale of digital products including mobile phones, tablets, laptops and accessories for these products. Dienmayxanh.com chain specializes in the retail sale of consumer electronic products and household appliances, such as televisions, karaoke systems, refrigerators, washing machines, rice cookers, blenders, irons, microwave ovens and vacuum cleaners, etc. BachhoaXANH.com is a chain of supermarkets and grocery stores. BigPhone.com sells mobile phones and accessories in Cambodia.</v>
    <v>61201</v>
    <v>Hochiminh Stock Exchange</v>
    <v>XSTC</v>
    <v>XSTC</v>
    <v>No. 222 Yersin, Thu Dau Mot Ward, HO CHI MINH, HO CHI MINH VN</v>
    <v>87500</v>
    <v>Specialty Retailers</v>
    <v>Stock</v>
    <v>46031.336805555555</v>
    <v>2</v>
    <v>85600</v>
    <v>126287300000000</v>
    <v>MOBILE WORLD INVESTMENT CORPORATION</v>
    <v>MOBILE WORLD INVESTMENT CORPORATION</v>
    <v>86400</v>
    <v>22.72</v>
    <v>87500</v>
    <v>86000</v>
    <v>1468457000</v>
    <v>MWG</v>
    <v>MOBILE WORLD INVESTMENT CORPORATION (XSTC:MWG)</v>
    <v>6472200</v>
    <v>7054040</v>
    <v>2009</v>
  </rv>
  <rv s="1">
    <v>3</v>
  </rv>
  <rv s="4">
    <v>12</v>
    <v>Price</v>
    <v>0</v>
  </rv>
  <rv s="4">
    <v>12</v>
    <v>Market cap</v>
    <v>0</v>
  </rv>
  <rv s="4">
    <v>12</v>
    <v>P/E</v>
    <v>0</v>
  </rv>
  <rv s="4">
    <v>12</v>
    <v>Shares outstanding</v>
    <v>0</v>
  </rv>
  <rv s="4">
    <v>12</v>
    <v>Beta</v>
    <v>0</v>
  </rv>
  <rv s="5">
    <v>12</v>
    <v>1</v>
  </rv>
</rvData>
</file>

<file path=xl/richData/rdrichvaluestructure.xml><?xml version="1.0" encoding="utf-8"?>
<rvStructures xmlns="http://schemas.microsoft.com/office/spreadsheetml/2017/richdata" count="6">
  <s t="_linkedentitycore">
    <k n="_Display" t="spb"/>
    <k n="_DisplayString" t="s"/>
    <k n="_Flags" t="spb"/>
    <k n="_Format" t="spb"/>
    <k n="_Icon" t="s"/>
    <k n="_SubLabel" t="spb"/>
    <k n="%EntityCulture" t="s"/>
    <k n="%EntityId" t="s"/>
    <k n="%EntityServiceId"/>
    <k n="%IsRefreshable" t="b"/>
    <k n="%ProviderInfo" t="s"/>
    <k n="52 week high"/>
    <k n="52 week low"/>
    <k n="Change"/>
    <k n="Change (%)"/>
    <k n="Currency" t="s"/>
    <k n="From currency" t="s"/>
    <k n="Instrument type" t="s"/>
    <k n="Last trade time"/>
    <k n="Name" t="s"/>
    <k n="Previous close"/>
    <k n="Price"/>
    <k n="Ticker symbol" t="s"/>
    <k n="UniqueName" t="s"/>
  </s>
  <s t="_linkedentity">
    <k n="%cvi" t="r"/>
  </s>
  <s t="_hyperlink">
    <k n="Address" t="s"/>
    <k n="Text" t="s"/>
  </s>
  <s t="_linkedentitycore">
    <k n="_Display" t="spb"/>
    <k n="_DisplayString" t="s"/>
    <k n="_Flags" t="spb"/>
    <k n="_Format" t="spb"/>
    <k n="_Icon" t="s"/>
    <k n="_SubLabel" t="spb"/>
    <k n="%EntityCulture" t="s"/>
    <k n="%EntityId" t="s"/>
    <k n="%EntityServiceId"/>
    <k n="%IsRefreshable" t="b"/>
    <k n="%ProviderInfo" t="s"/>
    <k n="52 week high"/>
    <k n="52 week low"/>
    <k n="Beta"/>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Shares outstanding"/>
    <k n="Ticker symbol" t="s"/>
    <k n="UniqueName" t="s"/>
    <k n="Volume"/>
    <k n="Volume average"/>
    <k n="Year incorporated"/>
  </s>
  <s t="_error">
    <k n="errorType" t="i"/>
    <k n="field" t="s"/>
    <k n="subType" t="i"/>
  </s>
  <s t="_error">
    <k n="errorType" t="i"/>
    <k n="propagated" t="b"/>
  </s>
</rvStructures>
</file>

<file path=xl/richData/rdsupportingpropertybag.xml><?xml version="1.0" encoding="utf-8"?>
<supportingPropertyBags xmlns="http://schemas.microsoft.com/office/spreadsheetml/2017/richdata2">
  <spbArrays count="2">
    <a count="24">
      <v t="s">%EntityServiceId</v>
      <v t="s">_Format</v>
      <v t="s">%IsRefreshable</v>
      <v t="s">%EntityCulture</v>
      <v t="s">%EntityId</v>
      <v t="s">_Icon</v>
      <v t="s">_Display</v>
      <v t="s">Name</v>
      <v t="s">Price</v>
      <v t="s">_SubLabel</v>
      <v t="s">Last trade time</v>
      <v t="s">Ticker symbol</v>
      <v t="s">Change</v>
      <v t="s">Change (%)</v>
      <v t="s">Currency</v>
      <v t="s">From currency</v>
      <v t="s">Previous close</v>
      <v t="s">52 week high</v>
      <v t="s">52 week low</v>
      <v t="s">Instrument type</v>
      <v t="s">_Flags</v>
      <v t="s">UniqueName</v>
      <v t="s">_DisplayString</v>
      <v t="s">%ProviderInfo</v>
    </a>
    <a count="42">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P/E</v>
      <v t="s">Shares outstanding</v>
      <v t="s">Description</v>
      <v t="s">Employees</v>
      <v t="s">Headquarters</v>
      <v t="s">Industry</v>
      <v t="s">Instrument type</v>
      <v t="s">Year incorporated</v>
      <v t="s">_Flags</v>
      <v t="s">UniqueName</v>
      <v t="s">_DisplayString</v>
      <v t="s">LearnMoreOnLink</v>
      <v t="s">ExchangeID</v>
      <v t="s">%ProviderInfo</v>
    </a>
  </spbArrays>
  <spbData count="9">
    <spb s="0">
      <v>0</v>
      <v>Name</v>
    </spb>
    <spb s="1">
      <v>0</v>
      <v>0</v>
      <v>0</v>
    </spb>
    <spb s="2">
      <v>1</v>
      <v>1</v>
    </spb>
    <spb s="3">
      <v>1</v>
      <v>2</v>
      <v>2</v>
      <v>3</v>
      <v>2</v>
      <v>2</v>
      <v>2</v>
      <v>4</v>
      <v>5</v>
    </spb>
    <spb s="4">
      <v>GMT</v>
    </spb>
    <spb s="5">
      <v>1</v>
      <v>Name</v>
      <v>LearnMoreOnLink</v>
    </spb>
    <spb s="6">
      <v>1</v>
      <v>1</v>
      <v>1</v>
      <v>1</v>
    </spb>
    <spb s="7">
      <v>2</v>
      <v>6</v>
      <v>6</v>
      <v>2</v>
      <v>1</v>
      <v>2</v>
      <v>2</v>
      <v>2</v>
      <v>7</v>
      <v>7</v>
      <v>3</v>
      <v>8</v>
      <v>2</v>
      <v>2</v>
      <v>2</v>
      <v>7</v>
      <v>4</v>
      <v>9</v>
      <v>5</v>
      <v>7</v>
    </spb>
    <spb s="8">
      <v>Delayed 15 minutes</v>
      <v>from previous close</v>
      <v>from previous close</v>
      <v>GMT</v>
    </spb>
  </spbData>
</supportingPropertyBags>
</file>

<file path=xl/richData/rdsupportingpropertybagstructure.xml><?xml version="1.0" encoding="utf-8"?>
<spbStructures xmlns="http://schemas.microsoft.com/office/spreadsheetml/2017/richdata2" count="9">
  <s>
    <k n="^Order" t="spba"/>
    <k n="TitleProperty" t="s"/>
  </s>
  <s>
    <k n="ShowInCardView" t="b"/>
    <k n="ShowInDotNotation" t="b"/>
    <k n="ShowInAutoComplete" t="b"/>
  </s>
  <s>
    <k n="UniqueName" t="spb"/>
    <k n="`%ProviderInfo" t="spb"/>
  </s>
  <s>
    <k n="Name" t="i"/>
    <k n="Price" t="i"/>
    <k n="Change" t="i"/>
    <k n="Change (%)" t="i"/>
    <k n="52 week low" t="i"/>
    <k n="52 week high" t="i"/>
    <k n="Previous close" t="i"/>
    <k n="Last trade time" t="i"/>
    <k n="`%EntityServiceId" t="i"/>
  </s>
  <s>
    <k n="Last trade time" t="s"/>
  </s>
  <s>
    <k n="^Order" t="spba"/>
    <k n="TitleProperty" t="s"/>
    <k n="SubTitleProperty" t="s"/>
  </s>
  <s>
    <k n="ExchangeID" t="spb"/>
    <k n="UniqueName" t="spb"/>
    <k n="`%ProviderInfo" t="spb"/>
    <k n="LearnMoreOnLink" t="spb"/>
  </s>
  <s>
    <k n="Low" t="i"/>
    <k n="P/E" t="i"/>
    <k n="Beta" t="i"/>
    <k n="High" t="i"/>
    <k n="Name" t="i"/>
    <k n="Open" t="i"/>
    <k n="Price" t="i"/>
    <k n="Change" t="i"/>
    <k n="Volume" t="i"/>
    <k n="Employees" t="i"/>
    <k n="Change (%)" t="i"/>
    <k n="Market cap" t="i"/>
    <k n="52 week low" t="i"/>
    <k n="52 week high" t="i"/>
    <k n="Previous close" t="i"/>
    <k n="Volume average" t="i"/>
    <k n="Last trade time" t="i"/>
    <k n="Year incorporated" t="i"/>
    <k n="`%EntityServiceId" t="i"/>
    <k n="Shares outstanding" t="i"/>
  </s>
  <s>
    <k n="Price" t="s"/>
    <k n="Change" t="s"/>
    <k n="Change (%)" t="s"/>
    <k n="Last trade time" t="s"/>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7">
    <x:dxf>
      <x:numFmt numFmtId="0" formatCode="General"/>
    </x:dxf>
    <x:dxf>
      <x:numFmt numFmtId="4" formatCode="#,##0.00"/>
    </x:dxf>
    <x:dxf>
      <x:numFmt numFmtId="3" formatCode="#,##0"/>
    </x:dxf>
    <x:dxf>
      <x:numFmt numFmtId="14" formatCode="0.00%"/>
    </x:dxf>
    <x:dxf>
      <x:numFmt numFmtId="27" formatCode="d/m/yy\ hh:mm"/>
    </x:dxf>
    <x:dxf>
      <x:numFmt numFmtId="1" formatCode="0"/>
    </x:dxf>
    <x:dxf>
      <x:numFmt numFmtId="2" formatCode="0.00"/>
    </x:dxf>
  </dxfs>
  <richProperties>
    <rPr n="IsTitleField" t="b"/>
    <rPr n="NumberFormat" t="s"/>
  </richProperties>
  <richStyles>
    <rSty>
      <rpv i="0">1</rpv>
    </rSty>
    <rSty dxfid="0">
      <rpv i="1">_([$₫-en-VN]* #,##0.00_);_([$₫-en-VN]* (#,##0.00);_([$₫-en-VN]* "-"??_);_(@_)</rpv>
    </rSty>
    <rSty dxfid="3"/>
    <rSty dxfid="4"/>
    <rSty dxfid="6">
      <rpv i="1">0.00</rpv>
    </rSty>
    <rSty dxfid="1">
      <rpv i="1">#,##0.00</rpv>
    </rSty>
    <rSty dxfid="2">
      <rpv i="1">#,##0</rpv>
    </rSty>
    <rSty dxfid="0">
      <rpv i="1">_([$₫-en-VN]* #,##0_);_([$₫-en-VN]* (#,##0);_([$₫-en-VN]* "-"_);_(@_)</rpv>
    </rSty>
    <rSty dxfid="5">
      <rpv i="1">0</rpv>
    </rSty>
  </richStyles>
</richStyleSheet>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1EE0A99-5E4A-4F4F-9735-1FF326B41F11}" name="tinh_mwg_15" displayName="tinh_mwg_15" ref="B1:G65" tableType="queryTable" totalsRowCount="1">
  <autoFilter ref="B1:G64" xr:uid="{4A204794-CFA0-4423-B0FB-556D74A8F9E6}"/>
  <tableColumns count="6">
    <tableColumn id="2" xr3:uid="{C9BBFD64-8268-411C-8C29-1AC1A1A46C3A}" uniqueName="2" name="Column1" queryTableFieldId="1" dataDxfId="55" totalsRowCellStyle="Normal 6"/>
    <tableColumn id="3" xr3:uid="{157C6F95-A684-465E-A8FF-A6DD2078A083}" uniqueName="3" name="MWG" totalsRowFunction="custom" queryTableFieldId="2" dataDxfId="54" totalsRowCellStyle="Normal 6">
      <totalsRowFormula>SUM(C2:C64)</totalsRowFormula>
    </tableColumn>
    <tableColumn id="6" xr3:uid="{D4B8A6EE-1274-4E0D-9278-04ACA563FE9D}" uniqueName="6" name="FRT" queryTableFieldId="7" dataCellStyle="Normal 6"/>
    <tableColumn id="7" xr3:uid="{A0DE3E29-990B-4A41-B742-220FD1F3F7D0}" uniqueName="7" name="Column22" queryTableFieldId="6" dataCellStyle="Normal 6"/>
    <tableColumn id="8" xr3:uid="{2C0774D0-5ECA-4160-8D7B-C5B0EFF2CF4E}" uniqueName="8" name="Column23" queryTableFieldId="5" dataCellStyle="Normal 6"/>
    <tableColumn id="4" xr3:uid="{84971784-4BFA-48A2-B78C-EDFA08EC33BC}" uniqueName="4" name="Column3" queryTableFieldId="3" dataDxfId="53" totalsRowCellStyle="Normal 6"/>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4E9D7BF-517C-4C07-A0A8-C9DB3E90465D}" name="Table_rev_ce__23" displayName="Table_rev_ce__23" ref="A1:A148" tableType="queryTable" totalsRowShown="0">
  <autoFilter ref="A1:A148" xr:uid="{E1B97D92-CBDC-497E-A475-C16F628D17F8}"/>
  <tableColumns count="1">
    <tableColumn id="1" xr3:uid="{F3EED197-2741-44A8-9034-2914A74C4B46}" uniqueName="1" name="Column3.2.1.1" queryTableFieldId="1" dataDxfId="5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BSC theme">
      <a:dk1>
        <a:sysClr val="windowText" lastClr="000000"/>
      </a:dk1>
      <a:lt1>
        <a:sysClr val="window" lastClr="FFFFFF"/>
      </a:lt1>
      <a:dk2>
        <a:srgbClr val="44546A"/>
      </a:dk2>
      <a:lt2>
        <a:srgbClr val="E7E6E6"/>
      </a:lt2>
      <a:accent1>
        <a:srgbClr val="015998"/>
      </a:accent1>
      <a:accent2>
        <a:srgbClr val="006B8F"/>
      </a:accent2>
      <a:accent3>
        <a:srgbClr val="028889"/>
      </a:accent3>
      <a:accent4>
        <a:srgbClr val="007982"/>
      </a:accent4>
      <a:accent5>
        <a:srgbClr val="FFC132"/>
      </a:accent5>
      <a:accent6>
        <a:srgbClr val="FECB51"/>
      </a:accent6>
      <a:hlink>
        <a:srgbClr val="015998"/>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BSC theme">
    <a:dk1>
      <a:sysClr val="windowText" lastClr="000000"/>
    </a:dk1>
    <a:lt1>
      <a:sysClr val="window" lastClr="FFFFFF"/>
    </a:lt1>
    <a:dk2>
      <a:srgbClr val="44546A"/>
    </a:dk2>
    <a:lt2>
      <a:srgbClr val="E7E6E6"/>
    </a:lt2>
    <a:accent1>
      <a:srgbClr val="015998"/>
    </a:accent1>
    <a:accent2>
      <a:srgbClr val="006B8F"/>
    </a:accent2>
    <a:accent3>
      <a:srgbClr val="028889"/>
    </a:accent3>
    <a:accent4>
      <a:srgbClr val="007982"/>
    </a:accent4>
    <a:accent5>
      <a:srgbClr val="FFC132"/>
    </a:accent5>
    <a:accent6>
      <a:srgbClr val="FECB51"/>
    </a:accent6>
    <a:hlink>
      <a:srgbClr val="015998"/>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readedComments/threadedComment1.xml><?xml version="1.0" encoding="utf-8"?>
<ThreadedComments xmlns="http://schemas.microsoft.com/office/spreadsheetml/2018/threadedcomments" xmlns:x="http://schemas.openxmlformats.org/spreadsheetml/2006/main">
  <threadedComment ref="A3" dT="2025-12-30T05:57:47.60" personId="{415EF8FB-7F8C-4B04-BEE3-16F2C766557C}" id="{BD602FE3-2D71-4C1C-AB18-B3146064A343}">
    <text>Thường cái này chủ yếu bóc tách theo doanh thu vs lượng/SLCH sẽ hợp lý hơn do ít chạy còn giá mình có thể tính ngược</text>
  </threadedComment>
</ThreadedComments>
</file>

<file path=xl/threadedComments/threadedComment2.xml><?xml version="1.0" encoding="utf-8"?>
<ThreadedComments xmlns="http://schemas.microsoft.com/office/spreadsheetml/2018/threadedcomments" xmlns:x="http://schemas.openxmlformats.org/spreadsheetml/2006/main">
  <threadedComment ref="BK12" dT="2023-03-28T02:37:42.76" personId="{415EF8FB-7F8C-4B04-BEE3-16F2C766557C}" id="{1FB41CBC-6245-4665-80A0-764CD753267C}">
    <text>Giảm mạnh hơn kì vọng -25%</text>
  </threadedComment>
  <threadedComment ref="CD13" dT="2023-08-12T13:51:24.04" personId="{415EF8FB-7F8C-4B04-BEE3-16F2C766557C}" id="{A769359D-33B6-409E-BE90-ECA47AFE7959}">
    <text>Cắt sóng 3g toàn quốc</text>
  </threadedComment>
  <threadedComment ref="BJ25" dT="2023-03-28T02:38:45.48" personId="{415EF8FB-7F8C-4B04-BEE3-16F2C766557C}" id="{4673C50F-DFD8-48FE-BD64-86ADDED3EE03}">
    <text>Kì vọng chỉ giảm 25%</text>
  </threadedComment>
  <threadedComment ref="BS32" dT="2023-11-15T05:30:05.72" personId="{415EF8FB-7F8C-4B04-BEE3-16F2C766557C}" id="{4999349B-8B94-465E-B9C2-05CCA94FA4B6}">
    <text>Tính đến 15/11 đóng 83 ch TGDĐ+ĐMX- 3269ch</text>
  </threadedComment>
  <threadedComment ref="BS32" dT="2023-11-15T05:44:17.55" personId="{415EF8FB-7F8C-4B04-BEE3-16F2C766557C}" id="{2B4BC499-42F7-4D8D-860A-7A303C0530E7}" parentId="{4999349B-8B94-465E-B9C2-05CCA94FA4B6}">
    <text xml:space="preserve">Iphne đóng góp 2k1bn
</text>
  </threadedComment>
  <threadedComment ref="CJ42" dT="2025-04-29T08:28:14.74" personId="{415EF8FB-7F8C-4B04-BEE3-16F2C766557C}" id="{DD74042A-42CA-42D5-A0BC-55E023313523}">
    <text>50% Mở ở miền trung</text>
  </threadedComment>
  <threadedComment ref="CR48" dT="2025-11-21T03:29:31.92" personId="{415EF8FB-7F8C-4B04-BEE3-16F2C766557C}" id="{E597E7B1-382F-49B8-B624-E17950431687}">
    <text>Bão ở miền trung</text>
  </threadedComment>
  <threadedComment ref="A49" dT="2023-12-13T06:45:35.00" personId="{415EF8FB-7F8C-4B04-BEE3-16F2C766557C}" id="{47094A1E-EEBB-437E-8035-7BEA465EB742}">
    <text>Số lượng cửa hàng hoạt động&gt;=1y</text>
  </threadedComment>
  <threadedComment ref="A52" dT="2023-12-13T06:47:49.95" personId="{415EF8FB-7F8C-4B04-BEE3-16F2C766557C}" id="{71755767-E0CB-49D5-8159-5356C249B356}">
    <text>SLCH mở mới dưới 1y
Gỉa định thời gian mở mới + DT sv CH cũ
1m -0.2 cũ
3m- 0.5 cũ
5m-0.7 cũ
2m-0.9 cũ</text>
  </threadedComment>
  <threadedComment ref="BL62" dT="2023-05-15T09:37:04.26" personId="{415EF8FB-7F8C-4B04-BEE3-16F2C766557C}" id="{9BCB3110-141A-4EC7-974E-E102D1D42450}">
    <text>Đóng CH bluetronic</text>
  </threadedComment>
</ThreadedComments>
</file>

<file path=xl/threadedComments/threadedComment3.xml><?xml version="1.0" encoding="utf-8"?>
<ThreadedComments xmlns="http://schemas.microsoft.com/office/spreadsheetml/2018/threadedcomments" xmlns:x="http://schemas.openxmlformats.org/spreadsheetml/2006/main">
  <threadedComment ref="I5" dT="2022-09-20T09:38:08.28" personId="{415EF8FB-7F8C-4B04-BEE3-16F2C766557C}" id="{63EDF3C2-7539-4700-ABC6-0F3F7426E353}">
    <text>Chiến lược xuyên suốt của MWG trong
năm 2022 là tối ưu năng lực mua hàng
và đầu tư cho các hoạt động thúc đẩy
bán hàng, chăm sóc khách hàng, nâng
cấp trải nghiệm mua sắm. Từ đó, công ty đạt tăng trưởng doanh thu và lợi nhuận thông qua việc mở rộng tập khách hàng, tăng lượt mua sắm và sản lượng tiêu thụ, không đặt mục tiêu tăng biên lợi nhuận gộp</text>
  </threadedComment>
  <threadedComment ref="J8" dT="2022-11-15T05:41:14.76" personId="{415EF8FB-7F8C-4B04-BEE3-16F2C766557C}" id="{7A7DBA75-A93B-4994-A8AE-B7EA846880FA}">
    <text xml:space="preserve">Câu chuyện IP có thể nâng hạng thị trường VN (c3) khi các thị trường c1 truyền thống như TQ suy giảm </text>
  </threadedComment>
  <threadedComment ref="AS8" dT="2023-05-08T06:58:26.30" personId="{415EF8FB-7F8C-4B04-BEE3-16F2C766557C}" id="{416F886B-B601-4D18-BC03-9CF28BC02AFE}">
    <text xml:space="preserve">1h/2023 xấu nhất rồi vừa bị giảm về sức mua + tài chính tiêu dùng _cạnh tranh về giá =&gt; 2h/2023 phục hồi so vs 1h.23 kt bớt xâu +kích thích tiêu dùng </text>
  </threadedComment>
  <threadedComment ref="AS8" dT="2023-05-08T06:59:18.69" personId="{415EF8FB-7F8C-4B04-BEE3-16F2C766557C}" id="{CC9B3CC5-9A4F-499A-BF7B-82E04B72BB4A}" parentId="{416F886B-B601-4D18-BC03-9CF28BC02AFE}">
    <text xml:space="preserve">1h.2024: tăng trên nền thấp của 1h/2023 và 2H/2024 tài chính tiêu dùng hồi phục
</text>
  </threadedComment>
  <threadedComment ref="I23" dT="2022-09-20T09:43:16.10" personId="{415EF8FB-7F8C-4B04-BEE3-16F2C766557C}" id="{FA41A0D3-DA37-48C0-A2E4-32BF6B1AA7C8}">
    <text>Quy mô thị trường thực phẩm và
FMCGs ở Việt Nam ước tính hơn 70
tỷ đô ( kênh GT 6,700 CH (1%SLCH))- Chiếm 12.4% thị phần (2021) từ 10% (2020)</text>
  </threadedComment>
  <threadedComment ref="I30" dT="2022-09-20T09:44:51.31" personId="{415EF8FB-7F8C-4B04-BEE3-16F2C766557C}" id="{6D9D5C87-7456-4C09-BAA2-9F63995A41EB}">
    <text>Theo ước tính của BMI, thị
trường dược phẩm Việt Nam
năm 2021 tăng trưởng 10% so với
năm 2020 và đạt hơn 5 tỷ đô. 
Giá trị thị trường này dự kiến sẽ tiếp tục
duy trì đà tăng trưởng và đạt 7,8 tỷ
đô vào năm 2025 chủ yếu nhờ dân
số tăng và tốc độ đô thị hóa nhanh.</text>
  </threadedComment>
  <threadedComment ref="AO47" dT="2023-05-11T03:45:42.22" personId="{415EF8FB-7F8C-4B04-BEE3-16F2C766557C}" id="{88E59EC3-F4F6-459D-9B86-2330BCAB54A6}">
    <text xml:space="preserve">BHX- 353.7 +blutronic -89 (one off)-An Khang -74.28
</text>
  </threadedComment>
  <threadedComment ref="AR53" dT="2024-02-01T06:11:35.24" personId="{415EF8FB-7F8C-4B04-BEE3-16F2C766557C}" id="{8198913E-5BD8-47BD-BCF1-68F44E8109A1}">
    <text>Cái này đã được tính trong cp khác?</text>
  </threadedComment>
  <threadedComment ref="AX53" dT="2025-07-31T08:18:58.90" personId="{415EF8FB-7F8C-4B04-BEE3-16F2C766557C}" id="{AC62143F-D441-4F62-B25E-90C9AF0B83FF}">
    <text xml:space="preserve">Cái này cũng có thể truy vết từ tgdđ+đmx
</text>
  </threadedComment>
  <threadedComment ref="A71" dT="2022-09-22T03:53:50.92" personId="{415EF8FB-7F8C-4B04-BEE3-16F2C766557C}" id="{1EC5DD97-32F3-49A2-A89C-1C0FA0F60E0E}">
    <text>DMX mini 300-400m2</text>
  </threadedComment>
  <threadedComment ref="A71" dT="2022-09-22T03:54:49.72" personId="{415EF8FB-7F8C-4B04-BEE3-16F2C766557C}" id="{C13E9A3A-8600-4193-8B73-D87AA93E930A}" parentId="{1EC5DD97-32F3-49A2-A89C-1C0FA0F60E0E}">
    <text>DMS 120M2-150M2</text>
  </threadedComment>
  <threadedComment ref="AP86" dT="2023-04-13T06:21:29.73" personId="{415EF8FB-7F8C-4B04-BEE3-16F2C766557C}" id="{AEDABD09-DEE9-4567-A9B1-3114D78B3ABD}">
    <text>Mùa nóng- mùa cao điêm của máy lạnh</text>
  </threadedComment>
  <threadedComment ref="AR86" dT="2023-11-14T01:02:34.92" personId="{415EF8FB-7F8C-4B04-BEE3-16F2C766557C}" id="{4566E096-A884-4DDA-BE70-229498DEF1E8}">
    <text>Dự kiến book thêm khoản rebate để cover cho đóng chuỗi</text>
  </threadedComment>
  <threadedComment ref="AS87" dT="2024-05-02T03:58:39.20" personId="{415EF8FB-7F8C-4B04-BEE3-16F2C766557C}" id="{EAC35F36-2D5B-4087-BC12-63F895F2D65B}">
    <text>Cái này có rebate của apple nữa nhé</text>
  </threadedComment>
  <threadedComment ref="K88" dT="2023-12-11T06:42:25.21" personId="{415EF8FB-7F8C-4B04-BEE3-16F2C766557C}" id="{9F314CD2-D25E-4EA8-AE00-88CA45C54493}">
    <text>Giảm nhờ 
(1) đóng CH kém hiệu quả 
(2) không phát sinh one off 
(3) hết khấu hao 227 tỏi</text>
  </threadedComment>
  <threadedComment ref="K88" dT="2024-02-27T07:22:02.26" personId="{415EF8FB-7F8C-4B04-BEE3-16F2C766557C}" id="{D2EBEE59-709E-40A4-B33F-05F33F24DB0C}" parentId="{9F314CD2-D25E-4EA8-AE00-88CA45C54493}">
    <text>Tái cấu trúc cơ chế lương theo hướng hiệu quả và bỏ vị trí AM</text>
  </threadedComment>
  <threadedComment ref="AR88" dT="2023-11-14T01:05:16.97" personId="{415EF8FB-7F8C-4B04-BEE3-16F2C766557C}" id="{C1145D51-3BE7-405E-AAB2-A6BCCA8CF2C7}">
    <text>Đóng thêm 200 CH x 1.5bln/ch =300bn</text>
  </threadedComment>
  <threadedComment ref="AR88" dT="2023-11-15T05:30:54.38" personId="{415EF8FB-7F8C-4B04-BEE3-16F2C766557C}" id="{456F50AB-F4AE-4C65-8713-268752D7BF38}" parentId="{C1145D51-3BE7-405E-AAB2-A6BCCA8CF2C7}">
    <text xml:space="preserve">15/11/2023 đóng 83 CH còn 3269
</text>
  </threadedComment>
  <threadedComment ref="AV88" dT="2023-11-29T04:25:32.99" personId="{415EF8FB-7F8C-4B04-BEE3-16F2C766557C}" id="{078F84D4-4233-40AD-994A-0EFFF17DA2E5}">
    <text>Chi phí chăm sóc KH</text>
  </threadedComment>
  <threadedComment ref="L89" dT="2025-02-23T11:05:00.87" personId="{415EF8FB-7F8C-4B04-BEE3-16F2C766557C}" id="{34575F52-887C-4739-BE97-1A2D0EE335DD}">
    <text>+197 tỷ Khấu hao giảm và thanh lý tài sản 2023-2024</text>
  </threadedComment>
  <threadedComment ref="M89" dT="2024-08-21T03:48:31.49" personId="{415EF8FB-7F8C-4B04-BEE3-16F2C766557C}" id="{1FB025D6-A49C-4E94-AC5F-3E7EBE9FE8CD}">
    <text>Hết khấu hao CH năm 2020-2021</text>
  </threadedComment>
  <threadedComment ref="AT95" dT="2024-07-31T04:13:51.47" personId="{415EF8FB-7F8C-4B04-BEE3-16F2C766557C}" id="{2F0BBD5A-D7C0-4AE0-992E-D764FE1FDFAF}">
    <text>Cái này đang tính core - không tính tới phát sinh one -off 182 ch</text>
  </threadedComment>
  <threadedComment ref="H102" dT="2022-09-20T09:48:31.99" personId="{415EF8FB-7F8C-4B04-BEE3-16F2C766557C}" id="{9C0B2ADB-2C66-4A57-849F-9EC9272A337E}">
    <text>Hàng tươi sống 45%
Thực phẩm 38%
Hóa Mỹ phẩm 17%</text>
  </threadedComment>
  <threadedComment ref="I104" dT="2022-10-13T07:55:27.27" personId="{415EF8FB-7F8C-4B04-BEE3-16F2C766557C}" id="{B6A7A197-89DC-443C-9615-B8BB422B34EB}">
    <text>năm nay sales/store giảm nhưng bù lại là đóng mấy trăm store ko hiệu quả về chi phí (logistic, rent)</text>
  </threadedComment>
  <threadedComment ref="L105" dT="2024-08-26T08:31:46.48" personId="{415EF8FB-7F8C-4B04-BEE3-16F2C766557C}" id="{F1509765-146D-4C1F-B297-EAB3221C800C}">
    <text>Room cái này còn nhiều nhờ ticket size tăng =&gt; mở chắc ăn</text>
  </threadedComment>
  <threadedComment ref="AN106" dT="2022-11-23T10:42:30.42" personId="{415EF8FB-7F8C-4B04-BEE3-16F2C766557C}" id="{F3623315-52C3-4955-A015-11FE31F64FC0}">
    <text>Tháng 10 là 1.37 đạt điểm hòa vốn ebitda</text>
  </threadedComment>
  <threadedComment ref="K110" dT="2022-12-12T04:19:00.43" personId="{415EF8FB-7F8C-4B04-BEE3-16F2C766557C}" id="{3C44EB96-702F-4345-8B17-B601CFED54F8}">
    <text>Dự địa tăng BLNG từ (1) giảm promotion + (2) spoilage rate  4-5% total sales (fresh 40-45% tổng dthu thì spoilage hơn 8%)</text>
  </threadedComment>
  <threadedComment ref="AQ110" dT="2023-11-13T08:11:36.14" personId="{415EF8FB-7F8C-4B04-BEE3-16F2C766557C}" id="{638DAB75-1466-4F4E-8159-2F0715734596}">
    <text>ngành hàng tươi sống +30%q2, +70% sv đầu năm
Mùa vụ: tăng tỷ lệ hủy</text>
  </threadedComment>
  <threadedComment ref="AS111" dT="2023-05-11T04:13:13.56" personId="{415EF8FB-7F8C-4B04-BEE3-16F2C766557C}" id="{96F04850-DAB1-477C-A3B8-97E40B9DC195}">
    <text>Tăng traffic = fresh và FMCGs là make profit</text>
  </threadedComment>
  <threadedComment ref="N114" dT="2025-05-06T05:10:42.59" personId="{415EF8FB-7F8C-4B04-BEE3-16F2C766557C}" id="{674FBDE7-120E-4071-9DC4-A0D323A7EB3D}">
    <text>40% SLCH mở ngoài sài gòn</text>
  </threadedComment>
  <threadedComment ref="AY114" dT="2025-08-26T09:11:25.84" personId="{415EF8FB-7F8C-4B04-BEE3-16F2C766557C}" id="{DE7C5B37-6C65-451B-BE4D-B676554F4931}">
    <text>Giảm do họ phải tự thu xếp</text>
  </threadedComment>
  <threadedComment ref="A115" dT="2022-12-22T03:02:31.54" personId="{415EF8FB-7F8C-4B04-BEE3-16F2C766557C}" id="{ECBB7CAF-4DE5-481B-8F7D-B3FC41ECFC7B}">
    <text>9ng (2 ca)*8.5tr*12 tháng</text>
  </threadedComment>
  <threadedComment ref="I115" dT="2022-10-13T10:31:08.44" personId="{415EF8FB-7F8C-4B04-BEE3-16F2C766557C}" id="{6ED3CEF6-4EDE-4CA3-83AA-912345A66B35}">
    <text>https://vieclam.thegioididong.com/tuyen-dung/nhan-vien-thu-ngan-bach-hoa-xanh-34</text>
  </threadedComment>
  <threadedComment ref="I115" dT="2022-10-13T10:31:20.50" personId="{415EF8FB-7F8C-4B04-BEE3-16F2C766557C}" id="{F1ABA86C-6865-40BD-90F9-435762DF4048}" parentId="{6ED3CEF6-4EDE-4CA3-83AA-912345A66B35}">
    <text>7-10tr/tháng</text>
  </threadedComment>
  <threadedComment ref="I115" dT="2022-10-13T10:33:39.17" personId="{415EF8FB-7F8C-4B04-BEE3-16F2C766557C}" id="{431C8DB4-580F-4946-B878-9CBFAEE97A92}" parentId="{6ED3CEF6-4EDE-4CA3-83AA-912345A66B35}">
    <text xml:space="preserve">https://vieclam.thegioididong.com/tuyen-dung/bao-ve-bach-hoa-xanh-33
</text>
  </threadedComment>
  <threadedComment ref="I115" dT="2022-10-13T10:33:52.59" personId="{415EF8FB-7F8C-4B04-BEE3-16F2C766557C}" id="{B5DE2256-D0A5-4492-BE19-61ACC0F0C02B}" parentId="{6ED3CEF6-4EDE-4CA3-83AA-912345A66B35}">
    <text xml:space="preserve">Bảo vệ lương 5-7 tr
</text>
  </threadedComment>
  <threadedComment ref="AQ117" dT="2023-11-29T08:56:26.19" personId="{415EF8FB-7F8C-4B04-BEE3-16F2C766557C}" id="{DE6F0D7D-1C9B-4B67-8FCD-34433B597EDF}">
    <text xml:space="preserve">Khấu hao 4-5%/dt
</text>
  </threadedComment>
  <threadedComment ref="AT117" dT="2024-08-20T10:31:35.84" personId="{415EF8FB-7F8C-4B04-BEE3-16F2C766557C}" id="{846AB030-80B5-4345-8F5E-32AFA1EBEF9B}">
    <text xml:space="preserve">80% công thức thành công – mặt bằng, phát triển nhân lực, chuỗi cung ứng lành mạnh
Chi phí DC- đạt mục tiêu, vận hành tại shop 60-70%
</text>
  </threadedComment>
  <threadedComment ref="A119" dT="2022-12-22T03:03:03.42" personId="{415EF8FB-7F8C-4B04-BEE3-16F2C766557C}" id="{FF62A417-9468-487A-8084-0C5A61674164}">
    <text xml:space="preserve">5-6%
</text>
  </threadedComment>
  <threadedComment ref="H119" dT="2022-10-13T07:52:46.39" personId="{415EF8FB-7F8C-4B04-BEE3-16F2C766557C}" id="{28BDCB6F-97C2-4A95-A180-36F0DA0836BB}">
    <text>5.5% rev</text>
  </threadedComment>
  <threadedComment ref="I119" dT="2022-10-13T07:52:55.26" personId="{415EF8FB-7F8C-4B04-BEE3-16F2C766557C}" id="{7D14595E-DCFB-461B-A96F-04948502C7E4}">
    <text>5% rev</text>
  </threadedComment>
  <threadedComment ref="J119" dT="2023-05-15T04:34:02.34" personId="{415EF8FB-7F8C-4B04-BEE3-16F2C766557C}" id="{1723A079-8DAC-4EDF-B587-D28C32E24BD2}">
    <text>Kì vọng giảm được 10%YoY</text>
  </threadedComment>
  <threadedComment ref="K120" dT="2024-08-20T06:43:11.22" personId="{415EF8FB-7F8C-4B04-BEE3-16F2C766557C}" id="{23EC0213-AE88-46FA-9574-B20B32C3466C}">
    <text>Trong cái này có cái legacy 100-110 tỷ=&gt; 400-440 tỷ/năm</text>
  </threadedComment>
  <threadedComment ref="L120" dT="2024-08-16T04:32:58.65" personId="{415EF8FB-7F8C-4B04-BEE3-16F2C766557C}" id="{3C758C0B-BB8D-4A76-AF2F-70ED365A333F}">
    <text>Xây mới tăng thêm chi phí logistic hub</text>
  </threadedComment>
  <threadedComment ref="AQ120" dT="2023-11-03T10:42:52.27" personId="{415EF8FB-7F8C-4B04-BEE3-16F2C766557C}" id="{DDA3BFF2-60B6-4023-9903-4AB95484EF24}">
    <text>Phát sinh chi phí khấu hao 367.525 (9t/2023) - 170 q3.23</text>
  </threadedComment>
  <threadedComment ref="AQ122" dT="2024-01-31T07:51:34.62" personId="{9CB02F00-CA06-4AD7-B4AD-6FAB473100FA}" id="{ACF2AD11-D3C3-4E8C-A5C9-E41259B0E938}">
    <text xml:space="preserve">Đang hiểu là book chi phí tài sản bị khấu trừ =&gt; giảm </text>
  </threadedComment>
  <threadedComment ref="A124" dT="2022-09-22T10:12:54.24" personId="{415EF8FB-7F8C-4B04-BEE3-16F2C766557C}" id="{D806DF8B-BB97-435D-AEAD-AD3919EC9488}">
    <text>Đánh giá có 2 cách giúp tăng GPM:
1. Giảm Shringage cost =&gt; tăng GPM
2. Tăng sales =&gt; Bargaining power =&gt; GPM và Optimize logistic cost</text>
  </threadedComment>
  <threadedComment ref="AX124" dT="2025-07-31T08:15:17.17" personId="{415EF8FB-7F8C-4B04-BEE3-16F2C766557C}" id="{6322FCEA-315E-4190-A65E-8E036A6BFD57}">
    <text>=-39.623/0.2+5.016/0.2</text>
  </threadedComment>
  <threadedComment ref="AL141" dT="2022-10-13T06:20:37.76" personId="{415EF8FB-7F8C-4B04-BEE3-16F2C766557C}" id="{2F66EF77-ADC8-4CE0-9B8D-DC8247CBBE91}">
    <text>Chỉ gồm chi phí thanh lý</text>
  </threadedComment>
  <threadedComment ref="J189" dT="2023-05-16T10:01:50.26" personId="{415EF8FB-7F8C-4B04-BEE3-16F2C766557C}" id="{9075E00A-8962-4CF5-B3ED-1C057D6B5CC5}">
    <text>Bluetronics lỗ 89</text>
  </threadedComment>
  <threadedComment ref="AO219" dT="2023-05-08T07:19:00.52" personId="{415EF8FB-7F8C-4B04-BEE3-16F2C766557C}" id="{6176E669-401B-4F01-8D23-ED78D0A1E446}">
    <text>Thu hút traffic</text>
  </threadedComment>
  <threadedComment ref="AO220" dT="2023-05-08T07:19:15.43" personId="{415EF8FB-7F8C-4B04-BEE3-16F2C766557C}" id="{95550258-6868-4443-ACD6-B3AD7CF7D704}">
    <text>Tạo ra lợi nhuận</text>
  </threadedComment>
  <threadedComment ref="K262" dT="2024-08-15T09:20:08.64" personId="{415EF8FB-7F8C-4B04-BEE3-16F2C766557C}" id="{5D7EFEED-D538-4596-ABF7-134C410A1C01}">
    <text xml:space="preserve">0.054 -1h/2024
</text>
  </threadedComment>
</ThreadedComments>
</file>

<file path=xl/threadedComments/threadedComment4.xml><?xml version="1.0" encoding="utf-8"?>
<ThreadedComments xmlns="http://schemas.microsoft.com/office/spreadsheetml/2018/threadedcomments" xmlns:x="http://schemas.openxmlformats.org/spreadsheetml/2006/main">
  <threadedComment ref="M269" dT="2022-09-22T10:13:16.57" personId="{415EF8FB-7F8C-4B04-BEE3-16F2C766557C}" id="{9F72D6EB-0A07-490F-90A6-C82703192B77}">
    <text>Trả 5% cổ tức 2021</text>
  </threadedComment>
</ThreadedComments>
</file>

<file path=xl/threadedComments/threadedComment5.xml><?xml version="1.0" encoding="utf-8"?>
<ThreadedComments xmlns="http://schemas.microsoft.com/office/spreadsheetml/2018/threadedcomments" xmlns:x="http://schemas.openxmlformats.org/spreadsheetml/2006/main">
  <threadedComment ref="H259" dT="2025-08-26T08:58:41.54" personId="{415EF8FB-7F8C-4B04-BEE3-16F2C766557C}" id="{5C9762E8-E702-4AB7-899E-31B8B18055E0}">
    <text>Số 2023</text>
  </threadedComment>
  <threadedComment ref="H265" dT="2025-02-23T11:10:29.13" personId="{415EF8FB-7F8C-4B04-BEE3-16F2C766557C}" id="{9802BA3E-98B3-43FC-ABA7-AF6FB20A1A0C}">
    <text>Trong số này có tăng CP revamp (800)+hưởng lợi từ giảm KH do hưởng full thanh lí năm 2022 (705)</text>
  </threadedComment>
  <threadedComment ref="I276" dT="2025-02-23T11:06:38.81" personId="{415EF8FB-7F8C-4B04-BEE3-16F2C766557C}" id="{2BEC2A9D-919B-49EC-A88C-69E515484698}">
    <text xml:space="preserve">Đóng 200ch 2023+ đóng CH 2024 (chi phí này từ nửa năm 2024 bị nhiễu với an khang (527-326)*1.2 tỷ) </text>
  </threadedComment>
  <threadedComment ref="L513" dT="2025-09-25T08:51:08.43" personId="{415EF8FB-7F8C-4B04-BEE3-16F2C766557C}" id="{B8730D3E-0371-4147-A055-CA51BEE85A3A}">
    <text>Trung bình giai đoạn tăng trưởng</text>
  </threadedComment>
</ThreadedComments>
</file>

<file path=xl/threadedComments/threadedComment6.xml><?xml version="1.0" encoding="utf-8"?>
<ThreadedComments xmlns="http://schemas.microsoft.com/office/spreadsheetml/2018/threadedcomments" xmlns:x="http://schemas.openxmlformats.org/spreadsheetml/2006/main">
  <threadedComment ref="AM6" dT="2022-12-12T06:31:48.15" personId="{415EF8FB-7F8C-4B04-BEE3-16F2C766557C}" id="{3D66B863-A640-47D8-9451-07F0C33FB143}">
    <text>AVERAGE PEER 0.6</text>
  </threadedComment>
  <threadedComment ref="AM10" dT="2022-12-12T06:31:11.50" personId="{415EF8FB-7F8C-4B04-BEE3-16F2C766557C}" id="{F2F50C10-E78A-4F7C-AD45-586CCD768676}">
    <text>AVERAGE PEER 0.42</text>
  </threadedComment>
  <threadedComment ref="M31" dT="2022-12-05T04:08:51.16" personId="{415EF8FB-7F8C-4B04-BEE3-16F2C766557C}" id="{5C93735F-14B3-44EA-BCCA-5B3656C5A613}">
    <text>Lnst&gt;=10% %Tăng LNSTx0.1 &lt;2.5% tổng số CPLH</text>
  </threadedComment>
  <threadedComment ref="AH79" dT="2024-02-27T07:48:25.97" personId="{415EF8FB-7F8C-4B04-BEE3-16F2C766557C}" id="{E81F9B5D-85C8-4B04-BEA4-1BCF6504F18E}">
    <text>Bao gồm khoản phải thu từ cho vay ngắn hạn (BS) 2K+ TM số 9 khoản phải thu lãi tiền gửi và cho vay</text>
  </threadedComment>
</ThreadedComments>
</file>

<file path=xl/threadedComments/threadedComment7.xml><?xml version="1.0" encoding="utf-8"?>
<ThreadedComments xmlns="http://schemas.microsoft.com/office/spreadsheetml/2018/threadedcomments" xmlns:x="http://schemas.openxmlformats.org/spreadsheetml/2006/main">
  <threadedComment ref="F12" dT="2025-02-24T13:42:09.33" personId="{415EF8FB-7F8C-4B04-BEE3-16F2C766557C}" id="{1EED7347-66FD-4A38-9DC6-F15983677CA8}">
    <text xml:space="preserve">Bhx 200 tỷ +tgdđ+đmx
</text>
  </threadedComment>
  <threadedComment ref="H42" dT="2024-11-19T03:20:53.07" personId="{415EF8FB-7F8C-4B04-BEE3-16F2C766557C}" id="{3818844A-D305-4F18-91A4-BE032EDCFCB5}">
    <text>Đóng mở thay thế, naangg cấp ch</text>
  </threadedComment>
  <threadedComment ref="AK44" dT="2022-10-13T09:39:16.55" personId="{415EF8FB-7F8C-4B04-BEE3-16F2C766557C}" id="{B55222BC-07E9-474B-BC50-79FE62D95516}">
    <text>Chi phí nâng cấp/CH</text>
  </threadedComment>
  <threadedComment ref="G46" dT="2024-02-29T06:25:00.72" personId="{415EF8FB-7F8C-4B04-BEE3-16F2C766557C}" id="{BB1956CD-D2E5-4211-B4B7-E72D44C70B0C}">
    <text>Capex dưới 500 tỷ, và capex cho 1 ch bhx là 1.2-2 tỷ</text>
  </threadedComment>
  <threadedComment ref="G46" dT="2025-02-24T14:53:09.34" personId="{415EF8FB-7F8C-4B04-BEE3-16F2C766557C}" id="{A40C7ADA-57EB-4DEE-8F5A-20D7BA20D7AF}" parentId="{BB1956CD-D2E5-4211-B4B7-E72D44C70B0C}">
    <text>Cái này là mở mới BHX và revamp an khang</text>
  </threadedComment>
</ThreadedComments>
</file>

<file path=xl/threadedComments/threadedComment8.xml><?xml version="1.0" encoding="utf-8"?>
<ThreadedComments xmlns="http://schemas.microsoft.com/office/spreadsheetml/2018/threadedcomments" xmlns:x="http://schemas.openxmlformats.org/spreadsheetml/2006/main">
  <threadedComment ref="C98" dT="2023-05-23T10:20:55.57" personId="{415EF8FB-7F8C-4B04-BEE3-16F2C766557C}" id="{E81F7AD9-7002-45A3-AE5B-7AF0BA697021}">
    <text>Đmx mini</text>
  </threadedComment>
</ThreadedComments>
</file>

<file path=xl/threadedComments/threadedComment9.xml><?xml version="1.0" encoding="utf-8"?>
<ThreadedComments xmlns="http://schemas.microsoft.com/office/spreadsheetml/2018/threadedcomments" xmlns:x="http://schemas.openxmlformats.org/spreadsheetml/2006/main">
  <threadedComment ref="D10" dT="2022-11-29T02:17:42.45" personId="{415EF8FB-7F8C-4B04-BEE3-16F2C766557C}" id="{BDBDED0A-7836-4AA7-AB48-038658D2D661}">
    <text>THÁNG 12/2018 đạt điểm hòa vốn EBITDA tại cửa hàng</text>
  </threadedComment>
  <threadedComment ref="E10" dT="2022-11-29T03:17:33.56" personId="{415EF8FB-7F8C-4B04-BEE3-16F2C766557C}" id="{0C73B9C1-60AB-4F86-9FCE-0775CBF82A20}">
    <text>Kết hợp bá nđồ gia dụng</text>
  </threadedComment>
  <threadedComment ref="E10" dT="2022-11-29T03:19:38.18" personId="{415EF8FB-7F8C-4B04-BEE3-16F2C766557C}" id="{DDE068D5-2C7A-44DC-9C17-8F0E0987F8B1}" parentId="{0C73B9C1-60AB-4F86-9FCE-0775CBF82A20}">
    <text>Lãi EBITDA cửa hàng</text>
  </threadedComment>
  <threadedComment ref="F10" dT="2022-11-29T03:19:52.86" personId="{415EF8FB-7F8C-4B04-BEE3-16F2C766557C}" id="{FC30B159-5CFA-4AAD-B549-17971449A5E0}">
    <text>Lãi ebita sau DC</text>
  </threadedComment>
  <threadedComment ref="G10" dT="2022-11-29T03:20:08.84" personId="{415EF8FB-7F8C-4B04-BEE3-16F2C766557C}" id="{E0BEED40-F195-4488-9001-A39E8239A157}">
    <text xml:space="preserve">Lãi ebitda toàn công ty
</text>
  </threadedComment>
  <threadedComment ref="A44" dT="2022-12-12T03:04:16.48" personId="{415EF8FB-7F8C-4B04-BEE3-16F2C766557C}" id="{CBD0B91E-07DC-41F2-BC06-45A69FDD2D15}">
    <text>The Company started its commercial operations focusing in trading of cigarette
products in 1989. Starting 2002, the Company started its retail distribution of consumer
products by operating mini-market networks
and franchise services, under the name
“Alfamart” which are located at several areas
in Jakarta, Cileungsi, Tangerang, Cikarang,
Bandung, Sidoarjo, Cirebon, Cilacap,
Semarang, Lampung, Malang, Bali, Klaten,
Makassar, Balaraja, Palembang, Bogor,
Medan, Banjarmasin, Jambi, Pekanbaru,
Pontianak, Manado, Lombok, Rembang,
Karawang, Batam, Plumbon, Serang, Cianjur,
Bekasi, Cikokol, Jember and Kota Bumi.</text>
  </threadedComment>
  <threadedComment ref="B44" dT="2022-12-12T03:08:44.74" personId="{415EF8FB-7F8C-4B04-BEE3-16F2C766557C}" id="{175F9BF4-903E-49F4-95F7-9EB27D24B41D}">
    <text>As of Sep 2022, we managed 44 warehouses, 10 Depos, 12 Store Hubs.
scattered throughout Indonesia</text>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rinterSettings" Target="../printerSettings/printerSettings2.bin"/><Relationship Id="rId5" Type="http://schemas.microsoft.com/office/2017/10/relationships/threadedComment" Target="../threadedComments/threadedComment2.xml"/><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hyperlink" Target="https://mwg.vn/uploads/2023/4/20230428---mwg---bao-cao-tai-chinh-hop-nhat-quy-1-nam-2023.pdf" TargetMode="External"/><Relationship Id="rId7" Type="http://schemas.openxmlformats.org/officeDocument/2006/relationships/printerSettings" Target="../printerSettings/printerSettings3.bin"/><Relationship Id="rId2" Type="http://schemas.openxmlformats.org/officeDocument/2006/relationships/hyperlink" Target="https://mwg.vn/uploads/2022/3/20220320---mwg---bao-cao-tai-chinh-hop-nhat-soat-xet-nam-2021_compressed-1.pdf" TargetMode="External"/><Relationship Id="rId1" Type="http://schemas.openxmlformats.org/officeDocument/2006/relationships/hyperlink" Target="https://mwg.vn/uploads/2019/11/Bao-cao-thang-10T19-VN-Final.pdf" TargetMode="External"/><Relationship Id="rId6" Type="http://schemas.openxmlformats.org/officeDocument/2006/relationships/hyperlink" Target="https://mwg.vn/uploads/2024/1/20240130---mwg---bctc-hop-nhat-quy-4-nam-2023-1.pdf" TargetMode="External"/><Relationship Id="rId11" Type="http://schemas.microsoft.com/office/2017/10/relationships/threadedComment" Target="../threadedComments/threadedComment3.xml"/><Relationship Id="rId5" Type="http://schemas.openxmlformats.org/officeDocument/2006/relationships/hyperlink" Target="https://mwg.vn/uploads/2023/10/20231030---mwg---bao-cao-tai-chinh--hop-nhat-quy-3-nam-2023_n.pdf" TargetMode="External"/><Relationship Id="rId10" Type="http://schemas.openxmlformats.org/officeDocument/2006/relationships/comments" Target="../comments3.xml"/><Relationship Id="rId4" Type="http://schemas.openxmlformats.org/officeDocument/2006/relationships/hyperlink" Target="https://mwg.vn/uploads/2023/8/20230823---mwg---bao-cao-tai-chinh-hop-nhat-ban-nien-kiem-toan-1.pdf" TargetMode="External"/><Relationship Id="rId9"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5.bin"/><Relationship Id="rId5" Type="http://schemas.microsoft.com/office/2017/10/relationships/threadedComment" Target="../threadedComments/threadedComment4.xml"/><Relationship Id="rId4" Type="http://schemas.openxmlformats.org/officeDocument/2006/relationships/comments" Target="../comments4.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9.bin"/><Relationship Id="rId1" Type="http://schemas.openxmlformats.org/officeDocument/2006/relationships/hyperlink" Target="https://vi.weatherspark.com/countries/VN"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vmlDrawing" Target="../drawings/vmlDrawing5.v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rinterSettings" Target="../printerSettings/printerSettings10.bin"/><Relationship Id="rId1" Type="http://schemas.openxmlformats.org/officeDocument/2006/relationships/hyperlink" Target="https://www.wallstreetprep.com/knowledge/football-field-valuation-real-example-excel-template/" TargetMode="External"/><Relationship Id="rId6" Type="http://schemas.microsoft.com/office/2017/10/relationships/threadedComment" Target="../threadedComments/threadedComment6.xml"/><Relationship Id="rId5" Type="http://schemas.openxmlformats.org/officeDocument/2006/relationships/comments" Target="../comments6.xml"/><Relationship Id="rId4" Type="http://schemas.openxmlformats.org/officeDocument/2006/relationships/vmlDrawing" Target="../drawings/vmlDrawing6.v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20.xml"/><Relationship Id="rId1" Type="http://schemas.openxmlformats.org/officeDocument/2006/relationships/printerSettings" Target="../printerSettings/printerSettings11.bin"/><Relationship Id="rId5" Type="http://schemas.microsoft.com/office/2017/10/relationships/threadedComment" Target="../threadedComments/threadedComment7.xml"/><Relationship Id="rId4" Type="http://schemas.openxmlformats.org/officeDocument/2006/relationships/comments" Target="../comments7.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8.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24.xml"/><Relationship Id="rId1" Type="http://schemas.openxmlformats.org/officeDocument/2006/relationships/printerSettings" Target="../printerSettings/printerSettings13.bin"/></Relationships>
</file>

<file path=xl/worksheets/_rels/sheet19.xml.rels><?xml version="1.0" encoding="UTF-8" standalone="yes"?>
<Relationships xmlns="http://schemas.openxmlformats.org/package/2006/relationships"><Relationship Id="rId3" Type="http://schemas.openxmlformats.org/officeDocument/2006/relationships/printerSettings" Target="../printerSettings/printerSettings14.bin"/><Relationship Id="rId2" Type="http://schemas.openxmlformats.org/officeDocument/2006/relationships/hyperlink" Target="mailto:fiinpro.support@fiingroup.vn" TargetMode="External"/><Relationship Id="rId1" Type="http://schemas.openxmlformats.org/officeDocument/2006/relationships/hyperlink" Target="https://fiingroup.vn/" TargetMode="External"/><Relationship Id="rId4" Type="http://schemas.openxmlformats.org/officeDocument/2006/relationships/drawing" Target="../drawings/drawing25.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15.bin"/></Relationships>
</file>

<file path=xl/worksheets/_rels/sheet2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29.xml"/><Relationship Id="rId1" Type="http://schemas.openxmlformats.org/officeDocument/2006/relationships/printerSettings" Target="../printerSettings/printerSettings16.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17.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18.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19.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7.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33.xml"/><Relationship Id="rId1" Type="http://schemas.openxmlformats.org/officeDocument/2006/relationships/hyperlink" Target="https://www.dienmayxanh.com/kinh-nghiem-hay/ky-niem-dien-may-xanhchang-duong-10-nam-voi-1000-s-1226980" TargetMode="External"/><Relationship Id="rId5" Type="http://schemas.microsoft.com/office/2017/10/relationships/threadedComment" Target="../threadedComments/threadedComment8.xml"/><Relationship Id="rId4" Type="http://schemas.openxmlformats.org/officeDocument/2006/relationships/comments" Target="../comments8.xml"/></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3" Type="http://schemas.openxmlformats.org/officeDocument/2006/relationships/hyperlink" Target="https://alfamart.co.id/storage/corporate-presentation/July2020/0dWGJD3LKdGW5K33J9HJ.pdf" TargetMode="External"/><Relationship Id="rId7" Type="http://schemas.microsoft.com/office/2017/10/relationships/threadedComment" Target="../threadedComments/threadedComment9.xml"/><Relationship Id="rId2" Type="http://schemas.openxmlformats.org/officeDocument/2006/relationships/hyperlink" Target="../../../../../../../../../../../Minh%20Chau/Model/MWG/MWG_Q1.23/The%20report%20by%20Nielsen%20also%20pointed%20out%20that%20traditional%20retail%20makes%20up%2085%20percent%20of%20total%20revenue%20of%20fast%20moving%20consumer%20goods,%20or%20$10%20billion" TargetMode="External"/><Relationship Id="rId1" Type="http://schemas.openxmlformats.org/officeDocument/2006/relationships/hyperlink" Target="https://www.statista.com/statistics/1208569/indonesia-traditional-trade-market-share-for-fmcg/" TargetMode="External"/><Relationship Id="rId6" Type="http://schemas.openxmlformats.org/officeDocument/2006/relationships/comments" Target="../comments9.xml"/><Relationship Id="rId5" Type="http://schemas.openxmlformats.org/officeDocument/2006/relationships/vmlDrawing" Target="../drawings/vmlDrawing9.vml"/><Relationship Id="rId4" Type="http://schemas.openxmlformats.org/officeDocument/2006/relationships/drawing" Target="../drawings/drawing34.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22.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44.xml"/><Relationship Id="rId1" Type="http://schemas.openxmlformats.org/officeDocument/2006/relationships/printerSettings" Target="../printerSettings/printerSettings23.bin"/></Relationships>
</file>

<file path=xl/worksheets/_rels/sheet33.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24.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CFD1B0-4D4E-4762-BD91-23E634807E54}">
  <sheetPr>
    <tabColor rgb="FFFFCCFF"/>
  </sheetPr>
  <dimension ref="A1:Q82"/>
  <sheetViews>
    <sheetView showGridLines="0" tabSelected="1" zoomScale="160" zoomScaleNormal="160" workbookViewId="0">
      <pane xSplit="1" ySplit="2" topLeftCell="B7" activePane="bottomRight" state="frozen"/>
      <selection pane="topRight" activeCell="B1" sqref="B1"/>
      <selection pane="bottomLeft" activeCell="A3" sqref="A3"/>
      <selection pane="bottomRight" activeCell="E11" sqref="E11:Q31"/>
    </sheetView>
  </sheetViews>
  <sheetFormatPr baseColWidth="10" defaultColWidth="9.1640625" defaultRowHeight="18" customHeight="1"/>
  <cols>
    <col min="1" max="1" width="17" style="3353" customWidth="1"/>
    <col min="2" max="4" width="9.33203125" style="3354" customWidth="1"/>
    <col min="5" max="5" width="9.1640625" style="3352"/>
    <col min="6" max="17" width="7.1640625" style="3352" customWidth="1"/>
    <col min="18" max="16384" width="9.1640625" style="3352"/>
  </cols>
  <sheetData>
    <row r="1" spans="1:17" ht="6.75" customHeight="1">
      <c r="B1" s="3354">
        <v>5</v>
      </c>
      <c r="C1" s="3354">
        <v>6</v>
      </c>
    </row>
    <row r="2" spans="1:17" s="3388" customFormat="1" ht="13.5" customHeight="1">
      <c r="A2" s="3355" t="s">
        <v>0</v>
      </c>
      <c r="B2" s="3356" t="s">
        <v>1</v>
      </c>
      <c r="C2" s="3356" t="s">
        <v>2</v>
      </c>
      <c r="D2" s="3356"/>
      <c r="F2" s="3389" t="str">
        <f>Rev_Year!AS5</f>
        <v>Q1/2024</v>
      </c>
      <c r="G2" s="3389" t="str">
        <f>Rev_Year!AT5</f>
        <v>Q2/2024</v>
      </c>
      <c r="H2" s="3389" t="str">
        <f>Rev_Year!AU5</f>
        <v>Q3/2024</v>
      </c>
      <c r="I2" s="3389" t="str">
        <f>Rev_Year!AV5</f>
        <v>Q4/2024</v>
      </c>
      <c r="J2" s="3389" t="str">
        <f>Rev_Year!AW5</f>
        <v>Q1/2025</v>
      </c>
      <c r="K2" s="3389" t="str">
        <f>Rev_Year!AX5</f>
        <v>Q2/2025</v>
      </c>
      <c r="L2" s="3389" t="str">
        <f>Rev_Year!AY5</f>
        <v>Q3/2025</v>
      </c>
      <c r="M2" s="3389" t="str">
        <f>Rev_Year!AZ5</f>
        <v>Q4/2025</v>
      </c>
      <c r="N2" s="3389" t="str">
        <f>Rev_Year!BA5</f>
        <v>Q1/2026</v>
      </c>
      <c r="O2" s="3389" t="str">
        <f>Rev_Year!BB5</f>
        <v>Q2/2026</v>
      </c>
      <c r="P2" s="3389" t="str">
        <f>Rev_Year!BC5</f>
        <v>Q3/2026</v>
      </c>
      <c r="Q2" s="3389" t="str">
        <f>Rev_Year!BD5</f>
        <v>Q4/2026</v>
      </c>
    </row>
    <row r="3" spans="1:17" ht="13.5" customHeight="1">
      <c r="A3" s="3378" t="s">
        <v>2879</v>
      </c>
      <c r="B3" s="3379"/>
      <c r="C3" s="3379"/>
      <c r="D3" s="3357"/>
      <c r="F3" s="3358"/>
      <c r="G3" s="3358"/>
      <c r="H3" s="3358"/>
      <c r="I3" s="3358"/>
      <c r="J3" s="3358"/>
      <c r="K3" s="3358"/>
      <c r="L3" s="3358"/>
      <c r="M3" s="3358"/>
      <c r="N3" s="3358"/>
      <c r="O3" s="3358"/>
      <c r="P3" s="3358"/>
      <c r="Q3" s="3358"/>
    </row>
    <row r="4" spans="1:17" ht="13.5" customHeight="1">
      <c r="A4" s="3359" t="str">
        <f>FS!AA61</f>
        <v>TGDĐ + ĐMX</v>
      </c>
      <c r="B4" s="3360">
        <f ca="1">VLOOKUP($A4,FS!$AA$60:$AH$96,B$1,FALSE)</f>
        <v>107657.81840730226</v>
      </c>
      <c r="C4" s="3360">
        <f ca="1">VLOOKUP($A4,FS!$AA$60:$AH$96,C$1,FALSE)</f>
        <v>120831.54694497709</v>
      </c>
      <c r="D4" s="3360"/>
      <c r="E4" s="3384" t="s">
        <v>3</v>
      </c>
      <c r="F4" s="3390">
        <f ca="1">Rev_Year!AS82</f>
        <v>21347.840220000002</v>
      </c>
      <c r="G4" s="3390">
        <f ca="1">Rev_Year!AT82</f>
        <v>22946.334779999997</v>
      </c>
      <c r="H4" s="3390">
        <f ca="1">Rev_Year!AU82</f>
        <v>22449.947999999997</v>
      </c>
      <c r="I4" s="3390">
        <f ca="1">Rev_Year!AV82</f>
        <v>24054.763168975012</v>
      </c>
      <c r="J4" s="3390">
        <f ca="1">Rev_Year!AW82</f>
        <v>24282.692057036445</v>
      </c>
      <c r="K4" s="3390">
        <f>Rev_Year!AX82</f>
        <v>25111.154322983559</v>
      </c>
      <c r="L4" s="3390">
        <f ca="1">Rev_Year!AY82</f>
        <v>27062.017619979997</v>
      </c>
      <c r="M4" s="3390">
        <f ca="1">Rev_Year!AZ82</f>
        <v>31201.954407302259</v>
      </c>
      <c r="N4" s="3390">
        <f ca="1">Rev_Year!BA82</f>
        <v>26255.03056400027</v>
      </c>
      <c r="O4" s="3390">
        <f>Rev_Year!BB82</f>
        <v>28475.110084820379</v>
      </c>
      <c r="P4" s="3390">
        <f ca="1">Rev_Year!BC82</f>
        <v>30701.772124716772</v>
      </c>
      <c r="Q4" s="3390">
        <f ca="1">Rev_Year!BD82</f>
        <v>35399.634171439655</v>
      </c>
    </row>
    <row r="5" spans="1:17" ht="13.5" customHeight="1">
      <c r="A5" s="3354" t="s">
        <v>4</v>
      </c>
      <c r="B5" s="3362">
        <f>Rev_Year!L84</f>
        <v>3029</v>
      </c>
      <c r="C5" s="3362">
        <f>Rev_Year!M84</f>
        <v>3029</v>
      </c>
      <c r="D5" s="3362"/>
      <c r="E5" s="3353" t="s">
        <v>4</v>
      </c>
      <c r="F5" s="3361">
        <f>Rev_Year!AS84</f>
        <v>3255</v>
      </c>
      <c r="G5" s="3361">
        <f>Rev_Year!AT84</f>
        <v>3136</v>
      </c>
      <c r="H5" s="3361">
        <f>Rev_Year!AU84</f>
        <v>3053</v>
      </c>
      <c r="I5" s="3361">
        <f>Rev_Year!AV84</f>
        <v>3047</v>
      </c>
      <c r="J5" s="3361">
        <f>Rev_Year!AW84</f>
        <v>3044</v>
      </c>
      <c r="K5" s="3361">
        <f>Rev_Year!AX84</f>
        <v>3038</v>
      </c>
      <c r="L5" s="3361">
        <f>Rev_Year!AY84</f>
        <v>3031</v>
      </c>
      <c r="M5" s="3361">
        <f>Rev_Year!AZ84</f>
        <v>3029</v>
      </c>
      <c r="N5" s="3361">
        <f>Rev_Year!BA84</f>
        <v>3029</v>
      </c>
      <c r="O5" s="3361">
        <f>Rev_Year!BB84</f>
        <v>3029</v>
      </c>
      <c r="P5" s="3361">
        <f>Rev_Year!BC84</f>
        <v>3029</v>
      </c>
      <c r="Q5" s="3361">
        <f>Rev_Year!BD84</f>
        <v>3029</v>
      </c>
    </row>
    <row r="6" spans="1:17" ht="13.5" customHeight="1">
      <c r="A6" s="3380" t="s">
        <v>5</v>
      </c>
      <c r="B6" s="3381">
        <f ca="1">Rev_Year!L85</f>
        <v>2.9530891597350846</v>
      </c>
      <c r="C6" s="3381">
        <f ca="1">Rev_Year!M85</f>
        <v>3.3242969886920068</v>
      </c>
      <c r="D6" s="3363"/>
      <c r="E6" s="3383" t="s">
        <v>6</v>
      </c>
      <c r="F6" s="3361">
        <f ca="1">Rev_Year!AS85</f>
        <v>2.1818018519086313</v>
      </c>
      <c r="G6" s="3361">
        <f ca="1">Rev_Year!AT85</f>
        <v>2.3936092192145204</v>
      </c>
      <c r="H6" s="3361">
        <f ca="1">Rev_Year!AU85</f>
        <v>2.418263370496041</v>
      </c>
      <c r="I6" s="3361">
        <f ca="1">Rev_Year!AV85</f>
        <v>2.6289358654617501</v>
      </c>
      <c r="J6" s="3361">
        <f ca="1">Rev_Year!AW85</f>
        <v>2.6577674226494223</v>
      </c>
      <c r="K6" s="3361">
        <f>Rev_Year!AX85</f>
        <v>2.7525106130640751</v>
      </c>
      <c r="L6" s="3361">
        <f ca="1">Rev_Year!AY85</f>
        <v>2.9727047421299493</v>
      </c>
      <c r="M6" s="3361">
        <f ca="1">Rev_Year!AZ85</f>
        <v>3.4325582406273116</v>
      </c>
      <c r="N6" s="3361">
        <f ca="1">Rev_Year!BA85</f>
        <v>2.889295759216493</v>
      </c>
      <c r="O6" s="3361">
        <f>Rev_Year!BB85</f>
        <v>3.1336095614416615</v>
      </c>
      <c r="P6" s="3361">
        <f ca="1">Rev_Year!BC85</f>
        <v>3.3786477522523133</v>
      </c>
      <c r="Q6" s="3361">
        <f ca="1">Rev_Year!BD85</f>
        <v>3.8956348818575606</v>
      </c>
    </row>
    <row r="7" spans="1:17" ht="13.5" customHeight="1">
      <c r="A7" s="3359" t="str">
        <f>FS!AA63</f>
        <v>BHX</v>
      </c>
      <c r="B7" s="3360">
        <f ca="1">VLOOKUP($A7,FS!$AA$60:$AH$96,B$1,FALSE)</f>
        <v>47646.751647932077</v>
      </c>
      <c r="C7" s="3360">
        <f ca="1">VLOOKUP($A7,FS!$AA$60:$AH$96,C$1,FALSE)</f>
        <v>68350.825336556707</v>
      </c>
      <c r="D7" s="3360"/>
      <c r="E7" s="3384" t="s">
        <v>7</v>
      </c>
      <c r="F7" s="3390">
        <f ca="1">Rev_Year!AS102</f>
        <v>9162.5685900000008</v>
      </c>
      <c r="G7" s="3390">
        <f ca="1">Rev_Year!AT102</f>
        <v>10326.868409999997</v>
      </c>
      <c r="H7" s="3390">
        <f ca="1">Rev_Year!AU102</f>
        <v>10839.731</v>
      </c>
      <c r="I7" s="3390">
        <f ca="1">Rev_Year!AV102</f>
        <v>10754.249042057003</v>
      </c>
      <c r="J7" s="3390">
        <f ca="1">Rev_Year!AW102</f>
        <v>11021.162317553744</v>
      </c>
      <c r="K7" s="3390">
        <f>Rev_Year!AX102</f>
        <v>11568.193252734864</v>
      </c>
      <c r="L7" s="3390">
        <f ca="1">Rev_Year!AY102</f>
        <v>11781.752429711392</v>
      </c>
      <c r="M7" s="3390">
        <f ca="1">Rev_Year!AZ102</f>
        <v>13275.643647932076</v>
      </c>
      <c r="N7" s="3390">
        <f ca="1">Rev_Year!BA102</f>
        <v>15764.999040601415</v>
      </c>
      <c r="O7" s="3390">
        <f>Rev_Year!BB102</f>
        <v>16198.657466719262</v>
      </c>
      <c r="P7" s="3390">
        <f ca="1">Rev_Year!BC102</f>
        <v>17312.123260092812</v>
      </c>
      <c r="Q7" s="3390">
        <f ca="1">Rev_Year!BD102</f>
        <v>19075.045569143207</v>
      </c>
    </row>
    <row r="8" spans="1:17" ht="13.5" customHeight="1">
      <c r="A8" s="3354" t="s">
        <v>4</v>
      </c>
      <c r="B8" s="3362">
        <f>Rev_Year!L107</f>
        <v>2537</v>
      </c>
      <c r="C8" s="3362">
        <f>Rev_Year!M107</f>
        <v>3347</v>
      </c>
      <c r="D8" s="3362"/>
      <c r="E8" s="3353" t="str">
        <f>E5</f>
        <v>SLCH</v>
      </c>
      <c r="F8" s="3361">
        <f>Rev_Year!AS107</f>
        <v>1696</v>
      </c>
      <c r="G8" s="3361">
        <f>Rev_Year!AT107</f>
        <v>1701</v>
      </c>
      <c r="H8" s="3361">
        <f>Rev_Year!AU107</f>
        <v>1726</v>
      </c>
      <c r="I8" s="3361">
        <f>Rev_Year!AV107</f>
        <v>1770</v>
      </c>
      <c r="J8" s="3361">
        <f>Rev_Year!AW107</f>
        <v>2002</v>
      </c>
      <c r="K8" s="3361">
        <f>Rev_Year!AX107</f>
        <v>2184</v>
      </c>
      <c r="L8" s="3361">
        <f>Rev_Year!AY107</f>
        <v>2290</v>
      </c>
      <c r="M8" s="3361">
        <f>Rev_Year!AZ107</f>
        <v>2537</v>
      </c>
      <c r="N8" s="3361">
        <f>Rev_Year!BA107</f>
        <v>2727</v>
      </c>
      <c r="O8" s="3361">
        <f>Rev_Year!BB107</f>
        <v>2987</v>
      </c>
      <c r="P8" s="3361">
        <f>Rev_Year!BC107</f>
        <v>3137</v>
      </c>
      <c r="Q8" s="3361">
        <f>Rev_Year!BD107</f>
        <v>3347</v>
      </c>
    </row>
    <row r="9" spans="1:17" ht="13.5" customHeight="1">
      <c r="A9" s="3380" t="s">
        <v>5</v>
      </c>
      <c r="B9" s="3382">
        <f ca="1">Rev_Year!L106</f>
        <v>1.843771830660633</v>
      </c>
      <c r="C9" s="3382">
        <f ca="1">Rev_Year!M106</f>
        <v>1.9360646197755695</v>
      </c>
      <c r="D9" s="3364"/>
      <c r="E9" s="3383" t="str">
        <f>E6</f>
        <v>DT/CH</v>
      </c>
      <c r="F9" s="3361">
        <f ca="1">Rev_Year!AS106</f>
        <v>1.7997581202121393</v>
      </c>
      <c r="G9" s="3361">
        <f ca="1">Rev_Year!AT106</f>
        <v>2.0266643921106855</v>
      </c>
      <c r="H9" s="3361">
        <f ca="1">Rev_Year!AU106</f>
        <v>2.1086919560354049</v>
      </c>
      <c r="I9" s="3361">
        <f ca="1">Rev_Year!AV106</f>
        <v>2.0507721285387115</v>
      </c>
      <c r="J9" s="3361">
        <f ca="1">Rev_Year!AW106</f>
        <v>1.9478901232862749</v>
      </c>
      <c r="K9" s="3361">
        <f>Rev_Year!AX106</f>
        <v>1.8423623590913942</v>
      </c>
      <c r="L9" s="3361">
        <f ca="1">Rev_Year!AY106</f>
        <v>1.7555882029073748</v>
      </c>
      <c r="M9" s="3361">
        <f ca="1">Rev_Year!AZ106</f>
        <v>1.833525812848847</v>
      </c>
      <c r="N9" s="3361">
        <f ca="1">Rev_Year!BA106</f>
        <v>1.9965804256080819</v>
      </c>
      <c r="O9" s="3361">
        <f>Rev_Year!BB106</f>
        <v>1.8899378680106478</v>
      </c>
      <c r="P9" s="3361">
        <f ca="1">Rev_Year!BC106</f>
        <v>1.8846204289236679</v>
      </c>
      <c r="Q9" s="3361">
        <f ca="1">Rev_Year!BD106</f>
        <v>1.961242604271356</v>
      </c>
    </row>
    <row r="10" spans="1:17" ht="13.5" customHeight="1">
      <c r="A10" s="3376" t="s">
        <v>2880</v>
      </c>
      <c r="B10" s="3377"/>
      <c r="C10" s="3377"/>
      <c r="D10" s="3364"/>
      <c r="F10" s="3361"/>
      <c r="G10" s="3361"/>
      <c r="H10" s="3361"/>
      <c r="I10" s="3361"/>
      <c r="J10" s="3361"/>
      <c r="K10" s="3361"/>
      <c r="L10" s="3361"/>
      <c r="M10" s="3361"/>
      <c r="N10" s="3361"/>
      <c r="O10" s="3361"/>
      <c r="P10" s="3361"/>
      <c r="Q10" s="3361"/>
    </row>
    <row r="11" spans="1:17" ht="13.5" customHeight="1">
      <c r="A11" s="3365" t="str">
        <f>FS!AA67</f>
        <v>DTT</v>
      </c>
      <c r="B11" s="3360">
        <f ca="1">VLOOKUP($A11,FS!$AA$60:$AH$96,B$1,FALSE)</f>
        <v>159591.72685726223</v>
      </c>
      <c r="C11" s="3360">
        <f ca="1">VLOOKUP($A11,FS!$AA$60:$AH$96,C$1,FALSE)</f>
        <v>193997.30007748908</v>
      </c>
      <c r="D11" s="3360"/>
      <c r="E11" s="3375"/>
      <c r="F11" s="3392"/>
      <c r="G11" s="3392"/>
      <c r="H11" s="3392"/>
      <c r="I11" s="3392"/>
      <c r="J11" s="3392"/>
      <c r="K11" s="3392"/>
      <c r="L11" s="3392"/>
      <c r="M11" s="3392"/>
      <c r="N11" s="3393"/>
      <c r="O11" s="3393"/>
      <c r="P11" s="3393"/>
      <c r="Q11" s="3393"/>
    </row>
    <row r="12" spans="1:17" ht="13.5" customHeight="1">
      <c r="A12" s="3353" t="s">
        <v>312</v>
      </c>
      <c r="B12" s="3366">
        <f ca="1">FS!P70</f>
        <v>31336.850622463226</v>
      </c>
      <c r="C12" s="3366">
        <f ca="1">FS!Q70</f>
        <v>38919.681055344343</v>
      </c>
      <c r="D12" s="3367"/>
      <c r="E12" s="3353"/>
    </row>
    <row r="13" spans="1:17" ht="13.5" customHeight="1">
      <c r="A13" s="3368" t="str">
        <f>FS!AA74</f>
        <v>EBIT</v>
      </c>
      <c r="B13" s="3369">
        <f ca="1">VLOOKUP($A13,FS!$AA$60:$AH$96,B$1,FALSE)</f>
        <v>7094.9172326653243</v>
      </c>
      <c r="C13" s="3369">
        <f ca="1">VLOOKUP($A13,FS!$AA$60:$AH$96,C$1,FALSE)</f>
        <v>9243.5042432015143</v>
      </c>
      <c r="D13" s="3369"/>
      <c r="E13" s="3353"/>
    </row>
    <row r="14" spans="1:17" ht="13.5" customHeight="1">
      <c r="A14" s="3370" t="s">
        <v>2877</v>
      </c>
      <c r="B14" s="3369">
        <f ca="1">FS!P80+FS!P86</f>
        <v>1535.990100360377</v>
      </c>
      <c r="C14" s="3369">
        <f ca="1">FS!Q80+FS!Q86</f>
        <v>1510.1870620912609</v>
      </c>
      <c r="D14" s="3369"/>
      <c r="E14" s="3353"/>
    </row>
    <row r="15" spans="1:17" ht="13.5" customHeight="1">
      <c r="A15" s="3354" t="s">
        <v>8</v>
      </c>
      <c r="B15" s="3369">
        <f ca="1">VLOOKUP($A15,FS!$AA$60:$AH$96,B$1,FALSE)</f>
        <v>8678.9333924068342</v>
      </c>
      <c r="C15" s="3369">
        <f ca="1">VLOOKUP($A15,FS!$AA$60:$AH$96,C$1,FALSE)</f>
        <v>10875.319207148506</v>
      </c>
      <c r="D15" s="3369"/>
      <c r="E15" s="3353"/>
    </row>
    <row r="16" spans="1:17" ht="13.5" customHeight="1">
      <c r="A16" s="3354" t="s">
        <v>9</v>
      </c>
      <c r="B16" s="3369">
        <f ca="1">FS!P101</f>
        <v>6797.0562489328258</v>
      </c>
      <c r="C16" s="3369">
        <f ca="1">FS!Q101</f>
        <v>8686.9070053665509</v>
      </c>
      <c r="D16" s="3369"/>
      <c r="E16" s="3353"/>
    </row>
    <row r="17" spans="1:5" ht="13.5" customHeight="1">
      <c r="A17" s="3365" t="str">
        <f>FS!AA80</f>
        <v>LNST-LICĐTS</v>
      </c>
      <c r="B17" s="3360">
        <f ca="1">VLOOKUP($A17,FS!$AA$60:$AH$96,B$1,FALSE)</f>
        <v>6757.4049217238035</v>
      </c>
      <c r="C17" s="3360">
        <f ca="1">VLOOKUP($A17,FS!$AA$60:$AH$96,C$1,FALSE)</f>
        <v>8599.8434466857871</v>
      </c>
      <c r="D17" s="3369"/>
      <c r="E17" s="3353"/>
    </row>
    <row r="18" spans="1:5" ht="13.5" customHeight="1">
      <c r="A18" s="3375" t="s">
        <v>2878</v>
      </c>
      <c r="B18" s="3371"/>
      <c r="C18" s="3371"/>
      <c r="D18" s="3360"/>
      <c r="E18" s="3353"/>
    </row>
    <row r="19" spans="1:5" ht="13.5" customHeight="1">
      <c r="A19" s="3354" t="str">
        <f>FS!AA70</f>
        <v>GPM</v>
      </c>
      <c r="B19" s="3385">
        <f ca="1">VLOOKUP($A19,FS!$AA$60:$AH$96,B$1,FALSE)</f>
        <v>0.19635636031741605</v>
      </c>
      <c r="C19" s="3385">
        <f ca="1">VLOOKUP($A19,FS!$AA$60:$AH$96,C$1,FALSE)</f>
        <v>0.20061970470619181</v>
      </c>
      <c r="E19" s="3353"/>
    </row>
    <row r="20" spans="1:5" ht="13.5" customHeight="1">
      <c r="A20" s="3354" t="str">
        <f>FS!AA73</f>
        <v>SG&amp;A/Rev</v>
      </c>
      <c r="B20" s="3385">
        <f ca="1">VLOOKUP($A20,FS!$AA$60:$AH$96,B$1,FALSE)</f>
        <v>0.1518996872029571</v>
      </c>
      <c r="C20" s="3385">
        <f ca="1">VLOOKUP($A20,FS!$AA$60:$AH$96,C$1,FALSE)</f>
        <v>0.15297211249996345</v>
      </c>
      <c r="E20" s="3353"/>
    </row>
    <row r="21" spans="1:5" ht="13.5" customHeight="1">
      <c r="A21" s="3368" t="str">
        <f>FS!AA75</f>
        <v>Biên EBIT</v>
      </c>
      <c r="B21" s="3385">
        <f ca="1">VLOOKUP($A21,FS!$AA$60:$AH$96,B$1,FALSE)</f>
        <v>4.4456673114458937E-2</v>
      </c>
      <c r="C21" s="3385">
        <f ca="1">VLOOKUP($A21,FS!$AA$60:$AH$96,C$1,FALSE)</f>
        <v>4.7647592206228363E-2</v>
      </c>
      <c r="E21" s="3353"/>
    </row>
    <row r="22" spans="1:5" ht="12">
      <c r="A22" s="3386" t="s">
        <v>2881</v>
      </c>
      <c r="B22" s="3387">
        <f ca="1">B15/B11</f>
        <v>5.4382100897806651E-2</v>
      </c>
      <c r="C22" s="3387">
        <f ca="1">C15/C11</f>
        <v>5.6059126610548377E-2</v>
      </c>
      <c r="E22" s="3353"/>
    </row>
    <row r="23" spans="1:5" ht="12">
      <c r="E23" s="3353"/>
    </row>
    <row r="24" spans="1:5" ht="12">
      <c r="E24" s="3353"/>
    </row>
    <row r="25" spans="1:5" ht="12">
      <c r="E25" s="3353"/>
    </row>
    <row r="26" spans="1:5" ht="12">
      <c r="E26" s="3353"/>
    </row>
    <row r="27" spans="1:5" ht="12">
      <c r="E27" s="3353"/>
    </row>
    <row r="28" spans="1:5" ht="12">
      <c r="A28" s="3398"/>
      <c r="E28" s="3353"/>
    </row>
    <row r="29" spans="1:5" ht="12">
      <c r="A29" s="3399"/>
      <c r="E29" s="3353"/>
    </row>
    <row r="30" spans="1:5" ht="12">
      <c r="E30" s="3353"/>
    </row>
    <row r="31" spans="1:5" ht="12">
      <c r="E31" s="3353"/>
    </row>
    <row r="32" spans="1:5" ht="12"/>
    <row r="33" spans="1:3" ht="12">
      <c r="B33" s="3374"/>
      <c r="C33" s="3374"/>
    </row>
    <row r="34" spans="1:3" ht="12">
      <c r="B34" s="3372"/>
      <c r="C34" s="3372"/>
    </row>
    <row r="35" spans="1:3" ht="12">
      <c r="B35" s="3372"/>
      <c r="C35" s="3372"/>
    </row>
    <row r="36" spans="1:3" ht="12">
      <c r="B36" s="3372"/>
      <c r="C36" s="3372"/>
    </row>
    <row r="37" spans="1:3" ht="12">
      <c r="A37" s="3398"/>
      <c r="B37" s="3372"/>
      <c r="C37" s="3372"/>
    </row>
    <row r="38" spans="1:3" ht="12">
      <c r="A38" s="3399"/>
      <c r="B38" s="3372"/>
      <c r="C38" s="3372"/>
    </row>
    <row r="39" spans="1:3" ht="12">
      <c r="B39" s="3372"/>
      <c r="C39" s="3372"/>
    </row>
    <row r="40" spans="1:3" ht="12">
      <c r="B40" s="3372"/>
      <c r="C40" s="3372"/>
    </row>
    <row r="41" spans="1:3" ht="12">
      <c r="B41" s="3372"/>
      <c r="C41" s="3372"/>
    </row>
    <row r="42" spans="1:3" ht="12">
      <c r="A42" s="3398"/>
      <c r="B42" s="3372"/>
      <c r="C42" s="3372"/>
    </row>
    <row r="43" spans="1:3" ht="12">
      <c r="A43" s="3399"/>
      <c r="B43" s="3372"/>
      <c r="C43" s="3372"/>
    </row>
    <row r="44" spans="1:3" ht="12">
      <c r="B44" s="3372"/>
      <c r="C44" s="3372"/>
    </row>
    <row r="45" spans="1:3" ht="12">
      <c r="B45" s="3372"/>
      <c r="C45" s="3372"/>
    </row>
    <row r="46" spans="1:3" ht="12">
      <c r="B46" s="3372"/>
      <c r="C46" s="3372"/>
    </row>
    <row r="47" spans="1:3" ht="12">
      <c r="B47" s="3372"/>
      <c r="C47" s="3372"/>
    </row>
    <row r="48" spans="1:3" ht="12">
      <c r="B48" s="3372"/>
      <c r="C48" s="3372"/>
    </row>
    <row r="49" spans="1:4" ht="12">
      <c r="B49" s="3372"/>
      <c r="C49" s="3372"/>
    </row>
    <row r="50" spans="1:4" ht="12">
      <c r="B50" s="3372"/>
      <c r="C50" s="3372"/>
    </row>
    <row r="51" spans="1:4" ht="12">
      <c r="B51" s="3372"/>
      <c r="C51" s="3372"/>
    </row>
    <row r="52" spans="1:4" ht="12">
      <c r="A52" s="3399"/>
      <c r="B52" s="3372"/>
      <c r="C52" s="3372"/>
    </row>
    <row r="53" spans="1:4" ht="12">
      <c r="A53" s="3399"/>
      <c r="B53" s="3372"/>
      <c r="C53" s="3372"/>
    </row>
    <row r="54" spans="1:4" ht="12">
      <c r="B54" s="3372"/>
      <c r="C54" s="3372"/>
    </row>
    <row r="55" spans="1:4" ht="12">
      <c r="B55" s="3372"/>
      <c r="C55" s="3372"/>
    </row>
    <row r="56" spans="1:4" ht="12">
      <c r="B56" s="3372"/>
      <c r="C56" s="3372"/>
    </row>
    <row r="57" spans="1:4" ht="12">
      <c r="B57" s="3372"/>
      <c r="C57" s="3372"/>
    </row>
    <row r="58" spans="1:4" ht="12">
      <c r="B58" s="3372"/>
      <c r="C58" s="3372"/>
    </row>
    <row r="59" spans="1:4" ht="12">
      <c r="B59" s="3372"/>
      <c r="C59" s="3372"/>
    </row>
    <row r="60" spans="1:4" ht="12">
      <c r="B60" s="3373"/>
      <c r="C60" s="3373"/>
      <c r="D60" s="3368"/>
    </row>
    <row r="61" spans="1:4" ht="12">
      <c r="B61" s="3373"/>
      <c r="C61" s="3373"/>
      <c r="D61" s="3368"/>
    </row>
    <row r="62" spans="1:4" ht="12">
      <c r="B62" s="3373"/>
      <c r="C62" s="3373"/>
      <c r="D62" s="3368"/>
    </row>
    <row r="63" spans="1:4" ht="12">
      <c r="B63" s="3373"/>
      <c r="C63" s="3373"/>
      <c r="D63" s="3368"/>
    </row>
    <row r="64" spans="1:4" ht="12">
      <c r="B64" s="3372"/>
      <c r="C64" s="3372"/>
    </row>
    <row r="65" spans="2:4" ht="12">
      <c r="B65" s="3372"/>
      <c r="C65" s="3372"/>
    </row>
    <row r="66" spans="2:4" ht="12">
      <c r="B66" s="3372"/>
      <c r="C66" s="3372"/>
    </row>
    <row r="67" spans="2:4" ht="12">
      <c r="B67" s="3372"/>
      <c r="C67" s="3372"/>
    </row>
    <row r="68" spans="2:4" ht="12">
      <c r="B68" s="3372"/>
      <c r="C68" s="3372"/>
    </row>
    <row r="69" spans="2:4" ht="12">
      <c r="B69" s="3372"/>
      <c r="C69" s="3372"/>
    </row>
    <row r="70" spans="2:4" ht="12">
      <c r="B70" s="3372"/>
      <c r="C70" s="3372"/>
    </row>
    <row r="71" spans="2:4" ht="12">
      <c r="B71" s="3372"/>
      <c r="C71" s="3372"/>
    </row>
    <row r="72" spans="2:4" ht="12">
      <c r="B72" s="3372"/>
      <c r="C72" s="3372"/>
    </row>
    <row r="73" spans="2:4" ht="12">
      <c r="B73" s="3372"/>
      <c r="C73" s="3372"/>
    </row>
    <row r="74" spans="2:4" ht="12">
      <c r="B74" s="3372"/>
      <c r="C74" s="3372"/>
    </row>
    <row r="75" spans="2:4" ht="12">
      <c r="B75" s="3352"/>
      <c r="C75" s="3352"/>
      <c r="D75" s="3352"/>
    </row>
    <row r="76" spans="2:4" ht="12"/>
    <row r="77" spans="2:4" ht="12"/>
    <row r="78" spans="2:4" ht="12"/>
    <row r="79" spans="2:4" ht="12"/>
    <row r="80" spans="2:4" ht="12"/>
    <row r="81" ht="12"/>
    <row r="82" ht="12"/>
  </sheetData>
  <mergeCells count="4">
    <mergeCell ref="A42:A43"/>
    <mergeCell ref="A52:A53"/>
    <mergeCell ref="A28:A29"/>
    <mergeCell ref="A37:A38"/>
  </mergeCells>
  <conditionalFormatting sqref="A5:A6 A8:A10 C19:D21 D22 C23:D75">
    <cfRule type="expression" dxfId="51" priority="69">
      <formula>#REF!&gt;0</formula>
    </cfRule>
  </conditionalFormatting>
  <conditionalFormatting sqref="B21:B75 C22">
    <cfRule type="expression" dxfId="50" priority="18">
      <formula>C28&gt;0</formula>
    </cfRule>
  </conditionalFormatting>
  <conditionalFormatting sqref="M12:M31">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31947F-457A-4D60-9235-C1C47531CD29}">
  <sheetPr>
    <tabColor theme="8"/>
  </sheetPr>
  <dimension ref="A1:HI134"/>
  <sheetViews>
    <sheetView showGridLines="0" zoomScale="85" zoomScaleNormal="85" workbookViewId="0">
      <pane xSplit="13" ySplit="4" topLeftCell="FI5" activePane="bottomRight" state="frozen"/>
      <selection pane="topRight" activeCell="N1" sqref="N1"/>
      <selection pane="bottomLeft" activeCell="A4" sqref="A4"/>
      <selection pane="bottomRight" activeCell="ED26" sqref="ED26:FY26"/>
    </sheetView>
  </sheetViews>
  <sheetFormatPr baseColWidth="10" defaultColWidth="9.1640625" defaultRowHeight="14" outlineLevelRow="3" outlineLevelCol="1"/>
  <cols>
    <col min="1" max="1" width="21" style="2174" customWidth="1"/>
    <col min="2" max="13" width="9.83203125" style="2174" hidden="1" customWidth="1" outlineLevel="1"/>
    <col min="14" max="14" width="10.6640625" style="2174" hidden="1" customWidth="1" outlineLevel="1" collapsed="1"/>
    <col min="15" max="49" width="10.6640625" style="2174" hidden="1" customWidth="1" outlineLevel="1"/>
    <col min="50" max="50" width="16.33203125" style="2174" hidden="1" customWidth="1" outlineLevel="1"/>
    <col min="51" max="53" width="9.83203125" style="2174" hidden="1" customWidth="1" outlineLevel="1"/>
    <col min="54" max="54" width="10.6640625" style="2174" hidden="1" customWidth="1" outlineLevel="1"/>
    <col min="55" max="55" width="11.5" style="2174" hidden="1" customWidth="1" outlineLevel="1"/>
    <col min="56" max="56" width="9.83203125" style="2174" hidden="1" customWidth="1" outlineLevel="1"/>
    <col min="57" max="57" width="9.5" style="2174" hidden="1" customWidth="1" outlineLevel="1"/>
    <col min="58" max="58" width="13" style="2174" hidden="1" customWidth="1" outlineLevel="1"/>
    <col min="59" max="60" width="9.5" style="2174" hidden="1" customWidth="1" outlineLevel="1"/>
    <col min="61" max="61" width="10.6640625" style="2174" hidden="1" customWidth="1" outlineLevel="1"/>
    <col min="62" max="62" width="10.6640625" style="2174" bestFit="1" customWidth="1" collapsed="1"/>
    <col min="63" max="63" width="9.5" style="2174" bestFit="1" customWidth="1"/>
    <col min="64" max="64" width="13.1640625" style="2174" bestFit="1" customWidth="1"/>
    <col min="65" max="69" width="9.5" style="2174" bestFit="1" customWidth="1"/>
    <col min="70" max="70" width="12.1640625" style="2174" bestFit="1" customWidth="1"/>
    <col min="71" max="71" width="9.5" style="2174" bestFit="1" customWidth="1"/>
    <col min="72" max="72" width="10" style="2174" bestFit="1" customWidth="1"/>
    <col min="73" max="73" width="9.5" style="2174" bestFit="1" customWidth="1"/>
    <col min="74" max="74" width="11.5" style="2174" bestFit="1" customWidth="1"/>
    <col min="75" max="89" width="9.5" style="2174" bestFit="1" customWidth="1"/>
    <col min="90" max="95" width="9.6640625" style="2174" bestFit="1" customWidth="1"/>
    <col min="96" max="140" width="9.5" style="2174" bestFit="1" customWidth="1"/>
    <col min="141" max="161" width="9.33203125" style="2174" bestFit="1" customWidth="1"/>
    <col min="162" max="164" width="10.1640625" style="2174" bestFit="1" customWidth="1"/>
    <col min="165" max="165" width="10.33203125" style="2174" bestFit="1" customWidth="1"/>
    <col min="166" max="181" width="10.1640625" style="2174" bestFit="1" customWidth="1"/>
    <col min="182" max="16384" width="9.1640625" style="2174"/>
  </cols>
  <sheetData>
    <row r="1" spans="1:217" s="2689" customFormat="1">
      <c r="A1" s="3228">
        <f ca="1">BP5/BO5-1</f>
        <v>5.240823254827065E-2</v>
      </c>
      <c r="B1" s="2689" t="s">
        <v>10</v>
      </c>
      <c r="C1" s="2689" t="s">
        <v>10</v>
      </c>
      <c r="D1" s="2689" t="s">
        <v>10</v>
      </c>
      <c r="E1" s="2689" t="s">
        <v>11</v>
      </c>
      <c r="F1" s="2689" t="s">
        <v>11</v>
      </c>
      <c r="G1" s="2689" t="s">
        <v>11</v>
      </c>
      <c r="H1" s="2689" t="s">
        <v>12</v>
      </c>
      <c r="I1" s="2689" t="s">
        <v>12</v>
      </c>
      <c r="J1" s="2689" t="s">
        <v>12</v>
      </c>
      <c r="K1" s="2689" t="s">
        <v>13</v>
      </c>
      <c r="L1" s="2689" t="s">
        <v>13</v>
      </c>
      <c r="M1" s="2689" t="s">
        <v>13</v>
      </c>
      <c r="N1" s="2689" t="s">
        <v>14</v>
      </c>
      <c r="O1" s="2689" t="s">
        <v>14</v>
      </c>
      <c r="P1" s="2689" t="s">
        <v>14</v>
      </c>
      <c r="Q1" s="2689" t="s">
        <v>15</v>
      </c>
      <c r="R1" s="2689" t="s">
        <v>15</v>
      </c>
      <c r="S1" s="2689" t="s">
        <v>15</v>
      </c>
      <c r="T1" s="2689" t="s">
        <v>16</v>
      </c>
      <c r="U1" s="2689" t="s">
        <v>16</v>
      </c>
      <c r="V1" s="2689" t="s">
        <v>16</v>
      </c>
      <c r="W1" s="2689" t="s">
        <v>17</v>
      </c>
      <c r="X1" s="2689" t="s">
        <v>17</v>
      </c>
      <c r="Y1" s="2689" t="s">
        <v>17</v>
      </c>
      <c r="Z1" s="2689" t="s">
        <v>18</v>
      </c>
      <c r="AA1" s="2689" t="s">
        <v>18</v>
      </c>
      <c r="AB1" s="2689" t="s">
        <v>18</v>
      </c>
      <c r="AC1" s="2689" t="s">
        <v>19</v>
      </c>
      <c r="AD1" s="2689" t="s">
        <v>19</v>
      </c>
      <c r="AE1" s="2689" t="s">
        <v>19</v>
      </c>
      <c r="AF1" s="2689" t="s">
        <v>20</v>
      </c>
      <c r="AG1" s="2689" t="s">
        <v>20</v>
      </c>
      <c r="AH1" s="2689" t="s">
        <v>20</v>
      </c>
      <c r="AI1" s="2689" t="s">
        <v>21</v>
      </c>
      <c r="AJ1" s="2689" t="s">
        <v>21</v>
      </c>
      <c r="AK1" s="2689" t="s">
        <v>21</v>
      </c>
      <c r="AL1" s="2689" t="s">
        <v>22</v>
      </c>
      <c r="AM1" s="2689" t="s">
        <v>22</v>
      </c>
      <c r="AN1" s="2689" t="s">
        <v>22</v>
      </c>
      <c r="AO1" s="2689" t="s">
        <v>23</v>
      </c>
      <c r="AP1" s="2689" t="s">
        <v>23</v>
      </c>
      <c r="AQ1" s="2689" t="s">
        <v>23</v>
      </c>
      <c r="AR1" s="2689" t="s">
        <v>24</v>
      </c>
      <c r="AS1" s="2689" t="s">
        <v>24</v>
      </c>
      <c r="AT1" s="2689" t="s">
        <v>24</v>
      </c>
      <c r="AU1" s="2689" t="s">
        <v>25</v>
      </c>
      <c r="AV1" s="2689" t="s">
        <v>25</v>
      </c>
      <c r="AW1" s="2689" t="s">
        <v>25</v>
      </c>
      <c r="AX1" s="2689" t="str">
        <f>AY1</f>
        <v>12022</v>
      </c>
      <c r="AY1" s="2689" t="str">
        <f>AY2&amp;YEAR(AY4)</f>
        <v>12022</v>
      </c>
      <c r="AZ1" s="2689" t="str">
        <f>AZ2&amp;YEAR(AZ4)</f>
        <v>22022</v>
      </c>
      <c r="BA1" s="2689" t="str">
        <f>BA2&amp;YEAR(BA4)</f>
        <v>02022</v>
      </c>
      <c r="BB1" s="2689" t="str">
        <f>BB2&amp;YEAR(BB4)</f>
        <v>02022</v>
      </c>
      <c r="BC1" s="2689" t="str">
        <f>BC2&amp;YEAR(BB4)</f>
        <v>22022</v>
      </c>
      <c r="BD1" s="2689" t="str">
        <f>BD2&amp;YEAR(BD4)</f>
        <v>32022</v>
      </c>
      <c r="BE1" s="2689" t="str">
        <f>BE2&amp;YEAR(BE4)</f>
        <v>32022</v>
      </c>
      <c r="BF1" s="2689" t="str">
        <f>BE1</f>
        <v>32022</v>
      </c>
      <c r="BG1" s="2689" t="str">
        <f>BG2&amp;YEAR(BG4)</f>
        <v>42022</v>
      </c>
      <c r="BH1" s="2689" t="str">
        <f>BH2&amp;YEAR(BH4)</f>
        <v>42022</v>
      </c>
      <c r="BI1" s="2689" t="str">
        <f>BH1</f>
        <v>42022</v>
      </c>
      <c r="BJ1" s="2689" t="str">
        <f>BJ2&amp;YEAR(BJ4)</f>
        <v>12023</v>
      </c>
      <c r="BK1" s="2689" t="str">
        <f>BK2&amp;YEAR(BK4)</f>
        <v>12023</v>
      </c>
      <c r="BL1" s="2689" t="str">
        <f>BK1</f>
        <v>12023</v>
      </c>
      <c r="BM1" s="2689" t="str">
        <f t="shared" ref="BM1:CA1" si="0">BM2&amp;YEAR(BM4)</f>
        <v>22023</v>
      </c>
      <c r="BN1" s="2689" t="str">
        <f t="shared" si="0"/>
        <v>22023</v>
      </c>
      <c r="BO1" s="2689" t="str">
        <f t="shared" si="0"/>
        <v>22023</v>
      </c>
      <c r="BP1" s="2689" t="str">
        <f t="shared" si="0"/>
        <v>32023</v>
      </c>
      <c r="BQ1" s="2689" t="str">
        <f t="shared" si="0"/>
        <v>32023</v>
      </c>
      <c r="BR1" s="2689" t="str">
        <f t="shared" si="0"/>
        <v>32023</v>
      </c>
      <c r="BS1" s="2689" t="str">
        <f t="shared" si="0"/>
        <v>42023</v>
      </c>
      <c r="BT1" s="2689" t="str">
        <f t="shared" si="0"/>
        <v>42023</v>
      </c>
      <c r="BU1" s="2689" t="str">
        <f t="shared" si="0"/>
        <v>42023</v>
      </c>
      <c r="BV1" s="2689" t="str">
        <f t="shared" si="0"/>
        <v>12024</v>
      </c>
      <c r="BW1" s="2689" t="str">
        <f t="shared" si="0"/>
        <v>12024</v>
      </c>
      <c r="BX1" s="2689" t="str">
        <f t="shared" si="0"/>
        <v>12024</v>
      </c>
      <c r="BY1" s="2689" t="s">
        <v>26</v>
      </c>
      <c r="BZ1" s="2689" t="s">
        <v>26</v>
      </c>
      <c r="CA1" s="2689" t="str">
        <f t="shared" si="0"/>
        <v>22024</v>
      </c>
      <c r="CB1" s="2689" t="str">
        <f t="shared" ref="CB1:CN1" si="1">CB2&amp;YEAR(CB4)</f>
        <v>32024</v>
      </c>
      <c r="CC1" s="2689" t="str">
        <f t="shared" si="1"/>
        <v>32024</v>
      </c>
      <c r="CD1" s="2689" t="str">
        <f t="shared" si="1"/>
        <v>32024</v>
      </c>
      <c r="CE1" s="2689" t="str">
        <f t="shared" si="1"/>
        <v>42024</v>
      </c>
      <c r="CF1" s="2689" t="str">
        <f t="shared" si="1"/>
        <v>42024</v>
      </c>
      <c r="CG1" s="2689" t="str">
        <f t="shared" si="1"/>
        <v>42024</v>
      </c>
      <c r="CH1" s="2689" t="str">
        <f t="shared" si="1"/>
        <v>12025</v>
      </c>
      <c r="CI1" s="2689" t="str">
        <f t="shared" si="1"/>
        <v>12025</v>
      </c>
      <c r="CJ1" s="2689" t="str">
        <f t="shared" si="1"/>
        <v>12025</v>
      </c>
      <c r="CK1" s="2689" t="str">
        <f t="shared" si="1"/>
        <v>22025</v>
      </c>
      <c r="CL1" s="2689" t="str">
        <f t="shared" si="1"/>
        <v>22025</v>
      </c>
      <c r="CM1" s="2689" t="str">
        <f t="shared" si="1"/>
        <v>22025</v>
      </c>
      <c r="CN1" s="2689" t="str">
        <f t="shared" si="1"/>
        <v>32025</v>
      </c>
      <c r="CO1" s="2689" t="str">
        <f t="shared" ref="CO1:CT1" si="2">CO2&amp;YEAR(CO4)</f>
        <v>32025</v>
      </c>
      <c r="CP1" s="2689" t="str">
        <f t="shared" si="2"/>
        <v>32025</v>
      </c>
      <c r="CQ1" s="2689" t="str">
        <f t="shared" si="2"/>
        <v>42025</v>
      </c>
      <c r="CR1" s="2689" t="str">
        <f t="shared" si="2"/>
        <v>42025</v>
      </c>
      <c r="CS1" s="2689" t="str">
        <f t="shared" si="2"/>
        <v>42025</v>
      </c>
      <c r="CT1" s="2689" t="str">
        <f t="shared" si="2"/>
        <v>12026</v>
      </c>
      <c r="CU1" s="2689" t="str">
        <f>CU2&amp;YEAR(CU4)</f>
        <v>12026</v>
      </c>
      <c r="CV1" s="2689" t="str">
        <f t="shared" ref="CV1:DK1" si="3">CV2&amp;YEAR(CV4)</f>
        <v>12026</v>
      </c>
      <c r="CW1" s="2689" t="str">
        <f t="shared" si="3"/>
        <v>22026</v>
      </c>
      <c r="CX1" s="2689" t="str">
        <f t="shared" si="3"/>
        <v>22026</v>
      </c>
      <c r="CY1" s="2689" t="str">
        <f t="shared" si="3"/>
        <v>22026</v>
      </c>
      <c r="CZ1" s="2689" t="str">
        <f t="shared" si="3"/>
        <v>32026</v>
      </c>
      <c r="DA1" s="2689" t="str">
        <f t="shared" si="3"/>
        <v>32026</v>
      </c>
      <c r="DB1" s="2689" t="str">
        <f t="shared" si="3"/>
        <v>32026</v>
      </c>
      <c r="DC1" s="2689" t="str">
        <f t="shared" si="3"/>
        <v>42026</v>
      </c>
      <c r="DD1" s="2689" t="str">
        <f t="shared" si="3"/>
        <v>42026</v>
      </c>
      <c r="DE1" s="2689" t="str">
        <f t="shared" si="3"/>
        <v>42026</v>
      </c>
      <c r="DF1" s="2689" t="str">
        <f t="shared" si="3"/>
        <v>12027</v>
      </c>
      <c r="DG1" s="2689" t="str">
        <f t="shared" si="3"/>
        <v>12027</v>
      </c>
      <c r="DH1" s="2689" t="str">
        <f t="shared" si="3"/>
        <v>12027</v>
      </c>
      <c r="DI1" s="2689" t="str">
        <f t="shared" si="3"/>
        <v>22027</v>
      </c>
      <c r="DJ1" s="2689" t="str">
        <f t="shared" si="3"/>
        <v>22027</v>
      </c>
      <c r="DK1" s="2689" t="str">
        <f t="shared" si="3"/>
        <v>22027</v>
      </c>
      <c r="DL1" s="2689" t="str">
        <f t="shared" ref="DL1:DR1" si="4">DL2&amp;YEAR(DL4)</f>
        <v>32027</v>
      </c>
      <c r="DM1" s="2689" t="str">
        <f t="shared" si="4"/>
        <v>32027</v>
      </c>
      <c r="DN1" s="2689" t="str">
        <f t="shared" si="4"/>
        <v>32027</v>
      </c>
      <c r="DO1" s="2689" t="str">
        <f t="shared" si="4"/>
        <v>42027</v>
      </c>
      <c r="DP1" s="2689" t="str">
        <f t="shared" si="4"/>
        <v>42027</v>
      </c>
      <c r="DQ1" s="2689" t="str">
        <f t="shared" si="4"/>
        <v>42027</v>
      </c>
      <c r="DR1" s="2689" t="str">
        <f t="shared" si="4"/>
        <v>12028</v>
      </c>
      <c r="DS1" s="2689" t="str">
        <f t="shared" ref="DS1:GD1" si="5">DS2&amp;YEAR(DS4)</f>
        <v>12028</v>
      </c>
      <c r="DT1" s="2689" t="str">
        <f t="shared" si="5"/>
        <v>12028</v>
      </c>
      <c r="DU1" s="2689" t="str">
        <f t="shared" si="5"/>
        <v>22028</v>
      </c>
      <c r="DV1" s="2689" t="str">
        <f t="shared" si="5"/>
        <v>22028</v>
      </c>
      <c r="DW1" s="2689" t="str">
        <f t="shared" si="5"/>
        <v>22028</v>
      </c>
      <c r="DX1" s="2689" t="str">
        <f t="shared" si="5"/>
        <v>32028</v>
      </c>
      <c r="DY1" s="2689" t="str">
        <f t="shared" si="5"/>
        <v>32028</v>
      </c>
      <c r="DZ1" s="2689" t="str">
        <f t="shared" si="5"/>
        <v>32028</v>
      </c>
      <c r="EA1" s="2689" t="str">
        <f t="shared" si="5"/>
        <v>42028</v>
      </c>
      <c r="EB1" s="2689" t="str">
        <f t="shared" si="5"/>
        <v>42028</v>
      </c>
      <c r="EC1" s="2689" t="str">
        <f t="shared" si="5"/>
        <v>42028</v>
      </c>
      <c r="ED1" s="2689" t="str">
        <f t="shared" si="5"/>
        <v>12029</v>
      </c>
      <c r="EE1" s="2689" t="str">
        <f t="shared" si="5"/>
        <v>12029</v>
      </c>
      <c r="EF1" s="2689" t="str">
        <f t="shared" si="5"/>
        <v>12029</v>
      </c>
      <c r="EG1" s="2689" t="str">
        <f t="shared" si="5"/>
        <v>22029</v>
      </c>
      <c r="EH1" s="2689" t="str">
        <f t="shared" si="5"/>
        <v>22029</v>
      </c>
      <c r="EI1" s="2689" t="str">
        <f t="shared" si="5"/>
        <v>22029</v>
      </c>
      <c r="EJ1" s="2689" t="str">
        <f t="shared" si="5"/>
        <v>32029</v>
      </c>
      <c r="EK1" s="2689" t="str">
        <f t="shared" si="5"/>
        <v>32029</v>
      </c>
      <c r="EL1" s="2689" t="str">
        <f t="shared" si="5"/>
        <v>32029</v>
      </c>
      <c r="EM1" s="2689" t="str">
        <f t="shared" si="5"/>
        <v>42029</v>
      </c>
      <c r="EN1" s="2689" t="str">
        <f t="shared" si="5"/>
        <v>42029</v>
      </c>
      <c r="EO1" s="2689" t="str">
        <f t="shared" si="5"/>
        <v>42029</v>
      </c>
      <c r="EP1" s="2689" t="str">
        <f t="shared" si="5"/>
        <v>12030</v>
      </c>
      <c r="EQ1" s="2689" t="str">
        <f t="shared" si="5"/>
        <v>12030</v>
      </c>
      <c r="ER1" s="2689" t="str">
        <f t="shared" si="5"/>
        <v>12030</v>
      </c>
      <c r="ES1" s="2689" t="str">
        <f t="shared" si="5"/>
        <v>22030</v>
      </c>
      <c r="ET1" s="2689" t="str">
        <f t="shared" si="5"/>
        <v>22030</v>
      </c>
      <c r="EU1" s="2689" t="str">
        <f t="shared" si="5"/>
        <v>22030</v>
      </c>
      <c r="EV1" s="2689" t="str">
        <f t="shared" si="5"/>
        <v>32030</v>
      </c>
      <c r="EW1" s="2689" t="str">
        <f t="shared" si="5"/>
        <v>32030</v>
      </c>
      <c r="EX1" s="2689" t="str">
        <f t="shared" si="5"/>
        <v>32030</v>
      </c>
      <c r="EY1" s="2689" t="str">
        <f t="shared" si="5"/>
        <v>42030</v>
      </c>
      <c r="EZ1" s="2689" t="str">
        <f t="shared" si="5"/>
        <v>42030</v>
      </c>
      <c r="FA1" s="2689" t="str">
        <f t="shared" si="5"/>
        <v>42030</v>
      </c>
      <c r="FB1" s="2689" t="str">
        <f t="shared" si="5"/>
        <v>12031</v>
      </c>
      <c r="FC1" s="2689" t="str">
        <f t="shared" si="5"/>
        <v>12031</v>
      </c>
      <c r="FD1" s="2689" t="str">
        <f t="shared" si="5"/>
        <v>12031</v>
      </c>
      <c r="FE1" s="2689" t="str">
        <f t="shared" si="5"/>
        <v>22031</v>
      </c>
      <c r="FF1" s="2689" t="str">
        <f t="shared" si="5"/>
        <v>22031</v>
      </c>
      <c r="FG1" s="2689" t="str">
        <f t="shared" si="5"/>
        <v>22031</v>
      </c>
      <c r="FH1" s="2689" t="str">
        <f t="shared" si="5"/>
        <v>32031</v>
      </c>
      <c r="FI1" s="2689" t="str">
        <f t="shared" si="5"/>
        <v>32031</v>
      </c>
      <c r="FJ1" s="2689" t="str">
        <f t="shared" si="5"/>
        <v>32031</v>
      </c>
      <c r="FK1" s="2689" t="str">
        <f t="shared" si="5"/>
        <v>42031</v>
      </c>
      <c r="FL1" s="2689" t="str">
        <f t="shared" si="5"/>
        <v>42031</v>
      </c>
      <c r="FM1" s="2689" t="str">
        <f t="shared" si="5"/>
        <v>42031</v>
      </c>
      <c r="FN1" s="2689" t="str">
        <f t="shared" si="5"/>
        <v>12032</v>
      </c>
      <c r="FO1" s="2689" t="str">
        <f t="shared" si="5"/>
        <v>12032</v>
      </c>
      <c r="FP1" s="2689" t="str">
        <f t="shared" si="5"/>
        <v>12032</v>
      </c>
      <c r="FQ1" s="2689" t="str">
        <f t="shared" si="5"/>
        <v>22032</v>
      </c>
      <c r="FR1" s="2689" t="str">
        <f t="shared" si="5"/>
        <v>22032</v>
      </c>
      <c r="FS1" s="2689" t="str">
        <f t="shared" si="5"/>
        <v>22032</v>
      </c>
      <c r="FT1" s="2689" t="str">
        <f t="shared" si="5"/>
        <v>32032</v>
      </c>
      <c r="FU1" s="2689" t="str">
        <f t="shared" si="5"/>
        <v>32032</v>
      </c>
      <c r="FV1" s="2689" t="str">
        <f t="shared" si="5"/>
        <v>32032</v>
      </c>
      <c r="FW1" s="2689" t="str">
        <f t="shared" si="5"/>
        <v>42032</v>
      </c>
      <c r="FX1" s="2689" t="str">
        <f t="shared" si="5"/>
        <v>42032</v>
      </c>
      <c r="FY1" s="2689" t="str">
        <f t="shared" si="5"/>
        <v>42032</v>
      </c>
      <c r="FZ1" s="2689" t="str">
        <f t="shared" si="5"/>
        <v>12033</v>
      </c>
      <c r="GA1" s="2689" t="str">
        <f t="shared" si="5"/>
        <v>12033</v>
      </c>
      <c r="GB1" s="2689" t="str">
        <f t="shared" si="5"/>
        <v>12033</v>
      </c>
      <c r="GC1" s="2689" t="str">
        <f t="shared" si="5"/>
        <v>22033</v>
      </c>
      <c r="GD1" s="2689" t="str">
        <f t="shared" si="5"/>
        <v>22033</v>
      </c>
      <c r="GE1" s="2689" t="str">
        <f t="shared" ref="GE1:HI1" si="6">GE2&amp;YEAR(GE4)</f>
        <v>22033</v>
      </c>
      <c r="GF1" s="2689" t="str">
        <f t="shared" si="6"/>
        <v>32033</v>
      </c>
      <c r="GG1" s="2689" t="str">
        <f t="shared" si="6"/>
        <v>32033</v>
      </c>
      <c r="GH1" s="2689" t="str">
        <f t="shared" si="6"/>
        <v>32033</v>
      </c>
      <c r="GI1" s="2689" t="str">
        <f t="shared" si="6"/>
        <v>42033</v>
      </c>
      <c r="GJ1" s="2689" t="str">
        <f t="shared" si="6"/>
        <v>42033</v>
      </c>
      <c r="GK1" s="2689" t="str">
        <f t="shared" si="6"/>
        <v>42033</v>
      </c>
      <c r="GL1" s="2689" t="str">
        <f t="shared" si="6"/>
        <v>12034</v>
      </c>
      <c r="GM1" s="2689" t="str">
        <f t="shared" si="6"/>
        <v>12034</v>
      </c>
      <c r="GN1" s="2689" t="str">
        <f t="shared" si="6"/>
        <v>12034</v>
      </c>
      <c r="GO1" s="2689" t="str">
        <f t="shared" si="6"/>
        <v>22034</v>
      </c>
      <c r="GP1" s="2689" t="str">
        <f t="shared" si="6"/>
        <v>22034</v>
      </c>
      <c r="GQ1" s="2689" t="str">
        <f t="shared" si="6"/>
        <v>22034</v>
      </c>
      <c r="GR1" s="2689" t="str">
        <f t="shared" si="6"/>
        <v>32034</v>
      </c>
      <c r="GS1" s="2689" t="str">
        <f t="shared" si="6"/>
        <v>32034</v>
      </c>
      <c r="GT1" s="2689" t="str">
        <f t="shared" si="6"/>
        <v>32034</v>
      </c>
      <c r="GU1" s="2689" t="str">
        <f t="shared" si="6"/>
        <v>42034</v>
      </c>
      <c r="GV1" s="2689" t="str">
        <f t="shared" si="6"/>
        <v>42034</v>
      </c>
      <c r="GW1" s="2689" t="str">
        <f t="shared" si="6"/>
        <v>42034</v>
      </c>
      <c r="GX1" s="2689" t="str">
        <f t="shared" si="6"/>
        <v>12035</v>
      </c>
      <c r="GY1" s="2689" t="str">
        <f t="shared" si="6"/>
        <v>12035</v>
      </c>
      <c r="GZ1" s="2689" t="str">
        <f t="shared" si="6"/>
        <v>12035</v>
      </c>
      <c r="HA1" s="2689" t="str">
        <f t="shared" si="6"/>
        <v>22035</v>
      </c>
      <c r="HB1" s="2689" t="str">
        <f t="shared" si="6"/>
        <v>22035</v>
      </c>
      <c r="HC1" s="2689" t="str">
        <f t="shared" si="6"/>
        <v>22035</v>
      </c>
      <c r="HD1" s="2689" t="str">
        <f t="shared" si="6"/>
        <v>32035</v>
      </c>
      <c r="HE1" s="2689" t="str">
        <f t="shared" si="6"/>
        <v>32035</v>
      </c>
      <c r="HF1" s="2689" t="str">
        <f t="shared" si="6"/>
        <v>32035</v>
      </c>
      <c r="HG1" s="2689" t="str">
        <f t="shared" si="6"/>
        <v>42035</v>
      </c>
      <c r="HH1" s="2689" t="str">
        <f t="shared" si="6"/>
        <v>42035</v>
      </c>
      <c r="HI1" s="2689" t="str">
        <f t="shared" si="6"/>
        <v>42035</v>
      </c>
    </row>
    <row r="2" spans="1:217" s="2689" customFormat="1">
      <c r="A2" s="2689" t="s">
        <v>27</v>
      </c>
      <c r="B2" s="2689">
        <f t="shared" ref="B2:AW2" si="7">ROUNDUP(MONTH(B4)/3, 0)</f>
        <v>1</v>
      </c>
      <c r="C2" s="2689">
        <f t="shared" si="7"/>
        <v>1</v>
      </c>
      <c r="D2" s="2689">
        <f t="shared" si="7"/>
        <v>1</v>
      </c>
      <c r="E2" s="2689">
        <f t="shared" si="7"/>
        <v>2</v>
      </c>
      <c r="F2" s="2689">
        <f t="shared" si="7"/>
        <v>2</v>
      </c>
      <c r="G2" s="2689">
        <f t="shared" si="7"/>
        <v>2</v>
      </c>
      <c r="H2" s="2689">
        <f t="shared" si="7"/>
        <v>3</v>
      </c>
      <c r="I2" s="2689">
        <f t="shared" si="7"/>
        <v>3</v>
      </c>
      <c r="J2" s="2689">
        <f t="shared" si="7"/>
        <v>3</v>
      </c>
      <c r="K2" s="2689">
        <f t="shared" si="7"/>
        <v>4</v>
      </c>
      <c r="L2" s="2689">
        <f t="shared" si="7"/>
        <v>4</v>
      </c>
      <c r="M2" s="2689">
        <f t="shared" si="7"/>
        <v>4</v>
      </c>
      <c r="N2" s="2689">
        <f t="shared" si="7"/>
        <v>1</v>
      </c>
      <c r="O2" s="2689">
        <f t="shared" si="7"/>
        <v>1</v>
      </c>
      <c r="P2" s="2689">
        <f t="shared" si="7"/>
        <v>1</v>
      </c>
      <c r="Q2" s="2689">
        <f t="shared" si="7"/>
        <v>2</v>
      </c>
      <c r="R2" s="2689">
        <f t="shared" si="7"/>
        <v>2</v>
      </c>
      <c r="S2" s="2689">
        <f t="shared" si="7"/>
        <v>2</v>
      </c>
      <c r="T2" s="2689">
        <f t="shared" si="7"/>
        <v>3</v>
      </c>
      <c r="U2" s="2689">
        <f t="shared" si="7"/>
        <v>3</v>
      </c>
      <c r="V2" s="2689">
        <f t="shared" si="7"/>
        <v>3</v>
      </c>
      <c r="W2" s="2689">
        <f t="shared" si="7"/>
        <v>4</v>
      </c>
      <c r="X2" s="2689">
        <f t="shared" si="7"/>
        <v>4</v>
      </c>
      <c r="Y2" s="2689">
        <f t="shared" si="7"/>
        <v>4</v>
      </c>
      <c r="Z2" s="2689">
        <f t="shared" si="7"/>
        <v>1</v>
      </c>
      <c r="AA2" s="2689">
        <f t="shared" si="7"/>
        <v>1</v>
      </c>
      <c r="AB2" s="2689">
        <f t="shared" si="7"/>
        <v>1</v>
      </c>
      <c r="AC2" s="2689">
        <f t="shared" si="7"/>
        <v>2</v>
      </c>
      <c r="AD2" s="2689">
        <f t="shared" si="7"/>
        <v>2</v>
      </c>
      <c r="AE2" s="2689">
        <f t="shared" si="7"/>
        <v>2</v>
      </c>
      <c r="AF2" s="2689">
        <f t="shared" si="7"/>
        <v>3</v>
      </c>
      <c r="AG2" s="2689">
        <f t="shared" si="7"/>
        <v>3</v>
      </c>
      <c r="AH2" s="2689">
        <f t="shared" si="7"/>
        <v>3</v>
      </c>
      <c r="AI2" s="2689">
        <f t="shared" si="7"/>
        <v>4</v>
      </c>
      <c r="AJ2" s="2689">
        <f t="shared" si="7"/>
        <v>4</v>
      </c>
      <c r="AK2" s="2689">
        <f t="shared" si="7"/>
        <v>4</v>
      </c>
      <c r="AL2" s="2689">
        <f t="shared" si="7"/>
        <v>1</v>
      </c>
      <c r="AM2" s="2689">
        <f t="shared" si="7"/>
        <v>1</v>
      </c>
      <c r="AN2" s="2689">
        <f t="shared" si="7"/>
        <v>1</v>
      </c>
      <c r="AO2" s="2689">
        <f t="shared" si="7"/>
        <v>2</v>
      </c>
      <c r="AP2" s="2689">
        <f t="shared" si="7"/>
        <v>2</v>
      </c>
      <c r="AQ2" s="2689">
        <f t="shared" si="7"/>
        <v>2</v>
      </c>
      <c r="AR2" s="2689">
        <f t="shared" si="7"/>
        <v>3</v>
      </c>
      <c r="AS2" s="2689">
        <f t="shared" si="7"/>
        <v>3</v>
      </c>
      <c r="AT2" s="2689">
        <f t="shared" si="7"/>
        <v>3</v>
      </c>
      <c r="AU2" s="2689">
        <f t="shared" si="7"/>
        <v>4</v>
      </c>
      <c r="AV2" s="2689">
        <f t="shared" si="7"/>
        <v>4</v>
      </c>
      <c r="AW2" s="2689">
        <f t="shared" si="7"/>
        <v>4</v>
      </c>
      <c r="AX2" s="2689">
        <v>1</v>
      </c>
      <c r="AY2" s="2689">
        <f>ROUNDUP(MONTH(AY4)/3, 0)</f>
        <v>1</v>
      </c>
      <c r="AZ2" s="2689">
        <f>ROUNDUP(MONTH(AZ4)/3, 0)</f>
        <v>2</v>
      </c>
      <c r="BA2" s="2689">
        <v>0</v>
      </c>
      <c r="BB2" s="2689">
        <v>0</v>
      </c>
      <c r="BC2" s="2689">
        <v>2</v>
      </c>
      <c r="BD2" s="2689">
        <f t="shared" ref="BD2:CA2" si="8">ROUNDUP(MONTH(BD4)/3, 0)</f>
        <v>3</v>
      </c>
      <c r="BE2" s="2689">
        <f t="shared" si="8"/>
        <v>3</v>
      </c>
      <c r="BF2" s="2689">
        <f t="shared" si="8"/>
        <v>3</v>
      </c>
      <c r="BG2" s="2689">
        <f t="shared" si="8"/>
        <v>4</v>
      </c>
      <c r="BH2" s="2689">
        <f t="shared" si="8"/>
        <v>4</v>
      </c>
      <c r="BI2" s="2689">
        <f t="shared" si="8"/>
        <v>4</v>
      </c>
      <c r="BJ2" s="2689">
        <f t="shared" si="8"/>
        <v>1</v>
      </c>
      <c r="BK2" s="2689">
        <f t="shared" si="8"/>
        <v>1</v>
      </c>
      <c r="BL2" s="2689">
        <f t="shared" si="8"/>
        <v>1</v>
      </c>
      <c r="BM2" s="2689">
        <f t="shared" si="8"/>
        <v>2</v>
      </c>
      <c r="BN2" s="2689">
        <f t="shared" si="8"/>
        <v>2</v>
      </c>
      <c r="BO2" s="2689">
        <f t="shared" si="8"/>
        <v>2</v>
      </c>
      <c r="BP2" s="2689">
        <f t="shared" si="8"/>
        <v>3</v>
      </c>
      <c r="BQ2" s="2689">
        <f t="shared" si="8"/>
        <v>3</v>
      </c>
      <c r="BR2" s="2689">
        <f t="shared" si="8"/>
        <v>3</v>
      </c>
      <c r="BS2" s="2689">
        <f t="shared" si="8"/>
        <v>4</v>
      </c>
      <c r="BT2" s="2689">
        <f t="shared" si="8"/>
        <v>4</v>
      </c>
      <c r="BU2" s="2689">
        <f t="shared" si="8"/>
        <v>4</v>
      </c>
      <c r="BV2" s="2689">
        <f t="shared" si="8"/>
        <v>1</v>
      </c>
      <c r="BW2" s="2689">
        <f t="shared" si="8"/>
        <v>1</v>
      </c>
      <c r="BX2" s="2689">
        <f t="shared" si="8"/>
        <v>1</v>
      </c>
      <c r="BY2" s="2689">
        <v>2</v>
      </c>
      <c r="BZ2" s="2689">
        <v>2</v>
      </c>
      <c r="CA2" s="2689">
        <f t="shared" si="8"/>
        <v>2</v>
      </c>
      <c r="CB2" s="2689">
        <f t="shared" ref="CB2:DR2" si="9">ROUNDUP(MONTH(CB4)/3, 0)</f>
        <v>3</v>
      </c>
      <c r="CC2" s="2689">
        <f t="shared" si="9"/>
        <v>3</v>
      </c>
      <c r="CD2" s="2689">
        <f t="shared" si="9"/>
        <v>3</v>
      </c>
      <c r="CE2" s="2689">
        <f t="shared" si="9"/>
        <v>4</v>
      </c>
      <c r="CF2" s="2689">
        <f t="shared" si="9"/>
        <v>4</v>
      </c>
      <c r="CG2" s="2689">
        <f t="shared" si="9"/>
        <v>4</v>
      </c>
      <c r="CH2" s="2689">
        <f t="shared" si="9"/>
        <v>1</v>
      </c>
      <c r="CI2" s="2689">
        <f t="shared" si="9"/>
        <v>1</v>
      </c>
      <c r="CJ2" s="2689">
        <f t="shared" si="9"/>
        <v>1</v>
      </c>
      <c r="CK2" s="2689">
        <f t="shared" si="9"/>
        <v>2</v>
      </c>
      <c r="CL2" s="2689">
        <f t="shared" si="9"/>
        <v>2</v>
      </c>
      <c r="CM2" s="2689">
        <f t="shared" si="9"/>
        <v>2</v>
      </c>
      <c r="CN2" s="2689">
        <f t="shared" si="9"/>
        <v>3</v>
      </c>
      <c r="CO2" s="2689">
        <f t="shared" si="9"/>
        <v>3</v>
      </c>
      <c r="CP2" s="2689">
        <f t="shared" si="9"/>
        <v>3</v>
      </c>
      <c r="CQ2" s="2689">
        <f t="shared" si="9"/>
        <v>4</v>
      </c>
      <c r="CR2" s="2689">
        <f t="shared" si="9"/>
        <v>4</v>
      </c>
      <c r="CS2" s="2689">
        <f t="shared" si="9"/>
        <v>4</v>
      </c>
      <c r="CT2" s="2689">
        <f t="shared" si="9"/>
        <v>1</v>
      </c>
      <c r="CU2" s="2689">
        <f t="shared" si="9"/>
        <v>1</v>
      </c>
      <c r="CV2" s="2689">
        <f t="shared" si="9"/>
        <v>1</v>
      </c>
      <c r="CW2" s="2689">
        <f t="shared" si="9"/>
        <v>2</v>
      </c>
      <c r="CX2" s="2689">
        <f t="shared" si="9"/>
        <v>2</v>
      </c>
      <c r="CY2" s="2689">
        <f t="shared" si="9"/>
        <v>2</v>
      </c>
      <c r="CZ2" s="2689">
        <f t="shared" si="9"/>
        <v>3</v>
      </c>
      <c r="DA2" s="2689">
        <f t="shared" si="9"/>
        <v>3</v>
      </c>
      <c r="DB2" s="2689">
        <f t="shared" si="9"/>
        <v>3</v>
      </c>
      <c r="DC2" s="2689">
        <f t="shared" si="9"/>
        <v>4</v>
      </c>
      <c r="DD2" s="2689">
        <f t="shared" si="9"/>
        <v>4</v>
      </c>
      <c r="DE2" s="2689">
        <f t="shared" si="9"/>
        <v>4</v>
      </c>
      <c r="DF2" s="2689">
        <f t="shared" si="9"/>
        <v>1</v>
      </c>
      <c r="DG2" s="2689">
        <f t="shared" si="9"/>
        <v>1</v>
      </c>
      <c r="DH2" s="2689">
        <f t="shared" si="9"/>
        <v>1</v>
      </c>
      <c r="DI2" s="2689">
        <f t="shared" si="9"/>
        <v>2</v>
      </c>
      <c r="DJ2" s="2689">
        <f t="shared" si="9"/>
        <v>2</v>
      </c>
      <c r="DK2" s="2689">
        <f t="shared" si="9"/>
        <v>2</v>
      </c>
      <c r="DL2" s="2689">
        <f t="shared" si="9"/>
        <v>3</v>
      </c>
      <c r="DM2" s="2689">
        <f t="shared" si="9"/>
        <v>3</v>
      </c>
      <c r="DN2" s="2689">
        <f t="shared" si="9"/>
        <v>3</v>
      </c>
      <c r="DO2" s="2689">
        <f t="shared" si="9"/>
        <v>4</v>
      </c>
      <c r="DP2" s="2689">
        <f t="shared" si="9"/>
        <v>4</v>
      </c>
      <c r="DQ2" s="2689">
        <f t="shared" si="9"/>
        <v>4</v>
      </c>
      <c r="DR2" s="2689">
        <f t="shared" si="9"/>
        <v>1</v>
      </c>
      <c r="DS2" s="2689">
        <f t="shared" ref="DS2:GD2" si="10">ROUNDUP(MONTH(DS4)/3, 0)</f>
        <v>1</v>
      </c>
      <c r="DT2" s="2689">
        <f t="shared" si="10"/>
        <v>1</v>
      </c>
      <c r="DU2" s="2689">
        <f t="shared" si="10"/>
        <v>2</v>
      </c>
      <c r="DV2" s="2689">
        <f t="shared" si="10"/>
        <v>2</v>
      </c>
      <c r="DW2" s="2689">
        <f t="shared" si="10"/>
        <v>2</v>
      </c>
      <c r="DX2" s="2689">
        <f t="shared" si="10"/>
        <v>3</v>
      </c>
      <c r="DY2" s="2689">
        <f t="shared" si="10"/>
        <v>3</v>
      </c>
      <c r="DZ2" s="2689">
        <f t="shared" si="10"/>
        <v>3</v>
      </c>
      <c r="EA2" s="2689">
        <f t="shared" si="10"/>
        <v>4</v>
      </c>
      <c r="EB2" s="2689">
        <f t="shared" si="10"/>
        <v>4</v>
      </c>
      <c r="EC2" s="2689">
        <f t="shared" si="10"/>
        <v>4</v>
      </c>
      <c r="ED2" s="2689">
        <f t="shared" si="10"/>
        <v>1</v>
      </c>
      <c r="EE2" s="2689">
        <f t="shared" si="10"/>
        <v>1</v>
      </c>
      <c r="EF2" s="2689">
        <f t="shared" si="10"/>
        <v>1</v>
      </c>
      <c r="EG2" s="2689">
        <f t="shared" si="10"/>
        <v>2</v>
      </c>
      <c r="EH2" s="2689">
        <f t="shared" si="10"/>
        <v>2</v>
      </c>
      <c r="EI2" s="2689">
        <f t="shared" si="10"/>
        <v>2</v>
      </c>
      <c r="EJ2" s="2689">
        <f t="shared" si="10"/>
        <v>3</v>
      </c>
      <c r="EK2" s="2689">
        <f t="shared" si="10"/>
        <v>3</v>
      </c>
      <c r="EL2" s="2689">
        <f t="shared" si="10"/>
        <v>3</v>
      </c>
      <c r="EM2" s="2689">
        <f t="shared" si="10"/>
        <v>4</v>
      </c>
      <c r="EN2" s="2689">
        <f t="shared" si="10"/>
        <v>4</v>
      </c>
      <c r="EO2" s="2689">
        <f t="shared" si="10"/>
        <v>4</v>
      </c>
      <c r="EP2" s="2689">
        <f t="shared" si="10"/>
        <v>1</v>
      </c>
      <c r="EQ2" s="2689">
        <f t="shared" si="10"/>
        <v>1</v>
      </c>
      <c r="ER2" s="2689">
        <f t="shared" si="10"/>
        <v>1</v>
      </c>
      <c r="ES2" s="2689">
        <f t="shared" si="10"/>
        <v>2</v>
      </c>
      <c r="ET2" s="2689">
        <f t="shared" si="10"/>
        <v>2</v>
      </c>
      <c r="EU2" s="2689">
        <f t="shared" si="10"/>
        <v>2</v>
      </c>
      <c r="EV2" s="2689">
        <f t="shared" si="10"/>
        <v>3</v>
      </c>
      <c r="EW2" s="2689">
        <f t="shared" si="10"/>
        <v>3</v>
      </c>
      <c r="EX2" s="2689">
        <f t="shared" si="10"/>
        <v>3</v>
      </c>
      <c r="EY2" s="2689">
        <f t="shared" si="10"/>
        <v>4</v>
      </c>
      <c r="EZ2" s="2689">
        <f t="shared" si="10"/>
        <v>4</v>
      </c>
      <c r="FA2" s="2689">
        <f t="shared" si="10"/>
        <v>4</v>
      </c>
      <c r="FB2" s="2689">
        <f t="shared" si="10"/>
        <v>1</v>
      </c>
      <c r="FC2" s="2689">
        <f t="shared" si="10"/>
        <v>1</v>
      </c>
      <c r="FD2" s="2689">
        <f t="shared" si="10"/>
        <v>1</v>
      </c>
      <c r="FE2" s="2689">
        <f t="shared" si="10"/>
        <v>2</v>
      </c>
      <c r="FF2" s="2689">
        <f t="shared" si="10"/>
        <v>2</v>
      </c>
      <c r="FG2" s="2689">
        <f t="shared" si="10"/>
        <v>2</v>
      </c>
      <c r="FH2" s="2689">
        <f t="shared" si="10"/>
        <v>3</v>
      </c>
      <c r="FI2" s="2689">
        <f t="shared" si="10"/>
        <v>3</v>
      </c>
      <c r="FJ2" s="2689">
        <f t="shared" si="10"/>
        <v>3</v>
      </c>
      <c r="FK2" s="2689">
        <f t="shared" si="10"/>
        <v>4</v>
      </c>
      <c r="FL2" s="2689">
        <f t="shared" si="10"/>
        <v>4</v>
      </c>
      <c r="FM2" s="2689">
        <f t="shared" si="10"/>
        <v>4</v>
      </c>
      <c r="FN2" s="2689">
        <f t="shared" si="10"/>
        <v>1</v>
      </c>
      <c r="FO2" s="2689">
        <f t="shared" si="10"/>
        <v>1</v>
      </c>
      <c r="FP2" s="2689">
        <f t="shared" si="10"/>
        <v>1</v>
      </c>
      <c r="FQ2" s="2689">
        <f t="shared" si="10"/>
        <v>2</v>
      </c>
      <c r="FR2" s="2689">
        <f t="shared" si="10"/>
        <v>2</v>
      </c>
      <c r="FS2" s="2689">
        <f t="shared" si="10"/>
        <v>2</v>
      </c>
      <c r="FT2" s="2689">
        <f t="shared" si="10"/>
        <v>3</v>
      </c>
      <c r="FU2" s="2689">
        <f t="shared" si="10"/>
        <v>3</v>
      </c>
      <c r="FV2" s="2689">
        <f t="shared" si="10"/>
        <v>3</v>
      </c>
      <c r="FW2" s="2689">
        <f t="shared" si="10"/>
        <v>4</v>
      </c>
      <c r="FX2" s="2689">
        <f t="shared" si="10"/>
        <v>4</v>
      </c>
      <c r="FY2" s="2689">
        <f t="shared" si="10"/>
        <v>4</v>
      </c>
      <c r="FZ2" s="2689">
        <f t="shared" si="10"/>
        <v>1</v>
      </c>
      <c r="GA2" s="2689">
        <f t="shared" si="10"/>
        <v>1</v>
      </c>
      <c r="GB2" s="2689">
        <f t="shared" si="10"/>
        <v>1</v>
      </c>
      <c r="GC2" s="2689">
        <f t="shared" si="10"/>
        <v>2</v>
      </c>
      <c r="GD2" s="2689">
        <f t="shared" si="10"/>
        <v>2</v>
      </c>
      <c r="GE2" s="2689">
        <f t="shared" ref="GE2:HI2" si="11">ROUNDUP(MONTH(GE4)/3, 0)</f>
        <v>2</v>
      </c>
      <c r="GF2" s="2689">
        <f t="shared" si="11"/>
        <v>3</v>
      </c>
      <c r="GG2" s="2689">
        <f t="shared" si="11"/>
        <v>3</v>
      </c>
      <c r="GH2" s="2689">
        <f t="shared" si="11"/>
        <v>3</v>
      </c>
      <c r="GI2" s="2689">
        <f t="shared" si="11"/>
        <v>4</v>
      </c>
      <c r="GJ2" s="2689">
        <f t="shared" si="11"/>
        <v>4</v>
      </c>
      <c r="GK2" s="2689">
        <f t="shared" si="11"/>
        <v>4</v>
      </c>
      <c r="GL2" s="2689">
        <f t="shared" si="11"/>
        <v>1</v>
      </c>
      <c r="GM2" s="2689">
        <f t="shared" si="11"/>
        <v>1</v>
      </c>
      <c r="GN2" s="2689">
        <f t="shared" si="11"/>
        <v>1</v>
      </c>
      <c r="GO2" s="2689">
        <f t="shared" si="11"/>
        <v>2</v>
      </c>
      <c r="GP2" s="2689">
        <f t="shared" si="11"/>
        <v>2</v>
      </c>
      <c r="GQ2" s="2689">
        <f t="shared" si="11"/>
        <v>2</v>
      </c>
      <c r="GR2" s="2689">
        <f t="shared" si="11"/>
        <v>3</v>
      </c>
      <c r="GS2" s="2689">
        <f t="shared" si="11"/>
        <v>3</v>
      </c>
      <c r="GT2" s="2689">
        <f t="shared" si="11"/>
        <v>3</v>
      </c>
      <c r="GU2" s="2689">
        <f t="shared" si="11"/>
        <v>4</v>
      </c>
      <c r="GV2" s="2689">
        <f t="shared" si="11"/>
        <v>4</v>
      </c>
      <c r="GW2" s="2689">
        <f t="shared" si="11"/>
        <v>4</v>
      </c>
      <c r="GX2" s="2689">
        <f t="shared" si="11"/>
        <v>1</v>
      </c>
      <c r="GY2" s="2689">
        <f t="shared" si="11"/>
        <v>1</v>
      </c>
      <c r="GZ2" s="2689">
        <f t="shared" si="11"/>
        <v>1</v>
      </c>
      <c r="HA2" s="2689">
        <f t="shared" si="11"/>
        <v>2</v>
      </c>
      <c r="HB2" s="2689">
        <f t="shared" si="11"/>
        <v>2</v>
      </c>
      <c r="HC2" s="2689">
        <f t="shared" si="11"/>
        <v>2</v>
      </c>
      <c r="HD2" s="2689">
        <f t="shared" si="11"/>
        <v>3</v>
      </c>
      <c r="HE2" s="2689">
        <f t="shared" si="11"/>
        <v>3</v>
      </c>
      <c r="HF2" s="2689">
        <f t="shared" si="11"/>
        <v>3</v>
      </c>
      <c r="HG2" s="2689">
        <f t="shared" si="11"/>
        <v>4</v>
      </c>
      <c r="HH2" s="2689">
        <f t="shared" si="11"/>
        <v>4</v>
      </c>
      <c r="HI2" s="2689">
        <f t="shared" si="11"/>
        <v>4</v>
      </c>
    </row>
    <row r="3" spans="1:217" s="3229" customFormat="1">
      <c r="D3" s="3229">
        <v>12018</v>
      </c>
      <c r="G3" s="3229">
        <v>22018</v>
      </c>
      <c r="J3" s="3229">
        <v>32018</v>
      </c>
      <c r="M3" s="3229">
        <v>42018</v>
      </c>
      <c r="P3" s="3229">
        <v>12019</v>
      </c>
      <c r="S3" s="3229">
        <v>22019</v>
      </c>
      <c r="V3" s="3229">
        <v>32019</v>
      </c>
      <c r="Y3" s="3229">
        <v>42019</v>
      </c>
      <c r="AB3" s="3229">
        <v>12020</v>
      </c>
      <c r="AE3" s="3229">
        <v>22020</v>
      </c>
      <c r="AH3" s="3229">
        <v>32020</v>
      </c>
      <c r="AK3" s="3229">
        <v>42020</v>
      </c>
      <c r="AN3" s="3229">
        <v>12021</v>
      </c>
      <c r="AQ3" s="3229">
        <v>22021</v>
      </c>
      <c r="AT3" s="3229">
        <v>32021</v>
      </c>
      <c r="AW3" s="3229">
        <v>42021</v>
      </c>
      <c r="AZ3" s="3229">
        <v>12022</v>
      </c>
      <c r="BC3" s="3229">
        <v>22022</v>
      </c>
      <c r="BF3" s="3229">
        <v>32022</v>
      </c>
      <c r="BI3" s="3229">
        <v>42022</v>
      </c>
      <c r="BL3" s="3229" t="str">
        <f t="shared" ref="BL3" si="12">"1"&amp;RIGHT(BL1,4)</f>
        <v>12023</v>
      </c>
      <c r="BO3" s="3229" t="str">
        <f t="shared" ref="BO3" si="13">"2"&amp;RIGHT(BO1,4)</f>
        <v>22023</v>
      </c>
      <c r="BR3" s="3229" t="str">
        <f t="shared" ref="BR3" si="14">"3"&amp;RIGHT(BR1,4)</f>
        <v>32023</v>
      </c>
      <c r="BU3" s="3229" t="str">
        <f t="shared" ref="BU3" si="15">"4"&amp;RIGHT(BU1,4)</f>
        <v>42023</v>
      </c>
      <c r="BX3" s="3229" t="str">
        <f t="shared" ref="BX3" si="16">"1"&amp;RIGHT(BX1,4)</f>
        <v>12024</v>
      </c>
      <c r="CA3" s="3229" t="str">
        <f t="shared" ref="CA3" si="17">"2"&amp;RIGHT(CA1,4)</f>
        <v>22024</v>
      </c>
      <c r="CD3" s="3229" t="str">
        <f t="shared" ref="CD3" si="18">"3"&amp;RIGHT(CD1,4)</f>
        <v>32024</v>
      </c>
      <c r="CG3" s="3229" t="str">
        <f t="shared" ref="CG3" si="19">"4"&amp;RIGHT(CG1,4)</f>
        <v>42024</v>
      </c>
      <c r="CJ3" s="3229" t="str">
        <f t="shared" ref="CJ3" si="20">"1"&amp;RIGHT(CJ1,4)</f>
        <v>12025</v>
      </c>
      <c r="CM3" s="3229" t="str">
        <f t="shared" ref="CM3" si="21">"2"&amp;RIGHT(CM1,4)</f>
        <v>22025</v>
      </c>
      <c r="CP3" s="3229" t="str">
        <f t="shared" ref="CP3" si="22">"3"&amp;RIGHT(CP1,4)</f>
        <v>32025</v>
      </c>
      <c r="CS3" s="3229" t="str">
        <f t="shared" ref="CS3" si="23">"4"&amp;RIGHT(CS1,4)</f>
        <v>42025</v>
      </c>
      <c r="CV3" s="3229" t="str">
        <f t="shared" ref="CV3" si="24">"1"&amp;RIGHT(CV1,4)</f>
        <v>12026</v>
      </c>
      <c r="CY3" s="3229" t="str">
        <f t="shared" ref="CY3" si="25">"2"&amp;RIGHT(CY1,4)</f>
        <v>22026</v>
      </c>
      <c r="DB3" s="3229" t="str">
        <f t="shared" ref="DB3" si="26">"3"&amp;RIGHT(DB1,4)</f>
        <v>32026</v>
      </c>
      <c r="DE3" s="3229" t="str">
        <f t="shared" ref="DE3" si="27">"4"&amp;RIGHT(DE1,4)</f>
        <v>42026</v>
      </c>
      <c r="DH3" s="3229" t="str">
        <f t="shared" ref="DH3" si="28">"1"&amp;RIGHT(DH1,4)</f>
        <v>12027</v>
      </c>
      <c r="DK3" s="3229" t="str">
        <f t="shared" ref="DK3" si="29">"2"&amp;RIGHT(DK1,4)</f>
        <v>22027</v>
      </c>
      <c r="DN3" s="3229" t="str">
        <f t="shared" ref="DN3" si="30">"3"&amp;RIGHT(DN1,4)</f>
        <v>32027</v>
      </c>
      <c r="DQ3" s="3229" t="str">
        <f t="shared" ref="DQ3" si="31">"4"&amp;RIGHT(DQ1,4)</f>
        <v>42027</v>
      </c>
      <c r="DT3" s="3229" t="str">
        <f t="shared" ref="DT3:FP3" si="32">"1"&amp;RIGHT(DT1,4)</f>
        <v>12028</v>
      </c>
      <c r="DW3" s="3229" t="str">
        <f t="shared" ref="DW3:FS3" si="33">"2"&amp;RIGHT(DW1,4)</f>
        <v>22028</v>
      </c>
      <c r="DZ3" s="3229" t="str">
        <f t="shared" ref="DZ3:FV3" si="34">"3"&amp;RIGHT(DZ1,4)</f>
        <v>32028</v>
      </c>
      <c r="EC3" s="3229" t="str">
        <f t="shared" ref="EC3:FY3" si="35">"4"&amp;RIGHT(EC1,4)</f>
        <v>42028</v>
      </c>
      <c r="EF3" s="3229" t="str">
        <f t="shared" ref="EF3:GB3" si="36">"1"&amp;RIGHT(EF1,4)</f>
        <v>12029</v>
      </c>
      <c r="EI3" s="3229" t="str">
        <f t="shared" ref="EI3:GE3" si="37">"2"&amp;RIGHT(EI1,4)</f>
        <v>22029</v>
      </c>
      <c r="EL3" s="3229" t="str">
        <f t="shared" ref="EL3:GH3" si="38">"3"&amp;RIGHT(EL1,4)</f>
        <v>32029</v>
      </c>
      <c r="EO3" s="3229" t="str">
        <f t="shared" ref="EO3:GK3" si="39">"4"&amp;RIGHT(EO1,4)</f>
        <v>42029</v>
      </c>
      <c r="ER3" s="3229" t="str">
        <f t="shared" si="32"/>
        <v>12030</v>
      </c>
      <c r="EU3" s="3229" t="str">
        <f t="shared" si="33"/>
        <v>22030</v>
      </c>
      <c r="EX3" s="3229" t="str">
        <f t="shared" si="34"/>
        <v>32030</v>
      </c>
      <c r="FA3" s="3229" t="str">
        <f t="shared" si="35"/>
        <v>42030</v>
      </c>
      <c r="FD3" s="3229" t="str">
        <f t="shared" si="36"/>
        <v>12031</v>
      </c>
      <c r="FG3" s="3229" t="str">
        <f t="shared" si="37"/>
        <v>22031</v>
      </c>
      <c r="FJ3" s="3229" t="str">
        <f t="shared" si="38"/>
        <v>32031</v>
      </c>
      <c r="FM3" s="3229" t="str">
        <f t="shared" si="39"/>
        <v>42031</v>
      </c>
      <c r="FP3" s="3229" t="str">
        <f t="shared" si="32"/>
        <v>12032</v>
      </c>
      <c r="FS3" s="3229" t="str">
        <f t="shared" si="33"/>
        <v>22032</v>
      </c>
      <c r="FV3" s="3229" t="str">
        <f t="shared" si="34"/>
        <v>32032</v>
      </c>
      <c r="FY3" s="3229" t="str">
        <f t="shared" si="35"/>
        <v>42032</v>
      </c>
      <c r="GB3" s="3229" t="str">
        <f t="shared" si="36"/>
        <v>12033</v>
      </c>
      <c r="GE3" s="3229" t="str">
        <f t="shared" si="37"/>
        <v>22033</v>
      </c>
      <c r="GH3" s="3229" t="str">
        <f t="shared" si="38"/>
        <v>32033</v>
      </c>
      <c r="GK3" s="3229" t="str">
        <f t="shared" si="39"/>
        <v>42033</v>
      </c>
      <c r="GN3" s="3229" t="str">
        <f t="shared" ref="GN3" si="40">"1"&amp;RIGHT(GN1,4)</f>
        <v>12034</v>
      </c>
      <c r="GQ3" s="3229" t="str">
        <f t="shared" ref="GQ3" si="41">"2"&amp;RIGHT(GQ1,4)</f>
        <v>22034</v>
      </c>
      <c r="GT3" s="3229" t="str">
        <f t="shared" ref="GT3" si="42">"3"&amp;RIGHT(GT1,4)</f>
        <v>32034</v>
      </c>
      <c r="GW3" s="3229" t="str">
        <f t="shared" ref="GW3" si="43">"4"&amp;RIGHT(GW1,4)</f>
        <v>42034</v>
      </c>
      <c r="GZ3" s="3229" t="str">
        <f t="shared" ref="GZ3" si="44">"1"&amp;RIGHT(GZ1,4)</f>
        <v>12035</v>
      </c>
      <c r="HC3" s="3229" t="str">
        <f t="shared" ref="HC3" si="45">"2"&amp;RIGHT(HC1,4)</f>
        <v>22035</v>
      </c>
      <c r="HF3" s="3229" t="str">
        <f t="shared" ref="HF3" si="46">"3"&amp;RIGHT(HF1,4)</f>
        <v>32035</v>
      </c>
      <c r="HI3" s="3229" t="str">
        <f t="shared" ref="HI3" si="47">"4"&amp;RIGHT(HI1,4)</f>
        <v>42035</v>
      </c>
    </row>
    <row r="4" spans="1:217" s="3230" customFormat="1">
      <c r="B4" s="3231">
        <v>43101</v>
      </c>
      <c r="C4" s="3231">
        <v>43132</v>
      </c>
      <c r="D4" s="3231">
        <v>43160</v>
      </c>
      <c r="E4" s="3231">
        <v>43191</v>
      </c>
      <c r="F4" s="3231">
        <v>43221</v>
      </c>
      <c r="G4" s="3231">
        <v>43252</v>
      </c>
      <c r="H4" s="3231">
        <v>43282</v>
      </c>
      <c r="I4" s="3231">
        <v>43313</v>
      </c>
      <c r="J4" s="3231">
        <v>43344</v>
      </c>
      <c r="K4" s="3231">
        <v>43374</v>
      </c>
      <c r="L4" s="3231">
        <v>43405</v>
      </c>
      <c r="M4" s="3231">
        <v>43435</v>
      </c>
      <c r="N4" s="3231">
        <v>43466</v>
      </c>
      <c r="O4" s="3231">
        <v>43497</v>
      </c>
      <c r="P4" s="3231">
        <v>43525</v>
      </c>
      <c r="Q4" s="3231">
        <v>43556</v>
      </c>
      <c r="R4" s="3231">
        <v>43586</v>
      </c>
      <c r="S4" s="3231">
        <v>43617</v>
      </c>
      <c r="T4" s="3231">
        <v>43647</v>
      </c>
      <c r="U4" s="3231">
        <v>43678</v>
      </c>
      <c r="V4" s="3231">
        <v>43709</v>
      </c>
      <c r="W4" s="3231">
        <v>43739</v>
      </c>
      <c r="X4" s="3231">
        <v>43770</v>
      </c>
      <c r="Y4" s="3231">
        <v>43800</v>
      </c>
      <c r="Z4" s="3231">
        <v>43831</v>
      </c>
      <c r="AA4" s="3231">
        <v>43862</v>
      </c>
      <c r="AB4" s="3231">
        <v>43891</v>
      </c>
      <c r="AC4" s="3231">
        <v>43922</v>
      </c>
      <c r="AD4" s="3231">
        <v>43952</v>
      </c>
      <c r="AE4" s="3231">
        <v>43983</v>
      </c>
      <c r="AF4" s="3231">
        <v>44013</v>
      </c>
      <c r="AG4" s="3231">
        <v>44044</v>
      </c>
      <c r="AH4" s="3231">
        <v>44075</v>
      </c>
      <c r="AI4" s="3231">
        <v>44105</v>
      </c>
      <c r="AJ4" s="3231">
        <v>44136</v>
      </c>
      <c r="AK4" s="3231">
        <v>44166</v>
      </c>
      <c r="AL4" s="3231">
        <v>44197</v>
      </c>
      <c r="AM4" s="3231">
        <v>44228</v>
      </c>
      <c r="AN4" s="3231">
        <v>44256</v>
      </c>
      <c r="AO4" s="3231">
        <v>44287</v>
      </c>
      <c r="AP4" s="3231">
        <v>44317</v>
      </c>
      <c r="AQ4" s="3231">
        <v>44348</v>
      </c>
      <c r="AR4" s="3231">
        <v>44378</v>
      </c>
      <c r="AS4" s="3231">
        <v>44409</v>
      </c>
      <c r="AT4" s="3231">
        <v>44440</v>
      </c>
      <c r="AU4" s="3231">
        <v>44470</v>
      </c>
      <c r="AV4" s="3231">
        <v>44501</v>
      </c>
      <c r="AW4" s="3231">
        <v>44531</v>
      </c>
      <c r="AX4" s="3231" t="s">
        <v>28</v>
      </c>
      <c r="AY4" s="3231">
        <v>44621</v>
      </c>
      <c r="AZ4" s="3231">
        <v>44652</v>
      </c>
      <c r="BA4" s="3231">
        <v>44682</v>
      </c>
      <c r="BB4" s="3231">
        <v>44713</v>
      </c>
      <c r="BC4" s="3230" t="s">
        <v>29</v>
      </c>
      <c r="BD4" s="3231">
        <v>44743</v>
      </c>
      <c r="BE4" s="3231">
        <v>44774</v>
      </c>
      <c r="BF4" s="3231">
        <v>44805</v>
      </c>
      <c r="BG4" s="3231">
        <v>44835</v>
      </c>
      <c r="BH4" s="3231">
        <v>44866</v>
      </c>
      <c r="BI4" s="3231">
        <v>44896</v>
      </c>
      <c r="BJ4" s="3231">
        <v>44927</v>
      </c>
      <c r="BK4" s="3231">
        <v>44958</v>
      </c>
      <c r="BL4" s="3231">
        <v>44986</v>
      </c>
      <c r="BM4" s="3231">
        <v>45017</v>
      </c>
      <c r="BN4" s="3231">
        <v>45047</v>
      </c>
      <c r="BO4" s="3231">
        <v>45078</v>
      </c>
      <c r="BP4" s="3231">
        <v>45108</v>
      </c>
      <c r="BQ4" s="3231">
        <v>45139</v>
      </c>
      <c r="BR4" s="3231">
        <v>45170</v>
      </c>
      <c r="BS4" s="3231">
        <v>45200</v>
      </c>
      <c r="BT4" s="3231">
        <v>45231</v>
      </c>
      <c r="BU4" s="3231">
        <v>45261</v>
      </c>
      <c r="BV4" s="3231">
        <v>45292</v>
      </c>
      <c r="BW4" s="3231">
        <v>45323</v>
      </c>
      <c r="BX4" s="3231">
        <v>45352</v>
      </c>
      <c r="BY4" s="3231">
        <v>45383</v>
      </c>
      <c r="BZ4" s="3231">
        <v>45413</v>
      </c>
      <c r="CA4" s="3231">
        <v>45444</v>
      </c>
      <c r="CB4" s="3231">
        <v>45474</v>
      </c>
      <c r="CC4" s="3231">
        <v>45505</v>
      </c>
      <c r="CD4" s="3231">
        <v>45536</v>
      </c>
      <c r="CE4" s="3231">
        <v>45566</v>
      </c>
      <c r="CF4" s="3231">
        <v>45597</v>
      </c>
      <c r="CG4" s="3231">
        <v>45627</v>
      </c>
      <c r="CH4" s="3231">
        <v>45658</v>
      </c>
      <c r="CI4" s="3231">
        <v>45689</v>
      </c>
      <c r="CJ4" s="3231">
        <v>45717</v>
      </c>
      <c r="CK4" s="3231">
        <v>45748</v>
      </c>
      <c r="CL4" s="3231">
        <v>45778</v>
      </c>
      <c r="CM4" s="3231">
        <v>45809</v>
      </c>
      <c r="CN4" s="3231">
        <v>45839</v>
      </c>
      <c r="CO4" s="3231">
        <v>45870</v>
      </c>
      <c r="CP4" s="3231">
        <v>45901</v>
      </c>
      <c r="CQ4" s="3231">
        <v>45931</v>
      </c>
      <c r="CR4" s="3231">
        <v>45962</v>
      </c>
      <c r="CS4" s="3231">
        <v>45992</v>
      </c>
      <c r="CT4" s="3231">
        <v>46023</v>
      </c>
      <c r="CU4" s="3231">
        <v>46054</v>
      </c>
      <c r="CV4" s="3231">
        <v>46082</v>
      </c>
      <c r="CW4" s="3231">
        <v>46113</v>
      </c>
      <c r="CX4" s="3231">
        <v>46143</v>
      </c>
      <c r="CY4" s="3231">
        <v>46174</v>
      </c>
      <c r="CZ4" s="3231">
        <v>46204</v>
      </c>
      <c r="DA4" s="3231">
        <v>46235</v>
      </c>
      <c r="DB4" s="3231">
        <v>46266</v>
      </c>
      <c r="DC4" s="3231">
        <v>46296</v>
      </c>
      <c r="DD4" s="3231">
        <v>46327</v>
      </c>
      <c r="DE4" s="3231">
        <v>46357</v>
      </c>
      <c r="DF4" s="3231">
        <v>46388</v>
      </c>
      <c r="DG4" s="3231">
        <v>46419</v>
      </c>
      <c r="DH4" s="3231">
        <v>46447</v>
      </c>
      <c r="DI4" s="3231">
        <v>46478</v>
      </c>
      <c r="DJ4" s="3231">
        <v>46508</v>
      </c>
      <c r="DK4" s="3231">
        <v>46539</v>
      </c>
      <c r="DL4" s="3231">
        <v>46569</v>
      </c>
      <c r="DM4" s="3231">
        <v>46600</v>
      </c>
      <c r="DN4" s="3231">
        <v>46631</v>
      </c>
      <c r="DO4" s="3231">
        <v>46661</v>
      </c>
      <c r="DP4" s="3231">
        <v>46692</v>
      </c>
      <c r="DQ4" s="3231">
        <v>46722</v>
      </c>
      <c r="DR4" s="3231">
        <v>46753</v>
      </c>
      <c r="DS4" s="3231">
        <v>46784</v>
      </c>
      <c r="DT4" s="3231">
        <v>46813</v>
      </c>
      <c r="DU4" s="3231">
        <v>46844</v>
      </c>
      <c r="DV4" s="3231">
        <v>46874</v>
      </c>
      <c r="DW4" s="3231">
        <v>46905</v>
      </c>
      <c r="DX4" s="3231">
        <v>46935</v>
      </c>
      <c r="DY4" s="3231">
        <v>46966</v>
      </c>
      <c r="DZ4" s="3231">
        <v>46997</v>
      </c>
      <c r="EA4" s="3231">
        <v>47027</v>
      </c>
      <c r="EB4" s="3231">
        <v>47058</v>
      </c>
      <c r="EC4" s="3231">
        <v>47088</v>
      </c>
      <c r="ED4" s="3231">
        <v>47119</v>
      </c>
      <c r="EE4" s="3231">
        <v>47150</v>
      </c>
      <c r="EF4" s="3231">
        <v>47178</v>
      </c>
      <c r="EG4" s="3231">
        <v>47209</v>
      </c>
      <c r="EH4" s="3231">
        <v>47239</v>
      </c>
      <c r="EI4" s="3231">
        <v>47270</v>
      </c>
      <c r="EJ4" s="3231">
        <v>47300</v>
      </c>
      <c r="EK4" s="3231">
        <v>47331</v>
      </c>
      <c r="EL4" s="3231">
        <v>47362</v>
      </c>
      <c r="EM4" s="3231">
        <v>47392</v>
      </c>
      <c r="EN4" s="3231">
        <v>47423</v>
      </c>
      <c r="EO4" s="3231">
        <v>47453</v>
      </c>
      <c r="EP4" s="3231">
        <v>47484</v>
      </c>
      <c r="EQ4" s="3231">
        <v>47515</v>
      </c>
      <c r="ER4" s="3231">
        <v>47543</v>
      </c>
      <c r="ES4" s="3231">
        <v>47574</v>
      </c>
      <c r="ET4" s="3231">
        <v>47604</v>
      </c>
      <c r="EU4" s="3231">
        <v>47635</v>
      </c>
      <c r="EV4" s="3231">
        <v>47665</v>
      </c>
      <c r="EW4" s="3231">
        <v>47696</v>
      </c>
      <c r="EX4" s="3231">
        <v>47727</v>
      </c>
      <c r="EY4" s="3231">
        <v>47757</v>
      </c>
      <c r="EZ4" s="3231">
        <v>47788</v>
      </c>
      <c r="FA4" s="3231">
        <v>47818</v>
      </c>
      <c r="FB4" s="3231">
        <v>47849</v>
      </c>
      <c r="FC4" s="3231">
        <v>47880</v>
      </c>
      <c r="FD4" s="3231">
        <v>47908</v>
      </c>
      <c r="FE4" s="3231">
        <v>47939</v>
      </c>
      <c r="FF4" s="3231">
        <v>47969</v>
      </c>
      <c r="FG4" s="3231">
        <v>48000</v>
      </c>
      <c r="FH4" s="3231">
        <v>48030</v>
      </c>
      <c r="FI4" s="3231">
        <v>48061</v>
      </c>
      <c r="FJ4" s="3231">
        <v>48092</v>
      </c>
      <c r="FK4" s="3231">
        <v>48122</v>
      </c>
      <c r="FL4" s="3231">
        <v>48153</v>
      </c>
      <c r="FM4" s="3231">
        <v>48183</v>
      </c>
      <c r="FN4" s="3231">
        <v>48214</v>
      </c>
      <c r="FO4" s="3231">
        <v>48245</v>
      </c>
      <c r="FP4" s="3231">
        <v>48274</v>
      </c>
      <c r="FQ4" s="3231">
        <v>48305</v>
      </c>
      <c r="FR4" s="3231">
        <v>48335</v>
      </c>
      <c r="FS4" s="3231">
        <v>48366</v>
      </c>
      <c r="FT4" s="3231">
        <v>48396</v>
      </c>
      <c r="FU4" s="3231">
        <v>48427</v>
      </c>
      <c r="FV4" s="3231">
        <v>48458</v>
      </c>
      <c r="FW4" s="3231">
        <v>48488</v>
      </c>
      <c r="FX4" s="3231">
        <v>48519</v>
      </c>
      <c r="FY4" s="3231">
        <v>48549</v>
      </c>
      <c r="FZ4" s="3231">
        <v>48580</v>
      </c>
      <c r="GA4" s="3231">
        <v>48611</v>
      </c>
      <c r="GB4" s="3231">
        <v>48639</v>
      </c>
      <c r="GC4" s="3231">
        <v>48670</v>
      </c>
      <c r="GD4" s="3231">
        <v>48700</v>
      </c>
      <c r="GE4" s="3231">
        <v>48731</v>
      </c>
      <c r="GF4" s="3231">
        <v>48761</v>
      </c>
      <c r="GG4" s="3231">
        <v>48792</v>
      </c>
      <c r="GH4" s="3231">
        <v>48823</v>
      </c>
      <c r="GI4" s="3231">
        <v>48853</v>
      </c>
      <c r="GJ4" s="3231">
        <v>48884</v>
      </c>
      <c r="GK4" s="3231">
        <v>48914</v>
      </c>
      <c r="GL4" s="3231">
        <v>48945</v>
      </c>
      <c r="GM4" s="3231">
        <v>48976</v>
      </c>
      <c r="GN4" s="3231">
        <v>49004</v>
      </c>
      <c r="GO4" s="3231">
        <v>49035</v>
      </c>
      <c r="GP4" s="3231">
        <v>49065</v>
      </c>
      <c r="GQ4" s="3231">
        <v>49096</v>
      </c>
      <c r="GR4" s="3231">
        <v>49126</v>
      </c>
      <c r="GS4" s="3231">
        <v>49157</v>
      </c>
      <c r="GT4" s="3231">
        <v>49188</v>
      </c>
      <c r="GU4" s="3231">
        <v>49218</v>
      </c>
      <c r="GV4" s="3231">
        <v>49249</v>
      </c>
      <c r="GW4" s="3231">
        <v>49279</v>
      </c>
      <c r="GX4" s="3231">
        <v>49310</v>
      </c>
      <c r="GY4" s="3231">
        <v>49341</v>
      </c>
      <c r="GZ4" s="3231">
        <v>49369</v>
      </c>
      <c r="HA4" s="3231">
        <v>49400</v>
      </c>
      <c r="HB4" s="3231">
        <v>49430</v>
      </c>
      <c r="HC4" s="3231">
        <v>49461</v>
      </c>
      <c r="HD4" s="3231">
        <v>49491</v>
      </c>
      <c r="HE4" s="3231">
        <v>49522</v>
      </c>
      <c r="HF4" s="3231">
        <v>49553</v>
      </c>
      <c r="HG4" s="3231">
        <v>49583</v>
      </c>
      <c r="HH4" s="3231">
        <v>49614</v>
      </c>
      <c r="HI4" s="3231">
        <v>49644</v>
      </c>
    </row>
    <row r="5" spans="1:217" s="3234" customFormat="1">
      <c r="A5" s="3232" t="s">
        <v>30</v>
      </c>
      <c r="B5" s="3232">
        <v>7857</v>
      </c>
      <c r="C5" s="3232">
        <v>8005</v>
      </c>
      <c r="D5" s="3232">
        <v>6075</v>
      </c>
      <c r="E5" s="3232">
        <v>7744</v>
      </c>
      <c r="F5" s="3232">
        <v>7374</v>
      </c>
      <c r="G5" s="3232">
        <v>7485</v>
      </c>
      <c r="H5" s="3232">
        <v>7110</v>
      </c>
      <c r="I5" s="3232">
        <v>6975</v>
      </c>
      <c r="J5" s="3232">
        <v>6801</v>
      </c>
      <c r="K5" s="3232">
        <v>6792</v>
      </c>
      <c r="L5" s="3232">
        <v>6752</v>
      </c>
      <c r="M5" s="3232">
        <v>7546.2900000000154</v>
      </c>
      <c r="N5" s="3232">
        <v>10350</v>
      </c>
      <c r="O5" s="3232">
        <v>7046</v>
      </c>
      <c r="P5" s="3232">
        <v>7621</v>
      </c>
      <c r="Q5" s="3232">
        <v>9105</v>
      </c>
      <c r="R5" s="3232">
        <v>8662</v>
      </c>
      <c r="S5" s="3232">
        <v>8943</v>
      </c>
      <c r="T5" s="3232">
        <v>9202</v>
      </c>
      <c r="U5" s="3232">
        <v>7926</v>
      </c>
      <c r="V5" s="3232">
        <v>8358</v>
      </c>
      <c r="W5" s="3232">
        <v>7960</v>
      </c>
      <c r="X5" s="3232">
        <v>8363</v>
      </c>
      <c r="Y5" s="3232">
        <v>9088</v>
      </c>
      <c r="Z5" s="3232">
        <v>12560</v>
      </c>
      <c r="AA5" s="3232">
        <v>7981</v>
      </c>
      <c r="AB5" s="3232">
        <v>8812</v>
      </c>
      <c r="AC5" s="3232">
        <v>7830</v>
      </c>
      <c r="AD5" s="3232">
        <v>10309</v>
      </c>
      <c r="AE5" s="3232">
        <v>8147</v>
      </c>
      <c r="AF5" s="3232">
        <v>8669</v>
      </c>
      <c r="AG5" s="3232">
        <v>8662</v>
      </c>
      <c r="AH5" s="3232">
        <v>8382</v>
      </c>
      <c r="AI5" s="3232">
        <v>8750</v>
      </c>
      <c r="AJ5" s="3232">
        <v>9202</v>
      </c>
      <c r="AK5" s="3232">
        <v>9242</v>
      </c>
      <c r="AL5" s="3232">
        <v>11049</v>
      </c>
      <c r="AM5" s="3232">
        <v>10670</v>
      </c>
      <c r="AN5" s="3232">
        <v>9108</v>
      </c>
      <c r="AO5" s="3232">
        <v>9622</v>
      </c>
      <c r="AP5" s="3232">
        <v>11381</v>
      </c>
      <c r="AQ5" s="3232">
        <v>10657</v>
      </c>
      <c r="AR5" s="3232">
        <v>9499</v>
      </c>
      <c r="AS5" s="3232">
        <v>6509</v>
      </c>
      <c r="AT5" s="3232">
        <v>8325</v>
      </c>
      <c r="AU5" s="3232">
        <v>12186</v>
      </c>
      <c r="AV5" s="3232">
        <v>11524</v>
      </c>
      <c r="AW5" s="3232">
        <v>12428</v>
      </c>
      <c r="AX5" s="3232">
        <v>25383</v>
      </c>
      <c r="AY5" s="3232">
        <v>11264</v>
      </c>
      <c r="AZ5" s="3232">
        <v>11261</v>
      </c>
      <c r="BA5" s="3232">
        <v>11416</v>
      </c>
      <c r="BB5" s="3232">
        <v>11480</v>
      </c>
      <c r="BC5" s="3232">
        <f>BB5+BA5</f>
        <v>22896</v>
      </c>
      <c r="BD5" s="3232">
        <f>81870-SUM(AX5:BB5)</f>
        <v>11066</v>
      </c>
      <c r="BE5" s="3232">
        <f>BE7+BE14+BE20+BE38+BE55</f>
        <v>10298.035</v>
      </c>
      <c r="BF5" s="3232">
        <f ca="1">BF7+BF14+BF20+BF38+BF55</f>
        <v>10198.239999999998</v>
      </c>
      <c r="BG5" s="3232">
        <f ca="1">BG7+BG14+BG20+BG38+BG55</f>
        <v>11107.11</v>
      </c>
      <c r="BH5" s="3232">
        <f ca="1">BH7+BH14+BH20+BH38+BH55</f>
        <v>9530.6149999999961</v>
      </c>
      <c r="BI5" s="3232">
        <f ca="1">133404.777-SUM(AX5:BB5,BD5:BH5)</f>
        <v>10400.777000000016</v>
      </c>
      <c r="BJ5" s="3233">
        <f ca="1">BJ7+BJ14+BJ20+BJ38+BJ55</f>
        <v>9505</v>
      </c>
      <c r="BK5" s="3233">
        <f ca="1">BK7+BK14+BK20+BK38+BK55</f>
        <v>9505</v>
      </c>
      <c r="BL5" s="3233">
        <f ca="1">26990-SUM(BJ5:BK5)</f>
        <v>7980</v>
      </c>
      <c r="BM5" s="3233">
        <f ca="1">36847-SUM(BJ5:BL5)</f>
        <v>9857</v>
      </c>
      <c r="BN5" s="3233">
        <f ca="1">47144-SUM($BJ$5:BM5)</f>
        <v>10297</v>
      </c>
      <c r="BO5" s="3233">
        <f ca="1">56570-SUM($BJ$5:BN5)</f>
        <v>9426</v>
      </c>
      <c r="BP5" s="3233">
        <f ca="1">66490-SUM($BJ$5:BO5)</f>
        <v>9920</v>
      </c>
      <c r="BQ5" s="3233">
        <f ca="1">76455-SUM($BJ$5:BP5)</f>
        <v>9965</v>
      </c>
      <c r="BR5" s="3233">
        <f ca="1">86858-SUM($BJ$5:BQ5)</f>
        <v>10403</v>
      </c>
      <c r="BS5" s="3233">
        <f ca="1">98046-SUM($BJ$5:BR5)</f>
        <v>11188</v>
      </c>
      <c r="BT5" s="3233">
        <f ca="1">107954-SUM($BJ$5:BS5)</f>
        <v>9908</v>
      </c>
      <c r="BU5" s="3233">
        <f ca="1">118280-SUM(BJ5:BT5)</f>
        <v>10326</v>
      </c>
      <c r="BV5" s="3233">
        <f t="shared" ref="BV5:CY5" ca="1" si="48">BV7+BV14+BV20+BV38+BV55</f>
        <v>11003.7785</v>
      </c>
      <c r="BW5" s="3233">
        <f ca="1">21613-BV5</f>
        <v>10609.2215</v>
      </c>
      <c r="BX5" s="3233">
        <f ca="1">'FS Quarter'!BN4-SUM(Rev_Month!BV5:BW5)</f>
        <v>9873.4900000000016</v>
      </c>
      <c r="BY5" s="3233">
        <v>11552.509999999998</v>
      </c>
      <c r="BZ5" s="3233">
        <v>11201</v>
      </c>
      <c r="CA5" s="3233">
        <f ca="1">65621-SUM(BV5:BZ5)</f>
        <v>11381</v>
      </c>
      <c r="CB5" s="3233">
        <f ca="1">76541-SUM($BV$5:CA5)</f>
        <v>10920</v>
      </c>
      <c r="CC5" s="3233">
        <f ca="1">87967-SUM($BV$5:CB5)</f>
        <v>11426</v>
      </c>
      <c r="CD5" s="3233">
        <f ca="1">99767-SUM($BV$5:CC5)</f>
        <v>11800</v>
      </c>
      <c r="CE5" s="3233">
        <f ca="1">111353-SUM($BV$5:CD5)</f>
        <v>11586</v>
      </c>
      <c r="CF5" s="3233">
        <f ca="1">122298-SUM($BV$5:CE5)</f>
        <v>10945</v>
      </c>
      <c r="CG5" s="3233">
        <f ca="1">'FS Year'!$W$2-SUM(Rev_Month!BV5:CF5)</f>
        <v>12927.101298991998</v>
      </c>
      <c r="CH5" s="3233">
        <f ca="1">CH7+CH14+CH20+CH38+CH55</f>
        <v>11709.466156438875</v>
      </c>
      <c r="CI5" s="3233">
        <f ca="1">24524-CH5</f>
        <v>12814.533843561125</v>
      </c>
      <c r="CJ5" s="3233">
        <f ca="1">'FS Quarter'!BR4-SUM($CH5:CI5)</f>
        <v>11610.958418208997</v>
      </c>
      <c r="CK5" s="3233">
        <v>12560.399338008632</v>
      </c>
      <c r="CL5" s="3233">
        <v>12533.642243782371</v>
      </c>
      <c r="CM5" s="3233">
        <v>12426</v>
      </c>
      <c r="CN5" s="3233">
        <f ca="1">86507-SUM($CH5:CM5)</f>
        <v>12852</v>
      </c>
      <c r="CO5" s="3233">
        <f ca="1">99801-SUM($CH5:CN5)</f>
        <v>13294</v>
      </c>
      <c r="CP5" s="3233">
        <f ca="1">113436-SUM($CH5:CO5)</f>
        <v>13635</v>
      </c>
      <c r="CQ5" s="3233">
        <f ca="1">128289-SUM($CH5:CP5)</f>
        <v>14853</v>
      </c>
      <c r="CR5" s="3233">
        <f ca="1">142302-SUM($CH5:CQ5)</f>
        <v>14013</v>
      </c>
      <c r="CS5" s="3232">
        <f t="shared" ca="1" si="48"/>
        <v>16522.224055234343</v>
      </c>
      <c r="CT5" s="3232">
        <f t="shared" ca="1" si="48"/>
        <v>14452.764410819487</v>
      </c>
      <c r="CU5" s="3232">
        <f t="shared" ca="1" si="48"/>
        <v>14211.789023486304</v>
      </c>
      <c r="CV5" s="3232">
        <f t="shared" ca="1" si="48"/>
        <v>14202.400170295896</v>
      </c>
      <c r="CW5" s="3232">
        <f t="shared" si="48"/>
        <v>15222.395014432594</v>
      </c>
      <c r="CX5" s="3232">
        <f t="shared" si="48"/>
        <v>15259.053578109044</v>
      </c>
      <c r="CY5" s="3232">
        <f t="shared" si="48"/>
        <v>15039.242958998009</v>
      </c>
      <c r="CZ5" s="3232">
        <f t="shared" ref="CZ5:DR5" ca="1" si="49">CZ7+CZ14+CZ20+CZ38+CZ55</f>
        <v>15873.075515822744</v>
      </c>
      <c r="DA5" s="3232">
        <f t="shared" ca="1" si="49"/>
        <v>16290.73518777237</v>
      </c>
      <c r="DB5" s="3232">
        <f t="shared" ca="1" si="49"/>
        <v>16697.008681214476</v>
      </c>
      <c r="DC5" s="3232">
        <f t="shared" ca="1" si="49"/>
        <v>17907.131804001714</v>
      </c>
      <c r="DD5" s="3232">
        <f t="shared" ca="1" si="49"/>
        <v>17222.018683478276</v>
      </c>
      <c r="DE5" s="3232">
        <f t="shared" ca="1" si="49"/>
        <v>20192.453253102871</v>
      </c>
      <c r="DF5" s="3232">
        <f t="shared" ca="1" si="49"/>
        <v>17348.090434697006</v>
      </c>
      <c r="DG5" s="3232">
        <f t="shared" ca="1" si="49"/>
        <v>16755.418303379854</v>
      </c>
      <c r="DH5" s="3232">
        <f t="shared" ca="1" si="49"/>
        <v>16785.947791409781</v>
      </c>
      <c r="DI5" s="3232">
        <f t="shared" si="49"/>
        <v>17901.966483504722</v>
      </c>
      <c r="DJ5" s="3232">
        <f t="shared" si="49"/>
        <v>17719.513598538746</v>
      </c>
      <c r="DK5" s="3232">
        <f t="shared" si="49"/>
        <v>17383.393433986312</v>
      </c>
      <c r="DL5" s="3232">
        <f t="shared" ca="1" si="49"/>
        <v>18384.07823059705</v>
      </c>
      <c r="DM5" s="3232">
        <f t="shared" ca="1" si="49"/>
        <v>18877.597371774071</v>
      </c>
      <c r="DN5" s="3232">
        <f t="shared" ca="1" si="49"/>
        <v>19363.997396628598</v>
      </c>
      <c r="DO5" s="3232">
        <f t="shared" ca="1" si="49"/>
        <v>20722.267728635663</v>
      </c>
      <c r="DP5" s="3232">
        <f t="shared" ca="1" si="49"/>
        <v>19958.18279940699</v>
      </c>
      <c r="DQ5" s="3232">
        <f t="shared" ca="1" si="49"/>
        <v>23425.544449129062</v>
      </c>
      <c r="DR5" s="3232">
        <f t="shared" ca="1" si="49"/>
        <v>20003.282567787533</v>
      </c>
      <c r="DS5" s="3232">
        <f t="shared" ref="DS5:FY5" ca="1" si="50">DS7+DS14+DS20+DS38+DS55</f>
        <v>19187.790079700946</v>
      </c>
      <c r="DT5" s="3232">
        <f t="shared" ca="1" si="50"/>
        <v>19362.050113008165</v>
      </c>
      <c r="DU5" s="3232">
        <f t="shared" si="50"/>
        <v>20704.137345822368</v>
      </c>
      <c r="DV5" s="3232">
        <f t="shared" si="50"/>
        <v>20576.298560454383</v>
      </c>
      <c r="DW5" s="3232">
        <f t="shared" si="50"/>
        <v>20174.696456704118</v>
      </c>
      <c r="DX5" s="3232">
        <f t="shared" ca="1" si="50"/>
        <v>21295.162054984878</v>
      </c>
      <c r="DY5" s="3232">
        <f t="shared" ca="1" si="50"/>
        <v>21832.620321009701</v>
      </c>
      <c r="DZ5" s="3232">
        <f t="shared" ca="1" si="50"/>
        <v>22316.70309342039</v>
      </c>
      <c r="EA5" s="3232">
        <f t="shared" ca="1" si="50"/>
        <v>23737.073234341078</v>
      </c>
      <c r="EB5" s="3232">
        <f t="shared" ca="1" si="50"/>
        <v>22855.117702423209</v>
      </c>
      <c r="EC5" s="3232">
        <f t="shared" ca="1" si="50"/>
        <v>26769.391637486529</v>
      </c>
      <c r="ED5" s="3232">
        <f t="shared" ca="1" si="50"/>
        <v>22756.147416194446</v>
      </c>
      <c r="EE5" s="3232">
        <f t="shared" ca="1" si="50"/>
        <v>21469.988887378531</v>
      </c>
      <c r="EF5" s="3232">
        <f t="shared" ca="1" si="50"/>
        <v>21777.268963063143</v>
      </c>
      <c r="EG5" s="3232">
        <f t="shared" si="50"/>
        <v>23222.367820727708</v>
      </c>
      <c r="EH5" s="3232">
        <f t="shared" si="50"/>
        <v>23019.997250652439</v>
      </c>
      <c r="EI5" s="3232">
        <f t="shared" si="50"/>
        <v>22504.760996967809</v>
      </c>
      <c r="EJ5" s="3232">
        <f t="shared" ca="1" si="50"/>
        <v>23710.858638623773</v>
      </c>
      <c r="EK5" s="3232">
        <f t="shared" ca="1" si="50"/>
        <v>24309.231471681003</v>
      </c>
      <c r="EL5" s="3232">
        <f t="shared" ca="1" si="50"/>
        <v>24759.096873246683</v>
      </c>
      <c r="EM5" s="3232">
        <f t="shared" ca="1" si="50"/>
        <v>26188.776376324986</v>
      </c>
      <c r="EN5" s="3232">
        <f t="shared" ca="1" si="50"/>
        <v>25252.023957534275</v>
      </c>
      <c r="EO5" s="3232">
        <f t="shared" ca="1" si="50"/>
        <v>29536.415796050613</v>
      </c>
      <c r="EP5" s="3232">
        <f t="shared" ca="1" si="50"/>
        <v>25188.091986874959</v>
      </c>
      <c r="EQ5" s="3232">
        <f t="shared" ca="1" si="50"/>
        <v>23663.616251040698</v>
      </c>
      <c r="ER5" s="3232">
        <f t="shared" ca="1" si="50"/>
        <v>24056.214099069814</v>
      </c>
      <c r="ES5" s="3232">
        <f t="shared" si="50"/>
        <v>25601.797993624008</v>
      </c>
      <c r="ET5" s="3232">
        <f t="shared" si="50"/>
        <v>25314.574102990216</v>
      </c>
      <c r="EU5" s="3232">
        <f t="shared" si="50"/>
        <v>24682.327130373389</v>
      </c>
      <c r="EV5" s="3232">
        <f t="shared" ca="1" si="50"/>
        <v>25940.372936552609</v>
      </c>
      <c r="EW5" s="3232">
        <f t="shared" ca="1" si="50"/>
        <v>26594.658428229413</v>
      </c>
      <c r="EX5" s="3232">
        <f t="shared" ca="1" si="50"/>
        <v>26991.650990143575</v>
      </c>
      <c r="EY5" s="3232">
        <f t="shared" ca="1" si="50"/>
        <v>28426.657684491958</v>
      </c>
      <c r="EZ5" s="3232">
        <f t="shared" ca="1" si="50"/>
        <v>27416.062601507263</v>
      </c>
      <c r="FA5" s="3232">
        <f t="shared" ca="1" si="50"/>
        <v>32001.59007269175</v>
      </c>
      <c r="FB5" s="3232">
        <f t="shared" ca="1" si="50"/>
        <v>27327.345802366468</v>
      </c>
      <c r="FC5" s="3232">
        <f t="shared" ca="1" si="50"/>
        <v>25662.858720067474</v>
      </c>
      <c r="FD5" s="3232">
        <f t="shared" ca="1" si="50"/>
        <v>26124.421869820555</v>
      </c>
      <c r="FE5" s="3232">
        <f t="shared" si="50"/>
        <v>27823.669778002048</v>
      </c>
      <c r="FF5" s="3232">
        <f t="shared" si="50"/>
        <v>27499.210595599045</v>
      </c>
      <c r="FG5" s="3232">
        <f t="shared" si="50"/>
        <v>26798.817930850884</v>
      </c>
      <c r="FH5" s="3232">
        <f t="shared" ca="1" si="50"/>
        <v>28134.658468933721</v>
      </c>
      <c r="FI5" s="3232">
        <f t="shared" ca="1" si="50"/>
        <v>28871.711335572323</v>
      </c>
      <c r="FJ5" s="3232">
        <f t="shared" ca="1" si="50"/>
        <v>29245.406943465052</v>
      </c>
      <c r="FK5" s="3232">
        <f t="shared" ca="1" si="50"/>
        <v>30744.455918963951</v>
      </c>
      <c r="FL5" s="3232">
        <f t="shared" ca="1" si="50"/>
        <v>29697.64613434847</v>
      </c>
      <c r="FM5" s="3232">
        <f t="shared" ca="1" si="50"/>
        <v>34648.307018693449</v>
      </c>
      <c r="FN5" s="3232">
        <f t="shared" ca="1" si="50"/>
        <v>29645.683663464129</v>
      </c>
      <c r="FO5" s="3232">
        <f t="shared" ca="1" si="50"/>
        <v>27814.416181111101</v>
      </c>
      <c r="FP5" s="3232">
        <f t="shared" ca="1" si="50"/>
        <v>28329.702612666631</v>
      </c>
      <c r="FQ5" s="3232">
        <f t="shared" si="50"/>
        <v>30198.678567785428</v>
      </c>
      <c r="FR5" s="3232">
        <f t="shared" si="50"/>
        <v>29835.342487133872</v>
      </c>
      <c r="FS5" s="3232">
        <f t="shared" si="50"/>
        <v>29063.108678251083</v>
      </c>
      <c r="FT5" s="3232">
        <f t="shared" ca="1" si="50"/>
        <v>30479.748926722594</v>
      </c>
      <c r="FU5" s="3232">
        <f t="shared" ca="1" si="50"/>
        <v>31307.67276378454</v>
      </c>
      <c r="FV5" s="3232">
        <f t="shared" ca="1" si="50"/>
        <v>31655.106389082957</v>
      </c>
      <c r="FW5" s="3232">
        <f t="shared" ca="1" si="50"/>
        <v>33222.844123133327</v>
      </c>
      <c r="FX5" s="3232">
        <f t="shared" ca="1" si="50"/>
        <v>32138.082523643567</v>
      </c>
      <c r="FY5" s="3232">
        <f t="shared" ca="1" si="50"/>
        <v>37478.551869046292</v>
      </c>
    </row>
    <row r="6" spans="1:217" s="3235" customFormat="1">
      <c r="A6" s="3235" t="s">
        <v>31</v>
      </c>
      <c r="B6" s="3236"/>
      <c r="C6" s="3236"/>
      <c r="D6" s="3236"/>
      <c r="E6" s="3236"/>
      <c r="F6" s="3236"/>
      <c r="G6" s="3236"/>
      <c r="H6" s="3236"/>
      <c r="I6" s="3236"/>
      <c r="J6" s="3236"/>
      <c r="K6" s="3236"/>
      <c r="L6" s="3236"/>
      <c r="M6" s="3236"/>
      <c r="N6" s="3237">
        <f t="shared" ref="N6:Y6" si="51">M5/B5-1</f>
        <v>-3.9545628102327202E-2</v>
      </c>
      <c r="O6" s="3237">
        <f t="shared" si="51"/>
        <v>0.29294191130543412</v>
      </c>
      <c r="P6" s="3237">
        <f t="shared" si="51"/>
        <v>0.15983539094650201</v>
      </c>
      <c r="Q6" s="3237">
        <f t="shared" si="51"/>
        <v>-1.5883264462809965E-2</v>
      </c>
      <c r="R6" s="3237">
        <f t="shared" si="51"/>
        <v>0.23474369406021145</v>
      </c>
      <c r="S6" s="3237">
        <f t="shared" si="51"/>
        <v>0.15724782899131595</v>
      </c>
      <c r="T6" s="3237">
        <f t="shared" si="51"/>
        <v>0.25780590717299567</v>
      </c>
      <c r="U6" s="3237">
        <f t="shared" si="51"/>
        <v>0.3192831541218637</v>
      </c>
      <c r="V6" s="3237">
        <f t="shared" si="51"/>
        <v>0.16541685046316723</v>
      </c>
      <c r="W6" s="3237">
        <f t="shared" si="51"/>
        <v>0.23056537102473507</v>
      </c>
      <c r="X6" s="3237">
        <f t="shared" si="51"/>
        <v>0.17890995260663511</v>
      </c>
      <c r="Y6" s="3237">
        <f t="shared" si="51"/>
        <v>0.10822669152656239</v>
      </c>
      <c r="Z6" s="3237">
        <f t="shared" ref="Z6:AW6" si="52">Y5/N5-1</f>
        <v>-0.12193236714975841</v>
      </c>
      <c r="AA6" s="3237">
        <f t="shared" si="52"/>
        <v>0.78257167187056487</v>
      </c>
      <c r="AB6" s="3237">
        <f t="shared" si="52"/>
        <v>4.7237895289332199E-2</v>
      </c>
      <c r="AC6" s="3237">
        <f t="shared" si="52"/>
        <v>-3.2180120812740243E-2</v>
      </c>
      <c r="AD6" s="3237">
        <f t="shared" si="52"/>
        <v>-9.6051720157007581E-2</v>
      </c>
      <c r="AE6" s="3237">
        <f t="shared" si="52"/>
        <v>0.15274516381527459</v>
      </c>
      <c r="AF6" s="3237">
        <f t="shared" si="52"/>
        <v>-0.11464898935014123</v>
      </c>
      <c r="AG6" s="3237">
        <f t="shared" si="52"/>
        <v>9.374211455967707E-2</v>
      </c>
      <c r="AH6" s="3237">
        <f t="shared" si="52"/>
        <v>3.6372337879875483E-2</v>
      </c>
      <c r="AI6" s="3237">
        <f t="shared" si="52"/>
        <v>5.3015075376884324E-2</v>
      </c>
      <c r="AJ6" s="3237">
        <f t="shared" si="52"/>
        <v>4.6275260074136071E-2</v>
      </c>
      <c r="AK6" s="3237">
        <f t="shared" si="52"/>
        <v>1.2544014084507005E-2</v>
      </c>
      <c r="AL6" s="3237">
        <f t="shared" si="52"/>
        <v>-0.26417197452229302</v>
      </c>
      <c r="AM6" s="3237">
        <f t="shared" si="52"/>
        <v>0.38441298082947006</v>
      </c>
      <c r="AN6" s="3237">
        <f t="shared" si="52"/>
        <v>0.21084884248751701</v>
      </c>
      <c r="AO6" s="3237">
        <f t="shared" si="52"/>
        <v>0.16321839080459766</v>
      </c>
      <c r="AP6" s="3237">
        <f t="shared" si="52"/>
        <v>-6.6640799301581177E-2</v>
      </c>
      <c r="AQ6" s="3237">
        <f t="shared" si="52"/>
        <v>0.39695593469988943</v>
      </c>
      <c r="AR6" s="3237">
        <f t="shared" si="52"/>
        <v>0.22932287461068168</v>
      </c>
      <c r="AS6" s="3237">
        <f t="shared" si="52"/>
        <v>9.6628954052181859E-2</v>
      </c>
      <c r="AT6" s="3237">
        <f t="shared" si="52"/>
        <v>-0.22345502266762107</v>
      </c>
      <c r="AU6" s="3237">
        <f t="shared" si="52"/>
        <v>-4.8571428571428599E-2</v>
      </c>
      <c r="AV6" s="3237">
        <f t="shared" si="52"/>
        <v>0.32427733101499667</v>
      </c>
      <c r="AW6" s="3237">
        <f t="shared" si="52"/>
        <v>0.2469162518935295</v>
      </c>
      <c r="AX6" s="3237">
        <f>AX5/(AM5+AL5)-1</f>
        <v>0.16870021640038679</v>
      </c>
      <c r="AY6" s="3237">
        <f>AY5/AN5-1</f>
        <v>0.23671497584541057</v>
      </c>
      <c r="AZ6" s="3237">
        <f>AZ5/AO5-1</f>
        <v>0.17033880690085224</v>
      </c>
      <c r="BA6" s="3237">
        <f>BA5/AP5-1</f>
        <v>3.0753009401633946E-3</v>
      </c>
      <c r="BB6" s="3237">
        <f>BB5/AQ5-1</f>
        <v>7.7226236276625615E-2</v>
      </c>
      <c r="BC6" s="3237">
        <f>BC5/(AR5+AQ5)-1</f>
        <v>0.13593967056955747</v>
      </c>
      <c r="BD6" s="3237">
        <f>BD5/AR5-1</f>
        <v>0.1649647331298032</v>
      </c>
      <c r="BE6" s="3237">
        <f t="shared" ref="BE6:BJ6" si="53">BE5/AS5-1</f>
        <v>0.58212244584421557</v>
      </c>
      <c r="BF6" s="3237">
        <f t="shared" ca="1" si="53"/>
        <v>0.22501381381381358</v>
      </c>
      <c r="BG6" s="3237">
        <f t="shared" ca="1" si="53"/>
        <v>-8.85352043328409E-2</v>
      </c>
      <c r="BH6" s="3237">
        <f t="shared" ca="1" si="53"/>
        <v>-0.17297683096147209</v>
      </c>
      <c r="BI6" s="3237">
        <f t="shared" ca="1" si="53"/>
        <v>-0.16311739620212296</v>
      </c>
      <c r="BJ6" s="3238">
        <f t="shared" ca="1" si="53"/>
        <v>-0.6255367765827522</v>
      </c>
      <c r="BK6" s="3238">
        <f ca="1">BK5/AY5-1</f>
        <v>-0.15616122159090906</v>
      </c>
      <c r="BL6" s="3238">
        <f ca="1">BL5/AY5-1</f>
        <v>-0.29154829545454541</v>
      </c>
      <c r="BM6" s="3238">
        <f ca="1">BM5/AZ5-1</f>
        <v>-0.12467809253174678</v>
      </c>
      <c r="BN6" s="3238">
        <f ca="1">BN5/BA5-1</f>
        <v>-9.8020322354590017E-2</v>
      </c>
      <c r="BO6" s="3238">
        <f ca="1">BO5/BB5-1</f>
        <v>-0.17891986062717768</v>
      </c>
      <c r="BP6" s="3238">
        <f t="shared" ref="BP6:BU6" ca="1" si="54">BP5/BD5-1</f>
        <v>-0.1035604554491234</v>
      </c>
      <c r="BQ6" s="3238">
        <f t="shared" ca="1" si="54"/>
        <v>-3.2339664800129286E-2</v>
      </c>
      <c r="BR6" s="3238">
        <f t="shared" ca="1" si="54"/>
        <v>2.0077974238692287E-2</v>
      </c>
      <c r="BS6" s="3238">
        <f t="shared" ca="1" si="54"/>
        <v>7.282722508375139E-3</v>
      </c>
      <c r="BT6" s="3238">
        <f t="shared" ca="1" si="54"/>
        <v>3.9597129880915682E-2</v>
      </c>
      <c r="BU6" s="3238">
        <f t="shared" ca="1" si="54"/>
        <v>-7.1895590108331797E-3</v>
      </c>
      <c r="BV6" s="3238">
        <f t="shared" ref="BV6:CU6" ca="1" si="55">BV5/BJ5-1</f>
        <v>0.15768316675433991</v>
      </c>
      <c r="BW6" s="3238">
        <f t="shared" ca="1" si="55"/>
        <v>0.11617269857969492</v>
      </c>
      <c r="BX6" s="3238">
        <f t="shared" ca="1" si="55"/>
        <v>0.23727944862155415</v>
      </c>
      <c r="BY6" s="3238">
        <v>0.17201075377904007</v>
      </c>
      <c r="BZ6" s="3238">
        <v>8.7792560940079589E-2</v>
      </c>
      <c r="CA6" s="3238">
        <f t="shared" ca="1" si="55"/>
        <v>0.20740504986208363</v>
      </c>
      <c r="CB6" s="3238">
        <f t="shared" ca="1" si="55"/>
        <v>0.10080645161290325</v>
      </c>
      <c r="CC6" s="3238">
        <f t="shared" ca="1" si="55"/>
        <v>0.1466131460110387</v>
      </c>
      <c r="CD6" s="3238">
        <f t="shared" ca="1" si="55"/>
        <v>0.13428818610016346</v>
      </c>
      <c r="CE6" s="3238">
        <f t="shared" ca="1" si="55"/>
        <v>3.5573829102609977E-2</v>
      </c>
      <c r="CF6" s="3238">
        <f t="shared" ca="1" si="55"/>
        <v>0.10466289866774314</v>
      </c>
      <c r="CG6" s="3238">
        <f t="shared" ca="1" si="55"/>
        <v>0.251898247045516</v>
      </c>
      <c r="CH6" s="3238">
        <f t="shared" ca="1" si="55"/>
        <v>6.4131394178724488E-2</v>
      </c>
      <c r="CI6" s="3238">
        <f ca="1">CI5/BW5-1</f>
        <v>0.20786749937883053</v>
      </c>
      <c r="CJ6" s="3238">
        <f ca="1">CJ5/BX5-1</f>
        <v>0.17597307722082012</v>
      </c>
      <c r="CK6" s="3238">
        <v>8.7244186588770312E-2</v>
      </c>
      <c r="CL6" s="3238">
        <v>0.11897529182951261</v>
      </c>
      <c r="CM6" s="3238">
        <v>9.1819699499165353E-2</v>
      </c>
      <c r="CN6" s="3238">
        <f t="shared" ca="1" si="55"/>
        <v>0.17692307692307696</v>
      </c>
      <c r="CO6" s="3238">
        <f t="shared" ca="1" si="55"/>
        <v>0.16348678452651844</v>
      </c>
      <c r="CP6" s="3238">
        <f t="shared" ca="1" si="55"/>
        <v>0.15550847457627115</v>
      </c>
      <c r="CQ6" s="3238">
        <f t="shared" ca="1" si="55"/>
        <v>0.28197824961160012</v>
      </c>
      <c r="CR6" s="3237">
        <f t="shared" ca="1" si="55"/>
        <v>0.28031064412973961</v>
      </c>
      <c r="CS6" s="3237">
        <f t="shared" ca="1" si="55"/>
        <v>0.27810741736221067</v>
      </c>
      <c r="CT6" s="3237">
        <f t="shared" ca="1" si="55"/>
        <v>0.23428038629003689</v>
      </c>
      <c r="CU6" s="3237">
        <f t="shared" ca="1" si="55"/>
        <v>0.10903675443701411</v>
      </c>
      <c r="CV6" s="3237">
        <f t="shared" ref="CV6:DR6" ca="1" si="56">CV5/CJ5-1</f>
        <v>0.22318930606304188</v>
      </c>
      <c r="CW6" s="3237">
        <f t="shared" si="56"/>
        <v>0.21193559255465555</v>
      </c>
      <c r="CX6" s="3237">
        <f t="shared" si="56"/>
        <v>0.21744767253738084</v>
      </c>
      <c r="CY6" s="3237">
        <f t="shared" si="56"/>
        <v>0.21030443899871321</v>
      </c>
      <c r="CZ6" s="3237">
        <f t="shared" ca="1" si="56"/>
        <v>0.23506656674624526</v>
      </c>
      <c r="DA6" s="3237">
        <f t="shared" ca="1" si="56"/>
        <v>0.22542012846189041</v>
      </c>
      <c r="DB6" s="3237">
        <f t="shared" ca="1" si="56"/>
        <v>0.22456976026508801</v>
      </c>
      <c r="DC6" s="3237">
        <f t="shared" ca="1" si="56"/>
        <v>0.20562390116486329</v>
      </c>
      <c r="DD6" s="3237">
        <f t="shared" ca="1" si="56"/>
        <v>0.22900297462914976</v>
      </c>
      <c r="DE6" s="3237">
        <f t="shared" ca="1" si="56"/>
        <v>0.2221389315142337</v>
      </c>
      <c r="DF6" s="3237">
        <f t="shared" ca="1" si="56"/>
        <v>0.20033025804461646</v>
      </c>
      <c r="DG6" s="3237">
        <f t="shared" ca="1" si="56"/>
        <v>0.17898023082737624</v>
      </c>
      <c r="DH6" s="3237">
        <f t="shared" ca="1" si="56"/>
        <v>0.18190922591502079</v>
      </c>
      <c r="DI6" s="3237">
        <f t="shared" si="56"/>
        <v>0.17602824434207531</v>
      </c>
      <c r="DJ6" s="3237">
        <f t="shared" si="56"/>
        <v>0.16124591265342492</v>
      </c>
      <c r="DK6" s="3237">
        <f t="shared" si="56"/>
        <v>0.15586891450448914</v>
      </c>
      <c r="DL6" s="3237">
        <f t="shared" ca="1" si="56"/>
        <v>0.15819257662267572</v>
      </c>
      <c r="DM6" s="3237">
        <f t="shared" ca="1" si="56"/>
        <v>0.15879345862446814</v>
      </c>
      <c r="DN6" s="3237">
        <f t="shared" ca="1" si="56"/>
        <v>0.15972853379508067</v>
      </c>
      <c r="DO6" s="3237">
        <f t="shared" ca="1" si="56"/>
        <v>0.15720752800874838</v>
      </c>
      <c r="DP6" s="3237">
        <f t="shared" ca="1" si="56"/>
        <v>0.1588759230968444</v>
      </c>
      <c r="DQ6" s="3237">
        <f t="shared" ca="1" si="56"/>
        <v>0.16011383834846216</v>
      </c>
      <c r="DR6" s="3237">
        <f t="shared" ca="1" si="56"/>
        <v>0.15305385587453579</v>
      </c>
      <c r="DS6" s="3237">
        <f t="shared" ref="DS6" ca="1" si="57">DS5/DG5-1</f>
        <v>0.14516926598188484</v>
      </c>
      <c r="DT6" s="3237">
        <f t="shared" ref="DT6" ca="1" si="58">DT5/DH5-1</f>
        <v>0.15346779065503258</v>
      </c>
      <c r="DU6" s="3237">
        <f t="shared" ref="DU6" si="59">DU5/DI5-1</f>
        <v>0.15652866208299687</v>
      </c>
      <c r="DV6" s="3237">
        <f t="shared" ref="DV6" si="60">DV5/DJ5-1</f>
        <v>0.16122253841952094</v>
      </c>
      <c r="DW6" s="3237">
        <f t="shared" ref="DW6" si="61">DW5/DK5-1</f>
        <v>0.16057296484244121</v>
      </c>
      <c r="DX6" s="3237">
        <f t="shared" ref="DX6" ca="1" si="62">DX5/DL5-1</f>
        <v>0.15834809816805739</v>
      </c>
      <c r="DY6" s="3237">
        <f t="shared" ref="DY6" ca="1" si="63">DY5/DM5-1</f>
        <v>0.15653596647071222</v>
      </c>
      <c r="DZ6" s="3237">
        <f t="shared" ref="DZ6" ca="1" si="64">DZ5/DN5-1</f>
        <v>0.15248430560654169</v>
      </c>
      <c r="EA6" s="3237">
        <f t="shared" ref="EA6" ca="1" si="65">EA5/DO5-1</f>
        <v>0.14548627327786723</v>
      </c>
      <c r="EB6" s="3237">
        <f t="shared" ref="EB6" ca="1" si="66">EB5/DP5-1</f>
        <v>0.14515023397332016</v>
      </c>
      <c r="EC6" s="3237">
        <f t="shared" ref="EC6" ca="1" si="67">EC5/DQ5-1</f>
        <v>0.14274362739440138</v>
      </c>
      <c r="ED6" s="3237">
        <f t="shared" ref="ED6" ca="1" si="68">ED5/DR5-1</f>
        <v>0.13762065496390141</v>
      </c>
      <c r="EE6" s="3237">
        <f t="shared" ref="EE6" ca="1" si="69">EE5/DS5-1</f>
        <v>0.11894015924699719</v>
      </c>
      <c r="EF6" s="3237">
        <f t="shared" ref="EF6" ca="1" si="70">EF5/DT5-1</f>
        <v>0.12473983054265214</v>
      </c>
      <c r="EG6" s="3237">
        <f t="shared" ref="EG6" si="71">EG5/DU5-1</f>
        <v>0.12162933585897329</v>
      </c>
      <c r="EH6" s="3237">
        <f t="shared" ref="EH6" si="72">EH5/DV5-1</f>
        <v>0.1187627931728501</v>
      </c>
      <c r="EI6" s="3237">
        <f t="shared" ref="EI6" si="73">EI5/DW5-1</f>
        <v>0.11549440385703558</v>
      </c>
      <c r="EJ6" s="3237">
        <f t="shared" ref="EJ6" ca="1" si="74">EJ5/DX5-1</f>
        <v>0.11343875089569555</v>
      </c>
      <c r="EK6" s="3237">
        <f t="shared" ref="EK6" ca="1" si="75">EK5/DY5-1</f>
        <v>0.11343627628095754</v>
      </c>
      <c r="EL6" s="3237">
        <f t="shared" ref="EL6" ca="1" si="76">EL5/DZ5-1</f>
        <v>0.10944241044934544</v>
      </c>
      <c r="EM6" s="3237">
        <f t="shared" ref="EM6" ca="1" si="77">EM5/EA5-1</f>
        <v>0.10328582288893817</v>
      </c>
      <c r="EN6" s="3237">
        <f t="shared" ref="EN6" ca="1" si="78">EN5/EB5-1</f>
        <v>0.10487394054666943</v>
      </c>
      <c r="EO6" s="3237">
        <f t="shared" ref="EO6" ca="1" si="79">EO5/EC5-1</f>
        <v>0.10336522383606517</v>
      </c>
      <c r="EP6" s="3237">
        <f t="shared" ref="EP6" ca="1" si="80">EP5/ED5-1</f>
        <v>0.10686978451149498</v>
      </c>
      <c r="EQ6" s="3237">
        <f t="shared" ref="EQ6" ca="1" si="81">EQ5/EE5-1</f>
        <v>0.10217179781363206</v>
      </c>
      <c r="ER6" s="3237">
        <f t="shared" ref="ER6" ca="1" si="82">ER5/EF5-1</f>
        <v>0.10464788490568</v>
      </c>
      <c r="ES6" s="3237">
        <f t="shared" ref="ES6" si="83">ES5/EG5-1</f>
        <v>0.10246285784744491</v>
      </c>
      <c r="ET6" s="3237">
        <f t="shared" ref="ET6" si="84">ET5/EH5-1</f>
        <v>9.9677546758731417E-2</v>
      </c>
      <c r="EU6" s="3237">
        <f t="shared" ref="EU6" si="85">EU5/EI5-1</f>
        <v>9.6760242585956613E-2</v>
      </c>
      <c r="EV6" s="3237">
        <f t="shared" ref="EV6" ca="1" si="86">EV5/EJ5-1</f>
        <v>9.4029251825451521E-2</v>
      </c>
      <c r="EW6" s="3237">
        <f t="shared" ref="EW6" ca="1" si="87">EW5/EK5-1</f>
        <v>9.4014776205936901E-2</v>
      </c>
      <c r="EX6" s="3237">
        <f t="shared" ref="EX6" ca="1" si="88">EX5/EL5-1</f>
        <v>9.0171064329461315E-2</v>
      </c>
      <c r="EY6" s="3237">
        <f t="shared" ref="EY6" ca="1" si="89">EY5/EM5-1</f>
        <v>8.5451923221202764E-2</v>
      </c>
      <c r="EZ6" s="3237">
        <f t="shared" ref="EZ6" ca="1" si="90">EZ5/EN5-1</f>
        <v>8.5697631509149552E-2</v>
      </c>
      <c r="FA6" s="3237">
        <f t="shared" ref="FA6" ca="1" si="91">FA5/EO5-1</f>
        <v>8.3462201157486371E-2</v>
      </c>
      <c r="FB6" s="3237">
        <f t="shared" ref="FB6" ca="1" si="92">FB5/EP5-1</f>
        <v>8.4931157810850921E-2</v>
      </c>
      <c r="FC6" s="3237">
        <f t="shared" ref="FC6" ca="1" si="93">FC5/EQ5-1</f>
        <v>8.4485923360883231E-2</v>
      </c>
      <c r="FD6" s="3237">
        <f t="shared" ref="FD6" ca="1" si="94">FD5/ER5-1</f>
        <v>8.5973950939799426E-2</v>
      </c>
      <c r="FE6" s="3237">
        <f t="shared" ref="FE6" si="95">FE5/ES5-1</f>
        <v>8.6785771254479283E-2</v>
      </c>
      <c r="FF6" s="3237">
        <f t="shared" ref="FF6" si="96">FF5/ET5-1</f>
        <v>8.6299555494033564E-2</v>
      </c>
      <c r="FG6" s="3237">
        <f t="shared" ref="FG6" si="97">FG5/EU5-1</f>
        <v>8.5749240308585106E-2</v>
      </c>
      <c r="FH6" s="3237">
        <f t="shared" ref="FH6" ca="1" si="98">FH5/EV5-1</f>
        <v>8.4589590818455074E-2</v>
      </c>
      <c r="FI6" s="3237">
        <f t="shared" ref="FI6" ca="1" si="99">FI5/EW5-1</f>
        <v>8.5620686330225126E-2</v>
      </c>
      <c r="FJ6" s="3237">
        <f t="shared" ref="FJ6" ca="1" si="100">FJ5/EX5-1</f>
        <v>8.3498262264300571E-2</v>
      </c>
      <c r="FK6" s="3237">
        <f t="shared" ref="FK6" ca="1" si="101">FK5/EY5-1</f>
        <v>8.153607997807133E-2</v>
      </c>
      <c r="FL6" s="3237">
        <f t="shared" ref="FL6" ca="1" si="102">FL5/EZ5-1</f>
        <v>8.3220685844063169E-2</v>
      </c>
      <c r="FM6" s="3237">
        <f t="shared" ref="FM6" ca="1" si="103">FM5/FA5-1</f>
        <v>8.2705794930491683E-2</v>
      </c>
      <c r="FN6" s="3237">
        <f t="shared" ref="FN6" ca="1" si="104">FN5/FB5-1</f>
        <v>8.4835822617537193E-2</v>
      </c>
      <c r="FO6" s="3237">
        <f t="shared" ref="FO6" ca="1" si="105">FO5/FC5-1</f>
        <v>8.3839352603425343E-2</v>
      </c>
      <c r="FP6" s="3237">
        <f t="shared" ref="FP6" ca="1" si="106">FP5/FD5-1</f>
        <v>8.4414528054826077E-2</v>
      </c>
      <c r="FQ6" s="3237">
        <f t="shared" ref="FQ6" si="107">FQ5/FE5-1</f>
        <v>8.5359293318709062E-2</v>
      </c>
      <c r="FR6" s="3237">
        <f t="shared" ref="FR6" si="108">FR5/FF5-1</f>
        <v>8.4952689220420874E-2</v>
      </c>
      <c r="FS6" s="3237">
        <f t="shared" ref="FS6" si="109">FS5/FG5-1</f>
        <v>8.4492187425682763E-2</v>
      </c>
      <c r="FT6" s="3237">
        <f t="shared" ref="FT6" ca="1" si="110">FT5/FH5-1</f>
        <v>8.3352369831619644E-2</v>
      </c>
      <c r="FU6" s="3237">
        <f t="shared" ref="FU6" ca="1" si="111">FU5/FI5-1</f>
        <v>8.4371909925925026E-2</v>
      </c>
      <c r="FV6" s="3237">
        <f t="shared" ref="FV6" ca="1" si="112">FV5/FJ5-1</f>
        <v>8.2395825446236692E-2</v>
      </c>
      <c r="FW6" s="3237">
        <f t="shared" ref="FW6" ca="1" si="113">FW5/FK5-1</f>
        <v>8.0612524440240474E-2</v>
      </c>
      <c r="FX6" s="3237">
        <f t="shared" ref="FX6" ca="1" si="114">FX5/FL5-1</f>
        <v>8.2176088241299183E-2</v>
      </c>
      <c r="FY6" s="3237">
        <f t="shared" ref="FY6" ca="1" si="115">FY5/FM5-1</f>
        <v>8.1684939146546842E-2</v>
      </c>
    </row>
    <row r="7" spans="1:217" s="2230" customFormat="1">
      <c r="A7" s="3065" t="str">
        <f>Rev_Year!A8</f>
        <v>Mobile (TGDĐ)</v>
      </c>
      <c r="B7" s="3065">
        <v>3490</v>
      </c>
      <c r="C7" s="3065">
        <v>3160</v>
      </c>
      <c r="D7" s="3065">
        <v>2904</v>
      </c>
      <c r="E7" s="3065">
        <v>2883</v>
      </c>
      <c r="F7" s="3065">
        <v>2836</v>
      </c>
      <c r="G7" s="3065">
        <v>2766</v>
      </c>
      <c r="H7" s="3065">
        <v>2800</v>
      </c>
      <c r="I7" s="3065">
        <v>2989</v>
      </c>
      <c r="J7" s="3065">
        <v>2781</v>
      </c>
      <c r="K7" s="3065">
        <v>2777</v>
      </c>
      <c r="L7" s="3065">
        <v>2697</v>
      </c>
      <c r="M7" s="3065">
        <v>2523.5160000000033</v>
      </c>
      <c r="N7" s="3065">
        <v>3215</v>
      </c>
      <c r="O7" s="3065">
        <v>2685</v>
      </c>
      <c r="P7" s="3065">
        <v>2931.0010000000002</v>
      </c>
      <c r="Q7" s="3065">
        <v>3111.6989999999987</v>
      </c>
      <c r="R7" s="3065">
        <v>2475.5080000000016</v>
      </c>
      <c r="S7" s="3065">
        <v>2858.6099999999988</v>
      </c>
      <c r="T7" s="3065">
        <v>2890.6810000000005</v>
      </c>
      <c r="U7" s="3065">
        <v>2765.5010000000002</v>
      </c>
      <c r="V7" s="3065">
        <v>2629.0789999999979</v>
      </c>
      <c r="W7" s="3065">
        <v>2517.9210000000021</v>
      </c>
      <c r="X7" s="3065">
        <v>2604</v>
      </c>
      <c r="Y7" s="3065">
        <v>2522.5500000000029</v>
      </c>
      <c r="Z7" s="3065">
        <v>3617.28</v>
      </c>
      <c r="AA7" s="3065">
        <v>2298.5280000000007</v>
      </c>
      <c r="AB7" s="3065">
        <v>2449.7969999999987</v>
      </c>
      <c r="AC7" s="3065">
        <v>1823.6329999999998</v>
      </c>
      <c r="AD7" s="3065">
        <v>2158.6820000000007</v>
      </c>
      <c r="AE7" s="3065">
        <v>2118.2200000000012</v>
      </c>
      <c r="AF7" s="3065">
        <v>2575.4800000000014</v>
      </c>
      <c r="AG7" s="3065">
        <v>2514.34</v>
      </c>
      <c r="AH7" s="3065">
        <v>2409.0799999999981</v>
      </c>
      <c r="AI7" s="3065">
        <v>2542.7040000000015</v>
      </c>
      <c r="AJ7" s="3065">
        <v>2502.9439999999995</v>
      </c>
      <c r="AK7" s="3065">
        <v>2513.8240000000005</v>
      </c>
      <c r="AL7" s="3065">
        <v>2872.7400000000002</v>
      </c>
      <c r="AM7" s="3065">
        <v>2774.2000000000003</v>
      </c>
      <c r="AN7" s="3065">
        <v>2614.6959999999999</v>
      </c>
      <c r="AO7" s="3065">
        <v>2578.6959999999999</v>
      </c>
      <c r="AP7" s="3065">
        <v>2531.8080000000009</v>
      </c>
      <c r="AQ7" s="3065">
        <v>2249.6099999999988</v>
      </c>
      <c r="AR7" s="3065">
        <v>1582.9039999999986</v>
      </c>
      <c r="AS7" s="3065">
        <v>1084.6810000000041</v>
      </c>
      <c r="AT7" s="3065">
        <v>2200.1849999999977</v>
      </c>
      <c r="AU7" s="3065">
        <v>2371.8957243911245</v>
      </c>
      <c r="AV7" s="3065">
        <v>5229.699795608878</v>
      </c>
      <c r="AW7" s="3065">
        <v>3509.0904799999989</v>
      </c>
      <c r="AX7" s="3065">
        <f>26.3%*AX5</f>
        <v>6675.7290000000003</v>
      </c>
      <c r="AY7" s="3065">
        <v>2928.6400000000003</v>
      </c>
      <c r="AZ7" s="3065">
        <v>3153.08</v>
      </c>
      <c r="BA7" s="3065"/>
      <c r="BB7" s="3065"/>
      <c r="BC7" s="3065">
        <f>19000-SUM(AX7:AZ7)-SUM(AX14:BB14)</f>
        <v>5242.5509999999995</v>
      </c>
      <c r="BD7" s="3065">
        <f>21500-SUM($AX$7:BC7)-SUM($AX$14:$BB$14,$BD$14:BD14)</f>
        <v>2340</v>
      </c>
      <c r="BE7" s="3065">
        <f>24500-SUM($AX$7:BD7)-SUM($AX$14:$BB$14,$BD$14:BE14)</f>
        <v>2861.76</v>
      </c>
      <c r="BF7" s="3065">
        <f ca="1">27000-SUM($AX$7:BE7)-SUM($AX$14:$BB$14,$BD$14:BF14)</f>
        <v>2327.8168730895659</v>
      </c>
      <c r="BG7" s="3065">
        <f ca="1">30300-SUM($AX$7:BF7)-SUM($AX$14:$BB$14,$BD$14:BG14)</f>
        <v>2927.9999999999991</v>
      </c>
      <c r="BH7" s="3065">
        <f ca="1">32400-SUM($AX$7:BG7)-SUM($AX$14:$BB$14,$BD$14:BH14)</f>
        <v>1786.3999999999987</v>
      </c>
      <c r="BI7" s="3065">
        <f ca="1">133404.777*26%-SUM(AX7:BH7)-SUM(AX14:BB14,BD14:BI14)</f>
        <v>1838.066433550006</v>
      </c>
      <c r="BJ7" s="3233">
        <f ca="1">BJ68/2-BJ14</f>
        <v>2107.5902419040403</v>
      </c>
      <c r="BK7" s="3233">
        <f ca="1">BJ7</f>
        <v>2107.5902419040403</v>
      </c>
      <c r="BL7" s="3233">
        <f ca="1">24.6%*26990-SUM(BJ7:BK7)-SUM(BJ14:BL14)</f>
        <v>1491.614479808839</v>
      </c>
      <c r="BM7" s="3233">
        <f ca="1">24%*SUM(BJ5:BM5)-SUM(BJ7:BL7)-SUM(BJ14:BM14)</f>
        <v>1873.3269277897202</v>
      </c>
      <c r="BN7" s="3233">
        <f ca="1">47144*23.5%-SUM(BJ7:BM7)-SUM(BJ14:BN14)</f>
        <v>1905.1469277897238</v>
      </c>
      <c r="BO7" s="3233">
        <f ca="1">56570*23.6%-SUM($BJ$7:BN7)-SUM($BJ$14:BO14)</f>
        <v>1941.266927789723</v>
      </c>
      <c r="BP7" s="3233">
        <f ca="1">66490*23.6%-SUM($BJ$7:BO7)-SUM($BJ$14:BP14)</f>
        <v>2010.7069277897222</v>
      </c>
      <c r="BQ7" s="3233">
        <f ca="1">76455*23.6%-SUM($BJ$7:BP7)-SUM($BJ$14:BQ14)</f>
        <v>2041.3269277897216</v>
      </c>
      <c r="BR7" s="3233">
        <f ca="1">SUM($BJ$5:BR5)*23.8%-SUM($BJ$7:BQ7)-SUM($BJ$14:BR14)</f>
        <v>2321.5150585118254</v>
      </c>
      <c r="BS7" s="3233">
        <f ca="1">SUM($BJ$5:BS5)*24.3%-SUM($BJ$7:BR7)-SUM($BJ$14:BS14)</f>
        <v>2776.7739999999994</v>
      </c>
      <c r="BT7" s="3233">
        <f ca="1">SUM($BJ$5:BT5)*24.2%-SUM($BJ$7:BS7)-SUM($BJ$14:BT14)</f>
        <v>1937.1670894849967</v>
      </c>
      <c r="BU7" s="3233">
        <f ca="1">SUM($BJ$5:BU5)*23.9%-SUM($BJ$7:BT7)-SUM($BJ$14:BU14)</f>
        <v>1797.5520000000006</v>
      </c>
      <c r="BV7" s="3233">
        <f ca="1">SUM(BV5:BW5)*0.212/2-BV14</f>
        <v>1956.0434857489499</v>
      </c>
      <c r="BW7" s="3233">
        <f ca="1">BV7</f>
        <v>1956.0434857489499</v>
      </c>
      <c r="BX7" s="3233">
        <f ca="1">SUM(BV5:BX5)*0.216-SUM(BV14:BX14)-SUM(BV7:BW7)</f>
        <v>1900.9380514615023</v>
      </c>
      <c r="BY7" s="3233">
        <v>1764.5267714374168</v>
      </c>
      <c r="BZ7" s="3233">
        <f ca="1">54240*0.205-SUM($BV$7:BY7)-SUM($BV$14:BZ14)</f>
        <v>1866.6626114374142</v>
      </c>
      <c r="CA7" s="3233">
        <f ca="1">65621*0.206-SUM($BV$7:BZ7)-SUM($BV$14:CA14)</f>
        <v>2065.6696232120407</v>
      </c>
      <c r="CB7" s="3233">
        <f ca="1">76541*0.209-SUM($BV$7:CA7)-SUM($BV$14:CB14)</f>
        <v>2163.4333095030788</v>
      </c>
      <c r="CC7" s="3233">
        <f ca="1">87967*0.212-SUM($BV$7:CB7)-SUM($BV$14:CC14)</f>
        <v>2365.1133212777036</v>
      </c>
      <c r="CD7" s="3233">
        <f ca="1">99767*0.217-SUM($BV$7:CC7)-SUM($BV$14:CD14)</f>
        <v>2713.6133212777004</v>
      </c>
      <c r="CE7" s="3233">
        <f ca="1">111353*0.222-SUM($BV$7:CD7)-SUM($BV$14:CE14)</f>
        <v>2719.8070000000034</v>
      </c>
      <c r="CF7" s="3233">
        <f ca="1">122298*0.224-SUM($BV$7:CE7)-SUM($BV$14:CF14)</f>
        <v>2336.0312835193308</v>
      </c>
      <c r="CG7" s="3233">
        <f ca="1">90798.886168975-SUM(Rev_Month!BV7:CF7)-SUM(BV14:CG14)-SUM(BV20:CG20)</f>
        <v>3176.0142935215626</v>
      </c>
      <c r="CH7" s="3233">
        <f ca="1">CH12*CH10</f>
        <v>2331.3599542715515</v>
      </c>
      <c r="CI7" s="3233">
        <f ca="1">SUM(CH5:CI5)*0.23-CH7-SUM(CH14:CI14)</f>
        <v>2683.9489524598221</v>
      </c>
      <c r="CJ7" s="3233">
        <f ca="1">'FS Quarter'!$BR$4*0.23-SUM($CH7:CI7)-SUM(CH14:CJ14)</f>
        <v>2383.6693237935142</v>
      </c>
      <c r="CK7" s="3233">
        <v>2334.839251390893</v>
      </c>
      <c r="CL7" s="3233">
        <v>2417.5346348024236</v>
      </c>
      <c r="CM7" s="3233">
        <v>2483.9731068697865</v>
      </c>
      <c r="CN7" s="3233">
        <f ca="1">0.227*SUM($CH5:CN5)-SUM($CH7:CM7)-SUM($CH14:CN14)</f>
        <v>2851.1481695685998</v>
      </c>
      <c r="CO7" s="3233">
        <f ca="1">0.226*SUM($CH5:CO5)-SUM($CH7:CN7)-SUM($CH14:CO14)</f>
        <v>2627.0411497049431</v>
      </c>
      <c r="CP7" s="3233">
        <f ca="1">0.23*SUM($CH5:CP5)-SUM($CH7:CO7)-SUM($CH14:CP14)</f>
        <v>3244.3581497049445</v>
      </c>
      <c r="CQ7" s="3233">
        <f ca="1">0.237*SUM($CH5:CQ5)-SUM($CH7:CP7)-SUM($CH14:CQ14)</f>
        <v>3958.1054999999951</v>
      </c>
      <c r="CR7" s="3233">
        <f ca="1">0.239*SUM($CH5:CR5)-SUM($CH7:CQ7)-SUM($CH14:CR14)</f>
        <v>3262.524108569326</v>
      </c>
      <c r="CS7" s="3065">
        <f t="shared" ref="CS7:CT7" ca="1" si="116">CS12*CS10</f>
        <v>3942.3744645078855</v>
      </c>
      <c r="CT7" s="3065">
        <f t="shared" ca="1" si="116"/>
        <v>2548.0040143308693</v>
      </c>
      <c r="CU7" s="3065">
        <f t="shared" ref="CU7:DK7" ca="1" si="117">CU12*CU10</f>
        <v>2933.3577136369572</v>
      </c>
      <c r="CV7" s="3065">
        <f t="shared" ca="1" si="117"/>
        <v>2606.571162972919</v>
      </c>
      <c r="CW7" s="3065">
        <f t="shared" si="117"/>
        <v>2554.5446187159805</v>
      </c>
      <c r="CX7" s="3065">
        <f t="shared" si="117"/>
        <v>2645.0215312317932</v>
      </c>
      <c r="CY7" s="3065">
        <f t="shared" si="117"/>
        <v>2720.6309098551255</v>
      </c>
      <c r="CZ7" s="3065">
        <f t="shared" ca="1" si="117"/>
        <v>3127.8276369113519</v>
      </c>
      <c r="DA7" s="3065">
        <f t="shared" ca="1" si="117"/>
        <v>2883.5240692724769</v>
      </c>
      <c r="DB7" s="3065">
        <f t="shared" ca="1" si="117"/>
        <v>3563.0285463157052</v>
      </c>
      <c r="DC7" s="3065">
        <f t="shared" ca="1" si="117"/>
        <v>4349.2243301185299</v>
      </c>
      <c r="DD7" s="3065">
        <f t="shared" ca="1" si="117"/>
        <v>3586.8418690114736</v>
      </c>
      <c r="DE7" s="3065">
        <f t="shared" ca="1" si="117"/>
        <v>4336.6119109586743</v>
      </c>
      <c r="DF7" s="3065">
        <f t="shared" ca="1" si="117"/>
        <v>2802.8044157639565</v>
      </c>
      <c r="DG7" s="3065">
        <f t="shared" ca="1" si="117"/>
        <v>3226.6934850006528</v>
      </c>
      <c r="DH7" s="3065">
        <f t="shared" ca="1" si="117"/>
        <v>2867.2282792702108</v>
      </c>
      <c r="DI7" s="3065">
        <f t="shared" si="117"/>
        <v>2809.9990805875786</v>
      </c>
      <c r="DJ7" s="3065">
        <f t="shared" si="117"/>
        <v>2909.5236843549728</v>
      </c>
      <c r="DK7" s="3065">
        <f t="shared" si="117"/>
        <v>2992.6940008406382</v>
      </c>
      <c r="DL7" s="3065">
        <f t="shared" ref="DL7:DR7" ca="1" si="118">DL12*DL10</f>
        <v>3440.6104006024871</v>
      </c>
      <c r="DM7" s="3065">
        <f t="shared" ca="1" si="118"/>
        <v>3171.8764761997249</v>
      </c>
      <c r="DN7" s="3065">
        <f t="shared" ca="1" si="118"/>
        <v>3919.3314009472765</v>
      </c>
      <c r="DO7" s="3065">
        <f t="shared" ca="1" si="118"/>
        <v>4784.1467631303831</v>
      </c>
      <c r="DP7" s="3065">
        <f t="shared" ca="1" si="118"/>
        <v>3945.5260559126214</v>
      </c>
      <c r="DQ7" s="3065">
        <f t="shared" ca="1" si="118"/>
        <v>4770.2731020545425</v>
      </c>
      <c r="DR7" s="3065">
        <f t="shared" ca="1" si="118"/>
        <v>3083.0848573403523</v>
      </c>
      <c r="DS7" s="3065">
        <f t="shared" ref="DS7:FY7" ca="1" si="119">DS12*DS10</f>
        <v>3549.3628335007184</v>
      </c>
      <c r="DT7" s="3065">
        <f t="shared" ca="1" si="119"/>
        <v>3153.9511071972324</v>
      </c>
      <c r="DU7" s="3065">
        <f t="shared" si="119"/>
        <v>3090.9989886463368</v>
      </c>
      <c r="DV7" s="3065">
        <f t="shared" si="119"/>
        <v>3200.4760527904705</v>
      </c>
      <c r="DW7" s="3065">
        <f t="shared" si="119"/>
        <v>3291.963400924702</v>
      </c>
      <c r="DX7" s="3065">
        <f t="shared" ca="1" si="119"/>
        <v>3784.6714406627366</v>
      </c>
      <c r="DY7" s="3065">
        <f t="shared" ca="1" si="119"/>
        <v>3489.0641238196977</v>
      </c>
      <c r="DZ7" s="3065">
        <f t="shared" ca="1" si="119"/>
        <v>4311.2645410420046</v>
      </c>
      <c r="EA7" s="3065">
        <f t="shared" ca="1" si="119"/>
        <v>5262.5614394434215</v>
      </c>
      <c r="EB7" s="3065">
        <f t="shared" ca="1" si="119"/>
        <v>4340.0786615038833</v>
      </c>
      <c r="EC7" s="3065">
        <f t="shared" ca="1" si="119"/>
        <v>5247.3004122599978</v>
      </c>
      <c r="ED7" s="3065">
        <f t="shared" ca="1" si="119"/>
        <v>3391.3933430743882</v>
      </c>
      <c r="EE7" s="3065">
        <f t="shared" ca="1" si="119"/>
        <v>3655.8437185057401</v>
      </c>
      <c r="EF7" s="3065">
        <f t="shared" ca="1" si="119"/>
        <v>3248.569640413149</v>
      </c>
      <c r="EG7" s="3065">
        <f t="shared" si="119"/>
        <v>3183.7289583057268</v>
      </c>
      <c r="EH7" s="3065">
        <f t="shared" si="119"/>
        <v>3296.4903343741848</v>
      </c>
      <c r="EI7" s="3065">
        <f t="shared" si="119"/>
        <v>3390.7223029524434</v>
      </c>
      <c r="EJ7" s="3065">
        <f t="shared" ca="1" si="119"/>
        <v>3898.2115838826189</v>
      </c>
      <c r="EK7" s="3065">
        <f t="shared" ca="1" si="119"/>
        <v>3593.7360475342889</v>
      </c>
      <c r="EL7" s="3065">
        <f t="shared" ca="1" si="119"/>
        <v>4440.6024772732644</v>
      </c>
      <c r="EM7" s="3065">
        <f t="shared" ca="1" si="119"/>
        <v>5420.4382826267247</v>
      </c>
      <c r="EN7" s="3065">
        <f t="shared" ca="1" si="119"/>
        <v>4470.2810213490002</v>
      </c>
      <c r="EO7" s="3065">
        <f t="shared" ca="1" si="119"/>
        <v>5404.7194246277977</v>
      </c>
      <c r="EP7" s="3065">
        <f t="shared" ca="1" si="119"/>
        <v>3493.1351433666196</v>
      </c>
      <c r="EQ7" s="3065">
        <f t="shared" ca="1" si="119"/>
        <v>3765.519030060912</v>
      </c>
      <c r="ER7" s="3065">
        <f t="shared" ca="1" si="119"/>
        <v>3346.0267296255438</v>
      </c>
      <c r="ES7" s="3065">
        <f t="shared" si="119"/>
        <v>3279.240827054899</v>
      </c>
      <c r="ET7" s="3065">
        <f t="shared" si="119"/>
        <v>3395.3850444054106</v>
      </c>
      <c r="EU7" s="3065">
        <f t="shared" si="119"/>
        <v>3492.4439720410169</v>
      </c>
      <c r="EV7" s="3065">
        <f t="shared" ca="1" si="119"/>
        <v>4015.1579313990974</v>
      </c>
      <c r="EW7" s="3065">
        <f t="shared" ca="1" si="119"/>
        <v>3701.5481289603176</v>
      </c>
      <c r="EX7" s="3065">
        <f t="shared" ca="1" si="119"/>
        <v>4573.8205515914624</v>
      </c>
      <c r="EY7" s="3065">
        <f t="shared" ca="1" si="119"/>
        <v>5583.0514311055267</v>
      </c>
      <c r="EZ7" s="3065">
        <f t="shared" ca="1" si="119"/>
        <v>4604.3894519894711</v>
      </c>
      <c r="FA7" s="3065">
        <f t="shared" ca="1" si="119"/>
        <v>5566.8610073666314</v>
      </c>
      <c r="FB7" s="3065">
        <f t="shared" ca="1" si="119"/>
        <v>3597.9291976676182</v>
      </c>
      <c r="FC7" s="3065">
        <f t="shared" ca="1" si="119"/>
        <v>3878.4846009627395</v>
      </c>
      <c r="FD7" s="3065">
        <f t="shared" ca="1" si="119"/>
        <v>3446.40753151431</v>
      </c>
      <c r="FE7" s="3065">
        <f t="shared" si="119"/>
        <v>3377.618051866546</v>
      </c>
      <c r="FF7" s="3065">
        <f t="shared" si="119"/>
        <v>3497.246595737573</v>
      </c>
      <c r="FG7" s="3065">
        <f t="shared" si="119"/>
        <v>3597.2172912022475</v>
      </c>
      <c r="FH7" s="3065">
        <f t="shared" ca="1" si="119"/>
        <v>4135.6126693410697</v>
      </c>
      <c r="FI7" s="3065">
        <f t="shared" ca="1" si="119"/>
        <v>3812.5945728291272</v>
      </c>
      <c r="FJ7" s="3065">
        <f t="shared" ca="1" si="119"/>
        <v>4711.0351681392058</v>
      </c>
      <c r="FK7" s="3065">
        <f t="shared" ca="1" si="119"/>
        <v>5750.5429740386926</v>
      </c>
      <c r="FL7" s="3065">
        <f t="shared" ca="1" si="119"/>
        <v>4742.5211355491547</v>
      </c>
      <c r="FM7" s="3065">
        <f t="shared" ca="1" si="119"/>
        <v>5733.8668375876314</v>
      </c>
      <c r="FN7" s="3065">
        <f t="shared" ca="1" si="119"/>
        <v>3705.867073597647</v>
      </c>
      <c r="FO7" s="3065">
        <f t="shared" ca="1" si="119"/>
        <v>3994.8391389916219</v>
      </c>
      <c r="FP7" s="3065">
        <f t="shared" ca="1" si="119"/>
        <v>3549.7997574597393</v>
      </c>
      <c r="FQ7" s="3065">
        <f t="shared" si="119"/>
        <v>3478.9465934225427</v>
      </c>
      <c r="FR7" s="3065">
        <f t="shared" si="119"/>
        <v>3602.1639936097004</v>
      </c>
      <c r="FS7" s="3065">
        <f t="shared" si="119"/>
        <v>3705.1338099383152</v>
      </c>
      <c r="FT7" s="3065">
        <f t="shared" ca="1" si="119"/>
        <v>4259.6810494213023</v>
      </c>
      <c r="FU7" s="3065">
        <f t="shared" ca="1" si="119"/>
        <v>3926.9724100140015</v>
      </c>
      <c r="FV7" s="3065">
        <f t="shared" ca="1" si="119"/>
        <v>4852.3662231833823</v>
      </c>
      <c r="FW7" s="3065">
        <f t="shared" ca="1" si="119"/>
        <v>5923.0592632598537</v>
      </c>
      <c r="FX7" s="3065">
        <f t="shared" ca="1" si="119"/>
        <v>4884.7967696156302</v>
      </c>
      <c r="FY7" s="3065">
        <f t="shared" ca="1" si="119"/>
        <v>5905.8828427152603</v>
      </c>
    </row>
    <row r="8" spans="1:217" s="3241" customFormat="1" hidden="1" outlineLevel="1">
      <c r="A8" s="3239" t="s">
        <v>32</v>
      </c>
      <c r="B8" s="3239">
        <f t="shared" ref="B8:M8" si="120">B7/B5</f>
        <v>0.44418989436171569</v>
      </c>
      <c r="C8" s="3239">
        <f t="shared" si="120"/>
        <v>0.39475327920049968</v>
      </c>
      <c r="D8" s="3239">
        <f t="shared" si="120"/>
        <v>0.47802469135802467</v>
      </c>
      <c r="E8" s="3239">
        <f t="shared" si="120"/>
        <v>0.37228822314049587</v>
      </c>
      <c r="F8" s="3239">
        <f t="shared" si="120"/>
        <v>0.38459452129102251</v>
      </c>
      <c r="G8" s="3239">
        <f t="shared" si="120"/>
        <v>0.36953907815631265</v>
      </c>
      <c r="H8" s="3239">
        <f t="shared" si="120"/>
        <v>0.39381153305203936</v>
      </c>
      <c r="I8" s="3239">
        <f t="shared" si="120"/>
        <v>0.4285304659498208</v>
      </c>
      <c r="J8" s="3239">
        <f t="shared" si="120"/>
        <v>0.40891045434494927</v>
      </c>
      <c r="K8" s="3239">
        <f t="shared" si="120"/>
        <v>0.4088633686690224</v>
      </c>
      <c r="L8" s="3239">
        <f t="shared" si="120"/>
        <v>0.39943720379146919</v>
      </c>
      <c r="M8" s="3239">
        <f t="shared" si="120"/>
        <v>0.33440485324576685</v>
      </c>
      <c r="N8" s="3239">
        <f>N7/N5</f>
        <v>0.31062801932367151</v>
      </c>
      <c r="O8" s="3239">
        <f t="shared" ref="O8:AW8" si="121">O7/O5</f>
        <v>0.38106727221118364</v>
      </c>
      <c r="P8" s="3239">
        <f t="shared" si="121"/>
        <v>0.3845953286970214</v>
      </c>
      <c r="Q8" s="3239">
        <f t="shared" si="121"/>
        <v>0.34175716639209214</v>
      </c>
      <c r="R8" s="3239">
        <f t="shared" si="121"/>
        <v>0.28578942507504057</v>
      </c>
      <c r="S8" s="3239">
        <f t="shared" si="121"/>
        <v>0.31964776920496463</v>
      </c>
      <c r="T8" s="3239">
        <f t="shared" si="121"/>
        <v>0.31413616605085859</v>
      </c>
      <c r="U8" s="3239">
        <f t="shared" si="121"/>
        <v>0.34891508957860212</v>
      </c>
      <c r="V8" s="3239">
        <f t="shared" si="121"/>
        <v>0.31455838717396484</v>
      </c>
      <c r="W8" s="3239">
        <f t="shared" si="121"/>
        <v>0.31632173366834199</v>
      </c>
      <c r="X8" s="3239">
        <f t="shared" si="121"/>
        <v>0.3113715173980629</v>
      </c>
      <c r="Y8" s="3239">
        <f t="shared" si="121"/>
        <v>0.27756932218309893</v>
      </c>
      <c r="Z8" s="3239">
        <f t="shared" si="121"/>
        <v>0.28800000000000003</v>
      </c>
      <c r="AA8" s="3239">
        <f t="shared" si="121"/>
        <v>0.28800000000000009</v>
      </c>
      <c r="AB8" s="3239">
        <f t="shared" si="121"/>
        <v>0.27800692237857449</v>
      </c>
      <c r="AC8" s="3239">
        <f t="shared" si="121"/>
        <v>0.23290332056194124</v>
      </c>
      <c r="AD8" s="3239">
        <f t="shared" si="121"/>
        <v>0.20939780774080907</v>
      </c>
      <c r="AE8" s="3239">
        <f t="shared" si="121"/>
        <v>0.26000000000000012</v>
      </c>
      <c r="AF8" s="3239">
        <f t="shared" si="121"/>
        <v>0.29709078325066346</v>
      </c>
      <c r="AG8" s="3239">
        <f t="shared" si="121"/>
        <v>0.29027245439852228</v>
      </c>
      <c r="AH8" s="3239">
        <f t="shared" si="121"/>
        <v>0.28741111906466216</v>
      </c>
      <c r="AI8" s="3239">
        <f t="shared" si="121"/>
        <v>0.29059474285714304</v>
      </c>
      <c r="AJ8" s="3239">
        <f t="shared" si="121"/>
        <v>0.27199999999999996</v>
      </c>
      <c r="AK8" s="3239">
        <f t="shared" si="121"/>
        <v>0.27200000000000008</v>
      </c>
      <c r="AL8" s="3239">
        <f t="shared" si="121"/>
        <v>0.26</v>
      </c>
      <c r="AM8" s="3239">
        <f t="shared" si="121"/>
        <v>0.26</v>
      </c>
      <c r="AN8" s="3239">
        <f t="shared" si="121"/>
        <v>0.28707685551163808</v>
      </c>
      <c r="AO8" s="3239">
        <f t="shared" si="121"/>
        <v>0.26800000000000002</v>
      </c>
      <c r="AP8" s="3239">
        <f t="shared" si="121"/>
        <v>0.22245918636323705</v>
      </c>
      <c r="AQ8" s="3239">
        <f t="shared" si="121"/>
        <v>0.21109223984235703</v>
      </c>
      <c r="AR8" s="3239">
        <f t="shared" si="121"/>
        <v>0.16663901463311914</v>
      </c>
      <c r="AS8" s="3239">
        <f t="shared" si="121"/>
        <v>0.1666432631740673</v>
      </c>
      <c r="AT8" s="3239">
        <f t="shared" si="121"/>
        <v>0.26428648648648623</v>
      </c>
      <c r="AU8" s="3239">
        <f t="shared" si="121"/>
        <v>0.19464104089866441</v>
      </c>
      <c r="AV8" s="3239">
        <f t="shared" si="121"/>
        <v>0.45380942343013519</v>
      </c>
      <c r="AW8" s="3239">
        <f t="shared" si="121"/>
        <v>0.28235359510782099</v>
      </c>
      <c r="AX8" s="3239">
        <f t="shared" ref="AX8:BE8" si="122">AX7/AU5</f>
        <v>0.54781954702117186</v>
      </c>
      <c r="AY8" s="3239">
        <f t="shared" si="122"/>
        <v>0.25413398125650821</v>
      </c>
      <c r="AZ8" s="3239">
        <f t="shared" si="122"/>
        <v>0.25370775667846795</v>
      </c>
      <c r="BA8" s="3239">
        <f t="shared" si="122"/>
        <v>0</v>
      </c>
      <c r="BB8" s="3239">
        <f t="shared" si="122"/>
        <v>0</v>
      </c>
      <c r="BC8" s="3239">
        <f t="shared" si="122"/>
        <v>0.46554932954444539</v>
      </c>
      <c r="BD8" s="3239">
        <f t="shared" si="122"/>
        <v>0.20497547302032235</v>
      </c>
      <c r="BE8" s="3239">
        <f t="shared" si="122"/>
        <v>0.24928222996515681</v>
      </c>
      <c r="BF8" s="3239"/>
      <c r="BG8" s="3239"/>
      <c r="BH8" s="3239"/>
      <c r="BI8" s="3239"/>
      <c r="BJ8" s="2900"/>
      <c r="BK8" s="2900"/>
      <c r="BL8" s="2900"/>
      <c r="BM8" s="2900"/>
      <c r="BN8" s="3240">
        <f ca="1">BN5/BM5-1</f>
        <v>4.4638328091711532E-2</v>
      </c>
      <c r="BO8" s="2900"/>
      <c r="BP8" s="2900"/>
      <c r="BQ8" s="2900">
        <f ca="1">BQ7/BE7-1</f>
        <v>-0.2866882870018026</v>
      </c>
      <c r="BR8" s="2900"/>
      <c r="BS8" s="2900"/>
      <c r="BT8" s="2900"/>
      <c r="BU8" s="2900"/>
      <c r="BV8" s="2900"/>
      <c r="BW8" s="2900"/>
      <c r="BX8" s="2900"/>
      <c r="BY8" s="2900"/>
      <c r="BZ8" s="2900"/>
      <c r="CA8" s="2900"/>
      <c r="CB8" s="2900"/>
      <c r="CC8" s="2900"/>
      <c r="CD8" s="2900"/>
      <c r="CE8" s="2900"/>
      <c r="CF8" s="2900"/>
      <c r="CG8" s="2900"/>
      <c r="CH8" s="2900"/>
      <c r="CI8" s="2900"/>
      <c r="CJ8" s="2900"/>
      <c r="CK8" s="2900"/>
      <c r="CL8" s="2900"/>
      <c r="CM8" s="2900"/>
      <c r="CN8" s="2900"/>
      <c r="CO8" s="2900"/>
      <c r="CP8" s="2900"/>
      <c r="CQ8" s="2900"/>
      <c r="CR8" s="3239"/>
      <c r="CS8" s="3239"/>
      <c r="CT8" s="3239"/>
      <c r="CU8" s="3239"/>
      <c r="CV8" s="3239"/>
      <c r="CW8" s="3239"/>
      <c r="CX8" s="3239"/>
      <c r="CY8" s="3239"/>
      <c r="CZ8" s="3239"/>
      <c r="DA8" s="3239"/>
      <c r="DB8" s="3239"/>
      <c r="DC8" s="3239"/>
      <c r="DD8" s="3239"/>
      <c r="DE8" s="3239"/>
      <c r="DF8" s="3239"/>
      <c r="DG8" s="3239"/>
      <c r="DH8" s="3239"/>
      <c r="DI8" s="3239"/>
      <c r="DJ8" s="3239"/>
      <c r="DK8" s="3239"/>
      <c r="DL8" s="3239"/>
      <c r="DM8" s="3239"/>
      <c r="DN8" s="3239"/>
      <c r="DO8" s="3239"/>
      <c r="DP8" s="3239"/>
      <c r="DQ8" s="3239"/>
      <c r="DR8" s="3239"/>
      <c r="DS8" s="3239"/>
      <c r="DT8" s="3239"/>
      <c r="DU8" s="3239"/>
      <c r="DV8" s="3239"/>
      <c r="DW8" s="3239"/>
      <c r="DX8" s="3239"/>
      <c r="DY8" s="3239"/>
      <c r="DZ8" s="3239"/>
      <c r="EA8" s="3239"/>
      <c r="EB8" s="3239"/>
      <c r="EC8" s="3239"/>
      <c r="ED8" s="3239"/>
      <c r="EE8" s="3239"/>
      <c r="EF8" s="3239"/>
      <c r="EG8" s="3239"/>
      <c r="EH8" s="3239"/>
      <c r="EI8" s="3239"/>
      <c r="EJ8" s="3239"/>
      <c r="EK8" s="3239"/>
      <c r="EL8" s="3239"/>
      <c r="EM8" s="3239"/>
      <c r="EN8" s="3239"/>
      <c r="EO8" s="3239"/>
      <c r="EP8" s="3239"/>
      <c r="EQ8" s="3239"/>
      <c r="ER8" s="3239"/>
      <c r="ES8" s="3239"/>
      <c r="ET8" s="3239"/>
      <c r="EU8" s="3239"/>
      <c r="EV8" s="3239"/>
      <c r="EW8" s="3239"/>
      <c r="EX8" s="3239"/>
      <c r="EY8" s="3239"/>
      <c r="EZ8" s="3239"/>
      <c r="FA8" s="3239"/>
      <c r="FB8" s="3239"/>
      <c r="FC8" s="3239"/>
      <c r="FD8" s="3239"/>
      <c r="FE8" s="3239"/>
      <c r="FF8" s="3239"/>
      <c r="FG8" s="3239"/>
      <c r="FH8" s="3239"/>
      <c r="FI8" s="3239"/>
      <c r="FJ8" s="3239"/>
      <c r="FK8" s="3239"/>
      <c r="FL8" s="3239"/>
      <c r="FM8" s="3239"/>
      <c r="FN8" s="3239"/>
      <c r="FO8" s="3239"/>
      <c r="FP8" s="3239"/>
      <c r="FQ8" s="3239"/>
      <c r="FR8" s="3239"/>
      <c r="FS8" s="3239"/>
      <c r="FT8" s="3239"/>
      <c r="FU8" s="3239"/>
      <c r="FV8" s="3239"/>
      <c r="FW8" s="3239"/>
      <c r="FX8" s="3239"/>
      <c r="FY8" s="3239"/>
    </row>
    <row r="9" spans="1:217" s="3243" customFormat="1" hidden="1" outlineLevel="1">
      <c r="A9" s="3242" t="s">
        <v>31</v>
      </c>
      <c r="B9" s="3242"/>
      <c r="C9" s="3242"/>
      <c r="D9" s="3242"/>
      <c r="E9" s="3242"/>
      <c r="F9" s="3242"/>
      <c r="G9" s="3242"/>
      <c r="H9" s="3242"/>
      <c r="I9" s="3242"/>
      <c r="J9" s="3242"/>
      <c r="K9" s="3242"/>
      <c r="L9" s="3242"/>
      <c r="M9" s="3242"/>
      <c r="N9" s="3242">
        <f>N7/B7-1</f>
        <v>-7.8796561604584481E-2</v>
      </c>
      <c r="O9" s="3242">
        <f t="shared" ref="O9:AW9" si="123">O7/C7-1</f>
        <v>-0.15031645569620256</v>
      </c>
      <c r="P9" s="3242">
        <f t="shared" si="123"/>
        <v>9.2978650137742758E-3</v>
      </c>
      <c r="Q9" s="3242">
        <f t="shared" si="123"/>
        <v>7.9326742976066233E-2</v>
      </c>
      <c r="R9" s="3242">
        <f t="shared" si="123"/>
        <v>-0.12711283497884285</v>
      </c>
      <c r="S9" s="3242">
        <f t="shared" si="123"/>
        <v>3.3481561822125361E-2</v>
      </c>
      <c r="T9" s="3242">
        <f t="shared" si="123"/>
        <v>3.2386071428571528E-2</v>
      </c>
      <c r="U9" s="3242">
        <f t="shared" si="123"/>
        <v>-7.4773837403813936E-2</v>
      </c>
      <c r="V9" s="3242">
        <f t="shared" si="123"/>
        <v>-5.462819129809493E-2</v>
      </c>
      <c r="W9" s="3242">
        <f t="shared" si="123"/>
        <v>-9.3294562477492904E-2</v>
      </c>
      <c r="X9" s="3242">
        <f t="shared" si="123"/>
        <v>-3.4482758620689613E-2</v>
      </c>
      <c r="Y9" s="3242">
        <f t="shared" si="123"/>
        <v>-3.8279923725481613E-4</v>
      </c>
      <c r="Z9" s="3242">
        <f t="shared" si="123"/>
        <v>0.125125972006221</v>
      </c>
      <c r="AA9" s="3242">
        <f t="shared" si="123"/>
        <v>-0.14393743016759752</v>
      </c>
      <c r="AB9" s="3242">
        <f t="shared" si="123"/>
        <v>-0.16417735783781773</v>
      </c>
      <c r="AC9" s="3242">
        <f t="shared" si="123"/>
        <v>-0.41394299384355604</v>
      </c>
      <c r="AD9" s="3242">
        <f t="shared" si="123"/>
        <v>-0.12798423596288144</v>
      </c>
      <c r="AE9" s="3242">
        <f t="shared" si="123"/>
        <v>-0.25900350170187536</v>
      </c>
      <c r="AF9" s="3242">
        <f t="shared" si="123"/>
        <v>-0.1090403956714695</v>
      </c>
      <c r="AG9" s="3242">
        <f t="shared" si="123"/>
        <v>-9.0819348826849056E-2</v>
      </c>
      <c r="AH9" s="3242">
        <f t="shared" si="123"/>
        <v>-8.3679113484227741E-2</v>
      </c>
      <c r="AI9" s="3242">
        <f t="shared" si="123"/>
        <v>9.8426439908159136E-3</v>
      </c>
      <c r="AJ9" s="3242">
        <f t="shared" si="123"/>
        <v>-3.8807987711213743E-2</v>
      </c>
      <c r="AK9" s="3242">
        <f t="shared" si="123"/>
        <v>-3.4591980337366213E-3</v>
      </c>
      <c r="AL9" s="3242">
        <f t="shared" si="123"/>
        <v>-0.20582868895966022</v>
      </c>
      <c r="AM9" s="3242">
        <f t="shared" si="123"/>
        <v>0.20694635871305445</v>
      </c>
      <c r="AN9" s="3242">
        <f t="shared" si="123"/>
        <v>6.7311291507011095E-2</v>
      </c>
      <c r="AO9" s="3242">
        <f t="shared" si="123"/>
        <v>0.41404328612171426</v>
      </c>
      <c r="AP9" s="3242">
        <f t="shared" si="123"/>
        <v>0.17284898841052088</v>
      </c>
      <c r="AQ9" s="3242">
        <f t="shared" si="123"/>
        <v>6.2028495623682955E-2</v>
      </c>
      <c r="AR9" s="3242">
        <f t="shared" si="123"/>
        <v>-0.38539456722630427</v>
      </c>
      <c r="AS9" s="3242">
        <f t="shared" si="123"/>
        <v>-0.56860209836378373</v>
      </c>
      <c r="AT9" s="3242">
        <f t="shared" si="123"/>
        <v>-8.6711524731432954E-2</v>
      </c>
      <c r="AU9" s="3242">
        <f t="shared" si="123"/>
        <v>-6.7175839424831518E-2</v>
      </c>
      <c r="AV9" s="3242">
        <f t="shared" si="123"/>
        <v>1.0894194179369889</v>
      </c>
      <c r="AW9" s="3242">
        <f t="shared" si="123"/>
        <v>0.39591732754560316</v>
      </c>
      <c r="AX9" s="3242">
        <f>AX8/(AM8+AL8)-1</f>
        <v>5.3499128886868919E-2</v>
      </c>
      <c r="AY9" s="3242">
        <f>AY8/AN8-1</f>
        <v>-0.11475280442381175</v>
      </c>
      <c r="AZ9" s="3242">
        <f>AZ8/AO8-1</f>
        <v>-5.3329266125119679E-2</v>
      </c>
      <c r="BA9" s="3242">
        <f>BA8/AP8-1</f>
        <v>-1</v>
      </c>
      <c r="BB9" s="3242">
        <f>BB8/AQ8-1</f>
        <v>-1</v>
      </c>
      <c r="BC9" s="3242">
        <f>BC8/(AR8+AQ8)-1</f>
        <v>0.23248824138451241</v>
      </c>
      <c r="BD9" s="3242">
        <f>BD8/AS8-1</f>
        <v>0.23002555948640491</v>
      </c>
      <c r="BE9" s="3242">
        <f>BE8/AT8-1</f>
        <v>-5.6772696632359287E-2</v>
      </c>
      <c r="BF9" s="3242">
        <f ca="1">BF7/AT7-1</f>
        <v>5.8009609687170949E-2</v>
      </c>
      <c r="BG9" s="3242">
        <f ca="1">BG7/AU7-1</f>
        <v>0.23445561703671802</v>
      </c>
      <c r="BH9" s="3242">
        <f ca="1">BH7/AV7-1</f>
        <v>-0.65841251509313192</v>
      </c>
      <c r="BI9" s="3242">
        <f ca="1">BI7/AW7-1</f>
        <v>-0.47619862068931129</v>
      </c>
      <c r="BJ9" s="2900">
        <f>BJ8/AY8-1</f>
        <v>-1</v>
      </c>
      <c r="BK9" s="2900">
        <f>BK8/AZ8-1</f>
        <v>-1</v>
      </c>
      <c r="BL9" s="2900">
        <f ca="1">BL7/AY7-1</f>
        <v>-0.49068015194464365</v>
      </c>
      <c r="BM9" s="2900">
        <f ca="1">BM7/AZ7-1</f>
        <v>-0.40587396203403647</v>
      </c>
      <c r="BN9" s="2900">
        <f ca="1">BN7/(BC7/2)-1</f>
        <v>-0.27319851431498754</v>
      </c>
      <c r="BO9" s="2900">
        <f t="shared" ref="BO9:BQ9" si="124">BO8/BD8-1</f>
        <v>-1</v>
      </c>
      <c r="BP9" s="2900">
        <f t="shared" si="124"/>
        <v>-1</v>
      </c>
      <c r="BQ9" s="2900" t="e">
        <f t="shared" ca="1" si="124"/>
        <v>#DIV/0!</v>
      </c>
      <c r="BR9" s="2900" t="e">
        <v>#DIV/0!</v>
      </c>
      <c r="BS9" s="2900" t="e">
        <v>#DIV/0!</v>
      </c>
      <c r="BT9" s="2900" t="e">
        <v>#DIV/0!</v>
      </c>
      <c r="BU9" s="2900" t="e">
        <v>#DIV/0!</v>
      </c>
      <c r="BV9" s="2900">
        <f ca="1">BV7/BL7-1</f>
        <v>0.31135994737704009</v>
      </c>
      <c r="BW9" s="2900">
        <f ca="1">BW7/BM7-1</f>
        <v>4.4154897221716949E-2</v>
      </c>
      <c r="BX9" s="2900">
        <f ca="1">BX7/BL7-1</f>
        <v>0.2744164643032434</v>
      </c>
      <c r="BY9" s="2900">
        <f t="shared" ref="BY9:CG9" ca="1" si="125">BY7/BM7-1</f>
        <v>-5.8078573866801486E-2</v>
      </c>
      <c r="BZ9" s="2900">
        <f t="shared" ca="1" si="125"/>
        <v>-2.0200182878785999E-2</v>
      </c>
      <c r="CA9" s="2900">
        <f t="shared" ca="1" si="125"/>
        <v>6.4083250809799486E-2</v>
      </c>
      <c r="CB9" s="2900">
        <f ca="1">CB7/BP7-1</f>
        <v>7.5956560154314401E-2</v>
      </c>
      <c r="CC9" s="2900">
        <f t="shared" ca="1" si="125"/>
        <v>0.15861564802780848</v>
      </c>
      <c r="CD9" s="2900">
        <f t="shared" ca="1" si="125"/>
        <v>0.1688975745939052</v>
      </c>
      <c r="CE9" s="2900">
        <f t="shared" ca="1" si="125"/>
        <v>-2.0515533493181692E-2</v>
      </c>
      <c r="CF9" s="2900">
        <f t="shared" ca="1" si="125"/>
        <v>0.20590076932412349</v>
      </c>
      <c r="CG9" s="2900">
        <f t="shared" ca="1" si="125"/>
        <v>0.76685530850932904</v>
      </c>
      <c r="CH9" s="2900">
        <f t="shared" ref="CH9" ca="1" si="126">CH7/BV7-1</f>
        <v>0.19187531936637714</v>
      </c>
      <c r="CI9" s="2900">
        <f t="shared" ref="CI9" ca="1" si="127">CI7/BW7-1</f>
        <v>0.37213153593677095</v>
      </c>
      <c r="CJ9" s="2900">
        <f t="shared" ref="CJ9" ca="1" si="128">CJ7/BX7-1</f>
        <v>0.25394371582013031</v>
      </c>
      <c r="CK9" s="2900">
        <v>0.32320987654320987</v>
      </c>
      <c r="CL9" s="2900">
        <v>0.2951106536284096</v>
      </c>
      <c r="CM9" s="2900">
        <v>0.20250260688216892</v>
      </c>
      <c r="CN9" s="2900">
        <f t="shared" ref="CN9" ca="1" si="129">CN7/CB7-1</f>
        <v>0.31788123860563222</v>
      </c>
      <c r="CO9" s="2900">
        <f t="shared" ref="CO9" ca="1" si="130">CO7/CC7-1</f>
        <v>0.11074641797110107</v>
      </c>
      <c r="CP9" s="2900">
        <f t="shared" ref="CP9" ca="1" si="131">CP7/CD7-1</f>
        <v>0.19558601966817579</v>
      </c>
      <c r="CQ9" s="2900">
        <f ca="1">CQ7/CE7-1</f>
        <v>0.45528910691089108</v>
      </c>
      <c r="CR9" s="3242">
        <f t="shared" ref="CR9" ca="1" si="132">CR7/CF7-1</f>
        <v>0.39660976785130808</v>
      </c>
      <c r="CS9" s="3242">
        <f t="shared" ref="CS9" ca="1" si="133">CS7/CG7-1</f>
        <v>0.24129619710765948</v>
      </c>
      <c r="CT9" s="3242">
        <f t="shared" ref="CT9" ca="1" si="134">CT7/CH7-1</f>
        <v>9.2926045016077152E-2</v>
      </c>
      <c r="CU9" s="3242">
        <f t="shared" ref="CU9" ca="1" si="135">CU7/CI7-1</f>
        <v>9.2926045016077374E-2</v>
      </c>
      <c r="CV9" s="3242">
        <f t="shared" ref="CV9" ca="1" si="136">CV7/CJ7-1</f>
        <v>9.3512064343163726E-2</v>
      </c>
      <c r="CW9" s="3242">
        <f t="shared" ref="CW9" si="137">CW7/CK7-1</f>
        <v>9.4098712446352151E-2</v>
      </c>
      <c r="CX9" s="3242">
        <f t="shared" ref="CX9" si="138">CX7/CL7-1</f>
        <v>9.4098712446351929E-2</v>
      </c>
      <c r="CY9" s="3242">
        <f t="shared" ref="CY9" si="139">CY7/CM7-1</f>
        <v>9.5273899033297749E-2</v>
      </c>
      <c r="CZ9" s="3242">
        <f t="shared" ref="CZ9" ca="1" si="140">CZ7/CN7-1</f>
        <v>9.704142011834338E-2</v>
      </c>
      <c r="DA9" s="3242">
        <f t="shared" ref="DA9" ca="1" si="141">DA7/CO7-1</f>
        <v>9.7631862217438359E-2</v>
      </c>
      <c r="DB9" s="3242">
        <f t="shared" ref="DB9" ca="1" si="142">DB7/CP7-1</f>
        <v>9.8222940226171396E-2</v>
      </c>
      <c r="DC9" s="3242">
        <f t="shared" ref="DC9" ca="1" si="143">DC7/CQ7-1</f>
        <v>9.8814655172414056E-2</v>
      </c>
      <c r="DD9" s="3242">
        <f t="shared" ref="DD9" ca="1" si="144">DD7/CR7-1</f>
        <v>9.9407008086253468E-2</v>
      </c>
      <c r="DE9" s="3242">
        <f t="shared" ref="DE9" ca="1" si="145">DE7/CS7-1</f>
        <v>0.10000000000000009</v>
      </c>
      <c r="DF9" s="3242">
        <v>0.05</v>
      </c>
      <c r="DG9" s="3242">
        <v>0.05</v>
      </c>
      <c r="DH9" s="3242">
        <v>0.05</v>
      </c>
      <c r="DI9" s="3242">
        <v>0.05</v>
      </c>
      <c r="DJ9" s="3242">
        <v>0.05</v>
      </c>
      <c r="DK9" s="3242">
        <v>0.05</v>
      </c>
      <c r="DL9" s="3242">
        <v>0.05</v>
      </c>
      <c r="DM9" s="3242">
        <v>0.05</v>
      </c>
      <c r="DN9" s="3242">
        <v>0.05</v>
      </c>
      <c r="DO9" s="3242">
        <v>0.05</v>
      </c>
      <c r="DP9" s="3242">
        <v>0.05</v>
      </c>
      <c r="DQ9" s="3242">
        <v>0.05</v>
      </c>
      <c r="DR9" s="3242">
        <v>0.05</v>
      </c>
      <c r="DS9" s="3242">
        <v>0.05</v>
      </c>
      <c r="DT9" s="3242">
        <v>0.05</v>
      </c>
      <c r="DU9" s="3242">
        <v>0.05</v>
      </c>
      <c r="DV9" s="3242">
        <v>0.05</v>
      </c>
      <c r="DW9" s="3242">
        <v>0.05</v>
      </c>
      <c r="DX9" s="3242">
        <v>0.05</v>
      </c>
      <c r="DY9" s="3242">
        <v>0.05</v>
      </c>
      <c r="DZ9" s="3242">
        <v>0.05</v>
      </c>
      <c r="EA9" s="3242">
        <v>0.05</v>
      </c>
      <c r="EB9" s="3242">
        <v>0.05</v>
      </c>
      <c r="EC9" s="3242">
        <v>0.05</v>
      </c>
      <c r="ED9" s="3242">
        <f t="shared" ref="ED9:EE9" ca="1" si="146">ED7/DR7-1</f>
        <v>0.10000000000000031</v>
      </c>
      <c r="EE9" s="3242">
        <f t="shared" ca="1" si="146"/>
        <v>3.0000000000000027E-2</v>
      </c>
      <c r="EF9" s="3242">
        <f t="shared" ref="EF9" ca="1" si="147">EF7/DT7-1</f>
        <v>2.9999999999999805E-2</v>
      </c>
      <c r="EG9" s="3242">
        <f t="shared" ref="EG9" si="148">EG7/DU7-1</f>
        <v>3.0000000000000027E-2</v>
      </c>
      <c r="EH9" s="3242">
        <f t="shared" ref="EH9" si="149">EH7/DV7-1</f>
        <v>3.0000000000000027E-2</v>
      </c>
      <c r="EI9" s="3242">
        <f t="shared" ref="EI9" si="150">EI7/DW7-1</f>
        <v>3.0000000000000027E-2</v>
      </c>
      <c r="EJ9" s="3242">
        <f t="shared" ref="EJ9" ca="1" si="151">EJ7/DX7-1</f>
        <v>3.0000000000000027E-2</v>
      </c>
      <c r="EK9" s="3242">
        <f t="shared" ref="EK9" ca="1" si="152">EK7/DY7-1</f>
        <v>3.0000000000000027E-2</v>
      </c>
      <c r="EL9" s="3242">
        <f t="shared" ref="EL9" ca="1" si="153">EL7/DZ7-1</f>
        <v>3.0000000000000027E-2</v>
      </c>
      <c r="EM9" s="3242">
        <f t="shared" ref="EM9" ca="1" si="154">EM7/EA7-1</f>
        <v>3.0000000000000027E-2</v>
      </c>
      <c r="EN9" s="3242">
        <f t="shared" ref="EN9" ca="1" si="155">EN7/EB7-1</f>
        <v>3.0000000000000027E-2</v>
      </c>
      <c r="EO9" s="3242">
        <f t="shared" ref="EO9" ca="1" si="156">EO7/EC7-1</f>
        <v>3.0000000000000027E-2</v>
      </c>
      <c r="EP9" s="3242">
        <f t="shared" ref="EP9" ca="1" si="157">EP7/ED7-1</f>
        <v>2.9999999999999805E-2</v>
      </c>
      <c r="EQ9" s="3242">
        <f t="shared" ref="EQ9" ca="1" si="158">EQ7/EE7-1</f>
        <v>3.0000000000000027E-2</v>
      </c>
      <c r="ER9" s="3242">
        <f t="shared" ref="ER9" ca="1" si="159">ER7/EF7-1</f>
        <v>3.0000000000000027E-2</v>
      </c>
      <c r="ES9" s="3242">
        <f t="shared" ref="ES9" si="160">ES7/EG7-1</f>
        <v>3.0000000000000027E-2</v>
      </c>
      <c r="ET9" s="3242">
        <f t="shared" ref="ET9" si="161">ET7/EH7-1</f>
        <v>3.0000000000000027E-2</v>
      </c>
      <c r="EU9" s="3242">
        <f t="shared" ref="EU9" si="162">EU7/EI7-1</f>
        <v>3.0000000000000027E-2</v>
      </c>
      <c r="EV9" s="3242">
        <f t="shared" ref="EV9" ca="1" si="163">EV7/EJ7-1</f>
        <v>3.0000000000000027E-2</v>
      </c>
      <c r="EW9" s="3242">
        <f t="shared" ref="EW9" ca="1" si="164">EW7/EK7-1</f>
        <v>3.0000000000000027E-2</v>
      </c>
      <c r="EX9" s="3242">
        <f t="shared" ref="EX9" ca="1" si="165">EX7/EL7-1</f>
        <v>3.0000000000000027E-2</v>
      </c>
      <c r="EY9" s="3242">
        <f t="shared" ref="EY9" ca="1" si="166">EY7/EM7-1</f>
        <v>3.0000000000000027E-2</v>
      </c>
      <c r="EZ9" s="3242">
        <f t="shared" ref="EZ9" ca="1" si="167">EZ7/EN7-1</f>
        <v>3.0000000000000249E-2</v>
      </c>
      <c r="FA9" s="3242">
        <f t="shared" ref="FA9" ca="1" si="168">FA7/EO7-1</f>
        <v>3.0000000000000027E-2</v>
      </c>
      <c r="FB9" s="3242">
        <f t="shared" ref="FB9" ca="1" si="169">FB7/EP7-1</f>
        <v>3.0000000000000027E-2</v>
      </c>
      <c r="FC9" s="3242">
        <f t="shared" ref="FC9" ca="1" si="170">FC7/EQ7-1</f>
        <v>3.0000000000000027E-2</v>
      </c>
      <c r="FD9" s="3242">
        <f t="shared" ref="FD9" ca="1" si="171">FD7/ER7-1</f>
        <v>3.0000000000000027E-2</v>
      </c>
      <c r="FE9" s="3242">
        <f t="shared" ref="FE9" si="172">FE7/ES7-1</f>
        <v>3.0000000000000027E-2</v>
      </c>
      <c r="FF9" s="3242">
        <f t="shared" ref="FF9" si="173">FF7/ET7-1</f>
        <v>3.0000000000000027E-2</v>
      </c>
      <c r="FG9" s="3242">
        <f t="shared" ref="FG9" si="174">FG7/EU7-1</f>
        <v>3.0000000000000027E-2</v>
      </c>
      <c r="FH9" s="3242">
        <f t="shared" ref="FH9" ca="1" si="175">FH7/EV7-1</f>
        <v>2.9999999999999805E-2</v>
      </c>
      <c r="FI9" s="3242">
        <f t="shared" ref="FI9" ca="1" si="176">FI7/EW7-1</f>
        <v>3.0000000000000027E-2</v>
      </c>
      <c r="FJ9" s="3242">
        <f t="shared" ref="FJ9" ca="1" si="177">FJ7/EX7-1</f>
        <v>2.9999999999999805E-2</v>
      </c>
      <c r="FK9" s="3242">
        <f t="shared" ref="FK9" ca="1" si="178">FK7/EY7-1</f>
        <v>3.0000000000000027E-2</v>
      </c>
      <c r="FL9" s="3242">
        <f t="shared" ref="FL9" ca="1" si="179">FL7/EZ7-1</f>
        <v>2.9999999999999805E-2</v>
      </c>
      <c r="FM9" s="3242">
        <f t="shared" ref="FM9" ca="1" si="180">FM7/FA7-1</f>
        <v>3.0000000000000249E-2</v>
      </c>
      <c r="FN9" s="3242">
        <f t="shared" ref="FN9" ca="1" si="181">FN7/FB7-1</f>
        <v>3.0000000000000027E-2</v>
      </c>
      <c r="FO9" s="3242">
        <f t="shared" ref="FO9" ca="1" si="182">FO7/FC7-1</f>
        <v>3.0000000000000027E-2</v>
      </c>
      <c r="FP9" s="3242">
        <f t="shared" ref="FP9" ca="1" si="183">FP7/FD7-1</f>
        <v>3.0000000000000027E-2</v>
      </c>
      <c r="FQ9" s="3242">
        <f t="shared" ref="FQ9" si="184">FQ7/FE7-1</f>
        <v>3.0000000000000027E-2</v>
      </c>
      <c r="FR9" s="3242">
        <f t="shared" ref="FR9" si="185">FR7/FF7-1</f>
        <v>3.0000000000000027E-2</v>
      </c>
      <c r="FS9" s="3242">
        <f t="shared" ref="FS9" si="186">FS7/FG7-1</f>
        <v>3.0000000000000027E-2</v>
      </c>
      <c r="FT9" s="3242">
        <f t="shared" ref="FT9" ca="1" si="187">FT7/FH7-1</f>
        <v>3.0000000000000027E-2</v>
      </c>
      <c r="FU9" s="3242">
        <f t="shared" ref="FU9" ca="1" si="188">FU7/FI7-1</f>
        <v>3.0000000000000249E-2</v>
      </c>
      <c r="FV9" s="3242">
        <f t="shared" ref="FV9" ca="1" si="189">FV7/FJ7-1</f>
        <v>3.0000000000000027E-2</v>
      </c>
      <c r="FW9" s="3242">
        <f t="shared" ref="FW9" ca="1" si="190">FW7/FK7-1</f>
        <v>3.0000000000000027E-2</v>
      </c>
      <c r="FX9" s="3242">
        <f t="shared" ref="FX9" ca="1" si="191">FX7/FL7-1</f>
        <v>3.0000000000000249E-2</v>
      </c>
      <c r="FY9" s="3242">
        <f t="shared" ref="FY9" ca="1" si="192">FY7/FM7-1</f>
        <v>3.0000000000000027E-2</v>
      </c>
    </row>
    <row r="10" spans="1:217" s="3246" customFormat="1" hidden="1" outlineLevel="1">
      <c r="A10" s="3244" t="s">
        <v>33</v>
      </c>
      <c r="B10" s="3244">
        <v>1071</v>
      </c>
      <c r="C10" s="3244">
        <v>1071</v>
      </c>
      <c r="D10" s="3244">
        <v>1071</v>
      </c>
      <c r="E10" s="3244">
        <v>1065</v>
      </c>
      <c r="F10" s="3244">
        <v>1061</v>
      </c>
      <c r="G10" s="3244">
        <v>1058</v>
      </c>
      <c r="H10" s="3244">
        <v>1045</v>
      </c>
      <c r="I10" s="3244">
        <v>1040</v>
      </c>
      <c r="J10" s="3244">
        <v>1038</v>
      </c>
      <c r="K10" s="3244">
        <v>1038</v>
      </c>
      <c r="L10" s="3244">
        <v>1037</v>
      </c>
      <c r="M10" s="3244">
        <v>1032</v>
      </c>
      <c r="N10" s="3244">
        <v>1029</v>
      </c>
      <c r="O10" s="3244">
        <v>1027</v>
      </c>
      <c r="P10" s="3244">
        <v>1023</v>
      </c>
      <c r="Q10" s="3244">
        <v>1021</v>
      </c>
      <c r="R10" s="3244">
        <v>1017</v>
      </c>
      <c r="S10" s="3244">
        <v>1011</v>
      </c>
      <c r="T10" s="3244">
        <v>1006</v>
      </c>
      <c r="U10" s="3244">
        <v>1000</v>
      </c>
      <c r="V10" s="3244">
        <v>1000</v>
      </c>
      <c r="W10" s="3244">
        <v>1000</v>
      </c>
      <c r="X10" s="3244">
        <v>1008</v>
      </c>
      <c r="Y10" s="3244">
        <v>996</v>
      </c>
      <c r="Z10" s="3244">
        <v>1015</v>
      </c>
      <c r="AA10" s="3244">
        <v>1015</v>
      </c>
      <c r="AB10" s="3244">
        <v>1009</v>
      </c>
      <c r="AC10" s="3244">
        <v>1003</v>
      </c>
      <c r="AD10" s="3244">
        <v>998</v>
      </c>
      <c r="AE10" s="3244">
        <v>971</v>
      </c>
      <c r="AF10" s="3244">
        <v>966</v>
      </c>
      <c r="AG10" s="3244">
        <v>964</v>
      </c>
      <c r="AH10" s="3244">
        <v>962</v>
      </c>
      <c r="AI10" s="3244">
        <v>948</v>
      </c>
      <c r="AJ10" s="3244">
        <v>933</v>
      </c>
      <c r="AK10" s="3244">
        <v>913</v>
      </c>
      <c r="AL10" s="3244">
        <v>908</v>
      </c>
      <c r="AM10" s="3244">
        <v>908</v>
      </c>
      <c r="AN10" s="3244">
        <v>909</v>
      </c>
      <c r="AO10" s="3244">
        <v>923</v>
      </c>
      <c r="AP10" s="3244">
        <v>927</v>
      </c>
      <c r="AQ10" s="3244">
        <v>936</v>
      </c>
      <c r="AR10" s="3244">
        <v>949</v>
      </c>
      <c r="AS10" s="3244">
        <v>949</v>
      </c>
      <c r="AT10" s="3244">
        <v>950</v>
      </c>
      <c r="AU10" s="3244">
        <v>960</v>
      </c>
      <c r="AV10" s="3244">
        <v>966</v>
      </c>
      <c r="AW10" s="3244">
        <v>970</v>
      </c>
      <c r="AX10" s="3244">
        <v>976</v>
      </c>
      <c r="AY10" s="3244">
        <v>985</v>
      </c>
      <c r="AZ10" s="3244">
        <v>985</v>
      </c>
      <c r="BA10" s="3244">
        <v>985</v>
      </c>
      <c r="BB10" s="3244">
        <f>1067-BB16</f>
        <v>1017</v>
      </c>
      <c r="BC10" s="3244">
        <v>1017</v>
      </c>
      <c r="BD10" s="3244">
        <f>1070-BD16</f>
        <v>1020</v>
      </c>
      <c r="BE10" s="3244">
        <f>1086-BE16</f>
        <v>1032</v>
      </c>
      <c r="BF10" s="3244">
        <f>1116-71</f>
        <v>1045</v>
      </c>
      <c r="BG10" s="3244">
        <f>1163-BG16</f>
        <v>1070</v>
      </c>
      <c r="BH10" s="3244">
        <f>1169-BH16</f>
        <v>1071</v>
      </c>
      <c r="BI10" s="3244">
        <f>1190-BI16</f>
        <v>1090</v>
      </c>
      <c r="BJ10" s="3245">
        <f>1189-BJ16</f>
        <v>1089</v>
      </c>
      <c r="BK10" s="3245">
        <f>BJ10</f>
        <v>1089</v>
      </c>
      <c r="BL10" s="3245">
        <f>1188-BL16</f>
        <v>1088</v>
      </c>
      <c r="BM10" s="3245">
        <f>BL10</f>
        <v>1088</v>
      </c>
      <c r="BN10" s="3245">
        <f>BM10-3</f>
        <v>1085</v>
      </c>
      <c r="BO10" s="3245">
        <f>BN10+BO11</f>
        <v>1080</v>
      </c>
      <c r="BP10" s="3245">
        <f>BO10</f>
        <v>1080</v>
      </c>
      <c r="BQ10" s="3245">
        <f>1171-BQ16</f>
        <v>1071</v>
      </c>
      <c r="BR10" s="3245">
        <f>1165-BR16</f>
        <v>1066</v>
      </c>
      <c r="BS10" s="3245">
        <f>BR10+BS11+BS17</f>
        <v>1059</v>
      </c>
      <c r="BT10" s="3245">
        <f>1100-BT16</f>
        <v>1001</v>
      </c>
      <c r="BU10" s="3245">
        <f>1078-BU16</f>
        <v>979</v>
      </c>
      <c r="BV10" s="3245">
        <f>1077-BV16</f>
        <v>978</v>
      </c>
      <c r="BW10" s="3245">
        <f t="shared" ref="BW10:DR10" si="193">BV10+BW11</f>
        <v>978</v>
      </c>
      <c r="BX10" s="3245">
        <f>1071-BX16</f>
        <v>972</v>
      </c>
      <c r="BY10" s="3245">
        <v>972</v>
      </c>
      <c r="BZ10" s="3245">
        <v>971</v>
      </c>
      <c r="CA10" s="3245">
        <f t="shared" si="193"/>
        <v>947</v>
      </c>
      <c r="CB10" s="3245">
        <f>CA10+CB11</f>
        <v>937</v>
      </c>
      <c r="CC10" s="3245">
        <f>CB10+CC11</f>
        <v>935</v>
      </c>
      <c r="CD10" s="3245">
        <f t="shared" si="193"/>
        <v>935</v>
      </c>
      <c r="CE10" s="3245">
        <f>1022-CE16</f>
        <v>934</v>
      </c>
      <c r="CF10" s="3245">
        <f t="shared" si="193"/>
        <v>934</v>
      </c>
      <c r="CG10" s="3245">
        <f>CF10+CG11</f>
        <v>933</v>
      </c>
      <c r="CH10" s="3245">
        <f>CG10+CH11</f>
        <v>933</v>
      </c>
      <c r="CI10" s="3245">
        <f t="shared" si="193"/>
        <v>933</v>
      </c>
      <c r="CJ10" s="3245">
        <f>1017-CJ16</f>
        <v>932</v>
      </c>
      <c r="CK10" s="3245">
        <v>932</v>
      </c>
      <c r="CL10" s="3245">
        <v>932</v>
      </c>
      <c r="CM10" s="3245">
        <v>930</v>
      </c>
      <c r="CN10" s="3245">
        <f>CM10+CN11</f>
        <v>929</v>
      </c>
      <c r="CO10" s="3245">
        <f t="shared" si="193"/>
        <v>929</v>
      </c>
      <c r="CP10" s="3245">
        <f t="shared" si="193"/>
        <v>928</v>
      </c>
      <c r="CQ10" s="3245">
        <f t="shared" si="193"/>
        <v>928</v>
      </c>
      <c r="CR10" s="3244">
        <f t="shared" si="193"/>
        <v>927</v>
      </c>
      <c r="CS10" s="3244">
        <f t="shared" si="193"/>
        <v>927</v>
      </c>
      <c r="CT10" s="3244">
        <f t="shared" si="193"/>
        <v>927</v>
      </c>
      <c r="CU10" s="3244">
        <f t="shared" si="193"/>
        <v>927</v>
      </c>
      <c r="CV10" s="3244">
        <f t="shared" si="193"/>
        <v>927</v>
      </c>
      <c r="CW10" s="3244">
        <f t="shared" si="193"/>
        <v>927</v>
      </c>
      <c r="CX10" s="3244">
        <f t="shared" si="193"/>
        <v>927</v>
      </c>
      <c r="CY10" s="3244">
        <f t="shared" si="193"/>
        <v>927</v>
      </c>
      <c r="CZ10" s="3244">
        <f t="shared" si="193"/>
        <v>927</v>
      </c>
      <c r="DA10" s="3244">
        <f t="shared" si="193"/>
        <v>927</v>
      </c>
      <c r="DB10" s="3244">
        <f t="shared" si="193"/>
        <v>927</v>
      </c>
      <c r="DC10" s="3244">
        <f t="shared" si="193"/>
        <v>927</v>
      </c>
      <c r="DD10" s="3244">
        <f t="shared" si="193"/>
        <v>927</v>
      </c>
      <c r="DE10" s="3244">
        <f t="shared" si="193"/>
        <v>927</v>
      </c>
      <c r="DF10" s="3244">
        <f t="shared" si="193"/>
        <v>927</v>
      </c>
      <c r="DG10" s="3244">
        <f t="shared" si="193"/>
        <v>927</v>
      </c>
      <c r="DH10" s="3244">
        <f t="shared" si="193"/>
        <v>927</v>
      </c>
      <c r="DI10" s="3244">
        <f t="shared" si="193"/>
        <v>927</v>
      </c>
      <c r="DJ10" s="3244">
        <f t="shared" si="193"/>
        <v>927</v>
      </c>
      <c r="DK10" s="3244">
        <f t="shared" si="193"/>
        <v>927</v>
      </c>
      <c r="DL10" s="3244">
        <f t="shared" si="193"/>
        <v>927</v>
      </c>
      <c r="DM10" s="3244">
        <f t="shared" si="193"/>
        <v>927</v>
      </c>
      <c r="DN10" s="3244">
        <f t="shared" si="193"/>
        <v>927</v>
      </c>
      <c r="DO10" s="3244">
        <f t="shared" si="193"/>
        <v>927</v>
      </c>
      <c r="DP10" s="3244">
        <f t="shared" si="193"/>
        <v>927</v>
      </c>
      <c r="DQ10" s="3244">
        <f t="shared" si="193"/>
        <v>927</v>
      </c>
      <c r="DR10" s="3244">
        <f t="shared" si="193"/>
        <v>927</v>
      </c>
      <c r="DS10" s="3244">
        <f t="shared" ref="DS10" si="194">DR10+DS11</f>
        <v>927</v>
      </c>
      <c r="DT10" s="3244">
        <f t="shared" ref="DT10" si="195">DS10+DT11</f>
        <v>927</v>
      </c>
      <c r="DU10" s="3244">
        <f t="shared" ref="DU10" si="196">DT10+DU11</f>
        <v>927</v>
      </c>
      <c r="DV10" s="3244">
        <f t="shared" ref="DV10" si="197">DU10+DV11</f>
        <v>927</v>
      </c>
      <c r="DW10" s="3244">
        <f t="shared" ref="DW10" si="198">DV10+DW11</f>
        <v>927</v>
      </c>
      <c r="DX10" s="3244">
        <f t="shared" ref="DX10" si="199">DW10+DX11</f>
        <v>927</v>
      </c>
      <c r="DY10" s="3244">
        <f t="shared" ref="DY10" si="200">DX10+DY11</f>
        <v>927</v>
      </c>
      <c r="DZ10" s="3244">
        <f t="shared" ref="DZ10" si="201">DY10+DZ11</f>
        <v>927</v>
      </c>
      <c r="EA10" s="3244">
        <f t="shared" ref="EA10" si="202">DZ10+EA11</f>
        <v>927</v>
      </c>
      <c r="EB10" s="3244">
        <f t="shared" ref="EB10" si="203">EA10+EB11</f>
        <v>927</v>
      </c>
      <c r="EC10" s="3244">
        <f t="shared" ref="EC10" si="204">EB10+EC11</f>
        <v>927</v>
      </c>
      <c r="ED10" s="3244">
        <f t="shared" ref="ED10" si="205">EC10+ED11</f>
        <v>927</v>
      </c>
      <c r="EE10" s="3244">
        <f t="shared" ref="EE10" si="206">ED10+EE11</f>
        <v>927</v>
      </c>
      <c r="EF10" s="3244">
        <f t="shared" ref="EF10" si="207">EE10+EF11</f>
        <v>927</v>
      </c>
      <c r="EG10" s="3244">
        <f t="shared" ref="EG10" si="208">EF10+EG11</f>
        <v>927</v>
      </c>
      <c r="EH10" s="3244">
        <f t="shared" ref="EH10" si="209">EG10+EH11</f>
        <v>927</v>
      </c>
      <c r="EI10" s="3244">
        <f t="shared" ref="EI10" si="210">EH10+EI11</f>
        <v>927</v>
      </c>
      <c r="EJ10" s="3244">
        <f t="shared" ref="EJ10" si="211">EI10+EJ11</f>
        <v>927</v>
      </c>
      <c r="EK10" s="3244">
        <f t="shared" ref="EK10" si="212">EJ10+EK11</f>
        <v>927</v>
      </c>
      <c r="EL10" s="3244">
        <f t="shared" ref="EL10" si="213">EK10+EL11</f>
        <v>927</v>
      </c>
      <c r="EM10" s="3244">
        <f t="shared" ref="EM10" si="214">EL10+EM11</f>
        <v>927</v>
      </c>
      <c r="EN10" s="3244">
        <f t="shared" ref="EN10" si="215">EM10+EN11</f>
        <v>927</v>
      </c>
      <c r="EO10" s="3244">
        <f t="shared" ref="EO10" si="216">EN10+EO11</f>
        <v>927</v>
      </c>
      <c r="EP10" s="3244">
        <f t="shared" ref="EP10" si="217">EO10+EP11</f>
        <v>927</v>
      </c>
      <c r="EQ10" s="3244">
        <f t="shared" ref="EQ10" si="218">EP10+EQ11</f>
        <v>927</v>
      </c>
      <c r="ER10" s="3244">
        <f t="shared" ref="ER10" si="219">EQ10+ER11</f>
        <v>927</v>
      </c>
      <c r="ES10" s="3244">
        <f t="shared" ref="ES10" si="220">ER10+ES11</f>
        <v>927</v>
      </c>
      <c r="ET10" s="3244">
        <f t="shared" ref="ET10" si="221">ES10+ET11</f>
        <v>927</v>
      </c>
      <c r="EU10" s="3244">
        <f t="shared" ref="EU10" si="222">ET10+EU11</f>
        <v>927</v>
      </c>
      <c r="EV10" s="3244">
        <f t="shared" ref="EV10" si="223">EU10+EV11</f>
        <v>927</v>
      </c>
      <c r="EW10" s="3244">
        <f t="shared" ref="EW10" si="224">EV10+EW11</f>
        <v>927</v>
      </c>
      <c r="EX10" s="3244">
        <f t="shared" ref="EX10" si="225">EW10+EX11</f>
        <v>927</v>
      </c>
      <c r="EY10" s="3244">
        <f t="shared" ref="EY10" si="226">EX10+EY11</f>
        <v>927</v>
      </c>
      <c r="EZ10" s="3244">
        <f t="shared" ref="EZ10" si="227">EY10+EZ11</f>
        <v>927</v>
      </c>
      <c r="FA10" s="3244">
        <f t="shared" ref="FA10" si="228">EZ10+FA11</f>
        <v>927</v>
      </c>
      <c r="FB10" s="3244">
        <f t="shared" ref="FB10" si="229">FA10+FB11</f>
        <v>927</v>
      </c>
      <c r="FC10" s="3244">
        <f t="shared" ref="FC10" si="230">FB10+FC11</f>
        <v>927</v>
      </c>
      <c r="FD10" s="3244">
        <f t="shared" ref="FD10" si="231">FC10+FD11</f>
        <v>927</v>
      </c>
      <c r="FE10" s="3244">
        <f t="shared" ref="FE10" si="232">FD10+FE11</f>
        <v>927</v>
      </c>
      <c r="FF10" s="3244">
        <f t="shared" ref="FF10" si="233">FE10+FF11</f>
        <v>927</v>
      </c>
      <c r="FG10" s="3244">
        <f t="shared" ref="FG10" si="234">FF10+FG11</f>
        <v>927</v>
      </c>
      <c r="FH10" s="3244">
        <f t="shared" ref="FH10" si="235">FG10+FH11</f>
        <v>927</v>
      </c>
      <c r="FI10" s="3244">
        <f t="shared" ref="FI10" si="236">FH10+FI11</f>
        <v>927</v>
      </c>
      <c r="FJ10" s="3244">
        <f t="shared" ref="FJ10" si="237">FI10+FJ11</f>
        <v>927</v>
      </c>
      <c r="FK10" s="3244">
        <f t="shared" ref="FK10" si="238">FJ10+FK11</f>
        <v>927</v>
      </c>
      <c r="FL10" s="3244">
        <f t="shared" ref="FL10" si="239">FK10+FL11</f>
        <v>927</v>
      </c>
      <c r="FM10" s="3244">
        <f t="shared" ref="FM10" si="240">FL10+FM11</f>
        <v>927</v>
      </c>
      <c r="FN10" s="3244">
        <f t="shared" ref="FN10" si="241">FM10+FN11</f>
        <v>927</v>
      </c>
      <c r="FO10" s="3244">
        <f t="shared" ref="FO10" si="242">FN10+FO11</f>
        <v>927</v>
      </c>
      <c r="FP10" s="3244">
        <f t="shared" ref="FP10" si="243">FO10+FP11</f>
        <v>927</v>
      </c>
      <c r="FQ10" s="3244">
        <f t="shared" ref="FQ10" si="244">FP10+FQ11</f>
        <v>927</v>
      </c>
      <c r="FR10" s="3244">
        <f t="shared" ref="FR10" si="245">FQ10+FR11</f>
        <v>927</v>
      </c>
      <c r="FS10" s="3244">
        <f t="shared" ref="FS10" si="246">FR10+FS11</f>
        <v>927</v>
      </c>
      <c r="FT10" s="3244">
        <f t="shared" ref="FT10" si="247">FS10+FT11</f>
        <v>927</v>
      </c>
      <c r="FU10" s="3244">
        <f t="shared" ref="FU10" si="248">FT10+FU11</f>
        <v>927</v>
      </c>
      <c r="FV10" s="3244">
        <f t="shared" ref="FV10" si="249">FU10+FV11</f>
        <v>927</v>
      </c>
      <c r="FW10" s="3244">
        <f t="shared" ref="FW10" si="250">FV10+FW11</f>
        <v>927</v>
      </c>
      <c r="FX10" s="3244">
        <f t="shared" ref="FX10" si="251">FW10+FX11</f>
        <v>927</v>
      </c>
      <c r="FY10" s="3244">
        <f t="shared" ref="FY10" si="252">FX10+FY11</f>
        <v>927</v>
      </c>
    </row>
    <row r="11" spans="1:217" s="2567" customFormat="1" hidden="1" outlineLevel="1">
      <c r="A11" s="3247" t="s">
        <v>34</v>
      </c>
      <c r="B11" s="3247"/>
      <c r="C11" s="3247">
        <f>C10-B10</f>
        <v>0</v>
      </c>
      <c r="D11" s="3247"/>
      <c r="E11" s="3247"/>
      <c r="F11" s="3247"/>
      <c r="G11" s="3247"/>
      <c r="H11" s="3247"/>
      <c r="I11" s="3247"/>
      <c r="J11" s="3247"/>
      <c r="K11" s="3247"/>
      <c r="L11" s="3247"/>
      <c r="M11" s="3247"/>
      <c r="N11" s="3247"/>
      <c r="O11" s="3247"/>
      <c r="P11" s="3247"/>
      <c r="Q11" s="3247"/>
      <c r="R11" s="3247"/>
      <c r="S11" s="3247"/>
      <c r="T11" s="3247"/>
      <c r="U11" s="3247"/>
      <c r="V11" s="3247"/>
      <c r="W11" s="3247"/>
      <c r="X11" s="3247"/>
      <c r="Y11" s="3247"/>
      <c r="Z11" s="3247"/>
      <c r="AA11" s="3247"/>
      <c r="AB11" s="3247"/>
      <c r="AC11" s="3247"/>
      <c r="AD11" s="3247"/>
      <c r="AE11" s="3247"/>
      <c r="AF11" s="3247"/>
      <c r="AG11" s="3247"/>
      <c r="AH11" s="3247"/>
      <c r="AI11" s="3247"/>
      <c r="AJ11" s="3247"/>
      <c r="AK11" s="3247"/>
      <c r="AL11" s="3247"/>
      <c r="AM11" s="3247"/>
      <c r="AN11" s="3247"/>
      <c r="AO11" s="3247"/>
      <c r="AP11" s="3247"/>
      <c r="AQ11" s="3247"/>
      <c r="AR11" s="3247"/>
      <c r="AS11" s="3247"/>
      <c r="AT11" s="3247"/>
      <c r="AU11" s="3247"/>
      <c r="AV11" s="3247"/>
      <c r="AW11" s="3247"/>
      <c r="AX11" s="3247"/>
      <c r="AY11" s="3247">
        <f t="shared" ref="AY11:BF11" si="253">AY10-AX10</f>
        <v>9</v>
      </c>
      <c r="AZ11" s="3247">
        <f t="shared" si="253"/>
        <v>0</v>
      </c>
      <c r="BA11" s="3247">
        <f t="shared" si="253"/>
        <v>0</v>
      </c>
      <c r="BB11" s="3247">
        <f t="shared" si="253"/>
        <v>32</v>
      </c>
      <c r="BC11" s="3247">
        <f t="shared" si="253"/>
        <v>0</v>
      </c>
      <c r="BD11" s="3247">
        <f t="shared" si="253"/>
        <v>3</v>
      </c>
      <c r="BE11" s="3247">
        <f t="shared" si="253"/>
        <v>12</v>
      </c>
      <c r="BF11" s="3247">
        <f t="shared" si="253"/>
        <v>13</v>
      </c>
      <c r="BG11" s="3247"/>
      <c r="BH11" s="3247"/>
      <c r="BI11" s="3247"/>
      <c r="BJ11" s="3245">
        <f t="shared" ref="BJ11:BR11" si="254">BJ10-BI10</f>
        <v>-1</v>
      </c>
      <c r="BK11" s="3245">
        <f>BK10-BJ10</f>
        <v>0</v>
      </c>
      <c r="BL11" s="3245">
        <f t="shared" si="254"/>
        <v>-1</v>
      </c>
      <c r="BM11" s="3245">
        <f t="shared" si="254"/>
        <v>0</v>
      </c>
      <c r="BN11" s="3245">
        <f t="shared" si="254"/>
        <v>-3</v>
      </c>
      <c r="BO11" s="3245">
        <v>-5</v>
      </c>
      <c r="BP11" s="3245">
        <f t="shared" si="254"/>
        <v>0</v>
      </c>
      <c r="BQ11" s="3245">
        <f t="shared" si="254"/>
        <v>-9</v>
      </c>
      <c r="BR11" s="3245">
        <f t="shared" si="254"/>
        <v>-5</v>
      </c>
      <c r="BS11" s="3245">
        <f>1158-BR10-99</f>
        <v>-7</v>
      </c>
      <c r="BT11" s="3245">
        <f>BT10-BS10</f>
        <v>-58</v>
      </c>
      <c r="BU11" s="3245"/>
      <c r="BV11" s="3245">
        <v>0</v>
      </c>
      <c r="BW11" s="3245">
        <f>BV11</f>
        <v>0</v>
      </c>
      <c r="BX11" s="3245">
        <f t="shared" ref="BX11:CF11" si="255">BW11</f>
        <v>0</v>
      </c>
      <c r="BY11" s="3245">
        <v>0</v>
      </c>
      <c r="BZ11" s="3245">
        <v>-1</v>
      </c>
      <c r="CA11" s="3245">
        <f>1046-1070</f>
        <v>-24</v>
      </c>
      <c r="CB11" s="3245">
        <f>1028-CA10-CB16</f>
        <v>-10</v>
      </c>
      <c r="CC11" s="3245">
        <f>1023-CB10-CC16</f>
        <v>-2</v>
      </c>
      <c r="CD11" s="3245">
        <v>0</v>
      </c>
      <c r="CE11" s="3245">
        <f t="shared" si="255"/>
        <v>0</v>
      </c>
      <c r="CF11" s="3245">
        <f t="shared" si="255"/>
        <v>0</v>
      </c>
      <c r="CG11" s="3245">
        <v>-1</v>
      </c>
      <c r="CH11" s="3245"/>
      <c r="CI11" s="3245"/>
      <c r="CJ11" s="3245"/>
      <c r="CK11" s="3245"/>
      <c r="CL11" s="3245"/>
      <c r="CM11" s="3245">
        <v>-2</v>
      </c>
      <c r="CN11" s="3245">
        <v>-1</v>
      </c>
      <c r="CO11" s="3245">
        <f>1014-CN10-CN16</f>
        <v>0</v>
      </c>
      <c r="CP11" s="3245">
        <v>-1</v>
      </c>
      <c r="CQ11" s="3245"/>
      <c r="CR11" s="3247">
        <v>-1</v>
      </c>
      <c r="CS11" s="3247"/>
      <c r="CT11" s="3247"/>
      <c r="CU11" s="3247"/>
      <c r="CV11" s="3247"/>
      <c r="CW11" s="3247"/>
      <c r="CX11" s="3247"/>
      <c r="CY11" s="3247"/>
      <c r="CZ11" s="3247"/>
      <c r="DA11" s="3247"/>
      <c r="DB11" s="3247"/>
      <c r="DC11" s="3247"/>
      <c r="DD11" s="3247"/>
      <c r="DE11" s="3247"/>
      <c r="DF11" s="3247"/>
      <c r="DG11" s="3247"/>
      <c r="DH11" s="3247"/>
      <c r="DI11" s="3247"/>
      <c r="DJ11" s="3247"/>
      <c r="DK11" s="3247"/>
      <c r="DL11" s="3247"/>
      <c r="DM11" s="3247"/>
      <c r="DN11" s="3247"/>
      <c r="DO11" s="3247"/>
      <c r="DP11" s="3247"/>
      <c r="DQ11" s="3247"/>
      <c r="DR11" s="3247"/>
      <c r="DS11" s="3247"/>
      <c r="DT11" s="3247"/>
      <c r="DU11" s="3247"/>
      <c r="DV11" s="3247"/>
      <c r="DW11" s="3247"/>
      <c r="DX11" s="3247"/>
      <c r="DY11" s="3247"/>
      <c r="DZ11" s="3247"/>
      <c r="EA11" s="3247"/>
      <c r="EB11" s="3247"/>
      <c r="EC11" s="3247"/>
      <c r="ED11" s="3247"/>
      <c r="EE11" s="3247"/>
      <c r="EF11" s="3247"/>
      <c r="EG11" s="3247"/>
      <c r="EH11" s="3247"/>
      <c r="EI11" s="3247"/>
      <c r="EJ11" s="3247"/>
      <c r="EK11" s="3247"/>
      <c r="EL11" s="3247"/>
      <c r="EM11" s="3247"/>
      <c r="EN11" s="3247"/>
      <c r="EO11" s="3247"/>
      <c r="EP11" s="3247"/>
      <c r="EQ11" s="3247"/>
      <c r="ER11" s="3247"/>
      <c r="ES11" s="3247"/>
      <c r="ET11" s="3247"/>
      <c r="EU11" s="3247"/>
      <c r="EV11" s="3247"/>
      <c r="EW11" s="3247"/>
      <c r="EX11" s="3247"/>
      <c r="EY11" s="3247"/>
      <c r="EZ11" s="3247"/>
      <c r="FA11" s="3247"/>
      <c r="FB11" s="3247"/>
      <c r="FC11" s="3247"/>
      <c r="FD11" s="3247"/>
      <c r="FE11" s="3247"/>
      <c r="FF11" s="3247"/>
      <c r="FG11" s="3247"/>
      <c r="FH11" s="3247"/>
      <c r="FI11" s="3247"/>
      <c r="FJ11" s="3247"/>
      <c r="FK11" s="3247"/>
      <c r="FL11" s="3247"/>
      <c r="FM11" s="3247"/>
      <c r="FN11" s="3247"/>
      <c r="FO11" s="3247"/>
      <c r="FP11" s="3247"/>
      <c r="FQ11" s="3247"/>
      <c r="FR11" s="3247"/>
      <c r="FS11" s="3247"/>
      <c r="FT11" s="3247"/>
      <c r="FU11" s="3247"/>
      <c r="FV11" s="3247"/>
      <c r="FW11" s="3247"/>
      <c r="FX11" s="3247"/>
      <c r="FY11" s="3247"/>
    </row>
    <row r="12" spans="1:217" s="3252" customFormat="1" collapsed="1">
      <c r="A12" s="3248" t="s">
        <v>35</v>
      </c>
      <c r="B12" s="3249">
        <f>B7/B10</f>
        <v>3.2586367880485527</v>
      </c>
      <c r="C12" s="3249">
        <f>C7/AVERAGE(B10:C10)</f>
        <v>2.950513538748833</v>
      </c>
      <c r="D12" s="3249">
        <f t="shared" ref="D12:BD12" si="256">D7/AVERAGE(C10:D10)</f>
        <v>2.7114845938375352</v>
      </c>
      <c r="E12" s="3249">
        <f t="shared" si="256"/>
        <v>2.6994382022471912</v>
      </c>
      <c r="F12" s="3249">
        <f t="shared" si="256"/>
        <v>2.667920978363123</v>
      </c>
      <c r="G12" s="3249">
        <f t="shared" si="256"/>
        <v>2.6106654082114207</v>
      </c>
      <c r="H12" s="3249">
        <f t="shared" si="256"/>
        <v>2.6628625772705661</v>
      </c>
      <c r="I12" s="3249">
        <f t="shared" si="256"/>
        <v>2.867146282973621</v>
      </c>
      <c r="J12" s="3249">
        <f t="shared" si="256"/>
        <v>2.6766121270452357</v>
      </c>
      <c r="K12" s="3249">
        <f t="shared" si="256"/>
        <v>2.6753371868978806</v>
      </c>
      <c r="L12" s="3249">
        <f t="shared" si="256"/>
        <v>2.5995180722891567</v>
      </c>
      <c r="M12" s="3249">
        <f t="shared" si="256"/>
        <v>2.439358144030936</v>
      </c>
      <c r="N12" s="3249">
        <f>N7/AVERAGE(M10:N10)</f>
        <v>3.1198447355652594</v>
      </c>
      <c r="O12" s="3249">
        <f t="shared" si="256"/>
        <v>2.6118677042801557</v>
      </c>
      <c r="P12" s="3249">
        <f t="shared" si="256"/>
        <v>2.8595131707317076</v>
      </c>
      <c r="Q12" s="3249">
        <f t="shared" si="256"/>
        <v>3.0447152641878659</v>
      </c>
      <c r="R12" s="3249">
        <f t="shared" si="256"/>
        <v>2.4293503434739958</v>
      </c>
      <c r="S12" s="3249">
        <f t="shared" si="256"/>
        <v>2.8191420118343182</v>
      </c>
      <c r="T12" s="3249">
        <f t="shared" si="256"/>
        <v>2.866317302925137</v>
      </c>
      <c r="U12" s="3249">
        <f t="shared" si="256"/>
        <v>2.7572293120638087</v>
      </c>
      <c r="V12" s="3249">
        <f t="shared" si="256"/>
        <v>2.6290789999999977</v>
      </c>
      <c r="W12" s="3249">
        <f t="shared" si="256"/>
        <v>2.5179210000000021</v>
      </c>
      <c r="X12" s="3249">
        <f t="shared" si="256"/>
        <v>2.593625498007968</v>
      </c>
      <c r="Y12" s="3249">
        <f t="shared" si="256"/>
        <v>2.5175149700598833</v>
      </c>
      <c r="Z12" s="3249">
        <f t="shared" si="256"/>
        <v>3.5974937841869719</v>
      </c>
      <c r="AA12" s="3249">
        <f t="shared" si="256"/>
        <v>2.2645596059113307</v>
      </c>
      <c r="AB12" s="3249">
        <f t="shared" si="256"/>
        <v>2.4207480237154138</v>
      </c>
      <c r="AC12" s="3249">
        <f t="shared" si="256"/>
        <v>1.8127564612326041</v>
      </c>
      <c r="AD12" s="3249">
        <f t="shared" si="256"/>
        <v>2.1576031984008002</v>
      </c>
      <c r="AE12" s="3249">
        <f t="shared" si="256"/>
        <v>2.1515693245302194</v>
      </c>
      <c r="AF12" s="3249">
        <f t="shared" si="256"/>
        <v>2.6592462570986077</v>
      </c>
      <c r="AG12" s="3249">
        <f t="shared" si="256"/>
        <v>2.6055336787564767</v>
      </c>
      <c r="AH12" s="3249">
        <f t="shared" si="256"/>
        <v>2.5016407061266857</v>
      </c>
      <c r="AI12" s="3249">
        <f t="shared" si="256"/>
        <v>2.6625172774869128</v>
      </c>
      <c r="AJ12" s="3249">
        <f t="shared" si="256"/>
        <v>2.6612908027644866</v>
      </c>
      <c r="AK12" s="3249">
        <f>AK7/AVERAGE(AJ10:AK10)</f>
        <v>2.7235362946912249</v>
      </c>
      <c r="AL12" s="3249">
        <f t="shared" si="256"/>
        <v>3.1551235584843496</v>
      </c>
      <c r="AM12" s="3249">
        <f t="shared" si="256"/>
        <v>3.0552863436123352</v>
      </c>
      <c r="AN12" s="3249">
        <f t="shared" si="256"/>
        <v>2.8780363236103468</v>
      </c>
      <c r="AO12" s="3249">
        <f t="shared" si="256"/>
        <v>2.815170305676856</v>
      </c>
      <c r="AP12" s="3249">
        <f t="shared" si="256"/>
        <v>2.7370897297297305</v>
      </c>
      <c r="AQ12" s="3249">
        <f t="shared" si="256"/>
        <v>2.4150402576489518</v>
      </c>
      <c r="AR12" s="3249">
        <f t="shared" si="256"/>
        <v>1.6794737400530488</v>
      </c>
      <c r="AS12" s="3249">
        <f t="shared" si="256"/>
        <v>1.1429726027397304</v>
      </c>
      <c r="AT12" s="3249">
        <f t="shared" si="256"/>
        <v>2.3172037914691916</v>
      </c>
      <c r="AU12" s="3249">
        <f t="shared" si="256"/>
        <v>2.4836604443886121</v>
      </c>
      <c r="AV12" s="3249">
        <f t="shared" si="256"/>
        <v>5.4306332249313378</v>
      </c>
      <c r="AW12" s="3249">
        <f t="shared" si="256"/>
        <v>3.6250934710743792</v>
      </c>
      <c r="AX12" s="3249">
        <f>AX7/2/AVERAGE(AW10:AX10)</f>
        <v>3.4304876670092499</v>
      </c>
      <c r="AY12" s="3249">
        <f>AY7/AVERAGE(AX10:AY10)</f>
        <v>2.9868842427332996</v>
      </c>
      <c r="AZ12" s="3249">
        <f t="shared" si="256"/>
        <v>3.2010964467005074</v>
      </c>
      <c r="BA12" s="3249">
        <f t="shared" si="256"/>
        <v>0</v>
      </c>
      <c r="BB12" s="3249">
        <f t="shared" si="256"/>
        <v>0</v>
      </c>
      <c r="BC12" s="3249">
        <f>BC7/2/AVERAGE(BB10:BC10)</f>
        <v>2.5774587020648965</v>
      </c>
      <c r="BD12" s="3249">
        <f t="shared" si="256"/>
        <v>2.2974963181148746</v>
      </c>
      <c r="BE12" s="3249">
        <f>BE7/AVERAGE(BD10:BE10)</f>
        <v>2.7892397660818715</v>
      </c>
      <c r="BF12" s="3249">
        <f ca="1">BF7/AVERAGE(BE10:BF10)</f>
        <v>2.2415184141449842</v>
      </c>
      <c r="BG12" s="3249">
        <f ca="1">BG7/AVERAGE(BF10:BG10)</f>
        <v>2.7687943262411339</v>
      </c>
      <c r="BH12" s="3250">
        <f ca="1">BH7/AVERAGE(BG10:BH10)</f>
        <v>1.6687529191966359</v>
      </c>
      <c r="BI12" s="3250">
        <f ca="1">BI7/AVERAGE(BH10:BI10)</f>
        <v>1.7011258061545635</v>
      </c>
      <c r="BJ12" s="3251">
        <v>1.9344563945883804</v>
      </c>
      <c r="BK12" s="3251">
        <v>1.9353445747511848</v>
      </c>
      <c r="BL12" s="3251">
        <v>1.3703394394201551</v>
      </c>
      <c r="BM12" s="3251">
        <f ca="1">BM7/AVERAGE(BL10:BM10)</f>
        <v>1.7218078380420223</v>
      </c>
      <c r="BN12" s="3251">
        <f ca="1">BN7/AVERAGE(BM10:BN10)</f>
        <v>1.7534716316518397</v>
      </c>
      <c r="BO12" s="3251">
        <f ca="1">BO7/AVERAGE(BN10:BO10)</f>
        <v>1.7933181780967418</v>
      </c>
      <c r="BP12" s="3251">
        <f ca="1">BO12</f>
        <v>1.7933181780967418</v>
      </c>
      <c r="BQ12" s="3251">
        <f t="shared" ref="BQ12:BZ12" ca="1" si="257">BQ7/AVERAGE(BP10:BQ10)</f>
        <v>1.8980259672614799</v>
      </c>
      <c r="BR12" s="3251">
        <f t="shared" ca="1" si="257"/>
        <v>2.1726860631837392</v>
      </c>
      <c r="BS12" s="3251">
        <f t="shared" ca="1" si="257"/>
        <v>2.6134343529411761</v>
      </c>
      <c r="BT12" s="3251">
        <f t="shared" ca="1" si="257"/>
        <v>1.8807447470728123</v>
      </c>
      <c r="BU12" s="3251">
        <f t="shared" ca="1" si="257"/>
        <v>1.8157090909090916</v>
      </c>
      <c r="BV12" s="3251">
        <f t="shared" ca="1" si="257"/>
        <v>1.9990224688287686</v>
      </c>
      <c r="BW12" s="3251">
        <f t="shared" ca="1" si="257"/>
        <v>2.0000444639559816</v>
      </c>
      <c r="BX12" s="3251">
        <f t="shared" ca="1" si="257"/>
        <v>1.9496800527810279</v>
      </c>
      <c r="BY12" s="3251">
        <f t="shared" si="257"/>
        <v>1.8153567607380832</v>
      </c>
      <c r="BZ12" s="3251">
        <f t="shared" ca="1" si="257"/>
        <v>1.9214231718347032</v>
      </c>
      <c r="CA12" s="3251">
        <f ca="1">CA7/AVERAGE(BZ10:CA10)</f>
        <v>2.1539829230573937</v>
      </c>
      <c r="CB12" s="3251">
        <f t="shared" ref="CB12:CC12" ca="1" si="258">CB7/AVERAGE(CA10:CB10)</f>
        <v>2.296638332805816</v>
      </c>
      <c r="CC12" s="3251">
        <f t="shared" ca="1" si="258"/>
        <v>2.5268304714505381</v>
      </c>
      <c r="CD12" s="3251">
        <f ca="1">CD7/AVERAGE(CC10:CD10)</f>
        <v>2.9022602366606423</v>
      </c>
      <c r="CE12" s="3251">
        <f ca="1">CE7/AVERAGE(CD10:CE10)</f>
        <v>2.9104408774745889</v>
      </c>
      <c r="CF12" s="3251">
        <f t="shared" ref="CF12:CG12" ca="1" si="259">CF7/AVERAGE(CE10:CF10)</f>
        <v>2.5011041579436091</v>
      </c>
      <c r="CG12" s="3251">
        <f t="shared" ca="1" si="259"/>
        <v>3.4022649100391673</v>
      </c>
      <c r="CH12" s="3251">
        <f t="shared" ref="CH12:DA12" ca="1" si="260">BV12*(1+CH13)</f>
        <v>2.4987780860359607</v>
      </c>
      <c r="CI12" s="3251">
        <f ca="1">CI7/AVERAGE(CH10:CI10)</f>
        <v>2.8766869801284267</v>
      </c>
      <c r="CJ12" s="3251">
        <f ca="1">CJ7/AVERAGE(CI10:CJ10)</f>
        <v>2.556213752057388</v>
      </c>
      <c r="CK12" s="3251">
        <f t="shared" ref="CK12:CR12" si="261">CK7/AVERAGE(CJ10:CK10)</f>
        <v>2.5051923298185548</v>
      </c>
      <c r="CL12" s="3251">
        <f t="shared" si="261"/>
        <v>2.5939212819768493</v>
      </c>
      <c r="CM12" s="3251">
        <f t="shared" si="261"/>
        <v>2.6680699321909631</v>
      </c>
      <c r="CN12" s="3251">
        <f t="shared" ca="1" si="261"/>
        <v>3.0673998596757395</v>
      </c>
      <c r="CO12" s="3251">
        <f t="shared" ca="1" si="261"/>
        <v>2.8278160922550519</v>
      </c>
      <c r="CP12" s="3251">
        <f t="shared" ca="1" si="261"/>
        <v>3.4941929452934244</v>
      </c>
      <c r="CQ12" s="3251">
        <f t="shared" ca="1" si="261"/>
        <v>4.2651998922413741</v>
      </c>
      <c r="CR12" s="3250">
        <f t="shared" ca="1" si="261"/>
        <v>3.5175462087000819</v>
      </c>
      <c r="CS12" s="3250">
        <f t="shared" ca="1" si="260"/>
        <v>4.2528311375489594</v>
      </c>
      <c r="CT12" s="3250">
        <f t="shared" ca="1" si="260"/>
        <v>2.748655894639557</v>
      </c>
      <c r="CU12" s="3250">
        <f t="shared" ca="1" si="260"/>
        <v>3.1643556781412698</v>
      </c>
      <c r="CV12" s="3250">
        <f t="shared" ca="1" si="260"/>
        <v>2.811835127263127</v>
      </c>
      <c r="CW12" s="3250">
        <f t="shared" si="260"/>
        <v>2.7557115628004105</v>
      </c>
      <c r="CX12" s="3250">
        <f t="shared" si="260"/>
        <v>2.8533134101745343</v>
      </c>
      <c r="CY12" s="3250">
        <f t="shared" si="260"/>
        <v>2.9348769254100597</v>
      </c>
      <c r="CZ12" s="3250">
        <f t="shared" ca="1" si="260"/>
        <v>3.3741398456433136</v>
      </c>
      <c r="DA12" s="3250">
        <f t="shared" ca="1" si="260"/>
        <v>3.1105977014805575</v>
      </c>
      <c r="DB12" s="3250">
        <f t="shared" ref="DB12:DR12" ca="1" si="262">CP12*(1+DB13)</f>
        <v>3.8436122398227672</v>
      </c>
      <c r="DC12" s="3250">
        <f t="shared" ca="1" si="262"/>
        <v>4.6917198814655121</v>
      </c>
      <c r="DD12" s="3250">
        <f t="shared" ca="1" si="262"/>
        <v>3.8693008295700904</v>
      </c>
      <c r="DE12" s="3250">
        <f t="shared" ca="1" si="262"/>
        <v>4.6781142513038558</v>
      </c>
      <c r="DF12" s="3250">
        <f t="shared" ca="1" si="262"/>
        <v>3.023521484103513</v>
      </c>
      <c r="DG12" s="3250">
        <f t="shared" ca="1" si="262"/>
        <v>3.4807912459553969</v>
      </c>
      <c r="DH12" s="3250">
        <f t="shared" ca="1" si="262"/>
        <v>3.0930186399894399</v>
      </c>
      <c r="DI12" s="3250">
        <f t="shared" si="262"/>
        <v>3.0312827190804517</v>
      </c>
      <c r="DJ12" s="3250">
        <f t="shared" si="262"/>
        <v>3.1386447511919879</v>
      </c>
      <c r="DK12" s="3250">
        <f t="shared" si="262"/>
        <v>3.2283646179510659</v>
      </c>
      <c r="DL12" s="3250">
        <f t="shared" ca="1" si="262"/>
        <v>3.7115538302076452</v>
      </c>
      <c r="DM12" s="3250">
        <f t="shared" ca="1" si="262"/>
        <v>3.4216574716286137</v>
      </c>
      <c r="DN12" s="3250">
        <f t="shared" ca="1" si="262"/>
        <v>4.2279734638050446</v>
      </c>
      <c r="DO12" s="3250">
        <f t="shared" ca="1" si="262"/>
        <v>5.1608918696120636</v>
      </c>
      <c r="DP12" s="3250">
        <f t="shared" ca="1" si="262"/>
        <v>4.2562309125270996</v>
      </c>
      <c r="DQ12" s="3250">
        <f t="shared" ca="1" si="262"/>
        <v>5.145925676434242</v>
      </c>
      <c r="DR12" s="3250">
        <f t="shared" ca="1" si="262"/>
        <v>3.3258736325138645</v>
      </c>
      <c r="DS12" s="3250">
        <f t="shared" ref="DS12" ca="1" si="263">DG12*(1+DS13)</f>
        <v>3.8288703705509368</v>
      </c>
      <c r="DT12" s="3250">
        <f t="shared" ref="DT12" ca="1" si="264">DH12*(1+DT13)</f>
        <v>3.4023205039883844</v>
      </c>
      <c r="DU12" s="3250">
        <f t="shared" ref="DU12" si="265">DI12*(1+DU13)</f>
        <v>3.3344109909884971</v>
      </c>
      <c r="DV12" s="3250">
        <f t="shared" ref="DV12" si="266">DJ12*(1+DV13)</f>
        <v>3.4525092263111872</v>
      </c>
      <c r="DW12" s="3250">
        <f t="shared" ref="DW12" si="267">DK12*(1+DW13)</f>
        <v>3.5512010797461726</v>
      </c>
      <c r="DX12" s="3250">
        <f t="shared" ref="DX12" ca="1" si="268">DL12*(1+DX13)</f>
        <v>4.0827092132284104</v>
      </c>
      <c r="DY12" s="3250">
        <f t="shared" ref="DY12" ca="1" si="269">DM12*(1+DY13)</f>
        <v>3.7638232187914755</v>
      </c>
      <c r="DZ12" s="3250">
        <f t="shared" ref="DZ12" ca="1" si="270">DN12*(1+DZ13)</f>
        <v>4.6507708101855494</v>
      </c>
      <c r="EA12" s="3250">
        <f t="shared" ref="EA12" ca="1" si="271">DO12*(1+EA13)</f>
        <v>5.6769810565732701</v>
      </c>
      <c r="EB12" s="3250">
        <f t="shared" ref="EB12" ca="1" si="272">DP12*(1+EB13)</f>
        <v>4.6818540037798098</v>
      </c>
      <c r="EC12" s="3250">
        <f t="shared" ref="EC12" ca="1" si="273">DQ12*(1+EC13)</f>
        <v>5.6605182440776671</v>
      </c>
      <c r="ED12" s="3250">
        <f t="shared" ref="ED12" ca="1" si="274">DR12*(1+ED13)</f>
        <v>3.6584609957652514</v>
      </c>
      <c r="EE12" s="3250">
        <f t="shared" ref="EE12" ca="1" si="275">DS12*(1+EE13)</f>
        <v>3.9437364816674649</v>
      </c>
      <c r="EF12" s="3250">
        <f t="shared" ref="EF12" ca="1" si="276">DT12*(1+EF13)</f>
        <v>3.5043901191080358</v>
      </c>
      <c r="EG12" s="3250">
        <f t="shared" ref="EG12" si="277">DU12*(1+EG13)</f>
        <v>3.4344433207181519</v>
      </c>
      <c r="EH12" s="3250">
        <f t="shared" ref="EH12" si="278">DV12*(1+EH13)</f>
        <v>3.5560845031005228</v>
      </c>
      <c r="EI12" s="3250">
        <f t="shared" ref="EI12" si="279">DW12*(1+EI13)</f>
        <v>3.657737112138558</v>
      </c>
      <c r="EJ12" s="3250">
        <f t="shared" ref="EJ12" ca="1" si="280">DX12*(1+EJ13)</f>
        <v>4.205190489625263</v>
      </c>
      <c r="EK12" s="3250">
        <f t="shared" ref="EK12" ca="1" si="281">DY12*(1+EK13)</f>
        <v>3.8767379153552199</v>
      </c>
      <c r="EL12" s="3250">
        <f t="shared" ref="EL12" ca="1" si="282">DZ12*(1+EL13)</f>
        <v>4.7902939344911157</v>
      </c>
      <c r="EM12" s="3250">
        <f t="shared" ref="EM12" ca="1" si="283">EA12*(1+EM13)</f>
        <v>5.8472904882704686</v>
      </c>
      <c r="EN12" s="3250">
        <f t="shared" ref="EN12" ca="1" si="284">EB12*(1+EN13)</f>
        <v>4.8223096238932044</v>
      </c>
      <c r="EO12" s="3250">
        <f t="shared" ref="EO12" ca="1" si="285">EC12*(1+EO13)</f>
        <v>5.8303337913999975</v>
      </c>
      <c r="EP12" s="3250">
        <f t="shared" ref="EP12" ca="1" si="286">ED12*(1+EP13)</f>
        <v>3.7682148256382089</v>
      </c>
      <c r="EQ12" s="3250">
        <f t="shared" ref="EQ12" ca="1" si="287">EE12*(1+EQ13)</f>
        <v>4.0620485761174887</v>
      </c>
      <c r="ER12" s="3250">
        <f t="shared" ref="ER12" ca="1" si="288">EF12*(1+ER13)</f>
        <v>3.6095218226812769</v>
      </c>
      <c r="ES12" s="3250">
        <f t="shared" ref="ES12" si="289">EG12*(1+ES13)</f>
        <v>3.5374766203396968</v>
      </c>
      <c r="ET12" s="3250">
        <f t="shared" ref="ET12" si="290">EH12*(1+ET13)</f>
        <v>3.6627670381935387</v>
      </c>
      <c r="EU12" s="3250">
        <f t="shared" ref="EU12" si="291">EI12*(1+EU13)</f>
        <v>3.7674692255027149</v>
      </c>
      <c r="EV12" s="3250">
        <f t="shared" ref="EV12" ca="1" si="292">EJ12*(1+EV13)</f>
        <v>4.3313462043140207</v>
      </c>
      <c r="EW12" s="3250">
        <f t="shared" ref="EW12" ca="1" si="293">EK12*(1+EW13)</f>
        <v>3.9930400528158767</v>
      </c>
      <c r="EX12" s="3250">
        <f t="shared" ref="EX12" ca="1" si="294">EL12*(1+EX13)</f>
        <v>4.9340027525258492</v>
      </c>
      <c r="EY12" s="3250">
        <f t="shared" ref="EY12" ca="1" si="295">EM12*(1+EY13)</f>
        <v>6.0227092029185831</v>
      </c>
      <c r="EZ12" s="3250">
        <f t="shared" ref="EZ12" ca="1" si="296">EN12*(1+EZ13)</f>
        <v>4.966978912610001</v>
      </c>
      <c r="FA12" s="3250">
        <f t="shared" ref="FA12" ca="1" si="297">EO12*(1+FA13)</f>
        <v>6.0052438051419976</v>
      </c>
      <c r="FB12" s="3250">
        <f t="shared" ref="FB12" ca="1" si="298">EP12*(1+FB13)</f>
        <v>3.881261270407355</v>
      </c>
      <c r="FC12" s="3250">
        <f t="shared" ref="FC12" ca="1" si="299">EQ12*(1+FC13)</f>
        <v>4.1839100334010135</v>
      </c>
      <c r="FD12" s="3250">
        <f t="shared" ref="FD12" ca="1" si="300">ER12*(1+FD13)</f>
        <v>3.7178074773617151</v>
      </c>
      <c r="FE12" s="3250">
        <f t="shared" ref="FE12" si="301">ES12*(1+FE13)</f>
        <v>3.6436009189498879</v>
      </c>
      <c r="FF12" s="3250">
        <f t="shared" ref="FF12" si="302">ET12*(1+FF13)</f>
        <v>3.7726500493393451</v>
      </c>
      <c r="FG12" s="3250">
        <f t="shared" ref="FG12" si="303">EU12*(1+FG13)</f>
        <v>3.8804933022677965</v>
      </c>
      <c r="FH12" s="3250">
        <f t="shared" ref="FH12" ca="1" si="304">EV12*(1+FH13)</f>
        <v>4.4612865904434411</v>
      </c>
      <c r="FI12" s="3250">
        <f t="shared" ref="FI12" ca="1" si="305">EW12*(1+FI13)</f>
        <v>4.1128312544003531</v>
      </c>
      <c r="FJ12" s="3250">
        <f t="shared" ref="FJ12" ca="1" si="306">EX12*(1+FJ13)</f>
        <v>5.0820228351016246</v>
      </c>
      <c r="FK12" s="3250">
        <f t="shared" ref="FK12" ca="1" si="307">EY12*(1+FK13)</f>
        <v>6.2033904790061412</v>
      </c>
      <c r="FL12" s="3250">
        <f t="shared" ref="FL12" ca="1" si="308">EZ12*(1+FL13)</f>
        <v>5.1159882799883007</v>
      </c>
      <c r="FM12" s="3250">
        <f t="shared" ref="FM12" ca="1" si="309">FA12*(1+FM13)</f>
        <v>6.1854011192962579</v>
      </c>
      <c r="FN12" s="3250">
        <f t="shared" ref="FN12" ca="1" si="310">FB12*(1+FN13)</f>
        <v>3.9976991085195759</v>
      </c>
      <c r="FO12" s="3250">
        <f t="shared" ref="FO12" ca="1" si="311">FC12*(1+FO13)</f>
        <v>4.3094273344030443</v>
      </c>
      <c r="FP12" s="3250">
        <f t="shared" ref="FP12" ca="1" si="312">FD12*(1+FP13)</f>
        <v>3.8293417016825666</v>
      </c>
      <c r="FQ12" s="3250">
        <f t="shared" ref="FQ12" si="313">FE12*(1+FQ13)</f>
        <v>3.7529089465183847</v>
      </c>
      <c r="FR12" s="3250">
        <f t="shared" ref="FR12" si="314">FF12*(1+FR13)</f>
        <v>3.8858295508195257</v>
      </c>
      <c r="FS12" s="3250">
        <f t="shared" ref="FS12" si="315">FG12*(1+FS13)</f>
        <v>3.9969081013358307</v>
      </c>
      <c r="FT12" s="3250">
        <f t="shared" ref="FT12" ca="1" si="316">FH12*(1+FT13)</f>
        <v>4.5951251881567448</v>
      </c>
      <c r="FU12" s="3250">
        <f t="shared" ref="FU12" ca="1" si="317">FI12*(1+FU13)</f>
        <v>4.236216192032364</v>
      </c>
      <c r="FV12" s="3250">
        <f t="shared" ref="FV12" ca="1" si="318">FJ12*(1+FV13)</f>
        <v>5.2344835201546731</v>
      </c>
      <c r="FW12" s="3250">
        <f t="shared" ref="FW12" ca="1" si="319">FK12*(1+FW13)</f>
        <v>6.3894921933763253</v>
      </c>
      <c r="FX12" s="3250">
        <f t="shared" ref="FX12" ca="1" si="320">FL12*(1+FX13)</f>
        <v>5.2694679283879502</v>
      </c>
      <c r="FY12" s="3250">
        <f t="shared" ref="FY12" ca="1" si="321">FM12*(1+FY13)</f>
        <v>6.370963152875146</v>
      </c>
    </row>
    <row r="13" spans="1:217" s="3243" customFormat="1">
      <c r="A13" s="3242" t="s">
        <v>31</v>
      </c>
      <c r="B13" s="3242"/>
      <c r="C13" s="3242"/>
      <c r="D13" s="3242"/>
      <c r="E13" s="3242"/>
      <c r="F13" s="3242"/>
      <c r="G13" s="3242"/>
      <c r="H13" s="3242"/>
      <c r="I13" s="3242"/>
      <c r="J13" s="3242"/>
      <c r="K13" s="3242"/>
      <c r="L13" s="3242"/>
      <c r="M13" s="3242"/>
      <c r="N13" s="3242">
        <f>N12/B12-1</f>
        <v>-4.2592059658913217E-2</v>
      </c>
      <c r="O13" s="3242">
        <f t="shared" ref="O13:AW13" si="322">O12/C12-1</f>
        <v>-0.11477521794808654</v>
      </c>
      <c r="P13" s="3242">
        <f t="shared" si="322"/>
        <v>5.4593183833904435E-2</v>
      </c>
      <c r="Q13" s="3242">
        <f t="shared" si="322"/>
        <v>0.12790700733702409</v>
      </c>
      <c r="R13" s="3242">
        <f t="shared" si="322"/>
        <v>-8.9421926970078336E-2</v>
      </c>
      <c r="S13" s="3242">
        <f t="shared" si="322"/>
        <v>7.985573446798977E-2</v>
      </c>
      <c r="T13" s="3242">
        <f t="shared" si="322"/>
        <v>7.6404515723493382E-2</v>
      </c>
      <c r="U13" s="3242">
        <f t="shared" si="322"/>
        <v>-3.8336715347433659E-2</v>
      </c>
      <c r="V13" s="3242">
        <f t="shared" si="322"/>
        <v>-1.7758690758720719E-2</v>
      </c>
      <c r="W13" s="3242">
        <f t="shared" si="322"/>
        <v>-5.8839755851637698E-2</v>
      </c>
      <c r="X13" s="3242">
        <f t="shared" si="322"/>
        <v>-2.2667948894079526E-3</v>
      </c>
      <c r="Y13" s="3242">
        <f t="shared" si="322"/>
        <v>3.2039914360339372E-2</v>
      </c>
      <c r="Z13" s="3242">
        <f t="shared" si="322"/>
        <v>0.15310026270751931</v>
      </c>
      <c r="AA13" s="3242">
        <f t="shared" si="322"/>
        <v>-0.13297308198255198</v>
      </c>
      <c r="AB13" s="3242">
        <f t="shared" si="322"/>
        <v>-0.15344050571518097</v>
      </c>
      <c r="AC13" s="3242">
        <f t="shared" si="322"/>
        <v>-0.40462200766214151</v>
      </c>
      <c r="AD13" s="3242">
        <f t="shared" si="322"/>
        <v>-0.1118600064429548</v>
      </c>
      <c r="AE13" s="3242">
        <f t="shared" si="322"/>
        <v>-0.23679994994992548</v>
      </c>
      <c r="AF13" s="3242">
        <f t="shared" si="322"/>
        <v>-7.2242890071943178E-2</v>
      </c>
      <c r="AG13" s="3242">
        <f t="shared" si="322"/>
        <v>-5.5017416449046341E-2</v>
      </c>
      <c r="AH13" s="3242">
        <f t="shared" si="322"/>
        <v>-4.8472599672095162E-2</v>
      </c>
      <c r="AI13" s="3242">
        <f t="shared" si="322"/>
        <v>5.7426852346404322E-2</v>
      </c>
      <c r="AJ13" s="3242">
        <f t="shared" si="322"/>
        <v>2.6089080635769868E-2</v>
      </c>
      <c r="AK13" s="3242">
        <f t="shared" si="322"/>
        <v>8.1835193467167722E-2</v>
      </c>
      <c r="AL13" s="3242">
        <f t="shared" si="322"/>
        <v>-0.12296622377697797</v>
      </c>
      <c r="AM13" s="3242">
        <f t="shared" si="322"/>
        <v>0.34917461904598057</v>
      </c>
      <c r="AN13" s="3242">
        <f t="shared" si="322"/>
        <v>0.18890371712173404</v>
      </c>
      <c r="AO13" s="3242">
        <f t="shared" si="322"/>
        <v>0.55297767012930654</v>
      </c>
      <c r="AP13" s="3242">
        <f t="shared" si="322"/>
        <v>0.26857882476186612</v>
      </c>
      <c r="AQ13" s="3242">
        <f t="shared" si="322"/>
        <v>0.12245523772572819</v>
      </c>
      <c r="AR13" s="3242">
        <f t="shared" si="322"/>
        <v>-0.36843993459806457</v>
      </c>
      <c r="AS13" s="3242">
        <f t="shared" si="322"/>
        <v>-0.56132879338361563</v>
      </c>
      <c r="AT13" s="3242">
        <f t="shared" si="322"/>
        <v>-7.3726380533301827E-2</v>
      </c>
      <c r="AU13" s="3242">
        <f t="shared" si="322"/>
        <v>-6.7175839424831629E-2</v>
      </c>
      <c r="AV13" s="3242">
        <f t="shared" si="322"/>
        <v>1.0406012072375268</v>
      </c>
      <c r="AW13" s="3242">
        <f t="shared" si="322"/>
        <v>0.33102447657499146</v>
      </c>
      <c r="AX13" s="3242"/>
      <c r="AY13" s="3242"/>
      <c r="AZ13" s="3242"/>
      <c r="BA13" s="3242"/>
      <c r="BB13" s="3242"/>
      <c r="BC13" s="3242"/>
      <c r="BD13" s="3242"/>
      <c r="BE13" s="3242"/>
      <c r="BF13" s="3242"/>
      <c r="BG13" s="3242">
        <f ca="1">BG12/AU12-1</f>
        <v>0.11480389056271001</v>
      </c>
      <c r="BH13" s="3242">
        <f ca="1">BH12/AV12-1</f>
        <v>-0.69271485477317707</v>
      </c>
      <c r="BI13" s="3242">
        <f ca="1">BI12/AW12-1</f>
        <v>-0.53073601557358019</v>
      </c>
      <c r="BJ13" s="3253">
        <f>BJ12/(AX12)-1</f>
        <v>-0.43609871762784436</v>
      </c>
      <c r="BK13" s="3253">
        <f>BK12/AX12-1</f>
        <v>-0.43583980978469838</v>
      </c>
      <c r="BL13" s="3253">
        <f>BL12/AY12-1</f>
        <v>-0.54121441339616272</v>
      </c>
      <c r="BM13" s="3253">
        <f ca="1">BM12/AZ12-1</f>
        <v>-0.46211934981941716</v>
      </c>
      <c r="BN13" s="3253">
        <f ca="1">BN12/$BC$12-1</f>
        <v>-0.31968972761927494</v>
      </c>
      <c r="BO13" s="3253">
        <f ca="1">BO12/$BC$12-1</f>
        <v>-0.30423010205360457</v>
      </c>
      <c r="BP13" s="3253">
        <v>-0.16849298375792432</v>
      </c>
      <c r="BQ13" s="3253">
        <f t="shared" ref="BQ13:BX13" ca="1" si="323">BQ12/BE12-1</f>
        <v>-0.31951853320674051</v>
      </c>
      <c r="BR13" s="3253">
        <f t="shared" ca="1" si="323"/>
        <v>-3.07079123360674E-2</v>
      </c>
      <c r="BS13" s="3253">
        <f t="shared" ca="1" si="323"/>
        <v>-5.6111055930568754E-2</v>
      </c>
      <c r="BT13" s="3253">
        <f t="shared" ca="1" si="323"/>
        <v>0.12703607912082782</v>
      </c>
      <c r="BU13" s="3253">
        <f t="shared" ca="1" si="323"/>
        <v>6.7357325566382631E-2</v>
      </c>
      <c r="BV13" s="2900">
        <f t="shared" ca="1" si="323"/>
        <v>3.3376856889103745E-2</v>
      </c>
      <c r="BW13" s="2900">
        <f t="shared" ca="1" si="323"/>
        <v>3.3430682085702879E-2</v>
      </c>
      <c r="BX13" s="2900">
        <f t="shared" ca="1" si="323"/>
        <v>0.42277161168623634</v>
      </c>
      <c r="BY13" s="2900">
        <f t="shared" ref="BY13" ca="1" si="324">BY12/BM12-1</f>
        <v>5.4331802091481585E-2</v>
      </c>
      <c r="BZ13" s="2900">
        <f t="shared" ref="BZ13" ca="1" si="325">BZ12/BN12-1</f>
        <v>9.5782296759854946E-2</v>
      </c>
      <c r="CA13" s="2900">
        <f t="shared" ref="CA13" ca="1" si="326">CA12/BO12-1</f>
        <v>0.20111586965756811</v>
      </c>
      <c r="CB13" s="2900">
        <f t="shared" ref="CB13" ca="1" si="327">CB12/BP12-1</f>
        <v>0.28066416816409601</v>
      </c>
      <c r="CC13" s="2900">
        <f t="shared" ref="CC13" ca="1" si="328">CC12/BQ12-1</f>
        <v>0.33129394172426063</v>
      </c>
      <c r="CD13" s="2900">
        <f t="shared" ref="CD13" ca="1" si="329">CD12/BR12-1</f>
        <v>0.33579364540490664</v>
      </c>
      <c r="CE13" s="2900">
        <f t="shared" ref="CE13" ca="1" si="330">CE12/BS12-1</f>
        <v>0.11364606277527489</v>
      </c>
      <c r="CF13" s="2900">
        <f t="shared" ref="CF13" ca="1" si="331">CF12/BT12-1</f>
        <v>0.32984774347307</v>
      </c>
      <c r="CG13" s="2900">
        <f t="shared" ref="CG13" ca="1" si="332">CG12/BU12-1</f>
        <v>0.87379406044374486</v>
      </c>
      <c r="CH13" s="2900">
        <v>0.25</v>
      </c>
      <c r="CI13" s="2900">
        <f ca="1">CI12/BW12-1</f>
        <v>0.43831151355430009</v>
      </c>
      <c r="CJ13" s="2900">
        <f ca="1">CJ12/BX12-1</f>
        <v>0.31109396560281732</v>
      </c>
      <c r="CK13" s="2900">
        <f t="shared" ref="CK13:CP13" si="333">CK12/BY12-1</f>
        <v>0.38000000000000012</v>
      </c>
      <c r="CL13" s="2900">
        <f t="shared" ca="1" si="333"/>
        <v>0.35000000000000009</v>
      </c>
      <c r="CM13" s="2900">
        <f t="shared" ca="1" si="333"/>
        <v>0.23866809881847484</v>
      </c>
      <c r="CN13" s="2900">
        <f t="shared" ca="1" si="333"/>
        <v>0.33560422460086681</v>
      </c>
      <c r="CO13" s="2900">
        <f t="shared" ca="1" si="333"/>
        <v>0.11911587429596415</v>
      </c>
      <c r="CP13" s="2900">
        <f t="shared" ca="1" si="333"/>
        <v>0.20395576563246554</v>
      </c>
      <c r="CQ13" s="2900">
        <f ca="1">CQ12/CE12-1</f>
        <v>0.46548240345714209</v>
      </c>
      <c r="CR13" s="3242">
        <f ca="1">CR12/CF12-1</f>
        <v>0.40639732956670804</v>
      </c>
      <c r="CS13" s="3242">
        <v>0.25</v>
      </c>
      <c r="CT13" s="3242">
        <v>0.1</v>
      </c>
      <c r="CU13" s="3242">
        <v>0.1</v>
      </c>
      <c r="CV13" s="3242">
        <v>0.1</v>
      </c>
      <c r="CW13" s="3242">
        <v>0.1</v>
      </c>
      <c r="CX13" s="3242">
        <v>0.1</v>
      </c>
      <c r="CY13" s="3242">
        <v>0.1</v>
      </c>
      <c r="CZ13" s="3242">
        <v>0.1</v>
      </c>
      <c r="DA13" s="3242">
        <v>0.1</v>
      </c>
      <c r="DB13" s="3242">
        <v>0.1</v>
      </c>
      <c r="DC13" s="3242">
        <v>0.1</v>
      </c>
      <c r="DD13" s="3242">
        <v>0.1</v>
      </c>
      <c r="DE13" s="3242">
        <v>0.1</v>
      </c>
      <c r="DF13" s="3242">
        <f t="shared" ref="DF13:DR13" si="334">DE13</f>
        <v>0.1</v>
      </c>
      <c r="DG13" s="3242">
        <f t="shared" si="334"/>
        <v>0.1</v>
      </c>
      <c r="DH13" s="3242">
        <f t="shared" si="334"/>
        <v>0.1</v>
      </c>
      <c r="DI13" s="3242">
        <f t="shared" si="334"/>
        <v>0.1</v>
      </c>
      <c r="DJ13" s="3242">
        <f t="shared" si="334"/>
        <v>0.1</v>
      </c>
      <c r="DK13" s="3242">
        <f t="shared" si="334"/>
        <v>0.1</v>
      </c>
      <c r="DL13" s="3242">
        <f t="shared" si="334"/>
        <v>0.1</v>
      </c>
      <c r="DM13" s="3242">
        <f t="shared" si="334"/>
        <v>0.1</v>
      </c>
      <c r="DN13" s="3242">
        <f t="shared" si="334"/>
        <v>0.1</v>
      </c>
      <c r="DO13" s="3242">
        <f t="shared" si="334"/>
        <v>0.1</v>
      </c>
      <c r="DP13" s="3242">
        <f t="shared" si="334"/>
        <v>0.1</v>
      </c>
      <c r="DQ13" s="3242">
        <f t="shared" si="334"/>
        <v>0.1</v>
      </c>
      <c r="DR13" s="3242">
        <f t="shared" si="334"/>
        <v>0.1</v>
      </c>
      <c r="DS13" s="3242">
        <f t="shared" ref="DS13" si="335">DR13</f>
        <v>0.1</v>
      </c>
      <c r="DT13" s="3242">
        <f t="shared" ref="DT13" si="336">DS13</f>
        <v>0.1</v>
      </c>
      <c r="DU13" s="3242">
        <f t="shared" ref="DU13" si="337">DT13</f>
        <v>0.1</v>
      </c>
      <c r="DV13" s="3242">
        <f t="shared" ref="DV13" si="338">DU13</f>
        <v>0.1</v>
      </c>
      <c r="DW13" s="3242">
        <f t="shared" ref="DW13" si="339">DV13</f>
        <v>0.1</v>
      </c>
      <c r="DX13" s="3242">
        <f t="shared" ref="DX13" si="340">DW13</f>
        <v>0.1</v>
      </c>
      <c r="DY13" s="3242">
        <f t="shared" ref="DY13" si="341">DX13</f>
        <v>0.1</v>
      </c>
      <c r="DZ13" s="3242">
        <f t="shared" ref="DZ13" si="342">DY13</f>
        <v>0.1</v>
      </c>
      <c r="EA13" s="3242">
        <f t="shared" ref="EA13" si="343">DZ13</f>
        <v>0.1</v>
      </c>
      <c r="EB13" s="3242">
        <f t="shared" ref="EB13" si="344">EA13</f>
        <v>0.1</v>
      </c>
      <c r="EC13" s="3242">
        <f t="shared" ref="EC13" si="345">EB13</f>
        <v>0.1</v>
      </c>
      <c r="ED13" s="3242">
        <f t="shared" ref="ED13" si="346">EC13</f>
        <v>0.1</v>
      </c>
      <c r="EE13" s="3242">
        <v>0.03</v>
      </c>
      <c r="EF13" s="3242">
        <v>0.03</v>
      </c>
      <c r="EG13" s="3242">
        <v>0.03</v>
      </c>
      <c r="EH13" s="3242">
        <v>0.03</v>
      </c>
      <c r="EI13" s="3242">
        <v>0.03</v>
      </c>
      <c r="EJ13" s="3242">
        <v>0.03</v>
      </c>
      <c r="EK13" s="3242">
        <v>0.03</v>
      </c>
      <c r="EL13" s="3242">
        <v>0.03</v>
      </c>
      <c r="EM13" s="3242">
        <v>0.03</v>
      </c>
      <c r="EN13" s="3242">
        <v>0.03</v>
      </c>
      <c r="EO13" s="3242">
        <v>0.03</v>
      </c>
      <c r="EP13" s="3242">
        <v>0.03</v>
      </c>
      <c r="EQ13" s="3242">
        <v>0.03</v>
      </c>
      <c r="ER13" s="3242">
        <v>0.03</v>
      </c>
      <c r="ES13" s="3242">
        <v>0.03</v>
      </c>
      <c r="ET13" s="3242">
        <v>0.03</v>
      </c>
      <c r="EU13" s="3242">
        <v>0.03</v>
      </c>
      <c r="EV13" s="3242">
        <v>0.03</v>
      </c>
      <c r="EW13" s="3242">
        <v>0.03</v>
      </c>
      <c r="EX13" s="3242">
        <v>0.03</v>
      </c>
      <c r="EY13" s="3242">
        <v>0.03</v>
      </c>
      <c r="EZ13" s="3242">
        <v>0.03</v>
      </c>
      <c r="FA13" s="3242">
        <v>0.03</v>
      </c>
      <c r="FB13" s="3242">
        <v>0.03</v>
      </c>
      <c r="FC13" s="3242">
        <v>0.03</v>
      </c>
      <c r="FD13" s="3242">
        <v>0.03</v>
      </c>
      <c r="FE13" s="3242">
        <v>0.03</v>
      </c>
      <c r="FF13" s="3242">
        <v>0.03</v>
      </c>
      <c r="FG13" s="3242">
        <v>0.03</v>
      </c>
      <c r="FH13" s="3242">
        <v>0.03</v>
      </c>
      <c r="FI13" s="3242">
        <v>0.03</v>
      </c>
      <c r="FJ13" s="3242">
        <v>0.03</v>
      </c>
      <c r="FK13" s="3242">
        <v>0.03</v>
      </c>
      <c r="FL13" s="3242">
        <v>0.03</v>
      </c>
      <c r="FM13" s="3242">
        <v>0.03</v>
      </c>
      <c r="FN13" s="3242">
        <v>0.03</v>
      </c>
      <c r="FO13" s="3242">
        <v>0.03</v>
      </c>
      <c r="FP13" s="3242">
        <v>0.03</v>
      </c>
      <c r="FQ13" s="3242">
        <v>0.03</v>
      </c>
      <c r="FR13" s="3242">
        <v>0.03</v>
      </c>
      <c r="FS13" s="3242">
        <v>0.03</v>
      </c>
      <c r="FT13" s="3242">
        <v>0.03</v>
      </c>
      <c r="FU13" s="3242">
        <v>0.03</v>
      </c>
      <c r="FV13" s="3242">
        <v>0.03</v>
      </c>
      <c r="FW13" s="3242">
        <v>0.03</v>
      </c>
      <c r="FX13" s="3242">
        <v>0.03</v>
      </c>
      <c r="FY13" s="3242">
        <v>0.03</v>
      </c>
    </row>
    <row r="14" spans="1:217" s="2954" customFormat="1">
      <c r="A14" s="3254" t="s">
        <v>36</v>
      </c>
      <c r="AX14" s="2954">
        <v>352</v>
      </c>
      <c r="AY14" s="2954">
        <f>470-AX14</f>
        <v>118</v>
      </c>
      <c r="AZ14" s="2954">
        <v>200</v>
      </c>
      <c r="BA14" s="2954">
        <v>170</v>
      </c>
      <c r="BB14" s="2954">
        <v>160</v>
      </c>
      <c r="BC14" s="2954">
        <v>330</v>
      </c>
      <c r="BD14" s="2954">
        <v>160</v>
      </c>
      <c r="BE14" s="3255">
        <f>BE16*BE18</f>
        <v>138.24000000000004</v>
      </c>
      <c r="BF14" s="3255">
        <f ca="1">SUM(BD32:BF32)*2%-SUM(BD14:BE14)</f>
        <v>172.18312691043235</v>
      </c>
      <c r="BG14" s="3255">
        <f>BG16*BG18</f>
        <v>372</v>
      </c>
      <c r="BH14" s="3255">
        <f>BH16*BH18</f>
        <v>313.60000000000002</v>
      </c>
      <c r="BI14" s="3255">
        <f ca="1">SUM(BG32:BI32)*5%-SUM(BG14:BH14)</f>
        <v>447.1755864500002</v>
      </c>
      <c r="BJ14" s="3255">
        <f t="shared" ref="BJ14:BQ14" ca="1" si="347">BJ16*BJ18</f>
        <v>316.18475809595969</v>
      </c>
      <c r="BK14" s="3255">
        <f t="shared" ca="1" si="347"/>
        <v>316.18475809595969</v>
      </c>
      <c r="BL14" s="3255">
        <f ca="1">BL16*BL18</f>
        <v>300.37552019116174</v>
      </c>
      <c r="BM14" s="3255">
        <f t="shared" ca="1" si="347"/>
        <v>330.4130722102779</v>
      </c>
      <c r="BN14" s="3255">
        <f t="shared" ca="1" si="347"/>
        <v>330.4130722102779</v>
      </c>
      <c r="BO14" s="3255">
        <f t="shared" ca="1" si="347"/>
        <v>330.4130722102779</v>
      </c>
      <c r="BP14" s="3255">
        <f t="shared" ca="1" si="347"/>
        <v>330.4130722102779</v>
      </c>
      <c r="BQ14" s="3255">
        <f t="shared" ca="1" si="347"/>
        <v>310.4130722102779</v>
      </c>
      <c r="BR14" s="3255">
        <f>BR16*BR18</f>
        <v>307.30894148817509</v>
      </c>
      <c r="BS14" s="3255">
        <f>BS16*BS18</f>
        <v>376.2</v>
      </c>
      <c r="BT14" s="3255">
        <f>BT18*BT16</f>
        <v>362.52291051500009</v>
      </c>
      <c r="BU14" s="3255">
        <f>BU18*BU16</f>
        <v>346.5</v>
      </c>
      <c r="BV14" s="3255">
        <f ca="1">BV16*BV18</f>
        <v>334.93451425105019</v>
      </c>
      <c r="BW14" s="3255">
        <f t="shared" ref="BW14:CI14" ca="1" si="348">BW16*BW18</f>
        <v>334.93451425105019</v>
      </c>
      <c r="BX14" s="3255">
        <f t="shared" ca="1" si="348"/>
        <v>318.18778853849761</v>
      </c>
      <c r="BY14" s="3255">
        <v>343.46438856258391</v>
      </c>
      <c r="BZ14" s="3255">
        <v>343.46438856258391</v>
      </c>
      <c r="CA14" s="3255">
        <f t="shared" ca="1" si="348"/>
        <v>333.05637678796012</v>
      </c>
      <c r="CB14" s="3255">
        <f t="shared" ca="1" si="348"/>
        <v>315.70969049692053</v>
      </c>
      <c r="CC14" s="3255">
        <f t="shared" ca="1" si="348"/>
        <v>286.82167872229678</v>
      </c>
      <c r="CD14" s="3255">
        <f t="shared" si="348"/>
        <v>286.82167872229678</v>
      </c>
      <c r="CE14" s="3255">
        <f>CE16*CE18</f>
        <v>351.12</v>
      </c>
      <c r="CF14" s="3255">
        <f t="shared" si="348"/>
        <v>338.35471648066681</v>
      </c>
      <c r="CG14" s="3255">
        <f>CG16*CG18</f>
        <v>323.40000000000003</v>
      </c>
      <c r="CH14" s="3255">
        <f t="shared" ca="1" si="348"/>
        <v>312.6055466343135</v>
      </c>
      <c r="CI14" s="3255">
        <f t="shared" ca="1" si="348"/>
        <v>312.6055466343135</v>
      </c>
      <c r="CJ14" s="3255">
        <f t="shared" ref="CJ14:CT14" ca="1" si="349">CJ16*CJ18</f>
        <v>286.85111239455466</v>
      </c>
      <c r="CK14" s="3255">
        <v>309.63835029505668</v>
      </c>
      <c r="CL14" s="3255">
        <v>309.63835029505668</v>
      </c>
      <c r="CM14" s="3255">
        <v>309.63835029505668</v>
      </c>
      <c r="CN14" s="3255">
        <f t="shared" ca="1" si="349"/>
        <v>309.63835029505668</v>
      </c>
      <c r="CO14" s="3255">
        <f t="shared" ca="1" si="349"/>
        <v>290.89585029505668</v>
      </c>
      <c r="CP14" s="3255">
        <f t="shared" si="349"/>
        <v>290.89585029505668</v>
      </c>
      <c r="CQ14" s="3255">
        <f t="shared" si="349"/>
        <v>356.10749999999996</v>
      </c>
      <c r="CR14" s="3255">
        <f t="shared" si="349"/>
        <v>343.16089143067626</v>
      </c>
      <c r="CS14" s="3255">
        <f t="shared" si="349"/>
        <v>327.99375000000003</v>
      </c>
      <c r="CT14" s="3255">
        <f t="shared" ca="1" si="349"/>
        <v>317.04596633082366</v>
      </c>
      <c r="CU14" s="3255">
        <f t="shared" ref="CU14:DK14" ca="1" si="350">CU16*CU18</f>
        <v>317.04596633082366</v>
      </c>
      <c r="CV14" s="3255">
        <f t="shared" ca="1" si="350"/>
        <v>301.19366801428242</v>
      </c>
      <c r="CW14" s="3255">
        <f t="shared" si="350"/>
        <v>325.12026780980955</v>
      </c>
      <c r="CX14" s="3255">
        <f t="shared" si="350"/>
        <v>325.12026780980955</v>
      </c>
      <c r="CY14" s="3255">
        <f t="shared" si="350"/>
        <v>325.12026780980955</v>
      </c>
      <c r="CZ14" s="3255">
        <f t="shared" ca="1" si="350"/>
        <v>325.12026780980955</v>
      </c>
      <c r="DA14" s="3255">
        <f t="shared" ca="1" si="350"/>
        <v>305.44064280980956</v>
      </c>
      <c r="DB14" s="3255">
        <f t="shared" si="350"/>
        <v>305.44064280980956</v>
      </c>
      <c r="DC14" s="3255">
        <f t="shared" si="350"/>
        <v>373.91287499999999</v>
      </c>
      <c r="DD14" s="3255">
        <f t="shared" si="350"/>
        <v>360.31893600221008</v>
      </c>
      <c r="DE14" s="3255">
        <f t="shared" si="350"/>
        <v>344.39343750000006</v>
      </c>
      <c r="DF14" s="3255">
        <f t="shared" ca="1" si="350"/>
        <v>332.89826464736484</v>
      </c>
      <c r="DG14" s="3255">
        <f t="shared" ca="1" si="350"/>
        <v>332.89826464736484</v>
      </c>
      <c r="DH14" s="3255">
        <f t="shared" ca="1" si="350"/>
        <v>316.25335141499659</v>
      </c>
      <c r="DI14" s="3255">
        <f t="shared" si="350"/>
        <v>341.37628120030001</v>
      </c>
      <c r="DJ14" s="3255">
        <f t="shared" si="350"/>
        <v>341.37628120030001</v>
      </c>
      <c r="DK14" s="3255">
        <f t="shared" si="350"/>
        <v>341.37628120030001</v>
      </c>
      <c r="DL14" s="3255">
        <f t="shared" ref="DL14:DR14" ca="1" si="351">DL16*DL18</f>
        <v>341.37628120030001</v>
      </c>
      <c r="DM14" s="3255">
        <f t="shared" ca="1" si="351"/>
        <v>320.71267495030003</v>
      </c>
      <c r="DN14" s="3255">
        <f t="shared" si="351"/>
        <v>320.71267495030003</v>
      </c>
      <c r="DO14" s="3255">
        <f t="shared" si="351"/>
        <v>392.60851875000003</v>
      </c>
      <c r="DP14" s="3255">
        <f t="shared" si="351"/>
        <v>378.33488280232058</v>
      </c>
      <c r="DQ14" s="3255">
        <f t="shared" si="351"/>
        <v>361.61310937500002</v>
      </c>
      <c r="DR14" s="3255">
        <f t="shared" ca="1" si="351"/>
        <v>349.54317787973309</v>
      </c>
      <c r="DS14" s="3255">
        <f t="shared" ref="DS14:FY14" ca="1" si="352">DS16*DS18</f>
        <v>349.54317787973309</v>
      </c>
      <c r="DT14" s="3255">
        <f t="shared" ca="1" si="352"/>
        <v>332.06601898574644</v>
      </c>
      <c r="DU14" s="3255">
        <f t="shared" si="352"/>
        <v>358.44509526031504</v>
      </c>
      <c r="DV14" s="3255">
        <f t="shared" si="352"/>
        <v>358.44509526031504</v>
      </c>
      <c r="DW14" s="3255">
        <f t="shared" si="352"/>
        <v>358.44509526031504</v>
      </c>
      <c r="DX14" s="3255">
        <f t="shared" ca="1" si="352"/>
        <v>358.44509526031504</v>
      </c>
      <c r="DY14" s="3255">
        <f t="shared" ca="1" si="352"/>
        <v>336.74830869781505</v>
      </c>
      <c r="DZ14" s="3255">
        <f t="shared" si="352"/>
        <v>336.74830869781505</v>
      </c>
      <c r="EA14" s="3255">
        <f t="shared" si="352"/>
        <v>412.23894468750001</v>
      </c>
      <c r="EB14" s="3255">
        <f t="shared" si="352"/>
        <v>397.25162694243659</v>
      </c>
      <c r="EC14" s="3255">
        <f t="shared" si="352"/>
        <v>379.69376484375005</v>
      </c>
      <c r="ED14" s="3255">
        <f t="shared" ca="1" si="352"/>
        <v>367.02033677371975</v>
      </c>
      <c r="EE14" s="3255">
        <f t="shared" ca="1" si="352"/>
        <v>360.0294732161251</v>
      </c>
      <c r="EF14" s="3255">
        <f t="shared" ca="1" si="352"/>
        <v>342.02799955531879</v>
      </c>
      <c r="EG14" s="3255">
        <f t="shared" si="352"/>
        <v>369.19844811812447</v>
      </c>
      <c r="EH14" s="3255">
        <f t="shared" si="352"/>
        <v>369.19844811812447</v>
      </c>
      <c r="EI14" s="3255">
        <f t="shared" si="352"/>
        <v>369.19844811812447</v>
      </c>
      <c r="EJ14" s="3255">
        <f t="shared" ca="1" si="352"/>
        <v>369.19844811812447</v>
      </c>
      <c r="EK14" s="3255">
        <f t="shared" ca="1" si="352"/>
        <v>346.85075795874951</v>
      </c>
      <c r="EL14" s="3255">
        <f t="shared" si="352"/>
        <v>346.85075795874951</v>
      </c>
      <c r="EM14" s="3255">
        <f t="shared" si="352"/>
        <v>424.60611302812504</v>
      </c>
      <c r="EN14" s="3255">
        <f t="shared" si="352"/>
        <v>409.16917575070971</v>
      </c>
      <c r="EO14" s="3255">
        <f t="shared" si="352"/>
        <v>391.08457778906262</v>
      </c>
      <c r="EP14" s="3255">
        <f t="shared" ca="1" si="352"/>
        <v>378.03094687693141</v>
      </c>
      <c r="EQ14" s="3255">
        <f t="shared" ca="1" si="352"/>
        <v>370.83035741260886</v>
      </c>
      <c r="ER14" s="3255">
        <f t="shared" ca="1" si="352"/>
        <v>352.28883954197835</v>
      </c>
      <c r="ES14" s="3255">
        <f t="shared" si="352"/>
        <v>380.27440156166824</v>
      </c>
      <c r="ET14" s="3255">
        <f t="shared" si="352"/>
        <v>380.27440156166824</v>
      </c>
      <c r="EU14" s="3255">
        <f t="shared" si="352"/>
        <v>380.27440156166824</v>
      </c>
      <c r="EV14" s="3255">
        <f t="shared" ca="1" si="352"/>
        <v>380.27440156166824</v>
      </c>
      <c r="EW14" s="3255">
        <f t="shared" ca="1" si="352"/>
        <v>357.25628069751201</v>
      </c>
      <c r="EX14" s="3255">
        <f t="shared" si="352"/>
        <v>357.25628069751201</v>
      </c>
      <c r="EY14" s="3255">
        <f t="shared" si="352"/>
        <v>437.34429641896878</v>
      </c>
      <c r="EZ14" s="3255">
        <f t="shared" si="352"/>
        <v>421.444251023231</v>
      </c>
      <c r="FA14" s="3255">
        <f t="shared" si="352"/>
        <v>402.81711512273449</v>
      </c>
      <c r="FB14" s="3255">
        <f t="shared" ca="1" si="352"/>
        <v>389.37187528323932</v>
      </c>
      <c r="FC14" s="3255">
        <f t="shared" ca="1" si="352"/>
        <v>381.95526813498714</v>
      </c>
      <c r="FD14" s="3255">
        <f t="shared" ca="1" si="352"/>
        <v>362.8575047282377</v>
      </c>
      <c r="FE14" s="3255">
        <f t="shared" si="352"/>
        <v>391.6826336085183</v>
      </c>
      <c r="FF14" s="3255">
        <f t="shared" si="352"/>
        <v>391.6826336085183</v>
      </c>
      <c r="FG14" s="3255">
        <f t="shared" si="352"/>
        <v>391.6826336085183</v>
      </c>
      <c r="FH14" s="3255">
        <f t="shared" ca="1" si="352"/>
        <v>391.6826336085183</v>
      </c>
      <c r="FI14" s="3255">
        <f t="shared" ca="1" si="352"/>
        <v>367.97396911843742</v>
      </c>
      <c r="FJ14" s="3255">
        <f t="shared" si="352"/>
        <v>367.97396911843742</v>
      </c>
      <c r="FK14" s="3255">
        <f t="shared" si="352"/>
        <v>450.46462531153793</v>
      </c>
      <c r="FL14" s="3255">
        <f t="shared" si="352"/>
        <v>434.08757855392793</v>
      </c>
      <c r="FM14" s="3255">
        <f t="shared" si="352"/>
        <v>414.90162857641656</v>
      </c>
      <c r="FN14" s="3255">
        <f t="shared" ca="1" si="352"/>
        <v>401.05303154173652</v>
      </c>
      <c r="FO14" s="3255">
        <f t="shared" ca="1" si="352"/>
        <v>393.41392617903682</v>
      </c>
      <c r="FP14" s="3255">
        <f t="shared" ca="1" si="352"/>
        <v>373.74322987008486</v>
      </c>
      <c r="FQ14" s="3255">
        <f t="shared" si="352"/>
        <v>403.43311261677388</v>
      </c>
      <c r="FR14" s="3255">
        <f t="shared" si="352"/>
        <v>403.43311261677388</v>
      </c>
      <c r="FS14" s="3255">
        <f t="shared" si="352"/>
        <v>403.43311261677388</v>
      </c>
      <c r="FT14" s="3255">
        <f t="shared" ca="1" si="352"/>
        <v>403.43311261677388</v>
      </c>
      <c r="FU14" s="3255">
        <f t="shared" ca="1" si="352"/>
        <v>379.01318819199054</v>
      </c>
      <c r="FV14" s="3255">
        <f t="shared" si="352"/>
        <v>379.01318819199054</v>
      </c>
      <c r="FW14" s="3255">
        <f t="shared" si="352"/>
        <v>463.97856407088403</v>
      </c>
      <c r="FX14" s="3255">
        <f t="shared" si="352"/>
        <v>447.1102059105458</v>
      </c>
      <c r="FY14" s="3255">
        <f t="shared" si="352"/>
        <v>427.34867743370904</v>
      </c>
    </row>
    <row r="15" spans="1:217" s="2684" customFormat="1" hidden="1" outlineLevel="1">
      <c r="A15" s="3256" t="str">
        <f>A22</f>
        <v>%YoY</v>
      </c>
      <c r="AX15" s="2900">
        <f t="shared" ref="AX15:BD15" si="353">AX14/AX7</f>
        <v>5.272832375310621E-2</v>
      </c>
      <c r="AY15" s="2900">
        <f t="shared" si="353"/>
        <v>4.0291739510489505E-2</v>
      </c>
      <c r="AZ15" s="2900">
        <f t="shared" si="353"/>
        <v>6.3430043005569162E-2</v>
      </c>
      <c r="BA15" s="2900" t="e">
        <f t="shared" si="353"/>
        <v>#DIV/0!</v>
      </c>
      <c r="BB15" s="2900" t="e">
        <f t="shared" si="353"/>
        <v>#DIV/0!</v>
      </c>
      <c r="BC15" s="2900">
        <f t="shared" si="353"/>
        <v>6.2946454884272945E-2</v>
      </c>
      <c r="BD15" s="2900">
        <f t="shared" si="353"/>
        <v>6.8376068376068383E-2</v>
      </c>
    </row>
    <row r="16" spans="1:217" s="2684" customFormat="1" hidden="1" outlineLevel="1">
      <c r="A16" s="3256" t="str">
        <f>A23</f>
        <v>Number of store</v>
      </c>
      <c r="N16" s="2684">
        <v>0</v>
      </c>
      <c r="O16" s="2684">
        <v>0</v>
      </c>
      <c r="P16" s="2684">
        <v>0</v>
      </c>
      <c r="Q16" s="2684">
        <v>0</v>
      </c>
      <c r="R16" s="2684">
        <v>0</v>
      </c>
      <c r="S16" s="2684">
        <v>0</v>
      </c>
      <c r="T16" s="2684">
        <v>0</v>
      </c>
      <c r="U16" s="2684">
        <v>0</v>
      </c>
      <c r="V16" s="2684">
        <v>0</v>
      </c>
      <c r="W16" s="2684">
        <v>0</v>
      </c>
      <c r="X16" s="2684">
        <v>0</v>
      </c>
      <c r="Y16" s="2684">
        <v>0</v>
      </c>
      <c r="Z16" s="2684">
        <v>0</v>
      </c>
      <c r="AA16" s="2684">
        <v>0</v>
      </c>
      <c r="AB16" s="2684">
        <v>0</v>
      </c>
      <c r="AC16" s="2684">
        <v>0</v>
      </c>
      <c r="AD16" s="2684">
        <v>0</v>
      </c>
      <c r="AE16" s="2684">
        <v>0</v>
      </c>
      <c r="AF16" s="2684">
        <v>0</v>
      </c>
      <c r="AG16" s="2684">
        <v>0</v>
      </c>
      <c r="AH16" s="2684">
        <v>0</v>
      </c>
      <c r="AI16" s="2684">
        <v>0</v>
      </c>
      <c r="AJ16" s="2684">
        <v>0</v>
      </c>
      <c r="AK16" s="2684">
        <v>0</v>
      </c>
      <c r="AL16" s="2684">
        <v>0</v>
      </c>
      <c r="AM16" s="2684">
        <v>0</v>
      </c>
      <c r="AN16" s="2684">
        <v>0</v>
      </c>
      <c r="AO16" s="2684">
        <v>0</v>
      </c>
      <c r="AP16" s="2684">
        <v>0</v>
      </c>
      <c r="AQ16" s="2684">
        <v>0</v>
      </c>
      <c r="AR16" s="2684">
        <v>0</v>
      </c>
      <c r="AS16" s="2684">
        <v>0</v>
      </c>
      <c r="AT16" s="2684">
        <v>0</v>
      </c>
      <c r="AU16" s="2684">
        <v>0</v>
      </c>
      <c r="AV16" s="2684">
        <v>0</v>
      </c>
      <c r="AW16" s="2684">
        <v>0</v>
      </c>
      <c r="AX16" s="2684">
        <v>22</v>
      </c>
      <c r="AY16" s="2684">
        <v>29</v>
      </c>
      <c r="AZ16" s="2684">
        <v>35</v>
      </c>
      <c r="BA16" s="2684">
        <f>10+36</f>
        <v>46</v>
      </c>
      <c r="BB16" s="2684">
        <v>50</v>
      </c>
      <c r="BC16" s="2684">
        <v>50</v>
      </c>
      <c r="BD16" s="2684">
        <v>50</v>
      </c>
      <c r="BE16" s="2684">
        <f>BD16+4</f>
        <v>54</v>
      </c>
      <c r="BF16" s="2684">
        <v>71</v>
      </c>
      <c r="BG16" s="2684">
        <v>93</v>
      </c>
      <c r="BH16" s="2684">
        <v>98</v>
      </c>
      <c r="BI16" s="2684">
        <v>100</v>
      </c>
      <c r="BJ16" s="2684">
        <f t="shared" ref="BJ16:BP16" si="354">BI16</f>
        <v>100</v>
      </c>
      <c r="BK16" s="2684">
        <f t="shared" si="354"/>
        <v>100</v>
      </c>
      <c r="BL16" s="2684">
        <f t="shared" si="354"/>
        <v>100</v>
      </c>
      <c r="BM16" s="2684">
        <f t="shared" si="354"/>
        <v>100</v>
      </c>
      <c r="BN16" s="2684">
        <f t="shared" si="354"/>
        <v>100</v>
      </c>
      <c r="BO16" s="2684">
        <f t="shared" si="354"/>
        <v>100</v>
      </c>
      <c r="BP16" s="2684">
        <f t="shared" si="354"/>
        <v>100</v>
      </c>
      <c r="BQ16" s="2684">
        <v>100</v>
      </c>
      <c r="BR16" s="2684">
        <v>99</v>
      </c>
      <c r="BS16" s="2684">
        <v>99</v>
      </c>
      <c r="BT16" s="2684">
        <v>99</v>
      </c>
      <c r="BU16" s="2684">
        <v>99</v>
      </c>
      <c r="BV16" s="2684">
        <f>BU16</f>
        <v>99</v>
      </c>
      <c r="BW16" s="2684">
        <f t="shared" ref="BW16:DR16" si="355">BV16</f>
        <v>99</v>
      </c>
      <c r="BX16" s="2684">
        <f t="shared" si="355"/>
        <v>99</v>
      </c>
      <c r="BY16" s="2684">
        <v>99</v>
      </c>
      <c r="BZ16" s="2684">
        <v>99</v>
      </c>
      <c r="CA16" s="2684">
        <v>96</v>
      </c>
      <c r="CB16" s="2684">
        <f>CB17+CA16</f>
        <v>91</v>
      </c>
      <c r="CC16" s="2684">
        <f>CC17+CB16</f>
        <v>88</v>
      </c>
      <c r="CD16" s="2684">
        <f t="shared" si="355"/>
        <v>88</v>
      </c>
      <c r="CE16" s="2684">
        <f t="shared" si="355"/>
        <v>88</v>
      </c>
      <c r="CF16" s="2684">
        <f t="shared" si="355"/>
        <v>88</v>
      </c>
      <c r="CG16" s="2684">
        <f t="shared" si="355"/>
        <v>88</v>
      </c>
      <c r="CH16" s="2684">
        <f t="shared" si="355"/>
        <v>88</v>
      </c>
      <c r="CI16" s="2684">
        <f t="shared" si="355"/>
        <v>88</v>
      </c>
      <c r="CJ16" s="2684">
        <f>CI16+CJ17</f>
        <v>85</v>
      </c>
      <c r="CK16" s="2684">
        <v>85</v>
      </c>
      <c r="CL16" s="2684">
        <v>85</v>
      </c>
      <c r="CM16" s="2684">
        <v>85</v>
      </c>
      <c r="CN16" s="2684">
        <f t="shared" si="355"/>
        <v>85</v>
      </c>
      <c r="CO16" s="2684">
        <f t="shared" si="355"/>
        <v>85</v>
      </c>
      <c r="CP16" s="2684">
        <f t="shared" si="355"/>
        <v>85</v>
      </c>
      <c r="CQ16" s="2684">
        <f t="shared" si="355"/>
        <v>85</v>
      </c>
      <c r="CR16" s="2684">
        <f t="shared" si="355"/>
        <v>85</v>
      </c>
      <c r="CS16" s="2684">
        <f t="shared" si="355"/>
        <v>85</v>
      </c>
      <c r="CT16" s="2684">
        <f t="shared" si="355"/>
        <v>85</v>
      </c>
      <c r="CU16" s="2684">
        <f t="shared" si="355"/>
        <v>85</v>
      </c>
      <c r="CV16" s="2684">
        <f t="shared" si="355"/>
        <v>85</v>
      </c>
      <c r="CW16" s="2684">
        <f t="shared" si="355"/>
        <v>85</v>
      </c>
      <c r="CX16" s="2684">
        <f t="shared" si="355"/>
        <v>85</v>
      </c>
      <c r="CY16" s="2684">
        <f t="shared" si="355"/>
        <v>85</v>
      </c>
      <c r="CZ16" s="2684">
        <f t="shared" si="355"/>
        <v>85</v>
      </c>
      <c r="DA16" s="2684">
        <f t="shared" si="355"/>
        <v>85</v>
      </c>
      <c r="DB16" s="2684">
        <f t="shared" si="355"/>
        <v>85</v>
      </c>
      <c r="DC16" s="2684">
        <f t="shared" si="355"/>
        <v>85</v>
      </c>
      <c r="DD16" s="2684">
        <f t="shared" si="355"/>
        <v>85</v>
      </c>
      <c r="DE16" s="2684">
        <f t="shared" si="355"/>
        <v>85</v>
      </c>
      <c r="DF16" s="2684">
        <f t="shared" si="355"/>
        <v>85</v>
      </c>
      <c r="DG16" s="2684">
        <f t="shared" si="355"/>
        <v>85</v>
      </c>
      <c r="DH16" s="2684">
        <f t="shared" si="355"/>
        <v>85</v>
      </c>
      <c r="DI16" s="2684">
        <f t="shared" si="355"/>
        <v>85</v>
      </c>
      <c r="DJ16" s="2684">
        <f t="shared" si="355"/>
        <v>85</v>
      </c>
      <c r="DK16" s="2684">
        <f t="shared" si="355"/>
        <v>85</v>
      </c>
      <c r="DL16" s="2684">
        <f t="shared" si="355"/>
        <v>85</v>
      </c>
      <c r="DM16" s="2684">
        <f t="shared" si="355"/>
        <v>85</v>
      </c>
      <c r="DN16" s="2684">
        <f t="shared" si="355"/>
        <v>85</v>
      </c>
      <c r="DO16" s="2684">
        <f t="shared" si="355"/>
        <v>85</v>
      </c>
      <c r="DP16" s="2684">
        <f t="shared" si="355"/>
        <v>85</v>
      </c>
      <c r="DQ16" s="2684">
        <f t="shared" si="355"/>
        <v>85</v>
      </c>
      <c r="DR16" s="2684">
        <f t="shared" si="355"/>
        <v>85</v>
      </c>
      <c r="DS16" s="2684">
        <f t="shared" ref="DS16" si="356">DR16</f>
        <v>85</v>
      </c>
      <c r="DT16" s="2684">
        <f t="shared" ref="DT16" si="357">DS16</f>
        <v>85</v>
      </c>
      <c r="DU16" s="2684">
        <f t="shared" ref="DU16" si="358">DT16</f>
        <v>85</v>
      </c>
      <c r="DV16" s="2684">
        <f t="shared" ref="DV16" si="359">DU16</f>
        <v>85</v>
      </c>
      <c r="DW16" s="2684">
        <f t="shared" ref="DW16" si="360">DV16</f>
        <v>85</v>
      </c>
      <c r="DX16" s="2684">
        <f t="shared" ref="DX16" si="361">DW16</f>
        <v>85</v>
      </c>
      <c r="DY16" s="2684">
        <f t="shared" ref="DY16" si="362">DX16</f>
        <v>85</v>
      </c>
      <c r="DZ16" s="2684">
        <f t="shared" ref="DZ16" si="363">DY16</f>
        <v>85</v>
      </c>
      <c r="EA16" s="2684">
        <f t="shared" ref="EA16" si="364">DZ16</f>
        <v>85</v>
      </c>
      <c r="EB16" s="2684">
        <f t="shared" ref="EB16" si="365">EA16</f>
        <v>85</v>
      </c>
      <c r="EC16" s="2684">
        <f t="shared" ref="EC16" si="366">EB16</f>
        <v>85</v>
      </c>
      <c r="ED16" s="2684">
        <f t="shared" ref="ED16" si="367">EC16</f>
        <v>85</v>
      </c>
      <c r="EE16" s="2684">
        <f t="shared" ref="EE16" si="368">ED16</f>
        <v>85</v>
      </c>
      <c r="EF16" s="2684">
        <f t="shared" ref="EF16" si="369">EE16</f>
        <v>85</v>
      </c>
      <c r="EG16" s="2684">
        <f t="shared" ref="EG16" si="370">EF16</f>
        <v>85</v>
      </c>
      <c r="EH16" s="2684">
        <f t="shared" ref="EH16" si="371">EG16</f>
        <v>85</v>
      </c>
      <c r="EI16" s="2684">
        <f t="shared" ref="EI16" si="372">EH16</f>
        <v>85</v>
      </c>
      <c r="EJ16" s="2684">
        <f t="shared" ref="EJ16" si="373">EI16</f>
        <v>85</v>
      </c>
      <c r="EK16" s="2684">
        <f t="shared" ref="EK16" si="374">EJ16</f>
        <v>85</v>
      </c>
      <c r="EL16" s="2684">
        <f t="shared" ref="EL16" si="375">EK16</f>
        <v>85</v>
      </c>
      <c r="EM16" s="2684">
        <f t="shared" ref="EM16" si="376">EL16</f>
        <v>85</v>
      </c>
      <c r="EN16" s="2684">
        <f t="shared" ref="EN16" si="377">EM16</f>
        <v>85</v>
      </c>
      <c r="EO16" s="2684">
        <f t="shared" ref="EO16" si="378">EN16</f>
        <v>85</v>
      </c>
      <c r="EP16" s="2684">
        <f t="shared" ref="EP16" si="379">EO16</f>
        <v>85</v>
      </c>
      <c r="EQ16" s="2684">
        <f t="shared" ref="EQ16" si="380">EP16</f>
        <v>85</v>
      </c>
      <c r="ER16" s="2684">
        <f t="shared" ref="ER16" si="381">EQ16</f>
        <v>85</v>
      </c>
      <c r="ES16" s="2684">
        <f t="shared" ref="ES16" si="382">ER16</f>
        <v>85</v>
      </c>
      <c r="ET16" s="2684">
        <f t="shared" ref="ET16" si="383">ES16</f>
        <v>85</v>
      </c>
      <c r="EU16" s="2684">
        <f t="shared" ref="EU16" si="384">ET16</f>
        <v>85</v>
      </c>
      <c r="EV16" s="2684">
        <f t="shared" ref="EV16" si="385">EU16</f>
        <v>85</v>
      </c>
      <c r="EW16" s="2684">
        <f t="shared" ref="EW16" si="386">EV16</f>
        <v>85</v>
      </c>
      <c r="EX16" s="2684">
        <f t="shared" ref="EX16" si="387">EW16</f>
        <v>85</v>
      </c>
      <c r="EY16" s="2684">
        <f t="shared" ref="EY16" si="388">EX16</f>
        <v>85</v>
      </c>
      <c r="EZ16" s="2684">
        <f t="shared" ref="EZ16" si="389">EY16</f>
        <v>85</v>
      </c>
      <c r="FA16" s="2684">
        <f t="shared" ref="FA16" si="390">EZ16</f>
        <v>85</v>
      </c>
      <c r="FB16" s="2684">
        <f t="shared" ref="FB16" si="391">FA16</f>
        <v>85</v>
      </c>
      <c r="FC16" s="2684">
        <f t="shared" ref="FC16" si="392">FB16</f>
        <v>85</v>
      </c>
      <c r="FD16" s="2684">
        <f t="shared" ref="FD16" si="393">FC16</f>
        <v>85</v>
      </c>
      <c r="FE16" s="2684">
        <f t="shared" ref="FE16" si="394">FD16</f>
        <v>85</v>
      </c>
      <c r="FF16" s="2684">
        <f t="shared" ref="FF16" si="395">FE16</f>
        <v>85</v>
      </c>
      <c r="FG16" s="2684">
        <f t="shared" ref="FG16" si="396">FF16</f>
        <v>85</v>
      </c>
      <c r="FH16" s="2684">
        <f t="shared" ref="FH16" si="397">FG16</f>
        <v>85</v>
      </c>
      <c r="FI16" s="2684">
        <f t="shared" ref="FI16" si="398">FH16</f>
        <v>85</v>
      </c>
      <c r="FJ16" s="2684">
        <f t="shared" ref="FJ16" si="399">FI16</f>
        <v>85</v>
      </c>
      <c r="FK16" s="2684">
        <f t="shared" ref="FK16" si="400">FJ16</f>
        <v>85</v>
      </c>
      <c r="FL16" s="2684">
        <f t="shared" ref="FL16" si="401">FK16</f>
        <v>85</v>
      </c>
      <c r="FM16" s="2684">
        <f t="shared" ref="FM16" si="402">FL16</f>
        <v>85</v>
      </c>
      <c r="FN16" s="2684">
        <f t="shared" ref="FN16" si="403">FM16</f>
        <v>85</v>
      </c>
      <c r="FO16" s="2684">
        <f t="shared" ref="FO16" si="404">FN16</f>
        <v>85</v>
      </c>
      <c r="FP16" s="2684">
        <f t="shared" ref="FP16" si="405">FO16</f>
        <v>85</v>
      </c>
      <c r="FQ16" s="2684">
        <f t="shared" ref="FQ16" si="406">FP16</f>
        <v>85</v>
      </c>
      <c r="FR16" s="2684">
        <f t="shared" ref="FR16" si="407">FQ16</f>
        <v>85</v>
      </c>
      <c r="FS16" s="2684">
        <f t="shared" ref="FS16" si="408">FR16</f>
        <v>85</v>
      </c>
      <c r="FT16" s="2684">
        <f t="shared" ref="FT16" si="409">FS16</f>
        <v>85</v>
      </c>
      <c r="FU16" s="2684">
        <f t="shared" ref="FU16" si="410">FT16</f>
        <v>85</v>
      </c>
      <c r="FV16" s="2684">
        <f t="shared" ref="FV16" si="411">FU16</f>
        <v>85</v>
      </c>
      <c r="FW16" s="2684">
        <f t="shared" ref="FW16" si="412">FV16</f>
        <v>85</v>
      </c>
      <c r="FX16" s="2684">
        <f t="shared" ref="FX16" si="413">FW16</f>
        <v>85</v>
      </c>
      <c r="FY16" s="2684">
        <f t="shared" ref="FY16" si="414">FX16</f>
        <v>85</v>
      </c>
    </row>
    <row r="17" spans="1:181" s="2684" customFormat="1" hidden="1" outlineLevel="1">
      <c r="A17" s="3256" t="str">
        <f>A24</f>
        <v>(+/-)</v>
      </c>
      <c r="AW17" s="3257"/>
      <c r="AY17" s="2684">
        <f t="shared" ref="AY17:BI17" si="415">AY16-AX16</f>
        <v>7</v>
      </c>
      <c r="AZ17" s="2684">
        <f t="shared" si="415"/>
        <v>6</v>
      </c>
      <c r="BA17" s="2684">
        <f t="shared" si="415"/>
        <v>11</v>
      </c>
      <c r="BB17" s="2684">
        <f t="shared" si="415"/>
        <v>4</v>
      </c>
      <c r="BC17" s="2684">
        <f t="shared" si="415"/>
        <v>0</v>
      </c>
      <c r="BD17" s="2684">
        <f t="shared" si="415"/>
        <v>0</v>
      </c>
      <c r="BE17" s="2684">
        <f t="shared" si="415"/>
        <v>4</v>
      </c>
      <c r="BF17" s="2684">
        <f t="shared" si="415"/>
        <v>17</v>
      </c>
      <c r="BG17" s="2684">
        <f t="shared" si="415"/>
        <v>22</v>
      </c>
      <c r="BH17" s="2684">
        <f t="shared" si="415"/>
        <v>5</v>
      </c>
      <c r="BI17" s="2684">
        <f t="shared" si="415"/>
        <v>2</v>
      </c>
      <c r="BV17" s="2684">
        <v>0</v>
      </c>
      <c r="BW17" s="2684">
        <v>0</v>
      </c>
      <c r="BX17" s="2684">
        <v>0</v>
      </c>
      <c r="BY17" s="2684">
        <v>0</v>
      </c>
      <c r="BZ17" s="2684">
        <v>0</v>
      </c>
      <c r="CA17" s="2684">
        <v>0</v>
      </c>
      <c r="CB17" s="2684">
        <v>-5</v>
      </c>
      <c r="CC17" s="2684">
        <v>-3</v>
      </c>
      <c r="CD17" s="2684">
        <v>0</v>
      </c>
      <c r="CE17" s="2684">
        <v>0</v>
      </c>
      <c r="CF17" s="2684">
        <v>0</v>
      </c>
      <c r="CG17" s="2684">
        <v>0</v>
      </c>
      <c r="CH17" s="2684">
        <v>0</v>
      </c>
      <c r="CI17" s="2684">
        <v>0</v>
      </c>
      <c r="CJ17" s="2684">
        <v>-3</v>
      </c>
      <c r="CK17" s="2684">
        <v>0</v>
      </c>
      <c r="CL17" s="2684">
        <v>0</v>
      </c>
      <c r="CM17" s="2684">
        <v>0</v>
      </c>
      <c r="CN17" s="2684">
        <v>0</v>
      </c>
      <c r="CO17" s="2684">
        <v>0</v>
      </c>
      <c r="CP17" s="2684">
        <v>0</v>
      </c>
      <c r="CQ17" s="2684">
        <v>0</v>
      </c>
      <c r="CR17" s="2684">
        <v>0</v>
      </c>
      <c r="CS17" s="2684">
        <v>0</v>
      </c>
      <c r="CT17" s="2684">
        <v>0</v>
      </c>
      <c r="CU17" s="2684">
        <v>0</v>
      </c>
      <c r="CV17" s="2684">
        <v>0</v>
      </c>
      <c r="CW17" s="2684">
        <v>0</v>
      </c>
      <c r="CX17" s="2684">
        <v>0</v>
      </c>
      <c r="CY17" s="2684">
        <v>0</v>
      </c>
      <c r="CZ17" s="2684">
        <v>0</v>
      </c>
      <c r="DA17" s="2684">
        <v>0</v>
      </c>
      <c r="DB17" s="2684">
        <v>0</v>
      </c>
      <c r="DC17" s="2684">
        <v>0</v>
      </c>
      <c r="DD17" s="2684">
        <v>0</v>
      </c>
      <c r="DE17" s="2684">
        <v>0</v>
      </c>
      <c r="DF17" s="2684">
        <v>0</v>
      </c>
      <c r="DG17" s="2684">
        <v>0</v>
      </c>
      <c r="DH17" s="2684">
        <v>0</v>
      </c>
      <c r="DI17" s="2684">
        <v>0</v>
      </c>
      <c r="DJ17" s="2684">
        <v>0</v>
      </c>
      <c r="DK17" s="2684">
        <v>0</v>
      </c>
      <c r="DL17" s="2684">
        <v>0</v>
      </c>
      <c r="DM17" s="2684">
        <v>0</v>
      </c>
      <c r="DN17" s="2684">
        <v>0</v>
      </c>
      <c r="DO17" s="2684">
        <v>0</v>
      </c>
      <c r="DP17" s="2684">
        <v>0</v>
      </c>
      <c r="DQ17" s="2684">
        <v>0</v>
      </c>
      <c r="DR17" s="2684">
        <v>0</v>
      </c>
      <c r="DS17" s="2684">
        <v>1</v>
      </c>
      <c r="DT17" s="2684">
        <v>2</v>
      </c>
      <c r="DU17" s="2684">
        <v>3</v>
      </c>
      <c r="DV17" s="2684">
        <v>4</v>
      </c>
      <c r="DW17" s="2684">
        <v>5</v>
      </c>
      <c r="DX17" s="2684">
        <v>6</v>
      </c>
      <c r="DY17" s="2684">
        <v>7</v>
      </c>
      <c r="DZ17" s="2684">
        <v>8</v>
      </c>
      <c r="EA17" s="2684">
        <v>9</v>
      </c>
      <c r="EB17" s="2684">
        <v>10</v>
      </c>
      <c r="EC17" s="2684">
        <v>11</v>
      </c>
      <c r="ED17" s="2684">
        <v>12</v>
      </c>
      <c r="EE17" s="2684">
        <v>13</v>
      </c>
      <c r="EF17" s="2684">
        <v>14</v>
      </c>
      <c r="EG17" s="2684">
        <v>15</v>
      </c>
      <c r="EH17" s="2684">
        <v>16</v>
      </c>
      <c r="EI17" s="2684">
        <v>17</v>
      </c>
      <c r="EJ17" s="2684">
        <v>18</v>
      </c>
      <c r="EK17" s="2684">
        <v>19</v>
      </c>
      <c r="EL17" s="2684">
        <v>20</v>
      </c>
      <c r="EM17" s="2684">
        <v>21</v>
      </c>
      <c r="EN17" s="2684">
        <v>22</v>
      </c>
      <c r="EO17" s="2684">
        <v>23</v>
      </c>
      <c r="EP17" s="2684">
        <v>24</v>
      </c>
      <c r="EQ17" s="2684">
        <v>25</v>
      </c>
      <c r="ER17" s="2684">
        <v>26</v>
      </c>
      <c r="ES17" s="2684">
        <v>27</v>
      </c>
      <c r="ET17" s="2684">
        <v>28</v>
      </c>
      <c r="EU17" s="2684">
        <v>29</v>
      </c>
      <c r="EV17" s="2684">
        <v>30</v>
      </c>
      <c r="EW17" s="2684">
        <v>31</v>
      </c>
      <c r="EX17" s="2684">
        <v>32</v>
      </c>
      <c r="EY17" s="2684">
        <v>33</v>
      </c>
      <c r="EZ17" s="2684">
        <v>34</v>
      </c>
      <c r="FA17" s="2684">
        <v>35</v>
      </c>
      <c r="FB17" s="2684">
        <v>36</v>
      </c>
      <c r="FC17" s="2684">
        <v>37</v>
      </c>
      <c r="FD17" s="2684">
        <v>38</v>
      </c>
      <c r="FE17" s="2684">
        <v>39</v>
      </c>
      <c r="FF17" s="2684">
        <v>40</v>
      </c>
      <c r="FG17" s="2684">
        <v>41</v>
      </c>
      <c r="FH17" s="2684">
        <v>42</v>
      </c>
      <c r="FI17" s="2684">
        <v>43</v>
      </c>
      <c r="FJ17" s="2684">
        <v>44</v>
      </c>
      <c r="FK17" s="2684">
        <v>45</v>
      </c>
      <c r="FL17" s="2684">
        <v>46</v>
      </c>
      <c r="FM17" s="2684">
        <v>47</v>
      </c>
      <c r="FN17" s="2684">
        <v>48</v>
      </c>
      <c r="FO17" s="2684">
        <v>49</v>
      </c>
      <c r="FP17" s="2684">
        <v>50</v>
      </c>
      <c r="FQ17" s="2684">
        <v>51</v>
      </c>
      <c r="FR17" s="2684">
        <v>52</v>
      </c>
      <c r="FS17" s="2684">
        <v>53</v>
      </c>
      <c r="FT17" s="2684">
        <v>54</v>
      </c>
      <c r="FU17" s="2684">
        <v>55</v>
      </c>
      <c r="FV17" s="2684">
        <v>56</v>
      </c>
      <c r="FW17" s="2684">
        <v>57</v>
      </c>
      <c r="FX17" s="2684">
        <v>58</v>
      </c>
      <c r="FY17" s="2684">
        <v>59</v>
      </c>
    </row>
    <row r="18" spans="1:181" s="2684" customFormat="1" hidden="1" outlineLevel="1">
      <c r="A18" s="3256" t="str">
        <f>A25</f>
        <v>Average REV per store (bnVND/Store)</v>
      </c>
      <c r="AX18" s="3258">
        <f>AX14/AVERAGE(AX16)/2</f>
        <v>8</v>
      </c>
      <c r="AY18" s="3258">
        <f t="shared" ref="AY18:BD18" si="416">AY14/AVERAGE(AX16:AY16)</f>
        <v>4.6274509803921573</v>
      </c>
      <c r="AZ18" s="3258">
        <f t="shared" si="416"/>
        <v>6.25</v>
      </c>
      <c r="BA18" s="3258">
        <f t="shared" si="416"/>
        <v>4.1975308641975309</v>
      </c>
      <c r="BB18" s="3258">
        <f t="shared" si="416"/>
        <v>3.3333333333333335</v>
      </c>
      <c r="BC18" s="3258">
        <f t="shared" si="416"/>
        <v>6.6</v>
      </c>
      <c r="BD18" s="3258">
        <f t="shared" si="416"/>
        <v>3.2</v>
      </c>
      <c r="BE18" s="3259">
        <f>BD18*0.8</f>
        <v>2.5600000000000005</v>
      </c>
      <c r="BF18" s="3259">
        <f ca="1">BF14/AVERAGE(BE16:BF16)</f>
        <v>2.7549300305669178</v>
      </c>
      <c r="BG18" s="3259">
        <v>4</v>
      </c>
      <c r="BH18" s="3259">
        <f>BG18*0.8</f>
        <v>3.2</v>
      </c>
      <c r="BI18" s="3259">
        <f ca="1">BI14/AVERAGE(BH16:BI16)</f>
        <v>4.5169251156565675</v>
      </c>
      <c r="BJ18" s="3259">
        <f ca="1">BI18*0.7</f>
        <v>3.1618475809595972</v>
      </c>
      <c r="BK18" s="3259">
        <f ca="1">BJ18</f>
        <v>3.1618475809595972</v>
      </c>
      <c r="BL18" s="3259">
        <f ca="1">BK18*0.95</f>
        <v>3.0037552019116172</v>
      </c>
      <c r="BM18" s="3259">
        <f ca="1">BL18*1.1</f>
        <v>3.3041307221027791</v>
      </c>
      <c r="BN18" s="3259">
        <f ca="1">BM18</f>
        <v>3.3041307221027791</v>
      </c>
      <c r="BO18" s="3259">
        <f ca="1">BN18</f>
        <v>3.3041307221027791</v>
      </c>
      <c r="BP18" s="3259">
        <f ca="1">BO18</f>
        <v>3.3041307221027791</v>
      </c>
      <c r="BQ18" s="3259">
        <f ca="1">BP18-0.2</f>
        <v>3.104130722102779</v>
      </c>
      <c r="BR18" s="3259">
        <v>3.104130722102779</v>
      </c>
      <c r="BS18" s="3259">
        <v>3.8</v>
      </c>
      <c r="BT18" s="3259">
        <v>3.6618475809595972</v>
      </c>
      <c r="BU18" s="3259">
        <v>3.5</v>
      </c>
      <c r="BV18" s="3259">
        <f ca="1">BJ18*(1+BV19)</f>
        <v>3.3831769116267694</v>
      </c>
      <c r="BW18" s="3259">
        <f t="shared" ref="BW18:CG18" ca="1" si="417">BK18*(1+BW19)</f>
        <v>3.3831769116267694</v>
      </c>
      <c r="BX18" s="3259">
        <f t="shared" ca="1" si="417"/>
        <v>3.2140180660454307</v>
      </c>
      <c r="BY18" s="3259">
        <v>3.4693372582079181</v>
      </c>
      <c r="BZ18" s="3259">
        <v>3.4693372582079181</v>
      </c>
      <c r="CA18" s="3259">
        <f t="shared" ca="1" si="417"/>
        <v>3.4693372582079181</v>
      </c>
      <c r="CB18" s="3259">
        <f t="shared" ca="1" si="417"/>
        <v>3.4693372582079181</v>
      </c>
      <c r="CC18" s="3259">
        <f t="shared" ca="1" si="417"/>
        <v>3.2593372582079181</v>
      </c>
      <c r="CD18" s="3259">
        <f t="shared" si="417"/>
        <v>3.2593372582079181</v>
      </c>
      <c r="CE18" s="3259">
        <f t="shared" si="417"/>
        <v>3.9899999999999998</v>
      </c>
      <c r="CF18" s="3259">
        <f t="shared" si="417"/>
        <v>3.8449399600075771</v>
      </c>
      <c r="CG18" s="3259">
        <f t="shared" si="417"/>
        <v>3.6750000000000003</v>
      </c>
      <c r="CH18" s="3259">
        <f ca="1">BV18*(1+CH19)</f>
        <v>3.552335757208108</v>
      </c>
      <c r="CI18" s="3259">
        <f t="shared" ref="CI18:DR18" ca="1" si="418">BW18*(1+CI19)</f>
        <v>3.552335757208108</v>
      </c>
      <c r="CJ18" s="3259">
        <f t="shared" ca="1" si="418"/>
        <v>3.3747189693477022</v>
      </c>
      <c r="CK18" s="3259">
        <v>3.642804121118314</v>
      </c>
      <c r="CL18" s="3259">
        <v>3.642804121118314</v>
      </c>
      <c r="CM18" s="3259">
        <v>3.642804121118314</v>
      </c>
      <c r="CN18" s="3259">
        <f t="shared" ca="1" si="418"/>
        <v>3.642804121118314</v>
      </c>
      <c r="CO18" s="3259">
        <f ca="1">CC18*(1+CO19)</f>
        <v>3.4223041211183141</v>
      </c>
      <c r="CP18" s="3259">
        <f t="shared" si="418"/>
        <v>3.4223041211183141</v>
      </c>
      <c r="CQ18" s="3259">
        <f t="shared" si="418"/>
        <v>4.1894999999999998</v>
      </c>
      <c r="CR18" s="3259">
        <f t="shared" si="418"/>
        <v>4.0371869580079558</v>
      </c>
      <c r="CS18" s="3259">
        <f t="shared" si="418"/>
        <v>3.8587500000000006</v>
      </c>
      <c r="CT18" s="3259">
        <f t="shared" ca="1" si="418"/>
        <v>3.7299525450685134</v>
      </c>
      <c r="CU18" s="3259">
        <f t="shared" ca="1" si="418"/>
        <v>3.7299525450685134</v>
      </c>
      <c r="CV18" s="3259">
        <f t="shared" ca="1" si="418"/>
        <v>3.5434549178150876</v>
      </c>
      <c r="CW18" s="3259">
        <f t="shared" si="418"/>
        <v>3.8249443271742298</v>
      </c>
      <c r="CX18" s="3259">
        <f t="shared" si="418"/>
        <v>3.8249443271742298</v>
      </c>
      <c r="CY18" s="3259">
        <f t="shared" si="418"/>
        <v>3.8249443271742298</v>
      </c>
      <c r="CZ18" s="3259">
        <f t="shared" ca="1" si="418"/>
        <v>3.8249443271742298</v>
      </c>
      <c r="DA18" s="3259">
        <f t="shared" ca="1" si="418"/>
        <v>3.5934193271742298</v>
      </c>
      <c r="DB18" s="3259">
        <f t="shared" si="418"/>
        <v>3.5934193271742298</v>
      </c>
      <c r="DC18" s="3259">
        <f t="shared" si="418"/>
        <v>4.3989750000000001</v>
      </c>
      <c r="DD18" s="3259">
        <f t="shared" si="418"/>
        <v>4.2390463059083539</v>
      </c>
      <c r="DE18" s="3259">
        <f t="shared" si="418"/>
        <v>4.0516875000000008</v>
      </c>
      <c r="DF18" s="3259">
        <f t="shared" ca="1" si="418"/>
        <v>3.9164501723219391</v>
      </c>
      <c r="DG18" s="3259">
        <f t="shared" ca="1" si="418"/>
        <v>3.9164501723219391</v>
      </c>
      <c r="DH18" s="3259">
        <f t="shared" ca="1" si="418"/>
        <v>3.7206276637058422</v>
      </c>
      <c r="DI18" s="3259">
        <f t="shared" si="418"/>
        <v>4.0161915435329414</v>
      </c>
      <c r="DJ18" s="3259">
        <f t="shared" si="418"/>
        <v>4.0161915435329414</v>
      </c>
      <c r="DK18" s="3259">
        <f t="shared" si="418"/>
        <v>4.0161915435329414</v>
      </c>
      <c r="DL18" s="3259">
        <f t="shared" ca="1" si="418"/>
        <v>4.0161915435329414</v>
      </c>
      <c r="DM18" s="3259">
        <f t="shared" ca="1" si="418"/>
        <v>3.7730902935329413</v>
      </c>
      <c r="DN18" s="3259">
        <f t="shared" si="418"/>
        <v>3.7730902935329413</v>
      </c>
      <c r="DO18" s="3259">
        <f t="shared" si="418"/>
        <v>4.6189237500000004</v>
      </c>
      <c r="DP18" s="3259">
        <f t="shared" si="418"/>
        <v>4.4509986212037713</v>
      </c>
      <c r="DQ18" s="3259">
        <f t="shared" si="418"/>
        <v>4.2542718750000006</v>
      </c>
      <c r="DR18" s="3259">
        <f t="shared" ca="1" si="418"/>
        <v>4.1122726809380366</v>
      </c>
      <c r="DS18" s="3259">
        <f t="shared" ref="DS18" ca="1" si="419">DG18*(1+DS19)</f>
        <v>4.1122726809380366</v>
      </c>
      <c r="DT18" s="3259">
        <f t="shared" ref="DT18" ca="1" si="420">DH18*(1+DT19)</f>
        <v>3.9066590468911344</v>
      </c>
      <c r="DU18" s="3259">
        <f t="shared" ref="DU18" si="421">DI18*(1+DU19)</f>
        <v>4.2170011207095888</v>
      </c>
      <c r="DV18" s="3259">
        <f t="shared" ref="DV18" si="422">DJ18*(1+DV19)</f>
        <v>4.2170011207095888</v>
      </c>
      <c r="DW18" s="3259">
        <f t="shared" ref="DW18" si="423">DK18*(1+DW19)</f>
        <v>4.2170011207095888</v>
      </c>
      <c r="DX18" s="3259">
        <f t="shared" ref="DX18" ca="1" si="424">DL18*(1+DX19)</f>
        <v>4.2170011207095888</v>
      </c>
      <c r="DY18" s="3259">
        <f t="shared" ref="DY18" ca="1" si="425">DM18*(1+DY19)</f>
        <v>3.9617448082095885</v>
      </c>
      <c r="DZ18" s="3259">
        <f t="shared" ref="DZ18" si="426">DN18*(1+DZ19)</f>
        <v>3.9617448082095885</v>
      </c>
      <c r="EA18" s="3259">
        <f t="shared" ref="EA18" si="427">DO18*(1+EA19)</f>
        <v>4.8498699375000003</v>
      </c>
      <c r="EB18" s="3259">
        <f t="shared" ref="EB18" si="428">DP18*(1+EB19)</f>
        <v>4.6735485522639602</v>
      </c>
      <c r="EC18" s="3259">
        <f t="shared" ref="EC18" si="429">DQ18*(1+EC19)</f>
        <v>4.4669854687500008</v>
      </c>
      <c r="ED18" s="3259">
        <f t="shared" ref="ED18" ca="1" si="430">DR18*(1+ED19)</f>
        <v>4.3178863149849382</v>
      </c>
      <c r="EE18" s="3259">
        <f t="shared" ref="EE18" ca="1" si="431">DS18*(1+EE19)</f>
        <v>4.2356408613661776</v>
      </c>
      <c r="EF18" s="3259">
        <f t="shared" ref="EF18" ca="1" si="432">DT18*(1+EF19)</f>
        <v>4.0238588182978683</v>
      </c>
      <c r="EG18" s="3259">
        <f t="shared" ref="EG18" si="433">DU18*(1+EG19)</f>
        <v>4.3435111543308764</v>
      </c>
      <c r="EH18" s="3259">
        <f t="shared" ref="EH18" si="434">DV18*(1+EH19)</f>
        <v>4.3435111543308764</v>
      </c>
      <c r="EI18" s="3259">
        <f t="shared" ref="EI18" si="435">DW18*(1+EI19)</f>
        <v>4.3435111543308764</v>
      </c>
      <c r="EJ18" s="3259">
        <f t="shared" ref="EJ18" ca="1" si="436">DX18*(1+EJ19)</f>
        <v>4.3435111543308764</v>
      </c>
      <c r="EK18" s="3259">
        <f t="shared" ref="EK18" ca="1" si="437">DY18*(1+EK19)</f>
        <v>4.0805971524558764</v>
      </c>
      <c r="EL18" s="3259">
        <f t="shared" ref="EL18" si="438">DZ18*(1+EL19)</f>
        <v>4.0805971524558764</v>
      </c>
      <c r="EM18" s="3259">
        <f t="shared" ref="EM18" si="439">EA18*(1+EM19)</f>
        <v>4.9953660356250005</v>
      </c>
      <c r="EN18" s="3259">
        <f t="shared" ref="EN18" si="440">EB18*(1+EN19)</f>
        <v>4.8137550088318788</v>
      </c>
      <c r="EO18" s="3259">
        <f t="shared" ref="EO18" si="441">EC18*(1+EO19)</f>
        <v>4.6009950328125013</v>
      </c>
      <c r="EP18" s="3259">
        <f t="shared" ref="EP18" ca="1" si="442">ED18*(1+EP19)</f>
        <v>4.4474229044344868</v>
      </c>
      <c r="EQ18" s="3259">
        <f t="shared" ref="EQ18" ca="1" si="443">EE18*(1+EQ19)</f>
        <v>4.3627100872071631</v>
      </c>
      <c r="ER18" s="3259">
        <f t="shared" ref="ER18" ca="1" si="444">EF18*(1+ER19)</f>
        <v>4.1445745828468041</v>
      </c>
      <c r="ES18" s="3259">
        <f t="shared" ref="ES18" si="445">EG18*(1+ES19)</f>
        <v>4.4738164889608028</v>
      </c>
      <c r="ET18" s="3259">
        <f t="shared" ref="ET18" si="446">EH18*(1+ET19)</f>
        <v>4.4738164889608028</v>
      </c>
      <c r="EU18" s="3259">
        <f t="shared" ref="EU18" si="447">EI18*(1+EU19)</f>
        <v>4.4738164889608028</v>
      </c>
      <c r="EV18" s="3259">
        <f t="shared" ref="EV18" ca="1" si="448">EJ18*(1+EV19)</f>
        <v>4.4738164889608028</v>
      </c>
      <c r="EW18" s="3259">
        <f t="shared" ref="EW18" ca="1" si="449">EK18*(1+EW19)</f>
        <v>4.2030150670295532</v>
      </c>
      <c r="EX18" s="3259">
        <f t="shared" ref="EX18" si="450">EL18*(1+EX19)</f>
        <v>4.2030150670295532</v>
      </c>
      <c r="EY18" s="3259">
        <f t="shared" ref="EY18" si="451">EM18*(1+EY19)</f>
        <v>5.1452270166937506</v>
      </c>
      <c r="EZ18" s="3259">
        <f t="shared" ref="EZ18" si="452">EN18*(1+EZ19)</f>
        <v>4.9581676590968353</v>
      </c>
      <c r="FA18" s="3259">
        <f t="shared" ref="FA18" si="453">EO18*(1+FA19)</f>
        <v>4.7390248837968763</v>
      </c>
      <c r="FB18" s="3259">
        <f t="shared" ref="FB18" ca="1" si="454">EP18*(1+FB19)</f>
        <v>4.5808455915675212</v>
      </c>
      <c r="FC18" s="3259">
        <f t="shared" ref="FC18" ca="1" si="455">EQ18*(1+FC19)</f>
        <v>4.4935913898233784</v>
      </c>
      <c r="FD18" s="3259">
        <f t="shared" ref="FD18" ca="1" si="456">ER18*(1+FD19)</f>
        <v>4.2689118203322085</v>
      </c>
      <c r="FE18" s="3259">
        <f t="shared" ref="FE18" si="457">ES18*(1+FE19)</f>
        <v>4.6080309836296269</v>
      </c>
      <c r="FF18" s="3259">
        <f t="shared" ref="FF18" si="458">ET18*(1+FF19)</f>
        <v>4.6080309836296269</v>
      </c>
      <c r="FG18" s="3259">
        <f t="shared" ref="FG18" si="459">EU18*(1+FG19)</f>
        <v>4.6080309836296269</v>
      </c>
      <c r="FH18" s="3259">
        <f t="shared" ref="FH18" ca="1" si="460">EV18*(1+FH19)</f>
        <v>4.6080309836296269</v>
      </c>
      <c r="FI18" s="3259">
        <f t="shared" ref="FI18" ca="1" si="461">EW18*(1+FI19)</f>
        <v>4.3291055190404402</v>
      </c>
      <c r="FJ18" s="3259">
        <f t="shared" ref="FJ18" si="462">EX18*(1+FJ19)</f>
        <v>4.3291055190404402</v>
      </c>
      <c r="FK18" s="3259">
        <f t="shared" ref="FK18" si="463">EY18*(1+FK19)</f>
        <v>5.2995838271945637</v>
      </c>
      <c r="FL18" s="3259">
        <f t="shared" ref="FL18" si="464">EZ18*(1+FL19)</f>
        <v>5.1069126888697403</v>
      </c>
      <c r="FM18" s="3259">
        <f t="shared" ref="FM18" si="465">FA18*(1+FM19)</f>
        <v>4.8811956303107831</v>
      </c>
      <c r="FN18" s="3259">
        <f t="shared" ref="FN18" ca="1" si="466">FB18*(1+FN19)</f>
        <v>4.7182709593145473</v>
      </c>
      <c r="FO18" s="3259">
        <f t="shared" ref="FO18" ca="1" si="467">FC18*(1+FO19)</f>
        <v>4.6283991315180799</v>
      </c>
      <c r="FP18" s="3259">
        <f t="shared" ref="FP18" ca="1" si="468">FD18*(1+FP19)</f>
        <v>4.3969791749421745</v>
      </c>
      <c r="FQ18" s="3259">
        <f t="shared" ref="FQ18" si="469">FE18*(1+FQ19)</f>
        <v>4.746271913138516</v>
      </c>
      <c r="FR18" s="3259">
        <f t="shared" ref="FR18" si="470">FF18*(1+FR19)</f>
        <v>4.746271913138516</v>
      </c>
      <c r="FS18" s="3259">
        <f t="shared" ref="FS18" si="471">FG18*(1+FS19)</f>
        <v>4.746271913138516</v>
      </c>
      <c r="FT18" s="3259">
        <f t="shared" ref="FT18" ca="1" si="472">FH18*(1+FT19)</f>
        <v>4.746271913138516</v>
      </c>
      <c r="FU18" s="3259">
        <f t="shared" ref="FU18" ca="1" si="473">FI18*(1+FU19)</f>
        <v>4.4589786846116537</v>
      </c>
      <c r="FV18" s="3259">
        <f t="shared" ref="FV18" si="474">FJ18*(1+FV19)</f>
        <v>4.4589786846116537</v>
      </c>
      <c r="FW18" s="3259">
        <f t="shared" ref="FW18" si="475">FK18*(1+FW19)</f>
        <v>5.4585713420104005</v>
      </c>
      <c r="FX18" s="3259">
        <f t="shared" ref="FX18" si="476">FL18*(1+FX19)</f>
        <v>5.2601200695358328</v>
      </c>
      <c r="FY18" s="3259">
        <f t="shared" ref="FY18" si="477">FM18*(1+FY19)</f>
        <v>5.0276314992201065</v>
      </c>
    </row>
    <row r="19" spans="1:181" s="2684" customFormat="1" hidden="1" outlineLevel="1">
      <c r="A19" s="3256" t="str">
        <f>A26</f>
        <v>%YoY</v>
      </c>
      <c r="BD19" s="3260"/>
      <c r="BE19" s="3260"/>
      <c r="BV19" s="3261">
        <v>7.0000000000000007E-2</v>
      </c>
      <c r="BW19" s="3261">
        <v>7.0000000000000007E-2</v>
      </c>
      <c r="BX19" s="3261">
        <v>7.0000000000000007E-2</v>
      </c>
      <c r="BY19" s="3261">
        <v>0.05</v>
      </c>
      <c r="BZ19" s="3261">
        <v>0.05</v>
      </c>
      <c r="CA19" s="3261">
        <v>0.05</v>
      </c>
      <c r="CB19" s="3261">
        <v>0.05</v>
      </c>
      <c r="CC19" s="3261">
        <v>0.05</v>
      </c>
      <c r="CD19" s="3261">
        <v>0.05</v>
      </c>
      <c r="CE19" s="3261">
        <v>0.05</v>
      </c>
      <c r="CF19" s="3261">
        <v>0.05</v>
      </c>
      <c r="CG19" s="3261">
        <v>0.05</v>
      </c>
      <c r="CH19" s="3261">
        <v>0.05</v>
      </c>
      <c r="CI19" s="3261">
        <v>0.05</v>
      </c>
      <c r="CJ19" s="3261">
        <v>0.05</v>
      </c>
      <c r="CK19" s="3261">
        <v>0.05</v>
      </c>
      <c r="CL19" s="3261">
        <v>0.05</v>
      </c>
      <c r="CM19" s="3261">
        <v>0.05</v>
      </c>
      <c r="CN19" s="3261">
        <v>0.05</v>
      </c>
      <c r="CO19" s="3261">
        <v>0.05</v>
      </c>
      <c r="CP19" s="3261">
        <v>0.05</v>
      </c>
      <c r="CQ19" s="3261">
        <v>0.05</v>
      </c>
      <c r="CR19" s="3261">
        <v>0.05</v>
      </c>
      <c r="CS19" s="3261">
        <v>0.05</v>
      </c>
      <c r="CT19" s="3261">
        <v>0.05</v>
      </c>
      <c r="CU19" s="3261">
        <v>0.05</v>
      </c>
      <c r="CV19" s="3261">
        <v>0.05</v>
      </c>
      <c r="CW19" s="3261">
        <v>0.05</v>
      </c>
      <c r="CX19" s="3261">
        <v>0.05</v>
      </c>
      <c r="CY19" s="3261">
        <v>0.05</v>
      </c>
      <c r="CZ19" s="3261">
        <v>0.05</v>
      </c>
      <c r="DA19" s="3261">
        <v>0.05</v>
      </c>
      <c r="DB19" s="3261">
        <v>0.05</v>
      </c>
      <c r="DC19" s="3261">
        <v>0.05</v>
      </c>
      <c r="DD19" s="3261">
        <v>0.05</v>
      </c>
      <c r="DE19" s="3261">
        <v>0.05</v>
      </c>
      <c r="DF19" s="3261">
        <v>0.05</v>
      </c>
      <c r="DG19" s="3261">
        <v>0.05</v>
      </c>
      <c r="DH19" s="3261">
        <v>0.05</v>
      </c>
      <c r="DI19" s="3261">
        <v>0.05</v>
      </c>
      <c r="DJ19" s="3261">
        <v>0.05</v>
      </c>
      <c r="DK19" s="3261">
        <v>0.05</v>
      </c>
      <c r="DL19" s="3261">
        <v>0.05</v>
      </c>
      <c r="DM19" s="3261">
        <v>0.05</v>
      </c>
      <c r="DN19" s="3261">
        <v>0.05</v>
      </c>
      <c r="DO19" s="3261">
        <v>0.05</v>
      </c>
      <c r="DP19" s="3261">
        <v>0.05</v>
      </c>
      <c r="DQ19" s="3261">
        <v>0.05</v>
      </c>
      <c r="DR19" s="3261">
        <v>0.05</v>
      </c>
      <c r="DS19" s="3261">
        <v>0.05</v>
      </c>
      <c r="DT19" s="3261">
        <v>0.05</v>
      </c>
      <c r="DU19" s="3261">
        <v>0.05</v>
      </c>
      <c r="DV19" s="3261">
        <v>0.05</v>
      </c>
      <c r="DW19" s="3261">
        <v>0.05</v>
      </c>
      <c r="DX19" s="3261">
        <v>0.05</v>
      </c>
      <c r="DY19" s="3261">
        <v>0.05</v>
      </c>
      <c r="DZ19" s="3261">
        <v>0.05</v>
      </c>
      <c r="EA19" s="3261">
        <v>0.05</v>
      </c>
      <c r="EB19" s="3261">
        <v>0.05</v>
      </c>
      <c r="EC19" s="3261">
        <v>0.05</v>
      </c>
      <c r="ED19" s="3261">
        <v>0.05</v>
      </c>
      <c r="EE19" s="3261">
        <f>EE13</f>
        <v>0.03</v>
      </c>
      <c r="EF19" s="3261">
        <f t="shared" ref="EF19:FY19" si="478">EF13</f>
        <v>0.03</v>
      </c>
      <c r="EG19" s="3261">
        <f t="shared" si="478"/>
        <v>0.03</v>
      </c>
      <c r="EH19" s="3261">
        <f t="shared" si="478"/>
        <v>0.03</v>
      </c>
      <c r="EI19" s="3261">
        <f t="shared" si="478"/>
        <v>0.03</v>
      </c>
      <c r="EJ19" s="3261">
        <f t="shared" si="478"/>
        <v>0.03</v>
      </c>
      <c r="EK19" s="3261">
        <f t="shared" si="478"/>
        <v>0.03</v>
      </c>
      <c r="EL19" s="3261">
        <f t="shared" si="478"/>
        <v>0.03</v>
      </c>
      <c r="EM19" s="3261">
        <f t="shared" si="478"/>
        <v>0.03</v>
      </c>
      <c r="EN19" s="3261">
        <f t="shared" si="478"/>
        <v>0.03</v>
      </c>
      <c r="EO19" s="3261">
        <f t="shared" si="478"/>
        <v>0.03</v>
      </c>
      <c r="EP19" s="3261">
        <f t="shared" si="478"/>
        <v>0.03</v>
      </c>
      <c r="EQ19" s="3261">
        <f t="shared" si="478"/>
        <v>0.03</v>
      </c>
      <c r="ER19" s="3261">
        <f t="shared" si="478"/>
        <v>0.03</v>
      </c>
      <c r="ES19" s="3261">
        <f t="shared" si="478"/>
        <v>0.03</v>
      </c>
      <c r="ET19" s="3261">
        <f t="shared" si="478"/>
        <v>0.03</v>
      </c>
      <c r="EU19" s="3261">
        <f t="shared" si="478"/>
        <v>0.03</v>
      </c>
      <c r="EV19" s="3261">
        <f t="shared" si="478"/>
        <v>0.03</v>
      </c>
      <c r="EW19" s="3261">
        <f t="shared" si="478"/>
        <v>0.03</v>
      </c>
      <c r="EX19" s="3261">
        <f t="shared" si="478"/>
        <v>0.03</v>
      </c>
      <c r="EY19" s="3261">
        <f t="shared" si="478"/>
        <v>0.03</v>
      </c>
      <c r="EZ19" s="3261">
        <f t="shared" si="478"/>
        <v>0.03</v>
      </c>
      <c r="FA19" s="3261">
        <f t="shared" si="478"/>
        <v>0.03</v>
      </c>
      <c r="FB19" s="3261">
        <f t="shared" si="478"/>
        <v>0.03</v>
      </c>
      <c r="FC19" s="3261">
        <f t="shared" si="478"/>
        <v>0.03</v>
      </c>
      <c r="FD19" s="3261">
        <f t="shared" si="478"/>
        <v>0.03</v>
      </c>
      <c r="FE19" s="3261">
        <f t="shared" si="478"/>
        <v>0.03</v>
      </c>
      <c r="FF19" s="3261">
        <f t="shared" si="478"/>
        <v>0.03</v>
      </c>
      <c r="FG19" s="3261">
        <f t="shared" si="478"/>
        <v>0.03</v>
      </c>
      <c r="FH19" s="3261">
        <f t="shared" si="478"/>
        <v>0.03</v>
      </c>
      <c r="FI19" s="3261">
        <f t="shared" si="478"/>
        <v>0.03</v>
      </c>
      <c r="FJ19" s="3261">
        <f t="shared" si="478"/>
        <v>0.03</v>
      </c>
      <c r="FK19" s="3261">
        <f t="shared" si="478"/>
        <v>0.03</v>
      </c>
      <c r="FL19" s="3261">
        <f t="shared" si="478"/>
        <v>0.03</v>
      </c>
      <c r="FM19" s="3261">
        <f t="shared" si="478"/>
        <v>0.03</v>
      </c>
      <c r="FN19" s="3261">
        <f t="shared" si="478"/>
        <v>0.03</v>
      </c>
      <c r="FO19" s="3261">
        <f t="shared" si="478"/>
        <v>0.03</v>
      </c>
      <c r="FP19" s="3261">
        <f t="shared" si="478"/>
        <v>0.03</v>
      </c>
      <c r="FQ19" s="3261">
        <f t="shared" si="478"/>
        <v>0.03</v>
      </c>
      <c r="FR19" s="3261">
        <f t="shared" si="478"/>
        <v>0.03</v>
      </c>
      <c r="FS19" s="3261">
        <f t="shared" si="478"/>
        <v>0.03</v>
      </c>
      <c r="FT19" s="3261">
        <f t="shared" si="478"/>
        <v>0.03</v>
      </c>
      <c r="FU19" s="3261">
        <f t="shared" si="478"/>
        <v>0.03</v>
      </c>
      <c r="FV19" s="3261">
        <f t="shared" si="478"/>
        <v>0.03</v>
      </c>
      <c r="FW19" s="3261">
        <f t="shared" si="478"/>
        <v>0.03</v>
      </c>
      <c r="FX19" s="3261">
        <f t="shared" si="478"/>
        <v>0.03</v>
      </c>
      <c r="FY19" s="3261">
        <f t="shared" si="478"/>
        <v>0.03</v>
      </c>
    </row>
    <row r="20" spans="1:181" s="2230" customFormat="1" collapsed="1">
      <c r="A20" s="3065" t="s">
        <v>37</v>
      </c>
      <c r="B20" s="3065">
        <v>4167</v>
      </c>
      <c r="C20" s="3065">
        <v>4664</v>
      </c>
      <c r="D20" s="3065">
        <v>2946</v>
      </c>
      <c r="E20" s="3065">
        <v>4590</v>
      </c>
      <c r="F20" s="3065">
        <v>4214</v>
      </c>
      <c r="G20" s="3065">
        <v>4368</v>
      </c>
      <c r="H20" s="3065">
        <v>3910</v>
      </c>
      <c r="I20" s="3065">
        <v>3566</v>
      </c>
      <c r="J20" s="3065">
        <v>3592</v>
      </c>
      <c r="K20" s="3065">
        <v>3548</v>
      </c>
      <c r="L20" s="3065">
        <v>3570</v>
      </c>
      <c r="M20" s="3065">
        <v>4448.9595000000118</v>
      </c>
      <c r="N20" s="3065">
        <v>6507</v>
      </c>
      <c r="O20" s="3065">
        <v>3954</v>
      </c>
      <c r="P20" s="3065">
        <v>4098.8940000000021</v>
      </c>
      <c r="Q20" s="3065">
        <v>5640.33</v>
      </c>
      <c r="R20" s="3065">
        <v>5042.3359999999957</v>
      </c>
      <c r="S20" s="3065">
        <v>5121.1890000000058</v>
      </c>
      <c r="T20" s="3065">
        <v>5340.6449999999968</v>
      </c>
      <c r="U20" s="3065">
        <v>4027.6059999999998</v>
      </c>
      <c r="V20" s="3065">
        <v>4329.9619999999995</v>
      </c>
      <c r="W20" s="3065">
        <v>4271.0380000000005</v>
      </c>
      <c r="X20" s="3065">
        <v>4552</v>
      </c>
      <c r="Y20" s="3065">
        <v>5354.179999999993</v>
      </c>
      <c r="Z20" s="3065">
        <v>7360.16</v>
      </c>
      <c r="AA20" s="3065">
        <v>4676.866</v>
      </c>
      <c r="AB20" s="3065">
        <v>4459.3600000000024</v>
      </c>
      <c r="AC20" s="3065">
        <v>4328.3339999999989</v>
      </c>
      <c r="AD20" s="3065">
        <v>6483.1799999999967</v>
      </c>
      <c r="AE20" s="3065">
        <v>4406.3299999999981</v>
      </c>
      <c r="AF20" s="3065">
        <v>4298.2500000000073</v>
      </c>
      <c r="AG20" s="3065">
        <v>4193.989999999998</v>
      </c>
      <c r="AH20" s="3065">
        <v>4049.0180000000037</v>
      </c>
      <c r="AI20" s="3065">
        <v>4219.3879999999917</v>
      </c>
      <c r="AJ20" s="3065">
        <v>4652.7640000000101</v>
      </c>
      <c r="AK20" s="3065">
        <v>4618.8319999999949</v>
      </c>
      <c r="AL20" s="3065">
        <v>6154.2930000000006</v>
      </c>
      <c r="AM20" s="3065">
        <v>5943.1900000000014</v>
      </c>
      <c r="AN20" s="3065">
        <v>4518.2699999999986</v>
      </c>
      <c r="AO20" s="3065">
        <v>4903.1150000000016</v>
      </c>
      <c r="AP20" s="3065">
        <v>6158.351999999999</v>
      </c>
      <c r="AQ20" s="3065">
        <v>5628.3509999999951</v>
      </c>
      <c r="AR20" s="3065">
        <v>3695.2330000000075</v>
      </c>
      <c r="AS20" s="3065">
        <v>2325.1909999999989</v>
      </c>
      <c r="AT20" s="3065">
        <v>4084.0049999999974</v>
      </c>
      <c r="AU20" s="3065">
        <v>4138.777841066847</v>
      </c>
      <c r="AV20" s="3065">
        <v>8235.2441589331647</v>
      </c>
      <c r="AW20" s="3065">
        <v>6924.55799999999</v>
      </c>
      <c r="AX20" s="3065">
        <f>AX32-AX7-AX14</f>
        <v>14272.271000000001</v>
      </c>
      <c r="AY20" s="3065">
        <f>0.549*SUM('quý 1.22'!AL12)-Rev_Month!AX20</f>
        <v>5941.4554632048312</v>
      </c>
      <c r="AZ20" s="3065">
        <f>39100-SUM(AX20:AY20)-SUM(AX7:AZ7)-SUM(AX14:AZ14)</f>
        <v>5458.8245367951677</v>
      </c>
      <c r="BA20" s="3065"/>
      <c r="BB20" s="3065"/>
      <c r="BC20" s="3065">
        <f>0.538*SUM('quý 1.22'!AL12:AM12)-SUM(AX20:AZ20)</f>
        <v>12806.292654478384</v>
      </c>
      <c r="BD20" s="3065">
        <f>44000-SUM(AX20:BC20)</f>
        <v>5521.1563455216165</v>
      </c>
      <c r="BE20" s="3065">
        <f>48800-SUM(AX20:BD20)</f>
        <v>4800</v>
      </c>
      <c r="BF20" s="3065">
        <f>54000-SUM($AX$20:BE20)</f>
        <v>5200</v>
      </c>
      <c r="BG20" s="3065">
        <f>59300-SUM($AX$20:BF20)</f>
        <v>5300</v>
      </c>
      <c r="BH20" s="3065">
        <f>64300-SUM(AX20:BG20)</f>
        <v>5000</v>
      </c>
      <c r="BI20" s="3065">
        <f>133404.777*51.7%-SUM(AX20:BH20)</f>
        <v>4670.2697090000001</v>
      </c>
      <c r="BJ20" s="3233">
        <f>BJ69/2</f>
        <v>4847.55</v>
      </c>
      <c r="BK20" s="3233">
        <f>BJ20</f>
        <v>4847.55</v>
      </c>
      <c r="BL20" s="3233">
        <f>49.3%*26990-SUM(BJ20:BK20)</f>
        <v>3610.9699999999993</v>
      </c>
      <c r="BM20" s="3233">
        <f ca="1">0.501*SUM($BJ$5:BM5)-SUM($BJ$20:BL20)</f>
        <v>5154.2770000000019</v>
      </c>
      <c r="BN20" s="3233">
        <f ca="1">0.506*SUM($BJ$5:BN5)-SUM($BJ$20:BM20)</f>
        <v>5394.5169999999998</v>
      </c>
      <c r="BO20" s="3233">
        <f ca="1">0.499*SUM($BJ$5:BO5)-SUM($BJ$20:BN20)</f>
        <v>4373.5659999999989</v>
      </c>
      <c r="BP20" s="3233">
        <f ca="1">0.491*SUM($BJ$5:BP5)-SUM($BJ$20:BO20)</f>
        <v>4418.16</v>
      </c>
      <c r="BQ20" s="3233">
        <f ca="1">0.486*SUM($BJ$5:BQ5)-SUM($BJ$20:BP20)</f>
        <v>4510.5399999999972</v>
      </c>
      <c r="BR20" s="3233">
        <f ca="1">0.48*SUM($BJ$5:BR5)-SUM($BJ$20:BQ20)</f>
        <v>4534.7099999999991</v>
      </c>
      <c r="BS20" s="3233">
        <f ca="1">0.473*SUM($BJ$5:BS5)-SUM($BJ$20:BR20)</f>
        <v>4683.9179999999978</v>
      </c>
      <c r="BT20" s="3233">
        <f ca="1">0.469*SUM($BJ$5:BT5)-SUM($BJ$20:BS20)</f>
        <v>4254.6680000000051</v>
      </c>
      <c r="BU20" s="3233">
        <f ca="1">0.467*SUM($BJ$5:BU5)-SUM($BJ$20:BT20)</f>
        <v>4606.3340000000026</v>
      </c>
      <c r="BV20" s="3233">
        <f ca="1">0.477*SUM(BV5:BW5)/2</f>
        <v>5154.7004999999999</v>
      </c>
      <c r="BW20" s="3233">
        <f ca="1">BV20</f>
        <v>5154.7004999999999</v>
      </c>
      <c r="BX20" s="3233">
        <f ca="1">SUM(BV5:BX5)*0.462-SUM(BV20:BW20)</f>
        <v>4237.3573800000013</v>
      </c>
      <c r="BY20" s="3233">
        <v>5939.8056199999974</v>
      </c>
      <c r="BZ20" s="3233">
        <f ca="1">54240*0.474-SUM($BV$20:BY20)</f>
        <v>5223.1959999999999</v>
      </c>
      <c r="CA20" s="3233">
        <f ca="1">65621*0.469-SUM($BV$20:BZ20)</f>
        <v>5066.4890000000014</v>
      </c>
      <c r="CB20" s="3233">
        <f ca="1">76541*0.462-SUM($BV$20:CA20)</f>
        <v>4585.6930000000029</v>
      </c>
      <c r="CC20" s="3233">
        <f ca="1">87967*0.457-SUM($BV$20:CB20)</f>
        <v>4838.976999999999</v>
      </c>
      <c r="CD20" s="3233">
        <f ca="1">99767*0.452-SUM($BV$20:CC20)</f>
        <v>4893.7649999999994</v>
      </c>
      <c r="CE20" s="3233">
        <f ca="1">111353*0.448-SUM($BV$20:CD20)</f>
        <v>4791.4599999999991</v>
      </c>
      <c r="CF20" s="3233">
        <f ca="1">122298*0.4444-SUM($BV$20:CE20)</f>
        <v>4463.0872000000018</v>
      </c>
      <c r="CG20" s="3233">
        <f ca="1">'FS Year'!$W$2*44.3%-SUM(Rev_Month!BV20:CF20)</f>
        <v>5555.4886754534455</v>
      </c>
      <c r="CH20" s="3233">
        <f t="shared" ref="CH20" ca="1" si="479">CH23*CH25</f>
        <v>5106.178747405801</v>
      </c>
      <c r="CI20" s="3233">
        <f ca="1">SUM(CH5:CI5)*0.459-CH20</f>
        <v>6150.3372525941986</v>
      </c>
      <c r="CJ20" s="3233">
        <f ca="1">SUM($CH$5:CJ$5)*0.442-SUM($CH20:CI20)</f>
        <v>4715.1356208483776</v>
      </c>
      <c r="CK20" s="3233">
        <v>5661.5812084038444</v>
      </c>
      <c r="CL20" s="3233">
        <v>5671.4285623281394</v>
      </c>
      <c r="CM20" s="3233">
        <v>5612.8825083033007</v>
      </c>
      <c r="CN20" s="3233">
        <f ca="1">0.445*SUM($CH5:CN5)-SUM($CH20:CM20)</f>
        <v>5578.0711001163363</v>
      </c>
      <c r="CO20" s="3233">
        <f ca="1">0.446*SUM($CH5:CO5)-SUM($CH20:CN20)</f>
        <v>6015.6310000000012</v>
      </c>
      <c r="CP20" s="3233">
        <f ca="1">0.444*SUM($CH5:CP5)-SUM($CH20:CO20)</f>
        <v>5854.3380000000034</v>
      </c>
      <c r="CQ20" s="3233">
        <f ca="1">0.44*SUM($CH5:CQ5)-SUM($CH20:CP20)</f>
        <v>6081.5760000000009</v>
      </c>
      <c r="CR20" s="3233">
        <f ca="1">0.439*SUM($CH5:CR5)-SUM($CH20:CQ20)</f>
        <v>6023.4179999999978</v>
      </c>
      <c r="CS20" s="3065">
        <f t="shared" ref="CS20:CT20" ca="1" si="480">CS23*CS25</f>
        <v>6906.6941927943781</v>
      </c>
      <c r="CT20" s="3065">
        <f t="shared" ca="1" si="480"/>
        <v>5893.9459984609275</v>
      </c>
      <c r="CU20" s="3065">
        <f t="shared" ref="CU20:DK20" ca="1" si="481">CU23*CU25</f>
        <v>5895.2922629649156</v>
      </c>
      <c r="CV20" s="3065">
        <f t="shared" ca="1" si="481"/>
        <v>5442.5738109577533</v>
      </c>
      <c r="CW20" s="3065">
        <f t="shared" si="481"/>
        <v>6538.2600123033762</v>
      </c>
      <c r="CX20" s="3065">
        <f t="shared" si="481"/>
        <v>6552.8665856051321</v>
      </c>
      <c r="CY20" s="3065">
        <f t="shared" si="481"/>
        <v>6488.4256236795445</v>
      </c>
      <c r="CZ20" s="3065">
        <f t="shared" ca="1" si="481"/>
        <v>6452.9663853469447</v>
      </c>
      <c r="DA20" s="3065">
        <f t="shared" ca="1" si="481"/>
        <v>6959.1555813695932</v>
      </c>
      <c r="DB20" s="3065">
        <f t="shared" ca="1" si="481"/>
        <v>6779.2683520712735</v>
      </c>
      <c r="DC20" s="3065">
        <f t="shared" ca="1" si="481"/>
        <v>7051.1323085827562</v>
      </c>
      <c r="DD20" s="3065">
        <f t="shared" ca="1" si="481"/>
        <v>6985.4332406245321</v>
      </c>
      <c r="DE20" s="3065">
        <f t="shared" ca="1" si="481"/>
        <v>8011.7652636414778</v>
      </c>
      <c r="DF20" s="3065">
        <f t="shared" ca="1" si="481"/>
        <v>6601.2195182762398</v>
      </c>
      <c r="DG20" s="3065">
        <f t="shared" ca="1" si="481"/>
        <v>6602.7273345207059</v>
      </c>
      <c r="DH20" s="3065">
        <f t="shared" ca="1" si="481"/>
        <v>6095.6826682726842</v>
      </c>
      <c r="DI20" s="3065">
        <f t="shared" si="481"/>
        <v>7322.8512137797825</v>
      </c>
      <c r="DJ20" s="3065">
        <f t="shared" si="481"/>
        <v>7339.2105758777489</v>
      </c>
      <c r="DK20" s="3065">
        <f t="shared" si="481"/>
        <v>7267.0366985210903</v>
      </c>
      <c r="DL20" s="3065">
        <f t="shared" ref="DL20:DR20" ca="1" si="482">DL23*DL25</f>
        <v>7227.3223515885784</v>
      </c>
      <c r="DM20" s="3065">
        <f t="shared" ca="1" si="482"/>
        <v>7794.2542511339443</v>
      </c>
      <c r="DN20" s="3065">
        <f t="shared" ca="1" si="482"/>
        <v>7592.7805543198274</v>
      </c>
      <c r="DO20" s="3065">
        <f t="shared" ca="1" si="482"/>
        <v>7897.2681856126874</v>
      </c>
      <c r="DP20" s="3065">
        <f t="shared" ca="1" si="482"/>
        <v>7823.6852294994769</v>
      </c>
      <c r="DQ20" s="3065">
        <f t="shared" ca="1" si="482"/>
        <v>8973.1770952784555</v>
      </c>
      <c r="DR20" s="3065">
        <f t="shared" ca="1" si="482"/>
        <v>7393.3658604693892</v>
      </c>
      <c r="DS20" s="3065">
        <f t="shared" ref="DS20:FY20" ca="1" si="483">DS23*DS25</f>
        <v>7395.0546146631914</v>
      </c>
      <c r="DT20" s="3065">
        <f t="shared" ca="1" si="483"/>
        <v>6827.1645884654072</v>
      </c>
      <c r="DU20" s="3065">
        <f t="shared" si="483"/>
        <v>8201.5933594333565</v>
      </c>
      <c r="DV20" s="3065">
        <f t="shared" si="483"/>
        <v>8219.9158449830793</v>
      </c>
      <c r="DW20" s="3065">
        <f t="shared" si="483"/>
        <v>8139.0811023436208</v>
      </c>
      <c r="DX20" s="3065">
        <f t="shared" ca="1" si="483"/>
        <v>8094.6010337792086</v>
      </c>
      <c r="DY20" s="3065">
        <f t="shared" ca="1" si="483"/>
        <v>8729.5647612700195</v>
      </c>
      <c r="DZ20" s="3065">
        <f t="shared" ca="1" si="483"/>
        <v>8503.9142208382073</v>
      </c>
      <c r="EA20" s="3065">
        <f t="shared" ca="1" si="483"/>
        <v>8844.9403678862109</v>
      </c>
      <c r="EB20" s="3065">
        <f t="shared" ca="1" si="483"/>
        <v>8762.527457039414</v>
      </c>
      <c r="EC20" s="3065">
        <f t="shared" ca="1" si="483"/>
        <v>10049.958346711872</v>
      </c>
      <c r="ED20" s="3065">
        <f t="shared" ca="1" si="483"/>
        <v>8132.7024465163286</v>
      </c>
      <c r="EE20" s="3065">
        <f t="shared" ca="1" si="483"/>
        <v>8134.5600761295109</v>
      </c>
      <c r="EF20" s="3065">
        <f t="shared" ca="1" si="483"/>
        <v>7509.8810473119474</v>
      </c>
      <c r="EG20" s="3065">
        <f t="shared" si="483"/>
        <v>9021.7526953766937</v>
      </c>
      <c r="EH20" s="3065">
        <f t="shared" si="483"/>
        <v>9041.907429481389</v>
      </c>
      <c r="EI20" s="3065">
        <f t="shared" si="483"/>
        <v>8952.9892125779843</v>
      </c>
      <c r="EJ20" s="3065">
        <f t="shared" ca="1" si="483"/>
        <v>8904.0611371571304</v>
      </c>
      <c r="EK20" s="3065">
        <f t="shared" ca="1" si="483"/>
        <v>9602.5212373970207</v>
      </c>
      <c r="EL20" s="3065">
        <f t="shared" ca="1" si="483"/>
        <v>9354.3056429220287</v>
      </c>
      <c r="EM20" s="3065">
        <f t="shared" ca="1" si="483"/>
        <v>9729.434404674832</v>
      </c>
      <c r="EN20" s="3065">
        <f t="shared" ca="1" si="483"/>
        <v>9638.7802027433554</v>
      </c>
      <c r="EO20" s="3065">
        <f t="shared" ca="1" si="483"/>
        <v>11054.95418138306</v>
      </c>
      <c r="EP20" s="3065">
        <f t="shared" ca="1" si="483"/>
        <v>8945.9726911679627</v>
      </c>
      <c r="EQ20" s="3065">
        <f t="shared" ca="1" si="483"/>
        <v>8948.0160837424628</v>
      </c>
      <c r="ER20" s="3065">
        <f t="shared" ca="1" si="483"/>
        <v>8260.8691520431439</v>
      </c>
      <c r="ES20" s="3065">
        <f t="shared" si="483"/>
        <v>9923.9279649143627</v>
      </c>
      <c r="ET20" s="3065">
        <f t="shared" si="483"/>
        <v>9946.0981724295289</v>
      </c>
      <c r="EU20" s="3065">
        <f t="shared" si="483"/>
        <v>9848.2881338357838</v>
      </c>
      <c r="EV20" s="3065">
        <f t="shared" ca="1" si="483"/>
        <v>9794.4672508728454</v>
      </c>
      <c r="EW20" s="3065">
        <f t="shared" ca="1" si="483"/>
        <v>10562.773361136724</v>
      </c>
      <c r="EX20" s="3065">
        <f t="shared" ca="1" si="483"/>
        <v>10289.736207214231</v>
      </c>
      <c r="EY20" s="3065">
        <f t="shared" ca="1" si="483"/>
        <v>10702.377845142315</v>
      </c>
      <c r="EZ20" s="3065">
        <f t="shared" ca="1" si="483"/>
        <v>10602.658223017692</v>
      </c>
      <c r="FA20" s="3065">
        <f t="shared" ca="1" si="483"/>
        <v>12160.449599521367</v>
      </c>
      <c r="FB20" s="3065">
        <f t="shared" ca="1" si="483"/>
        <v>9840.5699602847581</v>
      </c>
      <c r="FC20" s="3065">
        <f t="shared" ca="1" si="483"/>
        <v>9842.8176921167105</v>
      </c>
      <c r="FD20" s="3065">
        <f t="shared" ca="1" si="483"/>
        <v>9086.9560672474581</v>
      </c>
      <c r="FE20" s="3065">
        <f t="shared" si="483"/>
        <v>10916.320761405799</v>
      </c>
      <c r="FF20" s="3065">
        <f t="shared" si="483"/>
        <v>10940.707989672483</v>
      </c>
      <c r="FG20" s="3065">
        <f t="shared" si="483"/>
        <v>10833.116947219363</v>
      </c>
      <c r="FH20" s="3065">
        <f t="shared" ca="1" si="483"/>
        <v>10773.913975960131</v>
      </c>
      <c r="FI20" s="3065">
        <f t="shared" ca="1" si="483"/>
        <v>11619.050697250399</v>
      </c>
      <c r="FJ20" s="3065">
        <f t="shared" ca="1" si="483"/>
        <v>11318.709827935656</v>
      </c>
      <c r="FK20" s="3065">
        <f t="shared" ca="1" si="483"/>
        <v>11772.615629656548</v>
      </c>
      <c r="FL20" s="3065">
        <f t="shared" ca="1" si="483"/>
        <v>11662.924045319463</v>
      </c>
      <c r="FM20" s="3065">
        <f t="shared" ca="1" si="483"/>
        <v>13376.494559473504</v>
      </c>
      <c r="FN20" s="3065">
        <f t="shared" ca="1" si="483"/>
        <v>10824.626956313234</v>
      </c>
      <c r="FO20" s="3065">
        <f t="shared" ca="1" si="483"/>
        <v>10827.099461328384</v>
      </c>
      <c r="FP20" s="3065">
        <f t="shared" ca="1" si="483"/>
        <v>9995.6516739722047</v>
      </c>
      <c r="FQ20" s="3065">
        <f t="shared" si="483"/>
        <v>12007.95283754638</v>
      </c>
      <c r="FR20" s="3065">
        <f t="shared" si="483"/>
        <v>12034.778788639733</v>
      </c>
      <c r="FS20" s="3065">
        <f t="shared" si="483"/>
        <v>11916.428641941302</v>
      </c>
      <c r="FT20" s="3065">
        <f t="shared" ca="1" si="483"/>
        <v>11851.305373556144</v>
      </c>
      <c r="FU20" s="3065">
        <f t="shared" ca="1" si="483"/>
        <v>12780.955766975439</v>
      </c>
      <c r="FV20" s="3065">
        <f t="shared" ca="1" si="483"/>
        <v>12450.580810729221</v>
      </c>
      <c r="FW20" s="3065">
        <f t="shared" ca="1" si="483"/>
        <v>12949.877192622203</v>
      </c>
      <c r="FX20" s="3065">
        <f t="shared" ca="1" si="483"/>
        <v>12829.21644985141</v>
      </c>
      <c r="FY20" s="3065">
        <f t="shared" ca="1" si="483"/>
        <v>14714.144015420856</v>
      </c>
    </row>
    <row r="21" spans="1:181" s="3241" customFormat="1" outlineLevel="1">
      <c r="A21" s="3239" t="s">
        <v>32</v>
      </c>
      <c r="B21" s="3239">
        <f>B7/B5</f>
        <v>0.44418989436171569</v>
      </c>
      <c r="C21" s="3239">
        <f t="shared" ref="C21:M21" si="484">C7/C5</f>
        <v>0.39475327920049968</v>
      </c>
      <c r="D21" s="3239">
        <f t="shared" si="484"/>
        <v>0.47802469135802467</v>
      </c>
      <c r="E21" s="3239">
        <f t="shared" si="484"/>
        <v>0.37228822314049587</v>
      </c>
      <c r="F21" s="3239">
        <f t="shared" si="484"/>
        <v>0.38459452129102251</v>
      </c>
      <c r="G21" s="3239">
        <f t="shared" si="484"/>
        <v>0.36953907815631265</v>
      </c>
      <c r="H21" s="3239">
        <f t="shared" si="484"/>
        <v>0.39381153305203936</v>
      </c>
      <c r="I21" s="3239">
        <f t="shared" si="484"/>
        <v>0.4285304659498208</v>
      </c>
      <c r="J21" s="3239">
        <f t="shared" si="484"/>
        <v>0.40891045434494927</v>
      </c>
      <c r="K21" s="3239">
        <f t="shared" si="484"/>
        <v>0.4088633686690224</v>
      </c>
      <c r="L21" s="3239">
        <f t="shared" si="484"/>
        <v>0.39943720379146919</v>
      </c>
      <c r="M21" s="3239">
        <f t="shared" si="484"/>
        <v>0.33440485324576685</v>
      </c>
      <c r="N21" s="3239">
        <f>N20/N$5</f>
        <v>0.62869565217391299</v>
      </c>
      <c r="O21" s="3239">
        <f t="shared" ref="O21:AW21" si="485">O20/O$5</f>
        <v>0.56116945784842465</v>
      </c>
      <c r="P21" s="3239">
        <f t="shared" si="485"/>
        <v>0.53784201548353261</v>
      </c>
      <c r="Q21" s="3239">
        <f t="shared" si="485"/>
        <v>0.6194761120263591</v>
      </c>
      <c r="R21" s="3239">
        <f t="shared" si="485"/>
        <v>0.58212145001154414</v>
      </c>
      <c r="S21" s="3239">
        <f t="shared" si="485"/>
        <v>0.57264776920496541</v>
      </c>
      <c r="T21" s="3239">
        <f t="shared" si="485"/>
        <v>0.58037872201695251</v>
      </c>
      <c r="U21" s="3239">
        <f t="shared" si="485"/>
        <v>0.50815114812011097</v>
      </c>
      <c r="V21" s="3239">
        <f t="shared" si="485"/>
        <v>0.51806197654941366</v>
      </c>
      <c r="W21" s="3239">
        <f t="shared" si="485"/>
        <v>0.53656256281407044</v>
      </c>
      <c r="X21" s="3239">
        <f t="shared" si="485"/>
        <v>0.54430228386942481</v>
      </c>
      <c r="Y21" s="3239">
        <f t="shared" si="485"/>
        <v>0.58914832746478796</v>
      </c>
      <c r="Z21" s="3239">
        <f t="shared" si="485"/>
        <v>0.58599999999999997</v>
      </c>
      <c r="AA21" s="3239">
        <f t="shared" si="485"/>
        <v>0.58599999999999997</v>
      </c>
      <c r="AB21" s="3239">
        <f t="shared" si="485"/>
        <v>0.50605537902859765</v>
      </c>
      <c r="AC21" s="3239">
        <f t="shared" si="485"/>
        <v>0.55278850574712635</v>
      </c>
      <c r="AD21" s="3239">
        <f t="shared" si="485"/>
        <v>0.62888543990687717</v>
      </c>
      <c r="AE21" s="3239">
        <f t="shared" si="485"/>
        <v>0.54085307475144206</v>
      </c>
      <c r="AF21" s="3239">
        <f t="shared" si="485"/>
        <v>0.49581843349867427</v>
      </c>
      <c r="AG21" s="3239">
        <f t="shared" si="485"/>
        <v>0.48418263680443291</v>
      </c>
      <c r="AH21" s="3239">
        <f t="shared" si="485"/>
        <v>0.48306108327368213</v>
      </c>
      <c r="AI21" s="3239">
        <f t="shared" si="485"/>
        <v>0.48221577142857047</v>
      </c>
      <c r="AJ21" s="3239">
        <f t="shared" si="485"/>
        <v>0.50562529884807761</v>
      </c>
      <c r="AK21" s="3239">
        <f t="shared" si="485"/>
        <v>0.49976541874053182</v>
      </c>
      <c r="AL21" s="3239">
        <f t="shared" si="485"/>
        <v>0.55700000000000005</v>
      </c>
      <c r="AM21" s="3239">
        <f t="shared" si="485"/>
        <v>0.55700000000000016</v>
      </c>
      <c r="AN21" s="3239">
        <f t="shared" si="485"/>
        <v>0.4960770750988141</v>
      </c>
      <c r="AO21" s="3239">
        <f t="shared" si="485"/>
        <v>0.5095733735190191</v>
      </c>
      <c r="AP21" s="3239">
        <f t="shared" si="485"/>
        <v>0.54110816272735252</v>
      </c>
      <c r="AQ21" s="3239">
        <f t="shared" si="485"/>
        <v>0.52813652998029414</v>
      </c>
      <c r="AR21" s="3239">
        <f t="shared" si="485"/>
        <v>0.38901284345720683</v>
      </c>
      <c r="AS21" s="3239">
        <f t="shared" si="485"/>
        <v>0.35722707021047762</v>
      </c>
      <c r="AT21" s="3239">
        <f t="shared" si="485"/>
        <v>0.49057117117117088</v>
      </c>
      <c r="AU21" s="3239">
        <f t="shared" si="485"/>
        <v>0.33963382907162704</v>
      </c>
      <c r="AV21" s="3239">
        <f t="shared" si="485"/>
        <v>0.71461681351381157</v>
      </c>
      <c r="AW21" s="3239">
        <f t="shared" si="485"/>
        <v>0.55717396202124159</v>
      </c>
      <c r="AX21" s="3239">
        <f t="shared" ref="AX21:BE21" si="486">AX7/AU5</f>
        <v>0.54781954702117186</v>
      </c>
      <c r="AY21" s="3239">
        <f t="shared" si="486"/>
        <v>0.25413398125650821</v>
      </c>
      <c r="AZ21" s="3239">
        <f t="shared" si="486"/>
        <v>0.25370775667846795</v>
      </c>
      <c r="BA21" s="3239">
        <f t="shared" si="486"/>
        <v>0</v>
      </c>
      <c r="BB21" s="3239">
        <f t="shared" si="486"/>
        <v>0</v>
      </c>
      <c r="BC21" s="3239">
        <f t="shared" si="486"/>
        <v>0.46554932954444539</v>
      </c>
      <c r="BD21" s="3239">
        <f t="shared" si="486"/>
        <v>0.20497547302032235</v>
      </c>
      <c r="BE21" s="3239">
        <f t="shared" si="486"/>
        <v>0.24928222996515681</v>
      </c>
      <c r="BF21" s="3239"/>
      <c r="BG21" s="3239"/>
      <c r="BH21" s="3239"/>
      <c r="BI21" s="3239"/>
      <c r="BJ21" s="2900"/>
      <c r="BK21" s="2900"/>
      <c r="BL21" s="2900"/>
      <c r="BM21" s="2900"/>
      <c r="BN21" s="2900"/>
      <c r="BO21" s="2900"/>
      <c r="BP21" s="2900"/>
      <c r="BQ21" s="2900"/>
      <c r="BR21" s="2900"/>
      <c r="BS21" s="2900"/>
      <c r="BT21" s="2900"/>
      <c r="BU21" s="2900"/>
      <c r="BV21" s="2900"/>
      <c r="BW21" s="2900"/>
      <c r="BX21" s="2900"/>
      <c r="BY21" s="2900"/>
      <c r="BZ21" s="2900"/>
      <c r="CA21" s="2900"/>
      <c r="CB21" s="2900"/>
      <c r="CC21" s="2900"/>
      <c r="CD21" s="2900"/>
      <c r="CE21" s="2900"/>
      <c r="CF21" s="2900"/>
      <c r="CG21" s="2900"/>
      <c r="CH21" s="2900"/>
      <c r="CI21" s="2900"/>
      <c r="CJ21" s="2900"/>
      <c r="CK21" s="2900"/>
      <c r="CL21" s="2900"/>
      <c r="CM21" s="2900"/>
      <c r="CN21" s="2900"/>
      <c r="CO21" s="2900"/>
      <c r="CP21" s="2900"/>
      <c r="CQ21" s="2900"/>
      <c r="CR21" s="3239"/>
      <c r="CS21" s="3239"/>
      <c r="CT21" s="3239"/>
      <c r="CU21" s="3239"/>
      <c r="CV21" s="3239"/>
      <c r="CW21" s="3239"/>
      <c r="CX21" s="3239"/>
      <c r="CY21" s="3239"/>
      <c r="CZ21" s="3239"/>
      <c r="DA21" s="3239"/>
      <c r="DB21" s="3239"/>
      <c r="DC21" s="3239"/>
      <c r="DD21" s="3239"/>
      <c r="DE21" s="3239"/>
      <c r="DF21" s="3239"/>
      <c r="DG21" s="3239"/>
      <c r="DH21" s="3239"/>
      <c r="DI21" s="3239"/>
      <c r="DJ21" s="3239"/>
      <c r="DK21" s="3239"/>
      <c r="DL21" s="3239"/>
      <c r="DM21" s="3239"/>
      <c r="DN21" s="3239"/>
      <c r="DO21" s="3239"/>
      <c r="DP21" s="3239"/>
      <c r="DQ21" s="3239"/>
      <c r="DR21" s="3239"/>
      <c r="DS21" s="3239"/>
      <c r="DT21" s="3239"/>
      <c r="DU21" s="3239"/>
      <c r="DV21" s="3239"/>
      <c r="DW21" s="3239"/>
      <c r="DX21" s="3239"/>
      <c r="DY21" s="3239"/>
      <c r="DZ21" s="3239"/>
      <c r="EA21" s="3239"/>
      <c r="EB21" s="3239"/>
      <c r="EC21" s="3239"/>
      <c r="ED21" s="3239"/>
      <c r="EE21" s="3239"/>
      <c r="EF21" s="3239"/>
      <c r="EG21" s="3239"/>
      <c r="EH21" s="3239"/>
      <c r="EI21" s="3239"/>
      <c r="EJ21" s="3239"/>
      <c r="EK21" s="3239"/>
      <c r="EL21" s="3239"/>
      <c r="EM21" s="3239"/>
      <c r="EN21" s="3239"/>
      <c r="EO21" s="3239"/>
      <c r="EP21" s="3239"/>
      <c r="EQ21" s="3239"/>
      <c r="ER21" s="3239"/>
      <c r="ES21" s="3239"/>
      <c r="ET21" s="3239"/>
      <c r="EU21" s="3239"/>
      <c r="EV21" s="3239"/>
      <c r="EW21" s="3239"/>
      <c r="EX21" s="3239"/>
      <c r="EY21" s="3239"/>
      <c r="EZ21" s="3239"/>
      <c r="FA21" s="3239"/>
      <c r="FB21" s="3239"/>
      <c r="FC21" s="3239"/>
      <c r="FD21" s="3239"/>
      <c r="FE21" s="3239"/>
      <c r="FF21" s="3239"/>
      <c r="FG21" s="3239"/>
      <c r="FH21" s="3239"/>
      <c r="FI21" s="3239"/>
      <c r="FJ21" s="3239"/>
      <c r="FK21" s="3239"/>
      <c r="FL21" s="3239"/>
      <c r="FM21" s="3239"/>
      <c r="FN21" s="3239"/>
      <c r="FO21" s="3239"/>
      <c r="FP21" s="3239"/>
      <c r="FQ21" s="3239"/>
      <c r="FR21" s="3239"/>
      <c r="FS21" s="3239"/>
      <c r="FT21" s="3239"/>
      <c r="FU21" s="3239"/>
      <c r="FV21" s="3239"/>
      <c r="FW21" s="3239"/>
      <c r="FX21" s="3239"/>
      <c r="FY21" s="3239"/>
    </row>
    <row r="22" spans="1:181" s="3243" customFormat="1" outlineLevel="1">
      <c r="A22" s="3242" t="s">
        <v>31</v>
      </c>
      <c r="B22" s="3242"/>
      <c r="C22" s="3242"/>
      <c r="D22" s="3242"/>
      <c r="E22" s="3242"/>
      <c r="F22" s="3242"/>
      <c r="G22" s="3242"/>
      <c r="H22" s="3242"/>
      <c r="I22" s="3242"/>
      <c r="J22" s="3242"/>
      <c r="K22" s="3242"/>
      <c r="L22" s="3242"/>
      <c r="M22" s="3242"/>
      <c r="N22" s="3242">
        <f t="shared" ref="N22:AW22" si="487">N20/B20-1</f>
        <v>0.56155507559395246</v>
      </c>
      <c r="O22" s="3242">
        <f t="shared" si="487"/>
        <v>-0.152229845626072</v>
      </c>
      <c r="P22" s="3242">
        <f t="shared" si="487"/>
        <v>0.39134215885947121</v>
      </c>
      <c r="Q22" s="3242">
        <f t="shared" si="487"/>
        <v>0.22883006535947703</v>
      </c>
      <c r="R22" s="3242">
        <f t="shared" si="487"/>
        <v>0.19656763170384339</v>
      </c>
      <c r="S22" s="3242">
        <f t="shared" si="487"/>
        <v>0.17243337912088053</v>
      </c>
      <c r="T22" s="3242">
        <f t="shared" si="487"/>
        <v>0.36589386189258222</v>
      </c>
      <c r="U22" s="3242">
        <f t="shared" si="487"/>
        <v>0.12944643858665161</v>
      </c>
      <c r="V22" s="3242">
        <f t="shared" si="487"/>
        <v>0.20544599109131401</v>
      </c>
      <c r="W22" s="3242">
        <f t="shared" si="487"/>
        <v>0.20378748590755369</v>
      </c>
      <c r="X22" s="3242">
        <f t="shared" si="487"/>
        <v>0.27507002801120439</v>
      </c>
      <c r="Y22" s="3242">
        <f t="shared" si="487"/>
        <v>0.2034679119915519</v>
      </c>
      <c r="Z22" s="3242">
        <f t="shared" si="487"/>
        <v>0.13111418472414327</v>
      </c>
      <c r="AA22" s="3242">
        <f t="shared" si="487"/>
        <v>0.18281891755184621</v>
      </c>
      <c r="AB22" s="3242">
        <f t="shared" si="487"/>
        <v>8.7942259546111679E-2</v>
      </c>
      <c r="AC22" s="3242">
        <f t="shared" si="487"/>
        <v>-0.2326097941077917</v>
      </c>
      <c r="AD22" s="3242">
        <f t="shared" si="487"/>
        <v>0.285749303497427</v>
      </c>
      <c r="AE22" s="3242">
        <f t="shared" si="487"/>
        <v>-0.13958848228409593</v>
      </c>
      <c r="AF22" s="3242">
        <f t="shared" si="487"/>
        <v>-0.19518148088854248</v>
      </c>
      <c r="AG22" s="3242">
        <f t="shared" si="487"/>
        <v>4.1310892872837623E-2</v>
      </c>
      <c r="AH22" s="3242">
        <f t="shared" si="487"/>
        <v>-6.4883710295839947E-2</v>
      </c>
      <c r="AI22" s="3242">
        <f t="shared" si="487"/>
        <v>-1.2093079012644892E-2</v>
      </c>
      <c r="AJ22" s="3242">
        <f t="shared" si="487"/>
        <v>2.2136203866434556E-2</v>
      </c>
      <c r="AK22" s="3242">
        <f t="shared" si="487"/>
        <v>-0.13734091868409337</v>
      </c>
      <c r="AL22" s="3242">
        <f t="shared" si="487"/>
        <v>-0.16383706332471026</v>
      </c>
      <c r="AM22" s="3242">
        <f t="shared" si="487"/>
        <v>0.27076337017139296</v>
      </c>
      <c r="AN22" s="3242">
        <f t="shared" si="487"/>
        <v>1.3210415844425283E-2</v>
      </c>
      <c r="AO22" s="3242">
        <f t="shared" si="487"/>
        <v>0.13279497377050919</v>
      </c>
      <c r="AP22" s="3242">
        <f t="shared" si="487"/>
        <v>-5.0103190101153716E-2</v>
      </c>
      <c r="AQ22" s="3242">
        <f t="shared" si="487"/>
        <v>0.27733306402380165</v>
      </c>
      <c r="AR22" s="3242">
        <f t="shared" si="487"/>
        <v>-0.14029360786366518</v>
      </c>
      <c r="AS22" s="3242">
        <f t="shared" si="487"/>
        <v>-0.44558976058598132</v>
      </c>
      <c r="AT22" s="3242">
        <f t="shared" si="487"/>
        <v>8.6408605740933009E-3</v>
      </c>
      <c r="AU22" s="3242">
        <f t="shared" si="487"/>
        <v>-1.9104704031282504E-2</v>
      </c>
      <c r="AV22" s="3242">
        <f t="shared" si="487"/>
        <v>0.76996816493016773</v>
      </c>
      <c r="AW22" s="3242">
        <f t="shared" si="487"/>
        <v>0.49920109672748381</v>
      </c>
      <c r="AX22" s="3242"/>
      <c r="AY22" s="3242"/>
      <c r="AZ22" s="3242"/>
      <c r="BA22" s="3242"/>
      <c r="BB22" s="3242"/>
      <c r="BC22" s="3242"/>
      <c r="BD22" s="3242"/>
      <c r="BE22" s="3242">
        <f>BE20/AS20-1</f>
        <v>1.0643465418539821</v>
      </c>
      <c r="BF22" s="3242">
        <f>BF20/AT20-1</f>
        <v>0.27325994948586096</v>
      </c>
      <c r="BG22" s="3242"/>
      <c r="BH22" s="3242"/>
      <c r="BI22" s="3242"/>
      <c r="BJ22" s="2900">
        <f>BJ20/($AX$20/2)-1</f>
        <v>-0.32070376186102412</v>
      </c>
      <c r="BK22" s="2900">
        <f>BK20/($AX$20/2)-1</f>
        <v>-0.32070376186102412</v>
      </c>
      <c r="BL22" s="2900">
        <f>BL20/AY20-1</f>
        <v>-0.39224151012111841</v>
      </c>
      <c r="BM22" s="2900">
        <f ca="1">BM20/AZ20-1</f>
        <v>-5.5789947953513663E-2</v>
      </c>
      <c r="BN22" s="2900">
        <f ca="1">BN20/($BC$20/2)-1</f>
        <v>-0.15752089296295646</v>
      </c>
      <c r="BO22" s="2900">
        <f ca="1">BO20/($BC$20/2)-1</f>
        <v>-0.31696610127513292</v>
      </c>
      <c r="BP22" s="2900">
        <f ca="1">BP20/BD20-1</f>
        <v>-0.19977632881493956</v>
      </c>
      <c r="BQ22" s="2900">
        <f ca="1">BQ20/BE20-1</f>
        <v>-6.0304166666667269E-2</v>
      </c>
      <c r="BR22" s="2900">
        <v>-0.17151169036739655</v>
      </c>
      <c r="BS22" s="2900">
        <v>-2.7433962264150846E-2</v>
      </c>
      <c r="BT22" s="2900">
        <v>3.8840000000000208E-2</v>
      </c>
      <c r="BU22" s="2900">
        <v>0.12066332912508893</v>
      </c>
      <c r="BV22" s="2900">
        <f t="shared" ref="BV22:DR22" ca="1" si="488">BV20/BJ20-1</f>
        <v>6.3362007612092652E-2</v>
      </c>
      <c r="BW22" s="2900">
        <f t="shared" ca="1" si="488"/>
        <v>6.3362007612092652E-2</v>
      </c>
      <c r="BX22" s="2900">
        <f ca="1">BX20/BL20-1</f>
        <v>0.17346789920713879</v>
      </c>
      <c r="BY22" s="2900">
        <v>0.15240326043788399</v>
      </c>
      <c r="BZ22" s="2900">
        <v>-3.1758357606436305E-2</v>
      </c>
      <c r="CA22" s="2900">
        <f t="shared" ca="1" si="488"/>
        <v>0.15843433024676035</v>
      </c>
      <c r="CB22" s="2900">
        <f t="shared" ca="1" si="488"/>
        <v>3.7919179024753058E-2</v>
      </c>
      <c r="CC22" s="2900">
        <f t="shared" ca="1" si="488"/>
        <v>7.2815450034807716E-2</v>
      </c>
      <c r="CD22" s="2900">
        <f t="shared" ca="1" si="488"/>
        <v>7.9179263944111122E-2</v>
      </c>
      <c r="CE22" s="2900">
        <f t="shared" ca="1" si="488"/>
        <v>2.2959838323386883E-2</v>
      </c>
      <c r="CF22" s="2900">
        <f t="shared" ca="1" si="488"/>
        <v>4.8986007838918599E-2</v>
      </c>
      <c r="CG22" s="2900">
        <f t="shared" ca="1" si="488"/>
        <v>0.20605424518791793</v>
      </c>
      <c r="CH22" s="2900">
        <v>0.05</v>
      </c>
      <c r="CI22" s="2900">
        <f ca="1">CI20/BW20-1</f>
        <v>0.19315123208306639</v>
      </c>
      <c r="CJ22" s="2900">
        <f ca="1">CJ20/BX20-1</f>
        <v>0.11275382225333463</v>
      </c>
      <c r="CK22" s="2900">
        <v>-4.6840659340659174E-2</v>
      </c>
      <c r="CL22" s="2900">
        <v>8.5815765352887263E-2</v>
      </c>
      <c r="CM22" s="2900">
        <v>0.1078446056634681</v>
      </c>
      <c r="CN22" s="2900">
        <f t="shared" ca="1" si="488"/>
        <v>0.21640744378577725</v>
      </c>
      <c r="CO22" s="2900">
        <f t="shared" ca="1" si="488"/>
        <v>0.24316172612517128</v>
      </c>
      <c r="CP22" s="2900">
        <v>7.0000000000000007E-2</v>
      </c>
      <c r="CQ22" s="2900">
        <v>7.0000000000000007E-2</v>
      </c>
      <c r="CR22" s="3242">
        <v>7.0000000000000007E-2</v>
      </c>
      <c r="CS22" s="3242">
        <v>7.0000000000000007E-2</v>
      </c>
      <c r="CT22" s="3242">
        <f t="shared" ca="1" si="488"/>
        <v>0.15427725703009365</v>
      </c>
      <c r="CU22" s="3242">
        <f t="shared" ca="1" si="488"/>
        <v>-4.1468455981288788E-2</v>
      </c>
      <c r="CV22" s="3242">
        <f t="shared" ca="1" si="488"/>
        <v>0.15427725703009365</v>
      </c>
      <c r="CW22" s="3242">
        <f t="shared" si="488"/>
        <v>0.15484698914116457</v>
      </c>
      <c r="CX22" s="3242">
        <f t="shared" si="488"/>
        <v>0.15541728395061716</v>
      </c>
      <c r="CY22" s="3242">
        <f t="shared" si="488"/>
        <v>0.15598814229249003</v>
      </c>
      <c r="CZ22" s="3242">
        <f t="shared" ca="1" si="488"/>
        <v>0.15684548825710753</v>
      </c>
      <c r="DA22" s="3242">
        <f t="shared" ca="1" si="488"/>
        <v>0.15684548825710753</v>
      </c>
      <c r="DB22" s="3242">
        <f t="shared" ca="1" si="488"/>
        <v>0.15799059638703294</v>
      </c>
      <c r="DC22" s="3242">
        <f t="shared" ca="1" si="488"/>
        <v>0.15942517343904861</v>
      </c>
      <c r="DD22" s="3242">
        <f t="shared" ca="1" si="488"/>
        <v>0.15971251548946697</v>
      </c>
      <c r="DE22" s="3242">
        <f t="shared" ca="1" si="488"/>
        <v>0.15999999999999992</v>
      </c>
      <c r="DF22" s="3242">
        <f t="shared" ca="1" si="488"/>
        <v>0.12000000000000011</v>
      </c>
      <c r="DG22" s="3242">
        <f t="shared" ca="1" si="488"/>
        <v>0.12000000000000011</v>
      </c>
      <c r="DH22" s="3242">
        <f t="shared" ca="1" si="488"/>
        <v>0.12000000000000011</v>
      </c>
      <c r="DI22" s="3242">
        <f t="shared" si="488"/>
        <v>0.12000000000000011</v>
      </c>
      <c r="DJ22" s="3242">
        <f t="shared" si="488"/>
        <v>0.12000000000000011</v>
      </c>
      <c r="DK22" s="3242">
        <f t="shared" si="488"/>
        <v>0.12000000000000011</v>
      </c>
      <c r="DL22" s="3242">
        <f t="shared" ca="1" si="488"/>
        <v>0.12000000000000011</v>
      </c>
      <c r="DM22" s="3242">
        <f t="shared" ca="1" si="488"/>
        <v>0.11999999999999988</v>
      </c>
      <c r="DN22" s="3242">
        <f t="shared" ca="1" si="488"/>
        <v>0.12000000000000011</v>
      </c>
      <c r="DO22" s="3242">
        <f t="shared" ca="1" si="488"/>
        <v>0.12000000000000011</v>
      </c>
      <c r="DP22" s="3242">
        <f t="shared" ca="1" si="488"/>
        <v>0.12000000000000011</v>
      </c>
      <c r="DQ22" s="3242">
        <f t="shared" ca="1" si="488"/>
        <v>0.12000000000000011</v>
      </c>
      <c r="DR22" s="3242">
        <f t="shared" ca="1" si="488"/>
        <v>0.12000000000000011</v>
      </c>
      <c r="DS22" s="3242">
        <f t="shared" ref="DS22" ca="1" si="489">DS20/DG20-1</f>
        <v>0.12000000000000011</v>
      </c>
      <c r="DT22" s="3242">
        <f t="shared" ref="DT22" ca="1" si="490">DT20/DH20-1</f>
        <v>0.12000000000000011</v>
      </c>
      <c r="DU22" s="3242">
        <f t="shared" ref="DU22" si="491">DU20/DI20-1</f>
        <v>0.12000000000000011</v>
      </c>
      <c r="DV22" s="3242">
        <f t="shared" ref="DV22" si="492">DV20/DJ20-1</f>
        <v>0.12000000000000011</v>
      </c>
      <c r="DW22" s="3242">
        <f t="shared" ref="DW22" si="493">DW20/DK20-1</f>
        <v>0.11999999999999988</v>
      </c>
      <c r="DX22" s="3242">
        <f t="shared" ref="DX22" ca="1" si="494">DX20/DL20-1</f>
        <v>0.12000000000000011</v>
      </c>
      <c r="DY22" s="3242">
        <f t="shared" ref="DY22" ca="1" si="495">DY20/DM20-1</f>
        <v>0.12000000000000033</v>
      </c>
      <c r="DZ22" s="3242">
        <f t="shared" ref="DZ22" ca="1" si="496">DZ20/DN20-1</f>
        <v>0.12000000000000011</v>
      </c>
      <c r="EA22" s="3242">
        <f t="shared" ref="EA22" ca="1" si="497">EA20/DO20-1</f>
        <v>0.12000000000000011</v>
      </c>
      <c r="EB22" s="3242">
        <f t="shared" ref="EB22" ca="1" si="498">EB20/DP20-1</f>
        <v>0.11999999999999988</v>
      </c>
      <c r="EC22" s="3242">
        <f t="shared" ref="EC22" ca="1" si="499">EC20/DQ20-1</f>
        <v>0.12000000000000011</v>
      </c>
      <c r="ED22" s="3242">
        <f t="shared" ref="ED22" ca="1" si="500">ED20/DR20-1</f>
        <v>0.10000000000000009</v>
      </c>
      <c r="EE22" s="3242">
        <f t="shared" ref="EE22" ca="1" si="501">EE20/DS20-1</f>
        <v>0.10000000000000009</v>
      </c>
      <c r="EF22" s="3242">
        <f t="shared" ref="EF22" ca="1" si="502">EF20/DT20-1</f>
        <v>9.9999999999999867E-2</v>
      </c>
      <c r="EG22" s="3242">
        <f t="shared" ref="EG22" si="503">EG20/DU20-1</f>
        <v>0.10000000000000009</v>
      </c>
      <c r="EH22" s="3242">
        <f t="shared" ref="EH22" si="504">EH20/DV20-1</f>
        <v>0.10000000000000031</v>
      </c>
      <c r="EI22" s="3242">
        <f t="shared" ref="EI22" si="505">EI20/DW20-1</f>
        <v>0.10000000000000009</v>
      </c>
      <c r="EJ22" s="3242">
        <f t="shared" ref="EJ22" ca="1" si="506">EJ20/DX20-1</f>
        <v>0.10000000000000009</v>
      </c>
      <c r="EK22" s="3242">
        <f t="shared" ref="EK22" ca="1" si="507">EK20/DY20-1</f>
        <v>9.9999999999999867E-2</v>
      </c>
      <c r="EL22" s="3242">
        <f t="shared" ref="EL22" ca="1" si="508">EL20/DZ20-1</f>
        <v>0.10000000000000009</v>
      </c>
      <c r="EM22" s="3242">
        <f t="shared" ref="EM22" ca="1" si="509">EM20/EA20-1</f>
        <v>0.10000000000000009</v>
      </c>
      <c r="EN22" s="3242">
        <f t="shared" ref="EN22" ca="1" si="510">EN20/EB20-1</f>
        <v>0.10000000000000009</v>
      </c>
      <c r="EO22" s="3242">
        <f t="shared" ref="EO22" ca="1" si="511">EO20/EC20-1</f>
        <v>0.10000000000000009</v>
      </c>
      <c r="EP22" s="3242">
        <f t="shared" ref="EP22" ca="1" si="512">EP20/ED20-1</f>
        <v>0.10000000000000009</v>
      </c>
      <c r="EQ22" s="3242">
        <f t="shared" ref="EQ22" ca="1" si="513">EQ20/EE20-1</f>
        <v>0.10000000000000009</v>
      </c>
      <c r="ER22" s="3242">
        <f t="shared" ref="ER22" ca="1" si="514">ER20/EF20-1</f>
        <v>0.10000000000000031</v>
      </c>
      <c r="ES22" s="3242">
        <f t="shared" ref="ES22" si="515">ES20/EG20-1</f>
        <v>9.9999999999999867E-2</v>
      </c>
      <c r="ET22" s="3242">
        <f t="shared" ref="ET22" si="516">ET20/EH20-1</f>
        <v>0.10000000000000009</v>
      </c>
      <c r="EU22" s="3242">
        <f t="shared" ref="EU22" si="517">EU20/EI20-1</f>
        <v>0.10000000000000009</v>
      </c>
      <c r="EV22" s="3242">
        <f t="shared" ref="EV22" ca="1" si="518">EV20/EJ20-1</f>
        <v>0.10000000000000031</v>
      </c>
      <c r="EW22" s="3242">
        <f t="shared" ref="EW22" ca="1" si="519">EW20/EK20-1</f>
        <v>0.10000000000000009</v>
      </c>
      <c r="EX22" s="3242">
        <f t="shared" ref="EX22" ca="1" si="520">EX20/EL20-1</f>
        <v>0.10000000000000009</v>
      </c>
      <c r="EY22" s="3242">
        <f t="shared" ref="EY22" ca="1" si="521">EY20/EM20-1</f>
        <v>0.10000000000000009</v>
      </c>
      <c r="EZ22" s="3242">
        <f t="shared" ref="EZ22" ca="1" si="522">EZ20/EN20-1</f>
        <v>0.10000000000000009</v>
      </c>
      <c r="FA22" s="3242">
        <f t="shared" ref="FA22" ca="1" si="523">FA20/EO20-1</f>
        <v>0.10000000000000009</v>
      </c>
      <c r="FB22" s="3242">
        <f t="shared" ref="FB22" ca="1" si="524">FB20/EP20-1</f>
        <v>9.9999999999999867E-2</v>
      </c>
      <c r="FC22" s="3242">
        <f t="shared" ref="FC22" ca="1" si="525">FC20/EQ20-1</f>
        <v>0.10000000000000009</v>
      </c>
      <c r="FD22" s="3242">
        <f t="shared" ref="FD22" ca="1" si="526">FD20/ER20-1</f>
        <v>0.10000000000000009</v>
      </c>
      <c r="FE22" s="3242">
        <f t="shared" ref="FE22" si="527">FE20/ES20-1</f>
        <v>0.10000000000000009</v>
      </c>
      <c r="FF22" s="3242">
        <f t="shared" ref="FF22" si="528">FF20/ET20-1</f>
        <v>0.10000000000000009</v>
      </c>
      <c r="FG22" s="3242">
        <f t="shared" ref="FG22" si="529">FG20/EU20-1</f>
        <v>0.10000000000000009</v>
      </c>
      <c r="FH22" s="3242">
        <f t="shared" ref="FH22" ca="1" si="530">FH20/EV20-1</f>
        <v>0.10000000000000009</v>
      </c>
      <c r="FI22" s="3242">
        <f t="shared" ref="FI22" ca="1" si="531">FI20/EW20-1</f>
        <v>0.10000000000000031</v>
      </c>
      <c r="FJ22" s="3242">
        <f t="shared" ref="FJ22" ca="1" si="532">FJ20/EX20-1</f>
        <v>0.10000000000000009</v>
      </c>
      <c r="FK22" s="3242">
        <f t="shared" ref="FK22" ca="1" si="533">FK20/EY20-1</f>
        <v>0.10000000000000009</v>
      </c>
      <c r="FL22" s="3242">
        <f t="shared" ref="FL22" ca="1" si="534">FL20/EZ20-1</f>
        <v>0.10000000000000031</v>
      </c>
      <c r="FM22" s="3242">
        <f t="shared" ref="FM22" ca="1" si="535">FM20/FA20-1</f>
        <v>9.9999999999999867E-2</v>
      </c>
      <c r="FN22" s="3242">
        <f t="shared" ref="FN22" ca="1" si="536">FN20/FB20-1</f>
        <v>0.10000000000000009</v>
      </c>
      <c r="FO22" s="3242">
        <f t="shared" ref="FO22" ca="1" si="537">FO20/FC20-1</f>
        <v>0.10000000000000031</v>
      </c>
      <c r="FP22" s="3242">
        <f t="shared" ref="FP22" ca="1" si="538">FP20/FD20-1</f>
        <v>0.10000000000000009</v>
      </c>
      <c r="FQ22" s="3242">
        <f t="shared" ref="FQ22" si="539">FQ20/FE20-1</f>
        <v>0.10000000000000009</v>
      </c>
      <c r="FR22" s="3242">
        <f t="shared" ref="FR22" si="540">FR20/FF20-1</f>
        <v>0.10000000000000009</v>
      </c>
      <c r="FS22" s="3242">
        <f t="shared" ref="FS22" si="541">FS20/FG20-1</f>
        <v>0.10000000000000031</v>
      </c>
      <c r="FT22" s="3242">
        <f t="shared" ref="FT22" ca="1" si="542">FT20/FH20-1</f>
        <v>0.10000000000000009</v>
      </c>
      <c r="FU22" s="3242">
        <f t="shared" ref="FU22" ca="1" si="543">FU20/FI20-1</f>
        <v>0.10000000000000009</v>
      </c>
      <c r="FV22" s="3242">
        <f t="shared" ref="FV22" ca="1" si="544">FV20/FJ20-1</f>
        <v>0.10000000000000009</v>
      </c>
      <c r="FW22" s="3242">
        <f t="shared" ref="FW22" ca="1" si="545">FW20/FK20-1</f>
        <v>0.10000000000000009</v>
      </c>
      <c r="FX22" s="3242">
        <f t="shared" ref="FX22" ca="1" si="546">FX20/FL20-1</f>
        <v>0.10000000000000009</v>
      </c>
      <c r="FY22" s="3242">
        <f t="shared" ref="FY22" ca="1" si="547">FY20/FM20-1</f>
        <v>0.10000000000000009</v>
      </c>
    </row>
    <row r="23" spans="1:181" s="3246" customFormat="1" outlineLevel="1">
      <c r="A23" s="3244" t="str">
        <f>A10</f>
        <v>Number of store</v>
      </c>
      <c r="B23" s="3244">
        <v>668</v>
      </c>
      <c r="C23" s="3244">
        <v>673</v>
      </c>
      <c r="D23" s="3244">
        <v>711</v>
      </c>
      <c r="E23" s="3244">
        <v>719</v>
      </c>
      <c r="F23" s="3244">
        <v>720</v>
      </c>
      <c r="G23" s="3244">
        <v>724</v>
      </c>
      <c r="H23" s="3244">
        <v>727</v>
      </c>
      <c r="I23" s="3244">
        <v>731</v>
      </c>
      <c r="J23" s="3244">
        <v>737</v>
      </c>
      <c r="K23" s="3244">
        <v>740</v>
      </c>
      <c r="L23" s="3244">
        <v>746</v>
      </c>
      <c r="M23" s="3244">
        <v>750</v>
      </c>
      <c r="N23" s="3244">
        <v>764</v>
      </c>
      <c r="O23" s="3244">
        <v>766</v>
      </c>
      <c r="P23" s="3244">
        <v>774</v>
      </c>
      <c r="Q23" s="3244">
        <v>791</v>
      </c>
      <c r="R23" s="3244">
        <v>809</v>
      </c>
      <c r="S23" s="3244">
        <v>838</v>
      </c>
      <c r="T23" s="3244">
        <v>865</v>
      </c>
      <c r="U23" s="3244">
        <v>886</v>
      </c>
      <c r="V23" s="3244">
        <v>907</v>
      </c>
      <c r="W23" s="3244">
        <v>937</v>
      </c>
      <c r="X23" s="3244">
        <v>983</v>
      </c>
      <c r="Y23" s="3244">
        <v>1018</v>
      </c>
      <c r="Z23" s="3244">
        <v>1028</v>
      </c>
      <c r="AA23" s="3244">
        <v>1028</v>
      </c>
      <c r="AB23" s="3244">
        <v>1030</v>
      </c>
      <c r="AC23" s="3244">
        <v>1031</v>
      </c>
      <c r="AD23" s="3244">
        <v>1038</v>
      </c>
      <c r="AE23" s="3244">
        <v>1044</v>
      </c>
      <c r="AF23" s="3244">
        <v>1065</v>
      </c>
      <c r="AG23" s="3244">
        <v>1083</v>
      </c>
      <c r="AH23" s="3244">
        <v>1124</v>
      </c>
      <c r="AI23" s="3244">
        <v>1198</v>
      </c>
      <c r="AJ23" s="3244">
        <v>1274</v>
      </c>
      <c r="AK23" s="3244">
        <v>1427</v>
      </c>
      <c r="AL23" s="3244">
        <v>1500</v>
      </c>
      <c r="AM23" s="3244">
        <v>1531</v>
      </c>
      <c r="AN23" s="3244">
        <v>1553</v>
      </c>
      <c r="AO23" s="3244">
        <v>1628</v>
      </c>
      <c r="AP23" s="3244">
        <v>1699</v>
      </c>
      <c r="AQ23" s="3244">
        <v>1731</v>
      </c>
      <c r="AR23" s="3244">
        <v>1763</v>
      </c>
      <c r="AS23" s="3244">
        <v>1768</v>
      </c>
      <c r="AT23" s="3244">
        <v>1781</v>
      </c>
      <c r="AU23" s="3244">
        <v>1781</v>
      </c>
      <c r="AV23" s="3244">
        <v>1863</v>
      </c>
      <c r="AW23" s="3244">
        <v>1992</v>
      </c>
      <c r="AX23" s="3244">
        <v>2038</v>
      </c>
      <c r="AY23" s="3244">
        <v>2077</v>
      </c>
      <c r="AZ23" s="3244">
        <v>2077</v>
      </c>
      <c r="BA23" s="3244">
        <v>2077</v>
      </c>
      <c r="BB23" s="3244">
        <v>2131</v>
      </c>
      <c r="BC23" s="3244">
        <f>2131</f>
        <v>2131</v>
      </c>
      <c r="BD23" s="3244">
        <v>2185</v>
      </c>
      <c r="BE23" s="3244">
        <v>2222</v>
      </c>
      <c r="BF23" s="3244">
        <f>BE23+BF24</f>
        <v>2246</v>
      </c>
      <c r="BG23" s="3244">
        <f>2269</f>
        <v>2269</v>
      </c>
      <c r="BH23" s="3244">
        <v>2277</v>
      </c>
      <c r="BI23" s="3244">
        <v>2284</v>
      </c>
      <c r="BJ23" s="3245">
        <f>BJ73</f>
        <v>2287</v>
      </c>
      <c r="BK23" s="3245">
        <f>BJ23+BK24</f>
        <v>2287</v>
      </c>
      <c r="BL23" s="3245">
        <v>2291</v>
      </c>
      <c r="BM23" s="3245">
        <f>BL23+BM24</f>
        <v>2292</v>
      </c>
      <c r="BN23" s="3245">
        <f t="shared" ref="BN23:CR23" si="548">BM23+BN24</f>
        <v>2290</v>
      </c>
      <c r="BO23" s="3245">
        <f>BN23+BO24</f>
        <v>2289</v>
      </c>
      <c r="BP23" s="3245">
        <f t="shared" si="548"/>
        <v>2289</v>
      </c>
      <c r="BQ23" s="3245">
        <v>2286</v>
      </c>
      <c r="BR23" s="3245">
        <v>2286</v>
      </c>
      <c r="BS23" s="3245">
        <f>BR23+BS24</f>
        <v>2281</v>
      </c>
      <c r="BT23" s="3245">
        <v>2210</v>
      </c>
      <c r="BU23" s="3245">
        <v>2190</v>
      </c>
      <c r="BV23" s="3245">
        <v>2189</v>
      </c>
      <c r="BW23" s="3245">
        <f t="shared" si="548"/>
        <v>2189</v>
      </c>
      <c r="BX23" s="3245">
        <v>2184</v>
      </c>
      <c r="BY23" s="3245">
        <v>2184</v>
      </c>
      <c r="BZ23" s="3245">
        <v>2180</v>
      </c>
      <c r="CA23" s="3245">
        <v>2093</v>
      </c>
      <c r="CB23" s="3245">
        <v>2034</v>
      </c>
      <c r="CC23" s="3245">
        <f t="shared" si="548"/>
        <v>2031</v>
      </c>
      <c r="CD23" s="3245">
        <f t="shared" si="548"/>
        <v>2030</v>
      </c>
      <c r="CE23" s="3245">
        <f t="shared" si="548"/>
        <v>2030</v>
      </c>
      <c r="CF23" s="3245">
        <f t="shared" si="548"/>
        <v>2030</v>
      </c>
      <c r="CG23" s="3245">
        <f t="shared" si="548"/>
        <v>2026</v>
      </c>
      <c r="CH23" s="3245">
        <f t="shared" si="548"/>
        <v>2027</v>
      </c>
      <c r="CI23" s="3245">
        <f t="shared" si="548"/>
        <v>2027</v>
      </c>
      <c r="CJ23" s="3245">
        <f t="shared" si="548"/>
        <v>2027</v>
      </c>
      <c r="CK23" s="3245">
        <v>2025</v>
      </c>
      <c r="CL23" s="3245">
        <v>2025</v>
      </c>
      <c r="CM23" s="3245">
        <v>2023</v>
      </c>
      <c r="CN23" s="3245">
        <f t="shared" si="548"/>
        <v>2022</v>
      </c>
      <c r="CO23" s="3245">
        <f t="shared" si="548"/>
        <v>2023</v>
      </c>
      <c r="CP23" s="3245">
        <f t="shared" si="548"/>
        <v>2018</v>
      </c>
      <c r="CQ23" s="3245">
        <f t="shared" si="548"/>
        <v>2018</v>
      </c>
      <c r="CR23" s="3244">
        <f t="shared" si="548"/>
        <v>2017</v>
      </c>
      <c r="CS23" s="3244">
        <f t="shared" ref="CS23:DR23" si="549">CR23+CS24</f>
        <v>2017</v>
      </c>
      <c r="CT23" s="3244">
        <f t="shared" si="549"/>
        <v>2017</v>
      </c>
      <c r="CU23" s="3244">
        <f t="shared" si="549"/>
        <v>2017</v>
      </c>
      <c r="CV23" s="3244">
        <f t="shared" si="549"/>
        <v>2017</v>
      </c>
      <c r="CW23" s="3244">
        <f t="shared" si="549"/>
        <v>2017</v>
      </c>
      <c r="CX23" s="3244">
        <f t="shared" si="549"/>
        <v>2017</v>
      </c>
      <c r="CY23" s="3244">
        <f t="shared" si="549"/>
        <v>2017</v>
      </c>
      <c r="CZ23" s="3244">
        <f t="shared" si="549"/>
        <v>2017</v>
      </c>
      <c r="DA23" s="3244">
        <f t="shared" si="549"/>
        <v>2017</v>
      </c>
      <c r="DB23" s="3244">
        <f t="shared" si="549"/>
        <v>2017</v>
      </c>
      <c r="DC23" s="3244">
        <f t="shared" si="549"/>
        <v>2017</v>
      </c>
      <c r="DD23" s="3244">
        <f t="shared" si="549"/>
        <v>2017</v>
      </c>
      <c r="DE23" s="3244">
        <f t="shared" si="549"/>
        <v>2017</v>
      </c>
      <c r="DF23" s="3244">
        <f t="shared" si="549"/>
        <v>2017</v>
      </c>
      <c r="DG23" s="3244">
        <f t="shared" si="549"/>
        <v>2017</v>
      </c>
      <c r="DH23" s="3244">
        <f t="shared" si="549"/>
        <v>2017</v>
      </c>
      <c r="DI23" s="3244">
        <f t="shared" si="549"/>
        <v>2017</v>
      </c>
      <c r="DJ23" s="3244">
        <f t="shared" si="549"/>
        <v>2017</v>
      </c>
      <c r="DK23" s="3244">
        <f t="shared" si="549"/>
        <v>2017</v>
      </c>
      <c r="DL23" s="3244">
        <f t="shared" si="549"/>
        <v>2017</v>
      </c>
      <c r="DM23" s="3244">
        <f t="shared" si="549"/>
        <v>2017</v>
      </c>
      <c r="DN23" s="3244">
        <f t="shared" si="549"/>
        <v>2017</v>
      </c>
      <c r="DO23" s="3244">
        <f t="shared" si="549"/>
        <v>2017</v>
      </c>
      <c r="DP23" s="3244">
        <f t="shared" si="549"/>
        <v>2017</v>
      </c>
      <c r="DQ23" s="3244">
        <f t="shared" si="549"/>
        <v>2017</v>
      </c>
      <c r="DR23" s="3244">
        <f t="shared" si="549"/>
        <v>2017</v>
      </c>
      <c r="DS23" s="3244">
        <f t="shared" ref="DS23" si="550">DR23+DS24</f>
        <v>2017</v>
      </c>
      <c r="DT23" s="3244">
        <f t="shared" ref="DT23" si="551">DS23+DT24</f>
        <v>2017</v>
      </c>
      <c r="DU23" s="3244">
        <f t="shared" ref="DU23" si="552">DT23+DU24</f>
        <v>2017</v>
      </c>
      <c r="DV23" s="3244">
        <f t="shared" ref="DV23" si="553">DU23+DV24</f>
        <v>2017</v>
      </c>
      <c r="DW23" s="3244">
        <f t="shared" ref="DW23" si="554">DV23+DW24</f>
        <v>2017</v>
      </c>
      <c r="DX23" s="3244">
        <f t="shared" ref="DX23" si="555">DW23+DX24</f>
        <v>2017</v>
      </c>
      <c r="DY23" s="3244">
        <f t="shared" ref="DY23" si="556">DX23+DY24</f>
        <v>2017</v>
      </c>
      <c r="DZ23" s="3244">
        <f t="shared" ref="DZ23" si="557">DY23+DZ24</f>
        <v>2017</v>
      </c>
      <c r="EA23" s="3244">
        <f t="shared" ref="EA23" si="558">DZ23+EA24</f>
        <v>2017</v>
      </c>
      <c r="EB23" s="3244">
        <f t="shared" ref="EB23" si="559">EA23+EB24</f>
        <v>2017</v>
      </c>
      <c r="EC23" s="3244">
        <f t="shared" ref="EC23" si="560">EB23+EC24</f>
        <v>2017</v>
      </c>
      <c r="ED23" s="3244">
        <f t="shared" ref="ED23" si="561">EC23+ED24</f>
        <v>2017</v>
      </c>
      <c r="EE23" s="3244">
        <f t="shared" ref="EE23" si="562">ED23+EE24</f>
        <v>2017</v>
      </c>
      <c r="EF23" s="3244">
        <f t="shared" ref="EF23" si="563">EE23+EF24</f>
        <v>2017</v>
      </c>
      <c r="EG23" s="3244">
        <f t="shared" ref="EG23" si="564">EF23+EG24</f>
        <v>2017</v>
      </c>
      <c r="EH23" s="3244">
        <f t="shared" ref="EH23" si="565">EG23+EH24</f>
        <v>2017</v>
      </c>
      <c r="EI23" s="3244">
        <f t="shared" ref="EI23" si="566">EH23+EI24</f>
        <v>2017</v>
      </c>
      <c r="EJ23" s="3244">
        <f t="shared" ref="EJ23" si="567">EI23+EJ24</f>
        <v>2017</v>
      </c>
      <c r="EK23" s="3244">
        <f t="shared" ref="EK23" si="568">EJ23+EK24</f>
        <v>2017</v>
      </c>
      <c r="EL23" s="3244">
        <f t="shared" ref="EL23" si="569">EK23+EL24</f>
        <v>2017</v>
      </c>
      <c r="EM23" s="3244">
        <f t="shared" ref="EM23" si="570">EL23+EM24</f>
        <v>2017</v>
      </c>
      <c r="EN23" s="3244">
        <f t="shared" ref="EN23" si="571">EM23+EN24</f>
        <v>2017</v>
      </c>
      <c r="EO23" s="3244">
        <f t="shared" ref="EO23" si="572">EN23+EO24</f>
        <v>2017</v>
      </c>
      <c r="EP23" s="3244">
        <f t="shared" ref="EP23" si="573">EO23+EP24</f>
        <v>2017</v>
      </c>
      <c r="EQ23" s="3244">
        <f t="shared" ref="EQ23" si="574">EP23+EQ24</f>
        <v>2017</v>
      </c>
      <c r="ER23" s="3244">
        <f t="shared" ref="ER23" si="575">EQ23+ER24</f>
        <v>2017</v>
      </c>
      <c r="ES23" s="3244">
        <f t="shared" ref="ES23" si="576">ER23+ES24</f>
        <v>2017</v>
      </c>
      <c r="ET23" s="3244">
        <f t="shared" ref="ET23" si="577">ES23+ET24</f>
        <v>2017</v>
      </c>
      <c r="EU23" s="3244">
        <f t="shared" ref="EU23" si="578">ET23+EU24</f>
        <v>2017</v>
      </c>
      <c r="EV23" s="3244">
        <f t="shared" ref="EV23" si="579">EU23+EV24</f>
        <v>2017</v>
      </c>
      <c r="EW23" s="3244">
        <f t="shared" ref="EW23" si="580">EV23+EW24</f>
        <v>2017</v>
      </c>
      <c r="EX23" s="3244">
        <f t="shared" ref="EX23" si="581">EW23+EX24</f>
        <v>2017</v>
      </c>
      <c r="EY23" s="3244">
        <f t="shared" ref="EY23" si="582">EX23+EY24</f>
        <v>2017</v>
      </c>
      <c r="EZ23" s="3244">
        <f t="shared" ref="EZ23" si="583">EY23+EZ24</f>
        <v>2017</v>
      </c>
      <c r="FA23" s="3244">
        <f t="shared" ref="FA23" si="584">EZ23+FA24</f>
        <v>2017</v>
      </c>
      <c r="FB23" s="3244">
        <f t="shared" ref="FB23" si="585">FA23+FB24</f>
        <v>2017</v>
      </c>
      <c r="FC23" s="3244">
        <f t="shared" ref="FC23" si="586">FB23+FC24</f>
        <v>2017</v>
      </c>
      <c r="FD23" s="3244">
        <f t="shared" ref="FD23" si="587">FC23+FD24</f>
        <v>2017</v>
      </c>
      <c r="FE23" s="3244">
        <f t="shared" ref="FE23" si="588">FD23+FE24</f>
        <v>2017</v>
      </c>
      <c r="FF23" s="3244">
        <f t="shared" ref="FF23" si="589">FE23+FF24</f>
        <v>2017</v>
      </c>
      <c r="FG23" s="3244">
        <f t="shared" ref="FG23" si="590">FF23+FG24</f>
        <v>2017</v>
      </c>
      <c r="FH23" s="3244">
        <f t="shared" ref="FH23" si="591">FG23+FH24</f>
        <v>2017</v>
      </c>
      <c r="FI23" s="3244">
        <f t="shared" ref="FI23" si="592">FH23+FI24</f>
        <v>2017</v>
      </c>
      <c r="FJ23" s="3244">
        <f t="shared" ref="FJ23" si="593">FI23+FJ24</f>
        <v>2017</v>
      </c>
      <c r="FK23" s="3244">
        <f t="shared" ref="FK23" si="594">FJ23+FK24</f>
        <v>2017</v>
      </c>
      <c r="FL23" s="3244">
        <f t="shared" ref="FL23" si="595">FK23+FL24</f>
        <v>2017</v>
      </c>
      <c r="FM23" s="3244">
        <f t="shared" ref="FM23" si="596">FL23+FM24</f>
        <v>2017</v>
      </c>
      <c r="FN23" s="3244">
        <f t="shared" ref="FN23" si="597">FM23+FN24</f>
        <v>2017</v>
      </c>
      <c r="FO23" s="3244">
        <f t="shared" ref="FO23" si="598">FN23+FO24</f>
        <v>2017</v>
      </c>
      <c r="FP23" s="3244">
        <f t="shared" ref="FP23" si="599">FO23+FP24</f>
        <v>2017</v>
      </c>
      <c r="FQ23" s="3244">
        <f t="shared" ref="FQ23" si="600">FP23+FQ24</f>
        <v>2017</v>
      </c>
      <c r="FR23" s="3244">
        <f t="shared" ref="FR23" si="601">FQ23+FR24</f>
        <v>2017</v>
      </c>
      <c r="FS23" s="3244">
        <f t="shared" ref="FS23" si="602">FR23+FS24</f>
        <v>2017</v>
      </c>
      <c r="FT23" s="3244">
        <f t="shared" ref="FT23" si="603">FS23+FT24</f>
        <v>2017</v>
      </c>
      <c r="FU23" s="3244">
        <f t="shared" ref="FU23" si="604">FT23+FU24</f>
        <v>2017</v>
      </c>
      <c r="FV23" s="3244">
        <f t="shared" ref="FV23" si="605">FU23+FV24</f>
        <v>2017</v>
      </c>
      <c r="FW23" s="3244">
        <f t="shared" ref="FW23" si="606">FV23+FW24</f>
        <v>2017</v>
      </c>
      <c r="FX23" s="3244">
        <f t="shared" ref="FX23" si="607">FW23+FX24</f>
        <v>2017</v>
      </c>
      <c r="FY23" s="3244">
        <f t="shared" ref="FY23" si="608">FX23+FY24</f>
        <v>2017</v>
      </c>
    </row>
    <row r="24" spans="1:181" s="2567" customFormat="1" outlineLevel="1">
      <c r="A24" s="3247" t="str">
        <f>A11</f>
        <v>(+/-)</v>
      </c>
      <c r="B24" s="3247"/>
      <c r="C24" s="3247"/>
      <c r="D24" s="3247"/>
      <c r="E24" s="3247"/>
      <c r="F24" s="3247"/>
      <c r="G24" s="3247"/>
      <c r="H24" s="3247"/>
      <c r="I24" s="3247"/>
      <c r="J24" s="3247"/>
      <c r="K24" s="3247"/>
      <c r="L24" s="3247"/>
      <c r="M24" s="3247"/>
      <c r="N24" s="3247"/>
      <c r="O24" s="3247"/>
      <c r="P24" s="3247"/>
      <c r="Q24" s="3247"/>
      <c r="R24" s="3247"/>
      <c r="S24" s="3247"/>
      <c r="T24" s="3247"/>
      <c r="U24" s="3247"/>
      <c r="V24" s="3247"/>
      <c r="W24" s="3247"/>
      <c r="X24" s="3247"/>
      <c r="Y24" s="3247"/>
      <c r="Z24" s="3247"/>
      <c r="AA24" s="3247"/>
      <c r="AB24" s="3247"/>
      <c r="AC24" s="3247"/>
      <c r="AD24" s="3247"/>
      <c r="AE24" s="3247"/>
      <c r="AF24" s="3247"/>
      <c r="AG24" s="3247"/>
      <c r="AH24" s="3247"/>
      <c r="AI24" s="3247"/>
      <c r="AJ24" s="3247"/>
      <c r="AK24" s="3247"/>
      <c r="AL24" s="3247"/>
      <c r="AM24" s="3247"/>
      <c r="AN24" s="3247"/>
      <c r="AO24" s="3247"/>
      <c r="AP24" s="3247"/>
      <c r="AQ24" s="3247"/>
      <c r="AR24" s="3247"/>
      <c r="AS24" s="3247"/>
      <c r="AT24" s="3247"/>
      <c r="AU24" s="3247"/>
      <c r="AV24" s="3247"/>
      <c r="AW24" s="3247"/>
      <c r="AX24" s="3247"/>
      <c r="AY24" s="3247">
        <f>AY23-AX23</f>
        <v>39</v>
      </c>
      <c r="AZ24" s="3247">
        <f t="shared" ref="AZ24:BE24" si="609">AZ23-AY23</f>
        <v>0</v>
      </c>
      <c r="BA24" s="3247">
        <f t="shared" si="609"/>
        <v>0</v>
      </c>
      <c r="BB24" s="3247">
        <f t="shared" si="609"/>
        <v>54</v>
      </c>
      <c r="BC24" s="3247">
        <f t="shared" si="609"/>
        <v>0</v>
      </c>
      <c r="BD24" s="3247">
        <f t="shared" si="609"/>
        <v>54</v>
      </c>
      <c r="BE24" s="3247">
        <f t="shared" si="609"/>
        <v>37</v>
      </c>
      <c r="BF24" s="3247">
        <f>2246-BE23</f>
        <v>24</v>
      </c>
      <c r="BG24" s="3247">
        <f>BG23-BF23</f>
        <v>23</v>
      </c>
      <c r="BH24" s="3247">
        <v>0</v>
      </c>
      <c r="BI24" s="3247">
        <v>0</v>
      </c>
      <c r="BJ24" s="3245">
        <v>0</v>
      </c>
      <c r="BK24" s="3245">
        <v>0</v>
      </c>
      <c r="BL24" s="3245">
        <f>BL23-BK23</f>
        <v>4</v>
      </c>
      <c r="BM24" s="3245">
        <v>1</v>
      </c>
      <c r="BN24" s="3245">
        <v>-2</v>
      </c>
      <c r="BO24" s="3245">
        <v>-1</v>
      </c>
      <c r="BP24" s="3245">
        <v>0</v>
      </c>
      <c r="BQ24" s="3245">
        <f>BQ23-BP23</f>
        <v>-3</v>
      </c>
      <c r="BR24" s="3245">
        <f>BR23-BQ23</f>
        <v>0</v>
      </c>
      <c r="BS24" s="3245">
        <f>2281-BR23</f>
        <v>-5</v>
      </c>
      <c r="BT24" s="3245">
        <f>BT23-BS23</f>
        <v>-71</v>
      </c>
      <c r="BU24" s="3245">
        <f>-200-SUM(BS24:BT24,BS11:BT11)</f>
        <v>-59</v>
      </c>
      <c r="BV24" s="3245">
        <v>0</v>
      </c>
      <c r="BW24" s="3245">
        <v>0</v>
      </c>
      <c r="BX24" s="3245">
        <v>0</v>
      </c>
      <c r="BY24" s="3245">
        <v>0</v>
      </c>
      <c r="BZ24" s="3245">
        <v>-4</v>
      </c>
      <c r="CA24" s="3245">
        <f>CA23-BZ23</f>
        <v>-87</v>
      </c>
      <c r="CB24" s="3245">
        <f>CB23-CA23</f>
        <v>-59</v>
      </c>
      <c r="CC24" s="3245">
        <v>-3</v>
      </c>
      <c r="CD24" s="3245">
        <v>-1</v>
      </c>
      <c r="CE24" s="3245">
        <v>0</v>
      </c>
      <c r="CF24" s="3245">
        <v>0</v>
      </c>
      <c r="CG24" s="3245">
        <v>-4</v>
      </c>
      <c r="CH24" s="3245">
        <v>1</v>
      </c>
      <c r="CI24" s="3245">
        <v>0</v>
      </c>
      <c r="CJ24" s="3245">
        <v>0</v>
      </c>
      <c r="CK24" s="3245">
        <v>-2</v>
      </c>
      <c r="CL24" s="3245">
        <v>0</v>
      </c>
      <c r="CM24" s="3245">
        <v>-2</v>
      </c>
      <c r="CN24" s="3245">
        <v>-1</v>
      </c>
      <c r="CO24" s="3245">
        <v>1</v>
      </c>
      <c r="CP24" s="3245">
        <v>-5</v>
      </c>
      <c r="CQ24" s="3245">
        <v>0</v>
      </c>
      <c r="CR24" s="3247">
        <v>-1</v>
      </c>
      <c r="CS24" s="3247">
        <v>0</v>
      </c>
      <c r="CT24" s="3247">
        <v>0</v>
      </c>
      <c r="CU24" s="3247">
        <v>0</v>
      </c>
      <c r="CV24" s="3247">
        <v>0</v>
      </c>
      <c r="CW24" s="3247">
        <v>0</v>
      </c>
      <c r="CX24" s="3247">
        <v>0</v>
      </c>
      <c r="CY24" s="3247">
        <v>0</v>
      </c>
      <c r="CZ24" s="3247">
        <v>0</v>
      </c>
      <c r="DA24" s="3247">
        <v>0</v>
      </c>
      <c r="DB24" s="3247">
        <v>0</v>
      </c>
      <c r="DC24" s="3247">
        <v>0</v>
      </c>
      <c r="DD24" s="3247">
        <v>0</v>
      </c>
      <c r="DE24" s="3247">
        <v>0</v>
      </c>
      <c r="DF24" s="3247">
        <v>0</v>
      </c>
      <c r="DG24" s="3247">
        <v>0</v>
      </c>
      <c r="DH24" s="3247">
        <v>0</v>
      </c>
      <c r="DI24" s="3247">
        <v>0</v>
      </c>
      <c r="DJ24" s="3247">
        <v>0</v>
      </c>
      <c r="DK24" s="3247">
        <v>0</v>
      </c>
      <c r="DL24" s="3247">
        <v>0</v>
      </c>
      <c r="DM24" s="3247">
        <v>0</v>
      </c>
      <c r="DN24" s="3247">
        <v>0</v>
      </c>
      <c r="DO24" s="3247">
        <v>0</v>
      </c>
      <c r="DP24" s="3247">
        <v>0</v>
      </c>
      <c r="DQ24" s="3247">
        <v>0</v>
      </c>
      <c r="DR24" s="3247">
        <v>0</v>
      </c>
      <c r="DS24" s="3247"/>
      <c r="DT24" s="3247"/>
      <c r="DU24" s="3247"/>
      <c r="DV24" s="3247"/>
      <c r="DW24" s="3247"/>
      <c r="DX24" s="3247"/>
      <c r="DY24" s="3247"/>
      <c r="DZ24" s="3247"/>
      <c r="EA24" s="3247"/>
      <c r="EB24" s="3247"/>
      <c r="EC24" s="3247"/>
      <c r="ED24" s="3247"/>
      <c r="EE24" s="3247"/>
      <c r="EF24" s="3247"/>
      <c r="EG24" s="3247"/>
      <c r="EH24" s="3247"/>
      <c r="EI24" s="3247"/>
      <c r="EJ24" s="3247"/>
      <c r="EK24" s="3247"/>
      <c r="EL24" s="3247"/>
      <c r="EM24" s="3247"/>
      <c r="EN24" s="3247"/>
      <c r="EO24" s="3247"/>
      <c r="EP24" s="3247"/>
      <c r="EQ24" s="3247"/>
      <c r="ER24" s="3247"/>
      <c r="ES24" s="3247"/>
      <c r="ET24" s="3247"/>
      <c r="EU24" s="3247"/>
      <c r="EV24" s="3247"/>
      <c r="EW24" s="3247"/>
      <c r="EX24" s="3247"/>
      <c r="EY24" s="3247"/>
      <c r="EZ24" s="3247"/>
      <c r="FA24" s="3247"/>
      <c r="FB24" s="3247"/>
      <c r="FC24" s="3247"/>
      <c r="FD24" s="3247"/>
      <c r="FE24" s="3247"/>
      <c r="FF24" s="3247"/>
      <c r="FG24" s="3247"/>
      <c r="FH24" s="3247"/>
      <c r="FI24" s="3247"/>
      <c r="FJ24" s="3247"/>
      <c r="FK24" s="3247"/>
      <c r="FL24" s="3247"/>
      <c r="FM24" s="3247"/>
      <c r="FN24" s="3247"/>
      <c r="FO24" s="3247"/>
      <c r="FP24" s="3247"/>
      <c r="FQ24" s="3247"/>
      <c r="FR24" s="3247"/>
      <c r="FS24" s="3247"/>
      <c r="FT24" s="3247"/>
      <c r="FU24" s="3247"/>
      <c r="FV24" s="3247"/>
      <c r="FW24" s="3247"/>
      <c r="FX24" s="3247"/>
      <c r="FY24" s="3247"/>
    </row>
    <row r="25" spans="1:181" s="3252" customFormat="1">
      <c r="A25" s="3248" t="str">
        <f>A12</f>
        <v>Average REV per store (bnVND/Store)</v>
      </c>
      <c r="B25" s="3249">
        <f>B20/B23</f>
        <v>6.2380239520958085</v>
      </c>
      <c r="C25" s="3249">
        <f>C20/AVERAGE(B23:C23)</f>
        <v>6.9560029828486201</v>
      </c>
      <c r="D25" s="3249">
        <f t="shared" ref="D25:BB25" si="610">D20/AVERAGE(C23:D23)</f>
        <v>4.2572254335260116</v>
      </c>
      <c r="E25" s="3249">
        <f t="shared" si="610"/>
        <v>6.4195804195804191</v>
      </c>
      <c r="F25" s="3249">
        <f t="shared" si="610"/>
        <v>5.8568450312717166</v>
      </c>
      <c r="G25" s="3249">
        <f t="shared" si="610"/>
        <v>6.0498614958448753</v>
      </c>
      <c r="H25" s="3249">
        <f t="shared" si="610"/>
        <v>5.3893866299104065</v>
      </c>
      <c r="I25" s="3249">
        <f t="shared" si="610"/>
        <v>4.8916323731138549</v>
      </c>
      <c r="J25" s="3249">
        <f t="shared" si="610"/>
        <v>4.8937329700272478</v>
      </c>
      <c r="K25" s="3249">
        <f t="shared" si="610"/>
        <v>4.8043331076506428</v>
      </c>
      <c r="L25" s="3249">
        <f t="shared" si="610"/>
        <v>4.8048452220726787</v>
      </c>
      <c r="M25" s="3249">
        <f t="shared" si="610"/>
        <v>5.9478068181818342</v>
      </c>
      <c r="N25" s="3249">
        <f>N20/AVERAGE(M23:N23)</f>
        <v>8.5957727873183618</v>
      </c>
      <c r="O25" s="3249">
        <f t="shared" si="610"/>
        <v>5.1686274509803924</v>
      </c>
      <c r="P25" s="3249">
        <f t="shared" si="610"/>
        <v>5.3232389610389639</v>
      </c>
      <c r="Q25" s="3249">
        <f t="shared" si="610"/>
        <v>7.2080894568690095</v>
      </c>
      <c r="R25" s="3249">
        <f t="shared" si="610"/>
        <v>6.302919999999995</v>
      </c>
      <c r="S25" s="3249">
        <f t="shared" si="610"/>
        <v>6.2188087431694061</v>
      </c>
      <c r="T25" s="3249">
        <f t="shared" si="610"/>
        <v>6.2720434527304718</v>
      </c>
      <c r="U25" s="3249">
        <f t="shared" si="610"/>
        <v>4.6003495145631064</v>
      </c>
      <c r="V25" s="3249">
        <f t="shared" si="610"/>
        <v>4.8298516452872278</v>
      </c>
      <c r="W25" s="3249">
        <f t="shared" si="610"/>
        <v>4.6323622559652931</v>
      </c>
      <c r="X25" s="3249">
        <f t="shared" si="610"/>
        <v>4.7416666666666663</v>
      </c>
      <c r="Y25" s="3249">
        <f t="shared" si="610"/>
        <v>5.3515042478760551</v>
      </c>
      <c r="Z25" s="3249">
        <f t="shared" si="610"/>
        <v>7.1946823069403711</v>
      </c>
      <c r="AA25" s="3249">
        <f t="shared" si="610"/>
        <v>4.5494805447470821</v>
      </c>
      <c r="AB25" s="3249">
        <f t="shared" si="610"/>
        <v>4.3336831875607409</v>
      </c>
      <c r="AC25" s="3249">
        <f t="shared" si="610"/>
        <v>4.2002270742358068</v>
      </c>
      <c r="AD25" s="3249">
        <f t="shared" si="610"/>
        <v>6.2669695505074881</v>
      </c>
      <c r="AE25" s="3249">
        <f t="shared" si="610"/>
        <v>4.2327857829010549</v>
      </c>
      <c r="AF25" s="3249">
        <f t="shared" si="610"/>
        <v>4.0761024182076886</v>
      </c>
      <c r="AG25" s="3249">
        <f t="shared" si="610"/>
        <v>3.9050186219739271</v>
      </c>
      <c r="AH25" s="3249">
        <f t="shared" si="610"/>
        <v>3.6692505663797044</v>
      </c>
      <c r="AI25" s="3249">
        <f t="shared" si="610"/>
        <v>3.6342704565030077</v>
      </c>
      <c r="AJ25" s="3249">
        <f t="shared" si="610"/>
        <v>3.7643721682847979</v>
      </c>
      <c r="AK25" s="3249">
        <f t="shared" si="610"/>
        <v>3.4200903369122511</v>
      </c>
      <c r="AL25" s="3249">
        <f t="shared" si="610"/>
        <v>4.205188247352238</v>
      </c>
      <c r="AM25" s="3249">
        <f t="shared" si="610"/>
        <v>3.9216034312108223</v>
      </c>
      <c r="AN25" s="3249">
        <f t="shared" si="610"/>
        <v>2.9301361867704272</v>
      </c>
      <c r="AO25" s="3249">
        <f t="shared" si="610"/>
        <v>3.0827507073247418</v>
      </c>
      <c r="AP25" s="3249">
        <f t="shared" si="610"/>
        <v>3.7020450856627587</v>
      </c>
      <c r="AQ25" s="3249">
        <f t="shared" si="610"/>
        <v>3.2818373177842539</v>
      </c>
      <c r="AR25" s="3249">
        <f t="shared" si="610"/>
        <v>2.1151877504293117</v>
      </c>
      <c r="AS25" s="3249">
        <f t="shared" si="610"/>
        <v>1.3170155763239868</v>
      </c>
      <c r="AT25" s="3249">
        <f t="shared" si="610"/>
        <v>2.3014961961115792</v>
      </c>
      <c r="AU25" s="3249">
        <f t="shared" si="610"/>
        <v>2.323850556466506</v>
      </c>
      <c r="AV25" s="3249">
        <f t="shared" si="610"/>
        <v>4.5198925131356553</v>
      </c>
      <c r="AW25" s="3249">
        <f t="shared" si="610"/>
        <v>3.5925073929961036</v>
      </c>
      <c r="AX25" s="3249">
        <f>AX20/2/AVERAGE(AW23:AX23)</f>
        <v>3.5415064516129036</v>
      </c>
      <c r="AY25" s="3249">
        <f t="shared" si="610"/>
        <v>2.8877061789573908</v>
      </c>
      <c r="AZ25" s="3249">
        <f t="shared" si="610"/>
        <v>2.6282255834353236</v>
      </c>
      <c r="BA25" s="3249">
        <f t="shared" si="610"/>
        <v>0</v>
      </c>
      <c r="BB25" s="3249">
        <f t="shared" si="610"/>
        <v>0</v>
      </c>
      <c r="BC25" s="3249">
        <f>BC20/2/AVERAGE(BB23:BC23)</f>
        <v>3.0047612985636754</v>
      </c>
      <c r="BD25" s="3249">
        <f t="shared" ref="BD25:BO25" si="611">BD20/AVERAGE(BC23:BD23)</f>
        <v>2.558459845005383</v>
      </c>
      <c r="BE25" s="3249">
        <f t="shared" si="611"/>
        <v>2.1783526208304971</v>
      </c>
      <c r="BF25" s="3249">
        <f t="shared" si="611"/>
        <v>2.3276633840644583</v>
      </c>
      <c r="BG25" s="3249">
        <f t="shared" si="611"/>
        <v>2.3477297895902547</v>
      </c>
      <c r="BH25" s="3249">
        <f t="shared" si="611"/>
        <v>2.1997360316761987</v>
      </c>
      <c r="BI25" s="3249">
        <f t="shared" si="611"/>
        <v>2.0479148033326027</v>
      </c>
      <c r="BJ25" s="3262">
        <f t="shared" si="611"/>
        <v>2.1210019689345878</v>
      </c>
      <c r="BK25" s="3262">
        <f t="shared" si="611"/>
        <v>2.1196108439003063</v>
      </c>
      <c r="BL25" s="3262">
        <f t="shared" si="611"/>
        <v>1.5775316732197464</v>
      </c>
      <c r="BM25" s="3262">
        <f t="shared" ca="1" si="611"/>
        <v>2.2493026401920146</v>
      </c>
      <c r="BN25" s="3262">
        <f t="shared" ca="1" si="611"/>
        <v>2.354656045395024</v>
      </c>
      <c r="BO25" s="3262">
        <f t="shared" ca="1" si="611"/>
        <v>1.9102712382616287</v>
      </c>
      <c r="BP25" s="3262">
        <f ca="1">BO25*0.97</f>
        <v>1.8529631011137797</v>
      </c>
      <c r="BQ25" s="3262">
        <f t="shared" ref="BQ25:BZ25" ca="1" si="612">BQ20/AVERAGE(BP23:BQ23)</f>
        <v>1.9718207650273212</v>
      </c>
      <c r="BR25" s="3262">
        <f t="shared" ca="1" si="612"/>
        <v>1.9836876640419943</v>
      </c>
      <c r="BS25" s="3262">
        <f t="shared" ca="1" si="612"/>
        <v>2.0512012261878687</v>
      </c>
      <c r="BT25" s="3262">
        <f t="shared" ca="1" si="612"/>
        <v>1.8947530616789157</v>
      </c>
      <c r="BU25" s="3262">
        <f t="shared" ca="1" si="612"/>
        <v>2.0937881818181832</v>
      </c>
      <c r="BV25" s="3262">
        <f t="shared" ca="1" si="612"/>
        <v>2.3542820278602421</v>
      </c>
      <c r="BW25" s="3262">
        <f t="shared" ca="1" si="612"/>
        <v>2.3548197807217908</v>
      </c>
      <c r="BX25" s="3262">
        <f t="shared" ca="1" si="612"/>
        <v>1.9379635856391499</v>
      </c>
      <c r="BY25" s="3262">
        <f t="shared" si="612"/>
        <v>2.7196912179487169</v>
      </c>
      <c r="BZ25" s="3262">
        <f t="shared" ca="1" si="612"/>
        <v>2.3937653528872596</v>
      </c>
      <c r="CA25" s="3262">
        <f ca="1">CA20/AVERAGE(BZ23:CA23)</f>
        <v>2.3713966768078638</v>
      </c>
      <c r="CB25" s="3262">
        <f t="shared" ref="CB25:CD25" ca="1" si="613">CB20/AVERAGE(CA23:CB23)</f>
        <v>2.222288829658349</v>
      </c>
      <c r="CC25" s="3262">
        <f t="shared" ca="1" si="613"/>
        <v>2.3808004920049197</v>
      </c>
      <c r="CD25" s="3262">
        <f t="shared" ca="1" si="613"/>
        <v>2.4101280472789952</v>
      </c>
      <c r="CE25" s="3262">
        <f t="shared" ref="CE25" ca="1" si="614">CE20/AVERAGE(CD23:CE23)</f>
        <v>2.3603251231527089</v>
      </c>
      <c r="CF25" s="3262">
        <f t="shared" ref="CF25" ca="1" si="615">CF20/AVERAGE(CE23:CF23)</f>
        <v>2.1985651231527101</v>
      </c>
      <c r="CG25" s="3262">
        <f t="shared" ref="CG25" ca="1" si="616">CG20/AVERAGE(CF23:CG23)</f>
        <v>2.7393928379947954</v>
      </c>
      <c r="CH25" s="3262">
        <f t="shared" ref="CH25:DQ25" ca="1" si="617">BV25*(1+CH26)</f>
        <v>2.5190817698104593</v>
      </c>
      <c r="CI25" s="3262">
        <f t="shared" ca="1" si="617"/>
        <v>2.5196571653723163</v>
      </c>
      <c r="CJ25" s="3262">
        <f ca="1">CJ20/AVERAGE(CI23:CJ23)</f>
        <v>2.3261645884797129</v>
      </c>
      <c r="CK25" s="3262">
        <f t="shared" ref="CK25:CR25" si="618">CK20/AVERAGE(CJ23:CK23)</f>
        <v>2.7944625905250957</v>
      </c>
      <c r="CL25" s="3262">
        <f t="shared" si="618"/>
        <v>2.8007054628780934</v>
      </c>
      <c r="CM25" s="3262">
        <f t="shared" si="618"/>
        <v>2.7731632946162552</v>
      </c>
      <c r="CN25" s="3262">
        <f t="shared" ca="1" si="618"/>
        <v>2.758007960502515</v>
      </c>
      <c r="CO25" s="3262">
        <f t="shared" ca="1" si="618"/>
        <v>2.9743540173053158</v>
      </c>
      <c r="CP25" s="3262">
        <f t="shared" ca="1" si="618"/>
        <v>2.897469933184857</v>
      </c>
      <c r="CQ25" s="3262">
        <f t="shared" ca="1" si="618"/>
        <v>3.0136650148662047</v>
      </c>
      <c r="CR25" s="3249">
        <f t="shared" ca="1" si="618"/>
        <v>2.9855851301115233</v>
      </c>
      <c r="CS25" s="3249">
        <f t="shared" ca="1" si="617"/>
        <v>3.4242410474934943</v>
      </c>
      <c r="CT25" s="3249">
        <f t="shared" ca="1" si="617"/>
        <v>2.9221348529801325</v>
      </c>
      <c r="CU25" s="3249">
        <f t="shared" ca="1" si="617"/>
        <v>2.9228023118318869</v>
      </c>
      <c r="CV25" s="3249">
        <f t="shared" ca="1" si="617"/>
        <v>2.6983509226364668</v>
      </c>
      <c r="CW25" s="3249">
        <f t="shared" si="617"/>
        <v>3.2415766050091106</v>
      </c>
      <c r="CX25" s="3249">
        <f t="shared" si="617"/>
        <v>3.2488183369385881</v>
      </c>
      <c r="CY25" s="3249">
        <f t="shared" si="617"/>
        <v>3.2168694217548559</v>
      </c>
      <c r="CZ25" s="3249">
        <f t="shared" ca="1" si="617"/>
        <v>3.1992892341829173</v>
      </c>
      <c r="DA25" s="3249">
        <f t="shared" ca="1" si="617"/>
        <v>3.450250660074166</v>
      </c>
      <c r="DB25" s="3249">
        <f t="shared" ca="1" si="617"/>
        <v>3.3610651224944341</v>
      </c>
      <c r="DC25" s="3249">
        <f t="shared" ca="1" si="617"/>
        <v>3.4958514172447974</v>
      </c>
      <c r="DD25" s="3249">
        <f t="shared" ca="1" si="617"/>
        <v>3.4632787509293665</v>
      </c>
      <c r="DE25" s="3249">
        <f t="shared" ca="1" si="617"/>
        <v>3.9721196150924531</v>
      </c>
      <c r="DF25" s="3249">
        <f t="shared" ca="1" si="617"/>
        <v>3.272791035337749</v>
      </c>
      <c r="DG25" s="3249">
        <f t="shared" ca="1" si="617"/>
        <v>3.2735385892517135</v>
      </c>
      <c r="DH25" s="3249">
        <f t="shared" ca="1" si="617"/>
        <v>3.022153033352843</v>
      </c>
      <c r="DI25" s="3249">
        <f t="shared" si="617"/>
        <v>3.6305657976102044</v>
      </c>
      <c r="DJ25" s="3249">
        <f t="shared" si="617"/>
        <v>3.6386765373712189</v>
      </c>
      <c r="DK25" s="3249">
        <f t="shared" si="617"/>
        <v>3.6028937523654387</v>
      </c>
      <c r="DL25" s="3249">
        <f t="shared" ca="1" si="617"/>
        <v>3.5832039422848676</v>
      </c>
      <c r="DM25" s="3249">
        <f t="shared" ca="1" si="617"/>
        <v>3.8642807392830663</v>
      </c>
      <c r="DN25" s="3249">
        <f t="shared" ca="1" si="617"/>
        <v>3.7643929371937666</v>
      </c>
      <c r="DO25" s="3249">
        <f t="shared" ca="1" si="617"/>
        <v>3.9153535873141734</v>
      </c>
      <c r="DP25" s="3249">
        <f t="shared" ca="1" si="617"/>
        <v>3.8788722010408909</v>
      </c>
      <c r="DQ25" s="3249">
        <f t="shared" ca="1" si="617"/>
        <v>4.4487739689035477</v>
      </c>
      <c r="DR25" s="3249">
        <f ca="1">DF25*(1+DR26)</f>
        <v>3.6655259595782792</v>
      </c>
      <c r="DS25" s="3249">
        <f t="shared" ref="DS25:FY25" ca="1" si="619">DG25*(1+DS26)</f>
        <v>3.6663632199619194</v>
      </c>
      <c r="DT25" s="3249">
        <f t="shared" ca="1" si="619"/>
        <v>3.3848113973551843</v>
      </c>
      <c r="DU25" s="3249">
        <f t="shared" si="619"/>
        <v>4.0662336933234293</v>
      </c>
      <c r="DV25" s="3249">
        <f t="shared" si="619"/>
        <v>4.0753177218557655</v>
      </c>
      <c r="DW25" s="3249">
        <f t="shared" si="619"/>
        <v>4.0352410026492915</v>
      </c>
      <c r="DX25" s="3249">
        <f t="shared" ca="1" si="619"/>
        <v>4.0131884153590525</v>
      </c>
      <c r="DY25" s="3249">
        <f t="shared" ca="1" si="619"/>
        <v>4.3279944279970346</v>
      </c>
      <c r="DZ25" s="3249">
        <f t="shared" ca="1" si="619"/>
        <v>4.2161200896570188</v>
      </c>
      <c r="EA25" s="3249">
        <f t="shared" ca="1" si="619"/>
        <v>4.3851960177918743</v>
      </c>
      <c r="EB25" s="3249">
        <f t="shared" ca="1" si="619"/>
        <v>4.3443368651657979</v>
      </c>
      <c r="EC25" s="3249">
        <f t="shared" ca="1" si="619"/>
        <v>4.982626845171974</v>
      </c>
      <c r="ED25" s="3249">
        <f t="shared" ca="1" si="619"/>
        <v>4.0320785555361072</v>
      </c>
      <c r="EE25" s="3249">
        <f t="shared" ca="1" si="619"/>
        <v>4.0329995419581115</v>
      </c>
      <c r="EF25" s="3249">
        <f t="shared" ca="1" si="619"/>
        <v>3.7232925370907028</v>
      </c>
      <c r="EG25" s="3249">
        <f t="shared" si="619"/>
        <v>4.4728570626557724</v>
      </c>
      <c r="EH25" s="3249">
        <f t="shared" si="619"/>
        <v>4.4828494940413428</v>
      </c>
      <c r="EI25" s="3249">
        <f t="shared" si="619"/>
        <v>4.4387651029142212</v>
      </c>
      <c r="EJ25" s="3249">
        <f t="shared" ca="1" si="619"/>
        <v>4.4145072568949582</v>
      </c>
      <c r="EK25" s="3249">
        <f t="shared" ca="1" si="619"/>
        <v>4.7607938707967383</v>
      </c>
      <c r="EL25" s="3249">
        <f t="shared" ca="1" si="619"/>
        <v>4.6377320986227213</v>
      </c>
      <c r="EM25" s="3249">
        <f t="shared" ca="1" si="619"/>
        <v>4.823715619571062</v>
      </c>
      <c r="EN25" s="3249">
        <f t="shared" ca="1" si="619"/>
        <v>4.7787705516823777</v>
      </c>
      <c r="EO25" s="3249">
        <f t="shared" ca="1" si="619"/>
        <v>5.480889529689172</v>
      </c>
      <c r="EP25" s="3249">
        <f t="shared" ca="1" si="619"/>
        <v>4.4352864110897183</v>
      </c>
      <c r="EQ25" s="3249">
        <f t="shared" ca="1" si="619"/>
        <v>4.4362994961539233</v>
      </c>
      <c r="ER25" s="3249">
        <f t="shared" ca="1" si="619"/>
        <v>4.0956217907997736</v>
      </c>
      <c r="ES25" s="3249">
        <f t="shared" si="619"/>
        <v>4.9201427689213499</v>
      </c>
      <c r="ET25" s="3249">
        <f t="shared" si="619"/>
        <v>4.9311344434454778</v>
      </c>
      <c r="EU25" s="3249">
        <f t="shared" si="619"/>
        <v>4.882641613205644</v>
      </c>
      <c r="EV25" s="3249">
        <f t="shared" ca="1" si="619"/>
        <v>4.8559579825844548</v>
      </c>
      <c r="EW25" s="3249">
        <f t="shared" ca="1" si="619"/>
        <v>5.2368732578764128</v>
      </c>
      <c r="EX25" s="3249">
        <f t="shared" ca="1" si="619"/>
        <v>5.1015053084849935</v>
      </c>
      <c r="EY25" s="3249">
        <f t="shared" ca="1" si="619"/>
        <v>5.3060871815281683</v>
      </c>
      <c r="EZ25" s="3249">
        <f t="shared" ca="1" si="619"/>
        <v>5.2566476068506161</v>
      </c>
      <c r="FA25" s="3249">
        <f t="shared" ca="1" si="619"/>
        <v>6.0289784826580899</v>
      </c>
      <c r="FB25" s="3249">
        <f t="shared" ca="1" si="619"/>
        <v>4.8788150521986902</v>
      </c>
      <c r="FC25" s="3249">
        <f t="shared" ca="1" si="619"/>
        <v>4.8799294457693163</v>
      </c>
      <c r="FD25" s="3249">
        <f t="shared" ca="1" si="619"/>
        <v>4.5051839698797513</v>
      </c>
      <c r="FE25" s="3249">
        <f t="shared" si="619"/>
        <v>5.4121570458134851</v>
      </c>
      <c r="FF25" s="3249">
        <f t="shared" si="619"/>
        <v>5.4242478877900258</v>
      </c>
      <c r="FG25" s="3249">
        <f t="shared" si="619"/>
        <v>5.370905774526209</v>
      </c>
      <c r="FH25" s="3249">
        <f t="shared" ca="1" si="619"/>
        <v>5.3415537808429008</v>
      </c>
      <c r="FI25" s="3249">
        <f t="shared" ca="1" si="619"/>
        <v>5.7605605836640548</v>
      </c>
      <c r="FJ25" s="3249">
        <f t="shared" ca="1" si="619"/>
        <v>5.6116558393334932</v>
      </c>
      <c r="FK25" s="3249">
        <f t="shared" ca="1" si="619"/>
        <v>5.8366958996809855</v>
      </c>
      <c r="FL25" s="3249">
        <f t="shared" ca="1" si="619"/>
        <v>5.7823123675356785</v>
      </c>
      <c r="FM25" s="3249">
        <f t="shared" ca="1" si="619"/>
        <v>6.6318763309238991</v>
      </c>
      <c r="FN25" s="3249">
        <f t="shared" ca="1" si="619"/>
        <v>5.3666965574185594</v>
      </c>
      <c r="FO25" s="3249">
        <f t="shared" ca="1" si="619"/>
        <v>5.3679223903462487</v>
      </c>
      <c r="FP25" s="3249">
        <f t="shared" ca="1" si="619"/>
        <v>4.9557023668677269</v>
      </c>
      <c r="FQ25" s="3249">
        <f t="shared" si="619"/>
        <v>5.9533727503948342</v>
      </c>
      <c r="FR25" s="3249">
        <f t="shared" si="619"/>
        <v>5.9666726765690292</v>
      </c>
      <c r="FS25" s="3249">
        <f t="shared" si="619"/>
        <v>5.9079963519788308</v>
      </c>
      <c r="FT25" s="3249">
        <f t="shared" ca="1" si="619"/>
        <v>5.875709158927191</v>
      </c>
      <c r="FU25" s="3249">
        <f t="shared" ca="1" si="619"/>
        <v>6.336616642030461</v>
      </c>
      <c r="FV25" s="3249">
        <f t="shared" ca="1" si="619"/>
        <v>6.1728214232668428</v>
      </c>
      <c r="FW25" s="3249">
        <f t="shared" ca="1" si="619"/>
        <v>6.4203654896490843</v>
      </c>
      <c r="FX25" s="3249">
        <f t="shared" ca="1" si="619"/>
        <v>6.3605436042892469</v>
      </c>
      <c r="FY25" s="3249">
        <f t="shared" ca="1" si="619"/>
        <v>7.2950639640162898</v>
      </c>
    </row>
    <row r="26" spans="1:181" s="3264" customFormat="1">
      <c r="A26" s="3263" t="str">
        <f>A13</f>
        <v>%YoY</v>
      </c>
      <c r="B26" s="3263"/>
      <c r="C26" s="3263"/>
      <c r="D26" s="3263"/>
      <c r="E26" s="3263"/>
      <c r="F26" s="3263"/>
      <c r="G26" s="3263"/>
      <c r="H26" s="3263"/>
      <c r="I26" s="3263"/>
      <c r="J26" s="3263"/>
      <c r="K26" s="3263"/>
      <c r="L26" s="3263"/>
      <c r="M26" s="3263"/>
      <c r="N26" s="3242">
        <f t="shared" ref="N26:AW26" si="620">N25/B25-1</f>
        <v>0.37796405613838857</v>
      </c>
      <c r="O26" s="3242">
        <f t="shared" si="620"/>
        <v>-0.25695439410755716</v>
      </c>
      <c r="P26" s="3242">
        <f t="shared" si="620"/>
        <v>0.25040100510487551</v>
      </c>
      <c r="Q26" s="3242">
        <f t="shared" si="620"/>
        <v>0.12282874981728598</v>
      </c>
      <c r="R26" s="3242">
        <f t="shared" si="620"/>
        <v>7.6163013763644205E-2</v>
      </c>
      <c r="S26" s="3242">
        <f t="shared" si="620"/>
        <v>2.7925804159411927E-2</v>
      </c>
      <c r="T26" s="3242">
        <f t="shared" si="620"/>
        <v>0.1637768606025467</v>
      </c>
      <c r="U26" s="3242">
        <f t="shared" si="620"/>
        <v>-5.9547168783930404E-2</v>
      </c>
      <c r="V26" s="3242">
        <f t="shared" si="620"/>
        <v>-1.3053700545427316E-2</v>
      </c>
      <c r="W26" s="3242">
        <f t="shared" si="620"/>
        <v>-3.5794947567539648E-2</v>
      </c>
      <c r="X26" s="3242">
        <f t="shared" si="620"/>
        <v>-1.3148926237161684E-2</v>
      </c>
      <c r="Y26" s="3242">
        <f t="shared" si="620"/>
        <v>-0.10025587389337254</v>
      </c>
      <c r="Z26" s="3242">
        <f t="shared" si="620"/>
        <v>-0.16299761697343462</v>
      </c>
      <c r="AA26" s="3242">
        <f t="shared" si="620"/>
        <v>-0.11978942419536731</v>
      </c>
      <c r="AB26" s="3242">
        <f t="shared" si="620"/>
        <v>-0.18589354727841978</v>
      </c>
      <c r="AC26" s="3242">
        <f t="shared" si="620"/>
        <v>-0.41728982424973027</v>
      </c>
      <c r="AD26" s="3242">
        <f t="shared" si="620"/>
        <v>-5.7037768990415572E-3</v>
      </c>
      <c r="AE26" s="3242">
        <f t="shared" si="620"/>
        <v>-0.31935745932848514</v>
      </c>
      <c r="AF26" s="3242">
        <f t="shared" si="620"/>
        <v>-0.35011572401763291</v>
      </c>
      <c r="AG26" s="3242">
        <f t="shared" si="620"/>
        <v>-0.15114740529779391</v>
      </c>
      <c r="AH26" s="3242">
        <f t="shared" si="620"/>
        <v>-0.24029745924804757</v>
      </c>
      <c r="AI26" s="3242">
        <f t="shared" si="620"/>
        <v>-0.21546065361727684</v>
      </c>
      <c r="AJ26" s="3242">
        <f t="shared" si="620"/>
        <v>-0.20610780282218666</v>
      </c>
      <c r="AK26" s="3242">
        <f t="shared" si="620"/>
        <v>-0.36091046956196626</v>
      </c>
      <c r="AL26" s="3242">
        <f t="shared" si="620"/>
        <v>-0.41551439411081559</v>
      </c>
      <c r="AM26" s="3242">
        <f t="shared" si="620"/>
        <v>-0.13801072613910148</v>
      </c>
      <c r="AN26" s="3242">
        <f t="shared" si="620"/>
        <v>-0.3238693139403932</v>
      </c>
      <c r="AO26" s="3242">
        <f t="shared" si="620"/>
        <v>-0.26605141749732175</v>
      </c>
      <c r="AP26" s="3242">
        <f t="shared" si="620"/>
        <v>-0.40927667577976767</v>
      </c>
      <c r="AQ26" s="3242">
        <f t="shared" si="620"/>
        <v>-0.2246625541406545</v>
      </c>
      <c r="AR26" s="3242">
        <f t="shared" si="620"/>
        <v>-0.4810759069789553</v>
      </c>
      <c r="AS26" s="3242">
        <f t="shared" si="620"/>
        <v>-0.66273769632928015</v>
      </c>
      <c r="AT26" s="3242">
        <f t="shared" si="620"/>
        <v>-0.37276123435135999</v>
      </c>
      <c r="AU26" s="3242">
        <f t="shared" si="620"/>
        <v>-0.36057302716469342</v>
      </c>
      <c r="AV26" s="3242">
        <f t="shared" si="620"/>
        <v>0.2007028824663486</v>
      </c>
      <c r="AW26" s="3242">
        <f t="shared" si="620"/>
        <v>5.0413012259645562E-2</v>
      </c>
      <c r="AX26" s="3263"/>
      <c r="AY26" s="3263"/>
      <c r="AZ26" s="3263"/>
      <c r="BA26" s="3263"/>
      <c r="BB26" s="3263"/>
      <c r="BC26" s="3263"/>
      <c r="BD26" s="3263"/>
      <c r="BE26" s="3263"/>
      <c r="BF26" s="3263">
        <f>AX20+AX14+AX7</f>
        <v>21300</v>
      </c>
      <c r="BG26" s="3242">
        <f>BG25/AU25-1</f>
        <v>1.0275718056525163E-2</v>
      </c>
      <c r="BH26" s="3242">
        <f>BH25/AV25-1</f>
        <v>-0.51332116299594444</v>
      </c>
      <c r="BI26" s="3242">
        <f>BI25/AW25-1</f>
        <v>-0.42994833989063308</v>
      </c>
      <c r="BJ26" s="2900">
        <f>BJ25/AX25-1</f>
        <v>-0.40110176335592362</v>
      </c>
      <c r="BK26" s="2900">
        <f>BK25/AX25-1</f>
        <v>-0.40149456937033823</v>
      </c>
      <c r="BL26" s="2900">
        <f>BL25/AZ25-1</f>
        <v>-0.39977310807629651</v>
      </c>
      <c r="BM26" s="2900">
        <f ca="1">BM25/($BC$25)-1</f>
        <v>-0.25142052339824206</v>
      </c>
      <c r="BN26" s="2900">
        <f ca="1">BN25/($BC$25)-1</f>
        <v>-0.21635836879269321</v>
      </c>
      <c r="BO26" s="2900">
        <f t="shared" ref="BO26:BZ26" ca="1" si="621">BO25/BC25-1</f>
        <v>-0.36425191605909946</v>
      </c>
      <c r="BP26" s="2900">
        <f t="shared" ca="1" si="621"/>
        <v>-0.27575056347625382</v>
      </c>
      <c r="BQ26" s="2900">
        <f t="shared" ca="1" si="621"/>
        <v>-9.4811030054645418E-2</v>
      </c>
      <c r="BR26" s="2900">
        <f t="shared" ca="1" si="621"/>
        <v>-0.1477772612558047</v>
      </c>
      <c r="BS26" s="2900">
        <f t="shared" ca="1" si="621"/>
        <v>-0.12630438337375216</v>
      </c>
      <c r="BT26" s="2900">
        <f t="shared" ca="1" si="621"/>
        <v>-0.13864525816076489</v>
      </c>
      <c r="BU26" s="2900">
        <f t="shared" ca="1" si="621"/>
        <v>2.2400042428976974E-2</v>
      </c>
      <c r="BV26" s="2900">
        <f t="shared" ca="1" si="621"/>
        <v>0.10998578141011084</v>
      </c>
      <c r="BW26" s="2900">
        <f t="shared" ca="1" si="621"/>
        <v>0.11096798145676368</v>
      </c>
      <c r="BX26" s="2900">
        <f t="shared" ca="1" si="621"/>
        <v>0.22847839985599849</v>
      </c>
      <c r="BY26" s="2900">
        <f t="shared" ca="1" si="621"/>
        <v>0.209126406269877</v>
      </c>
      <c r="BZ26" s="2900">
        <f t="shared" ca="1" si="621"/>
        <v>1.6609350469135808E-2</v>
      </c>
      <c r="CA26" s="2900">
        <f ca="1">CA25/BO25-1</f>
        <v>0.24139265111161134</v>
      </c>
      <c r="CB26" s="2900">
        <f t="shared" ref="CB26:CD26" ca="1" si="622">CB25/BP25-1</f>
        <v>0.19931628877152208</v>
      </c>
      <c r="CC26" s="2900">
        <f t="shared" ca="1" si="622"/>
        <v>0.20741222236389811</v>
      </c>
      <c r="CD26" s="2900">
        <f t="shared" ca="1" si="622"/>
        <v>0.21497355201981705</v>
      </c>
      <c r="CE26" s="2900">
        <f t="shared" ref="CE26" ca="1" si="623">CE25/BS25-1</f>
        <v>0.15070383783815444</v>
      </c>
      <c r="CF26" s="2900">
        <f t="shared" ref="CF26" ca="1" si="624">CF25/BT25-1</f>
        <v>0.16034388207009442</v>
      </c>
      <c r="CG26" s="2900">
        <f t="shared" ref="CG26" ca="1" si="625">CG25/BU25-1</f>
        <v>0.30834286953324397</v>
      </c>
      <c r="CH26" s="2900">
        <v>7.0000000000000007E-2</v>
      </c>
      <c r="CI26" s="2900">
        <v>7.0000000000000007E-2</v>
      </c>
      <c r="CJ26" s="2900">
        <f ca="1">CJ25/BX25-1</f>
        <v>0.20031387881446294</v>
      </c>
      <c r="CK26" s="2900">
        <f t="shared" ref="CK26:CP26" si="626">CK25/BY25-1</f>
        <v>2.7492596248765988E-2</v>
      </c>
      <c r="CL26" s="2900">
        <f t="shared" ca="1" si="626"/>
        <v>0.16999999999999993</v>
      </c>
      <c r="CM26" s="2900">
        <f t="shared" ca="1" si="626"/>
        <v>0.16942193675889317</v>
      </c>
      <c r="CN26" s="2900">
        <f t="shared" ca="1" si="626"/>
        <v>0.24106638331369679</v>
      </c>
      <c r="CO26" s="2900">
        <f t="shared" ca="1" si="626"/>
        <v>0.24930838484519668</v>
      </c>
      <c r="CP26" s="2900">
        <f t="shared" ca="1" si="626"/>
        <v>0.20220580664005161</v>
      </c>
      <c r="CQ26" s="2900">
        <v>0.18</v>
      </c>
      <c r="CR26" s="3242">
        <f ca="1">CR25/CF25-1</f>
        <v>0.35796984072513527</v>
      </c>
      <c r="CS26" s="3242">
        <v>0.25</v>
      </c>
      <c r="CT26" s="3242">
        <v>0.16</v>
      </c>
      <c r="CU26" s="3242">
        <v>0.16</v>
      </c>
      <c r="CV26" s="3242">
        <v>0.16</v>
      </c>
      <c r="CW26" s="3242">
        <v>0.16</v>
      </c>
      <c r="CX26" s="3242">
        <v>0.16</v>
      </c>
      <c r="CY26" s="3242">
        <v>0.16</v>
      </c>
      <c r="CZ26" s="3242">
        <v>0.16</v>
      </c>
      <c r="DA26" s="3242">
        <v>0.16</v>
      </c>
      <c r="DB26" s="3242">
        <v>0.16</v>
      </c>
      <c r="DC26" s="3242">
        <v>0.16</v>
      </c>
      <c r="DD26" s="3242">
        <v>0.16</v>
      </c>
      <c r="DE26" s="3242">
        <v>0.16</v>
      </c>
      <c r="DF26" s="3242">
        <v>0.12</v>
      </c>
      <c r="DG26" s="3242">
        <v>0.12</v>
      </c>
      <c r="DH26" s="3242">
        <v>0.12</v>
      </c>
      <c r="DI26" s="3242">
        <v>0.12</v>
      </c>
      <c r="DJ26" s="3242">
        <v>0.12</v>
      </c>
      <c r="DK26" s="3242">
        <v>0.12</v>
      </c>
      <c r="DL26" s="3242">
        <v>0.12</v>
      </c>
      <c r="DM26" s="3242">
        <v>0.12</v>
      </c>
      <c r="DN26" s="3242">
        <v>0.12</v>
      </c>
      <c r="DO26" s="3242">
        <v>0.12</v>
      </c>
      <c r="DP26" s="3242">
        <v>0.12</v>
      </c>
      <c r="DQ26" s="3242">
        <v>0.12</v>
      </c>
      <c r="DR26" s="3242">
        <v>0.12</v>
      </c>
      <c r="DS26" s="3242">
        <v>0.12</v>
      </c>
      <c r="DT26" s="3242">
        <v>0.12</v>
      </c>
      <c r="DU26" s="3242">
        <v>0.12</v>
      </c>
      <c r="DV26" s="3242">
        <v>0.12</v>
      </c>
      <c r="DW26" s="3242">
        <v>0.12</v>
      </c>
      <c r="DX26" s="3242">
        <v>0.12</v>
      </c>
      <c r="DY26" s="3242">
        <v>0.12</v>
      </c>
      <c r="DZ26" s="3242">
        <v>0.12</v>
      </c>
      <c r="EA26" s="3242">
        <v>0.12</v>
      </c>
      <c r="EB26" s="3242">
        <v>0.12</v>
      </c>
      <c r="EC26" s="3242">
        <v>0.12</v>
      </c>
      <c r="ED26" s="3242">
        <v>0.1</v>
      </c>
      <c r="EE26" s="3242">
        <v>0.1</v>
      </c>
      <c r="EF26" s="3242">
        <v>0.1</v>
      </c>
      <c r="EG26" s="3242">
        <v>0.1</v>
      </c>
      <c r="EH26" s="3242">
        <v>0.1</v>
      </c>
      <c r="EI26" s="3242">
        <v>0.1</v>
      </c>
      <c r="EJ26" s="3242">
        <v>0.1</v>
      </c>
      <c r="EK26" s="3242">
        <v>0.1</v>
      </c>
      <c r="EL26" s="3242">
        <v>0.1</v>
      </c>
      <c r="EM26" s="3242">
        <v>0.1</v>
      </c>
      <c r="EN26" s="3242">
        <v>0.1</v>
      </c>
      <c r="EO26" s="3242">
        <v>0.1</v>
      </c>
      <c r="EP26" s="3242">
        <v>0.1</v>
      </c>
      <c r="EQ26" s="3242">
        <v>0.1</v>
      </c>
      <c r="ER26" s="3242">
        <v>0.1</v>
      </c>
      <c r="ES26" s="3242">
        <v>0.1</v>
      </c>
      <c r="ET26" s="3242">
        <v>0.1</v>
      </c>
      <c r="EU26" s="3242">
        <v>0.1</v>
      </c>
      <c r="EV26" s="3242">
        <v>0.1</v>
      </c>
      <c r="EW26" s="3242">
        <v>0.1</v>
      </c>
      <c r="EX26" s="3242">
        <v>0.1</v>
      </c>
      <c r="EY26" s="3242">
        <v>0.1</v>
      </c>
      <c r="EZ26" s="3242">
        <v>0.1</v>
      </c>
      <c r="FA26" s="3242">
        <v>0.1</v>
      </c>
      <c r="FB26" s="3242">
        <v>0.1</v>
      </c>
      <c r="FC26" s="3242">
        <v>0.1</v>
      </c>
      <c r="FD26" s="3242">
        <v>0.1</v>
      </c>
      <c r="FE26" s="3242">
        <v>0.1</v>
      </c>
      <c r="FF26" s="3242">
        <v>0.1</v>
      </c>
      <c r="FG26" s="3242">
        <v>0.1</v>
      </c>
      <c r="FH26" s="3242">
        <v>0.1</v>
      </c>
      <c r="FI26" s="3242">
        <v>0.1</v>
      </c>
      <c r="FJ26" s="3242">
        <v>0.1</v>
      </c>
      <c r="FK26" s="3242">
        <v>0.1</v>
      </c>
      <c r="FL26" s="3242">
        <v>0.1</v>
      </c>
      <c r="FM26" s="3242">
        <v>0.1</v>
      </c>
      <c r="FN26" s="3242">
        <v>0.1</v>
      </c>
      <c r="FO26" s="3242">
        <v>0.1</v>
      </c>
      <c r="FP26" s="3242">
        <v>0.1</v>
      </c>
      <c r="FQ26" s="3242">
        <v>0.1</v>
      </c>
      <c r="FR26" s="3242">
        <v>0.1</v>
      </c>
      <c r="FS26" s="3242">
        <v>0.1</v>
      </c>
      <c r="FT26" s="3242">
        <v>0.1</v>
      </c>
      <c r="FU26" s="3242">
        <v>0.1</v>
      </c>
      <c r="FV26" s="3242">
        <v>0.1</v>
      </c>
      <c r="FW26" s="3242">
        <v>0.1</v>
      </c>
      <c r="FX26" s="3242">
        <v>0.1</v>
      </c>
      <c r="FY26" s="3242">
        <v>0.1</v>
      </c>
    </row>
    <row r="27" spans="1:181" s="3267" customFormat="1" hidden="1" outlineLevel="1">
      <c r="A27" s="3265" t="s">
        <v>38</v>
      </c>
      <c r="B27" s="3083"/>
      <c r="C27" s="3083"/>
      <c r="D27" s="3083"/>
      <c r="E27" s="3083"/>
      <c r="F27" s="3083"/>
      <c r="G27" s="3083"/>
      <c r="H27" s="3083"/>
      <c r="I27" s="3083"/>
      <c r="J27" s="3083"/>
      <c r="K27" s="3083"/>
      <c r="L27" s="3083"/>
      <c r="M27" s="3083"/>
      <c r="N27" s="3083"/>
      <c r="O27" s="3083"/>
      <c r="P27" s="3083"/>
      <c r="Q27" s="3083"/>
      <c r="R27" s="3083"/>
      <c r="S27" s="3083"/>
      <c r="T27" s="3083"/>
      <c r="U27" s="3083"/>
      <c r="V27" s="3083"/>
      <c r="W27" s="3083"/>
      <c r="X27" s="3083"/>
      <c r="Y27" s="3083"/>
      <c r="Z27" s="3083"/>
      <c r="AA27" s="3083"/>
      <c r="AB27" s="3083"/>
      <c r="AC27" s="3083"/>
      <c r="AD27" s="3083"/>
      <c r="AE27" s="3083"/>
      <c r="AF27" s="3083"/>
      <c r="AG27" s="3083"/>
      <c r="AH27" s="3083">
        <v>100</v>
      </c>
      <c r="AI27" s="3083">
        <v>150</v>
      </c>
      <c r="AJ27" s="3083">
        <v>200</v>
      </c>
      <c r="AK27" s="3083">
        <v>400</v>
      </c>
      <c r="AL27" s="3083">
        <v>450</v>
      </c>
      <c r="AM27" s="3083">
        <v>500</v>
      </c>
      <c r="AN27" s="3083">
        <v>350</v>
      </c>
      <c r="AO27" s="3083">
        <v>460</v>
      </c>
      <c r="AP27" s="3083">
        <v>610</v>
      </c>
      <c r="AQ27" s="3083">
        <v>630</v>
      </c>
      <c r="AR27" s="3083">
        <v>500</v>
      </c>
      <c r="AS27" s="3083">
        <v>432.59950000000026</v>
      </c>
      <c r="AT27" s="3083">
        <v>467.40049999999974</v>
      </c>
      <c r="AU27" s="3083">
        <v>700</v>
      </c>
      <c r="AV27" s="3083">
        <v>750</v>
      </c>
      <c r="AW27" s="3083">
        <v>950</v>
      </c>
      <c r="AX27" s="3083">
        <f>SUM(AL27:AM27)*2</f>
        <v>1900</v>
      </c>
      <c r="AY27" s="3083">
        <v>700</v>
      </c>
      <c r="AZ27" s="3083">
        <v>800</v>
      </c>
      <c r="BA27" s="3083"/>
      <c r="BB27" s="3083"/>
      <c r="BC27" s="3083">
        <v>1900</v>
      </c>
      <c r="BD27" s="3083">
        <f t="shared" ref="BD27:BI27" si="627">BD31*AVERAGE(BC29:BD29)</f>
        <v>973.59611231101508</v>
      </c>
      <c r="BE27" s="3083">
        <f t="shared" si="627"/>
        <v>1012.5809935205183</v>
      </c>
      <c r="BF27" s="3083">
        <f t="shared" si="627"/>
        <v>1036.6900647948164</v>
      </c>
      <c r="BG27" s="3083">
        <f t="shared" si="627"/>
        <v>1437.1</v>
      </c>
      <c r="BH27" s="3083">
        <f t="shared" si="627"/>
        <v>1449</v>
      </c>
      <c r="BI27" s="3083">
        <f t="shared" si="627"/>
        <v>1450.3999999999999</v>
      </c>
      <c r="BJ27" s="3266">
        <f t="shared" ref="BJ27:BQ27" si="628">BJ31*AVERAGE(BI29:BJ29)</f>
        <v>1245</v>
      </c>
      <c r="BK27" s="3266">
        <f t="shared" si="628"/>
        <v>1123.74</v>
      </c>
      <c r="BL27" s="3266">
        <f t="shared" si="628"/>
        <v>1126.98</v>
      </c>
      <c r="BM27" s="3266">
        <f t="shared" si="628"/>
        <v>920.92</v>
      </c>
      <c r="BN27" s="3266">
        <f t="shared" si="628"/>
        <v>923.56000000000006</v>
      </c>
      <c r="BO27" s="3266">
        <f t="shared" si="628"/>
        <v>926.2</v>
      </c>
      <c r="BP27" s="3266">
        <f t="shared" si="628"/>
        <v>1061.5</v>
      </c>
      <c r="BQ27" s="3266">
        <f t="shared" si="628"/>
        <v>1076.5</v>
      </c>
      <c r="BR27" s="3266">
        <v>1091.5</v>
      </c>
      <c r="BS27" s="3266">
        <v>1438.45</v>
      </c>
      <c r="BT27" s="3266">
        <v>1457.95</v>
      </c>
      <c r="BU27" s="3266">
        <v>1477.45</v>
      </c>
      <c r="BV27" s="3266">
        <f t="shared" ref="BV27:DA27" si="629">BV31*AVERAGE(BU29:BV29)</f>
        <v>1660.32</v>
      </c>
      <c r="BW27" s="3266">
        <f t="shared" si="629"/>
        <v>1517.616</v>
      </c>
      <c r="BX27" s="3266">
        <f t="shared" si="629"/>
        <v>1386.8496</v>
      </c>
      <c r="BY27" s="3266">
        <v>1327.7</v>
      </c>
      <c r="BZ27" s="3266">
        <v>1347.5</v>
      </c>
      <c r="CA27" s="3266">
        <f t="shared" si="629"/>
        <v>1367.3000000000002</v>
      </c>
      <c r="CB27" s="3266">
        <f t="shared" si="629"/>
        <v>1576.25</v>
      </c>
      <c r="CC27" s="3266">
        <f t="shared" si="629"/>
        <v>1598.75</v>
      </c>
      <c r="CD27" s="3266">
        <f t="shared" si="629"/>
        <v>1621.25</v>
      </c>
      <c r="CE27" s="3266">
        <f t="shared" si="629"/>
        <v>1726.5950000000003</v>
      </c>
      <c r="CF27" s="3266">
        <f t="shared" si="629"/>
        <v>1750.2290000000003</v>
      </c>
      <c r="CG27" s="3266">
        <f t="shared" si="629"/>
        <v>1773.8630000000003</v>
      </c>
      <c r="CH27" s="3266">
        <f t="shared" si="629"/>
        <v>1991.0735999999999</v>
      </c>
      <c r="CI27" s="3266">
        <f t="shared" si="629"/>
        <v>1815.5275200000001</v>
      </c>
      <c r="CJ27" s="3266">
        <f t="shared" si="629"/>
        <v>1655.1799200000003</v>
      </c>
      <c r="CK27" s="3266">
        <v>1580.9530000000002</v>
      </c>
      <c r="CL27" s="3266">
        <v>1600.9510000000002</v>
      </c>
      <c r="CM27" s="3266">
        <v>1620.9490000000003</v>
      </c>
      <c r="CN27" s="3266">
        <f t="shared" si="629"/>
        <v>1864.7124999999999</v>
      </c>
      <c r="CO27" s="3266">
        <f t="shared" si="629"/>
        <v>1887.4375</v>
      </c>
      <c r="CP27" s="3266">
        <f t="shared" si="629"/>
        <v>1910.1624999999999</v>
      </c>
      <c r="CQ27" s="3266">
        <f t="shared" si="629"/>
        <v>2030.3050300000004</v>
      </c>
      <c r="CR27" s="3083">
        <f t="shared" si="629"/>
        <v>2054.1753700000004</v>
      </c>
      <c r="CS27" s="3083">
        <f t="shared" si="629"/>
        <v>2078.0457100000003</v>
      </c>
      <c r="CT27" s="3083">
        <f t="shared" si="629"/>
        <v>2420.4852000000001</v>
      </c>
      <c r="CU27" s="3083">
        <f t="shared" si="629"/>
        <v>2203.1760240000003</v>
      </c>
      <c r="CV27" s="3083">
        <f t="shared" si="629"/>
        <v>2005.1238312000005</v>
      </c>
      <c r="CW27" s="3083">
        <f t="shared" si="629"/>
        <v>1911.9754500000004</v>
      </c>
      <c r="CX27" s="3083">
        <f t="shared" si="629"/>
        <v>1932.9733500000004</v>
      </c>
      <c r="CY27" s="3083">
        <f t="shared" si="629"/>
        <v>1953.9712500000003</v>
      </c>
      <c r="CZ27" s="3083">
        <f t="shared" si="629"/>
        <v>2244.2831249999999</v>
      </c>
      <c r="DA27" s="3083">
        <f t="shared" si="629"/>
        <v>2268.1443750000003</v>
      </c>
      <c r="DB27" s="3083">
        <f t="shared" ref="DB27:DR27" si="630">DB31*AVERAGE(DA29:DB29)</f>
        <v>2292.0056250000002</v>
      </c>
      <c r="DC27" s="3083">
        <f t="shared" si="630"/>
        <v>2432.5865655000007</v>
      </c>
      <c r="DD27" s="3083">
        <f t="shared" si="630"/>
        <v>2457.6504225000003</v>
      </c>
      <c r="DE27" s="3083">
        <f t="shared" si="630"/>
        <v>2482.7142795000004</v>
      </c>
      <c r="DF27" s="3083">
        <f t="shared" si="630"/>
        <v>2887.8602760000003</v>
      </c>
      <c r="DG27" s="3083">
        <f t="shared" si="630"/>
        <v>2625.0505596000007</v>
      </c>
      <c r="DH27" s="3083">
        <f t="shared" si="630"/>
        <v>2385.9241837200007</v>
      </c>
      <c r="DI27" s="3083">
        <f t="shared" si="630"/>
        <v>2272.1477625000007</v>
      </c>
      <c r="DJ27" s="3083">
        <f t="shared" si="630"/>
        <v>2294.1955575000006</v>
      </c>
      <c r="DK27" s="3083">
        <f t="shared" si="630"/>
        <v>2316.2433525000006</v>
      </c>
      <c r="DL27" s="3083">
        <f t="shared" si="630"/>
        <v>2657.14903125</v>
      </c>
      <c r="DM27" s="3083">
        <f t="shared" si="630"/>
        <v>2682.2033437500004</v>
      </c>
      <c r="DN27" s="3083">
        <f t="shared" si="630"/>
        <v>2707.2576562500003</v>
      </c>
      <c r="DO27" s="3083">
        <f t="shared" si="630"/>
        <v>2870.0204919750008</v>
      </c>
      <c r="DP27" s="3083">
        <f t="shared" si="630"/>
        <v>2896.3375418250007</v>
      </c>
      <c r="DQ27" s="3083">
        <f t="shared" si="630"/>
        <v>2922.6545916750006</v>
      </c>
      <c r="DR27" s="3083">
        <f t="shared" si="630"/>
        <v>3395.9216466000003</v>
      </c>
      <c r="DS27" s="3083">
        <f t="shared" ref="DS27" si="631">DS31*AVERAGE(DR29:DS29)</f>
        <v>3084.3622511100007</v>
      </c>
      <c r="DT27" s="3083">
        <f t="shared" ref="DT27" si="632">DT31*AVERAGE(DS29:DT29)</f>
        <v>2802.5192745900008</v>
      </c>
      <c r="DU27" s="3083">
        <f t="shared" ref="DU27" si="633">DU31*AVERAGE(DT29:DU29)</f>
        <v>2669.3449138125011</v>
      </c>
      <c r="DV27" s="3083">
        <f t="shared" ref="DV27" si="634">DV31*AVERAGE(DU29:DV29)</f>
        <v>2696.9965233750008</v>
      </c>
      <c r="DW27" s="3083">
        <f t="shared" ref="DW27" si="635">DW31*AVERAGE(DV29:DW29)</f>
        <v>2725.9342543125008</v>
      </c>
      <c r="DX27" s="3083">
        <f t="shared" ref="DX27" si="636">DX31*AVERAGE(DW29:DX29)</f>
        <v>3131.9978484375006</v>
      </c>
      <c r="DY27" s="3083">
        <f t="shared" ref="DY27" si="637">DY31*AVERAGE(DX29:DY29)</f>
        <v>3167.8046367187508</v>
      </c>
      <c r="DZ27" s="3083">
        <f t="shared" ref="DZ27" si="638">DZ31*AVERAGE(DY29:DZ29)</f>
        <v>3205.0729265625005</v>
      </c>
      <c r="EA27" s="3083">
        <f t="shared" ref="EA27" si="639">EA31*AVERAGE(DZ29:EA29)</f>
        <v>3407.2903749543761</v>
      </c>
      <c r="EB27" s="3083">
        <f t="shared" ref="EB27" si="640">EB31*AVERAGE(EA29:EB29)</f>
        <v>3449.5073090887508</v>
      </c>
      <c r="EC27" s="3083">
        <f t="shared" ref="EC27" si="641">EC31*AVERAGE(EB29:EC29)</f>
        <v>3493.2594044643761</v>
      </c>
      <c r="ED27" s="3083">
        <f t="shared" ref="ED27" si="642">ED31*AVERAGE(EC29:ED29)</f>
        <v>4074.8534284500006</v>
      </c>
      <c r="EE27" s="3083">
        <f t="shared" ref="EE27" si="643">EE31*AVERAGE(ED29:EE29)</f>
        <v>3715.895081965501</v>
      </c>
      <c r="EF27" s="3083">
        <f t="shared" ref="EF27" si="644">EF31*AVERAGE(EE29:EF29)</f>
        <v>3389.4118146483011</v>
      </c>
      <c r="EG27" s="3083">
        <f t="shared" ref="EG27" si="645">EG31*AVERAGE(EF29:EG29)</f>
        <v>3240.3506512781264</v>
      </c>
      <c r="EH27" s="3083">
        <f t="shared" ref="EH27" si="646">EH31*AVERAGE(EG29:EH29)</f>
        <v>3285.5899706437513</v>
      </c>
      <c r="EI27" s="3083">
        <f t="shared" ref="EI27" si="647">EI31*AVERAGE(EH29:EI29)</f>
        <v>3332.1797174531266</v>
      </c>
      <c r="EJ27" s="3083">
        <f t="shared" ref="EJ27" si="648">EJ31*AVERAGE(EI29:EJ29)</f>
        <v>3841.0453314843758</v>
      </c>
      <c r="EK27" s="3083">
        <f t="shared" ref="EK27" si="649">EK31*AVERAGE(EJ29:EK29)</f>
        <v>3897.0573788671882</v>
      </c>
      <c r="EL27" s="3083">
        <f t="shared" ref="EL27" si="650">EL31*AVERAGE(EK29:EL29)</f>
        <v>3954.6040028906259</v>
      </c>
      <c r="EM27" s="3083">
        <f t="shared" ref="EM27" si="651">EM31*AVERAGE(EL29:EM29)</f>
        <v>4215.9749378138449</v>
      </c>
      <c r="EN27" s="3083">
        <f t="shared" ref="EN27" si="652">EN31*AVERAGE(EM29:EN29)</f>
        <v>4279.6457502946887</v>
      </c>
      <c r="EO27" s="3083">
        <f t="shared" ref="EO27" si="653">EO31*AVERAGE(EN29:EO29)</f>
        <v>4344.9284820788453</v>
      </c>
      <c r="EP27" s="3083">
        <f t="shared" ref="EP27" si="654">EP31*AVERAGE(EO29:EP29)</f>
        <v>5080.4848266165009</v>
      </c>
      <c r="EQ27" s="3083">
        <f t="shared" ref="EQ27" si="655">EQ31*AVERAGE(EP29:EQ29)</f>
        <v>4643.4369083019765</v>
      </c>
      <c r="ER27" s="3083">
        <f t="shared" ref="ER27" si="656">ER31*AVERAGE(EQ29:ER29)</f>
        <v>4244.4972667468364</v>
      </c>
      <c r="ES27" s="3083">
        <f t="shared" ref="ES27" si="657">ES31*AVERAGE(ER29:ES29)</f>
        <v>4065.968229700783</v>
      </c>
      <c r="ET27" s="3083">
        <f t="shared" ref="ET27" si="658">ET31*AVERAGE(ES29:ET29)</f>
        <v>4130.4849008259398</v>
      </c>
      <c r="EU27" s="3083">
        <f t="shared" ref="EU27" si="659">EU31*AVERAGE(ET29:EU29)</f>
        <v>4196.4195207670336</v>
      </c>
      <c r="EV27" s="3083">
        <f t="shared" ref="EV27" si="660">EV31*AVERAGE(EU29:EV29)</f>
        <v>4845.1955562773446</v>
      </c>
      <c r="EW27" s="3083">
        <f t="shared" ref="EW27" si="661">EW31*AVERAGE(EV29:EW29)</f>
        <v>4923.3438717011732</v>
      </c>
      <c r="EX27" s="3083">
        <f t="shared" ref="EX27" si="662">EX31*AVERAGE(EW29:EX29)</f>
        <v>5003.1034925976574</v>
      </c>
      <c r="EY27" s="3083">
        <f t="shared" ref="EY27" si="663">EY31*AVERAGE(EX29:EY29)</f>
        <v>5340.7319296827254</v>
      </c>
      <c r="EZ27" s="3083">
        <f t="shared" ref="EZ27" si="664">EZ31*AVERAGE(EY29:EZ29)</f>
        <v>5427.8964660093488</v>
      </c>
      <c r="FA27" s="3083">
        <f t="shared" ref="FA27" si="665">FA31*AVERAGE(EZ29:FA29)</f>
        <v>5516.7535176044512</v>
      </c>
      <c r="FB27" s="3083">
        <f t="shared" ref="FB27" si="666">FB31*AVERAGE(FA29:FB29)</f>
        <v>6457.1532853889266</v>
      </c>
      <c r="FC27" s="3083">
        <f t="shared" ref="FC27" si="667">FC31*AVERAGE(FB29:FC29)</f>
        <v>5907.0381284915466</v>
      </c>
      <c r="FD27" s="3083">
        <f t="shared" ref="FD27" si="668">FD31*AVERAGE(FC29:FD29)</f>
        <v>5403.9531885505285</v>
      </c>
      <c r="FE27" s="3083">
        <f t="shared" ref="FE27" si="669">FE31*AVERAGE(FD29:FE29)</f>
        <v>5180.4405503072603</v>
      </c>
      <c r="FF27" s="3083">
        <f t="shared" ref="FF27" si="670">FF31*AVERAGE(FE29:FF29)</f>
        <v>5266.0492100694864</v>
      </c>
      <c r="FG27" s="3083">
        <f t="shared" ref="FG27" si="671">FG31*AVERAGE(FF29:FG29)</f>
        <v>5353.1467160884476</v>
      </c>
      <c r="FH27" s="3083">
        <f t="shared" ref="FH27" si="672">FH31*AVERAGE(FG29:FH29)</f>
        <v>6183.7875776865249</v>
      </c>
      <c r="FI27" s="3083">
        <f t="shared" ref="FI27" si="673">FI31*AVERAGE(FH29:FI29)</f>
        <v>6286.1457578370137</v>
      </c>
      <c r="FJ27" s="3083">
        <f t="shared" ref="FJ27" si="674">FJ31*AVERAGE(FI29:FJ29)</f>
        <v>6390.1958087337907</v>
      </c>
      <c r="FK27" s="3083">
        <f t="shared" ref="FK27" si="675">FK31*AVERAGE(FJ29:FK29)</f>
        <v>6823.3329919878515</v>
      </c>
      <c r="FL27" s="3083">
        <f t="shared" ref="FL27" si="676">FL31*AVERAGE(FK29:FL29)</f>
        <v>6936.1814475136307</v>
      </c>
      <c r="FM27" s="3083">
        <f t="shared" ref="FM27" si="677">FM31*AVERAGE(FL29:FM29)</f>
        <v>7050.8070440713118</v>
      </c>
      <c r="FN27" s="3083">
        <f t="shared" ref="FN27" si="678">FN31*AVERAGE(FM29:FN29)</f>
        <v>8253.4814850504736</v>
      </c>
      <c r="FO27" s="3083">
        <f t="shared" ref="FO27" si="679">FO31*AVERAGE(FN29:FO29)</f>
        <v>7550.6155747998955</v>
      </c>
      <c r="FP27" s="3083">
        <f t="shared" ref="FP27" si="680">FP31*AVERAGE(FO29:FP29)</f>
        <v>6907.4456861012432</v>
      </c>
      <c r="FQ27" s="3083">
        <f t="shared" ref="FQ27" si="681">FQ31*AVERAGE(FP29:FQ29)</f>
        <v>6621.3087364183712</v>
      </c>
      <c r="FR27" s="3083">
        <f t="shared" ref="FR27" si="682">FR31*AVERAGE(FQ29:FR29)</f>
        <v>6729.9572920035616</v>
      </c>
      <c r="FS27" s="3083">
        <f t="shared" ref="FS27" si="683">FS31*AVERAGE(FR29:FS29)</f>
        <v>6840.1691361583244</v>
      </c>
      <c r="FT27" s="3083">
        <f t="shared" ref="FT27" si="684">FT31*AVERAGE(FS29:FT29)</f>
        <v>7899.9366691848372</v>
      </c>
      <c r="FU27" s="3083">
        <f t="shared" ref="FU27" si="685">FU31*AVERAGE(FT29:FU29)</f>
        <v>8028.7303297460921</v>
      </c>
      <c r="FV27" s="3083">
        <f t="shared" ref="FV27" si="686">FV31*AVERAGE(FU29:FV29)</f>
        <v>8159.3004545909498</v>
      </c>
      <c r="FW27" s="3083">
        <f t="shared" ref="FW27" si="687">FW31*AVERAGE(FV29:FW29)</f>
        <v>8709.5460547228722</v>
      </c>
      <c r="FX27" s="3083">
        <f t="shared" ref="FX27" si="688">FX31*AVERAGE(FW29:FX29)</f>
        <v>8850.4289100269052</v>
      </c>
      <c r="FY27" s="3083">
        <f t="shared" ref="FY27" si="689">FY31*AVERAGE(FX29:FY29)</f>
        <v>8993.1777634144364</v>
      </c>
    </row>
    <row r="28" spans="1:181" s="2689" customFormat="1" hidden="1" outlineLevel="1">
      <c r="A28" s="3268" t="str">
        <f>A56</f>
        <v>%YoY</v>
      </c>
      <c r="AX28" s="3239">
        <f t="shared" ref="AX28:BC28" si="690">AX27/AX20</f>
        <v>0.1331252748774179</v>
      </c>
      <c r="AY28" s="3239">
        <f t="shared" si="690"/>
        <v>0.11781624962689173</v>
      </c>
      <c r="AZ28" s="3239">
        <f t="shared" si="690"/>
        <v>0.14655169709295576</v>
      </c>
      <c r="BA28" s="3239" t="e">
        <f t="shared" si="690"/>
        <v>#DIV/0!</v>
      </c>
      <c r="BB28" s="3239" t="e">
        <f t="shared" si="690"/>
        <v>#DIV/0!</v>
      </c>
      <c r="BC28" s="3239">
        <f t="shared" si="690"/>
        <v>0.14836456195896527</v>
      </c>
      <c r="BD28" s="3239">
        <f t="shared" ref="BD28:BI28" si="691">BD27/BD20</f>
        <v>0.17633916726533735</v>
      </c>
      <c r="BE28" s="3239">
        <f t="shared" si="691"/>
        <v>0.21095437365010797</v>
      </c>
      <c r="BF28" s="3239">
        <f>BF27/BF20</f>
        <v>0.19936347399900314</v>
      </c>
      <c r="BG28" s="3239">
        <f t="shared" si="691"/>
        <v>0.27115094339622642</v>
      </c>
      <c r="BH28" s="3239">
        <f t="shared" si="691"/>
        <v>0.2898</v>
      </c>
      <c r="BI28" s="3239">
        <f t="shared" si="691"/>
        <v>0.31056022250812576</v>
      </c>
      <c r="BJ28" s="2900">
        <f t="shared" ref="BJ28:BQ28" si="692">BJ27/BJ20</f>
        <v>0.25683077018287587</v>
      </c>
      <c r="BK28" s="2900">
        <f t="shared" si="692"/>
        <v>0.23181607203638951</v>
      </c>
      <c r="BL28" s="2900">
        <f t="shared" si="692"/>
        <v>0.31209896509802082</v>
      </c>
      <c r="BM28" s="2900">
        <f t="shared" ca="1" si="692"/>
        <v>0.17867103378417568</v>
      </c>
      <c r="BN28" s="2900">
        <f t="shared" ca="1" si="692"/>
        <v>0.17120346455484339</v>
      </c>
      <c r="BO28" s="2900">
        <f t="shared" ca="1" si="692"/>
        <v>0.21177227004234081</v>
      </c>
      <c r="BP28" s="2900">
        <f t="shared" ca="1" si="692"/>
        <v>0.24025838810726638</v>
      </c>
      <c r="BQ28" s="2900">
        <f t="shared" ca="1" si="692"/>
        <v>0.23866321992488718</v>
      </c>
      <c r="BR28" s="2900">
        <v>0.25335764393215021</v>
      </c>
      <c r="BS28" s="2900">
        <v>0.27906142086679858</v>
      </c>
      <c r="BT28" s="2900">
        <v>0.28068807516075622</v>
      </c>
      <c r="BU28" s="2900">
        <v>0.28229011425732736</v>
      </c>
      <c r="BV28" s="2900">
        <f t="shared" ref="BV28:CI28" ca="1" si="693">BV27/BV20</f>
        <v>0.32209824799714359</v>
      </c>
      <c r="BW28" s="2900">
        <f t="shared" ca="1" si="693"/>
        <v>0.29441400135662588</v>
      </c>
      <c r="BX28" s="2900">
        <f t="shared" ca="1" si="693"/>
        <v>0.32729115711264356</v>
      </c>
      <c r="BY28" s="2900">
        <v>0.22352583315680971</v>
      </c>
      <c r="BZ28" s="2900">
        <v>0.25798380914673696</v>
      </c>
      <c r="CA28" s="2900">
        <f t="shared" ca="1" si="693"/>
        <v>0.26987130535564169</v>
      </c>
      <c r="CB28" s="2900">
        <f t="shared" ca="1" si="693"/>
        <v>0.34373212511173318</v>
      </c>
      <c r="CC28" s="2900">
        <f ca="1">CC27/CC20</f>
        <v>0.33039008038269252</v>
      </c>
      <c r="CD28" s="2900">
        <f t="shared" ca="1" si="693"/>
        <v>0.33128889515536608</v>
      </c>
      <c r="CE28" s="2900">
        <f t="shared" ca="1" si="693"/>
        <v>0.36034841154888081</v>
      </c>
      <c r="CF28" s="2900">
        <f t="shared" ca="1" si="693"/>
        <v>0.39215657717823654</v>
      </c>
      <c r="CG28" s="2900">
        <f ca="1">CG27/CG20</f>
        <v>0.31929918385716366</v>
      </c>
      <c r="CH28" s="2900">
        <f t="shared" ca="1" si="693"/>
        <v>0.38993417553421272</v>
      </c>
      <c r="CI28" s="2900">
        <f t="shared" ca="1" si="693"/>
        <v>0.29519153916872032</v>
      </c>
      <c r="CJ28" s="2900">
        <f t="shared" ref="CJ28:CT28" ca="1" si="694">CJ27/CJ20</f>
        <v>0.35103548510492039</v>
      </c>
      <c r="CK28" s="2900">
        <v>0.27924230737047301</v>
      </c>
      <c r="CL28" s="2900">
        <v>0.2822835520902347</v>
      </c>
      <c r="CM28" s="2900">
        <v>0.28879083030904051</v>
      </c>
      <c r="CN28" s="2900">
        <f t="shared" ca="1" si="694"/>
        <v>0.33429342626362535</v>
      </c>
      <c r="CO28" s="2900">
        <f t="shared" ca="1" si="694"/>
        <v>0.31375553121526228</v>
      </c>
      <c r="CP28" s="2900">
        <f t="shared" ca="1" si="694"/>
        <v>0.32628155395195818</v>
      </c>
      <c r="CQ28" s="2900">
        <f t="shared" ca="1" si="694"/>
        <v>0.33384521216211061</v>
      </c>
      <c r="CR28" s="3239">
        <f t="shared" ca="1" si="694"/>
        <v>0.34103151566104178</v>
      </c>
      <c r="CS28" s="3239">
        <f t="shared" ca="1" si="694"/>
        <v>0.30087414499515347</v>
      </c>
      <c r="CT28" s="3239">
        <f t="shared" ca="1" si="694"/>
        <v>0.41067312130651618</v>
      </c>
      <c r="CU28" s="3239">
        <f t="shared" ref="CU28:DK28" ca="1" si="695">CU27/CU20</f>
        <v>0.37371786261398315</v>
      </c>
      <c r="CV28" s="3239">
        <f t="shared" ca="1" si="695"/>
        <v>0.36841463264365909</v>
      </c>
      <c r="CW28" s="3239">
        <f t="shared" si="695"/>
        <v>0.29242878784296417</v>
      </c>
      <c r="CX28" s="3239">
        <f t="shared" si="695"/>
        <v>0.2949813375181814</v>
      </c>
      <c r="CY28" s="3239">
        <f t="shared" si="695"/>
        <v>0.30114720632212716</v>
      </c>
      <c r="CZ28" s="3239">
        <f t="shared" ca="1" si="695"/>
        <v>0.34779092141192608</v>
      </c>
      <c r="DA28" s="3239">
        <f t="shared" ca="1" si="695"/>
        <v>0.32592235487191384</v>
      </c>
      <c r="DB28" s="3239">
        <f t="shared" ca="1" si="695"/>
        <v>0.33809041123143069</v>
      </c>
      <c r="DC28" s="3239">
        <f t="shared" ca="1" si="695"/>
        <v>0.34499233017355463</v>
      </c>
      <c r="DD28" s="3239">
        <f t="shared" ca="1" si="695"/>
        <v>0.35182505334204217</v>
      </c>
      <c r="DE28" s="3239">
        <f t="shared" ca="1" si="695"/>
        <v>0.30988355222623765</v>
      </c>
      <c r="DF28" s="3239">
        <f t="shared" ca="1" si="695"/>
        <v>0.43747375284288381</v>
      </c>
      <c r="DG28" s="3239">
        <f t="shared" ca="1" si="695"/>
        <v>0.39757064416026716</v>
      </c>
      <c r="DH28" s="3239">
        <f t="shared" ca="1" si="695"/>
        <v>0.39141213766563954</v>
      </c>
      <c r="DI28" s="3239">
        <f t="shared" si="695"/>
        <v>0.31028184189027141</v>
      </c>
      <c r="DJ28" s="3239">
        <f t="shared" si="695"/>
        <v>0.31259432247937935</v>
      </c>
      <c r="DK28" s="3239">
        <f t="shared" si="695"/>
        <v>0.31873285475101254</v>
      </c>
      <c r="DL28" s="3239">
        <f t="shared" ref="DL28:DR28" ca="1" si="696">DL27/DL20</f>
        <v>0.36765331639953125</v>
      </c>
      <c r="DM28" s="3239">
        <f t="shared" ca="1" si="696"/>
        <v>0.34412571842389938</v>
      </c>
      <c r="DN28" s="3239">
        <f t="shared" ca="1" si="696"/>
        <v>0.35655681563320518</v>
      </c>
      <c r="DO28" s="3239">
        <f t="shared" ca="1" si="696"/>
        <v>0.3634194033328676</v>
      </c>
      <c r="DP28" s="3239">
        <f t="shared" ca="1" si="696"/>
        <v>0.37020118484627418</v>
      </c>
      <c r="DQ28" s="3239">
        <f t="shared" ca="1" si="696"/>
        <v>0.32571012035557123</v>
      </c>
      <c r="DR28" s="3239">
        <f t="shared" ca="1" si="696"/>
        <v>0.45932011355710189</v>
      </c>
      <c r="DS28" s="3239">
        <f t="shared" ref="DS28:FY28" ca="1" si="697">DS27/DS20</f>
        <v>0.41708444519046711</v>
      </c>
      <c r="DT28" s="3239">
        <f t="shared" ca="1" si="697"/>
        <v>0.41049534375147445</v>
      </c>
      <c r="DU28" s="3239">
        <f t="shared" si="697"/>
        <v>0.32546662542617505</v>
      </c>
      <c r="DV28" s="3239">
        <f t="shared" si="697"/>
        <v>0.32810512592061125</v>
      </c>
      <c r="DW28" s="3239">
        <f t="shared" si="697"/>
        <v>0.33491916593970017</v>
      </c>
      <c r="DX28" s="3239">
        <f t="shared" ca="1" si="697"/>
        <v>0.38692430119378385</v>
      </c>
      <c r="DY28" s="3239">
        <f t="shared" ca="1" si="697"/>
        <v>0.3628823112434168</v>
      </c>
      <c r="DZ28" s="3239">
        <f t="shared" ca="1" si="697"/>
        <v>0.37689384480251559</v>
      </c>
      <c r="EA28" s="3239">
        <f t="shared" ca="1" si="697"/>
        <v>0.38522479895120654</v>
      </c>
      <c r="EB28" s="3239">
        <f t="shared" ca="1" si="697"/>
        <v>0.39366579174797045</v>
      </c>
      <c r="EC28" s="3239">
        <f t="shared" ca="1" si="697"/>
        <v>0.34758944106542439</v>
      </c>
      <c r="ED28" s="3239">
        <f t="shared" ca="1" si="697"/>
        <v>0.50104543418964975</v>
      </c>
      <c r="EE28" s="3239">
        <f t="shared" ca="1" si="697"/>
        <v>0.45680344692144109</v>
      </c>
      <c r="EF28" s="3239">
        <f t="shared" ca="1" si="697"/>
        <v>0.45132696420824026</v>
      </c>
      <c r="EG28" s="3239">
        <f t="shared" si="697"/>
        <v>0.35917085744754268</v>
      </c>
      <c r="EH28" s="3239">
        <f t="shared" si="697"/>
        <v>0.36337354659604171</v>
      </c>
      <c r="EI28" s="3239">
        <f t="shared" si="697"/>
        <v>0.37218627637479706</v>
      </c>
      <c r="EJ28" s="3239">
        <f t="shared" ca="1" si="697"/>
        <v>0.43138128459782077</v>
      </c>
      <c r="EK28" s="3239">
        <f t="shared" ca="1" si="697"/>
        <v>0.40583689247050009</v>
      </c>
      <c r="EL28" s="3239">
        <f t="shared" ca="1" si="697"/>
        <v>0.42275762134016781</v>
      </c>
      <c r="EM28" s="3239">
        <f t="shared" ca="1" si="697"/>
        <v>0.43332168782474539</v>
      </c>
      <c r="EN28" s="3239">
        <f t="shared" ca="1" si="697"/>
        <v>0.44400283648719691</v>
      </c>
      <c r="EO28" s="3239">
        <f t="shared" ca="1" si="697"/>
        <v>0.39302998554221608</v>
      </c>
      <c r="EP28" s="3239">
        <f t="shared" ca="1" si="697"/>
        <v>0.56790748217153408</v>
      </c>
      <c r="EQ28" s="3239">
        <f t="shared" ca="1" si="697"/>
        <v>0.51893479681362864</v>
      </c>
      <c r="ER28" s="3239">
        <f t="shared" ca="1" si="697"/>
        <v>0.51380758956786687</v>
      </c>
      <c r="ES28" s="3239">
        <f t="shared" si="697"/>
        <v>0.4097135976879161</v>
      </c>
      <c r="ET28" s="3239">
        <f t="shared" si="697"/>
        <v>0.41528696270821025</v>
      </c>
      <c r="EU28" s="3239">
        <f t="shared" si="697"/>
        <v>0.42610649320356364</v>
      </c>
      <c r="EV28" s="3239">
        <f t="shared" ca="1" si="697"/>
        <v>0.49468699339880473</v>
      </c>
      <c r="EW28" s="3239">
        <f t="shared" ca="1" si="697"/>
        <v>0.46610333322264358</v>
      </c>
      <c r="EX28" s="3239">
        <f t="shared" ca="1" si="697"/>
        <v>0.48622271668052425</v>
      </c>
      <c r="EY28" s="3239">
        <f t="shared" ca="1" si="697"/>
        <v>0.49902292807825149</v>
      </c>
      <c r="EZ28" s="3239">
        <f t="shared" ca="1" si="697"/>
        <v>0.51193732287113936</v>
      </c>
      <c r="FA28" s="3239">
        <f t="shared" ca="1" si="697"/>
        <v>0.45366361436353386</v>
      </c>
      <c r="FB28" s="3239">
        <f t="shared" ca="1" si="697"/>
        <v>0.65617675718471036</v>
      </c>
      <c r="FC28" s="3239">
        <f t="shared" ca="1" si="697"/>
        <v>0.60013690319821722</v>
      </c>
      <c r="FD28" s="3239">
        <f t="shared" ca="1" si="697"/>
        <v>0.59469344283816339</v>
      </c>
      <c r="FE28" s="3239">
        <f t="shared" si="697"/>
        <v>0.47455920941994428</v>
      </c>
      <c r="FF28" s="3239">
        <f t="shared" si="697"/>
        <v>0.48132618245915992</v>
      </c>
      <c r="FG28" s="3239">
        <f t="shared" si="697"/>
        <v>0.4941464900794309</v>
      </c>
      <c r="FH28" s="3239">
        <f t="shared" ca="1" si="697"/>
        <v>0.57395924930201137</v>
      </c>
      <c r="FI28" s="3239">
        <f t="shared" ca="1" si="697"/>
        <v>0.5410205981220656</v>
      </c>
      <c r="FJ28" s="3239">
        <f t="shared" ca="1" si="697"/>
        <v>0.56456927563971804</v>
      </c>
      <c r="FK28" s="3239">
        <f t="shared" ca="1" si="697"/>
        <v>0.57959362699306227</v>
      </c>
      <c r="FL28" s="3239">
        <f t="shared" ca="1" si="697"/>
        <v>0.59472062242377732</v>
      </c>
      <c r="FM28" s="3239">
        <f t="shared" ca="1" si="697"/>
        <v>0.52710424339669681</v>
      </c>
      <c r="FN28" s="3239">
        <f t="shared" ca="1" si="697"/>
        <v>0.76247260236869463</v>
      </c>
      <c r="FO28" s="3239">
        <f t="shared" ca="1" si="697"/>
        <v>0.69738119629996509</v>
      </c>
      <c r="FP28" s="3239">
        <f t="shared" ca="1" si="697"/>
        <v>0.69104505753112855</v>
      </c>
      <c r="FQ28" s="3239">
        <f t="shared" si="697"/>
        <v>0.55141028833115591</v>
      </c>
      <c r="FR28" s="3239">
        <f t="shared" si="697"/>
        <v>0.55920905653507536</v>
      </c>
      <c r="FS28" s="3239">
        <f t="shared" si="697"/>
        <v>0.57401167259824204</v>
      </c>
      <c r="FT28" s="3239">
        <f t="shared" ca="1" si="697"/>
        <v>0.66658789223438553</v>
      </c>
      <c r="FU28" s="3239">
        <f t="shared" ca="1" si="697"/>
        <v>0.62817918128559946</v>
      </c>
      <c r="FV28" s="3239">
        <f t="shared" ca="1" si="697"/>
        <v>0.65533492602688193</v>
      </c>
      <c r="FW28" s="3239">
        <f t="shared" ca="1" si="697"/>
        <v>0.67255819689818142</v>
      </c>
      <c r="FX28" s="3239">
        <f t="shared" ca="1" si="697"/>
        <v>0.68986511722073351</v>
      </c>
      <c r="FY28" s="3239">
        <f t="shared" ca="1" si="697"/>
        <v>0.61119272408842273</v>
      </c>
    </row>
    <row r="29" spans="1:181" s="2689" customFormat="1" hidden="1" outlineLevel="1">
      <c r="A29" s="3268" t="str">
        <f>A57</f>
        <v>Number of store</v>
      </c>
      <c r="AH29" s="2689">
        <v>52</v>
      </c>
      <c r="AI29" s="2689">
        <v>107</v>
      </c>
      <c r="AJ29" s="2689">
        <v>169</v>
      </c>
      <c r="AK29" s="2689">
        <v>302</v>
      </c>
      <c r="AL29" s="2689">
        <v>367</v>
      </c>
      <c r="AM29" s="2689">
        <v>388</v>
      </c>
      <c r="AN29" s="2689">
        <v>410</v>
      </c>
      <c r="AO29" s="2689">
        <v>473</v>
      </c>
      <c r="AP29" s="2689">
        <v>537</v>
      </c>
      <c r="AQ29" s="2689">
        <v>566</v>
      </c>
      <c r="AR29" s="2689">
        <v>589</v>
      </c>
      <c r="AS29" s="2689">
        <v>592</v>
      </c>
      <c r="AT29" s="2689">
        <v>601</v>
      </c>
      <c r="AU29" s="2689">
        <v>618</v>
      </c>
      <c r="AV29" s="2689">
        <v>720</v>
      </c>
      <c r="AW29" s="2689">
        <v>800</v>
      </c>
      <c r="AX29" s="2689">
        <v>839</v>
      </c>
      <c r="AY29" s="2689">
        <v>874</v>
      </c>
      <c r="AZ29" s="2689">
        <v>901</v>
      </c>
      <c r="BA29" s="2689">
        <v>907</v>
      </c>
      <c r="BB29" s="2689">
        <v>926</v>
      </c>
      <c r="BC29" s="2689">
        <v>926</v>
      </c>
      <c r="BD29" s="2689">
        <v>972</v>
      </c>
      <c r="BE29" s="2689">
        <f>BE30+BD29</f>
        <v>1002</v>
      </c>
      <c r="BF29" s="2689">
        <f>BF30+BE29</f>
        <v>1019</v>
      </c>
      <c r="BG29" s="2689">
        <v>1034</v>
      </c>
      <c r="BH29" s="2689">
        <f>BH30+BG29</f>
        <v>1036</v>
      </c>
      <c r="BI29" s="3269">
        <f>BH29</f>
        <v>1036</v>
      </c>
      <c r="BJ29" s="2684">
        <f t="shared" ref="BJ29:CO29" si="698">BJ30+BI29</f>
        <v>1039</v>
      </c>
      <c r="BK29" s="2684">
        <f t="shared" si="698"/>
        <v>1042</v>
      </c>
      <c r="BL29" s="2684">
        <f t="shared" si="698"/>
        <v>1045</v>
      </c>
      <c r="BM29" s="2684">
        <f t="shared" si="698"/>
        <v>1048</v>
      </c>
      <c r="BN29" s="2684">
        <f t="shared" si="698"/>
        <v>1051</v>
      </c>
      <c r="BO29" s="2684">
        <f t="shared" si="698"/>
        <v>1054</v>
      </c>
      <c r="BP29" s="2684">
        <f t="shared" si="698"/>
        <v>1069</v>
      </c>
      <c r="BQ29" s="2684">
        <f t="shared" si="698"/>
        <v>1084</v>
      </c>
      <c r="BR29" s="2684">
        <v>1099</v>
      </c>
      <c r="BS29" s="2684">
        <v>1114</v>
      </c>
      <c r="BT29" s="2684">
        <v>1129</v>
      </c>
      <c r="BU29" s="2684">
        <v>1144</v>
      </c>
      <c r="BV29" s="2684">
        <f t="shared" si="698"/>
        <v>1162</v>
      </c>
      <c r="BW29" s="2684">
        <f t="shared" si="698"/>
        <v>1180</v>
      </c>
      <c r="BX29" s="2684">
        <f t="shared" si="698"/>
        <v>1198</v>
      </c>
      <c r="BY29" s="2684">
        <v>1216</v>
      </c>
      <c r="BZ29" s="2684">
        <v>1234</v>
      </c>
      <c r="CA29" s="2684">
        <f t="shared" si="698"/>
        <v>1252</v>
      </c>
      <c r="CB29" s="2684">
        <f t="shared" si="698"/>
        <v>1270</v>
      </c>
      <c r="CC29" s="2684">
        <f t="shared" si="698"/>
        <v>1288</v>
      </c>
      <c r="CD29" s="2684">
        <f t="shared" si="698"/>
        <v>1306</v>
      </c>
      <c r="CE29" s="2684">
        <f t="shared" si="698"/>
        <v>1324</v>
      </c>
      <c r="CF29" s="2684">
        <f t="shared" si="698"/>
        <v>1342</v>
      </c>
      <c r="CG29" s="2684">
        <f t="shared" si="698"/>
        <v>1360</v>
      </c>
      <c r="CH29" s="2684">
        <f t="shared" si="698"/>
        <v>1378</v>
      </c>
      <c r="CI29" s="2684">
        <f t="shared" si="698"/>
        <v>1396</v>
      </c>
      <c r="CJ29" s="2684">
        <f t="shared" si="698"/>
        <v>1414</v>
      </c>
      <c r="CK29" s="2684">
        <v>1432</v>
      </c>
      <c r="CL29" s="2684">
        <v>1450</v>
      </c>
      <c r="CM29" s="2684">
        <v>1468</v>
      </c>
      <c r="CN29" s="2684">
        <f t="shared" si="698"/>
        <v>1486</v>
      </c>
      <c r="CO29" s="2684">
        <f t="shared" si="698"/>
        <v>1504</v>
      </c>
      <c r="CP29" s="2684">
        <f t="shared" ref="CP29:DR29" si="699">CP30+CO29</f>
        <v>1522</v>
      </c>
      <c r="CQ29" s="2684">
        <f t="shared" si="699"/>
        <v>1540</v>
      </c>
      <c r="CR29" s="2689">
        <f t="shared" si="699"/>
        <v>1558</v>
      </c>
      <c r="CS29" s="2689">
        <f t="shared" si="699"/>
        <v>1576</v>
      </c>
      <c r="CT29" s="2689">
        <f t="shared" si="699"/>
        <v>1594</v>
      </c>
      <c r="CU29" s="2689">
        <f t="shared" si="699"/>
        <v>1612</v>
      </c>
      <c r="CV29" s="2689">
        <f t="shared" si="699"/>
        <v>1630</v>
      </c>
      <c r="CW29" s="2689">
        <f t="shared" si="699"/>
        <v>1648</v>
      </c>
      <c r="CX29" s="2689">
        <f t="shared" si="699"/>
        <v>1666</v>
      </c>
      <c r="CY29" s="2689">
        <f t="shared" si="699"/>
        <v>1684</v>
      </c>
      <c r="CZ29" s="2689">
        <f t="shared" si="699"/>
        <v>1702</v>
      </c>
      <c r="DA29" s="2689">
        <f t="shared" si="699"/>
        <v>1720</v>
      </c>
      <c r="DB29" s="2689">
        <f t="shared" si="699"/>
        <v>1738</v>
      </c>
      <c r="DC29" s="2689">
        <f t="shared" si="699"/>
        <v>1756</v>
      </c>
      <c r="DD29" s="2689">
        <f t="shared" si="699"/>
        <v>1774</v>
      </c>
      <c r="DE29" s="2689">
        <f t="shared" si="699"/>
        <v>1792</v>
      </c>
      <c r="DF29" s="2689">
        <f t="shared" si="699"/>
        <v>1810</v>
      </c>
      <c r="DG29" s="2689">
        <f t="shared" si="699"/>
        <v>1828</v>
      </c>
      <c r="DH29" s="2689">
        <f t="shared" si="699"/>
        <v>1846</v>
      </c>
      <c r="DI29" s="2689">
        <f t="shared" si="699"/>
        <v>1864</v>
      </c>
      <c r="DJ29" s="2689">
        <f t="shared" si="699"/>
        <v>1882</v>
      </c>
      <c r="DK29" s="2689">
        <f t="shared" si="699"/>
        <v>1900</v>
      </c>
      <c r="DL29" s="2689">
        <f t="shared" si="699"/>
        <v>1918</v>
      </c>
      <c r="DM29" s="2689">
        <f t="shared" si="699"/>
        <v>1936</v>
      </c>
      <c r="DN29" s="2689">
        <f t="shared" si="699"/>
        <v>1954</v>
      </c>
      <c r="DO29" s="2689">
        <f t="shared" si="699"/>
        <v>1972</v>
      </c>
      <c r="DP29" s="2689">
        <f t="shared" si="699"/>
        <v>1990</v>
      </c>
      <c r="DQ29" s="2689">
        <f t="shared" si="699"/>
        <v>2008</v>
      </c>
      <c r="DR29" s="2689">
        <f t="shared" si="699"/>
        <v>2026</v>
      </c>
      <c r="DS29" s="2689">
        <f t="shared" ref="DS29" si="700">DS30+DR29</f>
        <v>2045</v>
      </c>
      <c r="DT29" s="2689">
        <f t="shared" ref="DT29" si="701">DT30+DS29</f>
        <v>2065</v>
      </c>
      <c r="DU29" s="2689">
        <f t="shared" ref="DU29" si="702">DU30+DT29</f>
        <v>2086</v>
      </c>
      <c r="DV29" s="2689">
        <f t="shared" ref="DV29" si="703">DV30+DU29</f>
        <v>2108</v>
      </c>
      <c r="DW29" s="2689">
        <f t="shared" ref="DW29" si="704">DW30+DV29</f>
        <v>2131</v>
      </c>
      <c r="DX29" s="2689">
        <f t="shared" ref="DX29" si="705">DX30+DW29</f>
        <v>2155</v>
      </c>
      <c r="DY29" s="2689">
        <f t="shared" ref="DY29" si="706">DY30+DX29</f>
        <v>2180</v>
      </c>
      <c r="DZ29" s="2689">
        <f t="shared" ref="DZ29" si="707">DZ30+DY29</f>
        <v>2206</v>
      </c>
      <c r="EA29" s="2689">
        <f t="shared" ref="EA29" si="708">EA30+DZ29</f>
        <v>2233</v>
      </c>
      <c r="EB29" s="2689">
        <f t="shared" ref="EB29" si="709">EB30+EA29</f>
        <v>2261</v>
      </c>
      <c r="EC29" s="2689">
        <f t="shared" ref="EC29" si="710">EC30+EB29</f>
        <v>2290</v>
      </c>
      <c r="ED29" s="2689">
        <f t="shared" ref="ED29" si="711">ED30+EC29</f>
        <v>2320</v>
      </c>
      <c r="EE29" s="2689">
        <f t="shared" ref="EE29" si="712">EE30+ED29</f>
        <v>2351</v>
      </c>
      <c r="EF29" s="2689">
        <f t="shared" ref="EF29" si="713">EF30+EE29</f>
        <v>2383</v>
      </c>
      <c r="EG29" s="2689">
        <f t="shared" ref="EG29" si="714">EG30+EF29</f>
        <v>2416</v>
      </c>
      <c r="EH29" s="2689">
        <f t="shared" ref="EH29" si="715">EH30+EG29</f>
        <v>2450</v>
      </c>
      <c r="EI29" s="2689">
        <f t="shared" ref="EI29" si="716">EI30+EH29</f>
        <v>2485</v>
      </c>
      <c r="EJ29" s="2689">
        <f t="shared" ref="EJ29" si="717">EJ30+EI29</f>
        <v>2521</v>
      </c>
      <c r="EK29" s="2689">
        <f t="shared" ref="EK29" si="718">EK30+EJ29</f>
        <v>2558</v>
      </c>
      <c r="EL29" s="2689">
        <f t="shared" ref="EL29" si="719">EL30+EK29</f>
        <v>2596</v>
      </c>
      <c r="EM29" s="2689">
        <f t="shared" ref="EM29" si="720">EM30+EL29</f>
        <v>2635</v>
      </c>
      <c r="EN29" s="2689">
        <f t="shared" ref="EN29" si="721">EN30+EM29</f>
        <v>2675</v>
      </c>
      <c r="EO29" s="2689">
        <f t="shared" ref="EO29" si="722">EO30+EN29</f>
        <v>2716</v>
      </c>
      <c r="EP29" s="2689">
        <f t="shared" ref="EP29" si="723">EP30+EO29</f>
        <v>2758</v>
      </c>
      <c r="EQ29" s="2689">
        <f t="shared" ref="EQ29" si="724">EQ30+EP29</f>
        <v>2801</v>
      </c>
      <c r="ER29" s="2689">
        <f t="shared" ref="ER29" si="725">ER30+EQ29</f>
        <v>2845</v>
      </c>
      <c r="ES29" s="2689">
        <f t="shared" ref="ES29" si="726">ES30+ER29</f>
        <v>2890</v>
      </c>
      <c r="ET29" s="2689">
        <f t="shared" ref="ET29" si="727">ET30+ES29</f>
        <v>2936</v>
      </c>
      <c r="EU29" s="2689">
        <f t="shared" ref="EU29" si="728">EU30+ET29</f>
        <v>2983</v>
      </c>
      <c r="EV29" s="2689">
        <f t="shared" ref="EV29" si="729">EV30+EU29</f>
        <v>3031</v>
      </c>
      <c r="EW29" s="2689">
        <f t="shared" ref="EW29" si="730">EW30+EV29</f>
        <v>3080</v>
      </c>
      <c r="EX29" s="2689">
        <f t="shared" ref="EX29" si="731">EX30+EW29</f>
        <v>3130</v>
      </c>
      <c r="EY29" s="2689">
        <f t="shared" ref="EY29" si="732">EY30+EX29</f>
        <v>3181</v>
      </c>
      <c r="EZ29" s="2689">
        <f t="shared" ref="EZ29" si="733">EZ30+EY29</f>
        <v>3233</v>
      </c>
      <c r="FA29" s="2689">
        <f t="shared" ref="FA29" si="734">FA30+EZ29</f>
        <v>3286</v>
      </c>
      <c r="FB29" s="2689">
        <f t="shared" ref="FB29" si="735">FB30+FA29</f>
        <v>3340</v>
      </c>
      <c r="FC29" s="2689">
        <f t="shared" ref="FC29" si="736">FC30+FB29</f>
        <v>3395</v>
      </c>
      <c r="FD29" s="2689">
        <f t="shared" ref="FD29" si="737">FD30+FC29</f>
        <v>3451</v>
      </c>
      <c r="FE29" s="2689">
        <f t="shared" ref="FE29" si="738">FE30+FD29</f>
        <v>3508</v>
      </c>
      <c r="FF29" s="2689">
        <f t="shared" ref="FF29" si="739">FF30+FE29</f>
        <v>3566</v>
      </c>
      <c r="FG29" s="2689">
        <f t="shared" ref="FG29" si="740">FG30+FF29</f>
        <v>3625</v>
      </c>
      <c r="FH29" s="2689">
        <f t="shared" ref="FH29" si="741">FH30+FG29</f>
        <v>3685</v>
      </c>
      <c r="FI29" s="2689">
        <f t="shared" ref="FI29" si="742">FI30+FH29</f>
        <v>3746</v>
      </c>
      <c r="FJ29" s="2689">
        <f t="shared" ref="FJ29" si="743">FJ30+FI29</f>
        <v>3808</v>
      </c>
      <c r="FK29" s="2689">
        <f t="shared" ref="FK29" si="744">FK30+FJ29</f>
        <v>3871</v>
      </c>
      <c r="FL29" s="2689">
        <f t="shared" ref="FL29" si="745">FL30+FK29</f>
        <v>3935</v>
      </c>
      <c r="FM29" s="2689">
        <f t="shared" ref="FM29" si="746">FM30+FL29</f>
        <v>4000</v>
      </c>
      <c r="FN29" s="2689">
        <f t="shared" ref="FN29" si="747">FN30+FM29</f>
        <v>4066</v>
      </c>
      <c r="FO29" s="2689">
        <f t="shared" ref="FO29" si="748">FO30+FN29</f>
        <v>4133</v>
      </c>
      <c r="FP29" s="2689">
        <f t="shared" ref="FP29" si="749">FP30+FO29</f>
        <v>4201</v>
      </c>
      <c r="FQ29" s="2689">
        <f t="shared" ref="FQ29" si="750">FQ30+FP29</f>
        <v>4270</v>
      </c>
      <c r="FR29" s="2689">
        <f t="shared" ref="FR29" si="751">FR30+FQ29</f>
        <v>4340</v>
      </c>
      <c r="FS29" s="2689">
        <f t="shared" ref="FS29" si="752">FS30+FR29</f>
        <v>4411</v>
      </c>
      <c r="FT29" s="2689">
        <f t="shared" ref="FT29" si="753">FT30+FS29</f>
        <v>4483</v>
      </c>
      <c r="FU29" s="2689">
        <f t="shared" ref="FU29" si="754">FU30+FT29</f>
        <v>4556</v>
      </c>
      <c r="FV29" s="2689">
        <f t="shared" ref="FV29" si="755">FV30+FU29</f>
        <v>4630</v>
      </c>
      <c r="FW29" s="2689">
        <f t="shared" ref="FW29" si="756">FW30+FV29</f>
        <v>4705</v>
      </c>
      <c r="FX29" s="2689">
        <f t="shared" ref="FX29" si="757">FX30+FW29</f>
        <v>4781</v>
      </c>
      <c r="FY29" s="2689">
        <f t="shared" ref="FY29" si="758">FY30+FX29</f>
        <v>4858</v>
      </c>
    </row>
    <row r="30" spans="1:181" s="2689" customFormat="1" hidden="1" outlineLevel="1">
      <c r="A30" s="3268" t="str">
        <f>A58</f>
        <v>(+/-)</v>
      </c>
      <c r="AY30" s="2689">
        <f t="shared" ref="AY30:BD30" si="759">AY29-AX29</f>
        <v>35</v>
      </c>
      <c r="AZ30" s="2689">
        <f t="shared" si="759"/>
        <v>27</v>
      </c>
      <c r="BA30" s="2689">
        <f t="shared" si="759"/>
        <v>6</v>
      </c>
      <c r="BB30" s="2689">
        <f t="shared" si="759"/>
        <v>19</v>
      </c>
      <c r="BC30" s="2689">
        <f t="shared" si="759"/>
        <v>0</v>
      </c>
      <c r="BD30" s="2689">
        <f t="shared" si="759"/>
        <v>46</v>
      </c>
      <c r="BE30" s="2689">
        <f>1002-BD29</f>
        <v>30</v>
      </c>
      <c r="BF30" s="2689">
        <f>1019-BE29</f>
        <v>17</v>
      </c>
      <c r="BG30" s="2689">
        <f>BG29-BF29</f>
        <v>15</v>
      </c>
      <c r="BH30" s="2689">
        <f>1036-BG29</f>
        <v>2</v>
      </c>
      <c r="BI30" s="2689">
        <v>0</v>
      </c>
      <c r="BJ30" s="2684">
        <v>3</v>
      </c>
      <c r="BK30" s="2684">
        <f>BJ30</f>
        <v>3</v>
      </c>
      <c r="BL30" s="2684">
        <f>BK30</f>
        <v>3</v>
      </c>
      <c r="BM30" s="2684">
        <f>BL30</f>
        <v>3</v>
      </c>
      <c r="BN30" s="2684">
        <f>BM30</f>
        <v>3</v>
      </c>
      <c r="BO30" s="2684">
        <f>BN30</f>
        <v>3</v>
      </c>
      <c r="BP30" s="2684">
        <v>15</v>
      </c>
      <c r="BQ30" s="2684">
        <f>BP30</f>
        <v>15</v>
      </c>
      <c r="BR30" s="2684">
        <v>15</v>
      </c>
      <c r="BS30" s="2684">
        <v>15</v>
      </c>
      <c r="BT30" s="2684">
        <v>15</v>
      </c>
      <c r="BU30" s="2684">
        <v>15</v>
      </c>
      <c r="BV30" s="2684">
        <v>18</v>
      </c>
      <c r="BW30" s="2684">
        <v>18</v>
      </c>
      <c r="BX30" s="2684">
        <v>18</v>
      </c>
      <c r="BY30" s="2684">
        <v>18</v>
      </c>
      <c r="BZ30" s="2684">
        <v>18</v>
      </c>
      <c r="CA30" s="2684">
        <v>18</v>
      </c>
      <c r="CB30" s="2684">
        <v>18</v>
      </c>
      <c r="CC30" s="2684">
        <v>18</v>
      </c>
      <c r="CD30" s="2684">
        <v>18</v>
      </c>
      <c r="CE30" s="2684">
        <v>18</v>
      </c>
      <c r="CF30" s="2684">
        <v>18</v>
      </c>
      <c r="CG30" s="2684">
        <v>18</v>
      </c>
      <c r="CH30" s="2684">
        <v>18</v>
      </c>
      <c r="CI30" s="2684">
        <v>18</v>
      </c>
      <c r="CJ30" s="2684">
        <v>18</v>
      </c>
      <c r="CK30" s="2684">
        <v>18</v>
      </c>
      <c r="CL30" s="2684">
        <v>18</v>
      </c>
      <c r="CM30" s="2684">
        <v>18</v>
      </c>
      <c r="CN30" s="2684">
        <v>18</v>
      </c>
      <c r="CO30" s="2684">
        <v>18</v>
      </c>
      <c r="CP30" s="2684">
        <v>18</v>
      </c>
      <c r="CQ30" s="2684">
        <v>18</v>
      </c>
      <c r="CR30" s="2689">
        <v>18</v>
      </c>
      <c r="CS30" s="2689">
        <v>18</v>
      </c>
      <c r="CT30" s="2689">
        <v>18</v>
      </c>
      <c r="CU30" s="2689">
        <v>18</v>
      </c>
      <c r="CV30" s="2689">
        <v>18</v>
      </c>
      <c r="CW30" s="2689">
        <v>18</v>
      </c>
      <c r="CX30" s="2689">
        <v>18</v>
      </c>
      <c r="CY30" s="2689">
        <v>18</v>
      </c>
      <c r="CZ30" s="2689">
        <v>18</v>
      </c>
      <c r="DA30" s="2689">
        <v>18</v>
      </c>
      <c r="DB30" s="2689">
        <v>18</v>
      </c>
      <c r="DC30" s="2689">
        <v>18</v>
      </c>
      <c r="DD30" s="2689">
        <v>18</v>
      </c>
      <c r="DE30" s="2689">
        <v>18</v>
      </c>
      <c r="DF30" s="2689">
        <v>18</v>
      </c>
      <c r="DG30" s="2689">
        <v>18</v>
      </c>
      <c r="DH30" s="2689">
        <v>18</v>
      </c>
      <c r="DI30" s="2689">
        <v>18</v>
      </c>
      <c r="DJ30" s="2689">
        <v>18</v>
      </c>
      <c r="DK30" s="2689">
        <v>18</v>
      </c>
      <c r="DL30" s="2689">
        <v>18</v>
      </c>
      <c r="DM30" s="2689">
        <v>18</v>
      </c>
      <c r="DN30" s="2689">
        <v>18</v>
      </c>
      <c r="DO30" s="2689">
        <v>18</v>
      </c>
      <c r="DP30" s="2689">
        <v>18</v>
      </c>
      <c r="DQ30" s="2689">
        <v>18</v>
      </c>
      <c r="DR30" s="2689">
        <v>18</v>
      </c>
      <c r="DS30" s="2689">
        <v>19</v>
      </c>
      <c r="DT30" s="2689">
        <v>20</v>
      </c>
      <c r="DU30" s="2689">
        <v>21</v>
      </c>
      <c r="DV30" s="2689">
        <v>22</v>
      </c>
      <c r="DW30" s="2689">
        <v>23</v>
      </c>
      <c r="DX30" s="2689">
        <v>24</v>
      </c>
      <c r="DY30" s="2689">
        <v>25</v>
      </c>
      <c r="DZ30" s="2689">
        <v>26</v>
      </c>
      <c r="EA30" s="2689">
        <v>27</v>
      </c>
      <c r="EB30" s="2689">
        <v>28</v>
      </c>
      <c r="EC30" s="2689">
        <v>29</v>
      </c>
      <c r="ED30" s="2689">
        <v>30</v>
      </c>
      <c r="EE30" s="2689">
        <v>31</v>
      </c>
      <c r="EF30" s="2689">
        <v>32</v>
      </c>
      <c r="EG30" s="2689">
        <v>33</v>
      </c>
      <c r="EH30" s="2689">
        <v>34</v>
      </c>
      <c r="EI30" s="2689">
        <v>35</v>
      </c>
      <c r="EJ30" s="2689">
        <v>36</v>
      </c>
      <c r="EK30" s="2689">
        <v>37</v>
      </c>
      <c r="EL30" s="2689">
        <v>38</v>
      </c>
      <c r="EM30" s="2689">
        <v>39</v>
      </c>
      <c r="EN30" s="2689">
        <v>40</v>
      </c>
      <c r="EO30" s="2689">
        <v>41</v>
      </c>
      <c r="EP30" s="2689">
        <v>42</v>
      </c>
      <c r="EQ30" s="2689">
        <v>43</v>
      </c>
      <c r="ER30" s="2689">
        <v>44</v>
      </c>
      <c r="ES30" s="2689">
        <v>45</v>
      </c>
      <c r="ET30" s="2689">
        <v>46</v>
      </c>
      <c r="EU30" s="2689">
        <v>47</v>
      </c>
      <c r="EV30" s="2689">
        <v>48</v>
      </c>
      <c r="EW30" s="2689">
        <v>49</v>
      </c>
      <c r="EX30" s="2689">
        <v>50</v>
      </c>
      <c r="EY30" s="2689">
        <v>51</v>
      </c>
      <c r="EZ30" s="2689">
        <v>52</v>
      </c>
      <c r="FA30" s="2689">
        <v>53</v>
      </c>
      <c r="FB30" s="2689">
        <v>54</v>
      </c>
      <c r="FC30" s="2689">
        <v>55</v>
      </c>
      <c r="FD30" s="2689">
        <v>56</v>
      </c>
      <c r="FE30" s="2689">
        <v>57</v>
      </c>
      <c r="FF30" s="2689">
        <v>58</v>
      </c>
      <c r="FG30" s="2689">
        <v>59</v>
      </c>
      <c r="FH30" s="2689">
        <v>60</v>
      </c>
      <c r="FI30" s="2689">
        <v>61</v>
      </c>
      <c r="FJ30" s="2689">
        <v>62</v>
      </c>
      <c r="FK30" s="2689">
        <v>63</v>
      </c>
      <c r="FL30" s="2689">
        <v>64</v>
      </c>
      <c r="FM30" s="2689">
        <v>65</v>
      </c>
      <c r="FN30" s="2689">
        <v>66</v>
      </c>
      <c r="FO30" s="2689">
        <v>67</v>
      </c>
      <c r="FP30" s="2689">
        <v>68</v>
      </c>
      <c r="FQ30" s="2689">
        <v>69</v>
      </c>
      <c r="FR30" s="2689">
        <v>70</v>
      </c>
      <c r="FS30" s="2689">
        <v>71</v>
      </c>
      <c r="FT30" s="2689">
        <v>72</v>
      </c>
      <c r="FU30" s="2689">
        <v>73</v>
      </c>
      <c r="FV30" s="2689">
        <v>74</v>
      </c>
      <c r="FW30" s="2689">
        <v>75</v>
      </c>
      <c r="FX30" s="2689">
        <v>76</v>
      </c>
      <c r="FY30" s="2689">
        <v>77</v>
      </c>
    </row>
    <row r="31" spans="1:181" s="2689" customFormat="1" hidden="1" outlineLevel="1">
      <c r="A31" s="3268" t="str">
        <f>A59</f>
        <v>Average REV per store (bnVND/Store)</v>
      </c>
      <c r="AL31" s="3270">
        <f>AL27/AVERAGE(AK29:AL29)</f>
        <v>1.3452914798206279</v>
      </c>
      <c r="AM31" s="3270">
        <f t="shared" ref="AM31:AW31" si="760">AM27/AVERAGE(AL29:AM29)</f>
        <v>1.3245033112582782</v>
      </c>
      <c r="AN31" s="3270">
        <f t="shared" si="760"/>
        <v>0.8771929824561403</v>
      </c>
      <c r="AO31" s="3270">
        <f t="shared" si="760"/>
        <v>1.0419026047565119</v>
      </c>
      <c r="AP31" s="3270">
        <f t="shared" si="760"/>
        <v>1.2079207920792079</v>
      </c>
      <c r="AQ31" s="3270">
        <f t="shared" si="760"/>
        <v>1.1423390752493201</v>
      </c>
      <c r="AR31" s="3270">
        <f t="shared" si="760"/>
        <v>0.86580086580086579</v>
      </c>
      <c r="AS31" s="3270">
        <f t="shared" si="760"/>
        <v>0.73259864521591911</v>
      </c>
      <c r="AT31" s="3270">
        <f t="shared" si="760"/>
        <v>0.78357166806370449</v>
      </c>
      <c r="AU31" s="3270">
        <f t="shared" si="760"/>
        <v>1.1484823625922889</v>
      </c>
      <c r="AV31" s="3270">
        <f t="shared" si="760"/>
        <v>1.1210762331838564</v>
      </c>
      <c r="AW31" s="3270">
        <f t="shared" si="760"/>
        <v>1.25</v>
      </c>
      <c r="AX31" s="3271">
        <f>AX27/AX29/2</f>
        <v>1.132300357568534</v>
      </c>
      <c r="AY31" s="3271">
        <f>AY27/AY29</f>
        <v>0.8009153318077803</v>
      </c>
      <c r="AZ31" s="3271">
        <f>AZ27/AZ29</f>
        <v>0.88790233074361824</v>
      </c>
      <c r="BA31" s="3271">
        <f>BA27/BA29/2</f>
        <v>0</v>
      </c>
      <c r="BB31" s="3271">
        <f>BB27/BB29/2</f>
        <v>0</v>
      </c>
      <c r="BC31" s="3271">
        <f>BC27/BC29/2</f>
        <v>1.0259179265658747</v>
      </c>
      <c r="BD31" s="3271">
        <f>BC31</f>
        <v>1.0259179265658747</v>
      </c>
      <c r="BE31" s="3270">
        <f>BD31</f>
        <v>1.0259179265658747</v>
      </c>
      <c r="BF31" s="3270">
        <f>BE31</f>
        <v>1.0259179265658747</v>
      </c>
      <c r="BG31" s="3270">
        <v>1.4</v>
      </c>
      <c r="BH31" s="3270">
        <v>1.4</v>
      </c>
      <c r="BI31" s="3270">
        <v>1.4</v>
      </c>
      <c r="BJ31" s="3272">
        <v>1.2</v>
      </c>
      <c r="BK31" s="3272">
        <f>BJ31*0.9</f>
        <v>1.08</v>
      </c>
      <c r="BL31" s="3272">
        <f>BK31</f>
        <v>1.08</v>
      </c>
      <c r="BM31" s="3272">
        <v>0.88</v>
      </c>
      <c r="BN31" s="3272">
        <v>0.88</v>
      </c>
      <c r="BO31" s="3272">
        <v>0.88</v>
      </c>
      <c r="BP31" s="3272">
        <v>1</v>
      </c>
      <c r="BQ31" s="3272">
        <v>1</v>
      </c>
      <c r="BR31" s="3272">
        <v>1</v>
      </c>
      <c r="BS31" s="3272">
        <v>1.3</v>
      </c>
      <c r="BT31" s="3272">
        <v>1.3</v>
      </c>
      <c r="BU31" s="3272">
        <v>1.3</v>
      </c>
      <c r="BV31" s="3272">
        <f>BJ31*1.2</f>
        <v>1.44</v>
      </c>
      <c r="BW31" s="3272">
        <f>BV31*0.9</f>
        <v>1.296</v>
      </c>
      <c r="BX31" s="3272">
        <f>BW31*0.9</f>
        <v>1.1664000000000001</v>
      </c>
      <c r="BY31" s="3272">
        <v>1.1000000000000001</v>
      </c>
      <c r="BZ31" s="3272">
        <v>1.1000000000000001</v>
      </c>
      <c r="CA31" s="3272">
        <f t="shared" ref="CA31:CD31" si="761">BO31*1.25</f>
        <v>1.1000000000000001</v>
      </c>
      <c r="CB31" s="3272">
        <f t="shared" si="761"/>
        <v>1.25</v>
      </c>
      <c r="CC31" s="3272">
        <f t="shared" si="761"/>
        <v>1.25</v>
      </c>
      <c r="CD31" s="3272">
        <f t="shared" si="761"/>
        <v>1.25</v>
      </c>
      <c r="CE31" s="3272">
        <f t="shared" ref="CE31:CS31" si="762">BS31*1.01</f>
        <v>1.3130000000000002</v>
      </c>
      <c r="CF31" s="3272">
        <f t="shared" si="762"/>
        <v>1.3130000000000002</v>
      </c>
      <c r="CG31" s="3272">
        <f t="shared" si="762"/>
        <v>1.3130000000000002</v>
      </c>
      <c r="CH31" s="3272">
        <f t="shared" si="762"/>
        <v>1.4543999999999999</v>
      </c>
      <c r="CI31" s="3272">
        <f t="shared" si="762"/>
        <v>1.3089600000000001</v>
      </c>
      <c r="CJ31" s="3272">
        <f t="shared" si="762"/>
        <v>1.1780640000000002</v>
      </c>
      <c r="CK31" s="3272">
        <v>1.1110000000000002</v>
      </c>
      <c r="CL31" s="3272">
        <v>1.1110000000000002</v>
      </c>
      <c r="CM31" s="3272">
        <v>1.1110000000000002</v>
      </c>
      <c r="CN31" s="3272">
        <f t="shared" si="762"/>
        <v>1.2625</v>
      </c>
      <c r="CO31" s="3272">
        <f t="shared" si="762"/>
        <v>1.2625</v>
      </c>
      <c r="CP31" s="3272">
        <f t="shared" si="762"/>
        <v>1.2625</v>
      </c>
      <c r="CQ31" s="3272">
        <f t="shared" si="762"/>
        <v>1.3261300000000003</v>
      </c>
      <c r="CR31" s="3270">
        <f t="shared" si="762"/>
        <v>1.3261300000000003</v>
      </c>
      <c r="CS31" s="3270">
        <f t="shared" si="762"/>
        <v>1.3261300000000003</v>
      </c>
      <c r="CT31" s="3270">
        <f t="shared" ref="CT31:DR31" si="763">CH31*1.05</f>
        <v>1.52712</v>
      </c>
      <c r="CU31" s="3270">
        <f t="shared" si="763"/>
        <v>1.3744080000000003</v>
      </c>
      <c r="CV31" s="3270">
        <f t="shared" si="763"/>
        <v>1.2369672000000003</v>
      </c>
      <c r="CW31" s="3270">
        <f t="shared" si="763"/>
        <v>1.1665500000000002</v>
      </c>
      <c r="CX31" s="3270">
        <f t="shared" si="763"/>
        <v>1.1665500000000002</v>
      </c>
      <c r="CY31" s="3270">
        <f t="shared" si="763"/>
        <v>1.1665500000000002</v>
      </c>
      <c r="CZ31" s="3270">
        <f t="shared" si="763"/>
        <v>1.3256250000000001</v>
      </c>
      <c r="DA31" s="3270">
        <f t="shared" si="763"/>
        <v>1.3256250000000001</v>
      </c>
      <c r="DB31" s="3270">
        <f t="shared" si="763"/>
        <v>1.3256250000000001</v>
      </c>
      <c r="DC31" s="3270">
        <f t="shared" si="763"/>
        <v>1.3924365000000003</v>
      </c>
      <c r="DD31" s="3270">
        <f t="shared" si="763"/>
        <v>1.3924365000000003</v>
      </c>
      <c r="DE31" s="3270">
        <f t="shared" si="763"/>
        <v>1.3924365000000003</v>
      </c>
      <c r="DF31" s="3270">
        <f t="shared" si="763"/>
        <v>1.6034760000000001</v>
      </c>
      <c r="DG31" s="3270">
        <f t="shared" si="763"/>
        <v>1.4431284000000004</v>
      </c>
      <c r="DH31" s="3270">
        <f t="shared" si="763"/>
        <v>1.2988155600000004</v>
      </c>
      <c r="DI31" s="3270">
        <f t="shared" si="763"/>
        <v>1.2248775000000003</v>
      </c>
      <c r="DJ31" s="3270">
        <f t="shared" si="763"/>
        <v>1.2248775000000003</v>
      </c>
      <c r="DK31" s="3270">
        <f t="shared" si="763"/>
        <v>1.2248775000000003</v>
      </c>
      <c r="DL31" s="3270">
        <f t="shared" si="763"/>
        <v>1.3919062500000001</v>
      </c>
      <c r="DM31" s="3270">
        <f t="shared" si="763"/>
        <v>1.3919062500000001</v>
      </c>
      <c r="DN31" s="3270">
        <f t="shared" si="763"/>
        <v>1.3919062500000001</v>
      </c>
      <c r="DO31" s="3270">
        <f t="shared" si="763"/>
        <v>1.4620583250000003</v>
      </c>
      <c r="DP31" s="3270">
        <f t="shared" si="763"/>
        <v>1.4620583250000003</v>
      </c>
      <c r="DQ31" s="3270">
        <f t="shared" si="763"/>
        <v>1.4620583250000003</v>
      </c>
      <c r="DR31" s="3270">
        <f t="shared" si="763"/>
        <v>1.6836498000000002</v>
      </c>
      <c r="DS31" s="3270">
        <f t="shared" ref="DS31" si="764">DG31*1.05</f>
        <v>1.5152848200000004</v>
      </c>
      <c r="DT31" s="3270">
        <f t="shared" ref="DT31" si="765">DH31*1.05</f>
        <v>1.3637563380000004</v>
      </c>
      <c r="DU31" s="3270">
        <f t="shared" ref="DU31" si="766">DI31*1.05</f>
        <v>1.2861213750000005</v>
      </c>
      <c r="DV31" s="3270">
        <f t="shared" ref="DV31" si="767">DJ31*1.05</f>
        <v>1.2861213750000005</v>
      </c>
      <c r="DW31" s="3270">
        <f t="shared" ref="DW31" si="768">DK31*1.05</f>
        <v>1.2861213750000005</v>
      </c>
      <c r="DX31" s="3270">
        <f t="shared" ref="DX31" si="769">DL31*1.05</f>
        <v>1.4615015625000003</v>
      </c>
      <c r="DY31" s="3270">
        <f t="shared" ref="DY31" si="770">DM31*1.05</f>
        <v>1.4615015625000003</v>
      </c>
      <c r="DZ31" s="3270">
        <f t="shared" ref="DZ31" si="771">DN31*1.05</f>
        <v>1.4615015625000003</v>
      </c>
      <c r="EA31" s="3270">
        <f t="shared" ref="EA31" si="772">DO31*1.05</f>
        <v>1.5351612412500004</v>
      </c>
      <c r="EB31" s="3270">
        <f t="shared" ref="EB31" si="773">DP31*1.05</f>
        <v>1.5351612412500004</v>
      </c>
      <c r="EC31" s="3270">
        <f t="shared" ref="EC31" si="774">DQ31*1.05</f>
        <v>1.5351612412500004</v>
      </c>
      <c r="ED31" s="3270">
        <f t="shared" ref="ED31" si="775">DR31*1.05</f>
        <v>1.7678322900000003</v>
      </c>
      <c r="EE31" s="3270">
        <f t="shared" ref="EE31" si="776">DS31*1.05</f>
        <v>1.5910490610000005</v>
      </c>
      <c r="EF31" s="3270">
        <f t="shared" ref="EF31" si="777">DT31*1.05</f>
        <v>1.4319441549000005</v>
      </c>
      <c r="EG31" s="3270">
        <f t="shared" ref="EG31" si="778">DU31*1.05</f>
        <v>1.3504274437500006</v>
      </c>
      <c r="EH31" s="3270">
        <f t="shared" ref="EH31" si="779">DV31*1.05</f>
        <v>1.3504274437500006</v>
      </c>
      <c r="EI31" s="3270">
        <f t="shared" ref="EI31" si="780">DW31*1.05</f>
        <v>1.3504274437500006</v>
      </c>
      <c r="EJ31" s="3270">
        <f t="shared" ref="EJ31" si="781">DX31*1.05</f>
        <v>1.5345766406250003</v>
      </c>
      <c r="EK31" s="3270">
        <f t="shared" ref="EK31" si="782">DY31*1.05</f>
        <v>1.5345766406250003</v>
      </c>
      <c r="EL31" s="3270">
        <f t="shared" ref="EL31" si="783">DZ31*1.05</f>
        <v>1.5345766406250003</v>
      </c>
      <c r="EM31" s="3270">
        <f t="shared" ref="EM31" si="784">EA31*1.05</f>
        <v>1.6119193033125006</v>
      </c>
      <c r="EN31" s="3270">
        <f t="shared" ref="EN31" si="785">EB31*1.05</f>
        <v>1.6119193033125006</v>
      </c>
      <c r="EO31" s="3270">
        <f t="shared" ref="EO31" si="786">EC31*1.05</f>
        <v>1.6119193033125006</v>
      </c>
      <c r="EP31" s="3270">
        <f t="shared" ref="EP31" si="787">ED31*1.05</f>
        <v>1.8562239045000004</v>
      </c>
      <c r="EQ31" s="3270">
        <f t="shared" ref="EQ31" si="788">EE31*1.05</f>
        <v>1.6706015140500006</v>
      </c>
      <c r="ER31" s="3270">
        <f t="shared" ref="ER31" si="789">EF31*1.05</f>
        <v>1.5035413626450005</v>
      </c>
      <c r="ES31" s="3270">
        <f t="shared" ref="ES31" si="790">EG31*1.05</f>
        <v>1.4179488159375007</v>
      </c>
      <c r="ET31" s="3270">
        <f t="shared" ref="ET31" si="791">EH31*1.05</f>
        <v>1.4179488159375007</v>
      </c>
      <c r="EU31" s="3270">
        <f t="shared" ref="EU31" si="792">EI31*1.05</f>
        <v>1.4179488159375007</v>
      </c>
      <c r="EV31" s="3270">
        <f t="shared" ref="EV31" si="793">EJ31*1.05</f>
        <v>1.6113054726562503</v>
      </c>
      <c r="EW31" s="3270">
        <f t="shared" ref="EW31" si="794">EK31*1.05</f>
        <v>1.6113054726562503</v>
      </c>
      <c r="EX31" s="3270">
        <f t="shared" ref="EX31" si="795">EL31*1.05</f>
        <v>1.6113054726562503</v>
      </c>
      <c r="EY31" s="3270">
        <f t="shared" ref="EY31" si="796">EM31*1.05</f>
        <v>1.6925152684781257</v>
      </c>
      <c r="EZ31" s="3270">
        <f t="shared" ref="EZ31" si="797">EN31*1.05</f>
        <v>1.6925152684781257</v>
      </c>
      <c r="FA31" s="3270">
        <f t="shared" ref="FA31" si="798">EO31*1.05</f>
        <v>1.6925152684781257</v>
      </c>
      <c r="FB31" s="3270">
        <f t="shared" ref="FB31" si="799">EP31*1.05</f>
        <v>1.9490350997250006</v>
      </c>
      <c r="FC31" s="3270">
        <f t="shared" ref="FC31" si="800">EQ31*1.05</f>
        <v>1.7541315897525007</v>
      </c>
      <c r="FD31" s="3270">
        <f t="shared" ref="FD31" si="801">ER31*1.05</f>
        <v>1.5787184307772506</v>
      </c>
      <c r="FE31" s="3270">
        <f t="shared" ref="FE31" si="802">ES31*1.05</f>
        <v>1.4888462567343757</v>
      </c>
      <c r="FF31" s="3270">
        <f t="shared" ref="FF31" si="803">ET31*1.05</f>
        <v>1.4888462567343757</v>
      </c>
      <c r="FG31" s="3270">
        <f t="shared" ref="FG31" si="804">EU31*1.05</f>
        <v>1.4888462567343757</v>
      </c>
      <c r="FH31" s="3270">
        <f t="shared" ref="FH31" si="805">EV31*1.05</f>
        <v>1.691870746289063</v>
      </c>
      <c r="FI31" s="3270">
        <f t="shared" ref="FI31" si="806">EW31*1.05</f>
        <v>1.691870746289063</v>
      </c>
      <c r="FJ31" s="3270">
        <f t="shared" ref="FJ31" si="807">EX31*1.05</f>
        <v>1.691870746289063</v>
      </c>
      <c r="FK31" s="3270">
        <f t="shared" ref="FK31" si="808">EY31*1.05</f>
        <v>1.777141031902032</v>
      </c>
      <c r="FL31" s="3270">
        <f t="shared" ref="FL31" si="809">EZ31*1.05</f>
        <v>1.777141031902032</v>
      </c>
      <c r="FM31" s="3270">
        <f t="shared" ref="FM31" si="810">FA31*1.05</f>
        <v>1.777141031902032</v>
      </c>
      <c r="FN31" s="3270">
        <f t="shared" ref="FN31" si="811">FB31*1.05</f>
        <v>2.0464868547112505</v>
      </c>
      <c r="FO31" s="3270">
        <f t="shared" ref="FO31" si="812">FC31*1.05</f>
        <v>1.8418381692401258</v>
      </c>
      <c r="FP31" s="3270">
        <f t="shared" ref="FP31" si="813">FD31*1.05</f>
        <v>1.6576543523161131</v>
      </c>
      <c r="FQ31" s="3270">
        <f t="shared" ref="FQ31" si="814">FE31*1.05</f>
        <v>1.5632885695710945</v>
      </c>
      <c r="FR31" s="3270">
        <f t="shared" ref="FR31" si="815">FF31*1.05</f>
        <v>1.5632885695710945</v>
      </c>
      <c r="FS31" s="3270">
        <f t="shared" ref="FS31" si="816">FG31*1.05</f>
        <v>1.5632885695710945</v>
      </c>
      <c r="FT31" s="3270">
        <f t="shared" ref="FT31" si="817">FH31*1.05</f>
        <v>1.7764642836035163</v>
      </c>
      <c r="FU31" s="3270">
        <f t="shared" ref="FU31" si="818">FI31*1.05</f>
        <v>1.7764642836035163</v>
      </c>
      <c r="FV31" s="3270">
        <f t="shared" ref="FV31" si="819">FJ31*1.05</f>
        <v>1.7764642836035163</v>
      </c>
      <c r="FW31" s="3270">
        <f t="shared" ref="FW31" si="820">FK31*1.05</f>
        <v>1.8659980834971337</v>
      </c>
      <c r="FX31" s="3270">
        <f t="shared" ref="FX31" si="821">FL31*1.05</f>
        <v>1.8659980834971337</v>
      </c>
      <c r="FY31" s="3270">
        <f t="shared" ref="FY31" si="822">FM31*1.05</f>
        <v>1.8659980834971337</v>
      </c>
    </row>
    <row r="32" spans="1:181" s="3234" customFormat="1" collapsed="1">
      <c r="A32" s="3232" t="s">
        <v>39</v>
      </c>
      <c r="B32" s="3232">
        <f>B20+B7</f>
        <v>7657</v>
      </c>
      <c r="C32" s="3232">
        <f t="shared" ref="C32:AW32" si="823">C20+C7</f>
        <v>7824</v>
      </c>
      <c r="D32" s="3232">
        <f t="shared" si="823"/>
        <v>5850</v>
      </c>
      <c r="E32" s="3232">
        <f t="shared" si="823"/>
        <v>7473</v>
      </c>
      <c r="F32" s="3232">
        <f t="shared" si="823"/>
        <v>7050</v>
      </c>
      <c r="G32" s="3232">
        <f t="shared" si="823"/>
        <v>7134</v>
      </c>
      <c r="H32" s="3232">
        <f t="shared" si="823"/>
        <v>6710</v>
      </c>
      <c r="I32" s="3232">
        <f t="shared" si="823"/>
        <v>6555</v>
      </c>
      <c r="J32" s="3232">
        <f t="shared" si="823"/>
        <v>6373</v>
      </c>
      <c r="K32" s="3232">
        <f t="shared" si="823"/>
        <v>6325</v>
      </c>
      <c r="L32" s="3232">
        <f t="shared" si="823"/>
        <v>6267</v>
      </c>
      <c r="M32" s="3232">
        <f t="shared" si="823"/>
        <v>6972.475500000015</v>
      </c>
      <c r="N32" s="3232">
        <f t="shared" si="823"/>
        <v>9722</v>
      </c>
      <c r="O32" s="3232">
        <f t="shared" si="823"/>
        <v>6639</v>
      </c>
      <c r="P32" s="3232">
        <f t="shared" si="823"/>
        <v>7029.8950000000023</v>
      </c>
      <c r="Q32" s="3232">
        <f t="shared" si="823"/>
        <v>8752.0289999999986</v>
      </c>
      <c r="R32" s="3232">
        <f t="shared" si="823"/>
        <v>7517.8439999999973</v>
      </c>
      <c r="S32" s="3232">
        <f t="shared" si="823"/>
        <v>7979.7990000000045</v>
      </c>
      <c r="T32" s="3232">
        <f t="shared" si="823"/>
        <v>8231.3259999999973</v>
      </c>
      <c r="U32" s="3232">
        <f t="shared" si="823"/>
        <v>6793.107</v>
      </c>
      <c r="V32" s="3232">
        <f t="shared" si="823"/>
        <v>6959.0409999999974</v>
      </c>
      <c r="W32" s="3232">
        <f t="shared" si="823"/>
        <v>6788.9590000000026</v>
      </c>
      <c r="X32" s="3232">
        <f t="shared" si="823"/>
        <v>7156</v>
      </c>
      <c r="Y32" s="3232">
        <f t="shared" si="823"/>
        <v>7876.7299999999959</v>
      </c>
      <c r="Z32" s="3232">
        <f t="shared" si="823"/>
        <v>10977.44</v>
      </c>
      <c r="AA32" s="3232">
        <f t="shared" si="823"/>
        <v>6975.3940000000002</v>
      </c>
      <c r="AB32" s="3232">
        <f t="shared" si="823"/>
        <v>6909.1570000000011</v>
      </c>
      <c r="AC32" s="3232">
        <f t="shared" si="823"/>
        <v>6151.9669999999987</v>
      </c>
      <c r="AD32" s="3232">
        <f t="shared" si="823"/>
        <v>8641.8619999999974</v>
      </c>
      <c r="AE32" s="3232">
        <f t="shared" si="823"/>
        <v>6524.5499999999993</v>
      </c>
      <c r="AF32" s="3232">
        <f t="shared" si="823"/>
        <v>6873.7300000000087</v>
      </c>
      <c r="AG32" s="3232">
        <f t="shared" si="823"/>
        <v>6708.3299999999981</v>
      </c>
      <c r="AH32" s="3232">
        <f t="shared" si="823"/>
        <v>6458.0980000000018</v>
      </c>
      <c r="AI32" s="3232">
        <f t="shared" si="823"/>
        <v>6762.0919999999933</v>
      </c>
      <c r="AJ32" s="3232">
        <f t="shared" si="823"/>
        <v>7155.7080000000096</v>
      </c>
      <c r="AK32" s="3232">
        <f t="shared" si="823"/>
        <v>7132.6559999999954</v>
      </c>
      <c r="AL32" s="3232">
        <f t="shared" si="823"/>
        <v>9027.0330000000013</v>
      </c>
      <c r="AM32" s="3232">
        <f t="shared" si="823"/>
        <v>8717.3900000000012</v>
      </c>
      <c r="AN32" s="3232">
        <f t="shared" si="823"/>
        <v>7132.9659999999985</v>
      </c>
      <c r="AO32" s="3232">
        <f t="shared" si="823"/>
        <v>7481.8110000000015</v>
      </c>
      <c r="AP32" s="3232">
        <f t="shared" si="823"/>
        <v>8690.16</v>
      </c>
      <c r="AQ32" s="3232">
        <f t="shared" si="823"/>
        <v>7877.9609999999939</v>
      </c>
      <c r="AR32" s="3232">
        <f t="shared" si="823"/>
        <v>5278.1370000000061</v>
      </c>
      <c r="AS32" s="3232">
        <f t="shared" si="823"/>
        <v>3409.872000000003</v>
      </c>
      <c r="AT32" s="3232">
        <f t="shared" si="823"/>
        <v>6284.1899999999951</v>
      </c>
      <c r="AU32" s="3232">
        <f t="shared" si="823"/>
        <v>6510.6735654579716</v>
      </c>
      <c r="AV32" s="3232">
        <f t="shared" si="823"/>
        <v>13464.943954542043</v>
      </c>
      <c r="AW32" s="3232">
        <f t="shared" si="823"/>
        <v>10433.648479999989</v>
      </c>
      <c r="AX32" s="3232">
        <v>21300</v>
      </c>
      <c r="AY32" s="3232">
        <f>AY20+AY7+AY14</f>
        <v>8988.0954632048306</v>
      </c>
      <c r="AZ32" s="3232">
        <f>AZ20+AZ7+AZ14</f>
        <v>8811.9045367951676</v>
      </c>
      <c r="BA32" s="3232">
        <f>BA20+BA7+BA14</f>
        <v>170</v>
      </c>
      <c r="BB32" s="3232">
        <f t="shared" ref="BB32:BI32" si="824">BB20+BB7+BB14</f>
        <v>160</v>
      </c>
      <c r="BC32" s="3232">
        <f>(BC20+BC7+BC14)/2</f>
        <v>9189.4218272391918</v>
      </c>
      <c r="BD32" s="3232">
        <f>BD20+BD7+BD14</f>
        <v>8021.1563455216165</v>
      </c>
      <c r="BE32" s="3232">
        <f>BE20+BE7+BE14</f>
        <v>7800</v>
      </c>
      <c r="BF32" s="3232">
        <f t="shared" ca="1" si="824"/>
        <v>7699.9999999999982</v>
      </c>
      <c r="BG32" s="3232">
        <f t="shared" ca="1" si="824"/>
        <v>8600</v>
      </c>
      <c r="BH32" s="3232">
        <f t="shared" ca="1" si="824"/>
        <v>7099.9999999999991</v>
      </c>
      <c r="BI32" s="3232">
        <f t="shared" ca="1" si="824"/>
        <v>6955.5117290000062</v>
      </c>
      <c r="BJ32" s="3233">
        <f ca="1">BJ20+BJ7+BJ14</f>
        <v>7271.3249999999998</v>
      </c>
      <c r="BK32" s="3233">
        <f t="shared" ref="BK32:BQ32" ca="1" si="825">BK20+BK7+BK14</f>
        <v>7271.3249999999998</v>
      </c>
      <c r="BL32" s="3233">
        <f ca="1">BL20+BL7+BL14</f>
        <v>5402.96</v>
      </c>
      <c r="BM32" s="3233">
        <f t="shared" ca="1" si="825"/>
        <v>7358.0169999999998</v>
      </c>
      <c r="BN32" s="3233">
        <f ca="1">BN20+BN7+BN14</f>
        <v>7630.077000000002</v>
      </c>
      <c r="BO32" s="3233">
        <f ca="1">BO20+BO7+BO14</f>
        <v>6645.2460000000001</v>
      </c>
      <c r="BP32" s="3233">
        <f t="shared" ca="1" si="825"/>
        <v>6759.2800000000007</v>
      </c>
      <c r="BQ32" s="3233">
        <f t="shared" ca="1" si="825"/>
        <v>6862.279999999997</v>
      </c>
      <c r="BR32" s="3233">
        <v>7022.4750457592108</v>
      </c>
      <c r="BS32" s="3233">
        <f ca="1">BS7+BS14+BS20</f>
        <v>7836.8919999999971</v>
      </c>
      <c r="BT32" s="3233">
        <f ca="1">BT7+BT14+BT20</f>
        <v>6554.358000000002</v>
      </c>
      <c r="BU32" s="3233">
        <f ca="1">BU7+BU14+BU20</f>
        <v>6750.3860000000032</v>
      </c>
      <c r="BV32" s="3233">
        <f t="shared" ref="BV32:CI32" ca="1" si="826">BV20+BV7+BV14</f>
        <v>7445.6785</v>
      </c>
      <c r="BW32" s="3233">
        <f ca="1">BW20+BW7+BW14</f>
        <v>7445.6785</v>
      </c>
      <c r="BX32" s="3233">
        <f ca="1">BX20+BX7+BX14</f>
        <v>6456.483220000001</v>
      </c>
      <c r="BY32" s="3233">
        <f t="shared" ref="BY32" si="827">BY20+BY7+BY14</f>
        <v>8047.7967799999979</v>
      </c>
      <c r="BZ32" s="3233">
        <f ca="1">BZ20+BZ7+BZ14</f>
        <v>7433.3229999999976</v>
      </c>
      <c r="CA32" s="3233">
        <f ca="1">CA20+CA7+CA14</f>
        <v>7465.2150000000029</v>
      </c>
      <c r="CB32" s="3233">
        <f t="shared" ca="1" si="826"/>
        <v>7064.8360000000021</v>
      </c>
      <c r="CC32" s="3233">
        <f ca="1">CC20+CC7+CC14</f>
        <v>7490.9119999999994</v>
      </c>
      <c r="CD32" s="3233">
        <f t="shared" ca="1" si="826"/>
        <v>7894.1999999999962</v>
      </c>
      <c r="CE32" s="3233">
        <f t="shared" ca="1" si="826"/>
        <v>7862.3870000000024</v>
      </c>
      <c r="CF32" s="3233">
        <f t="shared" ca="1" si="826"/>
        <v>7137.4731999999995</v>
      </c>
      <c r="CG32" s="3233">
        <f t="shared" ca="1" si="826"/>
        <v>9054.9029689750078</v>
      </c>
      <c r="CH32" s="3233">
        <f ca="1">CH20+CH7+CH14</f>
        <v>7750.1442483116662</v>
      </c>
      <c r="CI32" s="3233">
        <f t="shared" ca="1" si="826"/>
        <v>9146.8917516883339</v>
      </c>
      <c r="CJ32" s="3233">
        <f t="shared" ref="CJ32:CT32" ca="1" si="828">CJ20+CJ7+CJ14</f>
        <v>7385.6560570364463</v>
      </c>
      <c r="CK32" s="3233">
        <v>8306.0588100897949</v>
      </c>
      <c r="CL32" s="3233">
        <v>8398.6015474256201</v>
      </c>
      <c r="CM32" s="3233">
        <v>8406.4939654681439</v>
      </c>
      <c r="CN32" s="3233">
        <f t="shared" ca="1" si="828"/>
        <v>8738.8576199799936</v>
      </c>
      <c r="CO32" s="3233">
        <f t="shared" ca="1" si="828"/>
        <v>8933.5680000000011</v>
      </c>
      <c r="CP32" s="3233">
        <f t="shared" ca="1" si="828"/>
        <v>9389.592000000006</v>
      </c>
      <c r="CQ32" s="3233">
        <f t="shared" ca="1" si="828"/>
        <v>10395.788999999995</v>
      </c>
      <c r="CR32" s="3232">
        <f ca="1">CR20+CR7+CR14</f>
        <v>9629.103000000001</v>
      </c>
      <c r="CS32" s="3232">
        <f t="shared" ca="1" si="828"/>
        <v>11177.062407302263</v>
      </c>
      <c r="CT32" s="3232">
        <f t="shared" ca="1" si="828"/>
        <v>8758.9959791226192</v>
      </c>
      <c r="CU32" s="3232">
        <f t="shared" ref="CU32:DK32" ca="1" si="829">CU20+CU7+CU14</f>
        <v>9145.6959429326962</v>
      </c>
      <c r="CV32" s="3232">
        <f t="shared" ca="1" si="829"/>
        <v>8350.3386419449544</v>
      </c>
      <c r="CW32" s="3232">
        <f t="shared" si="829"/>
        <v>9417.9248988291656</v>
      </c>
      <c r="CX32" s="3232">
        <f t="shared" si="829"/>
        <v>9523.0083846467351</v>
      </c>
      <c r="CY32" s="3232">
        <f t="shared" si="829"/>
        <v>9534.176801344478</v>
      </c>
      <c r="CZ32" s="3232">
        <f t="shared" ca="1" si="829"/>
        <v>9905.9142900681054</v>
      </c>
      <c r="DA32" s="3232">
        <f t="shared" ca="1" si="829"/>
        <v>10148.120293451881</v>
      </c>
      <c r="DB32" s="3232">
        <f ca="1">DB20+DB7+DB14</f>
        <v>10647.73754119679</v>
      </c>
      <c r="DC32" s="3232">
        <f t="shared" ca="1" si="829"/>
        <v>11774.269513701287</v>
      </c>
      <c r="DD32" s="3232">
        <f t="shared" ca="1" si="829"/>
        <v>10932.594045638216</v>
      </c>
      <c r="DE32" s="3232">
        <f t="shared" ca="1" si="829"/>
        <v>12692.770612100152</v>
      </c>
      <c r="DF32" s="3232">
        <f t="shared" ca="1" si="829"/>
        <v>9736.9221986875618</v>
      </c>
      <c r="DG32" s="3232">
        <f t="shared" ca="1" si="829"/>
        <v>10162.319084168723</v>
      </c>
      <c r="DH32" s="3232">
        <f t="shared" ca="1" si="829"/>
        <v>9279.1642989578922</v>
      </c>
      <c r="DI32" s="3232">
        <f t="shared" si="829"/>
        <v>10474.226575567662</v>
      </c>
      <c r="DJ32" s="3232">
        <f t="shared" si="829"/>
        <v>10590.110541433023</v>
      </c>
      <c r="DK32" s="3232">
        <f t="shared" si="829"/>
        <v>10601.106980562028</v>
      </c>
      <c r="DL32" s="3232">
        <f t="shared" ref="DL32:DR32" ca="1" si="830">DL20+DL7+DL14</f>
        <v>11009.309033391366</v>
      </c>
      <c r="DM32" s="3232">
        <f t="shared" ca="1" si="830"/>
        <v>11286.84340228397</v>
      </c>
      <c r="DN32" s="3232">
        <f t="shared" ca="1" si="830"/>
        <v>11832.824630217405</v>
      </c>
      <c r="DO32" s="3232">
        <f t="shared" ca="1" si="830"/>
        <v>13074.023467493069</v>
      </c>
      <c r="DP32" s="3232">
        <f t="shared" ca="1" si="830"/>
        <v>12147.54616821442</v>
      </c>
      <c r="DQ32" s="3232">
        <f t="shared" ca="1" si="830"/>
        <v>14105.063306707998</v>
      </c>
      <c r="DR32" s="3232">
        <f t="shared" ca="1" si="830"/>
        <v>10825.993895689475</v>
      </c>
      <c r="DS32" s="3232">
        <f t="shared" ref="DS32:FY32" ca="1" si="831">DS20+DS7+DS14</f>
        <v>11293.960626043643</v>
      </c>
      <c r="DT32" s="3232">
        <f t="shared" ca="1" si="831"/>
        <v>10313.181714648386</v>
      </c>
      <c r="DU32" s="3232">
        <f t="shared" si="831"/>
        <v>11651.037443340008</v>
      </c>
      <c r="DV32" s="3232">
        <f t="shared" si="831"/>
        <v>11778.836993033865</v>
      </c>
      <c r="DW32" s="3232">
        <f t="shared" si="831"/>
        <v>11789.489598528638</v>
      </c>
      <c r="DX32" s="3232">
        <f t="shared" ca="1" si="831"/>
        <v>12237.717569702259</v>
      </c>
      <c r="DY32" s="3232">
        <f t="shared" ca="1" si="831"/>
        <v>12555.377193787534</v>
      </c>
      <c r="DZ32" s="3232">
        <f t="shared" ca="1" si="831"/>
        <v>13151.927070578027</v>
      </c>
      <c r="EA32" s="3232">
        <f t="shared" ca="1" si="831"/>
        <v>14519.740752017133</v>
      </c>
      <c r="EB32" s="3232">
        <f t="shared" ca="1" si="831"/>
        <v>13499.857745485733</v>
      </c>
      <c r="EC32" s="3232">
        <f t="shared" ca="1" si="831"/>
        <v>15676.95252381562</v>
      </c>
      <c r="ED32" s="3232">
        <f t="shared" ca="1" si="831"/>
        <v>11891.116126364435</v>
      </c>
      <c r="EE32" s="3232">
        <f t="shared" ca="1" si="831"/>
        <v>12150.433267851377</v>
      </c>
      <c r="EF32" s="3232">
        <f t="shared" ca="1" si="831"/>
        <v>11100.478687280416</v>
      </c>
      <c r="EG32" s="3232">
        <f t="shared" si="831"/>
        <v>12574.680101800544</v>
      </c>
      <c r="EH32" s="3232">
        <f t="shared" si="831"/>
        <v>12707.596211973698</v>
      </c>
      <c r="EI32" s="3232">
        <f t="shared" si="831"/>
        <v>12712.909963648552</v>
      </c>
      <c r="EJ32" s="3232">
        <f t="shared" ca="1" si="831"/>
        <v>13171.471169157874</v>
      </c>
      <c r="EK32" s="3232">
        <f t="shared" ca="1" si="831"/>
        <v>13543.108042890059</v>
      </c>
      <c r="EL32" s="3232">
        <f t="shared" ca="1" si="831"/>
        <v>14141.758878154043</v>
      </c>
      <c r="EM32" s="3232">
        <f t="shared" ca="1" si="831"/>
        <v>15574.478800329682</v>
      </c>
      <c r="EN32" s="3232">
        <f t="shared" ca="1" si="831"/>
        <v>14518.230399843065</v>
      </c>
      <c r="EO32" s="3232">
        <f t="shared" ca="1" si="831"/>
        <v>16850.758183799921</v>
      </c>
      <c r="EP32" s="3232">
        <f t="shared" ca="1" si="831"/>
        <v>12817.138781411513</v>
      </c>
      <c r="EQ32" s="3232">
        <f t="shared" ca="1" si="831"/>
        <v>13084.365471215984</v>
      </c>
      <c r="ER32" s="3232">
        <f t="shared" ca="1" si="831"/>
        <v>11959.184721210666</v>
      </c>
      <c r="ES32" s="3232">
        <f t="shared" si="831"/>
        <v>13583.443193530929</v>
      </c>
      <c r="ET32" s="3232">
        <f t="shared" si="831"/>
        <v>13721.757618396607</v>
      </c>
      <c r="EU32" s="3232">
        <f t="shared" si="831"/>
        <v>13721.006507438469</v>
      </c>
      <c r="EV32" s="3232">
        <f t="shared" ca="1" si="831"/>
        <v>14189.89958383361</v>
      </c>
      <c r="EW32" s="3232">
        <f t="shared" ca="1" si="831"/>
        <v>14621.577770794553</v>
      </c>
      <c r="EX32" s="3232">
        <f t="shared" ca="1" si="831"/>
        <v>15220.813039503206</v>
      </c>
      <c r="EY32" s="3232">
        <f t="shared" ca="1" si="831"/>
        <v>16722.773572666811</v>
      </c>
      <c r="EZ32" s="3232">
        <f t="shared" ca="1" si="831"/>
        <v>15628.491926030394</v>
      </c>
      <c r="FA32" s="3232">
        <f t="shared" ca="1" si="831"/>
        <v>18130.127722010737</v>
      </c>
      <c r="FB32" s="3232">
        <f t="shared" ca="1" si="831"/>
        <v>13827.871033235615</v>
      </c>
      <c r="FC32" s="3232">
        <f t="shared" ca="1" si="831"/>
        <v>14103.257561214437</v>
      </c>
      <c r="FD32" s="3232">
        <f t="shared" ca="1" si="831"/>
        <v>12896.221103490005</v>
      </c>
      <c r="FE32" s="3232">
        <f t="shared" si="831"/>
        <v>14685.621446880863</v>
      </c>
      <c r="FF32" s="3232">
        <f t="shared" si="831"/>
        <v>14829.637219018574</v>
      </c>
      <c r="FG32" s="3232">
        <f t="shared" si="831"/>
        <v>14822.016872030128</v>
      </c>
      <c r="FH32" s="3232">
        <f t="shared" ca="1" si="831"/>
        <v>15301.209278909719</v>
      </c>
      <c r="FI32" s="3232">
        <f t="shared" ca="1" si="831"/>
        <v>15799.619239197964</v>
      </c>
      <c r="FJ32" s="3232">
        <f t="shared" ca="1" si="831"/>
        <v>16397.7189651933</v>
      </c>
      <c r="FK32" s="3232">
        <f t="shared" ca="1" si="831"/>
        <v>17973.623229006778</v>
      </c>
      <c r="FL32" s="3232">
        <f t="shared" ca="1" si="831"/>
        <v>16839.532759422545</v>
      </c>
      <c r="FM32" s="3232">
        <f t="shared" ca="1" si="831"/>
        <v>19525.263025637549</v>
      </c>
      <c r="FN32" s="3232">
        <f t="shared" ca="1" si="831"/>
        <v>14931.547061452617</v>
      </c>
      <c r="FO32" s="3232">
        <f t="shared" ca="1" si="831"/>
        <v>15215.352526499042</v>
      </c>
      <c r="FP32" s="3232">
        <f t="shared" ca="1" si="831"/>
        <v>13919.194661302028</v>
      </c>
      <c r="FQ32" s="3232">
        <f t="shared" si="831"/>
        <v>15890.332543585697</v>
      </c>
      <c r="FR32" s="3232">
        <f t="shared" si="831"/>
        <v>16040.375894866207</v>
      </c>
      <c r="FS32" s="3232">
        <f t="shared" si="831"/>
        <v>16024.995564496392</v>
      </c>
      <c r="FT32" s="3232">
        <f t="shared" ca="1" si="831"/>
        <v>16514.419535594221</v>
      </c>
      <c r="FU32" s="3232">
        <f t="shared" ca="1" si="831"/>
        <v>17086.941365181432</v>
      </c>
      <c r="FV32" s="3232">
        <f t="shared" ca="1" si="831"/>
        <v>17681.960222104597</v>
      </c>
      <c r="FW32" s="3232">
        <f t="shared" ca="1" si="831"/>
        <v>19336.915019952939</v>
      </c>
      <c r="FX32" s="3232">
        <f t="shared" ca="1" si="831"/>
        <v>18161.123425377587</v>
      </c>
      <c r="FY32" s="3232">
        <f t="shared" ca="1" si="831"/>
        <v>21047.375535569827</v>
      </c>
    </row>
    <row r="33" spans="1:181" s="3241" customFormat="1">
      <c r="A33" s="3239" t="s">
        <v>32</v>
      </c>
      <c r="B33" s="3239">
        <f>B32/B5</f>
        <v>0.97454499172712228</v>
      </c>
      <c r="C33" s="3239">
        <f t="shared" ref="C33:M33" si="832">C32/C5</f>
        <v>0.97738913179262965</v>
      </c>
      <c r="D33" s="3239">
        <f t="shared" si="832"/>
        <v>0.96296296296296291</v>
      </c>
      <c r="E33" s="3239">
        <f t="shared" si="832"/>
        <v>0.96500516528925617</v>
      </c>
      <c r="F33" s="3239">
        <f t="shared" si="832"/>
        <v>0.95606183889340923</v>
      </c>
      <c r="G33" s="3239">
        <f t="shared" si="832"/>
        <v>0.95310621242484972</v>
      </c>
      <c r="H33" s="3239">
        <f t="shared" si="832"/>
        <v>0.94374120956399432</v>
      </c>
      <c r="I33" s="3239">
        <f t="shared" si="832"/>
        <v>0.93978494623655917</v>
      </c>
      <c r="J33" s="3239">
        <f t="shared" si="832"/>
        <v>0.93706807822379057</v>
      </c>
      <c r="K33" s="3239">
        <f t="shared" si="832"/>
        <v>0.93124263839811539</v>
      </c>
      <c r="L33" s="3239">
        <f t="shared" si="832"/>
        <v>0.92816943127962082</v>
      </c>
      <c r="M33" s="3239">
        <f t="shared" si="832"/>
        <v>0.92396071447028949</v>
      </c>
      <c r="N33" s="3239">
        <f t="shared" ref="N33:AW33" si="833">N32/N$5</f>
        <v>0.93932367149758456</v>
      </c>
      <c r="O33" s="3239">
        <f t="shared" si="833"/>
        <v>0.94223673005960829</v>
      </c>
      <c r="P33" s="3239">
        <f t="shared" si="833"/>
        <v>0.92243734418055401</v>
      </c>
      <c r="Q33" s="3239">
        <f t="shared" si="833"/>
        <v>0.9612332784184513</v>
      </c>
      <c r="R33" s="3239">
        <f t="shared" si="833"/>
        <v>0.86791087508658482</v>
      </c>
      <c r="S33" s="3239">
        <f t="shared" si="833"/>
        <v>0.89229553840993003</v>
      </c>
      <c r="T33" s="3239">
        <f t="shared" si="833"/>
        <v>0.8945148880678111</v>
      </c>
      <c r="U33" s="3239">
        <f t="shared" si="833"/>
        <v>0.85706623769871304</v>
      </c>
      <c r="V33" s="3239">
        <f t="shared" si="833"/>
        <v>0.83262036372337844</v>
      </c>
      <c r="W33" s="3239">
        <f t="shared" si="833"/>
        <v>0.85288429648241237</v>
      </c>
      <c r="X33" s="3239">
        <f t="shared" si="833"/>
        <v>0.85567380126748771</v>
      </c>
      <c r="Y33" s="3239">
        <f t="shared" si="833"/>
        <v>0.86671764964788689</v>
      </c>
      <c r="Z33" s="3239">
        <f t="shared" si="833"/>
        <v>0.874</v>
      </c>
      <c r="AA33" s="3239">
        <f t="shared" si="833"/>
        <v>0.874</v>
      </c>
      <c r="AB33" s="3239">
        <f t="shared" si="833"/>
        <v>0.78406230140717215</v>
      </c>
      <c r="AC33" s="3239">
        <f t="shared" si="833"/>
        <v>0.78569182630906753</v>
      </c>
      <c r="AD33" s="3239">
        <f t="shared" si="833"/>
        <v>0.83828324764768625</v>
      </c>
      <c r="AE33" s="3239">
        <f t="shared" si="833"/>
        <v>0.80085307475144218</v>
      </c>
      <c r="AF33" s="3239">
        <f t="shared" si="833"/>
        <v>0.79290921674933768</v>
      </c>
      <c r="AG33" s="3239">
        <f t="shared" si="833"/>
        <v>0.77445509120295519</v>
      </c>
      <c r="AH33" s="3239">
        <f t="shared" si="833"/>
        <v>0.77047220233834424</v>
      </c>
      <c r="AI33" s="3239">
        <f t="shared" si="833"/>
        <v>0.77281051428571357</v>
      </c>
      <c r="AJ33" s="3239">
        <f t="shared" si="833"/>
        <v>0.77762529884807752</v>
      </c>
      <c r="AK33" s="3239">
        <f t="shared" si="833"/>
        <v>0.77176541874053184</v>
      </c>
      <c r="AL33" s="3239">
        <f t="shared" si="833"/>
        <v>0.81700000000000006</v>
      </c>
      <c r="AM33" s="3239">
        <f t="shared" si="833"/>
        <v>0.81700000000000017</v>
      </c>
      <c r="AN33" s="3239">
        <f t="shared" si="833"/>
        <v>0.78315393061045224</v>
      </c>
      <c r="AO33" s="3239">
        <f t="shared" si="833"/>
        <v>0.77757337351901912</v>
      </c>
      <c r="AP33" s="3239">
        <f t="shared" si="833"/>
        <v>0.76356734909058954</v>
      </c>
      <c r="AQ33" s="3239">
        <f t="shared" si="833"/>
        <v>0.73922876982265118</v>
      </c>
      <c r="AR33" s="3239">
        <f t="shared" si="833"/>
        <v>0.55565185809032591</v>
      </c>
      <c r="AS33" s="3239">
        <f t="shared" si="833"/>
        <v>0.52387033338454492</v>
      </c>
      <c r="AT33" s="3239">
        <f t="shared" si="833"/>
        <v>0.75485765765765711</v>
      </c>
      <c r="AU33" s="3239">
        <f t="shared" si="833"/>
        <v>0.5342748699702915</v>
      </c>
      <c r="AV33" s="3239">
        <f t="shared" si="833"/>
        <v>1.1684262369439469</v>
      </c>
      <c r="AW33" s="3239">
        <f t="shared" si="833"/>
        <v>0.83952755712906246</v>
      </c>
      <c r="AX33" s="3239">
        <f t="shared" ref="AX33:BE33" si="834">AX32/AU5</f>
        <v>1.7479074347612014</v>
      </c>
      <c r="AY33" s="3239">
        <f t="shared" si="834"/>
        <v>0.77994580555404636</v>
      </c>
      <c r="AZ33" s="3239">
        <f t="shared" si="834"/>
        <v>0.70903641268065398</v>
      </c>
      <c r="BA33" s="3239">
        <f t="shared" si="834"/>
        <v>6.6973958948902809E-3</v>
      </c>
      <c r="BB33" s="3239">
        <f t="shared" si="834"/>
        <v>1.4204545454545454E-2</v>
      </c>
      <c r="BC33" s="3239">
        <f t="shared" si="834"/>
        <v>0.81603959037733698</v>
      </c>
      <c r="BD33" s="3239">
        <f t="shared" si="834"/>
        <v>0.70262406670651856</v>
      </c>
      <c r="BE33" s="3239">
        <f t="shared" si="834"/>
        <v>0.67944250871080136</v>
      </c>
      <c r="BF33" s="3239">
        <f t="shared" ref="BF33:CJ33" ca="1" si="835">BF32/BC5</f>
        <v>0.33630328441649188</v>
      </c>
      <c r="BG33" s="3239">
        <f t="shared" ca="1" si="835"/>
        <v>0.77715525031628407</v>
      </c>
      <c r="BH33" s="3239">
        <f t="shared" ca="1" si="835"/>
        <v>0.68945191971089625</v>
      </c>
      <c r="BI33" s="3239">
        <f t="shared" ca="1" si="835"/>
        <v>0.68203059831892632</v>
      </c>
      <c r="BJ33" s="2900">
        <f t="shared" ca="1" si="835"/>
        <v>0.65465499126235349</v>
      </c>
      <c r="BK33" s="2900">
        <f t="shared" ca="1" si="835"/>
        <v>0.76294394433098001</v>
      </c>
      <c r="BL33" s="2900">
        <f t="shared" ca="1" si="835"/>
        <v>0.51947657372136635</v>
      </c>
      <c r="BM33" s="2900">
        <f t="shared" ca="1" si="835"/>
        <v>0.77412067332982637</v>
      </c>
      <c r="BN33" s="2900">
        <f t="shared" ca="1" si="835"/>
        <v>0.80274350341925327</v>
      </c>
      <c r="BO33" s="2900">
        <f t="shared" ca="1" si="835"/>
        <v>0.83273759398496239</v>
      </c>
      <c r="BP33" s="2900">
        <f t="shared" ca="1" si="835"/>
        <v>0.68573399614487174</v>
      </c>
      <c r="BQ33" s="2900">
        <f t="shared" ca="1" si="835"/>
        <v>0.6664348839467803</v>
      </c>
      <c r="BR33" s="2900">
        <v>0.74501114425622861</v>
      </c>
      <c r="BS33" s="2900">
        <v>0.83768361237175615</v>
      </c>
      <c r="BT33" s="2900">
        <v>0.86862005502336548</v>
      </c>
      <c r="BU33" s="2900">
        <v>0.81399108277611187</v>
      </c>
      <c r="BV33" s="2900">
        <f t="shared" ca="1" si="835"/>
        <v>0.6655057651054701</v>
      </c>
      <c r="BW33" s="2900">
        <f t="shared" ca="1" si="835"/>
        <v>0.75148147961243439</v>
      </c>
      <c r="BX33" s="2900">
        <f t="shared" ca="1" si="835"/>
        <v>0.62526469300794119</v>
      </c>
      <c r="BY33" s="2900">
        <v>0.72615007802385445</v>
      </c>
      <c r="BZ33" s="2900">
        <v>0.7059071165175228</v>
      </c>
      <c r="CA33" s="2900">
        <f t="shared" ca="1" si="835"/>
        <v>0.75608675351876609</v>
      </c>
      <c r="CB33" s="2900">
        <f t="shared" ca="1" si="835"/>
        <v>0.61154121485287638</v>
      </c>
      <c r="CC33" s="2900">
        <f t="shared" ca="1" si="835"/>
        <v>0.66877171681099901</v>
      </c>
      <c r="CD33" s="2900">
        <f t="shared" ca="1" si="835"/>
        <v>0.69362973376680404</v>
      </c>
      <c r="CE33" s="2900">
        <f t="shared" ca="1" si="835"/>
        <v>0.71999880952380979</v>
      </c>
      <c r="CF33" s="2900">
        <f t="shared" ca="1" si="835"/>
        <v>0.62466945562751619</v>
      </c>
      <c r="CG33" s="2900">
        <f t="shared" ca="1" si="835"/>
        <v>0.76736465838771251</v>
      </c>
      <c r="CH33" s="2900">
        <f t="shared" ca="1" si="835"/>
        <v>0.66892320458412446</v>
      </c>
      <c r="CI33" s="2900">
        <f t="shared" ca="1" si="835"/>
        <v>0.83571418471341563</v>
      </c>
      <c r="CJ33" s="2900">
        <f t="shared" ca="1" si="835"/>
        <v>0.57133118138498296</v>
      </c>
      <c r="CK33" s="2900">
        <v>0.70953674338258821</v>
      </c>
      <c r="CL33" s="2900">
        <v>0.65523531543177405</v>
      </c>
      <c r="CM33" s="2900">
        <v>0.72401378617329115</v>
      </c>
      <c r="CN33" s="2900">
        <f t="shared" ref="CN33:DQ33" ca="1" si="836">CN32/CK5</f>
        <v>0.6957467979171339</v>
      </c>
      <c r="CO33" s="2900">
        <f t="shared" ca="1" si="836"/>
        <v>0.71276711320140973</v>
      </c>
      <c r="CP33" s="2900">
        <f t="shared" ca="1" si="836"/>
        <v>0.75564075325929547</v>
      </c>
      <c r="CQ33" s="2900">
        <f t="shared" ca="1" si="836"/>
        <v>0.80888492063492023</v>
      </c>
      <c r="CR33" s="3239">
        <f t="shared" ca="1" si="836"/>
        <v>0.7243194674289154</v>
      </c>
      <c r="CS33" s="3239">
        <f t="shared" ca="1" si="836"/>
        <v>0.81973321652381836</v>
      </c>
      <c r="CT33" s="3239">
        <f t="shared" ca="1" si="836"/>
        <v>0.58971224527857125</v>
      </c>
      <c r="CU33" s="3239">
        <f t="shared" ca="1" si="836"/>
        <v>0.65265795639282786</v>
      </c>
      <c r="CV33" s="3239">
        <f t="shared" ca="1" si="836"/>
        <v>0.50540039973005424</v>
      </c>
      <c r="CW33" s="3239">
        <f t="shared" ca="1" si="836"/>
        <v>0.65163484514968018</v>
      </c>
      <c r="CX33" s="3239">
        <f t="shared" ca="1" si="836"/>
        <v>0.67007808579968908</v>
      </c>
      <c r="CY33" s="3239">
        <f t="shared" ca="1" si="836"/>
        <v>0.67130743304114637</v>
      </c>
      <c r="CZ33" s="3239">
        <f t="shared" ca="1" si="836"/>
        <v>0.65074610668532462</v>
      </c>
      <c r="DA33" s="3239">
        <f t="shared" ca="1" si="836"/>
        <v>0.66505568261524328</v>
      </c>
      <c r="DB33" s="3239">
        <f t="shared" ca="1" si="836"/>
        <v>0.70799690983289998</v>
      </c>
      <c r="DC33" s="3239">
        <f t="shared" ca="1" si="836"/>
        <v>0.74177619214148838</v>
      </c>
      <c r="DD33" s="3239">
        <f t="shared" ca="1" si="836"/>
        <v>0.67109273581735518</v>
      </c>
      <c r="DE33" s="3239">
        <f t="shared" ca="1" si="836"/>
        <v>0.76018230896535222</v>
      </c>
      <c r="DF33" s="3239">
        <f t="shared" ca="1" si="836"/>
        <v>0.54374549231338365</v>
      </c>
      <c r="DG33" s="3239">
        <f t="shared" ca="1" si="836"/>
        <v>0.59007711412587271</v>
      </c>
      <c r="DH33" s="3239">
        <f t="shared" ca="1" si="836"/>
        <v>0.45953625261120812</v>
      </c>
      <c r="DI33" s="3239">
        <f t="shared" ca="1" si="836"/>
        <v>0.60376827149913348</v>
      </c>
      <c r="DJ33" s="3239">
        <f t="shared" ca="1" si="836"/>
        <v>0.63204095234655033</v>
      </c>
      <c r="DK33" s="3239">
        <f t="shared" ca="1" si="836"/>
        <v>0.63154652405073908</v>
      </c>
      <c r="DL33" s="3239">
        <f t="shared" ca="1" si="836"/>
        <v>0.61497763631361912</v>
      </c>
      <c r="DM33" s="3239">
        <f t="shared" ca="1" si="836"/>
        <v>0.63697252972083551</v>
      </c>
      <c r="DN33" s="3239">
        <f t="shared" ca="1" si="836"/>
        <v>0.68069705004104797</v>
      </c>
      <c r="DO33" s="3239">
        <f t="shared" ca="1" si="836"/>
        <v>0.71116013016816182</v>
      </c>
      <c r="DP33" s="3239">
        <f t="shared" ca="1" si="836"/>
        <v>0.6434900548508109</v>
      </c>
      <c r="DQ33" s="3239">
        <f t="shared" ca="1" si="836"/>
        <v>0.72841691814954412</v>
      </c>
      <c r="DR33" s="3239">
        <f ca="1">DR32/DO5</f>
        <v>0.52243287450288378</v>
      </c>
      <c r="DS33" s="3239">
        <f t="shared" ref="DS33:FY33" ca="1" si="837">DS32/DP5</f>
        <v>0.56588120970508482</v>
      </c>
      <c r="DT33" s="3239">
        <f t="shared" ca="1" si="837"/>
        <v>0.4402536614269309</v>
      </c>
      <c r="DU33" s="3239">
        <f t="shared" ca="1" si="837"/>
        <v>0.58245627455677507</v>
      </c>
      <c r="DV33" s="3239">
        <f t="shared" ca="1" si="837"/>
        <v>0.61387147472990522</v>
      </c>
      <c r="DW33" s="3239">
        <f t="shared" ca="1" si="837"/>
        <v>0.6088967609172754</v>
      </c>
      <c r="DX33" s="3239">
        <f t="shared" ca="1" si="837"/>
        <v>0.59107594609207692</v>
      </c>
      <c r="DY33" s="3239">
        <f t="shared" ca="1" si="837"/>
        <v>0.61018638298327044</v>
      </c>
      <c r="DZ33" s="3239">
        <f t="shared" ca="1" si="837"/>
        <v>0.65190210414331162</v>
      </c>
      <c r="EA33" s="3239">
        <f t="shared" ca="1" si="837"/>
        <v>0.68183283670378458</v>
      </c>
      <c r="EB33" s="3239">
        <f t="shared" ca="1" si="837"/>
        <v>0.6183342881887024</v>
      </c>
      <c r="EC33" s="3239">
        <f t="shared" ca="1" si="837"/>
        <v>0.70247618826983627</v>
      </c>
      <c r="ED33" s="3239">
        <f t="shared" ca="1" si="837"/>
        <v>0.5009512339188148</v>
      </c>
      <c r="EE33" s="3239">
        <f t="shared" ca="1" si="837"/>
        <v>0.53162855803464659</v>
      </c>
      <c r="EF33" s="3239">
        <f t="shared" ca="1" si="837"/>
        <v>0.41467056246940837</v>
      </c>
      <c r="EG33" s="3239">
        <f t="shared" ca="1" si="837"/>
        <v>0.55258387423047517</v>
      </c>
      <c r="EH33" s="3239">
        <f t="shared" ca="1" si="837"/>
        <v>0.59187716764232035</v>
      </c>
      <c r="EI33" s="3239">
        <f t="shared" ca="1" si="837"/>
        <v>0.58376970892039626</v>
      </c>
      <c r="EJ33" s="3239">
        <f t="shared" ca="1" si="837"/>
        <v>0.56718898222778757</v>
      </c>
      <c r="EK33" s="3239">
        <f t="shared" ca="1" si="837"/>
        <v>0.58831927282294594</v>
      </c>
      <c r="EL33" s="3239">
        <f t="shared" ca="1" si="837"/>
        <v>0.62838964964166655</v>
      </c>
      <c r="EM33" s="3239">
        <f t="shared" ca="1" si="837"/>
        <v>0.65685005497690641</v>
      </c>
      <c r="EN33" s="3239">
        <f t="shared" ca="1" si="837"/>
        <v>0.59723115544627781</v>
      </c>
      <c r="EO33" s="3239">
        <f t="shared" ca="1" si="837"/>
        <v>0.68058856387479638</v>
      </c>
      <c r="EP33" s="3239">
        <f t="shared" ca="1" si="837"/>
        <v>0.48941342647067632</v>
      </c>
      <c r="EQ33" s="3239">
        <f t="shared" ca="1" si="837"/>
        <v>0.51815115862473637</v>
      </c>
      <c r="ER33" s="3239">
        <f t="shared" ca="1" si="837"/>
        <v>0.40489627461195743</v>
      </c>
      <c r="ES33" s="3239">
        <f t="shared" ca="1" si="837"/>
        <v>0.5392803552015375</v>
      </c>
      <c r="ET33" s="3239">
        <f t="shared" ca="1" si="837"/>
        <v>0.57986731498796762</v>
      </c>
      <c r="EU33" s="3239">
        <f t="shared" ca="1" si="837"/>
        <v>0.57037264679021216</v>
      </c>
      <c r="EV33" s="3239">
        <f t="shared" ca="1" si="837"/>
        <v>0.55425402494651077</v>
      </c>
      <c r="EW33" s="3239">
        <f t="shared" ca="1" si="837"/>
        <v>0.57759525051884708</v>
      </c>
      <c r="EX33" s="3239">
        <f t="shared" ca="1" si="837"/>
        <v>0.6166684753469982</v>
      </c>
      <c r="EY33" s="3239">
        <f t="shared" ca="1" si="837"/>
        <v>0.64466203371743869</v>
      </c>
      <c r="EZ33" s="3239">
        <f t="shared" ca="1" si="837"/>
        <v>0.58765529808201</v>
      </c>
      <c r="FA33" s="3239">
        <f t="shared" ca="1" si="837"/>
        <v>0.6716939148565324</v>
      </c>
      <c r="FB33" s="3239">
        <f t="shared" ca="1" si="837"/>
        <v>0.48644026978871141</v>
      </c>
      <c r="FC33" s="3239">
        <f t="shared" ca="1" si="837"/>
        <v>0.5144158651154771</v>
      </c>
      <c r="FD33" s="3239">
        <f t="shared" ca="1" si="837"/>
        <v>0.40298688515777442</v>
      </c>
      <c r="FE33" s="3239">
        <f t="shared" ca="1" si="837"/>
        <v>0.53739655336776726</v>
      </c>
      <c r="FF33" s="3239">
        <f t="shared" ca="1" si="837"/>
        <v>0.57786380624159794</v>
      </c>
      <c r="FG33" s="3239">
        <f t="shared" ca="1" si="837"/>
        <v>0.56736248349873775</v>
      </c>
      <c r="FH33" s="3239">
        <f t="shared" ca="1" si="837"/>
        <v>0.54993497985686857</v>
      </c>
      <c r="FI33" s="3239">
        <f t="shared" ca="1" si="837"/>
        <v>0.57454810145446589</v>
      </c>
      <c r="FJ33" s="3239">
        <f t="shared" ca="1" si="837"/>
        <v>0.61188217359080577</v>
      </c>
      <c r="FK33" s="3239">
        <f t="shared" ca="1" si="837"/>
        <v>0.63884277283313196</v>
      </c>
      <c r="FL33" s="3239">
        <f t="shared" ca="1" si="837"/>
        <v>0.58325371030829254</v>
      </c>
      <c r="FM33" s="3239">
        <f t="shared" ca="1" si="837"/>
        <v>0.66763519698605223</v>
      </c>
      <c r="FN33" s="3239">
        <f t="shared" ca="1" si="837"/>
        <v>0.4856663295915562</v>
      </c>
      <c r="FO33" s="3239">
        <f t="shared" ca="1" si="837"/>
        <v>0.51234203740143824</v>
      </c>
      <c r="FP33" s="3239">
        <f t="shared" ca="1" si="837"/>
        <v>0.40172798785788716</v>
      </c>
      <c r="FQ33" s="3239">
        <f t="shared" ca="1" si="837"/>
        <v>0.53600830137606936</v>
      </c>
      <c r="FR33" s="3239">
        <f t="shared" ca="1" si="837"/>
        <v>0.57669288438127642</v>
      </c>
      <c r="FS33" s="3239">
        <f t="shared" ca="1" si="837"/>
        <v>0.56566056423519884</v>
      </c>
      <c r="FT33" s="3239">
        <f t="shared" ca="1" si="837"/>
        <v>0.54685901234138934</v>
      </c>
      <c r="FU33" s="3239">
        <f t="shared" ca="1" si="837"/>
        <v>0.57270806837729338</v>
      </c>
      <c r="FV33" s="3239">
        <f t="shared" ca="1" si="837"/>
        <v>0.6083987923610048</v>
      </c>
      <c r="FW33" s="3239">
        <f t="shared" ca="1" si="837"/>
        <v>0.63441844834225758</v>
      </c>
      <c r="FX33" s="3239">
        <f t="shared" ca="1" si="837"/>
        <v>0.58008538553480882</v>
      </c>
      <c r="FY33" s="3239">
        <f t="shared" ca="1" si="837"/>
        <v>0.66489669239679239</v>
      </c>
    </row>
    <row r="34" spans="1:181" s="3243" customFormat="1">
      <c r="A34" s="3242" t="s">
        <v>31</v>
      </c>
      <c r="B34" s="3242"/>
      <c r="C34" s="3242"/>
      <c r="D34" s="3242"/>
      <c r="E34" s="3242"/>
      <c r="F34" s="3242"/>
      <c r="G34" s="3242"/>
      <c r="H34" s="3242"/>
      <c r="I34" s="3242"/>
      <c r="J34" s="3242"/>
      <c r="K34" s="3242"/>
      <c r="L34" s="3242"/>
      <c r="M34" s="3242"/>
      <c r="N34" s="3242">
        <f t="shared" ref="N34:AW34" si="838">N32/B32-1</f>
        <v>0.26968786731095729</v>
      </c>
      <c r="O34" s="3242">
        <f t="shared" si="838"/>
        <v>-0.15145705521472397</v>
      </c>
      <c r="P34" s="3242">
        <f t="shared" si="838"/>
        <v>0.2016914529914533</v>
      </c>
      <c r="Q34" s="3242">
        <f t="shared" si="838"/>
        <v>0.17115335206744264</v>
      </c>
      <c r="R34" s="3242">
        <f t="shared" si="838"/>
        <v>6.6360851063829385E-2</v>
      </c>
      <c r="S34" s="3242">
        <f t="shared" si="838"/>
        <v>0.11855887300252377</v>
      </c>
      <c r="T34" s="3242">
        <f t="shared" si="838"/>
        <v>0.22672518628912042</v>
      </c>
      <c r="U34" s="3242">
        <f t="shared" si="838"/>
        <v>3.6324485125858175E-2</v>
      </c>
      <c r="V34" s="3242">
        <f t="shared" si="838"/>
        <v>9.1956849207594171E-2</v>
      </c>
      <c r="W34" s="3242">
        <f t="shared" si="838"/>
        <v>7.3353201581028094E-2</v>
      </c>
      <c r="X34" s="3242">
        <f t="shared" si="838"/>
        <v>0.14185415669379298</v>
      </c>
      <c r="Y34" s="3242">
        <f t="shared" si="838"/>
        <v>0.12968916133157848</v>
      </c>
      <c r="Z34" s="3242">
        <f t="shared" si="838"/>
        <v>0.12913392306109861</v>
      </c>
      <c r="AA34" s="3242">
        <f t="shared" si="838"/>
        <v>5.0669377918361125E-2</v>
      </c>
      <c r="AB34" s="3242">
        <f t="shared" si="838"/>
        <v>-1.7174936467756807E-2</v>
      </c>
      <c r="AC34" s="3242">
        <f t="shared" si="838"/>
        <v>-0.29708105400473428</v>
      </c>
      <c r="AD34" s="3242">
        <f t="shared" si="838"/>
        <v>0.14951334451739084</v>
      </c>
      <c r="AE34" s="3242">
        <f t="shared" si="838"/>
        <v>-0.18236662352021704</v>
      </c>
      <c r="AF34" s="3242">
        <f t="shared" si="838"/>
        <v>-0.16493041339876335</v>
      </c>
      <c r="AG34" s="3242">
        <f t="shared" si="838"/>
        <v>-1.2479856419161606E-2</v>
      </c>
      <c r="AH34" s="3242">
        <f t="shared" si="838"/>
        <v>-7.1984487517747886E-2</v>
      </c>
      <c r="AI34" s="3242">
        <f t="shared" si="838"/>
        <v>-3.9574550383952856E-3</v>
      </c>
      <c r="AJ34" s="3242">
        <f t="shared" si="838"/>
        <v>-4.0804918947756619E-5</v>
      </c>
      <c r="AK34" s="3242">
        <f t="shared" si="838"/>
        <v>-9.4464835026718097E-2</v>
      </c>
      <c r="AL34" s="3242">
        <f t="shared" si="838"/>
        <v>-0.17767412074217659</v>
      </c>
      <c r="AM34" s="3242">
        <f t="shared" si="838"/>
        <v>0.24973442360388542</v>
      </c>
      <c r="AN34" s="3242">
        <f t="shared" si="838"/>
        <v>3.2393098029180223E-2</v>
      </c>
      <c r="AO34" s="3242">
        <f t="shared" si="838"/>
        <v>0.21616565888601214</v>
      </c>
      <c r="AP34" s="3242">
        <f t="shared" si="838"/>
        <v>5.5888418491296665E-3</v>
      </c>
      <c r="AQ34" s="3242">
        <f t="shared" si="838"/>
        <v>0.20743361611145517</v>
      </c>
      <c r="AR34" s="3242">
        <f t="shared" si="838"/>
        <v>-0.23212913512750732</v>
      </c>
      <c r="AS34" s="3242">
        <f t="shared" si="838"/>
        <v>-0.49169584680538914</v>
      </c>
      <c r="AT34" s="3242">
        <f t="shared" si="838"/>
        <v>-2.6928671568626994E-2</v>
      </c>
      <c r="AU34" s="3242">
        <f t="shared" si="838"/>
        <v>-3.7180569939306074E-2</v>
      </c>
      <c r="AV34" s="3242">
        <f t="shared" si="838"/>
        <v>0.88170673741047345</v>
      </c>
      <c r="AW34" s="3242">
        <f t="shared" si="838"/>
        <v>0.46279989950447575</v>
      </c>
      <c r="AX34" s="3242"/>
      <c r="AY34" s="3242"/>
      <c r="AZ34" s="3242"/>
      <c r="BA34" s="3242"/>
      <c r="BB34" s="3242"/>
      <c r="BC34" s="3242"/>
      <c r="BD34" s="3242"/>
      <c r="BE34" s="3242"/>
      <c r="BF34" s="3242"/>
      <c r="BG34" s="3242"/>
      <c r="BH34" s="3242"/>
      <c r="BI34" s="3242"/>
      <c r="BJ34" s="2900">
        <f ca="1">BJ32/(AX32/2)-1</f>
        <v>-0.31724647887323942</v>
      </c>
      <c r="BK34" s="2900"/>
      <c r="BL34" s="2900"/>
      <c r="BM34" s="2900"/>
      <c r="BN34" s="2900">
        <f ca="1">BN32/($BC$32/2)-1</f>
        <v>0.66062177652635445</v>
      </c>
      <c r="BO34" s="2900">
        <f ca="1">BO32/($BC$32/2)-1</f>
        <v>0.44628163227902506</v>
      </c>
      <c r="BP34" s="2900">
        <f t="shared" ref="BP34:BU34" ca="1" si="839">BP32/BD32-1</f>
        <v>-0.15731850760222976</v>
      </c>
      <c r="BQ34" s="2900">
        <f t="shared" ca="1" si="839"/>
        <v>-0.12022051282051316</v>
      </c>
      <c r="BR34" s="2900">
        <f t="shared" ca="1" si="839"/>
        <v>-8.7990253797504914E-2</v>
      </c>
      <c r="BS34" s="2900">
        <f t="shared" ca="1" si="839"/>
        <v>-8.8733488372093383E-2</v>
      </c>
      <c r="BT34" s="2900">
        <f t="shared" ca="1" si="839"/>
        <v>-7.6850985915492553E-2</v>
      </c>
      <c r="BU34" s="2900">
        <f t="shared" ca="1" si="839"/>
        <v>-2.9491105326551414E-2</v>
      </c>
      <c r="BV34" s="2900">
        <f t="shared" ref="BV34:DA34" ca="1" si="840">BV32/BJ32-1</f>
        <v>2.3978229552385599E-2</v>
      </c>
      <c r="BW34" s="2900">
        <f t="shared" ca="1" si="840"/>
        <v>2.3978229552385599E-2</v>
      </c>
      <c r="BX34" s="2900">
        <f t="shared" ca="1" si="840"/>
        <v>0.1949900091801533</v>
      </c>
      <c r="BY34" s="2900">
        <v>9.374533654923578E-2</v>
      </c>
      <c r="BZ34" s="2900">
        <v>-2.5786633608023135E-2</v>
      </c>
      <c r="CA34" s="2900">
        <f t="shared" ca="1" si="840"/>
        <v>0.12339182025767026</v>
      </c>
      <c r="CB34" s="2900">
        <f t="shared" ca="1" si="840"/>
        <v>4.5205406492999423E-2</v>
      </c>
      <c r="CC34" s="2900">
        <f t="shared" ca="1" si="840"/>
        <v>9.1606871185670347E-2</v>
      </c>
      <c r="CD34" s="2900">
        <f t="shared" ca="1" si="840"/>
        <v>0.12413357805624514</v>
      </c>
      <c r="CE34" s="2900">
        <f t="shared" ca="1" si="840"/>
        <v>3.2532029278959929E-3</v>
      </c>
      <c r="CF34" s="2900">
        <f t="shared" ca="1" si="840"/>
        <v>8.8966028404307007E-2</v>
      </c>
      <c r="CG34" s="2900">
        <f t="shared" ca="1" si="840"/>
        <v>0.34139039885645106</v>
      </c>
      <c r="CH34" s="2900">
        <f t="shared" ca="1" si="840"/>
        <v>4.0891605555043231E-2</v>
      </c>
      <c r="CI34" s="2900">
        <f t="shared" ca="1" si="840"/>
        <v>0.22848330769161396</v>
      </c>
      <c r="CJ34" s="2900">
        <f t="shared" ca="1" si="840"/>
        <v>0.14391314983336168</v>
      </c>
      <c r="CK34" s="2900">
        <v>3.2091022816532533E-2</v>
      </c>
      <c r="CL34" s="2900">
        <v>0.12985828107101272</v>
      </c>
      <c r="CM34" s="2900">
        <v>0.1260886612734049</v>
      </c>
      <c r="CN34" s="2900">
        <f t="shared" ca="1" si="840"/>
        <v>0.23695123566633258</v>
      </c>
      <c r="CO34" s="2900">
        <f t="shared" ca="1" si="840"/>
        <v>0.19258749802427277</v>
      </c>
      <c r="CP34" s="2900">
        <f t="shared" ca="1" si="840"/>
        <v>0.18942920118568196</v>
      </c>
      <c r="CQ34" s="2900">
        <f ca="1">CQ32/CE32-1</f>
        <v>0.322217921860116</v>
      </c>
      <c r="CR34" s="3242">
        <f ca="1">CR32/CF32-1</f>
        <v>0.34909130026575808</v>
      </c>
      <c r="CS34" s="3242">
        <f t="shared" ca="1" si="840"/>
        <v>0.23436578454771428</v>
      </c>
      <c r="CT34" s="3242">
        <f t="shared" ca="1" si="840"/>
        <v>0.13017199402846291</v>
      </c>
      <c r="CU34" s="3242">
        <f t="shared" ca="1" si="840"/>
        <v>-1.307338916979317E-4</v>
      </c>
      <c r="CV34" s="3242">
        <f t="shared" ca="1" si="840"/>
        <v>0.13061569310277288</v>
      </c>
      <c r="CW34" s="3242">
        <f t="shared" si="840"/>
        <v>0.13386205349145008</v>
      </c>
      <c r="CX34" s="3242">
        <f t="shared" si="840"/>
        <v>0.1338802455232293</v>
      </c>
      <c r="CY34" s="3242">
        <f t="shared" si="840"/>
        <v>0.13414425092179738</v>
      </c>
      <c r="CZ34" s="3242">
        <f t="shared" ca="1" si="840"/>
        <v>0.13354796711870254</v>
      </c>
      <c r="DA34" s="3242">
        <f t="shared" ca="1" si="840"/>
        <v>0.13595377495888306</v>
      </c>
      <c r="DB34" s="3242">
        <f t="shared" ref="DB34:DR34" ca="1" si="841">DB32/CP32-1</f>
        <v>0.13399363265164044</v>
      </c>
      <c r="DC34" s="3242">
        <f t="shared" ca="1" si="841"/>
        <v>0.13259989344736534</v>
      </c>
      <c r="DD34" s="3242">
        <f t="shared" ca="1" si="841"/>
        <v>0.13536993483590476</v>
      </c>
      <c r="DE34" s="3242">
        <f t="shared" ca="1" si="841"/>
        <v>0.13560881648183676</v>
      </c>
      <c r="DF34" s="3242">
        <f t="shared" ca="1" si="841"/>
        <v>0.11164820966876388</v>
      </c>
      <c r="DG34" s="3242">
        <f t="shared" ca="1" si="841"/>
        <v>0.11115864200816983</v>
      </c>
      <c r="DH34" s="3242">
        <f t="shared" ca="1" si="841"/>
        <v>0.111232094510193</v>
      </c>
      <c r="DI34" s="3242">
        <f t="shared" si="841"/>
        <v>0.11215864302228784</v>
      </c>
      <c r="DJ34" s="3242">
        <f t="shared" si="841"/>
        <v>0.11205515249852138</v>
      </c>
      <c r="DK34" s="3242">
        <f t="shared" si="841"/>
        <v>0.11190585212003779</v>
      </c>
      <c r="DL34" s="3242">
        <f t="shared" ca="1" si="841"/>
        <v>0.11138747126346016</v>
      </c>
      <c r="DM34" s="3242">
        <f t="shared" ca="1" si="841"/>
        <v>0.11221024937661173</v>
      </c>
      <c r="DN34" s="3242">
        <f t="shared" ca="1" si="841"/>
        <v>0.11129942717271502</v>
      </c>
      <c r="DO34" s="3242">
        <f t="shared" ca="1" si="841"/>
        <v>0.11038934961351998</v>
      </c>
      <c r="DP34" s="3242">
        <f t="shared" ca="1" si="841"/>
        <v>0.11113118419145307</v>
      </c>
      <c r="DQ34" s="3242">
        <f t="shared" ca="1" si="841"/>
        <v>0.11126748743583947</v>
      </c>
      <c r="DR34" s="3242">
        <f t="shared" ca="1" si="841"/>
        <v>0.11184968666471518</v>
      </c>
      <c r="DS34" s="3242">
        <f t="shared" ref="DS34" ca="1" si="842">DS32/DG32-1</f>
        <v>0.11135662367046106</v>
      </c>
      <c r="DT34" s="3242">
        <f t="shared" ref="DT34" ca="1" si="843">DT32/DH32-1</f>
        <v>0.11143432558971078</v>
      </c>
      <c r="DU34" s="3242">
        <f t="shared" ref="DU34" si="844">DU32/DI32-1</f>
        <v>0.11235300852832353</v>
      </c>
      <c r="DV34" s="3242">
        <f t="shared" ref="DV34" si="845">DV32/DJ32-1</f>
        <v>0.11224872931685059</v>
      </c>
      <c r="DW34" s="3242">
        <f t="shared" ref="DW34" si="846">DW32/DK32-1</f>
        <v>0.11209986090562096</v>
      </c>
      <c r="DX34" s="3242">
        <f t="shared" ref="DX34" ca="1" si="847">DX32/DL32-1</f>
        <v>0.11157907663279465</v>
      </c>
      <c r="DY34" s="3242">
        <f t="shared" ref="DY34" ca="1" si="848">DY32/DM32-1</f>
        <v>0.11239048388381701</v>
      </c>
      <c r="DZ34" s="3242">
        <f t="shared" ref="DZ34" ca="1" si="849">DZ32/DN32-1</f>
        <v>0.11147823800177337</v>
      </c>
      <c r="EA34" s="3242">
        <f t="shared" ref="EA34" ca="1" si="850">EA32/DO32-1</f>
        <v>0.11057937046836885</v>
      </c>
      <c r="EB34" s="3242">
        <f t="shared" ref="EB34" ca="1" si="851">EB32/DP32-1</f>
        <v>0.11132384751167335</v>
      </c>
      <c r="EC34" s="3242">
        <f t="shared" ref="EC34" ca="1" si="852">EC32/DQ32-1</f>
        <v>0.11144148614774907</v>
      </c>
      <c r="ED34" s="3242">
        <f t="shared" ref="ED34" ca="1" si="853">ED32/DR32-1</f>
        <v>9.8385630080491282E-2</v>
      </c>
      <c r="EE34" s="3242">
        <f t="shared" ref="EE34" ca="1" si="854">EE32/DS32-1</f>
        <v>7.5834569480676794E-2</v>
      </c>
      <c r="EF34" s="3242">
        <f t="shared" ref="EF34" ca="1" si="855">EF32/DT32-1</f>
        <v>7.6338902427539601E-2</v>
      </c>
      <c r="EG34" s="3242">
        <f t="shared" ref="EG34" si="856">EG32/DU32-1</f>
        <v>7.9275572064057664E-2</v>
      </c>
      <c r="EH34" s="3242">
        <f t="shared" ref="EH34" si="857">EH32/DV32-1</f>
        <v>7.8849823585224188E-2</v>
      </c>
      <c r="EI34" s="3242">
        <f t="shared" ref="EI34" si="858">EI32/DW32-1</f>
        <v>7.8325728811462492E-2</v>
      </c>
      <c r="EJ34" s="3242">
        <f t="shared" ref="EJ34" ca="1" si="859">EJ32/DX32-1</f>
        <v>7.6301286913776467E-2</v>
      </c>
      <c r="EK34" s="3242">
        <f t="shared" ref="EK34" ca="1" si="860">EK32/DY32-1</f>
        <v>7.8669946259460888E-2</v>
      </c>
      <c r="EL34" s="3242">
        <f t="shared" ref="EL34" ca="1" si="861">EL32/DZ32-1</f>
        <v>7.5261351607579519E-2</v>
      </c>
      <c r="EM34" s="3242">
        <f t="shared" ref="EM34" ca="1" si="862">EM32/EA32-1</f>
        <v>7.2641658437738954E-2</v>
      </c>
      <c r="EN34" s="3242">
        <f t="shared" ref="EN34" ca="1" si="863">EN32/EB32-1</f>
        <v>7.543580632898661E-2</v>
      </c>
      <c r="EO34" s="3242">
        <f t="shared" ref="EO34" ca="1" si="864">EO32/EC32-1</f>
        <v>7.4874607051409692E-2</v>
      </c>
      <c r="EP34" s="3242">
        <f t="shared" ref="EP34" ca="1" si="865">EP32/ED32-1</f>
        <v>7.7875167074850316E-2</v>
      </c>
      <c r="EQ34" s="3242">
        <f t="shared" ref="EQ34" ca="1" si="866">EQ32/EE32-1</f>
        <v>7.6864107046757058E-2</v>
      </c>
      <c r="ER34" s="3242">
        <f t="shared" ref="ER34" ca="1" si="867">ER32/EF32-1</f>
        <v>7.7357567914094094E-2</v>
      </c>
      <c r="ES34" s="3242">
        <f t="shared" ref="ES34" si="868">ES32/EG32-1</f>
        <v>8.0221769743942906E-2</v>
      </c>
      <c r="ET34" s="3242">
        <f t="shared" ref="ET34" si="869">ET32/EH32-1</f>
        <v>7.9807493841149713E-2</v>
      </c>
      <c r="EU34" s="3242">
        <f t="shared" ref="EU34" si="870">EU32/EI32-1</f>
        <v>7.9297072556360426E-2</v>
      </c>
      <c r="EV34" s="3242">
        <f t="shared" ref="EV34" ca="1" si="871">EV32/EJ32-1</f>
        <v>7.7320779250572569E-2</v>
      </c>
      <c r="EW34" s="3242">
        <f t="shared" ref="EW34" ca="1" si="872">EW32/EK32-1</f>
        <v>7.9632365369090907E-2</v>
      </c>
      <c r="EX34" s="3242">
        <f t="shared" ref="EX34" ca="1" si="873">EX32/EL32-1</f>
        <v>7.6302684174319291E-2</v>
      </c>
      <c r="EY34" s="3242">
        <f t="shared" ref="EY34" ca="1" si="874">EY32/EM32-1</f>
        <v>7.3729258427114752E-2</v>
      </c>
      <c r="EZ34" s="3242">
        <f t="shared" ref="EZ34" ca="1" si="875">EZ32/EN32-1</f>
        <v>7.6473612527827806E-2</v>
      </c>
      <c r="FA34" s="3242">
        <f t="shared" ref="FA34" ca="1" si="876">FA32/EO32-1</f>
        <v>7.5923559299591936E-2</v>
      </c>
      <c r="FB34" s="3242">
        <f t="shared" ref="FB34" ca="1" si="877">FB32/EP32-1</f>
        <v>7.8857869065906527E-2</v>
      </c>
      <c r="FC34" s="3242">
        <f t="shared" ref="FC34" ca="1" si="878">FC32/EQ32-1</f>
        <v>7.7870959217693159E-2</v>
      </c>
      <c r="FD34" s="3242">
        <f t="shared" ref="FD34" ca="1" si="879">FD32/ER32-1</f>
        <v>7.8352864691304758E-2</v>
      </c>
      <c r="FE34" s="3242">
        <f t="shared" ref="FE34" si="880">FE32/ES32-1</f>
        <v>8.114130104175965E-2</v>
      </c>
      <c r="FF34" s="3242">
        <f t="shared" ref="FF34" si="881">FF32/ET32-1</f>
        <v>8.073889886647212E-2</v>
      </c>
      <c r="FG34" s="3242">
        <f t="shared" ref="FG34" si="882">FG32/EU32-1</f>
        <v>8.0242682196439263E-2</v>
      </c>
      <c r="FH34" s="3242">
        <f t="shared" ref="FH34" ca="1" si="883">FH32/EV32-1</f>
        <v>7.8316952738848977E-2</v>
      </c>
      <c r="FI34" s="3242">
        <f t="shared" ref="FI34" ca="1" si="884">FI32/EW32-1</f>
        <v>8.0568696953926322E-2</v>
      </c>
      <c r="FJ34" s="3242">
        <f t="shared" ref="FJ34" ca="1" si="885">FJ32/EX32-1</f>
        <v>7.732214584303887E-2</v>
      </c>
      <c r="FK34" s="3242">
        <f t="shared" ref="FK34" ca="1" si="886">FK32/EY32-1</f>
        <v>7.4799174365696608E-2</v>
      </c>
      <c r="FL34" s="3242">
        <f t="shared" ref="FL34" ca="1" si="887">FL32/EZ32-1</f>
        <v>7.7489295776201894E-2</v>
      </c>
      <c r="FM34" s="3242">
        <f t="shared" ref="FM34" ca="1" si="888">FM32/FA32-1</f>
        <v>7.6951212093947952E-2</v>
      </c>
      <c r="FN34" s="3242">
        <f t="shared" ref="FN34" ca="1" si="889">FN32/FB32-1</f>
        <v>7.9815325552595295E-2</v>
      </c>
      <c r="FO34" s="3242">
        <f t="shared" ref="FO34" ca="1" si="890">FO32/FC32-1</f>
        <v>7.8853765554349087E-2</v>
      </c>
      <c r="FP34" s="3242">
        <f t="shared" ref="FP34" ca="1" si="891">FP32/FD32-1</f>
        <v>7.9323512647839545E-2</v>
      </c>
      <c r="FQ34" s="3242">
        <f t="shared" ref="FQ34" si="892">FQ32/FE32-1</f>
        <v>8.2033375370758055E-2</v>
      </c>
      <c r="FR34" s="3242">
        <f t="shared" ref="FR34" si="893">FR32/FF32-1</f>
        <v>8.1643175619623198E-2</v>
      </c>
      <c r="FS34" s="3242">
        <f t="shared" ref="FS34" si="894">FS32/FG32-1</f>
        <v>8.1161605930724745E-2</v>
      </c>
      <c r="FT34" s="3242">
        <f t="shared" ref="FT34" ca="1" si="895">FT32/FH32-1</f>
        <v>7.9288521225359565E-2</v>
      </c>
      <c r="FU34" s="3242">
        <f t="shared" ref="FU34" ca="1" si="896">FU32/FI32-1</f>
        <v>8.1478047444947022E-2</v>
      </c>
      <c r="FV34" s="3242">
        <f t="shared" ref="FV34" ca="1" si="897">FV32/FJ32-1</f>
        <v>7.8318286807896653E-2</v>
      </c>
      <c r="FW34" s="3242">
        <f t="shared" ref="FW34" ca="1" si="898">FW32/FK32-1</f>
        <v>7.5849580998560651E-2</v>
      </c>
      <c r="FX34" s="3242">
        <f t="shared" ref="FX34" ca="1" si="899">FX32/FL32-1</f>
        <v>7.8481433234277143E-2</v>
      </c>
      <c r="FY34" s="3242">
        <f t="shared" ref="FY34" ca="1" si="900">FY32/FM32-1</f>
        <v>7.7956056619246317E-2</v>
      </c>
    </row>
    <row r="35" spans="1:181" s="3243" customFormat="1">
      <c r="A35" s="3273">
        <f>6844/7422-1</f>
        <v>-7.7876583131231469E-2</v>
      </c>
      <c r="B35" s="3242"/>
      <c r="C35" s="3242"/>
      <c r="D35" s="3242"/>
      <c r="E35" s="3242"/>
      <c r="F35" s="3242"/>
      <c r="G35" s="3242"/>
      <c r="H35" s="3242"/>
      <c r="I35" s="3242"/>
      <c r="J35" s="3242"/>
      <c r="K35" s="3242"/>
      <c r="L35" s="3242"/>
      <c r="M35" s="3242"/>
      <c r="N35" s="3242"/>
      <c r="O35" s="3242"/>
      <c r="P35" s="3242"/>
      <c r="Q35" s="3242"/>
      <c r="R35" s="3242"/>
      <c r="S35" s="3242"/>
      <c r="T35" s="3242"/>
      <c r="U35" s="3242"/>
      <c r="V35" s="3274">
        <f t="shared" ref="V35:AW35" si="901">V23+V16+V10</f>
        <v>1907</v>
      </c>
      <c r="W35" s="3274">
        <f t="shared" si="901"/>
        <v>1937</v>
      </c>
      <c r="X35" s="3274">
        <f t="shared" si="901"/>
        <v>1991</v>
      </c>
      <c r="Y35" s="3274">
        <f t="shared" si="901"/>
        <v>2014</v>
      </c>
      <c r="Z35" s="3274">
        <f t="shared" si="901"/>
        <v>2043</v>
      </c>
      <c r="AA35" s="3274">
        <f t="shared" si="901"/>
        <v>2043</v>
      </c>
      <c r="AB35" s="3274">
        <f t="shared" si="901"/>
        <v>2039</v>
      </c>
      <c r="AC35" s="3274">
        <f t="shared" si="901"/>
        <v>2034</v>
      </c>
      <c r="AD35" s="3274">
        <f t="shared" si="901"/>
        <v>2036</v>
      </c>
      <c r="AE35" s="3274">
        <f t="shared" si="901"/>
        <v>2015</v>
      </c>
      <c r="AF35" s="3274">
        <f t="shared" si="901"/>
        <v>2031</v>
      </c>
      <c r="AG35" s="3274">
        <f t="shared" si="901"/>
        <v>2047</v>
      </c>
      <c r="AH35" s="3274">
        <f t="shared" si="901"/>
        <v>2086</v>
      </c>
      <c r="AI35" s="3274">
        <f t="shared" si="901"/>
        <v>2146</v>
      </c>
      <c r="AJ35" s="3274">
        <f t="shared" si="901"/>
        <v>2207</v>
      </c>
      <c r="AK35" s="3274">
        <f t="shared" si="901"/>
        <v>2340</v>
      </c>
      <c r="AL35" s="3274">
        <f t="shared" si="901"/>
        <v>2408</v>
      </c>
      <c r="AM35" s="3274">
        <f t="shared" si="901"/>
        <v>2439</v>
      </c>
      <c r="AN35" s="3274">
        <f t="shared" si="901"/>
        <v>2462</v>
      </c>
      <c r="AO35" s="3274">
        <f t="shared" si="901"/>
        <v>2551</v>
      </c>
      <c r="AP35" s="3274">
        <f t="shared" si="901"/>
        <v>2626</v>
      </c>
      <c r="AQ35" s="3274">
        <f t="shared" si="901"/>
        <v>2667</v>
      </c>
      <c r="AR35" s="3274">
        <f t="shared" si="901"/>
        <v>2712</v>
      </c>
      <c r="AS35" s="3274">
        <f t="shared" si="901"/>
        <v>2717</v>
      </c>
      <c r="AT35" s="3274">
        <f t="shared" si="901"/>
        <v>2731</v>
      </c>
      <c r="AU35" s="3274">
        <f t="shared" si="901"/>
        <v>2741</v>
      </c>
      <c r="AV35" s="3274">
        <f t="shared" si="901"/>
        <v>2829</v>
      </c>
      <c r="AW35" s="3274">
        <f t="shared" si="901"/>
        <v>2962</v>
      </c>
      <c r="AX35" s="3274">
        <f>AX23+AX16+AX10</f>
        <v>3036</v>
      </c>
      <c r="AY35" s="3274">
        <f>AY23+AY16+AY10</f>
        <v>3091</v>
      </c>
      <c r="AZ35" s="3274">
        <f t="shared" ref="AZ35:DJ35" si="902">AZ23+AZ16+AZ10</f>
        <v>3097</v>
      </c>
      <c r="BA35" s="3274"/>
      <c r="BB35" s="3274"/>
      <c r="BC35" s="3274">
        <f t="shared" si="902"/>
        <v>3198</v>
      </c>
      <c r="BD35" s="3274">
        <f t="shared" si="902"/>
        <v>3255</v>
      </c>
      <c r="BE35" s="3274">
        <f t="shared" si="902"/>
        <v>3308</v>
      </c>
      <c r="BF35" s="3274">
        <f t="shared" si="902"/>
        <v>3362</v>
      </c>
      <c r="BG35" s="3274">
        <f t="shared" si="902"/>
        <v>3432</v>
      </c>
      <c r="BH35" s="3274">
        <f t="shared" si="902"/>
        <v>3446</v>
      </c>
      <c r="BI35" s="3274">
        <f t="shared" si="902"/>
        <v>3474</v>
      </c>
      <c r="BJ35" s="3275">
        <f t="shared" si="902"/>
        <v>3476</v>
      </c>
      <c r="BK35" s="3275">
        <f t="shared" si="902"/>
        <v>3476</v>
      </c>
      <c r="BL35" s="3275">
        <f t="shared" si="902"/>
        <v>3479</v>
      </c>
      <c r="BM35" s="3275">
        <f t="shared" si="902"/>
        <v>3480</v>
      </c>
      <c r="BN35" s="3275">
        <f t="shared" si="902"/>
        <v>3475</v>
      </c>
      <c r="BO35" s="3275">
        <f t="shared" si="902"/>
        <v>3469</v>
      </c>
      <c r="BP35" s="3275">
        <f t="shared" si="902"/>
        <v>3469</v>
      </c>
      <c r="BQ35" s="3275">
        <f t="shared" si="902"/>
        <v>3457</v>
      </c>
      <c r="BR35" s="3275">
        <f t="shared" si="902"/>
        <v>3451</v>
      </c>
      <c r="BS35" s="3275">
        <f t="shared" si="902"/>
        <v>3439</v>
      </c>
      <c r="BT35" s="3275">
        <f t="shared" si="902"/>
        <v>3310</v>
      </c>
      <c r="BU35" s="3275">
        <f>BU23+BU16+BU10</f>
        <v>3268</v>
      </c>
      <c r="BV35" s="3275">
        <f t="shared" si="902"/>
        <v>3266</v>
      </c>
      <c r="BW35" s="3275">
        <f t="shared" si="902"/>
        <v>3266</v>
      </c>
      <c r="BX35" s="3275">
        <f t="shared" si="902"/>
        <v>3255</v>
      </c>
      <c r="BY35" s="3275">
        <v>3255</v>
      </c>
      <c r="BZ35" s="3275">
        <v>3250</v>
      </c>
      <c r="CA35" s="3275">
        <f>CA23+CA16+CA10</f>
        <v>3136</v>
      </c>
      <c r="CB35" s="3275">
        <f>CB23+CB16+CB10</f>
        <v>3062</v>
      </c>
      <c r="CC35" s="3275">
        <f t="shared" si="902"/>
        <v>3054</v>
      </c>
      <c r="CD35" s="3275">
        <f t="shared" si="902"/>
        <v>3053</v>
      </c>
      <c r="CE35" s="3275">
        <f t="shared" si="902"/>
        <v>3052</v>
      </c>
      <c r="CF35" s="3275">
        <f t="shared" si="902"/>
        <v>3052</v>
      </c>
      <c r="CG35" s="3275">
        <f>CG23+CG16+CG10</f>
        <v>3047</v>
      </c>
      <c r="CH35" s="3275">
        <f>CH23+CH16+CH10</f>
        <v>3048</v>
      </c>
      <c r="CI35" s="3275">
        <f t="shared" si="902"/>
        <v>3048</v>
      </c>
      <c r="CJ35" s="3275">
        <f t="shared" si="902"/>
        <v>3044</v>
      </c>
      <c r="CK35" s="3275">
        <v>3042</v>
      </c>
      <c r="CL35" s="3275">
        <v>3042</v>
      </c>
      <c r="CM35" s="3275">
        <v>3038</v>
      </c>
      <c r="CN35" s="3275">
        <f t="shared" si="902"/>
        <v>3036</v>
      </c>
      <c r="CO35" s="3275">
        <f t="shared" si="902"/>
        <v>3037</v>
      </c>
      <c r="CP35" s="3275">
        <f>CP23+CP16+CP10</f>
        <v>3031</v>
      </c>
      <c r="CQ35" s="3275">
        <f t="shared" si="902"/>
        <v>3031</v>
      </c>
      <c r="CR35" s="3274">
        <f t="shared" si="902"/>
        <v>3029</v>
      </c>
      <c r="CS35" s="3274">
        <f t="shared" si="902"/>
        <v>3029</v>
      </c>
      <c r="CT35" s="3274">
        <f t="shared" si="902"/>
        <v>3029</v>
      </c>
      <c r="CU35" s="3274">
        <f t="shared" si="902"/>
        <v>3029</v>
      </c>
      <c r="CV35" s="3274">
        <f t="shared" si="902"/>
        <v>3029</v>
      </c>
      <c r="CW35" s="3274">
        <f t="shared" si="902"/>
        <v>3029</v>
      </c>
      <c r="CX35" s="3274">
        <f t="shared" si="902"/>
        <v>3029</v>
      </c>
      <c r="CY35" s="3274">
        <f t="shared" si="902"/>
        <v>3029</v>
      </c>
      <c r="CZ35" s="3274">
        <f t="shared" si="902"/>
        <v>3029</v>
      </c>
      <c r="DA35" s="3274">
        <f t="shared" si="902"/>
        <v>3029</v>
      </c>
      <c r="DB35" s="3274">
        <f t="shared" si="902"/>
        <v>3029</v>
      </c>
      <c r="DC35" s="3274">
        <f t="shared" si="902"/>
        <v>3029</v>
      </c>
      <c r="DD35" s="3274">
        <f t="shared" si="902"/>
        <v>3029</v>
      </c>
      <c r="DE35" s="3274">
        <f t="shared" si="902"/>
        <v>3029</v>
      </c>
      <c r="DF35" s="3274">
        <f t="shared" si="902"/>
        <v>3029</v>
      </c>
      <c r="DG35" s="3274">
        <f t="shared" si="902"/>
        <v>3029</v>
      </c>
      <c r="DH35" s="3274">
        <f t="shared" si="902"/>
        <v>3029</v>
      </c>
      <c r="DI35" s="3274">
        <f t="shared" si="902"/>
        <v>3029</v>
      </c>
      <c r="DJ35" s="3274">
        <f t="shared" si="902"/>
        <v>3029</v>
      </c>
      <c r="DK35" s="3274">
        <f t="shared" ref="DK35:DP35" si="903">DK23+DK16+DK10</f>
        <v>3029</v>
      </c>
      <c r="DL35" s="3274">
        <f t="shared" si="903"/>
        <v>3029</v>
      </c>
      <c r="DM35" s="3274">
        <f t="shared" si="903"/>
        <v>3029</v>
      </c>
      <c r="DN35" s="3274">
        <f t="shared" si="903"/>
        <v>3029</v>
      </c>
      <c r="DO35" s="3274">
        <f t="shared" si="903"/>
        <v>3029</v>
      </c>
      <c r="DP35" s="3274">
        <f t="shared" si="903"/>
        <v>3029</v>
      </c>
      <c r="DQ35" s="3242"/>
      <c r="DR35" s="3242"/>
      <c r="DS35" s="3242"/>
      <c r="DT35" s="3242"/>
      <c r="DU35" s="3242"/>
      <c r="DV35" s="3242"/>
      <c r="DW35" s="3242"/>
      <c r="DX35" s="3242"/>
      <c r="DY35" s="3242"/>
      <c r="DZ35" s="3242"/>
      <c r="EA35" s="3242"/>
      <c r="EB35" s="3242"/>
      <c r="EC35" s="3242"/>
      <c r="ED35" s="3242"/>
      <c r="EE35" s="3242"/>
      <c r="EF35" s="3242"/>
      <c r="EG35" s="3242"/>
      <c r="EH35" s="3242"/>
      <c r="EI35" s="3242"/>
      <c r="EJ35" s="3242"/>
      <c r="EK35" s="3242"/>
      <c r="EL35" s="3242"/>
      <c r="EM35" s="3242"/>
      <c r="EN35" s="3242"/>
      <c r="EO35" s="3242"/>
      <c r="EP35" s="3242"/>
      <c r="EQ35" s="3242"/>
      <c r="ER35" s="3242"/>
      <c r="ES35" s="3242"/>
      <c r="ET35" s="3242"/>
      <c r="EU35" s="3242"/>
      <c r="EV35" s="3242"/>
      <c r="EW35" s="3242"/>
      <c r="EX35" s="3242"/>
      <c r="EY35" s="3242"/>
      <c r="EZ35" s="3242"/>
      <c r="FA35" s="3242"/>
      <c r="FB35" s="3242"/>
      <c r="FC35" s="3242"/>
      <c r="FD35" s="3242"/>
      <c r="FE35" s="3242"/>
      <c r="FF35" s="3242"/>
      <c r="FG35" s="3242"/>
      <c r="FH35" s="3242"/>
      <c r="FI35" s="3242"/>
      <c r="FJ35" s="3242"/>
      <c r="FK35" s="3242"/>
      <c r="FL35" s="3242"/>
      <c r="FM35" s="3242"/>
      <c r="FN35" s="3242"/>
      <c r="FO35" s="3242"/>
      <c r="FP35" s="3242"/>
      <c r="FQ35" s="3242"/>
      <c r="FR35" s="3242"/>
      <c r="FS35" s="3242"/>
      <c r="FT35" s="3242"/>
      <c r="FU35" s="3242"/>
      <c r="FV35" s="3242"/>
      <c r="FW35" s="3242"/>
      <c r="FX35" s="3242"/>
      <c r="FY35" s="3242"/>
    </row>
    <row r="36" spans="1:181" s="3243" customFormat="1">
      <c r="A36" s="3242">
        <f>9426/10064-1</f>
        <v>-6.3394276629570756E-2</v>
      </c>
      <c r="B36" s="3242"/>
      <c r="C36" s="3242"/>
      <c r="D36" s="3242"/>
      <c r="E36" s="3242"/>
      <c r="F36" s="3242"/>
      <c r="G36" s="3242"/>
      <c r="H36" s="3242"/>
      <c r="I36" s="3242"/>
      <c r="J36" s="3242"/>
      <c r="K36" s="3242"/>
      <c r="L36" s="3242"/>
      <c r="M36" s="3242"/>
      <c r="N36" s="3242"/>
      <c r="O36" s="3242"/>
      <c r="P36" s="3242"/>
      <c r="Q36" s="3242"/>
      <c r="R36" s="3242"/>
      <c r="S36" s="3242"/>
      <c r="T36" s="3242"/>
      <c r="U36" s="3242"/>
      <c r="V36" s="3276">
        <f t="shared" ref="V36:AW36" si="904">V32/AVERAGE(V35,U35)</f>
        <v>3.6492087047718917</v>
      </c>
      <c r="W36" s="3276">
        <f t="shared" si="904"/>
        <v>3.5322367325702406</v>
      </c>
      <c r="X36" s="3276">
        <f t="shared" si="904"/>
        <v>3.6435845213849287</v>
      </c>
      <c r="Y36" s="3276">
        <f t="shared" si="904"/>
        <v>3.9334481897627946</v>
      </c>
      <c r="Z36" s="3276">
        <f t="shared" si="904"/>
        <v>5.4116046339659851</v>
      </c>
      <c r="AA36" s="3276">
        <f t="shared" si="904"/>
        <v>3.4142897699461576</v>
      </c>
      <c r="AB36" s="3276">
        <f t="shared" si="904"/>
        <v>3.3851822635962767</v>
      </c>
      <c r="AC36" s="3276">
        <f t="shared" si="904"/>
        <v>3.020852933955315</v>
      </c>
      <c r="AD36" s="3276">
        <f t="shared" si="904"/>
        <v>4.2466152334152323</v>
      </c>
      <c r="AE36" s="3276">
        <f t="shared" si="904"/>
        <v>3.2212046408294244</v>
      </c>
      <c r="AF36" s="3276">
        <f t="shared" si="904"/>
        <v>3.3977904102817642</v>
      </c>
      <c r="AG36" s="3276">
        <f t="shared" si="904"/>
        <v>3.2900098087297684</v>
      </c>
      <c r="AH36" s="3276">
        <f t="shared" si="904"/>
        <v>3.1251381563029286</v>
      </c>
      <c r="AI36" s="3276">
        <f t="shared" si="904"/>
        <v>3.1956956521739097</v>
      </c>
      <c r="AJ36" s="3276">
        <f t="shared" si="904"/>
        <v>3.2877133011716104</v>
      </c>
      <c r="AK36" s="3276">
        <f t="shared" si="904"/>
        <v>3.1373019573345045</v>
      </c>
      <c r="AL36" s="3276">
        <f t="shared" si="904"/>
        <v>3.8024570345408599</v>
      </c>
      <c r="AM36" s="3276">
        <f t="shared" si="904"/>
        <v>3.5970249638951932</v>
      </c>
      <c r="AN36" s="3276">
        <f t="shared" si="904"/>
        <v>2.9108206488471735</v>
      </c>
      <c r="AO36" s="3276">
        <f t="shared" si="904"/>
        <v>2.9849634949132264</v>
      </c>
      <c r="AP36" s="3276">
        <f t="shared" si="904"/>
        <v>3.3572184662932201</v>
      </c>
      <c r="AQ36" s="3276">
        <f t="shared" si="904"/>
        <v>2.9767470243718095</v>
      </c>
      <c r="AR36" s="3276">
        <f t="shared" si="904"/>
        <v>1.9624974902398238</v>
      </c>
      <c r="AS36" s="3276">
        <f t="shared" si="904"/>
        <v>1.2561694603057665</v>
      </c>
      <c r="AT36" s="3276">
        <f t="shared" si="904"/>
        <v>2.3069713656387645</v>
      </c>
      <c r="AU36" s="3276">
        <f t="shared" si="904"/>
        <v>2.3796321511176797</v>
      </c>
      <c r="AV36" s="3276">
        <f t="shared" si="904"/>
        <v>4.8348093194046831</v>
      </c>
      <c r="AW36" s="3276">
        <f t="shared" si="904"/>
        <v>3.6034013054740077</v>
      </c>
      <c r="AX36" s="3276">
        <f>AX32/AVERAGE(AX35,AW35)</f>
        <v>7.1023674558186061</v>
      </c>
      <c r="AY36" s="3276">
        <f t="shared" ref="AY36:DJ36" si="905">AY32/AVERAGE(AY35,AX35)</f>
        <v>2.9339302964598764</v>
      </c>
      <c r="AZ36" s="3276">
        <f t="shared" si="905"/>
        <v>2.8480622290869966</v>
      </c>
      <c r="BA36" s="3276"/>
      <c r="BB36" s="3276"/>
      <c r="BC36" s="3276">
        <f t="shared" si="905"/>
        <v>2.8734902524200101</v>
      </c>
      <c r="BD36" s="3276">
        <f t="shared" si="905"/>
        <v>2.4860239719577302</v>
      </c>
      <c r="BE36" s="3276">
        <f t="shared" si="905"/>
        <v>2.3769617552948348</v>
      </c>
      <c r="BF36" s="3276">
        <f t="shared" ca="1" si="905"/>
        <v>2.3088455772113936</v>
      </c>
      <c r="BG36" s="3276">
        <f t="shared" ca="1" si="905"/>
        <v>2.5316455696202533</v>
      </c>
      <c r="BH36" s="3276">
        <f t="shared" ca="1" si="905"/>
        <v>2.0645536493166614</v>
      </c>
      <c r="BI36" s="3276">
        <f t="shared" ca="1" si="905"/>
        <v>2.0102635054913311</v>
      </c>
      <c r="BJ36" s="3277">
        <f ca="1">BJ32/AVERAGE(BJ35,BI35)</f>
        <v>2.0924676258992805</v>
      </c>
      <c r="BK36" s="3277">
        <f t="shared" ca="1" si="905"/>
        <v>2.0918656501726121</v>
      </c>
      <c r="BL36" s="3277">
        <f t="shared" ca="1" si="905"/>
        <v>1.5536908698777858</v>
      </c>
      <c r="BM36" s="3277">
        <f t="shared" ca="1" si="905"/>
        <v>2.1146765339847677</v>
      </c>
      <c r="BN36" s="3277">
        <f t="shared" ca="1" si="905"/>
        <v>2.1941271028037388</v>
      </c>
      <c r="BO36" s="3277">
        <f t="shared" ca="1" si="905"/>
        <v>1.913953341013825</v>
      </c>
      <c r="BP36" s="3277">
        <f t="shared" ca="1" si="905"/>
        <v>1.9484808302104355</v>
      </c>
      <c r="BQ36" s="3277">
        <f t="shared" ca="1" si="905"/>
        <v>1.9815997689864271</v>
      </c>
      <c r="BR36" s="3277">
        <f>BR32/AVERAGE(BR35,BQ35)</f>
        <v>2.0331427463112943</v>
      </c>
      <c r="BS36" s="3277">
        <f ca="1">BS32/AVERAGE(BS35,BR35)</f>
        <v>2.2748597968069659</v>
      </c>
      <c r="BT36" s="3277">
        <f ca="1">BT32/AVERAGE(BT35,BS35)</f>
        <v>1.9423197510742338</v>
      </c>
      <c r="BU36" s="3277">
        <v>2.2613836844002413</v>
      </c>
      <c r="BV36" s="3277">
        <f t="shared" ca="1" si="905"/>
        <v>2.2790567799204164</v>
      </c>
      <c r="BW36" s="3277">
        <f t="shared" ca="1" si="905"/>
        <v>2.2797545927740357</v>
      </c>
      <c r="BX36" s="3277">
        <f t="shared" ca="1" si="905"/>
        <v>1.9802126115626442</v>
      </c>
      <c r="BY36" s="3277">
        <v>2.4724414070660514</v>
      </c>
      <c r="BZ36" s="3277">
        <v>2.2854182936202911</v>
      </c>
      <c r="CA36" s="3277">
        <f t="shared" ca="1" si="905"/>
        <v>2.3379940494832456</v>
      </c>
      <c r="CB36" s="3277">
        <f t="shared" ca="1" si="905"/>
        <v>2.2797147466924823</v>
      </c>
      <c r="CC36" s="3277">
        <f t="shared" ca="1" si="905"/>
        <v>2.4496115107913665</v>
      </c>
      <c r="CD36" s="3277">
        <f t="shared" ca="1" si="905"/>
        <v>2.5852955624692964</v>
      </c>
      <c r="CE36" s="3277">
        <f t="shared" ca="1" si="905"/>
        <v>2.5757205569205577</v>
      </c>
      <c r="CF36" s="3277">
        <f t="shared" ca="1" si="905"/>
        <v>2.3386216251638268</v>
      </c>
      <c r="CG36" s="3277">
        <f t="shared" ca="1" si="905"/>
        <v>2.9693074172733263</v>
      </c>
      <c r="CH36" s="3277">
        <f t="shared" ca="1" si="905"/>
        <v>2.5431154219234342</v>
      </c>
      <c r="CI36" s="3277">
        <f t="shared" ca="1" si="905"/>
        <v>3.0009487374305559</v>
      </c>
      <c r="CJ36" s="3277">
        <f t="shared" ca="1" si="905"/>
        <v>2.424706519053331</v>
      </c>
      <c r="CK36" s="3277">
        <v>2.7295625402858348</v>
      </c>
      <c r="CL36" s="3277">
        <v>2.7608815080294611</v>
      </c>
      <c r="CM36" s="3277">
        <v>2.7652940675882052</v>
      </c>
      <c r="CN36" s="3277">
        <f t="shared" ca="1" si="905"/>
        <v>2.8774638195521876</v>
      </c>
      <c r="CO36" s="3277">
        <f t="shared" ca="1" si="905"/>
        <v>2.9420609254075418</v>
      </c>
      <c r="CP36" s="3277">
        <f t="shared" ca="1" si="905"/>
        <v>3.094789716545816</v>
      </c>
      <c r="CQ36" s="3277">
        <f t="shared" ca="1" si="905"/>
        <v>3.4298215110524564</v>
      </c>
      <c r="CR36" s="3276">
        <f t="shared" ca="1" si="905"/>
        <v>3.1779217821782182</v>
      </c>
      <c r="CS36" s="3276">
        <f t="shared" ca="1" si="905"/>
        <v>3.6900173018495419</v>
      </c>
      <c r="CT36" s="3276">
        <f t="shared" ca="1" si="905"/>
        <v>2.8917121093174707</v>
      </c>
      <c r="CU36" s="3276">
        <f t="shared" ca="1" si="905"/>
        <v>3.0193779937050831</v>
      </c>
      <c r="CV36" s="3276">
        <f t="shared" ca="1" si="905"/>
        <v>2.7567971746269246</v>
      </c>
      <c r="CW36" s="3276">
        <f t="shared" si="905"/>
        <v>3.1092521950574992</v>
      </c>
      <c r="CX36" s="3276">
        <f t="shared" si="905"/>
        <v>3.1439446631385723</v>
      </c>
      <c r="CY36" s="3276">
        <f t="shared" si="905"/>
        <v>3.1476318261289133</v>
      </c>
      <c r="CZ36" s="3276">
        <f t="shared" ca="1" si="905"/>
        <v>3.270357969649424</v>
      </c>
      <c r="DA36" s="3276">
        <f t="shared" ca="1" si="905"/>
        <v>3.3503203345829911</v>
      </c>
      <c r="DB36" s="3276">
        <f t="shared" ca="1" si="905"/>
        <v>3.5152649525245261</v>
      </c>
      <c r="DC36" s="3276">
        <f t="shared" ca="1" si="905"/>
        <v>3.88718042710508</v>
      </c>
      <c r="DD36" s="3276">
        <f t="shared" ca="1" si="905"/>
        <v>3.6093080375167435</v>
      </c>
      <c r="DE36" s="3276">
        <f t="shared" ca="1" si="905"/>
        <v>4.1904161809508587</v>
      </c>
      <c r="DF36" s="3276">
        <f t="shared" ca="1" si="905"/>
        <v>3.2145665892002517</v>
      </c>
      <c r="DG36" s="3276">
        <f t="shared" ca="1" si="905"/>
        <v>3.3550079511946924</v>
      </c>
      <c r="DH36" s="3276">
        <f t="shared" ca="1" si="905"/>
        <v>3.0634414985004597</v>
      </c>
      <c r="DI36" s="3276">
        <f t="shared" si="905"/>
        <v>3.4579817020692181</v>
      </c>
      <c r="DJ36" s="3276">
        <f t="shared" si="905"/>
        <v>3.4962398618134776</v>
      </c>
      <c r="DK36" s="3276">
        <f t="shared" ref="DK36:DP36" si="906">DK32/AVERAGE(DK35,DJ35)</f>
        <v>3.4998702477920198</v>
      </c>
      <c r="DL36" s="3276">
        <f t="shared" ca="1" si="906"/>
        <v>3.6346348740149774</v>
      </c>
      <c r="DM36" s="3276">
        <f t="shared" ca="1" si="906"/>
        <v>3.7262606148180821</v>
      </c>
      <c r="DN36" s="3276">
        <f t="shared" ca="1" si="906"/>
        <v>3.9065119281008269</v>
      </c>
      <c r="DO36" s="3276">
        <f t="shared" ca="1" si="906"/>
        <v>4.3162837462836148</v>
      </c>
      <c r="DP36" s="3276">
        <f t="shared" ca="1" si="906"/>
        <v>4.0104147138377089</v>
      </c>
      <c r="DQ36" s="3242"/>
      <c r="DR36" s="3242"/>
      <c r="DS36" s="3242"/>
      <c r="DT36" s="3242"/>
      <c r="DU36" s="3242"/>
      <c r="DV36" s="3242"/>
      <c r="DW36" s="3242"/>
      <c r="DX36" s="3242"/>
      <c r="DY36" s="3242"/>
      <c r="DZ36" s="3242"/>
      <c r="EA36" s="3242"/>
      <c r="EB36" s="3242"/>
      <c r="EC36" s="3242"/>
      <c r="ED36" s="3242"/>
      <c r="EE36" s="3242"/>
      <c r="EF36" s="3242"/>
      <c r="EG36" s="3242"/>
      <c r="EH36" s="3242"/>
      <c r="EI36" s="3242"/>
      <c r="EJ36" s="3242"/>
      <c r="EK36" s="3242"/>
      <c r="EL36" s="3242"/>
      <c r="EM36" s="3242"/>
      <c r="EN36" s="3242"/>
      <c r="EO36" s="3242"/>
      <c r="EP36" s="3242"/>
      <c r="EQ36" s="3242"/>
      <c r="ER36" s="3242"/>
      <c r="ES36" s="3242"/>
      <c r="ET36" s="3242"/>
      <c r="EU36" s="3242"/>
      <c r="EV36" s="3242"/>
      <c r="EW36" s="3242"/>
      <c r="EX36" s="3242"/>
      <c r="EY36" s="3242"/>
      <c r="EZ36" s="3242"/>
      <c r="FA36" s="3242"/>
      <c r="FB36" s="3242"/>
      <c r="FC36" s="3242"/>
      <c r="FD36" s="3242"/>
      <c r="FE36" s="3242"/>
      <c r="FF36" s="3242"/>
      <c r="FG36" s="3242"/>
      <c r="FH36" s="3242"/>
      <c r="FI36" s="3242"/>
      <c r="FJ36" s="3242"/>
      <c r="FK36" s="3242"/>
      <c r="FL36" s="3242"/>
      <c r="FM36" s="3242"/>
      <c r="FN36" s="3242"/>
      <c r="FO36" s="3242"/>
      <c r="FP36" s="3242"/>
      <c r="FQ36" s="3242"/>
      <c r="FR36" s="3242"/>
      <c r="FS36" s="3242"/>
      <c r="FT36" s="3242"/>
      <c r="FU36" s="3242"/>
      <c r="FV36" s="3242"/>
      <c r="FW36" s="3242"/>
      <c r="FX36" s="3242"/>
      <c r="FY36" s="3242"/>
    </row>
    <row r="37" spans="1:181" s="3243" customFormat="1">
      <c r="A37" s="3242">
        <f ca="1">BO38/2459-1</f>
        <v>4.2682391215940862E-2</v>
      </c>
      <c r="B37" s="3242"/>
      <c r="C37" s="3242"/>
      <c r="D37" s="3242"/>
      <c r="E37" s="3242"/>
      <c r="F37" s="3242"/>
      <c r="G37" s="3242"/>
      <c r="H37" s="3242"/>
      <c r="I37" s="3242"/>
      <c r="J37" s="3242"/>
      <c r="K37" s="3242"/>
      <c r="L37" s="3242"/>
      <c r="M37" s="3242"/>
      <c r="N37" s="3242"/>
      <c r="O37" s="3242"/>
      <c r="P37" s="3242"/>
      <c r="Q37" s="3242"/>
      <c r="R37" s="3242"/>
      <c r="S37" s="3242"/>
      <c r="T37" s="3242"/>
      <c r="U37" s="3242"/>
      <c r="V37" s="3242"/>
      <c r="W37" s="3242"/>
      <c r="X37" s="3242"/>
      <c r="Y37" s="3242"/>
      <c r="Z37" s="3242"/>
      <c r="AA37" s="3242"/>
      <c r="AB37" s="3242"/>
      <c r="AC37" s="3242"/>
      <c r="AD37" s="3242"/>
      <c r="AE37" s="3242"/>
      <c r="AF37" s="3242"/>
      <c r="AG37" s="3242"/>
      <c r="AH37" s="3242"/>
      <c r="AI37" s="3242"/>
      <c r="AJ37" s="3242"/>
      <c r="AK37" s="3242"/>
      <c r="AL37" s="3242"/>
      <c r="AM37" s="3242"/>
      <c r="AN37" s="3242"/>
      <c r="AO37" s="3242"/>
      <c r="AP37" s="3242"/>
      <c r="AQ37" s="3242"/>
      <c r="AR37" s="3242"/>
      <c r="AS37" s="3242"/>
      <c r="AT37" s="3242"/>
      <c r="AU37" s="3242"/>
      <c r="AV37" s="3242"/>
      <c r="AW37" s="3242"/>
      <c r="AX37" s="3242"/>
      <c r="AY37" s="3242"/>
      <c r="AZ37" s="3242"/>
      <c r="BA37" s="3242"/>
      <c r="BB37" s="3242"/>
      <c r="BC37" s="3242"/>
      <c r="BD37" s="3242"/>
      <c r="BE37" s="3242"/>
      <c r="BF37" s="3242"/>
      <c r="BG37" s="3242"/>
      <c r="BH37" s="3242"/>
      <c r="BI37" s="3242"/>
      <c r="BJ37" s="2900">
        <f>BJ38/AX36-1</f>
        <v>289.40809460093897</v>
      </c>
      <c r="BK37" s="2900">
        <f>BK38/BJ38-1</f>
        <v>0</v>
      </c>
      <c r="BL37" s="2900">
        <f ca="1">BL36/AY36-1</f>
        <v>-0.47044042874757719</v>
      </c>
      <c r="BM37" s="2900">
        <f ca="1">BM36/AZ36-1</f>
        <v>-0.25750339568153691</v>
      </c>
      <c r="BN37" s="2900">
        <f ca="1">BN36/$BC$36-1</f>
        <v>-0.23642437939162031</v>
      </c>
      <c r="BO37" s="2900">
        <f ca="1">BO36/$BC$36-1</f>
        <v>-0.33392732430467709</v>
      </c>
      <c r="BP37" s="2900">
        <f ca="1">BP36/BD36-1</f>
        <v>-0.2162260492299205</v>
      </c>
      <c r="BQ37" s="2900">
        <f ca="1">BQ36/BE36-1</f>
        <v>-0.16633081513731274</v>
      </c>
      <c r="BR37" s="2900">
        <f ca="1">BR36/BF36-1</f>
        <v>-0.11941155078595211</v>
      </c>
      <c r="BS37" s="2900">
        <f ca="1">BS36/BG36-1</f>
        <v>-0.10143038026124851</v>
      </c>
      <c r="BT37" s="2900">
        <f ca="1">BT36/BH36-1</f>
        <v>-5.9205968458550529E-2</v>
      </c>
      <c r="BU37" s="3275"/>
      <c r="BV37" s="2900"/>
      <c r="BW37" s="2900"/>
      <c r="BX37" s="3275"/>
      <c r="BY37" s="3275"/>
      <c r="BZ37" s="3275"/>
      <c r="CA37" s="3275"/>
      <c r="CB37" s="3253">
        <f t="shared" ref="CB37" si="907">CB35/BP35-1</f>
        <v>-0.11732487748630727</v>
      </c>
      <c r="CC37" s="3253">
        <f>CC35/BQ35-1</f>
        <v>-0.11657506508533411</v>
      </c>
      <c r="CD37" s="3253">
        <f>CD35/BR35-1</f>
        <v>-0.1153288901767604</v>
      </c>
      <c r="CE37" s="2900"/>
      <c r="CF37" s="2900"/>
      <c r="CG37" s="3275">
        <f>CG35-BU35</f>
        <v>-221</v>
      </c>
      <c r="CH37" s="3275"/>
      <c r="CI37" s="3275">
        <f>CI35/BW35-1</f>
        <v>-6.674831598285369E-2</v>
      </c>
      <c r="CJ37" s="3275"/>
      <c r="CK37" s="3275"/>
      <c r="CL37" s="3275"/>
      <c r="CM37" s="3275">
        <v>22589.355570288608</v>
      </c>
      <c r="CN37" s="3242">
        <f t="shared" ref="CN37:CQ37" ca="1" si="908">CN36/CB36-1</f>
        <v>0.26220345055316585</v>
      </c>
      <c r="CO37" s="3242">
        <f t="shared" ca="1" si="908"/>
        <v>0.20103163805638946</v>
      </c>
      <c r="CP37" s="3242">
        <f t="shared" ca="1" si="908"/>
        <v>0.19707385162177982</v>
      </c>
      <c r="CQ37" s="3242">
        <f t="shared" ca="1" si="908"/>
        <v>0.33159690085054572</v>
      </c>
      <c r="CR37" s="3242">
        <f ca="1">CR36/CF36-1</f>
        <v>0.35888668264392543</v>
      </c>
      <c r="CS37" s="3242"/>
      <c r="CT37" s="3242"/>
      <c r="CU37" s="3242"/>
      <c r="CV37" s="3242"/>
      <c r="CW37" s="3242"/>
      <c r="CX37" s="3242"/>
      <c r="CY37" s="3242"/>
      <c r="CZ37" s="3242"/>
      <c r="DA37" s="3242"/>
      <c r="DB37" s="3242"/>
      <c r="DC37" s="3242"/>
      <c r="DD37" s="3242"/>
      <c r="DE37" s="3242"/>
      <c r="DF37" s="3242"/>
      <c r="DG37" s="3242"/>
      <c r="DH37" s="3242"/>
      <c r="DI37" s="3242"/>
      <c r="DJ37" s="3242"/>
      <c r="DK37" s="3242"/>
      <c r="DL37" s="3242"/>
      <c r="DM37" s="3242"/>
      <c r="DN37" s="3242"/>
      <c r="DO37" s="3242"/>
      <c r="DP37" s="3242"/>
      <c r="DQ37" s="3242"/>
      <c r="DR37" s="3242"/>
      <c r="DS37" s="3242"/>
      <c r="DT37" s="3242"/>
      <c r="DU37" s="3242"/>
      <c r="DV37" s="3242"/>
      <c r="DW37" s="3242"/>
      <c r="DX37" s="3242"/>
      <c r="DY37" s="3242"/>
      <c r="DZ37" s="3242"/>
      <c r="EA37" s="3242"/>
      <c r="EB37" s="3242"/>
      <c r="EC37" s="3242"/>
      <c r="ED37" s="3242"/>
      <c r="EE37" s="3242"/>
      <c r="EF37" s="3242"/>
      <c r="EG37" s="3242"/>
      <c r="EH37" s="3242"/>
      <c r="EI37" s="3242"/>
      <c r="EJ37" s="3242"/>
      <c r="EK37" s="3242"/>
      <c r="EL37" s="3242"/>
      <c r="EM37" s="3242"/>
      <c r="EN37" s="3242"/>
      <c r="EO37" s="3242"/>
      <c r="EP37" s="3242"/>
      <c r="EQ37" s="3242"/>
      <c r="ER37" s="3242"/>
      <c r="ES37" s="3242"/>
      <c r="ET37" s="3242"/>
      <c r="EU37" s="3242"/>
      <c r="EV37" s="3242"/>
      <c r="EW37" s="3242"/>
      <c r="EX37" s="3242"/>
      <c r="EY37" s="3242"/>
      <c r="EZ37" s="3242"/>
      <c r="FA37" s="3242"/>
      <c r="FB37" s="3242"/>
      <c r="FC37" s="3242"/>
      <c r="FD37" s="3242"/>
      <c r="FE37" s="3242"/>
      <c r="FF37" s="3242"/>
      <c r="FG37" s="3242"/>
      <c r="FH37" s="3242"/>
      <c r="FI37" s="3242"/>
      <c r="FJ37" s="3242"/>
      <c r="FK37" s="3242"/>
      <c r="FL37" s="3242"/>
      <c r="FM37" s="3242"/>
      <c r="FN37" s="3242"/>
      <c r="FO37" s="3242"/>
      <c r="FP37" s="3242"/>
      <c r="FQ37" s="3242"/>
      <c r="FR37" s="3242"/>
      <c r="FS37" s="3242"/>
      <c r="FT37" s="3242"/>
      <c r="FU37" s="3242"/>
      <c r="FV37" s="3242"/>
      <c r="FW37" s="3242"/>
      <c r="FX37" s="3242"/>
      <c r="FY37" s="3242"/>
    </row>
    <row r="38" spans="1:181" s="2230" customFormat="1">
      <c r="A38" s="3065" t="s">
        <v>40</v>
      </c>
      <c r="B38" s="3065">
        <v>200</v>
      </c>
      <c r="C38" s="3065">
        <v>181</v>
      </c>
      <c r="D38" s="3065">
        <v>225</v>
      </c>
      <c r="E38" s="3065">
        <v>271</v>
      </c>
      <c r="F38" s="3065">
        <v>324</v>
      </c>
      <c r="G38" s="3065">
        <v>351</v>
      </c>
      <c r="H38" s="3065">
        <v>400</v>
      </c>
      <c r="I38" s="3065">
        <v>420</v>
      </c>
      <c r="J38" s="3065">
        <v>428</v>
      </c>
      <c r="K38" s="3065">
        <v>467</v>
      </c>
      <c r="L38" s="3065">
        <v>485</v>
      </c>
      <c r="M38" s="3065">
        <v>573.81450000000041</v>
      </c>
      <c r="N38" s="3065">
        <v>628</v>
      </c>
      <c r="O38" s="3065">
        <v>423</v>
      </c>
      <c r="P38" s="3065">
        <v>611.10500000000002</v>
      </c>
      <c r="Q38" s="3065">
        <v>694.19100000000026</v>
      </c>
      <c r="R38" s="3065">
        <v>802.93599999999969</v>
      </c>
      <c r="S38" s="3065">
        <v>963.20100000000002</v>
      </c>
      <c r="T38" s="3065">
        <v>970.67399999999998</v>
      </c>
      <c r="U38" s="3065">
        <v>1062.893</v>
      </c>
      <c r="V38" s="3065">
        <v>1018.9590000000007</v>
      </c>
      <c r="W38" s="3065">
        <v>1085.0409999999993</v>
      </c>
      <c r="X38" s="3065">
        <v>1197</v>
      </c>
      <c r="Y38" s="3065">
        <v>1307.2700000000004</v>
      </c>
      <c r="Z38" s="3065">
        <v>1318.8</v>
      </c>
      <c r="AA38" s="3065">
        <v>1269.3660000000002</v>
      </c>
      <c r="AB38" s="3065">
        <v>1902.8429999999998</v>
      </c>
      <c r="AC38" s="3065">
        <v>1682.0330000000004</v>
      </c>
      <c r="AD38" s="3065">
        <v>1663.1379999999999</v>
      </c>
      <c r="AE38" s="3065">
        <v>1622.4500000000007</v>
      </c>
      <c r="AF38" s="3065">
        <v>1795.2699999999986</v>
      </c>
      <c r="AG38" s="3065">
        <v>1953.6700000000019</v>
      </c>
      <c r="AH38" s="3065">
        <v>1923.902</v>
      </c>
      <c r="AI38" s="3065">
        <v>1987.9079999999994</v>
      </c>
      <c r="AJ38" s="3065">
        <v>2046.2920000000013</v>
      </c>
      <c r="AK38" s="3065">
        <v>2109.3439999999973</v>
      </c>
      <c r="AL38" s="3065">
        <v>2320.29</v>
      </c>
      <c r="AM38" s="3065">
        <v>1654.2869999999998</v>
      </c>
      <c r="AN38" s="3065">
        <v>1975.0340000000001</v>
      </c>
      <c r="AO38" s="3065">
        <v>2140.1890000000003</v>
      </c>
      <c r="AP38" s="3065">
        <v>2535.3499999999995</v>
      </c>
      <c r="AQ38" s="3065">
        <v>2747.0679999999993</v>
      </c>
      <c r="AR38" s="3065">
        <v>4192.366</v>
      </c>
      <c r="AS38" s="3065">
        <v>3079.6010000000024</v>
      </c>
      <c r="AT38" s="3065">
        <v>1929.0149999999994</v>
      </c>
      <c r="AU38" s="3065">
        <v>2000</v>
      </c>
      <c r="AV38" s="3065">
        <v>1796.7999999999993</v>
      </c>
      <c r="AW38" s="3065">
        <v>1787.3819999999978</v>
      </c>
      <c r="AX38" s="3065">
        <v>3900</v>
      </c>
      <c r="AY38" s="3065">
        <v>2140</v>
      </c>
      <c r="AZ38" s="3065">
        <v>2160</v>
      </c>
      <c r="BA38" s="3065">
        <v>2300</v>
      </c>
      <c r="BB38" s="3065">
        <v>2315.5240000000013</v>
      </c>
      <c r="BC38" s="3065">
        <v>4615.5240000000013</v>
      </c>
      <c r="BD38" s="3065">
        <f>15200-SUM(AX38:BB38)</f>
        <v>2384.4759999999987</v>
      </c>
      <c r="BE38" s="3065">
        <f>AVERAGE(BE41,BD41)*1.37</f>
        <v>2370.7850000000003</v>
      </c>
      <c r="BF38" s="3065">
        <f>AVERAGE(BF41,BE41)*1.37</f>
        <v>2365.9900000000002</v>
      </c>
      <c r="BG38" s="3065">
        <f>AVERAGE(BG41,BF41)*1.37</f>
        <v>2367.36</v>
      </c>
      <c r="BH38" s="3065">
        <f>24600-SUM($AX$38:BG38)+$BC$38</f>
        <v>2295.864999999998</v>
      </c>
      <c r="BI38" s="3065">
        <f>133404.777*20.3%-SUM(AX38:BB38,BD38:BH38)</f>
        <v>2481.1697310000018</v>
      </c>
      <c r="BJ38" s="3233">
        <f>BJ70/2</f>
        <v>2062.585</v>
      </c>
      <c r="BK38" s="3233">
        <f>BK41*BK43</f>
        <v>2062.585</v>
      </c>
      <c r="BL38" s="3233">
        <f>23.6%*26990-SUM(BJ38:BK38)</f>
        <v>2244.4700000000003</v>
      </c>
      <c r="BM38" s="3233">
        <f>BL38*1.03</f>
        <v>2311.8041000000003</v>
      </c>
      <c r="BN38" s="3233">
        <f ca="1">SUM($BJ$5:$BN$5)*23.6%-SUM(BJ38:BM38)</f>
        <v>2444.5398999999998</v>
      </c>
      <c r="BO38" s="3233">
        <f ca="1">SUM($BJ$5:BO5)*24.2%-SUM($BJ$38:BN38)</f>
        <v>2563.9559999999983</v>
      </c>
      <c r="BP38" s="3233">
        <f ca="1">SUM($BJ$5:BP5)*24.8%-SUM($BJ$38:BO38)</f>
        <v>2799.5800000000017</v>
      </c>
      <c r="BQ38" s="3233">
        <f ca="1">SUM($BJ$5:BQ5)*25.4%-SUM($BJ$38:BP38)</f>
        <v>2930.0499999999993</v>
      </c>
      <c r="BR38" s="3233">
        <f ca="1">SUM($BJ$5:BR5)*25.7%-SUM($BJ$38:BQ38)</f>
        <v>2902.9360000000015</v>
      </c>
      <c r="BS38" s="3233">
        <f ca="1">SUM($BJ$5:BS5)*25.9%-SUM($BJ$38:BR38)</f>
        <v>3071.4079999999994</v>
      </c>
      <c r="BT38" s="3233">
        <f ca="1">SUM($BJ$5:BT5)*26.3%-SUM($BJ$38:BS38)</f>
        <v>2997.9880000000012</v>
      </c>
      <c r="BU38" s="3233">
        <f ca="1">SUM($BJ$5:BU5)*26.7%-SUM($BJ$38:BT38)</f>
        <v>3188.8580000000002</v>
      </c>
      <c r="BV38" s="3233">
        <f>BV41*BV43</f>
        <v>3400</v>
      </c>
      <c r="BW38" s="3233">
        <f ca="1">SUM(BV5:BW5)*0.282-BV38</f>
        <v>2694.8659999999991</v>
      </c>
      <c r="BX38" s="3233">
        <f ca="1">SUM(BV5:BX5)*0.291-SUM(BV38:BW38)</f>
        <v>3067.7025900000017</v>
      </c>
      <c r="BY38" s="3233">
        <v>3232.6634099999992</v>
      </c>
      <c r="BZ38" s="3233">
        <v>3442.8479999999981</v>
      </c>
      <c r="CA38" s="3233">
        <f ca="1">0.297*65621-SUM(BV38:BZ38)</f>
        <v>3651.357</v>
      </c>
      <c r="CB38" s="3233">
        <f ca="1">0.301*76541-SUM($BV$38:CA38)</f>
        <v>3549.4040000000023</v>
      </c>
      <c r="CC38" s="3233">
        <f ca="1">0.304*87967-SUM($BV$38:CB38)</f>
        <v>3703.1270000000004</v>
      </c>
      <c r="CD38" s="3233">
        <f ca="1">0.304*99767-SUM($BV$38:CC38)</f>
        <v>3587.1999999999971</v>
      </c>
      <c r="CE38" s="3233">
        <f ca="1">111353*0.304-SUM($BV$38:CD38)</f>
        <v>3522.1440000000002</v>
      </c>
      <c r="CF38" s="3233">
        <f ca="1">122298*0.306-SUM($BV$38:CE38)</f>
        <v>3571.8760000000038</v>
      </c>
      <c r="CG38" s="3233">
        <f ca="1">41083.417042057-SUM(Rev_Month!BV38:CF38)</f>
        <v>3660.2290420569989</v>
      </c>
      <c r="CH38" s="3233">
        <f t="shared" ref="CH38:DR38" si="909">CH45+CH50</f>
        <v>3763.7219081272087</v>
      </c>
      <c r="CI38" s="3233">
        <f ca="1">SUM(CH5:CI5)*0.289-CH38</f>
        <v>3323.714091872791</v>
      </c>
      <c r="CJ38" s="3233">
        <f ca="1">SUM($CH$5:CJ$5)*0.305-SUM($CH38:CI38)</f>
        <v>3933.7263175537446</v>
      </c>
      <c r="CK38" s="3233">
        <v>4039.1805279188375</v>
      </c>
      <c r="CL38" s="3233">
        <v>3877.8927248160262</v>
      </c>
      <c r="CM38" s="3233">
        <v>3651.12</v>
      </c>
      <c r="CN38" s="3233">
        <f ca="1">0.306*SUM($CH5:CN5)-SUM($CH38:CM38)</f>
        <v>3881.786429711392</v>
      </c>
      <c r="CO38" s="3233">
        <f ca="1">0.305*SUM($CH5:CO5)-SUM($CH38:CN38)</f>
        <v>3968.1630000000005</v>
      </c>
      <c r="CP38" s="3233">
        <f ca="1">0.303*SUM($CH5:CP5)-SUM($CH38:CO38)</f>
        <v>3931.8029999999999</v>
      </c>
      <c r="CQ38" s="3233">
        <f ca="1">0.299*SUM($CH5:CQ5)-SUM($CH38:CP38)</f>
        <v>3987.3029999999999</v>
      </c>
      <c r="CR38" s="3233">
        <f ca="1">0.299*SUM($CH5:CR5)-SUM($CH38:CQ38)</f>
        <v>4189.8869999999952</v>
      </c>
      <c r="CS38" s="3065">
        <f t="shared" ca="1" si="909"/>
        <v>5098.4536479320805</v>
      </c>
      <c r="CT38" s="3065">
        <f>CT45+CT50</f>
        <v>5411.4604316968644</v>
      </c>
      <c r="CU38" s="3065">
        <f t="shared" ca="1" si="909"/>
        <v>4783.7850805536082</v>
      </c>
      <c r="CV38" s="3065">
        <f t="shared" ca="1" si="909"/>
        <v>5569.7535283509424</v>
      </c>
      <c r="CW38" s="3065">
        <f t="shared" si="909"/>
        <v>5522.1621156034262</v>
      </c>
      <c r="CX38" s="3065">
        <f t="shared" si="909"/>
        <v>5453.737193462307</v>
      </c>
      <c r="CY38" s="3065">
        <f t="shared" si="909"/>
        <v>5222.7581576535295</v>
      </c>
      <c r="CZ38" s="3065">
        <f t="shared" ca="1" si="909"/>
        <v>5684.8532257546367</v>
      </c>
      <c r="DA38" s="3065">
        <f t="shared" ca="1" si="909"/>
        <v>5860.306894320488</v>
      </c>
      <c r="DB38" s="3065">
        <f t="shared" ca="1" si="909"/>
        <v>5766.9631400176877</v>
      </c>
      <c r="DC38" s="3065">
        <f t="shared" ca="1" si="909"/>
        <v>5850.5542903004289</v>
      </c>
      <c r="DD38" s="3065">
        <f t="shared" ca="1" si="909"/>
        <v>6007.1166378400594</v>
      </c>
      <c r="DE38" s="3065">
        <f t="shared" ca="1" si="909"/>
        <v>7217.3746410027179</v>
      </c>
      <c r="DF38" s="3065">
        <f>DF45+DF50</f>
        <v>7323.2140760094453</v>
      </c>
      <c r="DG38" s="3065">
        <f t="shared" ca="1" si="909"/>
        <v>6305.1450592111278</v>
      </c>
      <c r="DH38" s="3065">
        <f t="shared" ca="1" si="909"/>
        <v>7218.8293324518891</v>
      </c>
      <c r="DI38" s="3065">
        <f t="shared" si="909"/>
        <v>7139.7857479370587</v>
      </c>
      <c r="DJ38" s="3065">
        <f t="shared" si="909"/>
        <v>6841.4488971057226</v>
      </c>
      <c r="DK38" s="3065">
        <f t="shared" si="909"/>
        <v>6494.3322934242824</v>
      </c>
      <c r="DL38" s="3065">
        <f t="shared" ca="1" si="909"/>
        <v>7086.8150372056807</v>
      </c>
      <c r="DM38" s="3065">
        <f t="shared" ca="1" si="909"/>
        <v>7302.7998094900995</v>
      </c>
      <c r="DN38" s="3065">
        <f t="shared" ca="1" si="909"/>
        <v>7243.2186064111929</v>
      </c>
      <c r="DO38" s="3065">
        <f t="shared" ca="1" si="909"/>
        <v>7360.2901011425911</v>
      </c>
      <c r="DP38" s="3065">
        <f t="shared" ca="1" si="909"/>
        <v>7522.6824711925683</v>
      </c>
      <c r="DQ38" s="3065">
        <f t="shared" ca="1" si="909"/>
        <v>9032.5269824210627</v>
      </c>
      <c r="DR38" s="3065">
        <f t="shared" si="909"/>
        <v>8883.5754288980588</v>
      </c>
      <c r="DS38" s="3065">
        <f t="shared" ref="DS38:FY38" ca="1" si="910">DS45+DS50</f>
        <v>7599.2911732573039</v>
      </c>
      <c r="DT38" s="3065">
        <f t="shared" ca="1" si="910"/>
        <v>8752.6800435597797</v>
      </c>
      <c r="DU38" s="3065">
        <f t="shared" si="910"/>
        <v>8754.4364360823565</v>
      </c>
      <c r="DV38" s="3065">
        <f t="shared" si="910"/>
        <v>8495.4979522205213</v>
      </c>
      <c r="DW38" s="3065">
        <f t="shared" si="910"/>
        <v>8079.1180569754806</v>
      </c>
      <c r="DX38" s="3065">
        <f t="shared" ca="1" si="910"/>
        <v>8746.4054608826154</v>
      </c>
      <c r="DY38" s="3065">
        <f t="shared" ca="1" si="910"/>
        <v>8960.4288424221722</v>
      </c>
      <c r="DZ38" s="3065">
        <f t="shared" ca="1" si="910"/>
        <v>8841.3614404423624</v>
      </c>
      <c r="EA38" s="3065">
        <f t="shared" ca="1" si="910"/>
        <v>8886.4925651239482</v>
      </c>
      <c r="EB38" s="3065">
        <f t="shared" ca="1" si="910"/>
        <v>9016.169667737473</v>
      </c>
      <c r="EC38" s="3065">
        <f t="shared" ca="1" si="910"/>
        <v>10749.223638470912</v>
      </c>
      <c r="ED38" s="3065">
        <f t="shared" si="910"/>
        <v>10510.743815406009</v>
      </c>
      <c r="EE38" s="3065">
        <f t="shared" ca="1" si="910"/>
        <v>8961.0604553831545</v>
      </c>
      <c r="EF38" s="3065">
        <f t="shared" ca="1" si="910"/>
        <v>10314.087421918728</v>
      </c>
      <c r="EG38" s="3065">
        <f t="shared" si="910"/>
        <v>10280.777175343163</v>
      </c>
      <c r="EH38" s="3065">
        <f t="shared" si="910"/>
        <v>9941.2828053747398</v>
      </c>
      <c r="EI38" s="3065">
        <f t="shared" si="910"/>
        <v>9416.525110295257</v>
      </c>
      <c r="EJ38" s="3065">
        <f t="shared" ca="1" si="910"/>
        <v>10159.8538567219</v>
      </c>
      <c r="EK38" s="3065">
        <f t="shared" ca="1" si="910"/>
        <v>10382.382126326946</v>
      </c>
      <c r="EL38" s="3065">
        <f t="shared" ca="1" si="910"/>
        <v>10229.38900290864</v>
      </c>
      <c r="EM38" s="3065">
        <f t="shared" ca="1" si="910"/>
        <v>10222.140894091302</v>
      </c>
      <c r="EN38" s="3065">
        <f t="shared" ca="1" si="910"/>
        <v>10337.429186067209</v>
      </c>
      <c r="EO38" s="3065">
        <f t="shared" ca="1" si="910"/>
        <v>12285.085550906691</v>
      </c>
      <c r="EP38" s="3065">
        <f t="shared" si="910"/>
        <v>11958.077859378167</v>
      </c>
      <c r="EQ38" s="3065">
        <f t="shared" ca="1" si="910"/>
        <v>10162.083590225035</v>
      </c>
      <c r="ER38" s="3065">
        <f t="shared" ca="1" si="910"/>
        <v>11675.570344745069</v>
      </c>
      <c r="ES38" s="3065">
        <f t="shared" si="910"/>
        <v>11592.603923464596</v>
      </c>
      <c r="ET38" s="3065">
        <f t="shared" si="910"/>
        <v>11162.773764450727</v>
      </c>
      <c r="EU38" s="3065">
        <f t="shared" si="910"/>
        <v>10526.986059277637</v>
      </c>
      <c r="EV38" s="3065">
        <f t="shared" ca="1" si="910"/>
        <v>11311.846945547317</v>
      </c>
      <c r="EW38" s="3065">
        <f t="shared" ca="1" si="910"/>
        <v>11530.162406748779</v>
      </c>
      <c r="EX38" s="3065">
        <f t="shared" ca="1" si="910"/>
        <v>11323.627856439887</v>
      </c>
      <c r="EY38" s="3065">
        <f t="shared" ca="1" si="910"/>
        <v>11252.382174110269</v>
      </c>
      <c r="EZ38" s="3065">
        <f t="shared" ca="1" si="910"/>
        <v>11331.77689424759</v>
      </c>
      <c r="FA38" s="3065">
        <f t="shared" ca="1" si="910"/>
        <v>13411.376725937336</v>
      </c>
      <c r="FB38" s="3065">
        <f t="shared" si="910"/>
        <v>13025.80975150761</v>
      </c>
      <c r="FC38" s="3065">
        <f t="shared" ca="1" si="910"/>
        <v>11081.558460845106</v>
      </c>
      <c r="FD38" s="3065">
        <f t="shared" ca="1" si="910"/>
        <v>12745.78038793793</v>
      </c>
      <c r="FE38" s="3065">
        <f t="shared" si="910"/>
        <v>12651.250272343881</v>
      </c>
      <c r="FF38" s="3065">
        <f t="shared" si="910"/>
        <v>12178.397637418475</v>
      </c>
      <c r="FG38" s="3065">
        <f t="shared" si="910"/>
        <v>11481.24763927407</v>
      </c>
      <c r="FH38" s="3065">
        <f t="shared" ca="1" si="910"/>
        <v>12333.518090092633</v>
      </c>
      <c r="FI38" s="3065">
        <f t="shared" ca="1" si="910"/>
        <v>12567.783316058301</v>
      </c>
      <c r="FJ38" s="3065">
        <f t="shared" ca="1" si="910"/>
        <v>12339.001517571009</v>
      </c>
      <c r="FK38" s="3065">
        <f t="shared" ca="1" si="910"/>
        <v>12257.768548871738</v>
      </c>
      <c r="FL38" s="3065">
        <f t="shared" ca="1" si="910"/>
        <v>12340.671553455804</v>
      </c>
      <c r="FM38" s="3065">
        <f t="shared" ca="1" si="910"/>
        <v>14601.22449120109</v>
      </c>
      <c r="FN38" s="3065">
        <f t="shared" si="910"/>
        <v>14177.415476127226</v>
      </c>
      <c r="FO38" s="3065">
        <f t="shared" ca="1" si="910"/>
        <v>12057.877294735392</v>
      </c>
      <c r="FP38" s="3065">
        <f t="shared" ca="1" si="910"/>
        <v>13864.856357495553</v>
      </c>
      <c r="FQ38" s="3065">
        <f t="shared" si="910"/>
        <v>13758.2291963383</v>
      </c>
      <c r="FR38" s="3065">
        <f t="shared" si="910"/>
        <v>13240.384530413854</v>
      </c>
      <c r="FS38" s="3065">
        <f t="shared" si="910"/>
        <v>12479.065817908495</v>
      </c>
      <c r="FT38" s="3065">
        <f t="shared" ca="1" si="910"/>
        <v>13401.816861289793</v>
      </c>
      <c r="FU38" s="3065">
        <f t="shared" ca="1" si="910"/>
        <v>13652.753634772147</v>
      </c>
      <c r="FV38" s="3065">
        <f t="shared" ca="1" si="910"/>
        <v>13400.703169155022</v>
      </c>
      <c r="FW38" s="3065">
        <f t="shared" ca="1" si="910"/>
        <v>13309.020871364661</v>
      </c>
      <c r="FX38" s="3065">
        <f t="shared" ca="1" si="910"/>
        <v>13395.585632457873</v>
      </c>
      <c r="FY38" s="3065">
        <f t="shared" ca="1" si="910"/>
        <v>15845.337633675985</v>
      </c>
    </row>
    <row r="39" spans="1:181" s="2689" customFormat="1" outlineLevel="2">
      <c r="A39" s="2689" t="s">
        <v>32</v>
      </c>
      <c r="B39" s="3239">
        <f>B38/B5</f>
        <v>2.545500827287769E-2</v>
      </c>
      <c r="C39" s="3239">
        <f t="shared" ref="C39:M39" si="911">C38/C5</f>
        <v>2.2610868207370394E-2</v>
      </c>
      <c r="D39" s="3239">
        <f t="shared" si="911"/>
        <v>3.7037037037037035E-2</v>
      </c>
      <c r="E39" s="3239">
        <f t="shared" si="911"/>
        <v>3.49948347107438E-2</v>
      </c>
      <c r="F39" s="3239">
        <f t="shared" si="911"/>
        <v>4.3938161106590726E-2</v>
      </c>
      <c r="G39" s="3239">
        <f t="shared" si="911"/>
        <v>4.6893787575150302E-2</v>
      </c>
      <c r="H39" s="3239">
        <f t="shared" si="911"/>
        <v>5.6258790436005623E-2</v>
      </c>
      <c r="I39" s="3239">
        <f t="shared" si="911"/>
        <v>6.0215053763440864E-2</v>
      </c>
      <c r="J39" s="3239">
        <f t="shared" si="911"/>
        <v>6.2931921776209376E-2</v>
      </c>
      <c r="K39" s="3239">
        <f t="shared" si="911"/>
        <v>6.8757361601884573E-2</v>
      </c>
      <c r="L39" s="3239">
        <f t="shared" si="911"/>
        <v>7.1830568720379143E-2</v>
      </c>
      <c r="M39" s="3239">
        <f t="shared" si="911"/>
        <v>7.6039285529710524E-2</v>
      </c>
      <c r="N39" s="3239">
        <f t="shared" ref="N39:BC39" si="912">N38/N5</f>
        <v>6.0676328502415458E-2</v>
      </c>
      <c r="O39" s="3239">
        <f t="shared" si="912"/>
        <v>6.0034061879080329E-2</v>
      </c>
      <c r="P39" s="3239">
        <f t="shared" si="912"/>
        <v>8.0186983335520282E-2</v>
      </c>
      <c r="Q39" s="3239">
        <f t="shared" si="912"/>
        <v>7.6242833607907776E-2</v>
      </c>
      <c r="R39" s="3239">
        <f t="shared" si="912"/>
        <v>9.2696374971138265E-2</v>
      </c>
      <c r="S39" s="3239">
        <f t="shared" si="912"/>
        <v>0.10770446159007045</v>
      </c>
      <c r="T39" s="3239">
        <f t="shared" si="912"/>
        <v>0.10548511193218865</v>
      </c>
      <c r="U39" s="3239">
        <f t="shared" si="912"/>
        <v>0.13410206913954076</v>
      </c>
      <c r="V39" s="3239">
        <f t="shared" si="912"/>
        <v>0.12191421392677683</v>
      </c>
      <c r="W39" s="3239">
        <f t="shared" si="912"/>
        <v>0.13631168341708533</v>
      </c>
      <c r="X39" s="3239">
        <f t="shared" si="912"/>
        <v>0.1431304555781418</v>
      </c>
      <c r="Y39" s="3239">
        <f t="shared" si="912"/>
        <v>0.14384573063380288</v>
      </c>
      <c r="Z39" s="3239">
        <f t="shared" si="912"/>
        <v>0.105</v>
      </c>
      <c r="AA39" s="3239">
        <f t="shared" si="912"/>
        <v>0.15904849016413986</v>
      </c>
      <c r="AB39" s="3239">
        <f t="shared" si="912"/>
        <v>0.21593769859282794</v>
      </c>
      <c r="AC39" s="3239">
        <f t="shared" si="912"/>
        <v>0.21481902937420183</v>
      </c>
      <c r="AD39" s="3239">
        <f t="shared" si="912"/>
        <v>0.16132874187603063</v>
      </c>
      <c r="AE39" s="3239">
        <f t="shared" si="912"/>
        <v>0.19914692524855784</v>
      </c>
      <c r="AF39" s="3239">
        <f t="shared" si="912"/>
        <v>0.20709078325066313</v>
      </c>
      <c r="AG39" s="3239">
        <f t="shared" si="912"/>
        <v>0.22554490879704478</v>
      </c>
      <c r="AH39" s="3239">
        <f t="shared" si="912"/>
        <v>0.22952779766165593</v>
      </c>
      <c r="AI39" s="3239">
        <f t="shared" si="912"/>
        <v>0.22718948571428565</v>
      </c>
      <c r="AJ39" s="3239">
        <f t="shared" si="912"/>
        <v>0.22237470115192362</v>
      </c>
      <c r="AK39" s="3239">
        <f t="shared" si="912"/>
        <v>0.22823458125946736</v>
      </c>
      <c r="AL39" s="3239">
        <f t="shared" si="912"/>
        <v>0.21</v>
      </c>
      <c r="AM39" s="3239">
        <f t="shared" si="912"/>
        <v>0.15504095595126521</v>
      </c>
      <c r="AN39" s="3239">
        <f t="shared" si="912"/>
        <v>0.21684606938954767</v>
      </c>
      <c r="AO39" s="3239">
        <f t="shared" si="912"/>
        <v>0.2224266264809811</v>
      </c>
      <c r="AP39" s="3239">
        <f t="shared" si="912"/>
        <v>0.22277040681838148</v>
      </c>
      <c r="AQ39" s="3239">
        <f t="shared" si="912"/>
        <v>0.25777123017734815</v>
      </c>
      <c r="AR39" s="3239">
        <f t="shared" si="912"/>
        <v>0.4413481419096747</v>
      </c>
      <c r="AS39" s="3239">
        <f t="shared" si="912"/>
        <v>0.47312966661545591</v>
      </c>
      <c r="AT39" s="3239">
        <f t="shared" si="912"/>
        <v>0.23171351351351344</v>
      </c>
      <c r="AU39" s="3239">
        <f t="shared" si="912"/>
        <v>0.16412276382734287</v>
      </c>
      <c r="AV39" s="3239">
        <f t="shared" si="912"/>
        <v>0.15591808399861154</v>
      </c>
      <c r="AW39" s="3239">
        <f t="shared" si="912"/>
        <v>0.14381895719343402</v>
      </c>
      <c r="AX39" s="3239">
        <f t="shared" si="912"/>
        <v>0.15364614111807115</v>
      </c>
      <c r="AY39" s="3239">
        <f t="shared" si="912"/>
        <v>0.18998579545454544</v>
      </c>
      <c r="AZ39" s="3239">
        <f t="shared" si="912"/>
        <v>0.19181245004884112</v>
      </c>
      <c r="BA39" s="3239">
        <f t="shared" si="912"/>
        <v>0.20147161878065872</v>
      </c>
      <c r="BB39" s="3239">
        <f t="shared" si="912"/>
        <v>0.2017006968641116</v>
      </c>
      <c r="BC39" s="3239">
        <f t="shared" si="912"/>
        <v>0.20158647798742144</v>
      </c>
      <c r="BD39" s="3239">
        <f t="shared" ref="BD39:BI39" si="913">BD38/BD5</f>
        <v>0.21547767937827569</v>
      </c>
      <c r="BE39" s="3239">
        <f t="shared" si="913"/>
        <v>0.23021722105236586</v>
      </c>
      <c r="BF39" s="3239">
        <f t="shared" ca="1" si="913"/>
        <v>0.23199983526569298</v>
      </c>
      <c r="BG39" s="3239">
        <f t="shared" ca="1" si="913"/>
        <v>0.21313915140842218</v>
      </c>
      <c r="BH39" s="3239">
        <f t="shared" ca="1" si="913"/>
        <v>0.24089368839261674</v>
      </c>
      <c r="BI39" s="3239">
        <f t="shared" ca="1" si="913"/>
        <v>0.23855618969621192</v>
      </c>
      <c r="BJ39" s="2900">
        <f t="shared" ref="BJ39:BQ39" ca="1" si="914">BJ38/BJ5</f>
        <v>0.217</v>
      </c>
      <c r="BK39" s="2900">
        <f t="shared" ca="1" si="914"/>
        <v>0.217</v>
      </c>
      <c r="BL39" s="2900">
        <f t="shared" ca="1" si="914"/>
        <v>0.28126190476190477</v>
      </c>
      <c r="BM39" s="2900">
        <f t="shared" ca="1" si="914"/>
        <v>0.23453424977173584</v>
      </c>
      <c r="BN39" s="2900">
        <f t="shared" ca="1" si="914"/>
        <v>0.23740311741283868</v>
      </c>
      <c r="BO39" s="2900">
        <f t="shared" ca="1" si="914"/>
        <v>0.27200891152132384</v>
      </c>
      <c r="BP39" s="2900">
        <f t="shared" ca="1" si="914"/>
        <v>0.28221572580645177</v>
      </c>
      <c r="BQ39" s="2900">
        <f t="shared" ca="1" si="914"/>
        <v>0.29403411941796281</v>
      </c>
      <c r="BR39" s="2900">
        <v>0.28108963129931575</v>
      </c>
      <c r="BS39" s="2900">
        <f ca="1">BS38/BG38-1</f>
        <v>0.2973979453906459</v>
      </c>
      <c r="BT39" s="2900">
        <f ca="1">BT38/BH38-1</f>
        <v>0.30582068196518697</v>
      </c>
      <c r="BU39" s="2900">
        <f ca="1">BU38/BI38-1</f>
        <v>0.2852236427673871</v>
      </c>
      <c r="BV39" s="2900">
        <f t="shared" ref="BV39:CI39" ca="1" si="915">BV38/BV5</f>
        <v>0.30898477282144493</v>
      </c>
      <c r="BW39" s="2900">
        <f t="shared" ca="1" si="915"/>
        <v>0.25401166334400682</v>
      </c>
      <c r="BX39" s="2900">
        <f t="shared" ca="1" si="915"/>
        <v>0.3107009365482723</v>
      </c>
      <c r="BY39" s="2900">
        <v>0.27982346780050393</v>
      </c>
      <c r="BZ39" s="2900">
        <v>0.30736969913400575</v>
      </c>
      <c r="CA39" s="2900">
        <f t="shared" ca="1" si="915"/>
        <v>0.3208291889992092</v>
      </c>
      <c r="CB39" s="2900">
        <f t="shared" ca="1" si="915"/>
        <v>0.32503699633699656</v>
      </c>
      <c r="CC39" s="2900">
        <f ca="1">CC38/CC5</f>
        <v>0.32409653422019957</v>
      </c>
      <c r="CD39" s="2900">
        <f t="shared" ca="1" si="915"/>
        <v>0.30399999999999977</v>
      </c>
      <c r="CE39" s="2900">
        <f t="shared" ca="1" si="915"/>
        <v>0.30399999999999999</v>
      </c>
      <c r="CF39" s="2900">
        <f t="shared" ca="1" si="915"/>
        <v>0.32634773869346767</v>
      </c>
      <c r="CG39" s="2900">
        <f ca="1">CG38/CG5</f>
        <v>0.2831438353733956</v>
      </c>
      <c r="CH39" s="2900">
        <f t="shared" ca="1" si="915"/>
        <v>0.3214255763536743</v>
      </c>
      <c r="CI39" s="2900">
        <f t="shared" ca="1" si="915"/>
        <v>0.25937065931921094</v>
      </c>
      <c r="CJ39" s="2900">
        <f t="shared" ref="CJ39:CT39" ca="1" si="916">CJ38/CJ5</f>
        <v>0.33879428173514431</v>
      </c>
      <c r="CK39" s="2900">
        <v>0.32158058189248806</v>
      </c>
      <c r="CL39" s="2900">
        <v>0.30939870864271335</v>
      </c>
      <c r="CM39" s="2900">
        <v>0.29382906808305165</v>
      </c>
      <c r="CN39" s="2900">
        <f t="shared" ca="1" si="916"/>
        <v>0.3020375373258164</v>
      </c>
      <c r="CO39" s="2900">
        <f t="shared" ca="1" si="916"/>
        <v>0.29849277869715662</v>
      </c>
      <c r="CP39" s="2900">
        <f t="shared" ca="1" si="916"/>
        <v>0.28836105610561052</v>
      </c>
      <c r="CQ39" s="2900">
        <f t="shared" ca="1" si="916"/>
        <v>0.26845101999596038</v>
      </c>
      <c r="CR39" s="3239">
        <f t="shared" ca="1" si="916"/>
        <v>0.29899999999999965</v>
      </c>
      <c r="CS39" s="3239">
        <f t="shared" ca="1" si="916"/>
        <v>0.30858155844441892</v>
      </c>
      <c r="CT39" s="3239">
        <f t="shared" ca="1" si="916"/>
        <v>0.37442390105285256</v>
      </c>
      <c r="CU39" s="3239">
        <f t="shared" ref="CU39:DK39" ca="1" si="917">CU38/CU5</f>
        <v>0.33660681794867331</v>
      </c>
      <c r="CV39" s="3239">
        <f t="shared" ca="1" si="917"/>
        <v>0.39216987703247491</v>
      </c>
      <c r="CW39" s="3239">
        <f t="shared" si="917"/>
        <v>0.36276565615120204</v>
      </c>
      <c r="CX39" s="3239">
        <f t="shared" si="917"/>
        <v>0.35740992490427792</v>
      </c>
      <c r="CY39" s="3239">
        <f t="shared" si="917"/>
        <v>0.34727533639110092</v>
      </c>
      <c r="CZ39" s="3239">
        <f t="shared" ca="1" si="917"/>
        <v>0.35814440749606524</v>
      </c>
      <c r="DA39" s="3239">
        <f t="shared" ca="1" si="917"/>
        <v>0.35973249990087397</v>
      </c>
      <c r="DB39" s="3239">
        <f t="shared" ca="1" si="917"/>
        <v>0.34538900051636201</v>
      </c>
      <c r="DC39" s="3239">
        <f ca="1">DC38/DC5</f>
        <v>0.32671643646432552</v>
      </c>
      <c r="DD39" s="3239">
        <f t="shared" ca="1" si="917"/>
        <v>0.34880444320983756</v>
      </c>
      <c r="DE39" s="3239">
        <f t="shared" ca="1" si="917"/>
        <v>0.35742931037335252</v>
      </c>
      <c r="DF39" s="3239">
        <f t="shared" ca="1" si="917"/>
        <v>0.42213372725811188</v>
      </c>
      <c r="DG39" s="3239">
        <f t="shared" ca="1" si="917"/>
        <v>0.37630484330786729</v>
      </c>
      <c r="DH39" s="3239">
        <f t="shared" ca="1" si="917"/>
        <v>0.43005193523514529</v>
      </c>
      <c r="DI39" s="3239">
        <f t="shared" si="917"/>
        <v>0.39882689728616233</v>
      </c>
      <c r="DJ39" s="3239">
        <f t="shared" si="917"/>
        <v>0.38609687896116451</v>
      </c>
      <c r="DK39" s="3239">
        <f t="shared" si="917"/>
        <v>0.37359404641485011</v>
      </c>
      <c r="DL39" s="3239">
        <f t="shared" ref="DL39:DR39" ca="1" si="918">DL38/DL5</f>
        <v>0.38548655789611086</v>
      </c>
      <c r="DM39" s="3239">
        <f t="shared" ca="1" si="918"/>
        <v>0.38685006707523606</v>
      </c>
      <c r="DN39" s="3239">
        <f t="shared" ca="1" si="918"/>
        <v>0.37405595849089951</v>
      </c>
      <c r="DO39" s="3239">
        <f t="shared" ca="1" si="918"/>
        <v>0.35518748225473229</v>
      </c>
      <c r="DP39" s="3239">
        <f t="shared" ca="1" si="918"/>
        <v>0.37692221515358038</v>
      </c>
      <c r="DQ39" s="3239">
        <f t="shared" ca="1" si="918"/>
        <v>0.38558450592412519</v>
      </c>
      <c r="DR39" s="3239">
        <f t="shared" ca="1" si="918"/>
        <v>0.44410588106193155</v>
      </c>
      <c r="DS39" s="3239">
        <f t="shared" ref="DS39:FY39" ca="1" si="919">DS38/DS5</f>
        <v>0.39604827558003719</v>
      </c>
      <c r="DT39" s="3239">
        <f t="shared" ca="1" si="919"/>
        <v>0.45205337205895335</v>
      </c>
      <c r="DU39" s="3239">
        <f t="shared" si="919"/>
        <v>0.42283512178539551</v>
      </c>
      <c r="DV39" s="3239">
        <f t="shared" si="919"/>
        <v>0.4128778520228138</v>
      </c>
      <c r="DW39" s="3239">
        <f t="shared" si="919"/>
        <v>0.40045797339819522</v>
      </c>
      <c r="DX39" s="3239">
        <f t="shared" ca="1" si="919"/>
        <v>0.41072265326270263</v>
      </c>
      <c r="DY39" s="3239">
        <f t="shared" ca="1" si="919"/>
        <v>0.41041472396235834</v>
      </c>
      <c r="DZ39" s="3239">
        <f t="shared" ca="1" si="919"/>
        <v>0.39617686373436817</v>
      </c>
      <c r="EA39" s="3239">
        <f t="shared" ca="1" si="919"/>
        <v>0.37437187295136348</v>
      </c>
      <c r="EB39" s="3239">
        <f t="shared" ca="1" si="919"/>
        <v>0.39449237519269198</v>
      </c>
      <c r="EC39" s="3239">
        <f t="shared" ca="1" si="919"/>
        <v>0.40154904467153568</v>
      </c>
      <c r="ED39" s="3239">
        <f t="shared" ca="1" si="919"/>
        <v>0.46188590815359293</v>
      </c>
      <c r="EE39" s="3239">
        <f t="shared" ca="1" si="919"/>
        <v>0.41737611055080953</v>
      </c>
      <c r="EF39" s="3239">
        <f t="shared" ca="1" si="919"/>
        <v>0.47361712065055794</v>
      </c>
      <c r="EG39" s="3239">
        <f t="shared" si="919"/>
        <v>0.44271011701773133</v>
      </c>
      <c r="EH39" s="3239">
        <f t="shared" si="919"/>
        <v>0.43185421340973362</v>
      </c>
      <c r="EI39" s="3239">
        <f t="shared" si="919"/>
        <v>0.41842368872808727</v>
      </c>
      <c r="EJ39" s="3239">
        <f t="shared" ca="1" si="919"/>
        <v>0.42848949553315707</v>
      </c>
      <c r="EK39" s="3239">
        <f t="shared" ca="1" si="919"/>
        <v>0.42709627157164076</v>
      </c>
      <c r="EL39" s="3239">
        <f t="shared" ca="1" si="919"/>
        <v>0.41315679062437671</v>
      </c>
      <c r="EM39" s="3239">
        <f t="shared" ca="1" si="919"/>
        <v>0.39032525793500833</v>
      </c>
      <c r="EN39" s="3239">
        <f t="shared" ca="1" si="919"/>
        <v>0.40937032229382553</v>
      </c>
      <c r="EO39" s="3239">
        <f t="shared" ca="1" si="919"/>
        <v>0.41593013978863885</v>
      </c>
      <c r="EP39" s="3239">
        <f t="shared" ca="1" si="919"/>
        <v>0.47475123822833809</v>
      </c>
      <c r="EQ39" s="3239">
        <f t="shared" ca="1" si="919"/>
        <v>0.42943916442940622</v>
      </c>
      <c r="ER39" s="3239">
        <f t="shared" ca="1" si="919"/>
        <v>0.4853452956754542</v>
      </c>
      <c r="ES39" s="3239">
        <f t="shared" si="919"/>
        <v>0.45280428844691584</v>
      </c>
      <c r="ET39" s="3239">
        <f t="shared" si="919"/>
        <v>0.44096233730956408</v>
      </c>
      <c r="EU39" s="3239">
        <f t="shared" si="919"/>
        <v>0.4264989279039017</v>
      </c>
      <c r="EV39" s="3239">
        <f t="shared" ca="1" si="919"/>
        <v>0.43607109940997729</v>
      </c>
      <c r="EW39" s="3239">
        <f t="shared" ca="1" si="919"/>
        <v>0.43355181409323407</v>
      </c>
      <c r="EX39" s="3239">
        <f t="shared" ca="1" si="919"/>
        <v>0.41952335040842398</v>
      </c>
      <c r="EY39" s="3239">
        <f t="shared" ca="1" si="919"/>
        <v>0.39583908523473577</v>
      </c>
      <c r="EZ39" s="3239">
        <f t="shared" ca="1" si="919"/>
        <v>0.41332619708946094</v>
      </c>
      <c r="FA39" s="3239">
        <f t="shared" ca="1" si="919"/>
        <v>0.41908469846258689</v>
      </c>
      <c r="FB39" s="3239">
        <f t="shared" ca="1" si="919"/>
        <v>0.47665843019337839</v>
      </c>
      <c r="FC39" s="3239">
        <f t="shared" ca="1" si="919"/>
        <v>0.43181309540467167</v>
      </c>
      <c r="FD39" s="3239">
        <f t="shared" ca="1" si="919"/>
        <v>0.48788755791231903</v>
      </c>
      <c r="FE39" s="3239">
        <f t="shared" si="919"/>
        <v>0.45469380470962223</v>
      </c>
      <c r="FF39" s="3239">
        <f t="shared" si="919"/>
        <v>0.44286353584882532</v>
      </c>
      <c r="FG39" s="3239">
        <f t="shared" si="919"/>
        <v>0.42842365916657921</v>
      </c>
      <c r="FH39" s="3239">
        <f t="shared" ca="1" si="919"/>
        <v>0.43837454446839291</v>
      </c>
      <c r="FI39" s="3239">
        <f t="shared" ca="1" si="919"/>
        <v>0.43529748444712935</v>
      </c>
      <c r="FJ39" s="3239">
        <f t="shared" ca="1" si="919"/>
        <v>0.42191245761851792</v>
      </c>
      <c r="FK39" s="3239">
        <f t="shared" ca="1" si="919"/>
        <v>0.39869850294897685</v>
      </c>
      <c r="FL39" s="3239">
        <f t="shared" ca="1" si="919"/>
        <v>0.41554376052661329</v>
      </c>
      <c r="FM39" s="3239">
        <f t="shared" ca="1" si="919"/>
        <v>0.42141235020006718</v>
      </c>
      <c r="FN39" s="3239">
        <f t="shared" ca="1" si="919"/>
        <v>0.47822865672683834</v>
      </c>
      <c r="FO39" s="3239">
        <f t="shared" ca="1" si="919"/>
        <v>0.43351178813970404</v>
      </c>
      <c r="FP39" s="3239">
        <f t="shared" ca="1" si="919"/>
        <v>0.48941058602204918</v>
      </c>
      <c r="FQ39" s="3239">
        <f t="shared" si="919"/>
        <v>0.45559043802052157</v>
      </c>
      <c r="FR39" s="3239">
        <f t="shared" si="919"/>
        <v>0.44378188506210742</v>
      </c>
      <c r="FS39" s="3239">
        <f t="shared" si="919"/>
        <v>0.42937821814109672</v>
      </c>
      <c r="FT39" s="3239">
        <f t="shared" ca="1" si="919"/>
        <v>0.43969577615319466</v>
      </c>
      <c r="FU39" s="3239">
        <f t="shared" ca="1" si="919"/>
        <v>0.43608331215743079</v>
      </c>
      <c r="FV39" s="3239">
        <f t="shared" ca="1" si="919"/>
        <v>0.4233346432149912</v>
      </c>
      <c r="FW39" s="3239">
        <f t="shared" ca="1" si="919"/>
        <v>0.40059848043224827</v>
      </c>
      <c r="FX39" s="3239">
        <f t="shared" ca="1" si="919"/>
        <v>0.41681346802824704</v>
      </c>
      <c r="FY39" s="3239">
        <f t="shared" ca="1" si="919"/>
        <v>0.42278414835880362</v>
      </c>
    </row>
    <row r="40" spans="1:181" s="3243" customFormat="1" outlineLevel="2">
      <c r="A40" s="3242" t="s">
        <v>31</v>
      </c>
      <c r="B40" s="3242"/>
      <c r="C40" s="3242"/>
      <c r="D40" s="3242"/>
      <c r="E40" s="3242"/>
      <c r="F40" s="3242"/>
      <c r="G40" s="3242"/>
      <c r="H40" s="3242"/>
      <c r="I40" s="3242"/>
      <c r="J40" s="3242"/>
      <c r="K40" s="3242"/>
      <c r="L40" s="3242"/>
      <c r="M40" s="3242"/>
      <c r="N40" s="3242">
        <f t="shared" ref="N40:AW40" si="920">N38/B38-1</f>
        <v>2.14</v>
      </c>
      <c r="O40" s="3242">
        <f t="shared" si="920"/>
        <v>1.3370165745856353</v>
      </c>
      <c r="P40" s="3242">
        <f t="shared" si="920"/>
        <v>1.7160222222222221</v>
      </c>
      <c r="Q40" s="3242">
        <f t="shared" si="920"/>
        <v>1.56159040590406</v>
      </c>
      <c r="R40" s="3242">
        <f t="shared" si="920"/>
        <v>1.4781975308641968</v>
      </c>
      <c r="S40" s="3242">
        <f t="shared" si="920"/>
        <v>1.7441623931623931</v>
      </c>
      <c r="T40" s="3242">
        <f t="shared" si="920"/>
        <v>1.426685</v>
      </c>
      <c r="U40" s="3242">
        <f t="shared" si="920"/>
        <v>1.5306976190476189</v>
      </c>
      <c r="V40" s="3242">
        <f t="shared" si="920"/>
        <v>1.3807453271028054</v>
      </c>
      <c r="W40" s="3242">
        <f t="shared" si="920"/>
        <v>1.3234282655246239</v>
      </c>
      <c r="X40" s="3242">
        <f t="shared" si="920"/>
        <v>1.4680412371134022</v>
      </c>
      <c r="Y40" s="3242">
        <f t="shared" si="920"/>
        <v>1.2782101184267729</v>
      </c>
      <c r="Z40" s="3242">
        <f t="shared" si="920"/>
        <v>1.1000000000000001</v>
      </c>
      <c r="AA40" s="3242">
        <f t="shared" si="920"/>
        <v>2.0008652482269507</v>
      </c>
      <c r="AB40" s="3242">
        <f t="shared" si="920"/>
        <v>2.1137742286513772</v>
      </c>
      <c r="AC40" s="3242">
        <f t="shared" si="920"/>
        <v>1.4230118223947006</v>
      </c>
      <c r="AD40" s="3242">
        <f t="shared" si="920"/>
        <v>1.0713207528370887</v>
      </c>
      <c r="AE40" s="3242">
        <f t="shared" si="920"/>
        <v>0.68443554356775027</v>
      </c>
      <c r="AF40" s="3242">
        <f t="shared" si="920"/>
        <v>0.84950869189861744</v>
      </c>
      <c r="AG40" s="3242">
        <f t="shared" si="920"/>
        <v>0.83806836624194703</v>
      </c>
      <c r="AH40" s="3242">
        <f t="shared" si="920"/>
        <v>0.88810540954051986</v>
      </c>
      <c r="AI40" s="3242">
        <f t="shared" si="920"/>
        <v>0.83210404030815499</v>
      </c>
      <c r="AJ40" s="3242">
        <f t="shared" si="920"/>
        <v>0.7095171261487061</v>
      </c>
      <c r="AK40" s="3242">
        <f t="shared" si="920"/>
        <v>0.61354884606852189</v>
      </c>
      <c r="AL40" s="3242">
        <f t="shared" si="920"/>
        <v>0.75939490445859881</v>
      </c>
      <c r="AM40" s="3242">
        <f t="shared" si="920"/>
        <v>0.30323878219520584</v>
      </c>
      <c r="AN40" s="3242">
        <f t="shared" si="920"/>
        <v>3.7938495188515331E-2</v>
      </c>
      <c r="AO40" s="3242">
        <f t="shared" si="920"/>
        <v>0.27238228976482626</v>
      </c>
      <c r="AP40" s="3242">
        <f t="shared" si="920"/>
        <v>0.52443753915790481</v>
      </c>
      <c r="AQ40" s="3242">
        <f t="shared" si="920"/>
        <v>0.69316034392431081</v>
      </c>
      <c r="AR40" s="3242">
        <f t="shared" si="920"/>
        <v>1.3352286842647643</v>
      </c>
      <c r="AS40" s="3242">
        <f t="shared" si="920"/>
        <v>0.57631585682331177</v>
      </c>
      <c r="AT40" s="3242">
        <f t="shared" si="920"/>
        <v>2.6576197748113817E-3</v>
      </c>
      <c r="AU40" s="3242">
        <f t="shared" si="920"/>
        <v>6.0827764665167816E-3</v>
      </c>
      <c r="AV40" s="3242">
        <f t="shared" si="920"/>
        <v>-0.12192394829281539</v>
      </c>
      <c r="AW40" s="3242">
        <f t="shared" si="920"/>
        <v>-0.15263608022209751</v>
      </c>
      <c r="AX40" s="3242">
        <f t="shared" ref="AX40:BM40" si="921">AX38/AL38-1</f>
        <v>0.68082437971115684</v>
      </c>
      <c r="AY40" s="3242">
        <f t="shared" si="921"/>
        <v>0.29360866645267736</v>
      </c>
      <c r="AZ40" s="3242">
        <f t="shared" si="921"/>
        <v>9.3652058648104219E-2</v>
      </c>
      <c r="BA40" s="3242">
        <f t="shared" si="921"/>
        <v>7.4671442568857049E-2</v>
      </c>
      <c r="BB40" s="3242">
        <f t="shared" si="921"/>
        <v>-8.6704399787010944E-2</v>
      </c>
      <c r="BC40" s="3242">
        <f t="shared" si="921"/>
        <v>0.68016372365008881</v>
      </c>
      <c r="BD40" s="3242">
        <f t="shared" si="921"/>
        <v>-0.43123381880303424</v>
      </c>
      <c r="BE40" s="3242">
        <f t="shared" si="921"/>
        <v>-0.23016488174929206</v>
      </c>
      <c r="BF40" s="3242">
        <f t="shared" si="921"/>
        <v>0.22652752829812162</v>
      </c>
      <c r="BG40" s="3242">
        <f>BG38/AU38-1</f>
        <v>0.18368000000000007</v>
      </c>
      <c r="BH40" s="3242">
        <f t="shared" si="921"/>
        <v>0.27775211487088103</v>
      </c>
      <c r="BI40" s="3242">
        <f t="shared" si="921"/>
        <v>0.38815862026136827</v>
      </c>
      <c r="BJ40" s="2900">
        <f>BJ38/($AX$38/2)-1</f>
        <v>5.7735897435897465E-2</v>
      </c>
      <c r="BK40" s="2900">
        <f>BK38/($AX$38/2)-1</f>
        <v>5.7735897435897465E-2</v>
      </c>
      <c r="BL40" s="2900">
        <f t="shared" si="921"/>
        <v>3.9106481481481659E-2</v>
      </c>
      <c r="BM40" s="2900">
        <f t="shared" si="921"/>
        <v>5.1322173913044278E-3</v>
      </c>
      <c r="BN40" s="2900">
        <f ca="1">BN38/BB38-1</f>
        <v>5.571779864946258E-2</v>
      </c>
      <c r="BO40" s="2900">
        <f ca="1">BO38/BB38-1</f>
        <v>0.10728975385269024</v>
      </c>
      <c r="BP40" s="2900">
        <f ca="1">BP38/BD38-1</f>
        <v>0.17408604657794968</v>
      </c>
      <c r="BQ40" s="2900">
        <f ca="1">BQ38/BE38-1</f>
        <v>0.23589865803942534</v>
      </c>
      <c r="BR40" s="2900">
        <f ca="1">BR38/BF38-1</f>
        <v>0.22694347820574112</v>
      </c>
      <c r="BS40" s="2900">
        <f ca="1">BS38/BG38-1</f>
        <v>0.2973979453906459</v>
      </c>
      <c r="BT40" s="2900">
        <v>0.30781208825431916</v>
      </c>
      <c r="BU40" s="2900">
        <v>0.27064584119739044</v>
      </c>
      <c r="BV40" s="2900">
        <f t="shared" ref="BV40:CO40" si="922">BV38/BJ38-1</f>
        <v>0.64841691372719179</v>
      </c>
      <c r="BW40" s="2900">
        <f t="shared" ca="1" si="922"/>
        <v>0.30654785136127671</v>
      </c>
      <c r="BX40" s="2900">
        <f t="shared" ca="1" si="922"/>
        <v>0.36678262128698602</v>
      </c>
      <c r="BY40" s="2900">
        <v>0.39832930048008763</v>
      </c>
      <c r="BZ40" s="2900">
        <v>0.40838282083266408</v>
      </c>
      <c r="CA40" s="2900">
        <f ca="1">CA38/BO38-1</f>
        <v>0.42411063216373535</v>
      </c>
      <c r="CB40" s="2900">
        <f t="shared" ca="1" si="922"/>
        <v>0.26783446088341822</v>
      </c>
      <c r="CC40" s="2900">
        <f t="shared" ca="1" si="922"/>
        <v>0.26384430299824291</v>
      </c>
      <c r="CD40" s="2900">
        <f t="shared" ca="1" si="922"/>
        <v>0.23571446287482578</v>
      </c>
      <c r="CE40" s="2900">
        <f t="shared" ca="1" si="922"/>
        <v>0.14675223871266896</v>
      </c>
      <c r="CF40" s="2900">
        <f t="shared" ca="1" si="922"/>
        <v>0.19142438195216349</v>
      </c>
      <c r="CG40" s="2900">
        <f t="shared" ca="1" si="922"/>
        <v>0.14781813491130635</v>
      </c>
      <c r="CH40" s="2900">
        <f>CH38/BV38-1</f>
        <v>0.10697703180212015</v>
      </c>
      <c r="CI40" s="2900">
        <f t="shared" ca="1" si="922"/>
        <v>0.23335041218108521</v>
      </c>
      <c r="CJ40" s="2900">
        <f t="shared" ca="1" si="922"/>
        <v>0.28230367910395859</v>
      </c>
      <c r="CK40" s="2900">
        <v>0.24948997641509441</v>
      </c>
      <c r="CL40" s="2900">
        <v>0.12636187389510911</v>
      </c>
      <c r="CM40" s="2900">
        <v>-6.4907375531886302E-5</v>
      </c>
      <c r="CN40" s="2900">
        <f t="shared" ca="1" si="922"/>
        <v>9.3644575176956346E-2</v>
      </c>
      <c r="CO40" s="2900">
        <f t="shared" ca="1" si="922"/>
        <v>7.1570864299280057E-2</v>
      </c>
      <c r="CP40" s="2900">
        <f t="shared" ref="CP40:DR40" ca="1" si="923">CP38/CD38-1</f>
        <v>9.6064618644068567E-2</v>
      </c>
      <c r="CQ40" s="2900">
        <f t="shared" ca="1" si="923"/>
        <v>0.13206700237128288</v>
      </c>
      <c r="CR40" s="3242">
        <f t="shared" ca="1" si="923"/>
        <v>0.17302140387851939</v>
      </c>
      <c r="CS40" s="3242">
        <f t="shared" ca="1" si="923"/>
        <v>0.39293295292439367</v>
      </c>
      <c r="CT40" s="3242">
        <f>CT38/CH38-1</f>
        <v>0.43779497098646014</v>
      </c>
      <c r="CU40" s="3242">
        <f t="shared" ca="1" si="923"/>
        <v>0.43928898464853239</v>
      </c>
      <c r="CV40" s="3242">
        <f t="shared" ca="1" si="923"/>
        <v>0.41589756854630133</v>
      </c>
      <c r="CW40" s="3242">
        <f t="shared" si="923"/>
        <v>0.36714912280701784</v>
      </c>
      <c r="CX40" s="3242">
        <f t="shared" si="923"/>
        <v>0.4063661840261561</v>
      </c>
      <c r="CY40" s="3242">
        <f t="shared" si="923"/>
        <v>0.43045371219065087</v>
      </c>
      <c r="CZ40" s="3242">
        <f t="shared" ca="1" si="923"/>
        <v>0.46449407474931625</v>
      </c>
      <c r="DA40" s="3242">
        <f t="shared" ca="1" si="923"/>
        <v>0.47683119224701387</v>
      </c>
      <c r="DB40" s="3242">
        <f t="shared" ca="1" si="923"/>
        <v>0.46674773380499679</v>
      </c>
      <c r="DC40" s="3242">
        <f t="shared" ca="1" si="923"/>
        <v>0.46729613733905584</v>
      </c>
      <c r="DD40" s="3242">
        <f t="shared" ca="1" si="923"/>
        <v>0.43371805441055233</v>
      </c>
      <c r="DE40" s="3242">
        <f t="shared" ca="1" si="923"/>
        <v>0.41560071727435766</v>
      </c>
      <c r="DF40" s="3242">
        <f>DF38/CT38-1</f>
        <v>0.35327868852459021</v>
      </c>
      <c r="DG40" s="3242">
        <f t="shared" ca="1" si="923"/>
        <v>0.3180243161094225</v>
      </c>
      <c r="DH40" s="3242">
        <f t="shared" ca="1" si="923"/>
        <v>0.2960769800148042</v>
      </c>
      <c r="DI40" s="3242">
        <f t="shared" si="923"/>
        <v>0.29293302124594889</v>
      </c>
      <c r="DJ40" s="3242">
        <f t="shared" si="923"/>
        <v>0.25445151726543425</v>
      </c>
      <c r="DK40" s="3242">
        <f t="shared" si="923"/>
        <v>0.24346793349168649</v>
      </c>
      <c r="DL40" s="3242">
        <f t="shared" ca="1" si="923"/>
        <v>0.24661354581673312</v>
      </c>
      <c r="DM40" s="3242">
        <f t="shared" ca="1" si="923"/>
        <v>0.24614630960156747</v>
      </c>
      <c r="DN40" s="3242">
        <f t="shared" ca="1" si="923"/>
        <v>0.25598489717223649</v>
      </c>
      <c r="DO40" s="3242">
        <f t="shared" ca="1" si="923"/>
        <v>0.25805004721435321</v>
      </c>
      <c r="DP40" s="3242">
        <f t="shared" ca="1" si="923"/>
        <v>0.25229505680073672</v>
      </c>
      <c r="DQ40" s="3242">
        <f t="shared" ca="1" si="923"/>
        <v>0.25149759181216114</v>
      </c>
      <c r="DR40" s="3242">
        <f t="shared" si="923"/>
        <v>0.21307056392087387</v>
      </c>
      <c r="DS40" s="3242">
        <f t="shared" ref="DS40" ca="1" si="924">DS38/DG38-1</f>
        <v>0.20525239338555257</v>
      </c>
      <c r="DT40" s="3242">
        <f t="shared" ref="DT40" ca="1" si="925">DT38/DH38-1</f>
        <v>0.21247914869140083</v>
      </c>
      <c r="DU40" s="3242">
        <f t="shared" ref="DU40" si="926">DU38/DI38-1</f>
        <v>0.22614833906071041</v>
      </c>
      <c r="DV40" s="3242">
        <f t="shared" ref="DV40" si="927">DV38/DJ38-1</f>
        <v>0.24176882411773115</v>
      </c>
      <c r="DW40" s="3242">
        <f t="shared" ref="DW40" si="928">DW38/DK38-1</f>
        <v>0.24402597402597404</v>
      </c>
      <c r="DX40" s="3242">
        <f t="shared" ref="DX40" ca="1" si="929">DX38/DL38-1</f>
        <v>0.23418001104362229</v>
      </c>
      <c r="DY40" s="3242">
        <f t="shared" ref="DY40" ca="1" si="930">DY38/DM38-1</f>
        <v>0.22698541329011346</v>
      </c>
      <c r="DZ40" s="3242">
        <f t="shared" ref="DZ40" ca="1" si="931">DZ38/DN38-1</f>
        <v>0.2206398730830248</v>
      </c>
      <c r="EA40" s="3242">
        <f t="shared" ref="EA40" ca="1" si="932">EA38/DO38-1</f>
        <v>0.2073562920766443</v>
      </c>
      <c r="EB40" s="3242">
        <f t="shared" ref="EB40" ca="1" si="933">EB38/DP38-1</f>
        <v>0.19853120243531208</v>
      </c>
      <c r="EC40" s="3242">
        <f t="shared" ref="EC40" ca="1" si="934">EC38/DQ38-1</f>
        <v>0.19005718547986095</v>
      </c>
      <c r="ED40" s="3242">
        <f t="shared" ref="ED40" si="935">ED38/DR38-1</f>
        <v>0.18316593352883692</v>
      </c>
      <c r="EE40" s="3242">
        <f t="shared" ref="EE40" ca="1" si="936">EE38/DS38-1</f>
        <v>0.17919688179840487</v>
      </c>
      <c r="EF40" s="3242">
        <f t="shared" ref="EF40" ca="1" si="937">EF38/DT38-1</f>
        <v>0.17839191774270691</v>
      </c>
      <c r="EG40" s="3242">
        <f t="shared" ref="EG40" si="938">EG38/DU38-1</f>
        <v>0.17435054219707702</v>
      </c>
      <c r="EH40" s="3242">
        <f t="shared" ref="EH40" si="939">EH38/DV38-1</f>
        <v>0.17018247326824731</v>
      </c>
      <c r="EI40" s="3242">
        <f t="shared" ref="EI40" si="940">EI38/DW38-1</f>
        <v>0.16553874369555288</v>
      </c>
      <c r="EJ40" s="3242">
        <f t="shared" ref="EJ40" ca="1" si="941">EJ38/DX38-1</f>
        <v>0.16160334690185407</v>
      </c>
      <c r="EK40" s="3242">
        <f t="shared" ref="EK40" ca="1" si="942">EK38/DY38-1</f>
        <v>0.15869254796965637</v>
      </c>
      <c r="EL40" s="3242">
        <f t="shared" ref="EL40" ca="1" si="943">EL38/DZ38-1</f>
        <v>0.15699251431087635</v>
      </c>
      <c r="EM40" s="3242">
        <f t="shared" ref="EM40" ca="1" si="944">EM38/EA38-1</f>
        <v>0.15030095610604111</v>
      </c>
      <c r="EN40" s="3242">
        <f t="shared" ref="EN40" ca="1" si="945">EN38/EB38-1</f>
        <v>0.14654332904332912</v>
      </c>
      <c r="EO40" s="3242">
        <f t="shared" ref="EO40" ca="1" si="946">EO38/EC38-1</f>
        <v>0.14288119440914882</v>
      </c>
      <c r="EP40" s="3242">
        <f t="shared" ref="EP40" si="947">EP38/ED38-1</f>
        <v>0.13770043960644762</v>
      </c>
      <c r="EQ40" s="3242">
        <f t="shared" ref="EQ40" ca="1" si="948">EQ38/EE38-1</f>
        <v>0.13402689791255584</v>
      </c>
      <c r="ER40" s="3242">
        <f t="shared" ref="ER40" ca="1" si="949">ER38/EF38-1</f>
        <v>0.1320022671063481</v>
      </c>
      <c r="ES40" s="3242">
        <f t="shared" ref="ES40" si="950">ES38/EG38-1</f>
        <v>0.1275999592003263</v>
      </c>
      <c r="ET40" s="3242">
        <f t="shared" ref="ET40" si="951">ET38/EH38-1</f>
        <v>0.12287055735056551</v>
      </c>
      <c r="EU40" s="3242">
        <f t="shared" ref="EU40" si="952">EU38/EI38-1</f>
        <v>0.11792682926829268</v>
      </c>
      <c r="EV40" s="3242">
        <f t="shared" ref="EV40" ca="1" si="953">EV38/EJ38-1</f>
        <v>0.11338677751385595</v>
      </c>
      <c r="EW40" s="3242">
        <f t="shared" ref="EW40" ca="1" si="954">EW38/EK38-1</f>
        <v>0.11055076440611544</v>
      </c>
      <c r="EX40" s="3242">
        <f t="shared" ref="EX40" ca="1" si="955">EX38/EL38-1</f>
        <v>0.10697010869565227</v>
      </c>
      <c r="EY40" s="3242">
        <f t="shared" ref="EY40" ca="1" si="956">EY38/EM38-1</f>
        <v>0.10078527489427147</v>
      </c>
      <c r="EZ40" s="3242">
        <f t="shared" ref="EZ40" ca="1" si="957">EZ38/EN38-1</f>
        <v>9.6189070830159817E-2</v>
      </c>
      <c r="FA40" s="3242">
        <f t="shared" ref="FA40" ca="1" si="958">FA38/EO38-1</f>
        <v>9.1679554884949166E-2</v>
      </c>
      <c r="FB40" s="3242">
        <f t="shared" ref="FB40" si="959">FB38/EP38-1</f>
        <v>8.9289591913140898E-2</v>
      </c>
      <c r="FC40" s="3242">
        <f t="shared" ref="FC40" ca="1" si="960">FC38/EQ38-1</f>
        <v>9.0480939509739899E-2</v>
      </c>
      <c r="FD40" s="3242">
        <f t="shared" ref="FD40" ca="1" si="961">FD38/ER38-1</f>
        <v>9.1662335251531557E-2</v>
      </c>
      <c r="FE40" s="3242">
        <f t="shared" ref="FE40" si="962">FE38/ES38-1</f>
        <v>9.1320841794351182E-2</v>
      </c>
      <c r="FF40" s="3242">
        <f t="shared" ref="FF40" si="963">FF38/ET38-1</f>
        <v>9.0983109968790332E-2</v>
      </c>
      <c r="FG40" s="3242">
        <f t="shared" ref="FG40" si="964">FG38/EU38-1</f>
        <v>9.0649077962388303E-2</v>
      </c>
      <c r="FH40" s="3242">
        <f t="shared" ref="FH40" ca="1" si="965">FH38/EV38-1</f>
        <v>9.0318685309606073E-2</v>
      </c>
      <c r="FI40" s="3242">
        <f t="shared" ref="FI40" ca="1" si="966">FI38/EW38-1</f>
        <v>8.9991872855337052E-2</v>
      </c>
      <c r="FJ40" s="3242">
        <f t="shared" ref="FJ40" ca="1" si="967">FJ38/EX38-1</f>
        <v>8.9668582719597767E-2</v>
      </c>
      <c r="FK40" s="3242">
        <f t="shared" ref="FK40" ca="1" si="968">FK38/EY38-1</f>
        <v>8.9348758263355421E-2</v>
      </c>
      <c r="FL40" s="3242">
        <f t="shared" ref="FL40" ca="1" si="969">FL38/EZ38-1</f>
        <v>8.9032344055446799E-2</v>
      </c>
      <c r="FM40" s="3242">
        <f t="shared" ref="FM40" ca="1" si="970">FM38/FA38-1</f>
        <v>8.8719285840551443E-2</v>
      </c>
      <c r="FN40" s="3242">
        <f t="shared" ref="FN40" si="971">FN38/FB38-1</f>
        <v>8.8409530508176681E-2</v>
      </c>
      <c r="FO40" s="3242">
        <f t="shared" ref="FO40" ca="1" si="972">FO38/FC38-1</f>
        <v>8.8103026062620104E-2</v>
      </c>
      <c r="FP40" s="3242">
        <f t="shared" ref="FP40" ca="1" si="973">FP38/FD38-1</f>
        <v>8.7799721593875057E-2</v>
      </c>
      <c r="FQ40" s="3242">
        <f t="shared" ref="FQ40" si="974">FQ38/FE38-1</f>
        <v>8.7499567249437638E-2</v>
      </c>
      <c r="FR40" s="3242">
        <f t="shared" ref="FR40" si="975">FR38/FF38-1</f>
        <v>8.7202514206991655E-2</v>
      </c>
      <c r="FS40" s="3242">
        <f t="shared" ref="FS40" si="976">FS38/FG38-1</f>
        <v>8.6908514647935364E-2</v>
      </c>
      <c r="FT40" s="3242">
        <f t="shared" ref="FT40" ca="1" si="977">FT38/FH38-1</f>
        <v>8.6617521731719993E-2</v>
      </c>
      <c r="FU40" s="3242">
        <f t="shared" ref="FU40" ca="1" si="978">FU38/FI38-1</f>
        <v>8.632948957096831E-2</v>
      </c>
      <c r="FV40" s="3242">
        <f t="shared" ref="FV40" ca="1" si="979">FV38/FJ38-1</f>
        <v>8.604437320735614E-2</v>
      </c>
      <c r="FW40" s="3242">
        <f t="shared" ref="FW40" ca="1" si="980">FW38/FK38-1</f>
        <v>8.5762128588215525E-2</v>
      </c>
      <c r="FX40" s="3242">
        <f t="shared" ref="FX40" ca="1" si="981">FX38/FL38-1</f>
        <v>8.5482712543845096E-2</v>
      </c>
      <c r="FY40" s="3242">
        <f t="shared" ref="FY40" ca="1" si="982">FY38/FM38-1</f>
        <v>8.5206082765497904E-2</v>
      </c>
    </row>
    <row r="41" spans="1:181" s="3279" customFormat="1" outlineLevel="2">
      <c r="A41" s="3278" t="str">
        <f>A23</f>
        <v>Number of store</v>
      </c>
      <c r="B41" s="3278">
        <v>316</v>
      </c>
      <c r="C41" s="3278">
        <v>324</v>
      </c>
      <c r="D41" s="3278">
        <v>355</v>
      </c>
      <c r="E41" s="3278">
        <v>367</v>
      </c>
      <c r="F41" s="3278">
        <v>372</v>
      </c>
      <c r="G41" s="3278">
        <v>384</v>
      </c>
      <c r="H41" s="3278">
        <v>393</v>
      </c>
      <c r="I41" s="3278">
        <v>405</v>
      </c>
      <c r="J41" s="3278">
        <v>409</v>
      </c>
      <c r="K41" s="3278">
        <v>412</v>
      </c>
      <c r="L41" s="3278">
        <v>404</v>
      </c>
      <c r="M41" s="3278">
        <v>405</v>
      </c>
      <c r="N41" s="3278">
        <v>421</v>
      </c>
      <c r="O41" s="3278">
        <v>423</v>
      </c>
      <c r="P41" s="3278">
        <v>469</v>
      </c>
      <c r="Q41" s="3278">
        <v>512</v>
      </c>
      <c r="R41" s="3278">
        <v>545</v>
      </c>
      <c r="S41" s="3278">
        <v>600</v>
      </c>
      <c r="T41" s="3278">
        <v>659</v>
      </c>
      <c r="U41" s="3278">
        <v>725</v>
      </c>
      <c r="V41" s="3278">
        <v>788</v>
      </c>
      <c r="W41" s="3278">
        <v>866</v>
      </c>
      <c r="X41" s="3278">
        <v>938</v>
      </c>
      <c r="Y41" s="3278">
        <v>1008</v>
      </c>
      <c r="Z41" s="3278">
        <v>1041</v>
      </c>
      <c r="AA41" s="3278">
        <v>1068</v>
      </c>
      <c r="AB41" s="3278">
        <v>1158</v>
      </c>
      <c r="AC41" s="3278">
        <v>1234</v>
      </c>
      <c r="AD41" s="3278">
        <v>1365</v>
      </c>
      <c r="AE41" s="3278">
        <v>1486</v>
      </c>
      <c r="AF41" s="3278">
        <v>1561</v>
      </c>
      <c r="AG41" s="3278">
        <v>1595</v>
      </c>
      <c r="AH41" s="3278">
        <v>1623</v>
      </c>
      <c r="AI41" s="3278">
        <v>1656</v>
      </c>
      <c r="AJ41" s="3278">
        <v>1687</v>
      </c>
      <c r="AK41" s="3278">
        <v>1719</v>
      </c>
      <c r="AL41" s="3278">
        <v>1749</v>
      </c>
      <c r="AM41" s="3278">
        <v>1756</v>
      </c>
      <c r="AN41" s="3278">
        <v>1767</v>
      </c>
      <c r="AO41" s="3278">
        <v>1803</v>
      </c>
      <c r="AP41" s="3278">
        <v>1851</v>
      </c>
      <c r="AQ41" s="3278">
        <v>1888</v>
      </c>
      <c r="AR41" s="3278">
        <v>1919</v>
      </c>
      <c r="AS41" s="3278">
        <v>1928</v>
      </c>
      <c r="AT41" s="3278">
        <v>1934</v>
      </c>
      <c r="AU41" s="3278">
        <v>1934</v>
      </c>
      <c r="AV41" s="3278">
        <v>2026</v>
      </c>
      <c r="AW41" s="3278">
        <v>2106</v>
      </c>
      <c r="AX41" s="3278">
        <v>2122</v>
      </c>
      <c r="AY41" s="3278">
        <v>2127</v>
      </c>
      <c r="AZ41" s="3278">
        <v>2140</v>
      </c>
      <c r="BA41" s="3278">
        <v>2140</v>
      </c>
      <c r="BB41" s="3278">
        <v>1889</v>
      </c>
      <c r="BC41" s="3278">
        <v>1889</v>
      </c>
      <c r="BD41" s="3278">
        <v>1735</v>
      </c>
      <c r="BE41" s="3278">
        <v>1726</v>
      </c>
      <c r="BF41" s="3278">
        <f>BE41+BF42</f>
        <v>1728</v>
      </c>
      <c r="BG41" s="3278">
        <f>BF41+BG42</f>
        <v>1728</v>
      </c>
      <c r="BH41" s="3278">
        <f>BG41+BH42</f>
        <v>1728</v>
      </c>
      <c r="BI41" s="3278">
        <f>BH41+BI42</f>
        <v>1728</v>
      </c>
      <c r="BJ41" s="3245">
        <f>BJ74</f>
        <v>1729</v>
      </c>
      <c r="BK41" s="3245">
        <f>BJ41+BK42</f>
        <v>1729</v>
      </c>
      <c r="BL41" s="3245">
        <v>1710</v>
      </c>
      <c r="BM41" s="3245">
        <f t="shared" ref="BM41:CR41" si="983">BL41+BM42</f>
        <v>1708</v>
      </c>
      <c r="BN41" s="3245">
        <f t="shared" si="983"/>
        <v>1704</v>
      </c>
      <c r="BO41" s="3245">
        <f t="shared" si="983"/>
        <v>1706</v>
      </c>
      <c r="BP41" s="3245">
        <f>BO41+BP42</f>
        <v>1706</v>
      </c>
      <c r="BQ41" s="3245">
        <f>BP41+BQ42</f>
        <v>1706</v>
      </c>
      <c r="BR41" s="3245">
        <v>1706</v>
      </c>
      <c r="BS41" s="3245">
        <v>1706</v>
      </c>
      <c r="BT41" s="3245">
        <v>1697</v>
      </c>
      <c r="BU41" s="3245">
        <v>1698</v>
      </c>
      <c r="BV41" s="3245">
        <f>BU41+BV42</f>
        <v>1698</v>
      </c>
      <c r="BW41" s="3245">
        <f t="shared" si="983"/>
        <v>1698</v>
      </c>
      <c r="BX41" s="3245">
        <v>1696</v>
      </c>
      <c r="BY41" s="3245">
        <v>1696</v>
      </c>
      <c r="BZ41" s="3245">
        <v>1698</v>
      </c>
      <c r="CA41" s="3245">
        <f>BZ41+CA42</f>
        <v>1701</v>
      </c>
      <c r="CB41" s="3245">
        <f>CA41+CB42</f>
        <v>1704</v>
      </c>
      <c r="CC41" s="3245">
        <f t="shared" si="983"/>
        <v>1721</v>
      </c>
      <c r="CD41" s="3245">
        <f t="shared" si="983"/>
        <v>1726</v>
      </c>
      <c r="CE41" s="3245">
        <f>CD41+CE42</f>
        <v>1735</v>
      </c>
      <c r="CF41" s="3245">
        <f t="shared" si="983"/>
        <v>1735</v>
      </c>
      <c r="CG41" s="3245">
        <f t="shared" si="983"/>
        <v>1770</v>
      </c>
      <c r="CH41" s="3245">
        <f t="shared" si="983"/>
        <v>1849</v>
      </c>
      <c r="CI41" s="3245">
        <f t="shared" si="983"/>
        <v>1864</v>
      </c>
      <c r="CJ41" s="3245">
        <f t="shared" si="983"/>
        <v>2002</v>
      </c>
      <c r="CK41" s="3245">
        <v>2102</v>
      </c>
      <c r="CL41" s="3245">
        <v>2180</v>
      </c>
      <c r="CM41" s="3245">
        <v>2184</v>
      </c>
      <c r="CN41" s="3245">
        <v>2204</v>
      </c>
      <c r="CO41" s="3245">
        <f t="shared" si="983"/>
        <v>2233</v>
      </c>
      <c r="CP41" s="3245">
        <f t="shared" si="983"/>
        <v>2290</v>
      </c>
      <c r="CQ41" s="3245">
        <f t="shared" si="983"/>
        <v>2370</v>
      </c>
      <c r="CR41" s="3278">
        <f t="shared" si="983"/>
        <v>2482</v>
      </c>
      <c r="CS41" s="3278">
        <f>CR41+CS42</f>
        <v>2537</v>
      </c>
      <c r="CT41" s="3278">
        <f t="shared" ref="CT41:DR41" si="984">CS41+CT42</f>
        <v>2587</v>
      </c>
      <c r="CU41" s="3278">
        <f t="shared" si="984"/>
        <v>2677</v>
      </c>
      <c r="CV41" s="3278">
        <f t="shared" si="984"/>
        <v>2727</v>
      </c>
      <c r="CW41" s="3278">
        <f t="shared" si="984"/>
        <v>2827</v>
      </c>
      <c r="CX41" s="3278">
        <f t="shared" si="984"/>
        <v>2907</v>
      </c>
      <c r="CY41" s="3278">
        <f t="shared" si="984"/>
        <v>2987</v>
      </c>
      <c r="CZ41" s="3278">
        <f t="shared" si="984"/>
        <v>3037</v>
      </c>
      <c r="DA41" s="3278">
        <f t="shared" si="984"/>
        <v>3087</v>
      </c>
      <c r="DB41" s="3278">
        <f t="shared" si="984"/>
        <v>3137</v>
      </c>
      <c r="DC41" s="3278">
        <f t="shared" si="984"/>
        <v>3217</v>
      </c>
      <c r="DD41" s="3278">
        <f t="shared" si="984"/>
        <v>3297</v>
      </c>
      <c r="DE41" s="3278">
        <f t="shared" si="984"/>
        <v>3347</v>
      </c>
      <c r="DF41" s="3278">
        <f t="shared" si="984"/>
        <v>3427</v>
      </c>
      <c r="DG41" s="3278">
        <f t="shared" si="984"/>
        <v>3467</v>
      </c>
      <c r="DH41" s="3278">
        <f t="shared" si="984"/>
        <v>3487</v>
      </c>
      <c r="DI41" s="3278">
        <f t="shared" si="984"/>
        <v>3497</v>
      </c>
      <c r="DJ41" s="3278">
        <f t="shared" si="984"/>
        <v>3502</v>
      </c>
      <c r="DK41" s="3278">
        <f t="shared" si="984"/>
        <v>3582</v>
      </c>
      <c r="DL41" s="3278">
        <f t="shared" si="984"/>
        <v>3662</v>
      </c>
      <c r="DM41" s="3278">
        <f t="shared" si="984"/>
        <v>3742</v>
      </c>
      <c r="DN41" s="3278">
        <f t="shared" si="984"/>
        <v>3822</v>
      </c>
      <c r="DO41" s="3278">
        <f t="shared" si="984"/>
        <v>3902</v>
      </c>
      <c r="DP41" s="3278">
        <f t="shared" si="984"/>
        <v>3982</v>
      </c>
      <c r="DQ41" s="3278">
        <f t="shared" si="984"/>
        <v>4062</v>
      </c>
      <c r="DR41" s="3278">
        <f t="shared" si="984"/>
        <v>4122</v>
      </c>
      <c r="DS41" s="3278">
        <f t="shared" ref="DS41" si="985">DR41+DS42</f>
        <v>4152</v>
      </c>
      <c r="DT41" s="3278">
        <f t="shared" ref="DT41" si="986">DS41+DT42</f>
        <v>4212</v>
      </c>
      <c r="DU41" s="3278">
        <f t="shared" ref="DU41" si="987">DT41+DU42</f>
        <v>4272</v>
      </c>
      <c r="DV41" s="3278">
        <f t="shared" ref="DV41" si="988">DU41+DV42</f>
        <v>4332</v>
      </c>
      <c r="DW41" s="3278">
        <f t="shared" ref="DW41" si="989">DV41+DW42</f>
        <v>4392</v>
      </c>
      <c r="DX41" s="3278">
        <f t="shared" ref="DX41" si="990">DW41+DX42</f>
        <v>4452</v>
      </c>
      <c r="DY41" s="3278">
        <f t="shared" ref="DY41" si="991">DX41+DY42</f>
        <v>4512</v>
      </c>
      <c r="DZ41" s="3278">
        <f t="shared" ref="DZ41" si="992">DY41+DZ42</f>
        <v>4572</v>
      </c>
      <c r="EA41" s="3278">
        <f t="shared" ref="EA41" si="993">DZ41+EA42</f>
        <v>4632</v>
      </c>
      <c r="EB41" s="3278">
        <f t="shared" ref="EB41" si="994">EA41+EB42</f>
        <v>4692</v>
      </c>
      <c r="EC41" s="3278">
        <f t="shared" ref="EC41" si="995">EB41+EC42</f>
        <v>4752</v>
      </c>
      <c r="ED41" s="3278">
        <f t="shared" ref="ED41" si="996">EC41+ED42</f>
        <v>4802</v>
      </c>
      <c r="EE41" s="3278">
        <f t="shared" ref="EE41" si="997">ED41+EE42</f>
        <v>4827</v>
      </c>
      <c r="EF41" s="3278">
        <f t="shared" ref="EF41" si="998">EE41+EF42</f>
        <v>4877</v>
      </c>
      <c r="EG41" s="3278">
        <f t="shared" ref="EG41" si="999">EF41+EG42</f>
        <v>4927</v>
      </c>
      <c r="EH41" s="3278">
        <f t="shared" ref="EH41" si="1000">EG41+EH42</f>
        <v>4977</v>
      </c>
      <c r="EI41" s="3278">
        <f t="shared" ref="EI41" si="1001">EH41+EI42</f>
        <v>5027</v>
      </c>
      <c r="EJ41" s="3278">
        <f t="shared" ref="EJ41" si="1002">EI41+EJ42</f>
        <v>5077</v>
      </c>
      <c r="EK41" s="3278">
        <f t="shared" ref="EK41" si="1003">EJ41+EK42</f>
        <v>5127</v>
      </c>
      <c r="EL41" s="3278">
        <f t="shared" ref="EL41" si="1004">EK41+EL42</f>
        <v>5177</v>
      </c>
      <c r="EM41" s="3278">
        <f t="shared" ref="EM41" si="1005">EL41+EM42</f>
        <v>5227</v>
      </c>
      <c r="EN41" s="3278">
        <f t="shared" ref="EN41" si="1006">EM41+EN42</f>
        <v>5277</v>
      </c>
      <c r="EO41" s="3278">
        <f t="shared" ref="EO41" si="1007">EN41+EO42</f>
        <v>5327</v>
      </c>
      <c r="EP41" s="3278">
        <f t="shared" ref="EP41" si="1008">EO41+EP42</f>
        <v>5357</v>
      </c>
      <c r="EQ41" s="3278">
        <f t="shared" ref="EQ41" si="1009">EP41+EQ42</f>
        <v>5372</v>
      </c>
      <c r="ER41" s="3278">
        <f t="shared" ref="ER41" si="1010">EQ41+ER42</f>
        <v>5402</v>
      </c>
      <c r="ES41" s="3278">
        <f t="shared" ref="ES41" si="1011">ER41+ES42</f>
        <v>5432</v>
      </c>
      <c r="ET41" s="3278">
        <f t="shared" ref="ET41" si="1012">ES41+ET42</f>
        <v>5462</v>
      </c>
      <c r="EU41" s="3278">
        <f t="shared" ref="EU41" si="1013">ET41+EU42</f>
        <v>5492</v>
      </c>
      <c r="EV41" s="3278">
        <f t="shared" ref="EV41" si="1014">EU41+EV42</f>
        <v>5522</v>
      </c>
      <c r="EW41" s="3278">
        <f t="shared" ref="EW41" si="1015">EV41+EW42</f>
        <v>5552</v>
      </c>
      <c r="EX41" s="3278">
        <f t="shared" ref="EX41" si="1016">EW41+EX42</f>
        <v>5582</v>
      </c>
      <c r="EY41" s="3278">
        <f t="shared" ref="EY41" si="1017">EX41+EY42</f>
        <v>5612</v>
      </c>
      <c r="EZ41" s="3278">
        <f t="shared" ref="EZ41" si="1018">EY41+EZ42</f>
        <v>5642</v>
      </c>
      <c r="FA41" s="3278">
        <f t="shared" ref="FA41" si="1019">EZ41+FA42</f>
        <v>5672</v>
      </c>
      <c r="FB41" s="3278">
        <f t="shared" ref="FB41" si="1020">FA41+FB42</f>
        <v>5702</v>
      </c>
      <c r="FC41" s="3278">
        <f t="shared" ref="FC41" si="1021">FB41+FC42</f>
        <v>5732</v>
      </c>
      <c r="FD41" s="3278">
        <f t="shared" ref="FD41" si="1022">FC41+FD42</f>
        <v>5762</v>
      </c>
      <c r="FE41" s="3278">
        <f t="shared" ref="FE41" si="1023">FD41+FE42</f>
        <v>5792</v>
      </c>
      <c r="FF41" s="3278">
        <f t="shared" ref="FF41" si="1024">FE41+FF42</f>
        <v>5822</v>
      </c>
      <c r="FG41" s="3278">
        <f t="shared" ref="FG41" si="1025">FF41+FG42</f>
        <v>5852</v>
      </c>
      <c r="FH41" s="3278">
        <f t="shared" ref="FH41" si="1026">FG41+FH42</f>
        <v>5882</v>
      </c>
      <c r="FI41" s="3278">
        <f t="shared" ref="FI41" si="1027">FH41+FI42</f>
        <v>5912</v>
      </c>
      <c r="FJ41" s="3278">
        <f t="shared" ref="FJ41" si="1028">FI41+FJ42</f>
        <v>5942</v>
      </c>
      <c r="FK41" s="3278">
        <f t="shared" ref="FK41" si="1029">FJ41+FK42</f>
        <v>5972</v>
      </c>
      <c r="FL41" s="3278">
        <f t="shared" ref="FL41" si="1030">FK41+FL42</f>
        <v>6002</v>
      </c>
      <c r="FM41" s="3278">
        <f t="shared" ref="FM41" si="1031">FL41+FM42</f>
        <v>6032</v>
      </c>
      <c r="FN41" s="3278">
        <f t="shared" ref="FN41" si="1032">FM41+FN42</f>
        <v>6062</v>
      </c>
      <c r="FO41" s="3278">
        <f t="shared" ref="FO41" si="1033">FN41+FO42</f>
        <v>6092</v>
      </c>
      <c r="FP41" s="3278">
        <f t="shared" ref="FP41" si="1034">FO41+FP42</f>
        <v>6122</v>
      </c>
      <c r="FQ41" s="3278">
        <f t="shared" ref="FQ41" si="1035">FP41+FQ42</f>
        <v>6152</v>
      </c>
      <c r="FR41" s="3278">
        <f t="shared" ref="FR41" si="1036">FQ41+FR42</f>
        <v>6182</v>
      </c>
      <c r="FS41" s="3278">
        <f t="shared" ref="FS41" si="1037">FR41+FS42</f>
        <v>6212</v>
      </c>
      <c r="FT41" s="3278">
        <f t="shared" ref="FT41" si="1038">FS41+FT42</f>
        <v>6242</v>
      </c>
      <c r="FU41" s="3278">
        <f t="shared" ref="FU41" si="1039">FT41+FU42</f>
        <v>6272</v>
      </c>
      <c r="FV41" s="3278">
        <f t="shared" ref="FV41" si="1040">FU41+FV42</f>
        <v>6302</v>
      </c>
      <c r="FW41" s="3278">
        <f t="shared" ref="FW41" si="1041">FV41+FW42</f>
        <v>6332</v>
      </c>
      <c r="FX41" s="3278">
        <f t="shared" ref="FX41" si="1042">FW41+FX42</f>
        <v>6362</v>
      </c>
      <c r="FY41" s="3278">
        <f t="shared" ref="FY41" si="1043">FX41+FY42</f>
        <v>6392</v>
      </c>
    </row>
    <row r="42" spans="1:181" s="2689" customFormat="1" outlineLevel="2">
      <c r="A42" s="3280" t="str">
        <f>A24</f>
        <v>(+/-)</v>
      </c>
      <c r="N42" s="3280">
        <f>N41-B41</f>
        <v>105</v>
      </c>
      <c r="O42" s="3280">
        <f t="shared" ref="O42:Y42" si="1044">O41-C41</f>
        <v>99</v>
      </c>
      <c r="P42" s="3280">
        <f t="shared" si="1044"/>
        <v>114</v>
      </c>
      <c r="Q42" s="3280">
        <f t="shared" si="1044"/>
        <v>145</v>
      </c>
      <c r="R42" s="3280">
        <f t="shared" si="1044"/>
        <v>173</v>
      </c>
      <c r="S42" s="3280">
        <f t="shared" si="1044"/>
        <v>216</v>
      </c>
      <c r="T42" s="3280">
        <f t="shared" si="1044"/>
        <v>266</v>
      </c>
      <c r="U42" s="3280">
        <f t="shared" si="1044"/>
        <v>320</v>
      </c>
      <c r="V42" s="3280">
        <f t="shared" si="1044"/>
        <v>379</v>
      </c>
      <c r="W42" s="3280">
        <f t="shared" si="1044"/>
        <v>454</v>
      </c>
      <c r="X42" s="3280">
        <f t="shared" si="1044"/>
        <v>534</v>
      </c>
      <c r="Y42" s="3280">
        <f t="shared" si="1044"/>
        <v>603</v>
      </c>
      <c r="AY42" s="2689">
        <f>AY41-AX41</f>
        <v>5</v>
      </c>
      <c r="AZ42" s="2689">
        <f t="shared" ref="AZ42:BE42" si="1045">AZ41-AY41</f>
        <v>13</v>
      </c>
      <c r="BA42" s="2689">
        <f t="shared" si="1045"/>
        <v>0</v>
      </c>
      <c r="BB42" s="2689">
        <f t="shared" si="1045"/>
        <v>-251</v>
      </c>
      <c r="BC42" s="2689">
        <f t="shared" si="1045"/>
        <v>0</v>
      </c>
      <c r="BD42" s="2689">
        <f t="shared" si="1045"/>
        <v>-154</v>
      </c>
      <c r="BE42" s="2689">
        <f t="shared" si="1045"/>
        <v>-9</v>
      </c>
      <c r="BF42" s="2689">
        <v>2</v>
      </c>
      <c r="BG42" s="2689">
        <v>0</v>
      </c>
      <c r="BH42" s="2689">
        <v>0</v>
      </c>
      <c r="BI42" s="2689">
        <v>0</v>
      </c>
      <c r="BJ42" s="2684">
        <v>1</v>
      </c>
      <c r="BK42" s="2684">
        <v>0</v>
      </c>
      <c r="BL42" s="3257">
        <f>BL41-BK41</f>
        <v>-19</v>
      </c>
      <c r="BM42" s="2684">
        <v>-2</v>
      </c>
      <c r="BN42" s="2684">
        <v>-4</v>
      </c>
      <c r="BO42" s="2684">
        <v>2</v>
      </c>
      <c r="BP42" s="2684">
        <v>0</v>
      </c>
      <c r="BQ42" s="2684">
        <v>0</v>
      </c>
      <c r="BR42" s="2684">
        <v>0</v>
      </c>
      <c r="BS42" s="2684">
        <v>0</v>
      </c>
      <c r="BT42" s="3257">
        <v>0</v>
      </c>
      <c r="BU42" s="3257">
        <f>BU41-BT41</f>
        <v>1</v>
      </c>
      <c r="BV42" s="2684">
        <v>0</v>
      </c>
      <c r="BW42" s="2684">
        <v>0</v>
      </c>
      <c r="BX42" s="2684">
        <v>0</v>
      </c>
      <c r="BY42" s="2684">
        <v>0</v>
      </c>
      <c r="BZ42" s="2684">
        <v>2</v>
      </c>
      <c r="CA42" s="3257">
        <f>1701-BZ41</f>
        <v>3</v>
      </c>
      <c r="CB42" s="2684">
        <v>3</v>
      </c>
      <c r="CC42" s="2684">
        <v>17</v>
      </c>
      <c r="CD42" s="2684">
        <v>5</v>
      </c>
      <c r="CE42" s="2684">
        <v>9</v>
      </c>
      <c r="CF42" s="2684">
        <v>0</v>
      </c>
      <c r="CG42" s="2684">
        <v>35</v>
      </c>
      <c r="CH42" s="2684">
        <f>1849-CG41</f>
        <v>79</v>
      </c>
      <c r="CI42" s="2684">
        <v>15</v>
      </c>
      <c r="CJ42" s="2684">
        <f>2002-CI41</f>
        <v>138</v>
      </c>
      <c r="CK42" s="2684">
        <v>100</v>
      </c>
      <c r="CL42" s="2684">
        <v>78</v>
      </c>
      <c r="CM42" s="2684">
        <v>4</v>
      </c>
      <c r="CN42" s="2684">
        <f>CN41-CM41</f>
        <v>20</v>
      </c>
      <c r="CO42" s="2684">
        <f>2233-CN41</f>
        <v>29</v>
      </c>
      <c r="CP42" s="2684">
        <v>57</v>
      </c>
      <c r="CQ42" s="2684">
        <v>80</v>
      </c>
      <c r="CR42" s="3280">
        <f>2482-CQ41</f>
        <v>112</v>
      </c>
      <c r="CS42" s="3280">
        <v>55</v>
      </c>
      <c r="CT42" s="2689">
        <v>50</v>
      </c>
      <c r="CU42" s="2689">
        <v>90</v>
      </c>
      <c r="CV42" s="2689">
        <v>50</v>
      </c>
      <c r="CW42" s="2689">
        <v>100</v>
      </c>
      <c r="CX42" s="2689">
        <v>80</v>
      </c>
      <c r="CY42" s="2689">
        <v>80</v>
      </c>
      <c r="CZ42" s="2689">
        <v>50</v>
      </c>
      <c r="DA42" s="2689">
        <v>50</v>
      </c>
      <c r="DB42" s="2689">
        <v>50</v>
      </c>
      <c r="DC42" s="2689">
        <v>80</v>
      </c>
      <c r="DD42" s="2689">
        <v>80</v>
      </c>
      <c r="DE42" s="2689">
        <v>50</v>
      </c>
      <c r="DF42" s="2689">
        <v>80</v>
      </c>
      <c r="DG42" s="2689">
        <f>DF42*0.5</f>
        <v>40</v>
      </c>
      <c r="DH42" s="2689">
        <f t="shared" ref="DH42:DJ42" si="1046">DG42*0.5</f>
        <v>20</v>
      </c>
      <c r="DI42" s="2689">
        <f t="shared" si="1046"/>
        <v>10</v>
      </c>
      <c r="DJ42" s="2689">
        <f t="shared" si="1046"/>
        <v>5</v>
      </c>
      <c r="DK42" s="2689">
        <v>80</v>
      </c>
      <c r="DL42" s="2689">
        <v>80</v>
      </c>
      <c r="DM42" s="2689">
        <f t="shared" ref="DM42:DQ42" si="1047">DL42</f>
        <v>80</v>
      </c>
      <c r="DN42" s="2689">
        <f t="shared" si="1047"/>
        <v>80</v>
      </c>
      <c r="DO42" s="2689">
        <f t="shared" si="1047"/>
        <v>80</v>
      </c>
      <c r="DP42" s="2689">
        <f t="shared" si="1047"/>
        <v>80</v>
      </c>
      <c r="DQ42" s="2689">
        <f t="shared" si="1047"/>
        <v>80</v>
      </c>
      <c r="DR42" s="2689">
        <v>60</v>
      </c>
      <c r="DS42" s="2689">
        <f>DR42*0.5</f>
        <v>30</v>
      </c>
      <c r="DT42" s="2689">
        <f>DR42</f>
        <v>60</v>
      </c>
      <c r="DU42" s="2689">
        <f t="shared" ref="DU42" si="1048">DT42</f>
        <v>60</v>
      </c>
      <c r="DV42" s="2689">
        <f t="shared" ref="DV42" si="1049">DU42</f>
        <v>60</v>
      </c>
      <c r="DW42" s="2689">
        <f t="shared" ref="DW42" si="1050">DV42</f>
        <v>60</v>
      </c>
      <c r="DX42" s="2689">
        <f t="shared" ref="DX42" si="1051">DW42</f>
        <v>60</v>
      </c>
      <c r="DY42" s="2689">
        <f t="shared" ref="DY42" si="1052">DX42</f>
        <v>60</v>
      </c>
      <c r="DZ42" s="2689">
        <f t="shared" ref="DZ42" si="1053">DY42</f>
        <v>60</v>
      </c>
      <c r="EA42" s="2689">
        <f t="shared" ref="EA42" si="1054">DZ42</f>
        <v>60</v>
      </c>
      <c r="EB42" s="2689">
        <f t="shared" ref="EB42" si="1055">EA42</f>
        <v>60</v>
      </c>
      <c r="EC42" s="2689">
        <f t="shared" ref="EC42" si="1056">EB42</f>
        <v>60</v>
      </c>
      <c r="ED42" s="2689">
        <v>50</v>
      </c>
      <c r="EE42" s="2689">
        <f>ED42*0.5</f>
        <v>25</v>
      </c>
      <c r="EF42" s="2689">
        <f>ED42</f>
        <v>50</v>
      </c>
      <c r="EG42" s="2689">
        <f t="shared" ref="EG42" si="1057">EF42</f>
        <v>50</v>
      </c>
      <c r="EH42" s="2689">
        <f t="shared" ref="EH42" si="1058">EG42</f>
        <v>50</v>
      </c>
      <c r="EI42" s="2689">
        <f t="shared" ref="EI42" si="1059">EH42</f>
        <v>50</v>
      </c>
      <c r="EJ42" s="2689">
        <f t="shared" ref="EJ42" si="1060">EI42</f>
        <v>50</v>
      </c>
      <c r="EK42" s="2689">
        <f t="shared" ref="EK42" si="1061">EJ42</f>
        <v>50</v>
      </c>
      <c r="EL42" s="2689">
        <f t="shared" ref="EL42" si="1062">EK42</f>
        <v>50</v>
      </c>
      <c r="EM42" s="2689">
        <f t="shared" ref="EM42" si="1063">EL42</f>
        <v>50</v>
      </c>
      <c r="EN42" s="2689">
        <f t="shared" ref="EN42" si="1064">EM42</f>
        <v>50</v>
      </c>
      <c r="EO42" s="2689">
        <f t="shared" ref="EO42" si="1065">EN42</f>
        <v>50</v>
      </c>
      <c r="EP42" s="2689">
        <v>30</v>
      </c>
      <c r="EQ42" s="2689">
        <f>EP42*0.5</f>
        <v>15</v>
      </c>
      <c r="ER42" s="2689">
        <f>EP42</f>
        <v>30</v>
      </c>
      <c r="ES42" s="2689">
        <f t="shared" ref="ES42" si="1066">ER42</f>
        <v>30</v>
      </c>
      <c r="ET42" s="2689">
        <f t="shared" ref="ET42" si="1067">ES42</f>
        <v>30</v>
      </c>
      <c r="EU42" s="2689">
        <f t="shared" ref="EU42" si="1068">ET42</f>
        <v>30</v>
      </c>
      <c r="EV42" s="2689">
        <f t="shared" ref="EV42" si="1069">EU42</f>
        <v>30</v>
      </c>
      <c r="EW42" s="2689">
        <f t="shared" ref="EW42" si="1070">EV42</f>
        <v>30</v>
      </c>
      <c r="EX42" s="2689">
        <f t="shared" ref="EX42" si="1071">EW42</f>
        <v>30</v>
      </c>
      <c r="EY42" s="2689">
        <f t="shared" ref="EY42" si="1072">EX42</f>
        <v>30</v>
      </c>
      <c r="EZ42" s="2689">
        <f t="shared" ref="EZ42" si="1073">EY42</f>
        <v>30</v>
      </c>
      <c r="FA42" s="2689">
        <f t="shared" ref="FA42" si="1074">EZ42</f>
        <v>30</v>
      </c>
      <c r="FB42" s="2689">
        <f t="shared" ref="FB42" si="1075">FA42</f>
        <v>30</v>
      </c>
      <c r="FC42" s="2689">
        <f t="shared" ref="FC42" si="1076">FB42</f>
        <v>30</v>
      </c>
      <c r="FD42" s="2689">
        <f t="shared" ref="FD42" si="1077">FC42</f>
        <v>30</v>
      </c>
      <c r="FE42" s="2689">
        <f t="shared" ref="FE42" si="1078">FD42</f>
        <v>30</v>
      </c>
      <c r="FF42" s="2689">
        <f t="shared" ref="FF42" si="1079">FE42</f>
        <v>30</v>
      </c>
      <c r="FG42" s="2689">
        <f t="shared" ref="FG42" si="1080">FF42</f>
        <v>30</v>
      </c>
      <c r="FH42" s="2689">
        <f t="shared" ref="FH42" si="1081">FG42</f>
        <v>30</v>
      </c>
      <c r="FI42" s="2689">
        <f t="shared" ref="FI42" si="1082">FH42</f>
        <v>30</v>
      </c>
      <c r="FJ42" s="2689">
        <f t="shared" ref="FJ42" si="1083">FI42</f>
        <v>30</v>
      </c>
      <c r="FK42" s="2689">
        <f t="shared" ref="FK42" si="1084">FJ42</f>
        <v>30</v>
      </c>
      <c r="FL42" s="2689">
        <f t="shared" ref="FL42" si="1085">FK42</f>
        <v>30</v>
      </c>
      <c r="FM42" s="2689">
        <f t="shared" ref="FM42" si="1086">FL42</f>
        <v>30</v>
      </c>
      <c r="FN42" s="2689">
        <f t="shared" ref="FN42" si="1087">FM42</f>
        <v>30</v>
      </c>
      <c r="FO42" s="2689">
        <f t="shared" ref="FO42" si="1088">FN42</f>
        <v>30</v>
      </c>
      <c r="FP42" s="2689">
        <f t="shared" ref="FP42" si="1089">FO42</f>
        <v>30</v>
      </c>
      <c r="FQ42" s="2689">
        <f t="shared" ref="FQ42" si="1090">FP42</f>
        <v>30</v>
      </c>
      <c r="FR42" s="2689">
        <f t="shared" ref="FR42" si="1091">FQ42</f>
        <v>30</v>
      </c>
      <c r="FS42" s="2689">
        <f t="shared" ref="FS42" si="1092">FR42</f>
        <v>30</v>
      </c>
      <c r="FT42" s="2689">
        <f t="shared" ref="FT42" si="1093">FS42</f>
        <v>30</v>
      </c>
      <c r="FU42" s="2689">
        <f t="shared" ref="FU42" si="1094">FT42</f>
        <v>30</v>
      </c>
      <c r="FV42" s="2689">
        <f t="shared" ref="FV42" si="1095">FU42</f>
        <v>30</v>
      </c>
      <c r="FW42" s="2689">
        <f t="shared" ref="FW42" si="1096">FV42</f>
        <v>30</v>
      </c>
      <c r="FX42" s="2689">
        <f t="shared" ref="FX42" si="1097">FW42</f>
        <v>30</v>
      </c>
      <c r="FY42" s="2689">
        <f t="shared" ref="FY42" si="1098">FX42</f>
        <v>30</v>
      </c>
    </row>
    <row r="43" spans="1:181" s="3281" customFormat="1">
      <c r="A43" s="3250" t="str">
        <f>A25</f>
        <v>Average REV per store (bnVND/Store)</v>
      </c>
      <c r="B43" s="3250">
        <f>B38/B41</f>
        <v>0.63291139240506333</v>
      </c>
      <c r="C43" s="3250">
        <f>C38/AVERAGE(B41:C41)</f>
        <v>0.56562500000000004</v>
      </c>
      <c r="D43" s="3250">
        <f t="shared" ref="D43:M43" si="1099">D38/AVERAGE(C41:D41)</f>
        <v>0.66273932253313694</v>
      </c>
      <c r="E43" s="3250">
        <f t="shared" si="1099"/>
        <v>0.75069252077562332</v>
      </c>
      <c r="F43" s="3250">
        <f t="shared" si="1099"/>
        <v>0.87686062246278751</v>
      </c>
      <c r="G43" s="3250">
        <f t="shared" si="1099"/>
        <v>0.9285714285714286</v>
      </c>
      <c r="H43" s="3250">
        <f t="shared" si="1099"/>
        <v>1.0296010296010296</v>
      </c>
      <c r="I43" s="3250">
        <f t="shared" si="1099"/>
        <v>1.0526315789473684</v>
      </c>
      <c r="J43" s="3250">
        <f t="shared" si="1099"/>
        <v>1.0515970515970516</v>
      </c>
      <c r="K43" s="3250">
        <f t="shared" si="1099"/>
        <v>1.1376370280146164</v>
      </c>
      <c r="L43" s="3250">
        <f t="shared" si="1099"/>
        <v>1.1887254901960784</v>
      </c>
      <c r="M43" s="3250">
        <f t="shared" si="1099"/>
        <v>1.4185772558714473</v>
      </c>
      <c r="N43" s="3250">
        <f>N38/AVERAGE(M41:N41)</f>
        <v>1.5205811138014529</v>
      </c>
      <c r="O43" s="3250">
        <f>O38/AVERAGE(N41:O41)</f>
        <v>1.0023696682464456</v>
      </c>
      <c r="P43" s="3250">
        <f t="shared" ref="P43:BD43" si="1100">P38/AVERAGE(O41:P41)</f>
        <v>1.3701905829596412</v>
      </c>
      <c r="Q43" s="3250">
        <f t="shared" si="1100"/>
        <v>1.4152721712538232</v>
      </c>
      <c r="R43" s="3250">
        <f t="shared" si="1100"/>
        <v>1.5192734153263949</v>
      </c>
      <c r="S43" s="3250">
        <f>S38/AVERAGE(R41:S41)</f>
        <v>1.6824471615720524</v>
      </c>
      <c r="T43" s="3250">
        <f t="shared" si="1100"/>
        <v>1.541976171564734</v>
      </c>
      <c r="U43" s="3250">
        <f t="shared" si="1100"/>
        <v>1.5359725433526012</v>
      </c>
      <c r="V43" s="3250">
        <f t="shared" si="1100"/>
        <v>1.3469385327164582</v>
      </c>
      <c r="W43" s="3250">
        <f t="shared" si="1100"/>
        <v>1.3120205562273268</v>
      </c>
      <c r="X43" s="3250">
        <f t="shared" si="1100"/>
        <v>1.3270509977827052</v>
      </c>
      <c r="Y43" s="3250">
        <f t="shared" si="1100"/>
        <v>1.3435457348406994</v>
      </c>
      <c r="Z43" s="3250">
        <f t="shared" si="1100"/>
        <v>1.2872620790629574</v>
      </c>
      <c r="AA43" s="3250">
        <f t="shared" si="1100"/>
        <v>1.2037610241820771</v>
      </c>
      <c r="AB43" s="3250">
        <f t="shared" si="1100"/>
        <v>1.7096522911051211</v>
      </c>
      <c r="AC43" s="3250">
        <f t="shared" si="1100"/>
        <v>1.4063821070234117</v>
      </c>
      <c r="AD43" s="3250">
        <f t="shared" si="1100"/>
        <v>1.2798291650634859</v>
      </c>
      <c r="AE43" s="3250">
        <f t="shared" si="1100"/>
        <v>1.1381620484040693</v>
      </c>
      <c r="AF43" s="3250">
        <f t="shared" si="1100"/>
        <v>1.178385297013455</v>
      </c>
      <c r="AG43" s="3250">
        <f t="shared" si="1100"/>
        <v>1.2380671736375171</v>
      </c>
      <c r="AH43" s="3250">
        <f t="shared" si="1100"/>
        <v>1.1957128651336233</v>
      </c>
      <c r="AI43" s="3250">
        <f t="shared" si="1100"/>
        <v>1.2125086916742907</v>
      </c>
      <c r="AJ43" s="3250">
        <f t="shared" si="1100"/>
        <v>1.2242249476518106</v>
      </c>
      <c r="AK43" s="3250">
        <f t="shared" si="1100"/>
        <v>1.2386048150322944</v>
      </c>
      <c r="AL43" s="3250">
        <f t="shared" si="1100"/>
        <v>1.338114186851211</v>
      </c>
      <c r="AM43" s="3250">
        <f t="shared" si="1100"/>
        <v>0.94395834522111255</v>
      </c>
      <c r="AN43" s="3250">
        <f t="shared" si="1100"/>
        <v>1.1212228214589839</v>
      </c>
      <c r="AO43" s="3250">
        <f t="shared" si="1100"/>
        <v>1.1989854341736697</v>
      </c>
      <c r="AP43" s="3250">
        <f t="shared" si="1100"/>
        <v>1.3877120963327856</v>
      </c>
      <c r="AQ43" s="3250">
        <f t="shared" si="1100"/>
        <v>1.4694132120887935</v>
      </c>
      <c r="AR43" s="3250">
        <f t="shared" si="1100"/>
        <v>2.2024512739690043</v>
      </c>
      <c r="AS43" s="3250">
        <f>AS38/AVERAGE(AR41:AS41)</f>
        <v>1.6010402911359514</v>
      </c>
      <c r="AT43" s="3250">
        <f t="shared" si="1100"/>
        <v>0.99897203521491429</v>
      </c>
      <c r="AU43" s="3250">
        <f t="shared" si="1100"/>
        <v>1.0341261633919339</v>
      </c>
      <c r="AV43" s="3250">
        <f t="shared" si="1100"/>
        <v>0.9074747474747471</v>
      </c>
      <c r="AW43" s="3250">
        <f t="shared" si="1100"/>
        <v>0.86514133591481013</v>
      </c>
      <c r="AX43" s="3250">
        <f>AX38/2/AVERAGE(AW41:AX41)</f>
        <v>0.92242194891201512</v>
      </c>
      <c r="AY43" s="3250">
        <f t="shared" si="1100"/>
        <v>1.0072958343139562</v>
      </c>
      <c r="AZ43" s="3250">
        <f t="shared" si="1100"/>
        <v>1.0124209046168269</v>
      </c>
      <c r="BA43" s="3250">
        <f t="shared" si="1100"/>
        <v>1.0747663551401869</v>
      </c>
      <c r="BB43" s="3250">
        <f t="shared" si="1100"/>
        <v>1.1494286423430138</v>
      </c>
      <c r="BC43" s="3250">
        <f>BC38/2/AVERAGE(BB41:BC41)</f>
        <v>1.2216844891476974</v>
      </c>
      <c r="BD43" s="3250">
        <f t="shared" si="1100"/>
        <v>1.3159359823399552</v>
      </c>
      <c r="BE43" s="3250">
        <v>1.36</v>
      </c>
      <c r="BF43" s="3250">
        <f>BF38/AVERAGE(BE41:BF41)</f>
        <v>1.37</v>
      </c>
      <c r="BG43" s="3250">
        <f>BG38/AVERAGE(BF41:BG41)</f>
        <v>1.37</v>
      </c>
      <c r="BH43" s="3250">
        <f>BH38/AVERAGE(BG41:BH41)</f>
        <v>1.3286255787037025</v>
      </c>
      <c r="BI43" s="3250">
        <f>BI38/AVERAGE(BH41:BI41)</f>
        <v>1.4358621128472233</v>
      </c>
      <c r="BJ43" s="3251">
        <f>BJ77</f>
        <v>1.1929352226720649</v>
      </c>
      <c r="BK43" s="3251">
        <f>BJ43</f>
        <v>1.1929352226720649</v>
      </c>
      <c r="BL43" s="3251">
        <f>BL38/AVERAGE(BK41:BL41)</f>
        <v>1.3053038674033151</v>
      </c>
      <c r="BM43" s="3251">
        <f t="shared" ref="BM43:BR43" si="1101">BM38/AVERAGE(BL41:BM41)</f>
        <v>1.3527232884727913</v>
      </c>
      <c r="BN43" s="3251">
        <f t="shared" ca="1" si="1101"/>
        <v>1.4329073270808907</v>
      </c>
      <c r="BO43" s="3251">
        <f t="shared" ca="1" si="1101"/>
        <v>1.5037865102639287</v>
      </c>
      <c r="BP43" s="3251">
        <f t="shared" ca="1" si="1101"/>
        <v>1.6410199296600245</v>
      </c>
      <c r="BQ43" s="3251">
        <f t="shared" ca="1" si="1101"/>
        <v>1.7174970691676432</v>
      </c>
      <c r="BR43" s="3262">
        <f t="shared" ca="1" si="1101"/>
        <v>1.701603751465417</v>
      </c>
      <c r="BS43" s="3251">
        <f ca="1">BS38/AVERAGE(BR41:BS41)</f>
        <v>1.8003563892145367</v>
      </c>
      <c r="BT43" s="3251">
        <f ca="1">BT38/AVERAGE(BS41:BT41)</f>
        <v>1.761967675580371</v>
      </c>
      <c r="BU43" s="3251">
        <f ca="1">BU38/AVERAGE(BT41:BU41)</f>
        <v>1.8785614138438882</v>
      </c>
      <c r="BV43" s="3251">
        <f>3400/BV41</f>
        <v>2.0023557126030624</v>
      </c>
      <c r="BW43" s="3251">
        <f t="shared" ref="BW43:BX43" ca="1" si="1102">BW38/AVERAGE(BV41:BW41)</f>
        <v>1.5870824499411067</v>
      </c>
      <c r="BX43" s="3251">
        <f t="shared" ca="1" si="1102"/>
        <v>1.8077210312315861</v>
      </c>
      <c r="BY43" s="3251">
        <v>1.9060515389150938</v>
      </c>
      <c r="BZ43" s="3251">
        <v>2.0287849145551</v>
      </c>
      <c r="CA43" s="3251">
        <f ca="1">CA38/AVERAGE(BZ41:CA41)</f>
        <v>2.1484889673433361</v>
      </c>
      <c r="CB43" s="3251">
        <f t="shared" ref="CB43:CG43" ca="1" si="1103">CB38/AVERAGE(CA41:CB41)</f>
        <v>2.0848187958884008</v>
      </c>
      <c r="CC43" s="3251">
        <f t="shared" ca="1" si="1103"/>
        <v>2.1624099270072996</v>
      </c>
      <c r="CD43" s="3251">
        <f t="shared" ca="1" si="1103"/>
        <v>2.081346098056279</v>
      </c>
      <c r="CE43" s="3251">
        <f t="shared" ca="1" si="1103"/>
        <v>2.0353331407107773</v>
      </c>
      <c r="CF43" s="3251">
        <f t="shared" ca="1" si="1103"/>
        <v>2.0587181556195988</v>
      </c>
      <c r="CG43" s="3251">
        <f t="shared" ca="1" si="1103"/>
        <v>2.0885757729283876</v>
      </c>
      <c r="CH43" s="3251">
        <f>CH38/AVERAGE(CG41:CH41)</f>
        <v>2.0799789489512066</v>
      </c>
      <c r="CI43" s="3251">
        <f ca="1">CI38/AVERAGE(CH41:CI41)</f>
        <v>1.790311926675352</v>
      </c>
      <c r="CJ43" s="3251">
        <f ca="1">CJ38/AVERAGE(CI41:CJ41)</f>
        <v>2.0350368947510318</v>
      </c>
      <c r="CK43" s="3251">
        <f t="shared" ref="CK43:CM43" si="1104">CK38/AVERAGE(CJ41:CK41)</f>
        <v>1.9684115633132737</v>
      </c>
      <c r="CL43" s="3251">
        <f t="shared" si="1104"/>
        <v>1.811253024201787</v>
      </c>
      <c r="CM43" s="3251">
        <f t="shared" si="1104"/>
        <v>1.6732905591200733</v>
      </c>
      <c r="CN43" s="3251">
        <f ca="1">CN38/AVERAGE(CM41:CN41)</f>
        <v>1.7692736689659945</v>
      </c>
      <c r="CO43" s="3251">
        <f ca="1">CO38/AVERAGE(CN41:CO41)</f>
        <v>1.7886693711967547</v>
      </c>
      <c r="CP43" s="3251">
        <f ca="1">CP38/AVERAGE(CO41:CP41)</f>
        <v>1.7385819146584125</v>
      </c>
      <c r="CQ43" s="3251">
        <f ca="1">CQ38/AVERAGE(CP41:CQ41)</f>
        <v>1.7112888412017166</v>
      </c>
      <c r="CR43" s="3250">
        <f t="shared" ref="CR43:DR43" ca="1" si="1105">CR38/AVERAGE(CQ41:CR41)</f>
        <v>1.7270762572135181</v>
      </c>
      <c r="CS43" s="3250">
        <f t="shared" ca="1" si="1105"/>
        <v>2.0316611468149355</v>
      </c>
      <c r="CT43" s="3250">
        <f t="shared" si="1105"/>
        <v>2.1122015736521718</v>
      </c>
      <c r="CU43" s="3250">
        <f t="shared" ca="1" si="1105"/>
        <v>1.81754752300669</v>
      </c>
      <c r="CV43" s="3250">
        <f t="shared" ca="1" si="1105"/>
        <v>2.0613447551261816</v>
      </c>
      <c r="CW43" s="3250">
        <f t="shared" si="1105"/>
        <v>1.9885351514596421</v>
      </c>
      <c r="CX43" s="3250">
        <f t="shared" si="1105"/>
        <v>1.902245271525046</v>
      </c>
      <c r="CY43" s="3250">
        <f t="shared" si="1105"/>
        <v>1.7722287606561009</v>
      </c>
      <c r="CZ43" s="3250">
        <f t="shared" ca="1" si="1105"/>
        <v>1.8874014693740493</v>
      </c>
      <c r="DA43" s="3250">
        <f t="shared" ca="1" si="1105"/>
        <v>1.9138820686872919</v>
      </c>
      <c r="DB43" s="3250">
        <f t="shared" ca="1" si="1105"/>
        <v>1.8531372557897454</v>
      </c>
      <c r="DC43" s="3250">
        <f t="shared" ca="1" si="1105"/>
        <v>1.8415342430911013</v>
      </c>
      <c r="DD43" s="3250">
        <f t="shared" ca="1" si="1105"/>
        <v>1.8443710892969172</v>
      </c>
      <c r="DE43" s="3250">
        <f t="shared" ca="1" si="1105"/>
        <v>2.1725992296817331</v>
      </c>
      <c r="DF43" s="3250">
        <f>DF38/AVERAGE(DE41:DF41)</f>
        <v>2.1621535506375689</v>
      </c>
      <c r="DG43" s="3250">
        <f t="shared" ca="1" si="1105"/>
        <v>1.8291688596492972</v>
      </c>
      <c r="DH43" s="3250">
        <f t="shared" ca="1" si="1105"/>
        <v>2.0761660432706037</v>
      </c>
      <c r="DI43" s="3250">
        <f t="shared" si="1105"/>
        <v>2.0446121844035106</v>
      </c>
      <c r="DJ43" s="3250">
        <f t="shared" si="1105"/>
        <v>1.954978967597006</v>
      </c>
      <c r="DK43" s="3250">
        <f t="shared" si="1105"/>
        <v>1.8335212573191084</v>
      </c>
      <c r="DL43" s="3250">
        <f t="shared" ca="1" si="1105"/>
        <v>1.9566027159596027</v>
      </c>
      <c r="DM43" s="3250">
        <f t="shared" ca="1" si="1105"/>
        <v>1.9726633737142354</v>
      </c>
      <c r="DN43" s="3250">
        <f t="shared" ca="1" si="1105"/>
        <v>1.9151820746724466</v>
      </c>
      <c r="DO43" s="3250">
        <f t="shared" ca="1" si="1105"/>
        <v>1.9058234337500235</v>
      </c>
      <c r="DP43" s="3250">
        <f t="shared" ca="1" si="1105"/>
        <v>1.9083415705714277</v>
      </c>
      <c r="DQ43" s="3250">
        <f t="shared" ca="1" si="1105"/>
        <v>2.2457799558481013</v>
      </c>
      <c r="DR43" s="3250">
        <f t="shared" si="1105"/>
        <v>2.1709617372673655</v>
      </c>
      <c r="DS43" s="3250">
        <f t="shared" ref="DS43" ca="1" si="1106">DS38/AVERAGE(DR41:DS41)</f>
        <v>1.8369086713215625</v>
      </c>
      <c r="DT43" s="3250">
        <f t="shared" ref="DT43" ca="1" si="1107">DT38/AVERAGE(DS41:DT41)</f>
        <v>2.0929411868866046</v>
      </c>
      <c r="DU43" s="3250">
        <f t="shared" ref="DU43" si="1108">DU38/AVERAGE(DT41:DU41)</f>
        <v>2.063752106572927</v>
      </c>
      <c r="DV43" s="3250">
        <f t="shared" ref="DV43" si="1109">DV38/AVERAGE(DU41:DV41)</f>
        <v>1.9747786964715297</v>
      </c>
      <c r="DW43" s="3250">
        <f t="shared" ref="DW43" si="1110">DW38/AVERAGE(DV41:DW41)</f>
        <v>1.8521591143914444</v>
      </c>
      <c r="DX43" s="3250">
        <f t="shared" ref="DX43" ca="1" si="1111">DX38/AVERAGE(DW41:DX41)</f>
        <v>1.9779297740575792</v>
      </c>
      <c r="DY43" s="3250">
        <f t="shared" ref="DY43" ca="1" si="1112">DY38/AVERAGE(DX41:DY41)</f>
        <v>1.9992032223164151</v>
      </c>
      <c r="DZ43" s="3250">
        <f t="shared" ref="DZ43" ca="1" si="1113">DZ38/AVERAGE(DY41:DZ41)</f>
        <v>1.9465789168741441</v>
      </c>
      <c r="EA43" s="3250">
        <f t="shared" ref="EA43" ca="1" si="1114">EA38/AVERAGE(DZ41:EA41)</f>
        <v>1.9310066417044651</v>
      </c>
      <c r="EB43" s="3250">
        <f t="shared" ref="EB43" ca="1" si="1115">EB38/AVERAGE(EA41:EB41)</f>
        <v>1.9339703277000158</v>
      </c>
      <c r="EC43" s="3250">
        <f t="shared" ref="EC43" ca="1" si="1116">EC38/AVERAGE(EB41:EC41)</f>
        <v>2.2764133075965507</v>
      </c>
      <c r="ED43" s="3250">
        <f t="shared" ref="ED43" si="1117">ED38/AVERAGE(EC41:ED41)</f>
        <v>2.2002813094841969</v>
      </c>
      <c r="EE43" s="3250">
        <f t="shared" ref="EE43" ca="1" si="1118">EE38/AVERAGE(ED41:EE41)</f>
        <v>1.8612650234464958</v>
      </c>
      <c r="EF43" s="3250">
        <f t="shared" ref="EF43" ca="1" si="1119">EF38/AVERAGE(EE41:EF41)</f>
        <v>2.1257393697276852</v>
      </c>
      <c r="EG43" s="3250">
        <f t="shared" ref="EG43" si="1120">EG38/AVERAGE(EF41:EG41)</f>
        <v>2.0972617656758796</v>
      </c>
      <c r="EH43" s="3250">
        <f t="shared" ref="EH43" si="1121">EH38/AVERAGE(EG41:EH41)</f>
        <v>2.00752883791897</v>
      </c>
      <c r="EI43" s="3250">
        <f t="shared" ref="EI43" si="1122">EI38/AVERAGE(EH41:EI41)</f>
        <v>1.8825520012585479</v>
      </c>
      <c r="EJ43" s="3250">
        <f t="shared" ref="EJ43" ca="1" si="1123">EJ38/AVERAGE(EI41:EJ41)</f>
        <v>2.0110557911167657</v>
      </c>
      <c r="EK43" s="3250">
        <f t="shared" ref="EK43" ca="1" si="1124">EK38/AVERAGE(EJ41:EK41)</f>
        <v>2.0349631764654932</v>
      </c>
      <c r="EL43" s="3250">
        <f t="shared" ref="EL43" ca="1" si="1125">EL38/AVERAGE(EK41:EL41)</f>
        <v>1.9855180518068012</v>
      </c>
      <c r="EM43" s="3250">
        <f t="shared" ref="EM43" ca="1" si="1126">EM38/AVERAGE(EL41:EM41)</f>
        <v>1.9650405409633416</v>
      </c>
      <c r="EN43" s="3250">
        <f t="shared" ref="EN43" ca="1" si="1127">EN38/AVERAGE(EM41:EN41)</f>
        <v>1.9682843080859118</v>
      </c>
      <c r="EO43" s="3250">
        <f t="shared" ref="EO43" ca="1" si="1128">EO38/AVERAGE(EN41:EO41)</f>
        <v>2.3170663053388707</v>
      </c>
      <c r="EP43" s="3250">
        <f t="shared" ref="EP43" si="1129">EP38/AVERAGE(EO41:EP41)</f>
        <v>2.2385020328300573</v>
      </c>
      <c r="EQ43" s="3250">
        <f t="shared" ref="EQ43" ca="1" si="1130">EQ38/AVERAGE(EP41:EQ41)</f>
        <v>1.8943207363640664</v>
      </c>
      <c r="ER43" s="3250">
        <f t="shared" ref="ER43" ca="1" si="1131">ER38/AVERAGE(EQ41:ER41)</f>
        <v>2.167360375857633</v>
      </c>
      <c r="ES43" s="3250">
        <f t="shared" ref="ES43" si="1132">ES38/AVERAGE(ER41:ES41)</f>
        <v>2.1400413371727147</v>
      </c>
      <c r="ET43" s="3250">
        <f t="shared" ref="ET43" si="1133">ET38/AVERAGE(ES41:ET41)</f>
        <v>2.0493434485865114</v>
      </c>
      <c r="EU43" s="3250">
        <f t="shared" ref="EU43" si="1134">EU38/AVERAGE(ET41:EU41)</f>
        <v>1.9220350665104322</v>
      </c>
      <c r="EV43" s="3250">
        <f t="shared" ref="EV43" ca="1" si="1135">EV38/AVERAGE(EU41:EV41)</f>
        <v>2.054085154448396</v>
      </c>
      <c r="EW43" s="3250">
        <f t="shared" ref="EW43" ca="1" si="1136">EW38/AVERAGE(EV41:EW41)</f>
        <v>2.082384397101098</v>
      </c>
      <c r="EX43" s="3250">
        <f t="shared" ref="EX43" ca="1" si="1137">EX38/AVERAGE(EW41:EX41)</f>
        <v>2.0340628446990996</v>
      </c>
      <c r="EY43" s="3250">
        <f t="shared" ref="EY43" ca="1" si="1138">EY38/AVERAGE(EX41:EY41)</f>
        <v>2.0104309762569716</v>
      </c>
      <c r="EZ43" s="3250">
        <f t="shared" ref="EZ43" ca="1" si="1139">EZ38/AVERAGE(EY41:EZ41)</f>
        <v>2.0138220889012954</v>
      </c>
      <c r="FA43" s="3250">
        <f t="shared" ref="FA43" ca="1" si="1140">FA38/AVERAGE(EZ41:FA41)</f>
        <v>2.3707577737205825</v>
      </c>
      <c r="FB43" s="3250">
        <f t="shared" ref="FB43" si="1141">FB38/AVERAGE(FA41:FB41)</f>
        <v>2.290453622561563</v>
      </c>
      <c r="FC43" s="3250">
        <f t="shared" ref="FC43" ca="1" si="1142">FC38/AVERAGE(FB41:FC41)</f>
        <v>1.9383520134415089</v>
      </c>
      <c r="FD43" s="3250">
        <f t="shared" ref="FD43" ca="1" si="1143">FD38/AVERAGE(FC41:FD41)</f>
        <v>2.217814579421947</v>
      </c>
      <c r="FE43" s="3250">
        <f t="shared" ref="FE43" si="1144">FE38/AVERAGE(FD41:FE41)</f>
        <v>2.1899342690572756</v>
      </c>
      <c r="FF43" s="3250">
        <f t="shared" ref="FF43" si="1145">FF38/AVERAGE(FE41:FF41)</f>
        <v>2.0971926360286681</v>
      </c>
      <c r="FG43" s="3250">
        <f t="shared" ref="FG43" si="1146">FG38/AVERAGE(FF41:FG41)</f>
        <v>1.9669774951643086</v>
      </c>
      <c r="FH43" s="3250">
        <f t="shared" ref="FH43" ca="1" si="1147">FH38/AVERAGE(FG41:FH41)</f>
        <v>2.1021847775852454</v>
      </c>
      <c r="FI43" s="3250">
        <f t="shared" ref="FI43" ca="1" si="1148">FI38/AVERAGE(FH41:FI41)</f>
        <v>2.1312164348072411</v>
      </c>
      <c r="FJ43" s="3250">
        <f t="shared" ref="FJ43" ca="1" si="1149">FJ38/AVERAGE(FI41:FJ41)</f>
        <v>2.0818291745522202</v>
      </c>
      <c r="FK43" s="3250">
        <f t="shared" ref="FK43" ca="1" si="1150">FK38/AVERAGE(FJ41:FK41)</f>
        <v>2.0577083345428466</v>
      </c>
      <c r="FL43" s="3250">
        <f t="shared" ref="FL43" ca="1" si="1151">FL38/AVERAGE(FK41:FL41)</f>
        <v>2.0612446222575254</v>
      </c>
      <c r="FM43" s="3250">
        <f t="shared" ref="FM43" ca="1" si="1152">FM38/AVERAGE(FL41:FM41)</f>
        <v>2.4266618732260414</v>
      </c>
      <c r="FN43" s="3250">
        <f t="shared" ref="FN43" si="1153">FN38/AVERAGE(FM41:FN41)</f>
        <v>2.3445370392140279</v>
      </c>
      <c r="FO43" s="3250">
        <f t="shared" ref="FO43" ca="1" si="1154">FO38/AVERAGE(FN41:FO41)</f>
        <v>1.9841825398610156</v>
      </c>
      <c r="FP43" s="3250">
        <f t="shared" ref="FP43" ca="1" si="1155">FP38/AVERAGE(FO41:FP41)</f>
        <v>2.2703219841977327</v>
      </c>
      <c r="FQ43" s="3250">
        <f t="shared" ref="FQ43" si="1156">FQ38/AVERAGE(FP41:FQ41)</f>
        <v>2.2418493068825649</v>
      </c>
      <c r="FR43" s="3250">
        <f t="shared" ref="FR43" si="1157">FR38/AVERAGE(FQ41:FR41)</f>
        <v>2.1469733306978847</v>
      </c>
      <c r="FS43" s="3250">
        <f t="shared" ref="FS43" si="1158">FS38/AVERAGE(FR41:FS41)</f>
        <v>2.0137269352765039</v>
      </c>
      <c r="FT43" s="3250">
        <f t="shared" ref="FT43" ca="1" si="1159">FT38/AVERAGE(FS41:FT41)</f>
        <v>2.1522108336742884</v>
      </c>
      <c r="FU43" s="3250">
        <f t="shared" ref="FU43" ca="1" si="1160">FU38/AVERAGE(FT41:FU41)</f>
        <v>2.1819967452089095</v>
      </c>
      <c r="FV43" s="3250">
        <f t="shared" ref="FV43" ca="1" si="1161">FV38/AVERAGE(FU41:FV41)</f>
        <v>2.1314940622164817</v>
      </c>
      <c r="FW43" s="3250">
        <f t="shared" ref="FW43" ca="1" si="1162">FW38/AVERAGE(FV41:FW41)</f>
        <v>2.1068578235498907</v>
      </c>
      <c r="FX43" s="3250">
        <f t="shared" ref="FX43" ca="1" si="1163">FX38/AVERAGE(FW41:FX41)</f>
        <v>2.1105381491189337</v>
      </c>
      <c r="FY43" s="3250">
        <f t="shared" ref="FY43" ca="1" si="1164">FY38/AVERAGE(FX41:FY41)</f>
        <v>2.4847636245375546</v>
      </c>
    </row>
    <row r="44" spans="1:181" s="3286" customFormat="1">
      <c r="A44" s="3282" t="str">
        <f>A26</f>
        <v>%YoY</v>
      </c>
      <c r="B44" s="3283"/>
      <c r="C44" s="3283"/>
      <c r="D44" s="3283"/>
      <c r="E44" s="3283"/>
      <c r="F44" s="3283"/>
      <c r="G44" s="3283"/>
      <c r="H44" s="3283"/>
      <c r="I44" s="3283"/>
      <c r="J44" s="3283"/>
      <c r="K44" s="3283"/>
      <c r="L44" s="3283"/>
      <c r="M44" s="3283"/>
      <c r="N44" s="3242">
        <f t="shared" ref="N44:AW44" si="1165">N43/B43-1</f>
        <v>1.4025181598062955</v>
      </c>
      <c r="O44" s="3242">
        <f t="shared" si="1165"/>
        <v>0.77214526982797005</v>
      </c>
      <c r="P44" s="3242">
        <f t="shared" si="1165"/>
        <v>1.0674653462879919</v>
      </c>
      <c r="Q44" s="3242">
        <f t="shared" si="1165"/>
        <v>0.88528875949310026</v>
      </c>
      <c r="R44" s="3242">
        <f t="shared" si="1165"/>
        <v>0.73262816963920674</v>
      </c>
      <c r="S44" s="3242">
        <f t="shared" si="1165"/>
        <v>0.81186617400067185</v>
      </c>
      <c r="T44" s="3242">
        <f t="shared" si="1165"/>
        <v>0.49764435663224793</v>
      </c>
      <c r="U44" s="3242">
        <f t="shared" si="1165"/>
        <v>0.45917391618497128</v>
      </c>
      <c r="V44" s="3242">
        <f t="shared" si="1165"/>
        <v>0.2808504271392489</v>
      </c>
      <c r="W44" s="3242">
        <f t="shared" si="1165"/>
        <v>0.15328573518483424</v>
      </c>
      <c r="X44" s="3242">
        <f t="shared" si="1165"/>
        <v>0.11636455071204899</v>
      </c>
      <c r="Y44" s="3242">
        <f t="shared" si="1165"/>
        <v>-5.2892093624224423E-2</v>
      </c>
      <c r="Z44" s="3242">
        <f t="shared" si="1165"/>
        <v>-0.15344070278184496</v>
      </c>
      <c r="AA44" s="3242">
        <f t="shared" si="1165"/>
        <v>0.2009152534393297</v>
      </c>
      <c r="AB44" s="3242">
        <f t="shared" si="1165"/>
        <v>0.24774780411366959</v>
      </c>
      <c r="AC44" s="3242">
        <f t="shared" si="1165"/>
        <v>-6.2815226717385375E-3</v>
      </c>
      <c r="AD44" s="3242">
        <f t="shared" si="1165"/>
        <v>-0.15760444950026842</v>
      </c>
      <c r="AE44" s="3242">
        <f t="shared" si="1165"/>
        <v>-0.32350799811116304</v>
      </c>
      <c r="AF44" s="3242">
        <f t="shared" si="1165"/>
        <v>-0.23579539117152637</v>
      </c>
      <c r="AG44" s="3242">
        <f t="shared" si="1165"/>
        <v>-0.19395227538692816</v>
      </c>
      <c r="AH44" s="3242">
        <f t="shared" si="1165"/>
        <v>-0.11227362192827639</v>
      </c>
      <c r="AI44" s="3242">
        <f t="shared" si="1165"/>
        <v>-7.5846269390152932E-2</v>
      </c>
      <c r="AJ44" s="3242">
        <f t="shared" si="1165"/>
        <v>-7.7484625913172067E-2</v>
      </c>
      <c r="AK44" s="3242">
        <f t="shared" si="1165"/>
        <v>-7.8107441441766512E-2</v>
      </c>
      <c r="AL44" s="3242">
        <f t="shared" si="1165"/>
        <v>3.9504082824587394E-2</v>
      </c>
      <c r="AM44" s="3242">
        <f t="shared" si="1165"/>
        <v>-0.21582579410850533</v>
      </c>
      <c r="AN44" s="3242">
        <f t="shared" si="1165"/>
        <v>-0.34418078617949599</v>
      </c>
      <c r="AO44" s="3242">
        <f t="shared" si="1165"/>
        <v>-0.1474682248970689</v>
      </c>
      <c r="AP44" s="3242">
        <f t="shared" si="1165"/>
        <v>8.4294790440994749E-2</v>
      </c>
      <c r="AQ44" s="3242">
        <f t="shared" si="1165"/>
        <v>0.29104042271415098</v>
      </c>
      <c r="AR44" s="3242">
        <f t="shared" si="1165"/>
        <v>0.86904171288540488</v>
      </c>
      <c r="AS44" s="3242">
        <f t="shared" si="1165"/>
        <v>0.29317724048203053</v>
      </c>
      <c r="AT44" s="3242">
        <f t="shared" si="1165"/>
        <v>-0.16453852396806223</v>
      </c>
      <c r="AU44" s="3242">
        <f t="shared" si="1165"/>
        <v>-0.14711855635116111</v>
      </c>
      <c r="AV44" s="3242">
        <f t="shared" si="1165"/>
        <v>-0.25873529271284901</v>
      </c>
      <c r="AW44" s="3242">
        <f t="shared" si="1165"/>
        <v>-0.30151947948607549</v>
      </c>
      <c r="AX44" s="3284">
        <f>SUM(BB42:BE42)/AT41</f>
        <v>-0.21406411582213031</v>
      </c>
      <c r="AY44" s="3283"/>
      <c r="AZ44" s="3283"/>
      <c r="BA44" s="3283"/>
      <c r="BB44" s="3283"/>
      <c r="BC44" s="3283"/>
      <c r="BD44" s="3283">
        <f>AVERAGE(BA38,BB38,AZ38)/AVERAGE(BA41:BB41,AZ41)</f>
        <v>1.0983180418220133</v>
      </c>
      <c r="BE44" s="3283"/>
      <c r="BF44" s="3283"/>
      <c r="BG44" s="3283"/>
      <c r="BH44" s="3282"/>
      <c r="BI44" s="3283"/>
      <c r="BJ44" s="3245">
        <f>1.3*BJ41</f>
        <v>2247.7000000000003</v>
      </c>
      <c r="BK44" s="2684">
        <f>(BJ70-BJ44)/BK41</f>
        <v>1.0858704453441295</v>
      </c>
      <c r="BL44" s="2684"/>
      <c r="BM44" s="2684">
        <f>BM43/AZ43-1</f>
        <v>0.3361273777577316</v>
      </c>
      <c r="BN44" s="2684"/>
      <c r="BO44" s="3260"/>
      <c r="BP44" s="2684">
        <f ca="1">BP43/BO43-1</f>
        <v>9.1258578567784854E-2</v>
      </c>
      <c r="BQ44" s="2684">
        <f ca="1">BQ43/BP43-1</f>
        <v>4.6603419084290332E-2</v>
      </c>
      <c r="BR44" s="2684"/>
      <c r="BS44" s="2684"/>
      <c r="BT44" s="2684"/>
      <c r="BU44" s="2684"/>
      <c r="BV44" s="3285"/>
      <c r="BW44" s="3260"/>
      <c r="BX44" s="2684"/>
      <c r="BY44" s="2684"/>
      <c r="BZ44" s="2684"/>
      <c r="CA44" s="2684"/>
      <c r="CB44" s="2684"/>
      <c r="CC44" s="2684"/>
      <c r="CD44" s="2684"/>
      <c r="CE44" s="2684"/>
      <c r="CF44" s="2684"/>
      <c r="CG44" s="2684"/>
      <c r="CH44" s="2684">
        <f>CH43/BV43-1</f>
        <v>3.8765957446808441E-2</v>
      </c>
      <c r="CI44" s="2684">
        <f t="shared" ref="CI44:DR44" ca="1" si="1166">CI43/BW43-1</f>
        <v>0.12805224879261101</v>
      </c>
      <c r="CJ44" s="2684">
        <f t="shared" ca="1" si="1166"/>
        <v>0.12574720302090925</v>
      </c>
      <c r="CK44" s="2684">
        <v>3.2716861598440561E-2</v>
      </c>
      <c r="CL44" s="2684">
        <v>-0.10722274638019613</v>
      </c>
      <c r="CM44" s="2684">
        <v>-0.22117796062544282</v>
      </c>
      <c r="CN44" s="2684">
        <f t="shared" ca="1" si="1166"/>
        <v>-0.15135374237066179</v>
      </c>
      <c r="CO44" s="2684">
        <f t="shared" ca="1" si="1166"/>
        <v>-0.17283520166215149</v>
      </c>
      <c r="CP44" s="2684">
        <f t="shared" ca="1" si="1166"/>
        <v>-0.16468389554143159</v>
      </c>
      <c r="CQ44" s="2684">
        <f t="shared" ca="1" si="1166"/>
        <v>-0.1592094645478519</v>
      </c>
      <c r="CR44" s="3242">
        <f t="shared" ca="1" si="1166"/>
        <v>-0.16109145270847847</v>
      </c>
      <c r="CS44" s="3242">
        <f t="shared" ca="1" si="1166"/>
        <v>-2.7250448296473495E-2</v>
      </c>
      <c r="CT44" s="3242">
        <f t="shared" si="1166"/>
        <v>1.5491803278688376E-2</v>
      </c>
      <c r="CU44" s="3242">
        <f t="shared" ca="1" si="1166"/>
        <v>1.5212765957446805E-2</v>
      </c>
      <c r="CV44" s="3242">
        <f t="shared" ca="1" si="1166"/>
        <v>1.2927461139896623E-2</v>
      </c>
      <c r="CW44" s="3242">
        <f t="shared" si="1166"/>
        <v>1.0223262513503917E-2</v>
      </c>
      <c r="CX44" s="3242">
        <f t="shared" si="1166"/>
        <v>5.0237181723055357E-2</v>
      </c>
      <c r="CY44" s="3242">
        <f t="shared" si="1166"/>
        <v>5.9127926705123901E-2</v>
      </c>
      <c r="CZ44" s="3242">
        <f t="shared" ca="1" si="1166"/>
        <v>6.6766268260292083E-2</v>
      </c>
      <c r="DA44" s="3242">
        <f t="shared" ca="1" si="1166"/>
        <v>7.0003265839320816E-2</v>
      </c>
      <c r="DB44" s="3242">
        <f t="shared" ca="1" si="1166"/>
        <v>6.5890102827763641E-2</v>
      </c>
      <c r="DC44" s="3242">
        <f t="shared" ca="1" si="1166"/>
        <v>7.6109537299339003E-2</v>
      </c>
      <c r="DD44" s="3242">
        <f t="shared" ca="1" si="1166"/>
        <v>6.7915259441203579E-2</v>
      </c>
      <c r="DE44" s="3242">
        <f t="shared" ca="1" si="1166"/>
        <v>6.9370860927152389E-2</v>
      </c>
      <c r="DF44" s="3242">
        <f t="shared" si="1166"/>
        <v>2.3649247121346528E-2</v>
      </c>
      <c r="DG44" s="3242">
        <f t="shared" ca="1" si="1166"/>
        <v>6.3939657673337535E-3</v>
      </c>
      <c r="DH44" s="3242">
        <f t="shared" ca="1" si="1166"/>
        <v>7.1901064135750925E-3</v>
      </c>
      <c r="DI44" s="3242">
        <f t="shared" si="1166"/>
        <v>2.8200171821305853E-2</v>
      </c>
      <c r="DJ44" s="3242">
        <f t="shared" si="1166"/>
        <v>2.7721817402486248E-2</v>
      </c>
      <c r="DK44" s="3242">
        <f t="shared" si="1166"/>
        <v>3.4584980237154284E-2</v>
      </c>
      <c r="DL44" s="3242">
        <f t="shared" ca="1" si="1166"/>
        <v>3.6664826062948741E-2</v>
      </c>
      <c r="DM44" s="3242">
        <f t="shared" ca="1" si="1166"/>
        <v>3.0713128038897919E-2</v>
      </c>
      <c r="DN44" s="3242">
        <f t="shared" ca="1" si="1166"/>
        <v>3.3480962453728003E-2</v>
      </c>
      <c r="DO44" s="3242">
        <f t="shared" ca="1" si="1166"/>
        <v>3.4910668047643645E-2</v>
      </c>
      <c r="DP44" s="3242">
        <f t="shared" ca="1" si="1166"/>
        <v>3.4684170471841691E-2</v>
      </c>
      <c r="DQ44" s="3242">
        <f t="shared" ca="1" si="1166"/>
        <v>3.3683490800596738E-2</v>
      </c>
      <c r="DR44" s="3242">
        <f t="shared" si="1166"/>
        <v>4.0738025415445467E-3</v>
      </c>
      <c r="DS44" s="3242">
        <f t="shared" ref="DS44" ca="1" si="1167">DS43/DG43-1</f>
        <v>4.2313270485860865E-3</v>
      </c>
      <c r="DT44" s="3242">
        <f t="shared" ref="DT44" ca="1" si="1168">DT43/DH43-1</f>
        <v>8.0798660927787758E-3</v>
      </c>
      <c r="DU44" s="3242">
        <f t="shared" ref="DU44" si="1169">DU43/DI43-1</f>
        <v>9.3611504007544699E-3</v>
      </c>
      <c r="DV44" s="3242">
        <f t="shared" ref="DV44" si="1170">DV43/DJ43-1</f>
        <v>1.0127847512784616E-2</v>
      </c>
      <c r="DW44" s="3242">
        <f t="shared" ref="DW44" si="1171">DW43/DK43-1</f>
        <v>1.0165061898211869E-2</v>
      </c>
      <c r="DX44" s="3242">
        <f t="shared" ref="DX44" ca="1" si="1172">DX43/DL43-1</f>
        <v>1.0900045228403377E-2</v>
      </c>
      <c r="DY44" s="3242">
        <f t="shared" ref="DY44" ca="1" si="1173">DY43/DM43-1</f>
        <v>1.3453815261044388E-2</v>
      </c>
      <c r="DZ44" s="3242">
        <f t="shared" ref="DZ44" ca="1" si="1174">DZ43/DN43-1</f>
        <v>1.639365918097746E-2</v>
      </c>
      <c r="EA44" s="3242">
        <f t="shared" ref="EA44" ca="1" si="1175">EA43/DO43-1</f>
        <v>1.3213820078227023E-2</v>
      </c>
      <c r="EB44" s="3242">
        <f t="shared" ref="EB44" ca="1" si="1176">EB43/DP43-1</f>
        <v>1.3429858429858443E-2</v>
      </c>
      <c r="EC44" s="3242">
        <f t="shared" ref="EC44" ca="1" si="1177">EC43/DQ43-1</f>
        <v>1.364040660736987E-2</v>
      </c>
      <c r="ED44" s="3242">
        <f t="shared" ref="ED44" si="1178">ED43/DR43-1</f>
        <v>1.3505338078291684E-2</v>
      </c>
      <c r="EE44" s="3242">
        <f t="shared" ref="EE44" ca="1" si="1179">EE43/DS43-1</f>
        <v>1.32594246546891E-2</v>
      </c>
      <c r="EF44" s="3242">
        <f t="shared" ref="EF44" ca="1" si="1180">EF43/DT43-1</f>
        <v>1.5670857378400571E-2</v>
      </c>
      <c r="EG44" s="3242">
        <f t="shared" ref="EG44" si="1181">EG43/DU43-1</f>
        <v>1.623725010199939E-2</v>
      </c>
      <c r="EH44" s="3242">
        <f t="shared" ref="EH44" si="1182">EH43/DV43-1</f>
        <v>1.6584208400646228E-2</v>
      </c>
      <c r="EI44" s="3242">
        <f t="shared" ref="EI44" si="1183">EI43/DW43-1</f>
        <v>1.6409436225510055E-2</v>
      </c>
      <c r="EJ44" s="3242">
        <f t="shared" ref="EJ44" ca="1" si="1184">EJ43/DX43-1</f>
        <v>1.6747822644497035E-2</v>
      </c>
      <c r="EK44" s="3242">
        <f t="shared" ref="EK44" ca="1" si="1185">EK43/DY43-1</f>
        <v>1.7887103096824841E-2</v>
      </c>
      <c r="EL44" s="3242">
        <f t="shared" ref="EL44" ca="1" si="1186">EL43/DZ43-1</f>
        <v>2.0003881987577632E-2</v>
      </c>
      <c r="EM44" s="3242">
        <f t="shared" ref="EM44" ca="1" si="1187">EM43/EA43-1</f>
        <v>1.7624951941560996E-2</v>
      </c>
      <c r="EN44" s="3242">
        <f t="shared" ref="EN44" ca="1" si="1188">EN43/EB43-1</f>
        <v>1.7742764661081489E-2</v>
      </c>
      <c r="EO44" s="3242">
        <f t="shared" ref="EO44" ca="1" si="1189">EO43/EC43-1</f>
        <v>1.78583553376086E-2</v>
      </c>
      <c r="EP44" s="3242">
        <f t="shared" ref="EP44" si="1190">EP43/ED43-1</f>
        <v>1.7370834893298381E-2</v>
      </c>
      <c r="EQ44" s="3242">
        <f t="shared" ref="EQ44" ca="1" si="1191">EQ43/EE43-1</f>
        <v>1.7759809861124243E-2</v>
      </c>
      <c r="ER44" s="3242">
        <f t="shared" ref="ER44" ca="1" si="1192">ER43/EF43-1</f>
        <v>1.9579543345090045E-2</v>
      </c>
      <c r="ES44" s="3242">
        <f t="shared" ref="ES44" si="1193">ES43/EG43-1</f>
        <v>2.0397821672512473E-2</v>
      </c>
      <c r="ET44" s="3242">
        <f t="shared" ref="ET44" si="1194">ET43/EH43-1</f>
        <v>2.0828896640352701E-2</v>
      </c>
      <c r="EU44" s="3242">
        <f t="shared" ref="EU44" si="1195">EU43/EI43-1</f>
        <v>2.0973160489319076E-2</v>
      </c>
      <c r="EV44" s="3242">
        <f t="shared" ref="EV44" ca="1" si="1196">EV43/EJ43-1</f>
        <v>2.1396404575994232E-2</v>
      </c>
      <c r="EW44" s="3242">
        <f t="shared" ref="EW44" ca="1" si="1197">EW43/EK43-1</f>
        <v>2.3303232797543982E-2</v>
      </c>
      <c r="EX44" s="3242">
        <f t="shared" ref="EX44" ca="1" si="1198">EX43/EL43-1</f>
        <v>2.4449434165618955E-2</v>
      </c>
      <c r="EY44" s="3242">
        <f t="shared" ref="EY44" ca="1" si="1199">EY43/EM43-1</f>
        <v>2.3098981597284407E-2</v>
      </c>
      <c r="EZ44" s="3242">
        <f t="shared" ref="EZ44" ca="1" si="1200">EZ43/EN43-1</f>
        <v>2.3135773947041027E-2</v>
      </c>
      <c r="FA44" s="3242">
        <f t="shared" ref="FA44" ca="1" si="1201">FA43/EO43-1</f>
        <v>2.3172176065052064E-2</v>
      </c>
      <c r="FB44" s="3242">
        <f t="shared" ref="FB44" si="1202">FB43/EP43-1</f>
        <v>2.3208194126955961E-2</v>
      </c>
      <c r="FC44" s="3242">
        <f t="shared" ref="FC44" ca="1" si="1203">FC43/EQ43-1</f>
        <v>2.3243834178765077E-2</v>
      </c>
      <c r="FD44" s="3242">
        <f t="shared" ref="FD44" ca="1" si="1204">FD43/ER43-1</f>
        <v>2.3279102140246977E-2</v>
      </c>
      <c r="FE44" s="3242">
        <f t="shared" ref="FE44" si="1205">FE43/ES43-1</f>
        <v>2.3314003808205142E-2</v>
      </c>
      <c r="FF44" s="3242">
        <f t="shared" ref="FF44" si="1206">FF43/ET43-1</f>
        <v>2.3348544859652209E-2</v>
      </c>
      <c r="FG44" s="3242">
        <f t="shared" ref="FG44" si="1207">FG43/EU43-1</f>
        <v>2.3382730854891287E-2</v>
      </c>
      <c r="FH44" s="3242">
        <f t="shared" ref="FH44" ca="1" si="1208">FH43/EV43-1</f>
        <v>2.3416567240497788E-2</v>
      </c>
      <c r="FI44" s="3242">
        <f t="shared" ref="FI44" ca="1" si="1209">FI43/EW43-1</f>
        <v>2.3450059352213115E-2</v>
      </c>
      <c r="FJ44" s="3242">
        <f t="shared" ref="FJ44" ca="1" si="1210">FJ43/EX43-1</f>
        <v>2.3483212417749311E-2</v>
      </c>
      <c r="FK44" s="3242">
        <f t="shared" ref="FK44" ca="1" si="1211">FK43/EY43-1</f>
        <v>2.3516031559509765E-2</v>
      </c>
      <c r="FL44" s="3242">
        <f t="shared" ref="FL44" ca="1" si="1212">FL43/EZ43-1</f>
        <v>2.3548521797227329E-2</v>
      </c>
      <c r="FM44" s="3242">
        <f t="shared" ref="FM44" ca="1" si="1213">FM43/FA43-1</f>
        <v>2.3580688050523602E-2</v>
      </c>
      <c r="FN44" s="3242">
        <f t="shared" ref="FN44" si="1214">FN43/FB43-1</f>
        <v>2.3612535141392499E-2</v>
      </c>
      <c r="FO44" s="3242">
        <f t="shared" ref="FO44" ca="1" si="1215">FO43/FC43-1</f>
        <v>2.3644067796610102E-2</v>
      </c>
      <c r="FP44" s="3242">
        <f t="shared" ref="FP44" ca="1" si="1216">FP43/FD43-1</f>
        <v>2.3675290650073677E-2</v>
      </c>
      <c r="FQ44" s="3242">
        <f t="shared" ref="FQ44" si="1217">FQ43/FE43-1</f>
        <v>2.370620824507097E-2</v>
      </c>
      <c r="FR44" s="3242">
        <f t="shared" ref="FR44" si="1218">FR43/FF43-1</f>
        <v>2.3736825036484666E-2</v>
      </c>
      <c r="FS44" s="3242">
        <f t="shared" ref="FS44" si="1219">FS43/FG43-1</f>
        <v>2.376714539293201E-2</v>
      </c>
      <c r="FT44" s="3242">
        <f t="shared" ref="FT44" ca="1" si="1220">FT43/FH43-1</f>
        <v>2.3797173598843813E-2</v>
      </c>
      <c r="FU44" s="3242">
        <f t="shared" ref="FU44" ca="1" si="1221">FU43/FI43-1</f>
        <v>2.3826913856480836E-2</v>
      </c>
      <c r="FV44" s="3242">
        <f t="shared" ref="FV44" ca="1" si="1222">FV43/FJ43-1</f>
        <v>2.3856370287895556E-2</v>
      </c>
      <c r="FW44" s="3242">
        <f t="shared" ref="FW44" ca="1" si="1223">FW43/FK43-1</f>
        <v>2.3885546936837088E-2</v>
      </c>
      <c r="FX44" s="3242">
        <f t="shared" ref="FX44" ca="1" si="1224">FX43/FL43-1</f>
        <v>2.3914447770600367E-2</v>
      </c>
      <c r="FY44" s="3242">
        <f t="shared" ref="FY44" ca="1" si="1225">FY43/FM43-1</f>
        <v>2.3943076681825382E-2</v>
      </c>
    </row>
    <row r="45" spans="1:181" s="2421" customFormat="1" outlineLevel="1">
      <c r="A45" s="3287" t="s">
        <v>41</v>
      </c>
      <c r="N45" s="3288"/>
      <c r="O45" s="3288"/>
      <c r="P45" s="3288"/>
      <c r="Q45" s="3288"/>
      <c r="R45" s="3288"/>
      <c r="S45" s="3288"/>
      <c r="T45" s="3288"/>
      <c r="U45" s="3288"/>
      <c r="V45" s="3288"/>
      <c r="W45" s="3288"/>
      <c r="X45" s="3288"/>
      <c r="Y45" s="3288"/>
      <c r="Z45" s="3288"/>
      <c r="AA45" s="3288"/>
      <c r="AB45" s="3288"/>
      <c r="AC45" s="3288"/>
      <c r="AD45" s="3288"/>
      <c r="AE45" s="3288"/>
      <c r="AF45" s="3288"/>
      <c r="AG45" s="3288"/>
      <c r="AH45" s="3288"/>
      <c r="AI45" s="3288"/>
      <c r="AJ45" s="3288"/>
      <c r="AK45" s="3288"/>
      <c r="AL45" s="3288"/>
      <c r="AM45" s="3288"/>
      <c r="AN45" s="3288"/>
      <c r="AO45" s="3288"/>
      <c r="AP45" s="3288"/>
      <c r="AQ45" s="3288"/>
      <c r="AR45" s="3288"/>
      <c r="AS45" s="3288"/>
      <c r="AT45" s="3288"/>
      <c r="AU45" s="3288"/>
      <c r="AV45" s="3288"/>
      <c r="AW45" s="3288"/>
      <c r="AX45" s="3289"/>
      <c r="BH45" s="3290"/>
      <c r="BJ45" s="3291"/>
      <c r="BK45" s="3292"/>
      <c r="BL45" s="3292"/>
      <c r="BM45" s="3292"/>
      <c r="BN45" s="3292"/>
      <c r="BO45" s="3293"/>
      <c r="BP45" s="3292"/>
      <c r="BQ45" s="3292">
        <f>BU35/BI35-1</f>
        <v>-5.9297639608520414E-2</v>
      </c>
      <c r="BR45" s="3292"/>
      <c r="BS45" s="3292"/>
      <c r="BT45" s="3293"/>
      <c r="BU45" s="3292">
        <v>1.8</v>
      </c>
      <c r="BV45" s="3294">
        <f>3400/BV38-1</f>
        <v>0</v>
      </c>
      <c r="BW45" s="3293"/>
      <c r="BX45" s="3291">
        <f t="shared" ref="BX45:CC45" ca="1" si="1226">BX47*AVERAGE(BW49:BX49)</f>
        <v>3065.89486896877</v>
      </c>
      <c r="BY45" s="3291">
        <v>3137.6000000000004</v>
      </c>
      <c r="BZ45" s="3291">
        <v>3137.6000000000004</v>
      </c>
      <c r="CA45" s="3291">
        <f t="shared" ca="1" si="1226"/>
        <v>3643.8372886142979</v>
      </c>
      <c r="CB45" s="3291">
        <f t="shared" ca="1" si="1226"/>
        <v>3535.8526778267278</v>
      </c>
      <c r="CC45" s="3291">
        <f t="shared" ca="1" si="1226"/>
        <v>3398.6615939270509</v>
      </c>
      <c r="CD45" s="3291">
        <f ca="1">CD47*AVERAGE(CC49:CD49)</f>
        <v>3398.6615939270509</v>
      </c>
      <c r="CE45" s="3291">
        <f ca="1">CE47*AVERAGE(CD49:CE49)</f>
        <v>3398.6615939270509</v>
      </c>
      <c r="CF45" s="3291">
        <f ca="1">CF47*AVERAGE(CE49:CF49)</f>
        <v>3500.6214417448628</v>
      </c>
      <c r="CG45" s="3291">
        <f ca="1">CG47*AVERAGE(CF49:CG49)</f>
        <v>3570.6338705797598</v>
      </c>
      <c r="CH45" s="3291">
        <f>CH47*AVERAGE(CG49:CH49)</f>
        <v>3571.0512367491169</v>
      </c>
      <c r="CI45" s="3291">
        <f t="shared" ref="CI45:DR45" ca="1" si="1227">CI47*AVERAGE(CH49:CI49)</f>
        <v>2891.1484219964659</v>
      </c>
      <c r="CJ45" s="3291">
        <f t="shared" ref="CJ45" si="1228">CJ47*AVERAGE(CI49:CJ49)</f>
        <v>3596.25</v>
      </c>
      <c r="CK45" s="3291">
        <f t="shared" ref="CK45" si="1229">CK47*AVERAGE(CJ49:CK49)</f>
        <v>3515.0354152325758</v>
      </c>
      <c r="CL45" s="3291">
        <f t="shared" ref="CL45" si="1230">CL47*AVERAGE(CK49:CL49)</f>
        <v>3268.566246307606</v>
      </c>
      <c r="CM45" s="3291">
        <f t="shared" ref="CM45" ca="1" si="1231">CM47*AVERAGE(CL49:CM49)</f>
        <v>3053.3003883168572</v>
      </c>
      <c r="CN45" s="3291">
        <f t="shared" ref="CN45:CO45" ca="1" si="1232">CN47*AVERAGE(CM49:CN49)</f>
        <v>3239.6869681157145</v>
      </c>
      <c r="CO45" s="3291">
        <f t="shared" ca="1" si="1232"/>
        <v>3365.0774561109492</v>
      </c>
      <c r="CP45" s="3291">
        <f t="shared" ca="1" si="1227"/>
        <v>3477.6171279373339</v>
      </c>
      <c r="CQ45" s="3291">
        <f t="shared" ca="1" si="1227"/>
        <v>3737.5840129442358</v>
      </c>
      <c r="CR45" s="3295">
        <f t="shared" ca="1" si="1227"/>
        <v>4139.9998622247886</v>
      </c>
      <c r="CS45" s="3295">
        <f t="shared" ca="1" si="1227"/>
        <v>4561.0735444364709</v>
      </c>
      <c r="CT45" s="3295">
        <f t="shared" si="1227"/>
        <v>4765.4397699421088</v>
      </c>
      <c r="CU45" s="3295">
        <f t="shared" ca="1" si="1227"/>
        <v>4124.3415854820087</v>
      </c>
      <c r="CV45" s="3295">
        <f t="shared" ca="1" si="1227"/>
        <v>4740.4658185554226</v>
      </c>
      <c r="CW45" s="3295">
        <f t="shared" si="1227"/>
        <v>4674.1408879546179</v>
      </c>
      <c r="CX45" s="3295">
        <f t="shared" si="1227"/>
        <v>4642.2415010291807</v>
      </c>
      <c r="CY45" s="3295">
        <f t="shared" si="1227"/>
        <v>4465.3431860678284</v>
      </c>
      <c r="CZ45" s="3295">
        <f t="shared" ca="1" si="1227"/>
        <v>4883.9914994971796</v>
      </c>
      <c r="DA45" s="3295">
        <f t="shared" ca="1" si="1227"/>
        <v>5040.8280219066946</v>
      </c>
      <c r="DB45" s="3295">
        <f t="shared" ca="1" si="1227"/>
        <v>5033.5423593190362</v>
      </c>
      <c r="DC45" s="3295">
        <f t="shared" ca="1" si="1227"/>
        <v>5086.2926938197425</v>
      </c>
      <c r="DD45" s="3295">
        <f t="shared" ca="1" si="1227"/>
        <v>5275.6998429101341</v>
      </c>
      <c r="DE45" s="3295">
        <f t="shared" ca="1" si="1227"/>
        <v>6407.2497587102625</v>
      </c>
      <c r="DF45" s="3295">
        <f t="shared" si="1227"/>
        <v>6535.8909394305983</v>
      </c>
      <c r="DG45" s="3295">
        <f t="shared" ca="1" si="1227"/>
        <v>5638.686733475035</v>
      </c>
      <c r="DH45" s="3295">
        <f t="shared" ca="1" si="1227"/>
        <v>6501.1927694022597</v>
      </c>
      <c r="DI45" s="3295">
        <f t="shared" si="1227"/>
        <v>6497.7374609095268</v>
      </c>
      <c r="DJ45" s="3295">
        <f t="shared" si="1227"/>
        <v>6345.6048890168249</v>
      </c>
      <c r="DK45" s="3295">
        <f t="shared" si="1227"/>
        <v>6060.7565271297672</v>
      </c>
      <c r="DL45" s="3295">
        <f t="shared" ca="1" si="1227"/>
        <v>6583.4450653236217</v>
      </c>
      <c r="DM45" s="3295">
        <f t="shared" ca="1" si="1227"/>
        <v>6806.4344949760507</v>
      </c>
      <c r="DN45" s="3295">
        <f t="shared" ca="1" si="1227"/>
        <v>6707.1523267426146</v>
      </c>
      <c r="DO45" s="3295">
        <f t="shared" ca="1" si="1227"/>
        <v>6723.1652913891476</v>
      </c>
      <c r="DP45" s="3295">
        <f t="shared" ca="1" si="1227"/>
        <v>6762.5710360160765</v>
      </c>
      <c r="DQ45" s="3295">
        <f t="shared" ca="1" si="1227"/>
        <v>7983.1615544847864</v>
      </c>
      <c r="DR45" s="3295">
        <f t="shared" si="1227"/>
        <v>7888.0983126490164</v>
      </c>
      <c r="DS45" s="3295">
        <f t="shared" ref="DS45" ca="1" si="1233">DS47*AVERAGE(DR49:DS49)</f>
        <v>6824.0070979392476</v>
      </c>
      <c r="DT45" s="3295">
        <f t="shared" ref="DT45" ca="1" si="1234">DT47*AVERAGE(DS49:DT49)</f>
        <v>7916.5456929534093</v>
      </c>
      <c r="DU45" s="3295">
        <f t="shared" ref="DU45" si="1235">DU47*AVERAGE(DT49:DU49)</f>
        <v>7964.7049798565004</v>
      </c>
      <c r="DV45" s="3295">
        <f t="shared" ref="DV45" si="1236">DV47*AVERAGE(DU49:DV49)</f>
        <v>7776.6326360454259</v>
      </c>
      <c r="DW45" s="3295">
        <f t="shared" ref="DW45" si="1237">DW47*AVERAGE(DV49:DW49)</f>
        <v>7444.5730202424838</v>
      </c>
      <c r="DX45" s="3295">
        <f t="shared" ref="DX45" ca="1" si="1238">DX47*AVERAGE(DW49:DX49)</f>
        <v>8105.5398072972075</v>
      </c>
      <c r="DY45" s="3295">
        <f t="shared" ref="DY45" ca="1" si="1239">DY47*AVERAGE(DX49:DY49)</f>
        <v>8314.3026809958119</v>
      </c>
      <c r="DZ45" s="3295">
        <f t="shared" ref="DZ45" ca="1" si="1240">DZ47*AVERAGE(DY49:DZ49)</f>
        <v>8160.8014902075092</v>
      </c>
      <c r="EA45" s="3295">
        <f t="shared" ref="EA45" ca="1" si="1241">EA47*AVERAGE(DZ49:EA49)</f>
        <v>8209.2582079408767</v>
      </c>
      <c r="EB45" s="3295">
        <f t="shared" ref="EB45" ca="1" si="1242">EB47*AVERAGE(EA49:EB49)</f>
        <v>8338.0404906349158</v>
      </c>
      <c r="EC45" s="3295">
        <f t="shared" ref="EC45" ca="1" si="1243">EC47*AVERAGE(EB49:EC49)</f>
        <v>9951.1857311602889</v>
      </c>
      <c r="ED45" s="3295">
        <f t="shared" ref="ED45" si="1244">ED47*AVERAGE(EC49:ED49)</f>
        <v>9753.8271508990565</v>
      </c>
      <c r="EE45" s="3295">
        <f t="shared" ref="EE45" ca="1" si="1245">EE47*AVERAGE(ED49:EE49)</f>
        <v>8366.4944489214686</v>
      </c>
      <c r="EF45" s="3295">
        <f t="shared" ref="EF45" ca="1" si="1246">EF47*AVERAGE(EE49:EF49)</f>
        <v>9661.9792716145348</v>
      </c>
      <c r="EG45" s="3295">
        <f t="shared" ref="EG45" si="1247">EG47*AVERAGE(EF49:EG49)</f>
        <v>9654.7689300958627</v>
      </c>
      <c r="EH45" s="3295">
        <f t="shared" ref="EH45" si="1248">EH47*AVERAGE(EG49:EH49)</f>
        <v>9360.5695079968391</v>
      </c>
      <c r="EI45" s="3295">
        <f t="shared" ref="EI45" si="1249">EI47*AVERAGE(EH49:EI49)</f>
        <v>8893.8087650317029</v>
      </c>
      <c r="EJ45" s="3295">
        <f t="shared" ref="EJ45" ca="1" si="1250">EJ47*AVERAGE(EI49:EJ49)</f>
        <v>9619.9779248928844</v>
      </c>
      <c r="EK45" s="3295">
        <f t="shared" ref="EK45" ca="1" si="1251">EK47*AVERAGE(EJ49:EK49)</f>
        <v>9836.6996067956807</v>
      </c>
      <c r="EL45" s="3295">
        <f t="shared" ref="EL45" ca="1" si="1252">EL47*AVERAGE(EK49:EL49)</f>
        <v>9652.9583211492845</v>
      </c>
      <c r="EM45" s="3295">
        <f t="shared" ref="EM45" ca="1" si="1253">EM47*AVERAGE(EL49:EM49)</f>
        <v>9650.3215523165672</v>
      </c>
      <c r="EN45" s="3295">
        <f t="shared" ref="EN45" ca="1" si="1254">EN47*AVERAGE(EM49:EN49)</f>
        <v>9764.7322227770419</v>
      </c>
      <c r="EO45" s="3295">
        <f t="shared" ref="EO45" ca="1" si="1255">EO47*AVERAGE(EN49:EO49)</f>
        <v>11610.982660194662</v>
      </c>
      <c r="EP45" s="3295">
        <f t="shared" ref="EP45" si="1256">EP47*AVERAGE(EO49:EP49)</f>
        <v>11335.981323341153</v>
      </c>
      <c r="EQ45" s="3295">
        <f t="shared" ref="EQ45" ca="1" si="1257">EQ47*AVERAGE(EP49:EQ49)</f>
        <v>9685.2042254052485</v>
      </c>
      <c r="ER45" s="3295">
        <f t="shared" ref="ER45" ca="1" si="1258">ER47*AVERAGE(EQ49:ER49)</f>
        <v>11170.88793228117</v>
      </c>
      <c r="ES45" s="3295">
        <f t="shared" ref="ES45" si="1259">ES47*AVERAGE(ER49:ES49)</f>
        <v>11129.245395264996</v>
      </c>
      <c r="ET45" s="3295">
        <f t="shared" ref="ET45" si="1260">ET47*AVERAGE(ES49:ET49)</f>
        <v>10756.459965300117</v>
      </c>
      <c r="EU45" s="3295">
        <f t="shared" ref="EU45" si="1261">EU47*AVERAGE(ET49:EU49)</f>
        <v>10183.778003928192</v>
      </c>
      <c r="EV45" s="3295">
        <f t="shared" ref="EV45" ca="1" si="1262">EV47*AVERAGE(EU49:EV49)</f>
        <v>10982.496338636123</v>
      </c>
      <c r="EW45" s="3295">
        <f t="shared" ref="EW45" ca="1" si="1263">EW47*AVERAGE(EV49:EW49)</f>
        <v>11196.896487339025</v>
      </c>
      <c r="EX45" s="3295">
        <f t="shared" ref="EX45" ca="1" si="1264">EX47*AVERAGE(EW49:EX49)</f>
        <v>10970.850936585113</v>
      </c>
      <c r="EY45" s="3295">
        <f t="shared" ref="EY45" ca="1" si="1265">EY47*AVERAGE(EX49:EY49)</f>
        <v>10903.243595994607</v>
      </c>
      <c r="EZ45" s="3295">
        <f t="shared" ref="EZ45" ca="1" si="1266">EZ47*AVERAGE(EY49:EZ49)</f>
        <v>10982.061979808426</v>
      </c>
      <c r="FA45" s="3295">
        <f t="shared" ref="FA45" ca="1" si="1267">FA47*AVERAGE(EZ49:FA49)</f>
        <v>12999.691970136253</v>
      </c>
      <c r="FB45" s="3295">
        <f t="shared" ref="FB45" si="1268">FB47*AVERAGE(FA49:FB49)</f>
        <v>12628.08390282453</v>
      </c>
      <c r="FC45" s="3295">
        <f t="shared" ref="FC45" ca="1" si="1269">FC47*AVERAGE(FB49:FC49)</f>
        <v>10744.985024011621</v>
      </c>
      <c r="FD45" s="3295">
        <f t="shared" ref="FD45" ca="1" si="1270">FD47*AVERAGE(FC49:FD49)</f>
        <v>12360.694633157425</v>
      </c>
      <c r="FE45" s="3295">
        <f t="shared" ref="FE45" si="1271">FE47*AVERAGE(FD49:FE49)</f>
        <v>12271.018427761719</v>
      </c>
      <c r="FF45" s="3295">
        <f t="shared" ref="FF45" si="1272">FF47*AVERAGE(FE49:FF49)</f>
        <v>11814.280540190866</v>
      </c>
      <c r="FG45" s="3295">
        <f t="shared" ref="FG45" si="1273">FG47*AVERAGE(FF49:FG49)</f>
        <v>11139.750058831829</v>
      </c>
      <c r="FH45" s="3295">
        <f t="shared" ref="FH45" ca="1" si="1274">FH47*AVERAGE(FG49:FH49)</f>
        <v>11968.558510276014</v>
      </c>
      <c r="FI45" s="3295">
        <f t="shared" ref="FI45" ca="1" si="1275">FI47*AVERAGE(FH49:FI49)</f>
        <v>12197.795668303364</v>
      </c>
      <c r="FJ45" s="3295">
        <f t="shared" ref="FJ45" ca="1" si="1276">FJ47*AVERAGE(FI49:FJ49)</f>
        <v>11977.599401639096</v>
      </c>
      <c r="FK45" s="3295">
        <f t="shared" ref="FK45" ca="1" si="1277">FK47*AVERAGE(FJ49:FK49)</f>
        <v>11900.565225165281</v>
      </c>
      <c r="FL45" s="3295">
        <f t="shared" ref="FL45" ca="1" si="1278">FL47*AVERAGE(FK49:FL49)</f>
        <v>11982.865713810266</v>
      </c>
      <c r="FM45" s="3295">
        <f t="shared" ref="FM45" ca="1" si="1279">FM47*AVERAGE(FL49:FM49)</f>
        <v>14180.000103755287</v>
      </c>
      <c r="FN45" s="3295">
        <f t="shared" ref="FN45" si="1280">FN47*AVERAGE(FM49:FN49)</f>
        <v>13770.459128738599</v>
      </c>
      <c r="FO45" s="3295">
        <f t="shared" ref="FO45" ca="1" si="1281">FO47*AVERAGE(FN49:FO49)</f>
        <v>11713.480600747173</v>
      </c>
      <c r="FP45" s="3295">
        <f t="shared" ref="FP45" ca="1" si="1282">FP47*AVERAGE(FO49:FP49)</f>
        <v>13470.806152096759</v>
      </c>
      <c r="FQ45" s="3295">
        <f t="shared" ref="FQ45" si="1283">FQ47*AVERAGE(FP49:FQ49)</f>
        <v>13369.132625083548</v>
      </c>
      <c r="FR45" s="3295">
        <f t="shared" ref="FR45" si="1284">FR47*AVERAGE(FQ49:FR49)</f>
        <v>12867.76582880746</v>
      </c>
      <c r="FS45" s="3295">
        <f t="shared" ref="FS45" si="1285">FS47*AVERAGE(FR49:FS49)</f>
        <v>12129.583091455177</v>
      </c>
      <c r="FT45" s="3295">
        <f t="shared" ref="FT45" ca="1" si="1286">FT47*AVERAGE(FS49:FT49)</f>
        <v>13028.311180932335</v>
      </c>
      <c r="FU45" s="3295">
        <f t="shared" ref="FU45" ca="1" si="1287">FU47*AVERAGE(FT49:FU49)</f>
        <v>13274.08975471777</v>
      </c>
      <c r="FV45" s="3295">
        <f t="shared" ref="FV45" ca="1" si="1288">FV47*AVERAGE(FU49:FV49)</f>
        <v>13030.814170566457</v>
      </c>
      <c r="FW45" s="3295">
        <f t="shared" ref="FW45" ca="1" si="1289">FW47*AVERAGE(FV49:FW49)</f>
        <v>12943.41754302476</v>
      </c>
      <c r="FX45" s="3295">
        <f t="shared" ref="FX45" ca="1" si="1290">FX47*AVERAGE(FW49:FX49)</f>
        <v>13029.353994198267</v>
      </c>
      <c r="FY45" s="3295">
        <f t="shared" ref="FY45" ca="1" si="1291">FY47*AVERAGE(FX49:FY49)</f>
        <v>15414.180485350547</v>
      </c>
    </row>
    <row r="46" spans="1:181" s="3283" customFormat="1" outlineLevel="1">
      <c r="A46" s="3296" t="str">
        <f>A44</f>
        <v>%YoY</v>
      </c>
      <c r="N46" s="3242"/>
      <c r="O46" s="3242"/>
      <c r="P46" s="3242"/>
      <c r="Q46" s="3242"/>
      <c r="R46" s="3242"/>
      <c r="S46" s="3242"/>
      <c r="T46" s="3242"/>
      <c r="U46" s="3242"/>
      <c r="V46" s="3242"/>
      <c r="W46" s="3242"/>
      <c r="X46" s="3242"/>
      <c r="Y46" s="3242"/>
      <c r="Z46" s="3242"/>
      <c r="AA46" s="3242"/>
      <c r="AB46" s="3242"/>
      <c r="AC46" s="3242"/>
      <c r="AD46" s="3242"/>
      <c r="AE46" s="3242"/>
      <c r="AF46" s="3242"/>
      <c r="AG46" s="3242"/>
      <c r="AH46" s="3242"/>
      <c r="AI46" s="3242"/>
      <c r="AJ46" s="3242"/>
      <c r="AK46" s="3242"/>
      <c r="AL46" s="3242"/>
      <c r="AM46" s="3242"/>
      <c r="AN46" s="3242"/>
      <c r="AO46" s="3242"/>
      <c r="AP46" s="3242"/>
      <c r="AQ46" s="3242"/>
      <c r="AR46" s="3242"/>
      <c r="AS46" s="3242"/>
      <c r="AT46" s="3242"/>
      <c r="AU46" s="3242"/>
      <c r="AV46" s="3242"/>
      <c r="AW46" s="3242"/>
      <c r="AX46" s="3284"/>
      <c r="BH46" s="3282"/>
      <c r="BJ46" s="3245"/>
      <c r="BK46" s="2684"/>
      <c r="BL46" s="2684"/>
      <c r="BM46" s="2684"/>
      <c r="BN46" s="2684"/>
      <c r="BO46" s="3260"/>
      <c r="BP46" s="2684"/>
      <c r="BQ46" s="2684"/>
      <c r="BR46" s="2684"/>
      <c r="BS46" s="3257"/>
      <c r="BT46" s="3260"/>
      <c r="BU46" s="2684"/>
      <c r="BV46" s="3285">
        <f>3400/BV41</f>
        <v>2.0023557126030624</v>
      </c>
      <c r="BW46" s="3260"/>
      <c r="BX46" s="2900">
        <f t="shared" ref="BX46:CE46" ca="1" si="1292">BX45/BL38-1</f>
        <v>0.36597721019606833</v>
      </c>
      <c r="BY46" s="2900">
        <v>0.35720842436433076</v>
      </c>
      <c r="BZ46" s="2900">
        <v>0.28351351516086964</v>
      </c>
      <c r="CA46" s="2900">
        <f t="shared" ca="1" si="1292"/>
        <v>0.42117777708131499</v>
      </c>
      <c r="CB46" s="2900">
        <f t="shared" ca="1" si="1292"/>
        <v>0.26299397689179282</v>
      </c>
      <c r="CC46" s="2900">
        <f t="shared" ca="1" si="1292"/>
        <v>0.15993296835448256</v>
      </c>
      <c r="CD46" s="2900">
        <f t="shared" ca="1" si="1292"/>
        <v>0.17076697313583522</v>
      </c>
      <c r="CE46" s="2900">
        <f t="shared" ca="1" si="1292"/>
        <v>0.10654839537015315</v>
      </c>
      <c r="CF46" s="2900">
        <f ca="1">CF45/BT38-1</f>
        <v>0.16765692249097097</v>
      </c>
      <c r="CG46" s="2900">
        <f ca="1">CG45/BU38-1</f>
        <v>0.11972181595410003</v>
      </c>
      <c r="CH46" s="2900">
        <f>CH45/BV38-1</f>
        <v>5.0309187279152123E-2</v>
      </c>
      <c r="CI46" s="2900">
        <f t="shared" ref="CI46:DR46" ca="1" si="1293">CI45/BW38-1</f>
        <v>7.2835689045936514E-2</v>
      </c>
      <c r="CJ46" s="2900">
        <f t="shared" ca="1" si="1293"/>
        <v>0.17229421513119947</v>
      </c>
      <c r="CK46" s="2900">
        <f t="shared" ref="CK46" si="1294">CK45/BY38-1</f>
        <v>8.7349646226415167E-2</v>
      </c>
      <c r="CL46" s="2900">
        <f t="shared" ref="CL46" si="1295">CL45/BZ38-1</f>
        <v>-5.0621390689450152E-2</v>
      </c>
      <c r="CM46" s="2900">
        <f t="shared" ref="CM46" ca="1" si="1296">CM45/CA38-1</f>
        <v>-0.16379023242130053</v>
      </c>
      <c r="CN46" s="2900">
        <f t="shared" ref="CN46" ca="1" si="1297">CN45/CB38-1</f>
        <v>-8.725888399412618E-2</v>
      </c>
      <c r="CO46" s="2900">
        <f t="shared" ca="1" si="1293"/>
        <v>-9.1287591240875932E-2</v>
      </c>
      <c r="CP46" s="2900">
        <f t="shared" ca="1" si="1293"/>
        <v>-3.0548302872062671E-2</v>
      </c>
      <c r="CQ46" s="2900">
        <f t="shared" ca="1" si="1293"/>
        <v>6.1167292689974007E-2</v>
      </c>
      <c r="CR46" s="3242">
        <f t="shared" ca="1" si="1293"/>
        <v>0.15905475504322775</v>
      </c>
      <c r="CS46" s="3242">
        <f t="shared" ca="1" si="1293"/>
        <v>0.2461169757489301</v>
      </c>
      <c r="CT46" s="3242">
        <f t="shared" si="1293"/>
        <v>0.26615087040618923</v>
      </c>
      <c r="CU46" s="3242">
        <f t="shared" ca="1" si="1293"/>
        <v>0.24088338270939946</v>
      </c>
      <c r="CV46" s="3242">
        <f t="shared" ca="1" si="1293"/>
        <v>0.20508277289187804</v>
      </c>
      <c r="CW46" s="3242">
        <f t="shared" si="1293"/>
        <v>0.1572002923976612</v>
      </c>
      <c r="CX46" s="3242">
        <f t="shared" si="1293"/>
        <v>0.19710415693601124</v>
      </c>
      <c r="CY46" s="3242">
        <f t="shared" si="1293"/>
        <v>0.22300641613198913</v>
      </c>
      <c r="CZ46" s="3242">
        <f t="shared" ca="1" si="1293"/>
        <v>0.25818140382862342</v>
      </c>
      <c r="DA46" s="3242">
        <f t="shared" ca="1" si="1293"/>
        <v>0.27031778228532799</v>
      </c>
      <c r="DB46" s="3242">
        <f t="shared" ca="1" si="1293"/>
        <v>0.28021224850762771</v>
      </c>
      <c r="DC46" s="3242">
        <f t="shared" ca="1" si="1293"/>
        <v>0.27562231759656663</v>
      </c>
      <c r="DD46" s="3242">
        <f t="shared" ca="1" si="1293"/>
        <v>0.25915086562242373</v>
      </c>
      <c r="DE46" s="3242">
        <f t="shared" ca="1" si="1293"/>
        <v>0.25670452281330958</v>
      </c>
      <c r="DF46" s="3242">
        <f t="shared" si="1293"/>
        <v>0.20778688524590172</v>
      </c>
      <c r="DG46" s="3242">
        <f t="shared" ca="1" si="1293"/>
        <v>0.1787082066869301</v>
      </c>
      <c r="DH46" s="3242">
        <f t="shared" ca="1" si="1293"/>
        <v>0.16723168023686186</v>
      </c>
      <c r="DI46" s="3242">
        <f t="shared" si="1293"/>
        <v>0.17666546633057267</v>
      </c>
      <c r="DJ46" s="3242">
        <f t="shared" si="1293"/>
        <v>0.1635333100802232</v>
      </c>
      <c r="DK46" s="3242">
        <f t="shared" si="1293"/>
        <v>0.16045130641330174</v>
      </c>
      <c r="DL46" s="3242">
        <f t="shared" ca="1" si="1293"/>
        <v>0.1580677290836654</v>
      </c>
      <c r="DM46" s="3242">
        <f t="shared" ca="1" si="1293"/>
        <v>0.16144676681907244</v>
      </c>
      <c r="DN46" s="3242">
        <f t="shared" ca="1" si="1293"/>
        <v>0.16303020565552684</v>
      </c>
      <c r="DO46" s="3242">
        <f t="shared" ca="1" si="1293"/>
        <v>0.14915014164305962</v>
      </c>
      <c r="DP46" s="3242">
        <f t="shared" ca="1" si="1293"/>
        <v>0.12575990175007679</v>
      </c>
      <c r="DQ46" s="3242">
        <f t="shared" ca="1" si="1293"/>
        <v>0.1061032510535822</v>
      </c>
      <c r="DR46" s="3242">
        <f t="shared" si="1293"/>
        <v>7.7136108650723401E-2</v>
      </c>
      <c r="DS46" s="3242">
        <f t="shared" ref="DS46" ca="1" si="1298">DS45/DG38-1</f>
        <v>8.2291847983753996E-2</v>
      </c>
      <c r="DT46" s="3242">
        <f t="shared" ref="DT46" ca="1" si="1299">DT45/DH38-1</f>
        <v>9.665228645383972E-2</v>
      </c>
      <c r="DU46" s="3242">
        <f t="shared" ref="DU46" si="1300">DU45/DI38-1</f>
        <v>0.11553837342497153</v>
      </c>
      <c r="DV46" s="3242">
        <f t="shared" ref="DV46" si="1301">DV45/DJ38-1</f>
        <v>0.13669381340191444</v>
      </c>
      <c r="DW46" s="3242">
        <f t="shared" ref="DW46" si="1302">DW45/DK38-1</f>
        <v>0.14631846414455119</v>
      </c>
      <c r="DX46" s="3242">
        <f t="shared" ref="DX46" ca="1" si="1303">DX45/DL38-1</f>
        <v>0.14374930977360578</v>
      </c>
      <c r="DY46" s="3242">
        <f t="shared" ref="DY46" ca="1" si="1304">DY45/DM38-1</f>
        <v>0.13850891410048627</v>
      </c>
      <c r="DZ46" s="3242">
        <f t="shared" ref="DZ46" ca="1" si="1305">DZ45/DN38-1</f>
        <v>0.12668164992067688</v>
      </c>
      <c r="EA46" s="3242">
        <f t="shared" ref="EA46" ca="1" si="1306">EA45/DO38-1</f>
        <v>0.1153443811496635</v>
      </c>
      <c r="EB46" s="3242">
        <f t="shared" ref="EB46" ca="1" si="1307">EB45/DP38-1</f>
        <v>0.10838660578386605</v>
      </c>
      <c r="EC46" s="3242">
        <f t="shared" ref="EC46" ca="1" si="1308">EC45/DQ38-1</f>
        <v>0.10170561909497788</v>
      </c>
      <c r="ED46" s="3242">
        <f t="shared" ref="ED46" si="1309">ED45/DR38-1</f>
        <v>9.7961876832844741E-2</v>
      </c>
      <c r="EE46" s="3242">
        <f t="shared" ref="EE46" ca="1" si="1310">EE45/DS38-1</f>
        <v>0.10095721537345925</v>
      </c>
      <c r="EF46" s="3242">
        <f t="shared" ref="EF46" ca="1" si="1311">EF45/DT38-1</f>
        <v>0.1038880918220948</v>
      </c>
      <c r="EG46" s="3242">
        <f t="shared" ref="EG46" si="1312">EG45/DU38-1</f>
        <v>0.102842998585573</v>
      </c>
      <c r="EH46" s="3242">
        <f t="shared" ref="EH46" si="1313">EH45/DV38-1</f>
        <v>0.10182705718270557</v>
      </c>
      <c r="EI46" s="3242">
        <f t="shared" ref="EI46" si="1314">EI45/DW38-1</f>
        <v>0.10083906464924364</v>
      </c>
      <c r="EJ46" s="3242">
        <f t="shared" ref="EJ46" ca="1" si="1315">EJ45/DX38-1</f>
        <v>9.9877883310719007E-2</v>
      </c>
      <c r="EK46" s="3242">
        <f t="shared" ref="EK46" ca="1" si="1316">EK45/DY38-1</f>
        <v>9.7793395805443994E-2</v>
      </c>
      <c r="EL46" s="3242">
        <f t="shared" ref="EL46" ca="1" si="1317">EL45/DZ38-1</f>
        <v>9.1795464553060313E-2</v>
      </c>
      <c r="EM46" s="3242">
        <f t="shared" ref="EM46" ca="1" si="1318">EM45/EA38-1</f>
        <v>8.5953933072577149E-2</v>
      </c>
      <c r="EN46" s="3242">
        <f t="shared" ref="EN46" ca="1" si="1319">EN45/EB38-1</f>
        <v>8.3024453024453049E-2</v>
      </c>
      <c r="EO46" s="3242">
        <f t="shared" ref="EO46" ca="1" si="1320">EO45/EC38-1</f>
        <v>8.0169419737399439E-2</v>
      </c>
      <c r="EP46" s="3242">
        <f t="shared" ref="EP46" si="1321">EP45/ED38-1</f>
        <v>7.851371153443587E-2</v>
      </c>
      <c r="EQ46" s="3242">
        <f t="shared" ref="EQ46" ca="1" si="1322">EQ45/EE38-1</f>
        <v>8.0810052965001544E-2</v>
      </c>
      <c r="ER46" s="3242">
        <f t="shared" ref="ER46" ca="1" si="1323">ER45/EF38-1</f>
        <v>8.3070898598516241E-2</v>
      </c>
      <c r="ES46" s="3242">
        <f t="shared" ref="ES46" si="1324">ES45/EG38-1</f>
        <v>8.2529579763361838E-2</v>
      </c>
      <c r="ET46" s="3242">
        <f t="shared" ref="ET46" si="1325">ET45/EH38-1</f>
        <v>8.1999192245557406E-2</v>
      </c>
      <c r="EU46" s="3242">
        <f t="shared" ref="EU46" si="1326">EU45/EI38-1</f>
        <v>8.1479408236705408E-2</v>
      </c>
      <c r="EV46" s="3242">
        <f t="shared" ref="EV46" ca="1" si="1327">EV45/EJ38-1</f>
        <v>8.0969912905779706E-2</v>
      </c>
      <c r="EW46" s="3242">
        <f t="shared" ref="EW46" ca="1" si="1328">EW45/EK38-1</f>
        <v>7.845158761270099E-2</v>
      </c>
      <c r="EX46" s="3242">
        <f t="shared" ref="EX46" ca="1" si="1329">EX45/EL38-1</f>
        <v>7.2483501552795149E-2</v>
      </c>
      <c r="EY46" s="3242">
        <f t="shared" ref="EY46" ca="1" si="1330">EY45/EM38-1</f>
        <v>6.6630142252979585E-2</v>
      </c>
      <c r="EZ46" s="3242">
        <f t="shared" ref="EZ46" ca="1" si="1331">EZ45/EN38-1</f>
        <v>6.2359101294744868E-2</v>
      </c>
      <c r="FA46" s="3242">
        <f t="shared" ref="FA46" ca="1" si="1332">FA45/EO38-1</f>
        <v>5.8168615616748465E-2</v>
      </c>
      <c r="FB46" s="3242">
        <f t="shared" ref="FB46" si="1333">FB45/EP38-1</f>
        <v>5.6029576937476566E-2</v>
      </c>
      <c r="FC46" s="3242">
        <f t="shared" ref="FC46" ca="1" si="1334">FC45/EQ38-1</f>
        <v>5.736042501631089E-2</v>
      </c>
      <c r="FD46" s="3242">
        <f t="shared" ref="FD46" ca="1" si="1335">FD45/ER38-1</f>
        <v>5.8680155930944888E-2</v>
      </c>
      <c r="FE46" s="3242">
        <f t="shared" ref="FE46" si="1336">FE45/ES38-1</f>
        <v>5.8521321764814616E-2</v>
      </c>
      <c r="FF46" s="3242">
        <f t="shared" ref="FF46" si="1337">FF45/ET38-1</f>
        <v>5.8364237194786339E-2</v>
      </c>
      <c r="FG46" s="3242">
        <f t="shared" ref="FG46" si="1338">FG45/EU38-1</f>
        <v>5.8208873470878331E-2</v>
      </c>
      <c r="FH46" s="3242">
        <f t="shared" ref="FH46" ca="1" si="1339">FH45/EV38-1</f>
        <v>5.8055202469584177E-2</v>
      </c>
      <c r="FI46" s="3242">
        <f t="shared" ref="FI46" ca="1" si="1340">FI45/EW38-1</f>
        <v>5.7903196676901025E-2</v>
      </c>
      <c r="FJ46" s="3242">
        <f t="shared" ref="FJ46" ca="1" si="1341">FJ45/EX38-1</f>
        <v>5.775282917190605E-2</v>
      </c>
      <c r="FK46" s="3242">
        <f t="shared" ref="FK46" ca="1" si="1342">FK45/EY38-1</f>
        <v>5.7604073610863171E-2</v>
      </c>
      <c r="FL46" s="3242">
        <f t="shared" ref="FL46" ca="1" si="1343">FL45/EZ38-1</f>
        <v>5.745690421183558E-2</v>
      </c>
      <c r="FM46" s="3242">
        <f t="shared" ref="FM46" ca="1" si="1344">FM45/FA38-1</f>
        <v>5.7311295739791435E-2</v>
      </c>
      <c r="FN46" s="3242">
        <f t="shared" ref="FN46" si="1345">FN45/FB38-1</f>
        <v>5.7167223492175179E-2</v>
      </c>
      <c r="FO46" s="3242">
        <f t="shared" ref="FO46" ca="1" si="1346">FO45/FC38-1</f>
        <v>5.7024663284939603E-2</v>
      </c>
      <c r="FP46" s="3242">
        <f t="shared" ref="FP46" ca="1" si="1347">FP45/FD38-1</f>
        <v>5.688359143901156E-2</v>
      </c>
      <c r="FQ46" s="3242">
        <f t="shared" ref="FQ46" si="1348">FQ45/FE38-1</f>
        <v>5.6743984767180233E-2</v>
      </c>
      <c r="FR46" s="3242">
        <f t="shared" ref="FR46" si="1349">FR45/FF38-1</f>
        <v>5.6605820561391518E-2</v>
      </c>
      <c r="FS46" s="3242">
        <f t="shared" ref="FS46" si="1350">FS45/FG38-1</f>
        <v>5.6469076580434985E-2</v>
      </c>
      <c r="FT46" s="3242">
        <f t="shared" ref="FT46" ca="1" si="1351">FT45/FH38-1</f>
        <v>5.6333731038009427E-2</v>
      </c>
      <c r="FU46" s="3242">
        <f t="shared" ref="FU46" ca="1" si="1352">FU45/FI38-1</f>
        <v>5.6199762591148117E-2</v>
      </c>
      <c r="FV46" s="3242">
        <f t="shared" ref="FV46" ca="1" si="1353">FV45/FJ38-1</f>
        <v>5.6067150329002891E-2</v>
      </c>
      <c r="FW46" s="3242">
        <f t="shared" ref="FW46" ca="1" si="1354">FW45/FK38-1</f>
        <v>5.5935873761960631E-2</v>
      </c>
      <c r="FX46" s="3242">
        <f t="shared" ref="FX46" ca="1" si="1355">FX45/FL38-1</f>
        <v>5.5805912811090819E-2</v>
      </c>
      <c r="FY46" s="3242">
        <f t="shared" ref="FY46" ca="1" si="1356">FY45/FM38-1</f>
        <v>5.5677247797905949E-2</v>
      </c>
    </row>
    <row r="47" spans="1:181" s="3298" customFormat="1" outlineLevel="1">
      <c r="A47" s="3297" t="s">
        <v>42</v>
      </c>
      <c r="N47" s="3299"/>
      <c r="O47" s="3299"/>
      <c r="P47" s="3299"/>
      <c r="Q47" s="3299"/>
      <c r="R47" s="3299"/>
      <c r="S47" s="3299"/>
      <c r="T47" s="3299"/>
      <c r="U47" s="3299"/>
      <c r="V47" s="3299"/>
      <c r="W47" s="3299"/>
      <c r="X47" s="3299"/>
      <c r="Y47" s="3299"/>
      <c r="Z47" s="3299"/>
      <c r="AA47" s="3299"/>
      <c r="AB47" s="3299"/>
      <c r="AC47" s="3299"/>
      <c r="AD47" s="3299"/>
      <c r="AE47" s="3299"/>
      <c r="AF47" s="3299"/>
      <c r="AG47" s="3299"/>
      <c r="AH47" s="3299"/>
      <c r="AI47" s="3299"/>
      <c r="AJ47" s="3299"/>
      <c r="AK47" s="3299"/>
      <c r="AL47" s="3299"/>
      <c r="AM47" s="3299"/>
      <c r="AN47" s="3299"/>
      <c r="AO47" s="3299"/>
      <c r="AP47" s="3299"/>
      <c r="AQ47" s="3299"/>
      <c r="AR47" s="3299"/>
      <c r="AS47" s="3299"/>
      <c r="AT47" s="3299"/>
      <c r="AU47" s="3299"/>
      <c r="AV47" s="3299"/>
      <c r="AW47" s="3299"/>
      <c r="AX47" s="3300"/>
      <c r="BH47" s="3301"/>
      <c r="BJ47" s="3245"/>
      <c r="BK47" s="2684"/>
      <c r="BL47" s="2684"/>
      <c r="BM47" s="2684"/>
      <c r="BN47" s="2684"/>
      <c r="BO47" s="3260"/>
      <c r="BP47" s="2684"/>
      <c r="BQ47" s="2684"/>
      <c r="BR47" s="2684"/>
      <c r="BS47" s="2684"/>
      <c r="BT47" s="3260"/>
      <c r="BU47" s="2684"/>
      <c r="BV47" s="3285"/>
      <c r="BW47" s="3260"/>
      <c r="BX47" s="3272">
        <f ca="1">BX43</f>
        <v>1.8077210312315861</v>
      </c>
      <c r="BY47" s="3272">
        <f t="shared" ref="BY47:BZ47" si="1357">BY43</f>
        <v>1.9060515389150938</v>
      </c>
      <c r="BZ47" s="3272">
        <f t="shared" si="1357"/>
        <v>2.0287849145551</v>
      </c>
      <c r="CA47" s="3272">
        <f ca="1">CA43</f>
        <v>2.1484889673433361</v>
      </c>
      <c r="CB47" s="3272">
        <f ca="1">CB43</f>
        <v>2.0848187958884008</v>
      </c>
      <c r="CC47" s="3272">
        <f t="shared" ref="CC47:CD47" ca="1" si="1358">CB47*(1+CC48)</f>
        <v>2.003927826607931</v>
      </c>
      <c r="CD47" s="3272">
        <f t="shared" ca="1" si="1358"/>
        <v>2.003927826607931</v>
      </c>
      <c r="CE47" s="3272">
        <f ca="1">CD47*(1+CE48)</f>
        <v>2.003927826607931</v>
      </c>
      <c r="CF47" s="3272">
        <f ca="1">CE47*(1+CF48)</f>
        <v>2.0640456614061691</v>
      </c>
      <c r="CG47" s="3272">
        <f t="shared" ref="CG47" ca="1" si="1359">CF47*(1+CG48)</f>
        <v>2.1053265746342924</v>
      </c>
      <c r="CH47" s="3272">
        <f>BV43*(1+CH48)</f>
        <v>2.1024734982332158</v>
      </c>
      <c r="CI47" s="3272">
        <f ca="1">BW43*(1+CI48)</f>
        <v>1.6981782214369843</v>
      </c>
      <c r="CJ47" s="3272">
        <v>2.1</v>
      </c>
      <c r="CK47" s="3272">
        <f>BY47*(1+CK48)</f>
        <v>2.0394751466391505</v>
      </c>
      <c r="CL47" s="3272">
        <f t="shared" ref="CL47:CN47" si="1360">BZ47*(1+CL48)</f>
        <v>1.8887987554507981</v>
      </c>
      <c r="CM47" s="3272">
        <f t="shared" ca="1" si="1360"/>
        <v>1.7598273131509263</v>
      </c>
      <c r="CN47" s="3272">
        <f t="shared" ca="1" si="1360"/>
        <v>1.8486088263142451</v>
      </c>
      <c r="CO47" s="3272">
        <f t="shared" ref="CO47:DR47" ca="1" si="1361">CC43*(1+CO48)</f>
        <v>1.8596725372262777</v>
      </c>
      <c r="CP47" s="3272">
        <f t="shared" ca="1" si="1361"/>
        <v>1.8732114882506512</v>
      </c>
      <c r="CQ47" s="3272">
        <f t="shared" ca="1" si="1361"/>
        <v>1.9335664836752384</v>
      </c>
      <c r="CR47" s="3300">
        <f t="shared" ca="1" si="1361"/>
        <v>2.0175437925072068</v>
      </c>
      <c r="CS47" s="3300">
        <f t="shared" ca="1" si="1361"/>
        <v>2.1303472883869552</v>
      </c>
      <c r="CT47" s="3300">
        <f t="shared" si="1361"/>
        <v>2.1839778963987668</v>
      </c>
      <c r="CU47" s="3300">
        <f t="shared" ca="1" si="1361"/>
        <v>1.8798275230091197</v>
      </c>
      <c r="CV47" s="3300">
        <f t="shared" ca="1" si="1361"/>
        <v>2.1367887394885834</v>
      </c>
      <c r="CW47" s="3300">
        <f t="shared" si="1361"/>
        <v>2.0668321414789377</v>
      </c>
      <c r="CX47" s="3300">
        <f t="shared" si="1361"/>
        <v>1.9923783266219659</v>
      </c>
      <c r="CY47" s="3300">
        <f>CM43*(1+CY48)</f>
        <v>1.8406196150320808</v>
      </c>
      <c r="CZ47" s="3300">
        <f t="shared" ca="1" si="1361"/>
        <v>1.9462010358625941</v>
      </c>
      <c r="DA47" s="3300">
        <f t="shared" ca="1" si="1361"/>
        <v>1.9675363083164303</v>
      </c>
      <c r="DB47" s="3300">
        <f t="shared" ca="1" si="1361"/>
        <v>1.912440106124254</v>
      </c>
      <c r="DC47" s="3300">
        <f t="shared" ca="1" si="1361"/>
        <v>1.8824177253218886</v>
      </c>
      <c r="DD47" s="3300">
        <f t="shared" ca="1" si="1361"/>
        <v>1.8997838829348701</v>
      </c>
      <c r="DE47" s="3300">
        <f t="shared" ca="1" si="1361"/>
        <v>2.2348272614964291</v>
      </c>
      <c r="DF47" s="3300">
        <f t="shared" si="1361"/>
        <v>2.2178116523347806</v>
      </c>
      <c r="DG47" s="3300">
        <f t="shared" ca="1" si="1361"/>
        <v>1.8720739486968907</v>
      </c>
      <c r="DH47" s="3300">
        <f t="shared" ca="1" si="1361"/>
        <v>2.1231850977799671</v>
      </c>
      <c r="DI47" s="3300">
        <f t="shared" si="1361"/>
        <v>2.0879619090326242</v>
      </c>
      <c r="DJ47" s="3300">
        <f t="shared" si="1361"/>
        <v>1.9973575351012984</v>
      </c>
      <c r="DK47" s="3300">
        <f t="shared" si="1361"/>
        <v>1.860840198688906</v>
      </c>
      <c r="DL47" s="3300">
        <f t="shared" ca="1" si="1361"/>
        <v>1.9817715428427518</v>
      </c>
      <c r="DM47" s="3300">
        <f t="shared" ca="1" si="1361"/>
        <v>2.0095761721216565</v>
      </c>
      <c r="DN47" s="3300">
        <f t="shared" ca="1" si="1361"/>
        <v>1.9457941185792327</v>
      </c>
      <c r="DO47" s="3300">
        <f t="shared" ca="1" si="1361"/>
        <v>1.9336109552456564</v>
      </c>
      <c r="DP47" s="3300">
        <f t="shared" ca="1" si="1361"/>
        <v>1.9365896437617631</v>
      </c>
      <c r="DQ47" s="3300">
        <f t="shared" ca="1" si="1361"/>
        <v>2.2812291911658198</v>
      </c>
      <c r="DR47" s="3300">
        <f t="shared" si="1361"/>
        <v>2.2270181571566958</v>
      </c>
      <c r="DS47" s="3300">
        <f t="shared" ref="DS47" ca="1" si="1362">DG43*(1+DS48)</f>
        <v>1.8840439254387762</v>
      </c>
      <c r="DT47" s="3300">
        <f t="shared" ref="DT47" ca="1" si="1363">DH43*(1+DT48)</f>
        <v>2.138451024568722</v>
      </c>
      <c r="DU47" s="3300">
        <f t="shared" ref="DU47" si="1364">DI43*(1+DU48)</f>
        <v>2.1059505499356161</v>
      </c>
      <c r="DV47" s="3300">
        <f t="shared" ref="DV47" si="1365">DJ43*(1+DV48)</f>
        <v>2.0136283366249161</v>
      </c>
      <c r="DW47" s="3300">
        <f t="shared" ref="DW47" si="1366">DK43*(1+DW48)</f>
        <v>1.8885268950386818</v>
      </c>
      <c r="DX47" s="3300">
        <f t="shared" ref="DX47" ca="1" si="1367">DL43*(1+DX48)</f>
        <v>2.0153007974383907</v>
      </c>
      <c r="DY47" s="3300">
        <f t="shared" ref="DY47" ca="1" si="1368">DM43*(1+DY48)</f>
        <v>2.0318432749256625</v>
      </c>
      <c r="DZ47" s="3300">
        <f t="shared" ref="DZ47" ca="1" si="1369">DN43*(1+DZ48)</f>
        <v>1.9726375369126201</v>
      </c>
      <c r="EA47" s="3300">
        <f t="shared" ref="EA47" ca="1" si="1370">DO43*(1+EA48)</f>
        <v>1.9629981367625242</v>
      </c>
      <c r="EB47" s="3300">
        <f t="shared" ref="EB47" ca="1" si="1371">DP43*(1+EB48)</f>
        <v>1.9655918176885705</v>
      </c>
      <c r="EC47" s="3300">
        <f t="shared" ref="EC47" ca="1" si="1372">DQ43*(1+EC48)</f>
        <v>2.3131533545235445</v>
      </c>
      <c r="ED47" s="3300">
        <f t="shared" ref="ED47" si="1373">DR43*(1+ED48)</f>
        <v>2.2360905893853866</v>
      </c>
      <c r="EE47" s="3300">
        <f t="shared" ref="EE47" ca="1" si="1374">DS43*(1+EE48)</f>
        <v>1.8920159314612095</v>
      </c>
      <c r="EF47" s="3300">
        <f t="shared" ref="EF47" ca="1" si="1375">DT43*(1+EF48)</f>
        <v>2.1557294224932027</v>
      </c>
      <c r="EG47" s="3300">
        <f t="shared" ref="EG47" si="1376">DU43*(1+EG48)</f>
        <v>2.1256646697701149</v>
      </c>
      <c r="EH47" s="3300">
        <f t="shared" ref="EH47" si="1377">DV43*(1+EH48)</f>
        <v>2.0340220573656755</v>
      </c>
      <c r="EI47" s="3300">
        <f t="shared" ref="EI47" si="1378">DW43*(1+EI48)</f>
        <v>1.9077238878231879</v>
      </c>
      <c r="EJ47" s="3300">
        <f t="shared" ref="EJ47" ca="1" si="1379">DX43*(1+EJ48)</f>
        <v>2.0372676672793064</v>
      </c>
      <c r="EK47" s="3300">
        <f t="shared" ref="EK47" ca="1" si="1380">DY43*(1+EK48)</f>
        <v>2.0591793189859078</v>
      </c>
      <c r="EL47" s="3300">
        <f t="shared" ref="EL47" ca="1" si="1381">DZ43*(1+EL48)</f>
        <v>2.0049762843803687</v>
      </c>
      <c r="EM47" s="3300">
        <f t="shared" ref="EM47" ca="1" si="1382">EA43*(1+EM48)</f>
        <v>1.9889368409555992</v>
      </c>
      <c r="EN47" s="3300">
        <f t="shared" ref="EN47" ca="1" si="1383">EB43*(1+EN48)</f>
        <v>1.9919894375310163</v>
      </c>
      <c r="EO47" s="3300">
        <f t="shared" ref="EO47" ca="1" si="1384">EC43*(1+EO48)</f>
        <v>2.3447057068244472</v>
      </c>
      <c r="EP47" s="3300">
        <f t="shared" ref="EP47" si="1385">ED43*(1+EP48)</f>
        <v>2.266289748768723</v>
      </c>
      <c r="EQ47" s="3300">
        <f t="shared" ref="EQ47" ca="1" si="1386">EE43*(1+EQ48)</f>
        <v>1.9171029741498908</v>
      </c>
      <c r="ER47" s="3300">
        <f t="shared" ref="ER47" ca="1" si="1387">EF43*(1+ER48)</f>
        <v>2.1895115508195158</v>
      </c>
      <c r="ES47" s="3300">
        <f t="shared" ref="ES47" si="1388">EG43*(1+ES48)</f>
        <v>2.1601796186461559</v>
      </c>
      <c r="ET47" s="3300">
        <f t="shared" ref="ET47" si="1389">EH43*(1+ET48)</f>
        <v>2.0677547030565391</v>
      </c>
      <c r="EU47" s="3300">
        <f t="shared" ref="EU47" si="1390">EI43*(1+EU48)</f>
        <v>1.9390285612963045</v>
      </c>
      <c r="EV47" s="3300">
        <f t="shared" ref="EV47" ca="1" si="1391">EJ43*(1+EV48)</f>
        <v>2.0713874648502686</v>
      </c>
      <c r="EW47" s="3300">
        <f t="shared" ref="EW47" ca="1" si="1392">EK43*(1+EW48)</f>
        <v>2.0960120717594579</v>
      </c>
      <c r="EX47" s="3300">
        <f t="shared" ref="EX47" ca="1" si="1393">EL43*(1+EX48)</f>
        <v>2.0450835933610052</v>
      </c>
      <c r="EY47" s="3300">
        <f t="shared" ref="EY47" ca="1" si="1394">EM43*(1+EY48)</f>
        <v>2.0239917571922419</v>
      </c>
      <c r="EZ47" s="3300">
        <f t="shared" ref="EZ47" ca="1" si="1395">EN43*(1+EZ48)</f>
        <v>2.0273328373284891</v>
      </c>
      <c r="FA47" s="3300">
        <f t="shared" ref="FA47" ca="1" si="1396">EO43*(1+FA48)</f>
        <v>2.3865782944990368</v>
      </c>
      <c r="FB47" s="3300">
        <f t="shared" ref="FB47" si="1397">EP43*(1+FB48)</f>
        <v>2.305657093814959</v>
      </c>
      <c r="FC47" s="3300">
        <f t="shared" ref="FC47" ca="1" si="1398">EQ43*(1+FC48)</f>
        <v>1.9511503584549885</v>
      </c>
      <c r="FD47" s="3300">
        <f t="shared" ref="FD47" ca="1" si="1399">ER43*(1+FD48)</f>
        <v>2.2323811871333619</v>
      </c>
      <c r="FE47" s="3300">
        <f t="shared" ref="FE47" si="1400">ES43*(1+FE48)</f>
        <v>2.2042425772878964</v>
      </c>
      <c r="FF47" s="3300">
        <f t="shared" ref="FF47" si="1401">ET43*(1+FF48)</f>
        <v>2.1108237520441069</v>
      </c>
      <c r="FG47" s="3300">
        <f t="shared" ref="FG47" si="1402">EU43*(1+FG48)</f>
        <v>1.9796961185057453</v>
      </c>
      <c r="FH47" s="3300">
        <f t="shared" ref="FH47" ca="1" si="1403">EV43*(1+FH48)</f>
        <v>2.1157077090818479</v>
      </c>
      <c r="FI47" s="3300">
        <f t="shared" ref="FI47" ca="1" si="1404">EW43*(1+FI48)</f>
        <v>2.1448559290141311</v>
      </c>
      <c r="FJ47" s="3300">
        <f t="shared" ref="FJ47" ca="1" si="1405">EX43*(1+FJ48)</f>
        <v>2.0950847300400728</v>
      </c>
      <c r="FK47" s="3300">
        <f t="shared" ref="FK47" ca="1" si="1406">EY43*(1+FK48)</f>
        <v>2.0707439055446808</v>
      </c>
      <c r="FL47" s="3300">
        <f t="shared" ref="FL47" ca="1" si="1407">EZ43*(1+FL48)</f>
        <v>2.0742367515683342</v>
      </c>
      <c r="FM47" s="3300">
        <f t="shared" ref="FM47" ca="1" si="1408">FA43*(1+FM48)</f>
        <v>2.4418805069322</v>
      </c>
      <c r="FN47" s="3300">
        <f t="shared" ref="FN47" si="1409">FB43*(1+FN48)</f>
        <v>2.35916723123841</v>
      </c>
      <c r="FO47" s="3300">
        <f t="shared" ref="FO47" ca="1" si="1410">FC43*(1+FO48)</f>
        <v>1.9965025738447542</v>
      </c>
      <c r="FP47" s="3300">
        <f t="shared" ref="FP47" ca="1" si="1411">FD43*(1+FP48)</f>
        <v>2.2843490168046054</v>
      </c>
      <c r="FQ47" s="3300">
        <f t="shared" ref="FQ47" si="1412">FE43*(1+FQ48)</f>
        <v>2.2556322971289942</v>
      </c>
      <c r="FR47" s="3300">
        <f t="shared" ref="FR47" si="1413">FF43*(1+FR48)</f>
        <v>2.1601084151095282</v>
      </c>
      <c r="FS47" s="3300">
        <f t="shared" ref="FS47" si="1414">FG43*(1+FS48)</f>
        <v>2.0259868200192379</v>
      </c>
      <c r="FT47" s="3300">
        <f t="shared" ref="FT47" ca="1" si="1415">FH43*(1+FT48)</f>
        <v>2.1652503209128029</v>
      </c>
      <c r="FU47" s="3300">
        <f t="shared" ref="FU47" ca="1" si="1416">FI43*(1+FU48)</f>
        <v>2.1951529278514585</v>
      </c>
      <c r="FV47" s="3300">
        <f t="shared" ref="FV47" ca="1" si="1417">FJ43*(1+FV48)</f>
        <v>2.1442840497887867</v>
      </c>
      <c r="FW47" s="3300">
        <f t="shared" ref="FW47" ca="1" si="1418">FK43*(1+FW48)</f>
        <v>2.1194395845791321</v>
      </c>
      <c r="FX47" s="3300">
        <f t="shared" ref="FX47" ca="1" si="1419">FL43*(1+FX48)</f>
        <v>2.1230819609252514</v>
      </c>
      <c r="FY47" s="3300">
        <f t="shared" ref="FY47" ca="1" si="1420">FM43*(1+FY48)</f>
        <v>2.4994617294228227</v>
      </c>
    </row>
    <row r="48" spans="1:181" s="3283" customFormat="1" outlineLevel="1">
      <c r="A48" s="3296" t="s">
        <v>43</v>
      </c>
      <c r="N48" s="3242"/>
      <c r="O48" s="3242"/>
      <c r="P48" s="3242"/>
      <c r="Q48" s="3242"/>
      <c r="R48" s="3242"/>
      <c r="S48" s="3242"/>
      <c r="T48" s="3242"/>
      <c r="U48" s="3242"/>
      <c r="V48" s="3242"/>
      <c r="W48" s="3242"/>
      <c r="X48" s="3242"/>
      <c r="Y48" s="3242"/>
      <c r="Z48" s="3242"/>
      <c r="AA48" s="3242"/>
      <c r="AB48" s="3242"/>
      <c r="AC48" s="3242"/>
      <c r="AD48" s="3242"/>
      <c r="AE48" s="3242"/>
      <c r="AF48" s="3242"/>
      <c r="AG48" s="3242"/>
      <c r="AH48" s="3242"/>
      <c r="AI48" s="3242"/>
      <c r="AJ48" s="3242"/>
      <c r="AK48" s="3242"/>
      <c r="AL48" s="3242"/>
      <c r="AM48" s="3242"/>
      <c r="AN48" s="3242"/>
      <c r="AO48" s="3242"/>
      <c r="AP48" s="3242"/>
      <c r="AQ48" s="3242"/>
      <c r="AR48" s="3242"/>
      <c r="AS48" s="3242"/>
      <c r="AT48" s="3242"/>
      <c r="AU48" s="3242"/>
      <c r="AV48" s="3242"/>
      <c r="AW48" s="3242"/>
      <c r="AX48" s="3284"/>
      <c r="BH48" s="3282"/>
      <c r="BJ48" s="3245"/>
      <c r="BK48" s="2684"/>
      <c r="BL48" s="2684"/>
      <c r="BM48" s="2684"/>
      <c r="BN48" s="2684"/>
      <c r="BO48" s="3260"/>
      <c r="BP48" s="2684"/>
      <c r="BQ48" s="2684">
        <f ca="1">SUM(CH38:CI38)/SUM(BV38:BW38)-1</f>
        <v>0.16285345731965251</v>
      </c>
      <c r="BR48" s="2684"/>
      <c r="BS48" s="2684"/>
      <c r="BT48" s="2684">
        <f ca="1">BT38/BS38-1</f>
        <v>-2.390434615003878E-2</v>
      </c>
      <c r="BU48" s="2684"/>
      <c r="BV48" s="3285">
        <f ca="1">AVERAGE(BV43:BW43)/BJ43-1</f>
        <v>0.50445644253179101</v>
      </c>
      <c r="BW48" s="3260"/>
      <c r="BX48" s="3261">
        <v>0.35</v>
      </c>
      <c r="BY48" s="3261">
        <v>0.3</v>
      </c>
      <c r="BZ48" s="3261">
        <v>0.2</v>
      </c>
      <c r="CA48" s="3261">
        <v>0.2</v>
      </c>
      <c r="CB48" s="3261">
        <v>-7.0000000000000007E-2</v>
      </c>
      <c r="CC48" s="3261">
        <v>-3.8800000000000001E-2</v>
      </c>
      <c r="CD48" s="3261">
        <v>0</v>
      </c>
      <c r="CE48" s="3261">
        <v>0</v>
      </c>
      <c r="CF48" s="3261">
        <v>0.03</v>
      </c>
      <c r="CG48" s="3261">
        <v>0.02</v>
      </c>
      <c r="CH48" s="3261">
        <v>0.05</v>
      </c>
      <c r="CI48" s="3261">
        <v>7.0000000000000007E-2</v>
      </c>
      <c r="CJ48" s="3261">
        <f>CJ47/BZ47-1</f>
        <v>3.5102333881715131E-2</v>
      </c>
      <c r="CK48" s="3261">
        <v>7.0000000000000007E-2</v>
      </c>
      <c r="CL48" s="3261">
        <v>-6.9000000000000006E-2</v>
      </c>
      <c r="CM48" s="3261">
        <v>-0.18090000000000001</v>
      </c>
      <c r="CN48" s="3261">
        <v>-0.1133</v>
      </c>
      <c r="CO48" s="3261">
        <v>-0.14000000000000001</v>
      </c>
      <c r="CP48" s="3261">
        <v>-0.1</v>
      </c>
      <c r="CQ48" s="3261">
        <v>-0.05</v>
      </c>
      <c r="CR48" s="3302">
        <v>-0.02</v>
      </c>
      <c r="CS48" s="3302">
        <v>0.02</v>
      </c>
      <c r="CT48" s="3302">
        <v>0.05</v>
      </c>
      <c r="CU48" s="3302">
        <v>0.05</v>
      </c>
      <c r="CV48" s="3302">
        <v>0.05</v>
      </c>
      <c r="CW48" s="3302">
        <v>0.05</v>
      </c>
      <c r="CX48" s="3302">
        <v>0.1</v>
      </c>
      <c r="CY48" s="3302">
        <v>0.1</v>
      </c>
      <c r="CZ48" s="3302">
        <v>0.1</v>
      </c>
      <c r="DA48" s="3302">
        <v>0.1</v>
      </c>
      <c r="DB48" s="3302">
        <v>0.1</v>
      </c>
      <c r="DC48" s="3302">
        <v>0.1</v>
      </c>
      <c r="DD48" s="3302">
        <v>0.1</v>
      </c>
      <c r="DE48" s="3302">
        <v>0.1</v>
      </c>
      <c r="DF48" s="3302">
        <v>0.05</v>
      </c>
      <c r="DG48" s="3302">
        <v>0.03</v>
      </c>
      <c r="DH48" s="3302">
        <v>0.03</v>
      </c>
      <c r="DI48" s="3302">
        <v>0.05</v>
      </c>
      <c r="DJ48" s="3302">
        <v>0.05</v>
      </c>
      <c r="DK48" s="3302">
        <v>0.05</v>
      </c>
      <c r="DL48" s="3302">
        <v>0.05</v>
      </c>
      <c r="DM48" s="3302">
        <v>0.05</v>
      </c>
      <c r="DN48" s="3302">
        <v>0.05</v>
      </c>
      <c r="DO48" s="3302">
        <v>0.05</v>
      </c>
      <c r="DP48" s="3302">
        <v>0.05</v>
      </c>
      <c r="DQ48" s="3302">
        <v>0.05</v>
      </c>
      <c r="DR48" s="3302">
        <v>0.03</v>
      </c>
      <c r="DS48" s="3302">
        <v>0.03</v>
      </c>
      <c r="DT48" s="3302">
        <v>0.03</v>
      </c>
      <c r="DU48" s="3302">
        <v>0.03</v>
      </c>
      <c r="DV48" s="3302">
        <v>0.03</v>
      </c>
      <c r="DW48" s="3302">
        <v>0.03</v>
      </c>
      <c r="DX48" s="3302">
        <v>0.03</v>
      </c>
      <c r="DY48" s="3302">
        <v>0.03</v>
      </c>
      <c r="DZ48" s="3302">
        <v>0.03</v>
      </c>
      <c r="EA48" s="3302">
        <v>0.03</v>
      </c>
      <c r="EB48" s="3302">
        <v>0.03</v>
      </c>
      <c r="EC48" s="3302">
        <v>0.03</v>
      </c>
      <c r="ED48" s="3302">
        <v>0.03</v>
      </c>
      <c r="EE48" s="3302">
        <v>0.03</v>
      </c>
      <c r="EF48" s="3302">
        <v>0.03</v>
      </c>
      <c r="EG48" s="3302">
        <v>0.03</v>
      </c>
      <c r="EH48" s="3302">
        <v>0.03</v>
      </c>
      <c r="EI48" s="3302">
        <v>0.03</v>
      </c>
      <c r="EJ48" s="3302">
        <v>0.03</v>
      </c>
      <c r="EK48" s="3302">
        <v>0.03</v>
      </c>
      <c r="EL48" s="3302">
        <v>0.03</v>
      </c>
      <c r="EM48" s="3302">
        <v>0.03</v>
      </c>
      <c r="EN48" s="3302">
        <v>0.03</v>
      </c>
      <c r="EO48" s="3302">
        <v>0.03</v>
      </c>
      <c r="EP48" s="3302">
        <v>0.03</v>
      </c>
      <c r="EQ48" s="3302">
        <v>0.03</v>
      </c>
      <c r="ER48" s="3302">
        <v>0.03</v>
      </c>
      <c r="ES48" s="3302">
        <v>0.03</v>
      </c>
      <c r="ET48" s="3302">
        <v>0.03</v>
      </c>
      <c r="EU48" s="3302">
        <v>0.03</v>
      </c>
      <c r="EV48" s="3302">
        <v>0.03</v>
      </c>
      <c r="EW48" s="3302">
        <v>0.03</v>
      </c>
      <c r="EX48" s="3302">
        <v>0.03</v>
      </c>
      <c r="EY48" s="3302">
        <v>0.03</v>
      </c>
      <c r="EZ48" s="3302">
        <v>0.03</v>
      </c>
      <c r="FA48" s="3302">
        <v>0.03</v>
      </c>
      <c r="FB48" s="3302">
        <v>0.03</v>
      </c>
      <c r="FC48" s="3302">
        <v>0.03</v>
      </c>
      <c r="FD48" s="3302">
        <v>0.03</v>
      </c>
      <c r="FE48" s="3302">
        <v>0.03</v>
      </c>
      <c r="FF48" s="3302">
        <v>0.03</v>
      </c>
      <c r="FG48" s="3302">
        <v>0.03</v>
      </c>
      <c r="FH48" s="3302">
        <v>0.03</v>
      </c>
      <c r="FI48" s="3302">
        <v>0.03</v>
      </c>
      <c r="FJ48" s="3302">
        <v>0.03</v>
      </c>
      <c r="FK48" s="3302">
        <v>0.03</v>
      </c>
      <c r="FL48" s="3302">
        <v>0.03</v>
      </c>
      <c r="FM48" s="3302">
        <v>0.03</v>
      </c>
      <c r="FN48" s="3302">
        <v>0.03</v>
      </c>
      <c r="FO48" s="3302">
        <v>0.03</v>
      </c>
      <c r="FP48" s="3302">
        <v>0.03</v>
      </c>
      <c r="FQ48" s="3302">
        <v>0.03</v>
      </c>
      <c r="FR48" s="3302">
        <v>0.03</v>
      </c>
      <c r="FS48" s="3302">
        <v>0.03</v>
      </c>
      <c r="FT48" s="3302">
        <v>0.03</v>
      </c>
      <c r="FU48" s="3302">
        <v>0.03</v>
      </c>
      <c r="FV48" s="3302">
        <v>0.03</v>
      </c>
      <c r="FW48" s="3302">
        <v>0.03</v>
      </c>
      <c r="FX48" s="3302">
        <v>0.03</v>
      </c>
      <c r="FY48" s="3302">
        <v>0.03</v>
      </c>
    </row>
    <row r="49" spans="1:181" s="3279" customFormat="1" outlineLevel="3">
      <c r="A49" s="3303" t="s">
        <v>44</v>
      </c>
      <c r="B49" s="3278"/>
      <c r="C49" s="3278"/>
      <c r="D49" s="3278"/>
      <c r="E49" s="3278"/>
      <c r="F49" s="3278"/>
      <c r="G49" s="3278"/>
      <c r="H49" s="3278"/>
      <c r="I49" s="3278"/>
      <c r="J49" s="3278"/>
      <c r="K49" s="3278"/>
      <c r="L49" s="3278"/>
      <c r="M49" s="3278"/>
      <c r="N49" s="3278"/>
      <c r="O49" s="3278"/>
      <c r="P49" s="3278"/>
      <c r="Q49" s="3278"/>
      <c r="R49" s="3278"/>
      <c r="S49" s="3278"/>
      <c r="T49" s="3278"/>
      <c r="U49" s="3278"/>
      <c r="V49" s="3278"/>
      <c r="W49" s="3278"/>
      <c r="X49" s="3278"/>
      <c r="Y49" s="3278"/>
      <c r="Z49" s="3278"/>
      <c r="AA49" s="3278"/>
      <c r="AB49" s="3278"/>
      <c r="AC49" s="3278"/>
      <c r="AD49" s="3278"/>
      <c r="AE49" s="3278"/>
      <c r="AF49" s="3278"/>
      <c r="AG49" s="3278"/>
      <c r="AH49" s="3278"/>
      <c r="AI49" s="3278"/>
      <c r="AJ49" s="3278"/>
      <c r="AK49" s="3278"/>
      <c r="AL49" s="3278"/>
      <c r="AM49" s="3278"/>
      <c r="AN49" s="3278"/>
      <c r="AO49" s="3278"/>
      <c r="AP49" s="3278"/>
      <c r="AQ49" s="3278"/>
      <c r="AR49" s="3278"/>
      <c r="AS49" s="3278"/>
      <c r="AT49" s="3278"/>
      <c r="AU49" s="3278"/>
      <c r="AV49" s="3278"/>
      <c r="AW49" s="3278"/>
      <c r="AX49" s="3278"/>
      <c r="AY49" s="3278"/>
      <c r="AZ49" s="3278"/>
      <c r="BA49" s="3278"/>
      <c r="BB49" s="3278"/>
      <c r="BC49" s="3278"/>
      <c r="BD49" s="3278"/>
      <c r="BE49" s="3278"/>
      <c r="BF49" s="3278"/>
      <c r="BG49" s="3278"/>
      <c r="BH49" s="3278"/>
      <c r="BI49" s="3278"/>
      <c r="BJ49" s="3245"/>
      <c r="BK49" s="3245"/>
      <c r="BL49" s="3245"/>
      <c r="BM49" s="3245"/>
      <c r="BN49" s="3245"/>
      <c r="BO49" s="3245"/>
      <c r="BP49" s="3245"/>
      <c r="BQ49" s="3253">
        <f>1864/BW41-1</f>
        <v>9.7762073027090723E-2</v>
      </c>
      <c r="BR49" s="3245"/>
      <c r="BS49" s="3245"/>
      <c r="BT49" s="2900">
        <f ca="1">BT32/7000-1</f>
        <v>-6.3663142857142585E-2</v>
      </c>
      <c r="BU49" s="3245"/>
      <c r="BV49" s="3245"/>
      <c r="BW49" s="3245"/>
      <c r="BX49" s="3245">
        <f>BX41</f>
        <v>1696</v>
      </c>
      <c r="BY49" s="3245">
        <v>1696</v>
      </c>
      <c r="BZ49" s="3245">
        <v>1696</v>
      </c>
      <c r="CA49" s="3245">
        <f t="shared" ref="CA49:CG49" si="1421">BZ49</f>
        <v>1696</v>
      </c>
      <c r="CB49" s="3245">
        <f t="shared" si="1421"/>
        <v>1696</v>
      </c>
      <c r="CC49" s="3245">
        <f t="shared" si="1421"/>
        <v>1696</v>
      </c>
      <c r="CD49" s="3245">
        <f t="shared" si="1421"/>
        <v>1696</v>
      </c>
      <c r="CE49" s="3245">
        <f t="shared" si="1421"/>
        <v>1696</v>
      </c>
      <c r="CF49" s="3245">
        <f t="shared" si="1421"/>
        <v>1696</v>
      </c>
      <c r="CG49" s="3245">
        <f t="shared" si="1421"/>
        <v>1696</v>
      </c>
      <c r="CH49" s="3278">
        <f>CA41</f>
        <v>1701</v>
      </c>
      <c r="CI49" s="3278">
        <f t="shared" ref="CI49" si="1422">CB41</f>
        <v>1704</v>
      </c>
      <c r="CJ49" s="3278">
        <f t="shared" ref="CJ49" si="1423">CC41</f>
        <v>1721</v>
      </c>
      <c r="CK49" s="3278">
        <f t="shared" ref="CK49" si="1424">CD41</f>
        <v>1726</v>
      </c>
      <c r="CL49" s="3278">
        <f t="shared" ref="CL49" si="1425">CE41</f>
        <v>1735</v>
      </c>
      <c r="CM49" s="3278">
        <f t="shared" ref="CM49" si="1426">CF41</f>
        <v>1735</v>
      </c>
      <c r="CN49" s="3278">
        <f t="shared" ref="CN49" si="1427">CG41</f>
        <v>1770</v>
      </c>
      <c r="CO49" s="3278">
        <f t="shared" ref="CO49:CS49" si="1428">CH41</f>
        <v>1849</v>
      </c>
      <c r="CP49" s="3278">
        <f t="shared" si="1428"/>
        <v>1864</v>
      </c>
      <c r="CQ49" s="3278">
        <f t="shared" si="1428"/>
        <v>2002</v>
      </c>
      <c r="CR49" s="3278">
        <f t="shared" si="1428"/>
        <v>2102</v>
      </c>
      <c r="CS49" s="3278">
        <f t="shared" si="1428"/>
        <v>2180</v>
      </c>
      <c r="CT49" s="3278">
        <f>CM41</f>
        <v>2184</v>
      </c>
      <c r="CU49" s="3278">
        <f t="shared" ref="CU49:DR49" si="1429">CN41</f>
        <v>2204</v>
      </c>
      <c r="CV49" s="3278">
        <f t="shared" si="1429"/>
        <v>2233</v>
      </c>
      <c r="CW49" s="3278">
        <f t="shared" si="1429"/>
        <v>2290</v>
      </c>
      <c r="CX49" s="3278">
        <f t="shared" si="1429"/>
        <v>2370</v>
      </c>
      <c r="CY49" s="3278">
        <f t="shared" si="1429"/>
        <v>2482</v>
      </c>
      <c r="CZ49" s="3278">
        <f t="shared" si="1429"/>
        <v>2537</v>
      </c>
      <c r="DA49" s="3278">
        <f t="shared" si="1429"/>
        <v>2587</v>
      </c>
      <c r="DB49" s="3278">
        <f t="shared" si="1429"/>
        <v>2677</v>
      </c>
      <c r="DC49" s="3278">
        <f t="shared" si="1429"/>
        <v>2727</v>
      </c>
      <c r="DD49" s="3278">
        <f t="shared" si="1429"/>
        <v>2827</v>
      </c>
      <c r="DE49" s="3278">
        <f t="shared" si="1429"/>
        <v>2907</v>
      </c>
      <c r="DF49" s="3278">
        <f t="shared" si="1429"/>
        <v>2987</v>
      </c>
      <c r="DG49" s="3278">
        <f t="shared" si="1429"/>
        <v>3037</v>
      </c>
      <c r="DH49" s="3278">
        <f t="shared" si="1429"/>
        <v>3087</v>
      </c>
      <c r="DI49" s="3278">
        <f t="shared" si="1429"/>
        <v>3137</v>
      </c>
      <c r="DJ49" s="3278">
        <f t="shared" si="1429"/>
        <v>3217</v>
      </c>
      <c r="DK49" s="3278">
        <f t="shared" si="1429"/>
        <v>3297</v>
      </c>
      <c r="DL49" s="3278">
        <f t="shared" si="1429"/>
        <v>3347</v>
      </c>
      <c r="DM49" s="3278">
        <f t="shared" si="1429"/>
        <v>3427</v>
      </c>
      <c r="DN49" s="3278">
        <f t="shared" si="1429"/>
        <v>3467</v>
      </c>
      <c r="DO49" s="3278">
        <f t="shared" si="1429"/>
        <v>3487</v>
      </c>
      <c r="DP49" s="3278">
        <f t="shared" si="1429"/>
        <v>3497</v>
      </c>
      <c r="DQ49" s="3278">
        <f t="shared" si="1429"/>
        <v>3502</v>
      </c>
      <c r="DR49" s="3278">
        <f t="shared" si="1429"/>
        <v>3582</v>
      </c>
      <c r="DS49" s="3278">
        <f t="shared" ref="DS49" si="1430">DL41</f>
        <v>3662</v>
      </c>
      <c r="DT49" s="3278">
        <f t="shared" ref="DT49" si="1431">DM41</f>
        <v>3742</v>
      </c>
      <c r="DU49" s="3278">
        <f t="shared" ref="DU49" si="1432">DN41</f>
        <v>3822</v>
      </c>
      <c r="DV49" s="3278">
        <f t="shared" ref="DV49" si="1433">DO41</f>
        <v>3902</v>
      </c>
      <c r="DW49" s="3278">
        <f t="shared" ref="DW49" si="1434">DP41</f>
        <v>3982</v>
      </c>
      <c r="DX49" s="3278">
        <f t="shared" ref="DX49" si="1435">DQ41</f>
        <v>4062</v>
      </c>
      <c r="DY49" s="3278">
        <f t="shared" ref="DY49" si="1436">DR41</f>
        <v>4122</v>
      </c>
      <c r="DZ49" s="3278">
        <f t="shared" ref="DZ49" si="1437">DS41</f>
        <v>4152</v>
      </c>
      <c r="EA49" s="3278">
        <f t="shared" ref="EA49" si="1438">DT41</f>
        <v>4212</v>
      </c>
      <c r="EB49" s="3278">
        <f t="shared" ref="EB49" si="1439">DU41</f>
        <v>4272</v>
      </c>
      <c r="EC49" s="3278">
        <f t="shared" ref="EC49" si="1440">DV41</f>
        <v>4332</v>
      </c>
      <c r="ED49" s="3278">
        <f t="shared" ref="ED49" si="1441">DW41</f>
        <v>4392</v>
      </c>
      <c r="EE49" s="3278">
        <f t="shared" ref="EE49" si="1442">DX41</f>
        <v>4452</v>
      </c>
      <c r="EF49" s="3278">
        <f t="shared" ref="EF49" si="1443">DY41</f>
        <v>4512</v>
      </c>
      <c r="EG49" s="3278">
        <f t="shared" ref="EG49" si="1444">DZ41</f>
        <v>4572</v>
      </c>
      <c r="EH49" s="3278">
        <f t="shared" ref="EH49" si="1445">EA41</f>
        <v>4632</v>
      </c>
      <c r="EI49" s="3278">
        <f t="shared" ref="EI49" si="1446">EB41</f>
        <v>4692</v>
      </c>
      <c r="EJ49" s="3278">
        <f t="shared" ref="EJ49" si="1447">EC41</f>
        <v>4752</v>
      </c>
      <c r="EK49" s="3278">
        <f t="shared" ref="EK49" si="1448">ED41</f>
        <v>4802</v>
      </c>
      <c r="EL49" s="3278">
        <f t="shared" ref="EL49" si="1449">EE41</f>
        <v>4827</v>
      </c>
      <c r="EM49" s="3278">
        <f t="shared" ref="EM49" si="1450">EF41</f>
        <v>4877</v>
      </c>
      <c r="EN49" s="3278">
        <f t="shared" ref="EN49" si="1451">EG41</f>
        <v>4927</v>
      </c>
      <c r="EO49" s="3278">
        <f t="shared" ref="EO49" si="1452">EH41</f>
        <v>4977</v>
      </c>
      <c r="EP49" s="3278">
        <f t="shared" ref="EP49" si="1453">EI41</f>
        <v>5027</v>
      </c>
      <c r="EQ49" s="3278">
        <f t="shared" ref="EQ49" si="1454">EJ41</f>
        <v>5077</v>
      </c>
      <c r="ER49" s="3278">
        <f t="shared" ref="ER49" si="1455">EK41</f>
        <v>5127</v>
      </c>
      <c r="ES49" s="3278">
        <f t="shared" ref="ES49" si="1456">EL41</f>
        <v>5177</v>
      </c>
      <c r="ET49" s="3278">
        <f t="shared" ref="ET49" si="1457">EM41</f>
        <v>5227</v>
      </c>
      <c r="EU49" s="3278">
        <f t="shared" ref="EU49" si="1458">EN41</f>
        <v>5277</v>
      </c>
      <c r="EV49" s="3278">
        <f t="shared" ref="EV49" si="1459">EO41</f>
        <v>5327</v>
      </c>
      <c r="EW49" s="3278">
        <f t="shared" ref="EW49" si="1460">EP41</f>
        <v>5357</v>
      </c>
      <c r="EX49" s="3278">
        <f t="shared" ref="EX49" si="1461">EQ41</f>
        <v>5372</v>
      </c>
      <c r="EY49" s="3278">
        <f t="shared" ref="EY49" si="1462">ER41</f>
        <v>5402</v>
      </c>
      <c r="EZ49" s="3278">
        <f t="shared" ref="EZ49" si="1463">ES41</f>
        <v>5432</v>
      </c>
      <c r="FA49" s="3278">
        <f t="shared" ref="FA49" si="1464">ET41</f>
        <v>5462</v>
      </c>
      <c r="FB49" s="3278">
        <f t="shared" ref="FB49" si="1465">EU41</f>
        <v>5492</v>
      </c>
      <c r="FC49" s="3278">
        <f t="shared" ref="FC49" si="1466">EV41</f>
        <v>5522</v>
      </c>
      <c r="FD49" s="3278">
        <f t="shared" ref="FD49" si="1467">EW41</f>
        <v>5552</v>
      </c>
      <c r="FE49" s="3278">
        <f t="shared" ref="FE49" si="1468">EX41</f>
        <v>5582</v>
      </c>
      <c r="FF49" s="3278">
        <f t="shared" ref="FF49" si="1469">EY41</f>
        <v>5612</v>
      </c>
      <c r="FG49" s="3278">
        <f t="shared" ref="FG49" si="1470">EZ41</f>
        <v>5642</v>
      </c>
      <c r="FH49" s="3278">
        <f t="shared" ref="FH49" si="1471">FA41</f>
        <v>5672</v>
      </c>
      <c r="FI49" s="3278">
        <f t="shared" ref="FI49" si="1472">FB41</f>
        <v>5702</v>
      </c>
      <c r="FJ49" s="3278">
        <f t="shared" ref="FJ49" si="1473">FC41</f>
        <v>5732</v>
      </c>
      <c r="FK49" s="3278">
        <f t="shared" ref="FK49" si="1474">FD41</f>
        <v>5762</v>
      </c>
      <c r="FL49" s="3278">
        <f t="shared" ref="FL49" si="1475">FE41</f>
        <v>5792</v>
      </c>
      <c r="FM49" s="3278">
        <f t="shared" ref="FM49" si="1476">FF41</f>
        <v>5822</v>
      </c>
      <c r="FN49" s="3278">
        <f t="shared" ref="FN49" si="1477">FG41</f>
        <v>5852</v>
      </c>
      <c r="FO49" s="3278">
        <f t="shared" ref="FO49" si="1478">FH41</f>
        <v>5882</v>
      </c>
      <c r="FP49" s="3278">
        <f t="shared" ref="FP49" si="1479">FI41</f>
        <v>5912</v>
      </c>
      <c r="FQ49" s="3278">
        <f t="shared" ref="FQ49" si="1480">FJ41</f>
        <v>5942</v>
      </c>
      <c r="FR49" s="3278">
        <f t="shared" ref="FR49" si="1481">FK41</f>
        <v>5972</v>
      </c>
      <c r="FS49" s="3278">
        <f t="shared" ref="FS49" si="1482">FL41</f>
        <v>6002</v>
      </c>
      <c r="FT49" s="3278">
        <f t="shared" ref="FT49" si="1483">FM41</f>
        <v>6032</v>
      </c>
      <c r="FU49" s="3278">
        <f t="shared" ref="FU49" si="1484">FN41</f>
        <v>6062</v>
      </c>
      <c r="FV49" s="3278">
        <f t="shared" ref="FV49" si="1485">FO41</f>
        <v>6092</v>
      </c>
      <c r="FW49" s="3278">
        <f t="shared" ref="FW49" si="1486">FP41</f>
        <v>6122</v>
      </c>
      <c r="FX49" s="3278">
        <f t="shared" ref="FX49" si="1487">FQ41</f>
        <v>6152</v>
      </c>
      <c r="FY49" s="3278">
        <f t="shared" ref="FY49" si="1488">FR41</f>
        <v>6182</v>
      </c>
    </row>
    <row r="50" spans="1:181" s="3305" customFormat="1" outlineLevel="1">
      <c r="A50" s="3304" t="s">
        <v>45</v>
      </c>
      <c r="N50" s="3306"/>
      <c r="O50" s="3306"/>
      <c r="P50" s="3306"/>
      <c r="Q50" s="3306"/>
      <c r="R50" s="3306"/>
      <c r="S50" s="3306"/>
      <c r="T50" s="3306"/>
      <c r="U50" s="3306"/>
      <c r="V50" s="3306"/>
      <c r="W50" s="3306"/>
      <c r="X50" s="3306"/>
      <c r="Y50" s="3306"/>
      <c r="Z50" s="3306"/>
      <c r="AA50" s="3306"/>
      <c r="AB50" s="3306"/>
      <c r="AC50" s="3306"/>
      <c r="AD50" s="3306"/>
      <c r="AE50" s="3306"/>
      <c r="AF50" s="3306"/>
      <c r="AG50" s="3306"/>
      <c r="AH50" s="3306"/>
      <c r="AI50" s="3306"/>
      <c r="AJ50" s="3306"/>
      <c r="AK50" s="3306"/>
      <c r="AL50" s="3306"/>
      <c r="AM50" s="3306"/>
      <c r="AN50" s="3306"/>
      <c r="AO50" s="3306"/>
      <c r="AP50" s="3306"/>
      <c r="AQ50" s="3306"/>
      <c r="AR50" s="3306"/>
      <c r="AS50" s="3306"/>
      <c r="AT50" s="3306"/>
      <c r="AU50" s="3306"/>
      <c r="AV50" s="3306"/>
      <c r="AW50" s="3306"/>
      <c r="AX50" s="3307"/>
      <c r="BH50" s="3308"/>
      <c r="BJ50" s="3309"/>
      <c r="BK50" s="2641"/>
      <c r="BL50" s="2641"/>
      <c r="BM50" s="2641"/>
      <c r="BN50" s="2641"/>
      <c r="BO50" s="3310"/>
      <c r="BP50" s="2641"/>
      <c r="BQ50" s="3311">
        <f ca="1">BQ48-BQ49</f>
        <v>6.5091384292561782E-2</v>
      </c>
      <c r="BR50" s="2641"/>
      <c r="BS50" s="3312">
        <f>BS35/BG35-1</f>
        <v>2.0396270396270122E-3</v>
      </c>
      <c r="BT50" s="3312">
        <f>BT35/BH35-1</f>
        <v>-3.9466047591410369E-2</v>
      </c>
      <c r="BU50" s="3312">
        <f>BU35/BI35-1</f>
        <v>-5.9297639608520414E-2</v>
      </c>
      <c r="BV50" s="3313"/>
      <c r="BW50" s="3310"/>
      <c r="BX50" s="3314">
        <f ca="1">IF(ISNUMBER(BX52*BX53),BX52*BX53,0)</f>
        <v>0.90386051561579306</v>
      </c>
      <c r="BY50" s="3314">
        <f t="shared" ref="BY50:CA50" si="1489">IF(ISNUMBER(BY52*BY53),BY52*BY53,0)</f>
        <v>0.92500000000000004</v>
      </c>
      <c r="BZ50" s="3314">
        <f t="shared" si="1489"/>
        <v>2.0350000000000001</v>
      </c>
      <c r="CA50" s="3314">
        <f t="shared" ca="1" si="1489"/>
        <v>4.9415246248896727</v>
      </c>
      <c r="CB50" s="3314">
        <f t="shared" ref="CB50:CG50" ca="1" si="1490">CB52*CB53</f>
        <v>7.9223114243759225</v>
      </c>
      <c r="CC50" s="3314">
        <f ca="1">CC52*CC53</f>
        <v>16.632600960845828</v>
      </c>
      <c r="CD50" s="3314">
        <f t="shared" ca="1" si="1490"/>
        <v>29.65813183379738</v>
      </c>
      <c r="CE50" s="3314">
        <f t="shared" ref="CE50" ca="1" si="1491">CE52*CE53</f>
        <v>37.473450357568311</v>
      </c>
      <c r="CF50" s="3314">
        <f t="shared" ca="1" si="1490"/>
        <v>43.55136345567017</v>
      </c>
      <c r="CG50" s="3314">
        <f t="shared" ca="1" si="1490"/>
        <v>66.317787100980212</v>
      </c>
      <c r="CH50" s="3314">
        <f t="shared" ref="CH50" si="1492">CH52*CH53</f>
        <v>192.6706713780919</v>
      </c>
      <c r="CI50" s="3314">
        <f ca="1">CI52*CI53</f>
        <v>149.94913695288571</v>
      </c>
      <c r="CJ50" s="3314">
        <f>CJ52*CJ53</f>
        <v>375.47999999999996</v>
      </c>
      <c r="CK50" s="3314">
        <f t="shared" ref="CK50:CO50" si="1493">CK52*CK53</f>
        <v>524.14511268626165</v>
      </c>
      <c r="CL50" s="3314">
        <f t="shared" si="1493"/>
        <v>609.3264785084275</v>
      </c>
      <c r="CM50" s="3314">
        <f t="shared" ca="1" si="1493"/>
        <v>597.46137281473955</v>
      </c>
      <c r="CN50" s="3314">
        <f t="shared" ca="1" si="1493"/>
        <v>641.83698449630583</v>
      </c>
      <c r="CO50" s="3314">
        <f t="shared" ca="1" si="1493"/>
        <v>585.88983285313884</v>
      </c>
      <c r="CP50" s="3314">
        <f ca="1">CP52*CP53</f>
        <v>660.9626736292422</v>
      </c>
      <c r="CQ50" s="3314">
        <f t="shared" ref="CQ50:DR50" ca="1" si="1494">CQ52*CQ53</f>
        <v>545.26574839641728</v>
      </c>
      <c r="CR50" s="3308">
        <f t="shared" ca="1" si="1494"/>
        <v>543.92980645994294</v>
      </c>
      <c r="CS50" s="3308">
        <f ca="1">CS52*CS53</f>
        <v>537.38010349560943</v>
      </c>
      <c r="CT50" s="3308">
        <f t="shared" si="1494"/>
        <v>646.02066175475522</v>
      </c>
      <c r="CU50" s="3308">
        <f t="shared" ca="1" si="1494"/>
        <v>659.44349507159916</v>
      </c>
      <c r="CV50" s="3308">
        <f t="shared" ca="1" si="1494"/>
        <v>829.28770979551928</v>
      </c>
      <c r="CW50" s="3308">
        <f t="shared" si="1494"/>
        <v>848.02122764880812</v>
      </c>
      <c r="CX50" s="3308">
        <f t="shared" si="1494"/>
        <v>811.49569243312669</v>
      </c>
      <c r="CY50" s="3308">
        <f t="shared" si="1494"/>
        <v>757.41497158570132</v>
      </c>
      <c r="CZ50" s="3308">
        <f t="shared" ca="1" si="1494"/>
        <v>800.86172625745735</v>
      </c>
      <c r="DA50" s="3308">
        <f ca="1">DA52*DA53</f>
        <v>819.47887241379328</v>
      </c>
      <c r="DB50" s="3308">
        <f t="shared" ca="1" si="1494"/>
        <v>733.42078069865147</v>
      </c>
      <c r="DC50" s="3308">
        <f t="shared" ca="1" si="1494"/>
        <v>764.26159648068665</v>
      </c>
      <c r="DD50" s="3308">
        <f t="shared" ca="1" si="1494"/>
        <v>731.41679492992512</v>
      </c>
      <c r="DE50" s="3308">
        <f ca="1">DE52*DE53</f>
        <v>810.1248822924556</v>
      </c>
      <c r="DF50" s="3308">
        <f>DF52*DF53</f>
        <v>787.3231365788472</v>
      </c>
      <c r="DG50" s="3308">
        <f t="shared" ca="1" si="1494"/>
        <v>666.45832573609312</v>
      </c>
      <c r="DH50" s="3308">
        <f t="shared" ca="1" si="1494"/>
        <v>717.63656304962888</v>
      </c>
      <c r="DI50" s="3308">
        <f t="shared" si="1494"/>
        <v>642.04828702753196</v>
      </c>
      <c r="DJ50" s="3308">
        <f t="shared" si="1494"/>
        <v>495.8440080888974</v>
      </c>
      <c r="DK50" s="3308">
        <f t="shared" si="1494"/>
        <v>433.57576629451512</v>
      </c>
      <c r="DL50" s="3308">
        <f t="shared" ca="1" si="1494"/>
        <v>503.36997188205896</v>
      </c>
      <c r="DM50" s="3308">
        <f t="shared" ca="1" si="1494"/>
        <v>496.36531451404909</v>
      </c>
      <c r="DN50" s="3308">
        <f t="shared" ca="1" si="1494"/>
        <v>536.06627966857855</v>
      </c>
      <c r="DO50" s="3308">
        <f t="shared" ca="1" si="1494"/>
        <v>637.12480975344374</v>
      </c>
      <c r="DP50" s="3308">
        <f t="shared" ca="1" si="1494"/>
        <v>760.11143517649202</v>
      </c>
      <c r="DQ50" s="3308">
        <f t="shared" ca="1" si="1494"/>
        <v>1049.3654279362772</v>
      </c>
      <c r="DR50" s="3308">
        <f t="shared" si="1494"/>
        <v>995.47711624904309</v>
      </c>
      <c r="DS50" s="3308">
        <f t="shared" ref="DS50:FY50" ca="1" si="1495">DS52*DS53</f>
        <v>775.28407531805647</v>
      </c>
      <c r="DT50" s="3308">
        <f t="shared" ca="1" si="1495"/>
        <v>836.13435060637039</v>
      </c>
      <c r="DU50" s="3308">
        <f t="shared" si="1495"/>
        <v>789.73145622585605</v>
      </c>
      <c r="DV50" s="3308">
        <f t="shared" si="1495"/>
        <v>718.86531617509513</v>
      </c>
      <c r="DW50" s="3308">
        <f t="shared" si="1495"/>
        <v>634.54503673299712</v>
      </c>
      <c r="DX50" s="3308">
        <f t="shared" ca="1" si="1495"/>
        <v>640.86565358540838</v>
      </c>
      <c r="DY50" s="3308">
        <f t="shared" ca="1" si="1495"/>
        <v>646.12616142636068</v>
      </c>
      <c r="DZ50" s="3308">
        <f t="shared" ca="1" si="1495"/>
        <v>680.55995023485389</v>
      </c>
      <c r="EA50" s="3308">
        <f t="shared" ca="1" si="1495"/>
        <v>677.23435718307087</v>
      </c>
      <c r="EB50" s="3308">
        <f t="shared" ca="1" si="1495"/>
        <v>678.12917710255681</v>
      </c>
      <c r="EC50" s="3308">
        <f t="shared" ca="1" si="1495"/>
        <v>798.03790731062281</v>
      </c>
      <c r="ED50" s="3308">
        <f t="shared" si="1495"/>
        <v>756.91666450695334</v>
      </c>
      <c r="EE50" s="3308">
        <f t="shared" ca="1" si="1495"/>
        <v>594.56600646168511</v>
      </c>
      <c r="EF50" s="3308">
        <f t="shared" ca="1" si="1495"/>
        <v>652.10815030419383</v>
      </c>
      <c r="EG50" s="3308">
        <f t="shared" si="1495"/>
        <v>626.00824524729887</v>
      </c>
      <c r="EH50" s="3308">
        <f t="shared" si="1495"/>
        <v>580.7132973779004</v>
      </c>
      <c r="EI50" s="3308">
        <f t="shared" si="1495"/>
        <v>522.71634526355342</v>
      </c>
      <c r="EJ50" s="3308">
        <f t="shared" ca="1" si="1495"/>
        <v>539.87593182901617</v>
      </c>
      <c r="EK50" s="3308">
        <f t="shared" ca="1" si="1495"/>
        <v>545.6825195312656</v>
      </c>
      <c r="EL50" s="3308">
        <f t="shared" ca="1" si="1495"/>
        <v>576.43068175935605</v>
      </c>
      <c r="EM50" s="3308">
        <f t="shared" ca="1" si="1495"/>
        <v>571.81934177473477</v>
      </c>
      <c r="EN50" s="3308">
        <f t="shared" ca="1" si="1495"/>
        <v>572.6969632901671</v>
      </c>
      <c r="EO50" s="3308">
        <f t="shared" ca="1" si="1495"/>
        <v>674.10289071202851</v>
      </c>
      <c r="EP50" s="3308">
        <f t="shared" si="1495"/>
        <v>622.09653603701452</v>
      </c>
      <c r="EQ50" s="3308">
        <f t="shared" ca="1" si="1495"/>
        <v>476.87936481978534</v>
      </c>
      <c r="ER50" s="3308">
        <f t="shared" ca="1" si="1495"/>
        <v>504.68241246389834</v>
      </c>
      <c r="ES50" s="3308">
        <f t="shared" si="1495"/>
        <v>463.35852819960041</v>
      </c>
      <c r="ET50" s="3308">
        <f t="shared" si="1495"/>
        <v>406.31379915060995</v>
      </c>
      <c r="EU50" s="3308">
        <f t="shared" si="1495"/>
        <v>343.20805534944589</v>
      </c>
      <c r="EV50" s="3308">
        <f t="shared" ca="1" si="1495"/>
        <v>329.3506069111927</v>
      </c>
      <c r="EW50" s="3308">
        <f t="shared" ca="1" si="1495"/>
        <v>333.26591940975379</v>
      </c>
      <c r="EX50" s="3308">
        <f t="shared" ca="1" si="1495"/>
        <v>352.77691985477338</v>
      </c>
      <c r="EY50" s="3308">
        <f t="shared" ca="1" si="1495"/>
        <v>349.13857811566174</v>
      </c>
      <c r="EZ50" s="3308">
        <f t="shared" ca="1" si="1495"/>
        <v>349.71491443916437</v>
      </c>
      <c r="FA50" s="3308">
        <f t="shared" ca="1" si="1495"/>
        <v>411.68475580108384</v>
      </c>
      <c r="FB50" s="3308">
        <f t="shared" si="1495"/>
        <v>397.72584868308041</v>
      </c>
      <c r="FC50" s="3308">
        <f t="shared" ca="1" si="1495"/>
        <v>336.57343683348552</v>
      </c>
      <c r="FD50" s="3308">
        <f t="shared" ca="1" si="1495"/>
        <v>385.08575478050494</v>
      </c>
      <c r="FE50" s="3308">
        <f t="shared" si="1495"/>
        <v>380.23184458216213</v>
      </c>
      <c r="FF50" s="3308">
        <f t="shared" si="1495"/>
        <v>364.11709722760838</v>
      </c>
      <c r="FG50" s="3308">
        <f t="shared" si="1495"/>
        <v>341.49758044224109</v>
      </c>
      <c r="FH50" s="3308">
        <f t="shared" ca="1" si="1495"/>
        <v>364.95957981661877</v>
      </c>
      <c r="FI50" s="3308">
        <f t="shared" ca="1" si="1495"/>
        <v>369.9876477549376</v>
      </c>
      <c r="FJ50" s="3308">
        <f t="shared" ca="1" si="1495"/>
        <v>361.40211593191259</v>
      </c>
      <c r="FK50" s="3308">
        <f t="shared" ca="1" si="1495"/>
        <v>357.20332370645747</v>
      </c>
      <c r="FL50" s="3308">
        <f t="shared" ca="1" si="1495"/>
        <v>357.80583964553767</v>
      </c>
      <c r="FM50" s="3308">
        <f t="shared" ca="1" si="1495"/>
        <v>421.2243874458045</v>
      </c>
      <c r="FN50" s="3308">
        <f t="shared" si="1495"/>
        <v>406.95634738862572</v>
      </c>
      <c r="FO50" s="3308">
        <f t="shared" ca="1" si="1495"/>
        <v>344.39669398822014</v>
      </c>
      <c r="FP50" s="3308">
        <f t="shared" ca="1" si="1495"/>
        <v>394.05020539879445</v>
      </c>
      <c r="FQ50" s="3308">
        <f t="shared" si="1495"/>
        <v>389.0965712547515</v>
      </c>
      <c r="FR50" s="3308">
        <f t="shared" si="1495"/>
        <v>372.61870160639364</v>
      </c>
      <c r="FS50" s="3308">
        <f t="shared" si="1495"/>
        <v>349.48272645331855</v>
      </c>
      <c r="FT50" s="3308">
        <f t="shared" ca="1" si="1495"/>
        <v>373.50568035745852</v>
      </c>
      <c r="FU50" s="3308">
        <f t="shared" ca="1" si="1495"/>
        <v>378.66388005437659</v>
      </c>
      <c r="FV50" s="3308">
        <f t="shared" ca="1" si="1495"/>
        <v>369.88899858856576</v>
      </c>
      <c r="FW50" s="3308">
        <f t="shared" ca="1" si="1495"/>
        <v>365.60332833990026</v>
      </c>
      <c r="FX50" s="3308">
        <f t="shared" ca="1" si="1495"/>
        <v>366.23163825960586</v>
      </c>
      <c r="FY50" s="3308">
        <f t="shared" ca="1" si="1495"/>
        <v>431.15714832543694</v>
      </c>
    </row>
    <row r="51" spans="1:181" s="3298" customFormat="1" outlineLevel="1">
      <c r="A51" s="3297" t="str">
        <f>A46</f>
        <v>%YoY</v>
      </c>
      <c r="N51" s="3299"/>
      <c r="O51" s="3299"/>
      <c r="P51" s="3299"/>
      <c r="Q51" s="3299"/>
      <c r="R51" s="3299"/>
      <c r="S51" s="3299"/>
      <c r="T51" s="3299"/>
      <c r="U51" s="3299"/>
      <c r="V51" s="3299"/>
      <c r="W51" s="3299"/>
      <c r="X51" s="3299"/>
      <c r="Y51" s="3299"/>
      <c r="Z51" s="3299"/>
      <c r="AA51" s="3299"/>
      <c r="AB51" s="3299"/>
      <c r="AC51" s="3299"/>
      <c r="AD51" s="3299"/>
      <c r="AE51" s="3299"/>
      <c r="AF51" s="3299"/>
      <c r="AG51" s="3299"/>
      <c r="AH51" s="3299"/>
      <c r="AI51" s="3299"/>
      <c r="AJ51" s="3299"/>
      <c r="AK51" s="3299"/>
      <c r="AL51" s="3299"/>
      <c r="AM51" s="3299"/>
      <c r="AN51" s="3299"/>
      <c r="AO51" s="3299"/>
      <c r="AP51" s="3299"/>
      <c r="AQ51" s="3299"/>
      <c r="AR51" s="3299"/>
      <c r="AS51" s="3299"/>
      <c r="AT51" s="3299"/>
      <c r="AU51" s="3299"/>
      <c r="AV51" s="3299"/>
      <c r="AW51" s="3299"/>
      <c r="AX51" s="3300"/>
      <c r="BH51" s="3301"/>
      <c r="BJ51" s="3245"/>
      <c r="BK51" s="2684"/>
      <c r="BL51" s="2684"/>
      <c r="BM51" s="2684"/>
      <c r="BN51" s="2684"/>
      <c r="BO51" s="3260"/>
      <c r="BP51" s="2684"/>
      <c r="BQ51" s="2684"/>
      <c r="BR51" s="2684"/>
      <c r="BS51" s="2684"/>
      <c r="BT51" s="2684"/>
      <c r="BU51" s="3257"/>
      <c r="BV51" s="3285"/>
      <c r="BW51" s="3260"/>
      <c r="BX51" s="3257"/>
      <c r="BY51" s="3257"/>
      <c r="BZ51" s="3257"/>
      <c r="CA51" s="3257"/>
      <c r="CB51" s="3257"/>
      <c r="CC51" s="3257"/>
      <c r="CD51" s="3257"/>
      <c r="CE51" s="3257"/>
      <c r="CF51" s="3257"/>
      <c r="CG51" s="3257"/>
      <c r="CH51" s="3257"/>
      <c r="CI51" s="3257"/>
      <c r="CJ51" s="3257"/>
      <c r="CK51" s="3301"/>
      <c r="CL51" s="3301"/>
      <c r="CM51" s="3301"/>
      <c r="CN51" s="3301"/>
      <c r="CO51" s="3301"/>
      <c r="CP51" s="3301"/>
      <c r="CQ51" s="3301"/>
      <c r="CR51" s="3301"/>
      <c r="CS51" s="3301"/>
      <c r="CT51" s="3299"/>
      <c r="CU51" s="3299"/>
      <c r="CV51" s="3299"/>
      <c r="CW51" s="3299"/>
      <c r="CX51" s="3299"/>
      <c r="CY51" s="3299"/>
      <c r="CZ51" s="3299"/>
      <c r="DA51" s="3299"/>
      <c r="DB51" s="3299"/>
      <c r="DC51" s="3299"/>
      <c r="DD51" s="3299"/>
      <c r="DE51" s="3299"/>
      <c r="DF51" s="3299"/>
      <c r="DG51" s="3299"/>
      <c r="DH51" s="3299"/>
      <c r="DI51" s="3299"/>
      <c r="DJ51" s="3299"/>
      <c r="DK51" s="3299"/>
      <c r="DL51" s="3299"/>
      <c r="DM51" s="3299"/>
      <c r="DN51" s="3299"/>
      <c r="DO51" s="3299"/>
      <c r="DP51" s="3299"/>
      <c r="DQ51" s="3299"/>
      <c r="DR51" s="3299"/>
      <c r="DS51" s="3299"/>
      <c r="DT51" s="3299"/>
      <c r="DU51" s="3299"/>
      <c r="DV51" s="3299"/>
      <c r="DW51" s="3299"/>
      <c r="DX51" s="3299"/>
      <c r="DY51" s="3299"/>
      <c r="DZ51" s="3299"/>
      <c r="EA51" s="3299"/>
      <c r="EB51" s="3299"/>
      <c r="EC51" s="3299"/>
      <c r="ED51" s="3299"/>
      <c r="EE51" s="3299"/>
      <c r="EF51" s="3299"/>
      <c r="EG51" s="3299"/>
      <c r="EH51" s="3299"/>
      <c r="EI51" s="3299"/>
      <c r="EJ51" s="3299"/>
      <c r="EK51" s="3299"/>
      <c r="EL51" s="3299"/>
      <c r="EM51" s="3299"/>
      <c r="EN51" s="3299"/>
      <c r="EO51" s="3299"/>
      <c r="EP51" s="3299"/>
      <c r="EQ51" s="3299"/>
      <c r="ER51" s="3299"/>
      <c r="ES51" s="3299"/>
      <c r="ET51" s="3299"/>
      <c r="EU51" s="3299"/>
      <c r="EV51" s="3299"/>
      <c r="EW51" s="3299"/>
      <c r="EX51" s="3299"/>
      <c r="EY51" s="3299"/>
      <c r="EZ51" s="3299"/>
      <c r="FA51" s="3299"/>
      <c r="FB51" s="3299"/>
      <c r="FC51" s="3299"/>
      <c r="FD51" s="3299"/>
      <c r="FE51" s="3299"/>
      <c r="FF51" s="3299"/>
      <c r="FG51" s="3299"/>
      <c r="FH51" s="3299"/>
      <c r="FI51" s="3299"/>
      <c r="FJ51" s="3299"/>
      <c r="FK51" s="3299"/>
      <c r="FL51" s="3299"/>
      <c r="FM51" s="3299"/>
      <c r="FN51" s="3299"/>
      <c r="FO51" s="3299"/>
      <c r="FP51" s="3299"/>
      <c r="FQ51" s="3299"/>
      <c r="FR51" s="3299"/>
      <c r="FS51" s="3299"/>
      <c r="FT51" s="3299"/>
      <c r="FU51" s="3299"/>
      <c r="FV51" s="3299"/>
      <c r="FW51" s="3299"/>
      <c r="FX51" s="3299"/>
      <c r="FY51" s="3299"/>
    </row>
    <row r="52" spans="1:181" s="3279" customFormat="1" outlineLevel="3">
      <c r="A52" s="3303" t="s">
        <v>46</v>
      </c>
      <c r="B52" s="3278"/>
      <c r="C52" s="3278"/>
      <c r="D52" s="3278"/>
      <c r="E52" s="3278"/>
      <c r="F52" s="3278"/>
      <c r="G52" s="3278"/>
      <c r="H52" s="3278"/>
      <c r="I52" s="3278"/>
      <c r="J52" s="3278"/>
      <c r="K52" s="3278"/>
      <c r="L52" s="3278"/>
      <c r="M52" s="3278"/>
      <c r="N52" s="3278"/>
      <c r="O52" s="3278"/>
      <c r="P52" s="3278"/>
      <c r="Q52" s="3278"/>
      <c r="R52" s="3278"/>
      <c r="S52" s="3278"/>
      <c r="T52" s="3278"/>
      <c r="U52" s="3278"/>
      <c r="V52" s="3278"/>
      <c r="W52" s="3278"/>
      <c r="X52" s="3278"/>
      <c r="Y52" s="3278"/>
      <c r="Z52" s="3278"/>
      <c r="AA52" s="3278"/>
      <c r="AB52" s="3278"/>
      <c r="AC52" s="3278"/>
      <c r="AD52" s="3278"/>
      <c r="AE52" s="3278"/>
      <c r="AF52" s="3278"/>
      <c r="AG52" s="3278"/>
      <c r="AH52" s="3278"/>
      <c r="AI52" s="3278"/>
      <c r="AJ52" s="3278"/>
      <c r="AK52" s="3278"/>
      <c r="AL52" s="3278"/>
      <c r="AM52" s="3278"/>
      <c r="AN52" s="3278"/>
      <c r="AO52" s="3278"/>
      <c r="AP52" s="3278"/>
      <c r="AQ52" s="3278"/>
      <c r="AR52" s="3278"/>
      <c r="AS52" s="3278"/>
      <c r="AT52" s="3278"/>
      <c r="AU52" s="3278"/>
      <c r="AV52" s="3278"/>
      <c r="AW52" s="3278"/>
      <c r="AX52" s="3278"/>
      <c r="AY52" s="3278"/>
      <c r="AZ52" s="3278"/>
      <c r="BA52" s="3278"/>
      <c r="BB52" s="3278"/>
      <c r="BC52" s="3278"/>
      <c r="BD52" s="3278"/>
      <c r="BE52" s="3278"/>
      <c r="BF52" s="3278"/>
      <c r="BG52" s="3278"/>
      <c r="BH52" s="3278"/>
      <c r="BI52" s="3278"/>
      <c r="BJ52" s="3245"/>
      <c r="BK52" s="3245"/>
      <c r="BL52" s="3245"/>
      <c r="BM52" s="3245"/>
      <c r="BN52" s="3245"/>
      <c r="BO52" s="3245"/>
      <c r="BP52" s="3245"/>
      <c r="BQ52" s="3245"/>
      <c r="BR52" s="3245"/>
      <c r="BS52" s="3245"/>
      <c r="BT52" s="3245"/>
      <c r="BU52" s="3245"/>
      <c r="BV52" s="3245"/>
      <c r="BW52" s="3245"/>
      <c r="BX52" s="3245">
        <f t="shared" ref="BX52" si="1496">IF(SUM(BO42:BX42)&gt;0,SUM(BO42:BX42),0)</f>
        <v>3</v>
      </c>
      <c r="BY52" s="3245">
        <f t="shared" ref="BY52" si="1497">IF(SUM(BP42:BY42)&gt;0,SUM(BP42:BY42),0)</f>
        <v>1</v>
      </c>
      <c r="BZ52" s="3245">
        <f t="shared" ref="BZ52:CA52" si="1498">IF(SUM(BQ42:BZ42)&gt;0,SUM(BQ42:BZ42),0)</f>
        <v>3</v>
      </c>
      <c r="CA52" s="3245">
        <f t="shared" si="1498"/>
        <v>6</v>
      </c>
      <c r="CB52" s="3245">
        <f>IF(SUM(BS42:CB42)&gt;0,SUM(BS42:CB42),0)</f>
        <v>9</v>
      </c>
      <c r="CC52" s="3245">
        <f>IF(SUM(BT42:CC42)&gt;0,SUM(BT42:CC42),0)</f>
        <v>26</v>
      </c>
      <c r="CD52" s="3245">
        <f t="shared" ref="CD52:CE52" si="1499">IF(SUM(BU42:CD42)&gt;0,SUM(BU42:CD42),0)</f>
        <v>31</v>
      </c>
      <c r="CE52" s="3245">
        <f t="shared" si="1499"/>
        <v>39</v>
      </c>
      <c r="CF52" s="3245">
        <f>IF(SUM(BV42:CF42)&gt;0,SUM(BV42:CF42),0)</f>
        <v>39</v>
      </c>
      <c r="CG52" s="3245">
        <f>IF(SUM(BV42:CG42)&gt;0,SUM(BV42:CG42),0)</f>
        <v>74</v>
      </c>
      <c r="CH52" s="3245">
        <f>IF(SUM(BW42:CH42)&gt;0,SUM(BW42:CH42),0)</f>
        <v>153</v>
      </c>
      <c r="CI52" s="3245">
        <f t="shared" ref="CI52" si="1500">IF(SUM(BX42:CI42)&gt;0,SUM(BX42:CI42),0)</f>
        <v>168</v>
      </c>
      <c r="CJ52" s="3245">
        <f>IF(SUM(CD42:CJ42)&gt;0,SUM(CD42:CJ42),0)</f>
        <v>281</v>
      </c>
      <c r="CK52" s="3245">
        <f t="shared" ref="CK52:CN52" si="1501">IF(SUM(CE42:CK42)&gt;0,SUM(CE42:CK42),0)</f>
        <v>376</v>
      </c>
      <c r="CL52" s="3245">
        <f t="shared" si="1501"/>
        <v>445</v>
      </c>
      <c r="CM52" s="3245">
        <f t="shared" si="1501"/>
        <v>449</v>
      </c>
      <c r="CN52" s="3245">
        <f t="shared" si="1501"/>
        <v>434</v>
      </c>
      <c r="CO52" s="3245">
        <f>IF(SUM(CI42:CO42)&gt;0,SUM(CI42:CO42),0)</f>
        <v>384</v>
      </c>
      <c r="CP52" s="3245">
        <f t="shared" ref="CP52:DR52" si="1502">IF(SUM(CJ42:CP42)&gt;0,SUM(CJ42:CP42),0)</f>
        <v>426</v>
      </c>
      <c r="CQ52" s="3245">
        <f t="shared" si="1502"/>
        <v>368</v>
      </c>
      <c r="CR52" s="3278">
        <f t="shared" si="1502"/>
        <v>380</v>
      </c>
      <c r="CS52" s="3278">
        <f t="shared" si="1502"/>
        <v>357</v>
      </c>
      <c r="CT52" s="3278">
        <f t="shared" si="1502"/>
        <v>403</v>
      </c>
      <c r="CU52" s="3278">
        <f t="shared" si="1502"/>
        <v>473</v>
      </c>
      <c r="CV52" s="3278">
        <f t="shared" si="1502"/>
        <v>494</v>
      </c>
      <c r="CW52" s="3278">
        <f t="shared" si="1502"/>
        <v>537</v>
      </c>
      <c r="CX52" s="3278">
        <f t="shared" si="1502"/>
        <v>537</v>
      </c>
      <c r="CY52" s="3278">
        <f t="shared" si="1502"/>
        <v>505</v>
      </c>
      <c r="CZ52" s="3278">
        <f t="shared" si="1502"/>
        <v>500</v>
      </c>
      <c r="DA52" s="3278">
        <f t="shared" si="1502"/>
        <v>500</v>
      </c>
      <c r="DB52" s="3278">
        <f t="shared" si="1502"/>
        <v>460</v>
      </c>
      <c r="DC52" s="3278">
        <f t="shared" si="1502"/>
        <v>490</v>
      </c>
      <c r="DD52" s="3278">
        <f t="shared" si="1502"/>
        <v>470</v>
      </c>
      <c r="DE52" s="3278">
        <f t="shared" si="1502"/>
        <v>440</v>
      </c>
      <c r="DF52" s="3278">
        <f t="shared" si="1502"/>
        <v>440</v>
      </c>
      <c r="DG52" s="3278">
        <f t="shared" si="1502"/>
        <v>430</v>
      </c>
      <c r="DH52" s="3278">
        <f t="shared" si="1502"/>
        <v>400</v>
      </c>
      <c r="DI52" s="3278">
        <f t="shared" si="1502"/>
        <v>360</v>
      </c>
      <c r="DJ52" s="3278">
        <f t="shared" si="1502"/>
        <v>285</v>
      </c>
      <c r="DK52" s="3278">
        <f t="shared" si="1502"/>
        <v>285</v>
      </c>
      <c r="DL52" s="3278">
        <f t="shared" si="1502"/>
        <v>315</v>
      </c>
      <c r="DM52" s="3278">
        <f t="shared" si="1502"/>
        <v>315</v>
      </c>
      <c r="DN52" s="3278">
        <f t="shared" si="1502"/>
        <v>355</v>
      </c>
      <c r="DO52" s="3278">
        <f t="shared" si="1502"/>
        <v>415</v>
      </c>
      <c r="DP52" s="3278">
        <f t="shared" si="1502"/>
        <v>485</v>
      </c>
      <c r="DQ52" s="3278">
        <f t="shared" si="1502"/>
        <v>560</v>
      </c>
      <c r="DR52" s="3278">
        <f t="shared" si="1502"/>
        <v>540</v>
      </c>
      <c r="DS52" s="3278">
        <f t="shared" ref="DS52" si="1503">IF(SUM(DM42:DS42)&gt;0,SUM(DM42:DS42),0)</f>
        <v>490</v>
      </c>
      <c r="DT52" s="3278">
        <f t="shared" ref="DT52" si="1504">IF(SUM(DN42:DT42)&gt;0,SUM(DN42:DT42),0)</f>
        <v>470</v>
      </c>
      <c r="DU52" s="3278">
        <f t="shared" ref="DU52" si="1505">IF(SUM(DO42:DU42)&gt;0,SUM(DO42:DU42),0)</f>
        <v>450</v>
      </c>
      <c r="DV52" s="3278">
        <f t="shared" ref="DV52" si="1506">IF(SUM(DP42:DV42)&gt;0,SUM(DP42:DV42),0)</f>
        <v>430</v>
      </c>
      <c r="DW52" s="3278">
        <f t="shared" ref="DW52" si="1507">IF(SUM(DQ42:DW42)&gt;0,SUM(DQ42:DW42),0)</f>
        <v>410</v>
      </c>
      <c r="DX52" s="3278">
        <f t="shared" ref="DX52" si="1508">IF(SUM(DR42:DX42)&gt;0,SUM(DR42:DX42),0)</f>
        <v>390</v>
      </c>
      <c r="DY52" s="3278">
        <f t="shared" ref="DY52" si="1509">IF(SUM(DS42:DY42)&gt;0,SUM(DS42:DY42),0)</f>
        <v>390</v>
      </c>
      <c r="DZ52" s="3278">
        <f t="shared" ref="DZ52" si="1510">IF(SUM(DT42:DZ42)&gt;0,SUM(DT42:DZ42),0)</f>
        <v>420</v>
      </c>
      <c r="EA52" s="3278">
        <f t="shared" ref="EA52" si="1511">IF(SUM(DU42:EA42)&gt;0,SUM(DU42:EA42),0)</f>
        <v>420</v>
      </c>
      <c r="EB52" s="3278">
        <f t="shared" ref="EB52" si="1512">IF(SUM(DV42:EB42)&gt;0,SUM(DV42:EB42),0)</f>
        <v>420</v>
      </c>
      <c r="EC52" s="3278">
        <f t="shared" ref="EC52" si="1513">IF(SUM(DW42:EC42)&gt;0,SUM(DW42:EC42),0)</f>
        <v>420</v>
      </c>
      <c r="ED52" s="3278">
        <f t="shared" ref="ED52" si="1514">IF(SUM(DX42:ED42)&gt;0,SUM(DX42:ED42),0)</f>
        <v>410</v>
      </c>
      <c r="EE52" s="3278">
        <f t="shared" ref="EE52" si="1515">IF(SUM(DY42:EE42)&gt;0,SUM(DY42:EE42),0)</f>
        <v>375</v>
      </c>
      <c r="EF52" s="3278">
        <f t="shared" ref="EF52" si="1516">IF(SUM(DZ42:EF42)&gt;0,SUM(DZ42:EF42),0)</f>
        <v>365</v>
      </c>
      <c r="EG52" s="3278">
        <f t="shared" ref="EG52" si="1517">IF(SUM(EA42:EG42)&gt;0,SUM(EA42:EG42),0)</f>
        <v>355</v>
      </c>
      <c r="EH52" s="3278">
        <f t="shared" ref="EH52" si="1518">IF(SUM(EB42:EH42)&gt;0,SUM(EB42:EH42),0)</f>
        <v>345</v>
      </c>
      <c r="EI52" s="3278">
        <f t="shared" ref="EI52" si="1519">IF(SUM(EC42:EI42)&gt;0,SUM(EC42:EI42),0)</f>
        <v>335</v>
      </c>
      <c r="EJ52" s="3278">
        <f t="shared" ref="EJ52" si="1520">IF(SUM(ED42:EJ42)&gt;0,SUM(ED42:EJ42),0)</f>
        <v>325</v>
      </c>
      <c r="EK52" s="3278">
        <f t="shared" ref="EK52" si="1521">IF(SUM(EE42:EK42)&gt;0,SUM(EE42:EK42),0)</f>
        <v>325</v>
      </c>
      <c r="EL52" s="3278">
        <f t="shared" ref="EL52" si="1522">IF(SUM(EF42:EL42)&gt;0,SUM(EF42:EL42),0)</f>
        <v>350</v>
      </c>
      <c r="EM52" s="3278">
        <f t="shared" ref="EM52" si="1523">IF(SUM(EG42:EM42)&gt;0,SUM(EG42:EM42),0)</f>
        <v>350</v>
      </c>
      <c r="EN52" s="3278">
        <f t="shared" ref="EN52" si="1524">IF(SUM(EH42:EN42)&gt;0,SUM(EH42:EN42),0)</f>
        <v>350</v>
      </c>
      <c r="EO52" s="3278">
        <f t="shared" ref="EO52" si="1525">IF(SUM(EI42:EO42)&gt;0,SUM(EI42:EO42),0)</f>
        <v>350</v>
      </c>
      <c r="EP52" s="3278">
        <f t="shared" ref="EP52" si="1526">IF(SUM(EJ42:EP42)&gt;0,SUM(EJ42:EP42),0)</f>
        <v>330</v>
      </c>
      <c r="EQ52" s="3278">
        <f t="shared" ref="EQ52" si="1527">IF(SUM(EK42:EQ42)&gt;0,SUM(EK42:EQ42),0)</f>
        <v>295</v>
      </c>
      <c r="ER52" s="3278">
        <f t="shared" ref="ER52" si="1528">IF(SUM(EL42:ER42)&gt;0,SUM(EL42:ER42),0)</f>
        <v>275</v>
      </c>
      <c r="ES52" s="3278">
        <f t="shared" ref="ES52" si="1529">IF(SUM(EM42:ES42)&gt;0,SUM(EM42:ES42),0)</f>
        <v>255</v>
      </c>
      <c r="ET52" s="3278">
        <f t="shared" ref="ET52" si="1530">IF(SUM(EN42:ET42)&gt;0,SUM(EN42:ET42),0)</f>
        <v>235</v>
      </c>
      <c r="EU52" s="3278">
        <f t="shared" ref="EU52" si="1531">IF(SUM(EO42:EU42)&gt;0,SUM(EO42:EU42),0)</f>
        <v>215</v>
      </c>
      <c r="EV52" s="3278">
        <f t="shared" ref="EV52" si="1532">IF(SUM(EP42:EV42)&gt;0,SUM(EP42:EV42),0)</f>
        <v>195</v>
      </c>
      <c r="EW52" s="3278">
        <f t="shared" ref="EW52" si="1533">IF(SUM(EQ42:EW42)&gt;0,SUM(EQ42:EW42),0)</f>
        <v>195</v>
      </c>
      <c r="EX52" s="3278">
        <f t="shared" ref="EX52" si="1534">IF(SUM(ER42:EX42)&gt;0,SUM(ER42:EX42),0)</f>
        <v>210</v>
      </c>
      <c r="EY52" s="3278">
        <f t="shared" ref="EY52" si="1535">IF(SUM(ES42:EY42)&gt;0,SUM(ES42:EY42),0)</f>
        <v>210</v>
      </c>
      <c r="EZ52" s="3278">
        <f t="shared" ref="EZ52" si="1536">IF(SUM(ET42:EZ42)&gt;0,SUM(ET42:EZ42),0)</f>
        <v>210</v>
      </c>
      <c r="FA52" s="3278">
        <f t="shared" ref="FA52" si="1537">IF(SUM(EU42:FA42)&gt;0,SUM(EU42:FA42),0)</f>
        <v>210</v>
      </c>
      <c r="FB52" s="3278">
        <f t="shared" ref="FB52" si="1538">IF(SUM(EV42:FB42)&gt;0,SUM(EV42:FB42),0)</f>
        <v>210</v>
      </c>
      <c r="FC52" s="3278">
        <f t="shared" ref="FC52" si="1539">IF(SUM(EW42:FC42)&gt;0,SUM(EW42:FC42),0)</f>
        <v>210</v>
      </c>
      <c r="FD52" s="3278">
        <f t="shared" ref="FD52" si="1540">IF(SUM(EX42:FD42)&gt;0,SUM(EX42:FD42),0)</f>
        <v>210</v>
      </c>
      <c r="FE52" s="3278">
        <f t="shared" ref="FE52" si="1541">IF(SUM(EY42:FE42)&gt;0,SUM(EY42:FE42),0)</f>
        <v>210</v>
      </c>
      <c r="FF52" s="3278">
        <f t="shared" ref="FF52" si="1542">IF(SUM(EZ42:FF42)&gt;0,SUM(EZ42:FF42),0)</f>
        <v>210</v>
      </c>
      <c r="FG52" s="3278">
        <f t="shared" ref="FG52" si="1543">IF(SUM(FA42:FG42)&gt;0,SUM(FA42:FG42),0)</f>
        <v>210</v>
      </c>
      <c r="FH52" s="3278">
        <f t="shared" ref="FH52" si="1544">IF(SUM(FB42:FH42)&gt;0,SUM(FB42:FH42),0)</f>
        <v>210</v>
      </c>
      <c r="FI52" s="3278">
        <f t="shared" ref="FI52" si="1545">IF(SUM(FC42:FI42)&gt;0,SUM(FC42:FI42),0)</f>
        <v>210</v>
      </c>
      <c r="FJ52" s="3278">
        <f t="shared" ref="FJ52" si="1546">IF(SUM(FD42:FJ42)&gt;0,SUM(FD42:FJ42),0)</f>
        <v>210</v>
      </c>
      <c r="FK52" s="3278">
        <f t="shared" ref="FK52" si="1547">IF(SUM(FE42:FK42)&gt;0,SUM(FE42:FK42),0)</f>
        <v>210</v>
      </c>
      <c r="FL52" s="3278">
        <f t="shared" ref="FL52" si="1548">IF(SUM(FF42:FL42)&gt;0,SUM(FF42:FL42),0)</f>
        <v>210</v>
      </c>
      <c r="FM52" s="3278">
        <f t="shared" ref="FM52" si="1549">IF(SUM(FG42:FM42)&gt;0,SUM(FG42:FM42),0)</f>
        <v>210</v>
      </c>
      <c r="FN52" s="3278">
        <f t="shared" ref="FN52" si="1550">IF(SUM(FH42:FN42)&gt;0,SUM(FH42:FN42),0)</f>
        <v>210</v>
      </c>
      <c r="FO52" s="3278">
        <f t="shared" ref="FO52" si="1551">IF(SUM(FI42:FO42)&gt;0,SUM(FI42:FO42),0)</f>
        <v>210</v>
      </c>
      <c r="FP52" s="3278">
        <f t="shared" ref="FP52" si="1552">IF(SUM(FJ42:FP42)&gt;0,SUM(FJ42:FP42),0)</f>
        <v>210</v>
      </c>
      <c r="FQ52" s="3278">
        <f t="shared" ref="FQ52" si="1553">IF(SUM(FK42:FQ42)&gt;0,SUM(FK42:FQ42),0)</f>
        <v>210</v>
      </c>
      <c r="FR52" s="3278">
        <f t="shared" ref="FR52" si="1554">IF(SUM(FL42:FR42)&gt;0,SUM(FL42:FR42),0)</f>
        <v>210</v>
      </c>
      <c r="FS52" s="3278">
        <f t="shared" ref="FS52" si="1555">IF(SUM(FM42:FS42)&gt;0,SUM(FM42:FS42),0)</f>
        <v>210</v>
      </c>
      <c r="FT52" s="3278">
        <f t="shared" ref="FT52" si="1556">IF(SUM(FN42:FT42)&gt;0,SUM(FN42:FT42),0)</f>
        <v>210</v>
      </c>
      <c r="FU52" s="3278">
        <f t="shared" ref="FU52" si="1557">IF(SUM(FO42:FU42)&gt;0,SUM(FO42:FU42),0)</f>
        <v>210</v>
      </c>
      <c r="FV52" s="3278">
        <f t="shared" ref="FV52" si="1558">IF(SUM(FP42:FV42)&gt;0,SUM(FP42:FV42),0)</f>
        <v>210</v>
      </c>
      <c r="FW52" s="3278">
        <f t="shared" ref="FW52" si="1559">IF(SUM(FQ42:FW42)&gt;0,SUM(FQ42:FW42),0)</f>
        <v>210</v>
      </c>
      <c r="FX52" s="3278">
        <f t="shared" ref="FX52" si="1560">IF(SUM(FR42:FX42)&gt;0,SUM(FR42:FX42),0)</f>
        <v>210</v>
      </c>
      <c r="FY52" s="3278">
        <f t="shared" ref="FY52" si="1561">IF(SUM(FS42:FY42)&gt;0,SUM(FS42:FY42),0)</f>
        <v>210</v>
      </c>
    </row>
    <row r="53" spans="1:181" s="3283" customFormat="1" outlineLevel="1">
      <c r="A53" s="3297" t="s">
        <v>47</v>
      </c>
      <c r="N53" s="3242"/>
      <c r="O53" s="3242"/>
      <c r="P53" s="3242"/>
      <c r="Q53" s="3242"/>
      <c r="R53" s="3242"/>
      <c r="S53" s="3242"/>
      <c r="T53" s="3242"/>
      <c r="U53" s="3242"/>
      <c r="V53" s="3242"/>
      <c r="W53" s="3242"/>
      <c r="X53" s="3242"/>
      <c r="Y53" s="3242"/>
      <c r="Z53" s="3242"/>
      <c r="AA53" s="3242"/>
      <c r="AB53" s="3242"/>
      <c r="AC53" s="3242"/>
      <c r="AD53" s="3242"/>
      <c r="AE53" s="3242"/>
      <c r="AF53" s="3242"/>
      <c r="AG53" s="3242"/>
      <c r="AH53" s="3242"/>
      <c r="AI53" s="3242"/>
      <c r="AJ53" s="3242"/>
      <c r="AK53" s="3242"/>
      <c r="AL53" s="3242"/>
      <c r="AM53" s="3242"/>
      <c r="AN53" s="3242"/>
      <c r="AO53" s="3242"/>
      <c r="AP53" s="3242"/>
      <c r="AQ53" s="3242"/>
      <c r="AR53" s="3242"/>
      <c r="AS53" s="3242"/>
      <c r="AT53" s="3242"/>
      <c r="AU53" s="3242"/>
      <c r="AV53" s="3242"/>
      <c r="AW53" s="3242"/>
      <c r="AX53" s="3284"/>
      <c r="BH53" s="3282"/>
      <c r="BJ53" s="3245"/>
      <c r="BK53" s="2684"/>
      <c r="BL53" s="2684"/>
      <c r="BM53" s="2684"/>
      <c r="BN53" s="2684"/>
      <c r="BO53" s="3260"/>
      <c r="BP53" s="2684"/>
      <c r="BQ53" s="2684"/>
      <c r="BR53" s="2684"/>
      <c r="BS53" s="2684"/>
      <c r="BT53" s="2684"/>
      <c r="BU53" s="2684"/>
      <c r="BV53" s="3285"/>
      <c r="BW53" s="3260"/>
      <c r="BX53" s="3272">
        <f ca="1">(BX42*BX47*0.2+SUM(BT42:BW42)*0.5*BX47+SUM(BP42:BS42)*BX47*0.7)/BX52</f>
        <v>0.30128683853859767</v>
      </c>
      <c r="BY53" s="3272">
        <v>0.92500000000000004</v>
      </c>
      <c r="BZ53" s="3272">
        <v>0.67833333333333334</v>
      </c>
      <c r="CA53" s="3272">
        <f ca="1">(CA42*CA47*0.2+SUM(BX42:BZ42)*0.5*CA47+SUM(BT42:BW42)*CA47*0.7+SUM(BQ42:BS42)*CA47*0.9)/CA52</f>
        <v>0.82358743748161212</v>
      </c>
      <c r="CB53" s="3272">
        <f ca="1">(CB42*CB47*0.2+SUM(BY42:CA42)*0.5*CB47+SUM(BU42:BX42)*CB47*0.7+SUM(BR42:BT42)*CB47*0.9)/CB52</f>
        <v>0.88025682493065804</v>
      </c>
      <c r="CC53" s="3272">
        <f ca="1">(CC42*CC47*0.2+SUM(BZ42:CB42)*0.5*CC47+SUM(BV42:BY42)*CC47*0.7+SUM(BS42:BU42)*CC47*0.9)/CC52</f>
        <v>0.63971542157099337</v>
      </c>
      <c r="CD53" s="3272">
        <f t="shared" ref="CD53:CE53" ca="1" si="1562">(CD42*CD47*0.2+SUM(CA42:CC42)*0.5*CD47+SUM(BW42:BZ42)*CD47*0.7+SUM(BT42:BV42)*CD47*0.9)/CD52</f>
        <v>0.95671393012249617</v>
      </c>
      <c r="CE53" s="3272">
        <f t="shared" ca="1" si="1562"/>
        <v>0.96085770147611049</v>
      </c>
      <c r="CF53" s="3272">
        <f ca="1">(CF42*CF47*0.2+SUM(CC42:CE42)*0.5*CF47+SUM(BY42:CB42)*CF47*0.7+SUM(BV42:BX42)*CF47*0.9)/CF52</f>
        <v>1.116701627068466</v>
      </c>
      <c r="CG53" s="3272">
        <f ca="1">(CG42*CG47*0.2+SUM(CD42:CF42)*0.5*CG47+SUM(BZ42:CC42)*CG47*0.7+SUM(BW42:BY42)*CG47*0.9)/CG52</f>
        <v>0.89618631217540823</v>
      </c>
      <c r="CH53" s="3272">
        <f>(CH42*CH47*0.5+SUM(CE42:CG42)*0.6*CH47+SUM(CA42:CD42)*CH47*0.85+SUM(BX42:BZ42)*CH47*0.97)/CH52</f>
        <v>1.2592854338437378</v>
      </c>
      <c r="CI53" s="3272">
        <f ca="1">(CI42*CI47*0.2+SUM(CF42:CH42)*0.5*CI47+SUM(CB42:CE42)*CI47*0.7+SUM(BY42:CA42)*CI47*0.9)/CI52</f>
        <v>0.89255438662431974</v>
      </c>
      <c r="CJ53" s="3272">
        <f>(CJ42*CJ47*0.55+SUM(CG42:CI42)*0.7*CJ47+SUM(CD42:CF42)*CJ47*0.9)/CJ52</f>
        <v>1.3362277580071173</v>
      </c>
      <c r="CK53" s="3272">
        <f>(CK42*CK47*0.55+SUM(CH42:CJ42)*0.7*CK47+SUM(CE42:CG42)*CK47*0.9)/CK52</f>
        <v>1.3940029592719725</v>
      </c>
      <c r="CL53" s="3272">
        <f t="shared" ref="CL53:CM53" si="1563">(CL42*CL47*0.55+SUM(CI42:CK42)*0.7*CL47+SUM(CF42:CH42)*CL47*0.9)/CL52</f>
        <v>1.3692729854121966</v>
      </c>
      <c r="CM53" s="3272">
        <f t="shared" ca="1" si="1563"/>
        <v>1.3306489372265915</v>
      </c>
      <c r="CN53" s="3272">
        <f t="shared" ref="CN53" ca="1" si="1564">(CN42*CN47*0.55+SUM(CK42:CM42)*0.7*CN47+SUM(CH42:CJ42)*CN47*0.9)/CN52</f>
        <v>1.478887061051396</v>
      </c>
      <c r="CO53" s="3272">
        <f ca="1">(CO42*CO47*0.55+SUM(CL42:CN42)*0.7*CO47+SUM(CI42:CK42)*CO47*0.9)/CO52</f>
        <v>1.5257547730550491</v>
      </c>
      <c r="CP53" s="3272">
        <f t="shared" ref="CP53:CX53" ca="1" si="1565">(CP42*CP47*0.55+SUM(CM42:CO42)*0.7*CP47+SUM(CJ42:CL42)*CP47*0.9)/CP52</f>
        <v>1.5515555718996297</v>
      </c>
      <c r="CQ53" s="3272">
        <f t="shared" ca="1" si="1565"/>
        <v>1.4817004032511338</v>
      </c>
      <c r="CR53" s="3284">
        <f t="shared" ca="1" si="1565"/>
        <v>1.4313942275261655</v>
      </c>
      <c r="CS53" s="3284">
        <f t="shared" ca="1" si="1565"/>
        <v>1.5052663963462449</v>
      </c>
      <c r="CT53" s="3284">
        <f t="shared" si="1565"/>
        <v>1.6030289373567128</v>
      </c>
      <c r="CU53" s="3284">
        <f t="shared" ca="1" si="1565"/>
        <v>1.3941722940202943</v>
      </c>
      <c r="CV53" s="3284">
        <f t="shared" ca="1" si="1565"/>
        <v>1.6787200603148162</v>
      </c>
      <c r="CW53" s="3284">
        <f t="shared" si="1565"/>
        <v>1.5791829192715234</v>
      </c>
      <c r="CX53" s="3284">
        <f t="shared" si="1565"/>
        <v>1.5111651628177405</v>
      </c>
      <c r="CY53" s="3315">
        <f t="shared" ref="CY53" si="1566">(CY42*CY47*0.65+SUM(CV42:CX42)*0.8*CY47+SUM(CS42:CU42)*CY47*0.9)/CY52</f>
        <v>1.4998316269023788</v>
      </c>
      <c r="CZ53" s="3284">
        <f t="shared" ref="CZ53" ca="1" si="1567">(CZ42*CZ47*0.65+SUM(CW42:CY42)*0.8*CZ47+SUM(CT42:CV42)*CZ47*0.9)/CZ52</f>
        <v>1.6017234525149147</v>
      </c>
      <c r="DA53" s="3284">
        <f t="shared" ref="DA53" ca="1" si="1568">(DA42*DA47*0.65+SUM(CX42:CZ42)*0.8*DA47+SUM(CU42:CW42)*DA47*0.9)/DA52</f>
        <v>1.6389577448275865</v>
      </c>
      <c r="DB53" s="3284">
        <f t="shared" ref="DB53" ca="1" si="1569">(DB42*DB47*0.65+SUM(CY42:DA42)*0.8*DB47+SUM(CV42:CX42)*DB47*0.9)/DB52</f>
        <v>1.5943930015188075</v>
      </c>
      <c r="DC53" s="3284">
        <f t="shared" ref="DC53" ca="1" si="1570">(DC42*DC47*0.65+SUM(CZ42:DB42)*0.8*DC47+SUM(CW42:CY42)*DC47*0.9)/DC52</f>
        <v>1.5597175438381361</v>
      </c>
      <c r="DD53" s="3284">
        <f t="shared" ref="DD53" ca="1" si="1571">(DD42*DD47*0.65+SUM(DA42:DC42)*0.8*DD47+SUM(CX42:CZ42)*DD47*0.9)/DD52</f>
        <v>1.5562059466594151</v>
      </c>
      <c r="DE53" s="3284">
        <f t="shared" ref="DE53" ca="1" si="1572">(DE42*DE47*0.65+SUM(DB42:DD42)*0.8*DE47+SUM(CY42:DA42)*DE47*0.9)/DE52</f>
        <v>1.8411929143010355</v>
      </c>
      <c r="DF53" s="3284">
        <f t="shared" ref="DF53" si="1573">(DF42*DF47*0.65+SUM(DC42:DE42)*0.8*DF47+SUM(CZ42:DB42)*DF47*0.9)/DF52</f>
        <v>1.7893707649519255</v>
      </c>
      <c r="DG53" s="3284">
        <f t="shared" ref="DG53" ca="1" si="1574">(DG42*DG47*0.65+SUM(DD42:DF42)*0.8*DG47+SUM(DA42:DC42)*DG47*0.9)/DG52</f>
        <v>1.5499030831071934</v>
      </c>
      <c r="DH53" s="3284">
        <f t="shared" ref="DH53:DR53" ca="1" si="1575">(DH42*DH47*0.65+SUM(DE42:DG42)*0.8*DH47+SUM(DB42:DD42)*DH47*0.9)/DH52</f>
        <v>1.7940914076240722</v>
      </c>
      <c r="DI53" s="3284">
        <f t="shared" si="1575"/>
        <v>1.7834674639653665</v>
      </c>
      <c r="DJ53" s="3284">
        <f t="shared" si="1575"/>
        <v>1.7398035371540259</v>
      </c>
      <c r="DK53" s="3284">
        <f t="shared" si="1575"/>
        <v>1.5213184782263689</v>
      </c>
      <c r="DL53" s="3284">
        <f t="shared" ca="1" si="1575"/>
        <v>1.5979999107366951</v>
      </c>
      <c r="DM53" s="3284">
        <f t="shared" ca="1" si="1575"/>
        <v>1.5757629032192035</v>
      </c>
      <c r="DN53" s="3284">
        <f t="shared" ca="1" si="1575"/>
        <v>1.5100458582213481</v>
      </c>
      <c r="DO53" s="3284">
        <f t="shared" ca="1" si="1575"/>
        <v>1.5352405054299849</v>
      </c>
      <c r="DP53" s="3284">
        <f t="shared" ca="1" si="1575"/>
        <v>1.5672400725288496</v>
      </c>
      <c r="DQ53" s="3284">
        <f t="shared" ca="1" si="1575"/>
        <v>1.8738668356004951</v>
      </c>
      <c r="DR53" s="3284">
        <f t="shared" si="1575"/>
        <v>1.8434761412019316</v>
      </c>
      <c r="DS53" s="3284">
        <f t="shared" ref="DS53" ca="1" si="1576">(DS42*DS47*0.65+SUM(DP42:DR42)*0.8*DS47+SUM(DM42:DO42)*DS47*0.9)/DS52</f>
        <v>1.5822123986082786</v>
      </c>
      <c r="DT53" s="3284">
        <f t="shared" ref="DT53" ca="1" si="1577">(DT42*DT47*0.65+SUM(DQ42:DS42)*0.8*DT47+SUM(DN42:DP42)*DT47*0.9)/DT52</f>
        <v>1.7790092566092988</v>
      </c>
      <c r="DU53" s="3284">
        <f t="shared" ref="DU53" si="1578">(DU42*DU47*0.65+SUM(DR42:DT42)*0.8*DU47+SUM(DO42:DQ42)*DU47*0.9)/DU52</f>
        <v>1.7549587916130134</v>
      </c>
      <c r="DV53" s="3284">
        <f t="shared" ref="DV53" si="1579">(DV42*DV47*0.65+SUM(DS42:DU42)*0.8*DV47+SUM(DP42:DR42)*DV47*0.9)/DV52</f>
        <v>1.6717798050583608</v>
      </c>
      <c r="DW53" s="3284">
        <f t="shared" ref="DW53" si="1580">(DW42*DW47*0.65+SUM(DT42:DV42)*0.8*DW47+SUM(DQ42:DS42)*DW47*0.9)/DW52</f>
        <v>1.547670821299993</v>
      </c>
      <c r="DX53" s="3284">
        <f t="shared" ref="DX53" ca="1" si="1581">(DX42*DX47*0.65+SUM(DU42:DW42)*0.8*DX47+SUM(DR42:DT42)*DX47*0.9)/DX52</f>
        <v>1.6432452656036112</v>
      </c>
      <c r="DY53" s="3284">
        <f t="shared" ref="DY53" ca="1" si="1582">(DY42*DY47*0.65+SUM(DV42:DX42)*0.8*DY47+SUM(DS42:DU42)*DY47*0.9)/DY52</f>
        <v>1.6567337472470787</v>
      </c>
      <c r="DZ53" s="3284">
        <f t="shared" ref="DZ53" ca="1" si="1583">(DZ42*DZ47*0.65+SUM(DW42:DY42)*0.8*DZ47+SUM(DT42:DV42)*DZ47*0.9)/DZ52</f>
        <v>1.6203808338925092</v>
      </c>
      <c r="EA53" s="3284">
        <f t="shared" ref="EA53" ca="1" si="1584">(EA42*EA47*0.65+SUM(DX42:DZ42)*0.8*EA47+SUM(DU42:DW42)*EA47*0.9)/EA52</f>
        <v>1.6124627551977877</v>
      </c>
      <c r="EB53" s="3284">
        <f t="shared" ref="EB53" ca="1" si="1585">(EB42*EB47*0.65+SUM(DY42:EA42)*0.8*EB47+SUM(DV42:DX42)*EB47*0.9)/EB52</f>
        <v>1.6145932788156114</v>
      </c>
      <c r="EC53" s="3284">
        <f t="shared" ref="EC53" ca="1" si="1586">(EC42*EC47*0.65+SUM(DZ42:EB42)*0.8*EC47+SUM(DW42:DY42)*EC47*0.9)/EC52</f>
        <v>1.9000902555014829</v>
      </c>
      <c r="ED53" s="3284">
        <f t="shared" ref="ED53" si="1587">(ED42*ED47*0.65+SUM(EA42:EC42)*0.8*ED47+SUM(DX42:DZ42)*ED47*0.9)/ED52</f>
        <v>1.8461382061145204</v>
      </c>
      <c r="EE53" s="3284">
        <f t="shared" ref="EE53" ca="1" si="1588">(EE42*EE47*0.65+SUM(EB42:ED42)*0.8*EE47+SUM(DY42:EA42)*EE47*0.9)/EE52</f>
        <v>1.5855093505644937</v>
      </c>
      <c r="EF53" s="3284">
        <f t="shared" ref="EF53" ca="1" si="1589">(EF42*EF47*0.65+SUM(EC42:EE42)*0.8*EF47+SUM(DZ42:EB42)*EF47*0.9)/EF52</f>
        <v>1.7865976720662844</v>
      </c>
      <c r="EG53" s="3284">
        <f t="shared" ref="EG53" si="1590">(EG42*EG47*0.65+SUM(ED42:EF42)*0.8*EG47+SUM(EA42:EC42)*EG47*0.9)/EG52</f>
        <v>1.7634035077388701</v>
      </c>
      <c r="EH53" s="3284">
        <f t="shared" ref="EH53" si="1591">(EH42*EH47*0.65+SUM(EE42:EG42)*0.8*EH47+SUM(EB42:ED42)*EH47*0.9)/EH52</f>
        <v>1.6832269489214504</v>
      </c>
      <c r="EI53" s="3284">
        <f t="shared" ref="EI53" si="1592">(EI42*EI47*0.65+SUM(EF42:EH42)*0.8*EI47+SUM(EC42:EE42)*EI47*0.9)/EI52</f>
        <v>1.5603472992941894</v>
      </c>
      <c r="EJ53" s="3284">
        <f t="shared" ref="EJ53" ca="1" si="1593">(EJ42*EJ47*0.65+SUM(EG42:EI42)*0.8*EJ47+SUM(ED42:EF42)*EJ47*0.9)/EJ52</f>
        <v>1.6611567133200498</v>
      </c>
      <c r="EK53" s="3284">
        <f t="shared" ref="EK53" ca="1" si="1594">(EK42*EK47*0.65+SUM(EH42:EJ42)*0.8*EK47+SUM(EE42:EG42)*EK47*0.9)/EK52</f>
        <v>1.6790231370192787</v>
      </c>
      <c r="EL53" s="3284">
        <f t="shared" ref="EL53" ca="1" si="1595">(EL42*EL47*0.65+SUM(EI42:EK42)*0.8*EL47+SUM(EF42:EH42)*EL47*0.9)/EL52</f>
        <v>1.6469448050267315</v>
      </c>
      <c r="EM53" s="3284">
        <f t="shared" ref="EM53" ca="1" si="1596">(EM42*EM47*0.65+SUM(EJ42:EL42)*0.8*EM47+SUM(EG42:EI42)*EM47*0.9)/EM52</f>
        <v>1.6337695479278136</v>
      </c>
      <c r="EN53" s="3284">
        <f t="shared" ref="EN53" ca="1" si="1597">(EN42*EN47*0.65+SUM(EK42:EM42)*0.8*EN47+SUM(EH42:EJ42)*EN47*0.9)/EN52</f>
        <v>1.636277037971906</v>
      </c>
      <c r="EO53" s="3284">
        <f t="shared" ref="EO53" ca="1" si="1598">(EO42*EO47*0.65+SUM(EL42:EN42)*0.8*EO47+SUM(EI42:EK42)*EO47*0.9)/EO52</f>
        <v>1.9260082591772243</v>
      </c>
      <c r="EP53" s="3284">
        <f t="shared" ref="EP53" si="1599">(EP42*EP47*0.65+SUM(EM42:EO42)*0.8*EP47+SUM(EJ42:EL42)*EP47*0.9)/EP52</f>
        <v>1.8851410182939834</v>
      </c>
      <c r="EQ53" s="3284">
        <f t="shared" ref="EQ53" ca="1" si="1600">(EQ42*EQ47*0.65+SUM(EN42:EP42)*0.8*EQ47+SUM(EK42:EM42)*EQ47*0.9)/EQ52</f>
        <v>1.6165402197280858</v>
      </c>
      <c r="ER53" s="3284">
        <f t="shared" ref="ER53" ca="1" si="1601">(ER42*ER47*0.65+SUM(EO42:EQ42)*0.8*ER47+SUM(EL42:EN42)*ER47*0.9)/ER52</f>
        <v>1.835208772595994</v>
      </c>
      <c r="ES53" s="3284">
        <f t="shared" ref="ES53" si="1602">(ES42*ES47*0.65+SUM(EP42:ER42)*0.8*ES47+SUM(EM42:EO42)*ES47*0.9)/ES52</f>
        <v>1.8170922674494134</v>
      </c>
      <c r="ET53" s="3284">
        <f t="shared" ref="ET53" si="1603">(ET42*ET47*0.65+SUM(EQ42:ES42)*0.8*ET47+SUM(EN42:EP42)*ET47*0.9)/ET52</f>
        <v>1.7289948900025955</v>
      </c>
      <c r="EU53" s="3284">
        <f t="shared" ref="EU53" si="1604">(EU42*EU47*0.65+SUM(ER42:ET42)*0.8*EU47+SUM(EO42:EQ42)*EU47*0.9)/EU52</f>
        <v>1.5963165365090506</v>
      </c>
      <c r="EV53" s="3284">
        <f t="shared" ref="EV53" ca="1" si="1605">(EV42*EV47*0.65+SUM(ES42:EU42)*0.8*EV47+SUM(EP42:ER42)*EV47*0.9)/EV52</f>
        <v>1.6889774713394496</v>
      </c>
      <c r="EW53" s="3284">
        <f t="shared" ref="EW53" ca="1" si="1606">(EW42*EW47*0.65+SUM(ET42:EV42)*0.8*EW47+SUM(EQ42:ES42)*EW47*0.9)/EW52</f>
        <v>1.7090559969730963</v>
      </c>
      <c r="EX53" s="3284">
        <f t="shared" ref="EX53" ca="1" si="1607">(EX42*EX47*0.65+SUM(EU42:EW42)*0.8*EX47+SUM(ER42:ET42)*EX47*0.9)/EX52</f>
        <v>1.6798900945465398</v>
      </c>
      <c r="EY53" s="3284">
        <f t="shared" ref="EY53" ca="1" si="1608">(EY42*EY47*0.65+SUM(EV42:EX42)*0.8*EY47+SUM(ES42:EU42)*EY47*0.9)/EY52</f>
        <v>1.6625646576936273</v>
      </c>
      <c r="EZ53" s="3284">
        <f t="shared" ref="EZ53" ca="1" si="1609">(EZ42*EZ47*0.65+SUM(EW42:EY42)*0.8*EZ47+SUM(ET42:EV42)*EZ47*0.9)/EZ52</f>
        <v>1.6653091163769733</v>
      </c>
      <c r="FA53" s="3284">
        <f t="shared" ref="FA53" ca="1" si="1610">(FA42*FA47*0.65+SUM(EX42:EZ42)*0.8*FA47+SUM(EU42:EW42)*FA47*0.9)/FA52</f>
        <v>1.9604035990527802</v>
      </c>
      <c r="FB53" s="3284">
        <f t="shared" ref="FB53" si="1611">(FB42*FB47*0.65+SUM(EY42:FA42)*0.8*FB47+SUM(EV42:EX42)*FB47*0.9)/FB52</f>
        <v>1.8939326127765734</v>
      </c>
      <c r="FC53" s="3284">
        <f t="shared" ref="FC53" ca="1" si="1612">(FC42*FC47*0.65+SUM(EZ42:FB42)*0.8*FC47+SUM(EW42:EY42)*FC47*0.9)/FC52</f>
        <v>1.6027306515880262</v>
      </c>
      <c r="FD53" s="3284">
        <f t="shared" ref="FD53" ca="1" si="1613">(FD42*FD47*0.65+SUM(FA42:FC42)*0.8*FD47+SUM(EX42:EZ42)*FD47*0.9)/FD52</f>
        <v>1.8337416894309759</v>
      </c>
      <c r="FE53" s="3284">
        <f t="shared" ref="FE53" si="1614">(FE42*FE47*0.65+SUM(FB42:FD42)*0.8*FE47+SUM(EY42:FA42)*FE47*0.9)/FE52</f>
        <v>1.8106278313436293</v>
      </c>
      <c r="FF53" s="3284">
        <f t="shared" ref="FF53" si="1615">(FF42*FF47*0.65+SUM(FC42:FE42)*0.8*FF47+SUM(EZ42:FB42)*FF47*0.9)/FF52</f>
        <v>1.7338909391790875</v>
      </c>
      <c r="FG53" s="3284">
        <f t="shared" ref="FG53" si="1616">(FG42*FG47*0.65+SUM(FD42:FF42)*0.8*FG47+SUM(FA42:FC42)*FG47*0.9)/FG52</f>
        <v>1.6261789544868623</v>
      </c>
      <c r="FH53" s="3284">
        <f t="shared" ref="FH53" ca="1" si="1617">(FH42*FH47*0.65+SUM(FE42:FG42)*0.8*FH47+SUM(FB42:FD42)*FH47*0.9)/FH52</f>
        <v>1.7379027610315179</v>
      </c>
      <c r="FI53" s="3284">
        <f t="shared" ref="FI53" ca="1" si="1618">(FI42*FI47*0.65+SUM(FF42:FH42)*0.8*FI47+SUM(FC42:FE42)*FI47*0.9)/FI52</f>
        <v>1.7618459416901791</v>
      </c>
      <c r="FJ53" s="3284">
        <f t="shared" ref="FJ53" ca="1" si="1619">(FJ42*FJ47*0.65+SUM(FG42:FI42)*0.8*FJ47+SUM(FD42:FF42)*FJ47*0.9)/FJ52</f>
        <v>1.7209624568186315</v>
      </c>
      <c r="FK53" s="3284">
        <f t="shared" ref="FK53" ca="1" si="1620">(FK42*FK47*0.65+SUM(FH42:FJ42)*0.8*FK47+SUM(FE42:FG42)*FK47*0.9)/FK52</f>
        <v>1.700968208125988</v>
      </c>
      <c r="FL53" s="3284">
        <f t="shared" ref="FL53" ca="1" si="1621">(FL42*FL47*0.65+SUM(FI42:FK42)*0.8*FL47+SUM(FF42:FH42)*FL47*0.9)/FL52</f>
        <v>1.7038373316454174</v>
      </c>
      <c r="FM53" s="3284">
        <f t="shared" ref="FM53" ca="1" si="1622">(FM42*FM47*0.65+SUM(FJ42:FL42)*0.8*FM47+SUM(FG42:FI42)*FM47*0.9)/FM52</f>
        <v>2.0058304164085929</v>
      </c>
      <c r="FN53" s="3284">
        <f t="shared" ref="FN53" si="1623">(FN42*FN47*0.65+SUM(FK42:FM42)*0.8*FN47+SUM(FH42:FJ42)*FN47*0.9)/FN52</f>
        <v>1.9378873685172653</v>
      </c>
      <c r="FO53" s="3284">
        <f t="shared" ref="FO53" ca="1" si="1624">(FO42*FO47*0.65+SUM(FL42:FN42)*0.8*FO47+SUM(FI42:FK42)*FO47*0.9)/FO52</f>
        <v>1.6399842570867627</v>
      </c>
      <c r="FP53" s="3284">
        <f t="shared" ref="FP53" ca="1" si="1625">(FP42*FP47*0.65+SUM(FM42:FO42)*0.8*FP47+SUM(FJ42:FL42)*FP47*0.9)/FP52</f>
        <v>1.8764295495180687</v>
      </c>
      <c r="FQ53" s="3284">
        <f t="shared" ref="FQ53" si="1626">(FQ42*FQ47*0.65+SUM(FN42:FP42)*0.8*FQ47+SUM(FK42:FM42)*FQ47*0.9)/FQ52</f>
        <v>1.8528408154988167</v>
      </c>
      <c r="FR53" s="3284">
        <f t="shared" ref="FR53" si="1627">(FR42*FR47*0.65+SUM(FO42:FQ42)*0.8*FR47+SUM(FL42:FN42)*FR47*0.9)/FR52</f>
        <v>1.7743747695542555</v>
      </c>
      <c r="FS53" s="3284">
        <f t="shared" ref="FS53" si="1628">(FS42*FS47*0.65+SUM(FP42:FR42)*0.8*FS47+SUM(FM42:FO42)*FS47*0.9)/FS52</f>
        <v>1.6642034593015169</v>
      </c>
      <c r="FT53" s="3284">
        <f t="shared" ref="FT53" ca="1" si="1629">(FT42*FT47*0.65+SUM(FQ42:FS42)*0.8*FT47+SUM(FN42:FP42)*FT47*0.9)/FT52</f>
        <v>1.7785984778926596</v>
      </c>
      <c r="FU53" s="3284">
        <f t="shared" ref="FU53" ca="1" si="1630">(FU42*FU47*0.65+SUM(FR42:FT42)*0.8*FU47+SUM(FO42:FQ42)*FU47*0.9)/FU52</f>
        <v>1.8031613335922694</v>
      </c>
      <c r="FV53" s="3284">
        <f t="shared" ref="FV53" ca="1" si="1631">(FV42*FV47*0.65+SUM(FS42:FU42)*0.8*FV47+SUM(FP42:FR42)*FV47*0.9)/FV52</f>
        <v>1.761376183755075</v>
      </c>
      <c r="FW53" s="3284">
        <f t="shared" ref="FW53" ca="1" si="1632">(FW42*FW47*0.65+SUM(FT42:FV42)*0.8*FW47+SUM(FQ42:FS42)*FW47*0.9)/FW52</f>
        <v>1.7409682301900011</v>
      </c>
      <c r="FX53" s="3284">
        <f t="shared" ref="FX53" ca="1" si="1633">(FX42*FX47*0.65+SUM(FU42:FW42)*0.8*FX47+SUM(FR42:FT42)*FX47*0.9)/FX52</f>
        <v>1.7439601821885993</v>
      </c>
      <c r="FY53" s="3284">
        <f t="shared" ref="FY53" ca="1" si="1634">(FY42*FY47*0.65+SUM(FV42:FX42)*0.8*FY47+SUM(FS42:FU42)*FY47*0.9)/FY52</f>
        <v>2.053129277740176</v>
      </c>
    </row>
    <row r="54" spans="1:181" s="3283" customFormat="1" outlineLevel="1">
      <c r="A54" s="3296" t="str">
        <f>A48</f>
        <v>(%)</v>
      </c>
      <c r="N54" s="3242"/>
      <c r="O54" s="3242"/>
      <c r="P54" s="3242"/>
      <c r="Q54" s="3242"/>
      <c r="R54" s="3242"/>
      <c r="S54" s="3242"/>
      <c r="T54" s="3242"/>
      <c r="U54" s="3242"/>
      <c r="V54" s="3242"/>
      <c r="W54" s="3242"/>
      <c r="X54" s="3242"/>
      <c r="Y54" s="3242"/>
      <c r="Z54" s="3242"/>
      <c r="AA54" s="3242"/>
      <c r="AB54" s="3242"/>
      <c r="AC54" s="3242"/>
      <c r="AD54" s="3242"/>
      <c r="AE54" s="3242"/>
      <c r="AF54" s="3242"/>
      <c r="AG54" s="3242"/>
      <c r="AH54" s="3242"/>
      <c r="AI54" s="3242"/>
      <c r="AJ54" s="3242"/>
      <c r="AK54" s="3242"/>
      <c r="AL54" s="3242"/>
      <c r="AM54" s="3242"/>
      <c r="AN54" s="3242"/>
      <c r="AO54" s="3242"/>
      <c r="AP54" s="3242"/>
      <c r="AQ54" s="3242"/>
      <c r="AR54" s="3242"/>
      <c r="AS54" s="3242"/>
      <c r="AT54" s="3242"/>
      <c r="AU54" s="3242"/>
      <c r="AV54" s="3242"/>
      <c r="AW54" s="3242"/>
      <c r="AX54" s="3284"/>
      <c r="BH54" s="3282"/>
      <c r="BJ54" s="3245"/>
      <c r="BK54" s="2684"/>
      <c r="BL54" s="2684"/>
      <c r="BM54" s="2684"/>
      <c r="BN54" s="2684"/>
      <c r="BO54" s="3260"/>
      <c r="BP54" s="2684"/>
      <c r="BQ54" s="2684"/>
      <c r="BR54" s="2684"/>
      <c r="BS54" s="2684"/>
      <c r="BT54" s="2684"/>
      <c r="BU54" s="2684"/>
      <c r="BV54" s="3316">
        <f ca="1">(BV5-BV32-BV38)*(2.3/3.5)</f>
        <v>103.89428571428596</v>
      </c>
      <c r="BW54" s="3316">
        <f ca="1">(BW5-BW32-BW38)*(2.3/3.5)</f>
        <v>307.98774285714325</v>
      </c>
      <c r="BX54" s="3316">
        <f t="shared" ref="BX54:CG54" ca="1" si="1635">(BX5-BX32-BX38)*(2.3/3.5)</f>
        <v>229.54275342857073</v>
      </c>
      <c r="BY54" s="3316">
        <f t="shared" si="1635"/>
        <v>178.77558942857232</v>
      </c>
      <c r="BZ54" s="3316">
        <f t="shared" ca="1" si="1635"/>
        <v>213.45905714285996</v>
      </c>
      <c r="CA54" s="3316">
        <f t="shared" ca="1" si="1635"/>
        <v>173.76697142856955</v>
      </c>
      <c r="CB54" s="3316">
        <f t="shared" ca="1" si="1635"/>
        <v>200.92799999999716</v>
      </c>
      <c r="CC54" s="3316">
        <f t="shared" ca="1" si="1635"/>
        <v>152.43151428571446</v>
      </c>
      <c r="CD54" s="3316">
        <f t="shared" ca="1" si="1635"/>
        <v>209.3657142857187</v>
      </c>
      <c r="CE54" s="3316">
        <f t="shared" ca="1" si="1635"/>
        <v>132.39391428571253</v>
      </c>
      <c r="CF54" s="3316">
        <f t="shared" ca="1" si="1635"/>
        <v>154.85623999999783</v>
      </c>
      <c r="CG54" s="3316">
        <f t="shared" ca="1" si="1635"/>
        <v>139.29410351656588</v>
      </c>
      <c r="CH54" s="3316"/>
      <c r="CI54" s="3316"/>
      <c r="CJ54" s="3316">
        <f t="shared" ref="CJ54:CL54" si="1636">CJ45+CJ50</f>
        <v>3971.73</v>
      </c>
      <c r="CK54" s="3316">
        <f t="shared" si="1636"/>
        <v>4039.1805279188375</v>
      </c>
      <c r="CL54" s="3316">
        <f t="shared" si="1636"/>
        <v>3877.8927248160335</v>
      </c>
      <c r="CM54" s="3316">
        <f ca="1">CM45+CM50</f>
        <v>3650.7617611315968</v>
      </c>
      <c r="CN54" s="3316">
        <f ca="1">CN45+CN50</f>
        <v>3881.5239526120204</v>
      </c>
      <c r="CO54" s="3316"/>
      <c r="CP54" s="3316"/>
      <c r="CQ54" s="3316"/>
    </row>
    <row r="55" spans="1:181" s="3317" customFormat="1">
      <c r="A55" s="3317" t="s">
        <v>48</v>
      </c>
      <c r="AX55" s="3317">
        <f>0.5*AX57*2</f>
        <v>205</v>
      </c>
      <c r="AY55" s="3318">
        <f>0.5*AY57</f>
        <v>105.5</v>
      </c>
      <c r="AZ55" s="3318">
        <f>0.3*AZ57</f>
        <v>75</v>
      </c>
      <c r="BA55" s="3318">
        <f>0.3*BA57</f>
        <v>96</v>
      </c>
      <c r="BB55" s="3318">
        <f>0.3*BB57</f>
        <v>109.5</v>
      </c>
      <c r="BC55" s="3318">
        <f>BA55+BB55</f>
        <v>205.5</v>
      </c>
      <c r="BD55" s="3318">
        <f>0.3*BD57</f>
        <v>129.6</v>
      </c>
      <c r="BE55" s="3318">
        <f>0.25*BE57</f>
        <v>127.25</v>
      </c>
      <c r="BF55" s="3318">
        <f>0.25*BF57</f>
        <v>132.25</v>
      </c>
      <c r="BG55" s="3318">
        <f>0.25*BG57</f>
        <v>139.75</v>
      </c>
      <c r="BH55" s="3318">
        <f>0.25*BH57</f>
        <v>134.75</v>
      </c>
      <c r="BI55" s="3319">
        <f>1500-SUM(AX55:BB55,BD55:BH55)</f>
        <v>245.40000000000009</v>
      </c>
      <c r="BJ55" s="3320">
        <f>19010*1.8%/2</f>
        <v>171.09000000000003</v>
      </c>
      <c r="BK55" s="3320">
        <f>19010*1.8%/2</f>
        <v>171.09000000000003</v>
      </c>
      <c r="BL55" s="3320">
        <f>BL57*BL59</f>
        <v>174.51180000000002</v>
      </c>
      <c r="BM55" s="3320">
        <f t="shared" ref="BM55:BT55" si="1637">BM59*BM57</f>
        <v>178.96014000000002</v>
      </c>
      <c r="BN55" s="3320">
        <f t="shared" si="1637"/>
        <v>183.06630000000001</v>
      </c>
      <c r="BO55" s="3320">
        <f t="shared" si="1637"/>
        <v>183.06630000000001</v>
      </c>
      <c r="BP55" s="3320">
        <f t="shared" si="1637"/>
        <v>183.75066000000001</v>
      </c>
      <c r="BQ55" s="3320">
        <f t="shared" si="1637"/>
        <v>184.77720000000002</v>
      </c>
      <c r="BR55" s="3320">
        <f t="shared" si="1637"/>
        <v>184.77720000000002</v>
      </c>
      <c r="BS55" s="3320">
        <f t="shared" si="1637"/>
        <v>184.77720000000002</v>
      </c>
      <c r="BT55" s="3320">
        <f t="shared" si="1637"/>
        <v>180.32886000000002</v>
      </c>
      <c r="BU55" s="3320">
        <f>2200-SUM(BJ55:BT55)</f>
        <v>219.80433999999991</v>
      </c>
      <c r="BV55" s="3320">
        <f>BV59*BV57</f>
        <v>158.1</v>
      </c>
      <c r="BW55" s="3320">
        <f t="shared" ref="BW55:CI55" si="1638">BW59*BW57</f>
        <v>210.8</v>
      </c>
      <c r="BX55" s="3320">
        <f>BX59*BX57</f>
        <v>210.4</v>
      </c>
      <c r="BY55" s="3320">
        <f t="shared" si="1638"/>
        <v>210.4</v>
      </c>
      <c r="BZ55" s="3320">
        <f t="shared" si="1638"/>
        <v>210.4</v>
      </c>
      <c r="CA55" s="3320">
        <f t="shared" si="1638"/>
        <v>250.12</v>
      </c>
      <c r="CB55" s="3320">
        <f t="shared" si="1638"/>
        <v>201.24</v>
      </c>
      <c r="CC55" s="3320">
        <f t="shared" si="1638"/>
        <v>178.36</v>
      </c>
      <c r="CD55" s="3320">
        <f>CD59*CD57</f>
        <v>169.52</v>
      </c>
      <c r="CE55" s="3320">
        <f t="shared" si="1638"/>
        <v>195.6</v>
      </c>
      <c r="CF55" s="3320">
        <f t="shared" si="1638"/>
        <v>195.6</v>
      </c>
      <c r="CG55" s="3320">
        <f t="shared" si="1638"/>
        <v>195.6</v>
      </c>
      <c r="CH55" s="3320">
        <f t="shared" si="1638"/>
        <v>195.6</v>
      </c>
      <c r="CI55" s="3320">
        <f t="shared" si="1638"/>
        <v>195.6</v>
      </c>
      <c r="CJ55" s="3320">
        <f t="shared" ref="CJ55:CT55" si="1639">CJ59*CJ57</f>
        <v>195.6</v>
      </c>
      <c r="CK55" s="3320">
        <v>215.16</v>
      </c>
      <c r="CL55" s="3321">
        <v>257.14797154072494</v>
      </c>
      <c r="CM55" s="3321">
        <v>368.38603453185624</v>
      </c>
      <c r="CN55" s="3321">
        <f t="shared" si="1639"/>
        <v>225.91800000000001</v>
      </c>
      <c r="CO55" s="3321">
        <f t="shared" si="1639"/>
        <v>225.91800000000001</v>
      </c>
      <c r="CP55" s="3321">
        <f t="shared" si="1639"/>
        <v>240.47100000000003</v>
      </c>
      <c r="CQ55" s="3321">
        <f t="shared" si="1639"/>
        <v>246.70800000000003</v>
      </c>
      <c r="CR55" s="3322">
        <f t="shared" si="1639"/>
        <v>246.70800000000003</v>
      </c>
      <c r="CS55" s="3322">
        <f t="shared" si="1639"/>
        <v>246.70800000000003</v>
      </c>
      <c r="CT55" s="3322">
        <f t="shared" si="1639"/>
        <v>282.30799999999999</v>
      </c>
      <c r="CU55" s="3322">
        <f t="shared" ref="CU55:DK55" si="1640">CU59*CU57</f>
        <v>282.30799999999999</v>
      </c>
      <c r="CV55" s="3322">
        <f t="shared" si="1640"/>
        <v>282.30799999999999</v>
      </c>
      <c r="CW55" s="3322">
        <f t="shared" si="1640"/>
        <v>282.30799999999999</v>
      </c>
      <c r="CX55" s="3322">
        <f t="shared" si="1640"/>
        <v>282.30799999999999</v>
      </c>
      <c r="CY55" s="3322">
        <f t="shared" si="1640"/>
        <v>282.30799999999999</v>
      </c>
      <c r="CZ55" s="3322">
        <f t="shared" si="1640"/>
        <v>282.30799999999999</v>
      </c>
      <c r="DA55" s="3322">
        <f t="shared" si="1640"/>
        <v>282.30799999999999</v>
      </c>
      <c r="DB55" s="3322">
        <f t="shared" si="1640"/>
        <v>282.30799999999999</v>
      </c>
      <c r="DC55" s="3322">
        <f t="shared" si="1640"/>
        <v>282.30799999999999</v>
      </c>
      <c r="DD55" s="3322">
        <f t="shared" si="1640"/>
        <v>282.30799999999999</v>
      </c>
      <c r="DE55" s="3322">
        <f t="shared" si="1640"/>
        <v>282.30799999999999</v>
      </c>
      <c r="DF55" s="3322">
        <f t="shared" si="1640"/>
        <v>287.95416</v>
      </c>
      <c r="DG55" s="3322">
        <f t="shared" si="1640"/>
        <v>287.95416</v>
      </c>
      <c r="DH55" s="3322">
        <f t="shared" si="1640"/>
        <v>287.95416</v>
      </c>
      <c r="DI55" s="3322">
        <f t="shared" si="1640"/>
        <v>287.95416</v>
      </c>
      <c r="DJ55" s="3322">
        <f t="shared" si="1640"/>
        <v>287.95416</v>
      </c>
      <c r="DK55" s="3322">
        <f t="shared" si="1640"/>
        <v>287.95416</v>
      </c>
      <c r="DL55" s="3322">
        <f t="shared" ref="DL55:DR55" si="1641">DL59*DL57</f>
        <v>287.95416</v>
      </c>
      <c r="DM55" s="3322">
        <f t="shared" si="1641"/>
        <v>287.95416</v>
      </c>
      <c r="DN55" s="3322">
        <f t="shared" si="1641"/>
        <v>287.95416</v>
      </c>
      <c r="DO55" s="3322">
        <f t="shared" si="1641"/>
        <v>287.95416</v>
      </c>
      <c r="DP55" s="3322">
        <f t="shared" si="1641"/>
        <v>287.95416</v>
      </c>
      <c r="DQ55" s="3322">
        <f t="shared" si="1641"/>
        <v>287.95416</v>
      </c>
      <c r="DR55" s="3322">
        <f t="shared" si="1641"/>
        <v>293.71324320000002</v>
      </c>
      <c r="DS55" s="3322">
        <f t="shared" ref="DS55:FY55" si="1642">DS59*DS57</f>
        <v>294.53828040000002</v>
      </c>
      <c r="DT55" s="3322">
        <f t="shared" si="1642"/>
        <v>296.18835480000001</v>
      </c>
      <c r="DU55" s="3322">
        <f t="shared" si="1642"/>
        <v>298.6634664</v>
      </c>
      <c r="DV55" s="3322">
        <f t="shared" si="1642"/>
        <v>301.96361519999999</v>
      </c>
      <c r="DW55" s="3322">
        <f t="shared" si="1642"/>
        <v>306.08880120000003</v>
      </c>
      <c r="DX55" s="3322">
        <f t="shared" si="1642"/>
        <v>311.03902440000002</v>
      </c>
      <c r="DY55" s="3322">
        <f t="shared" si="1642"/>
        <v>316.8142848</v>
      </c>
      <c r="DZ55" s="3322">
        <f t="shared" si="1642"/>
        <v>323.41458240000003</v>
      </c>
      <c r="EA55" s="3322">
        <f t="shared" si="1642"/>
        <v>330.8399172</v>
      </c>
      <c r="EB55" s="3322">
        <f t="shared" si="1642"/>
        <v>339.09028920000003</v>
      </c>
      <c r="EC55" s="3322">
        <f t="shared" si="1642"/>
        <v>343.21547520000001</v>
      </c>
      <c r="ED55" s="3322">
        <f t="shared" si="1642"/>
        <v>354.28747442400004</v>
      </c>
      <c r="EE55" s="3322">
        <f t="shared" si="1642"/>
        <v>358.495164144</v>
      </c>
      <c r="EF55" s="3322">
        <f t="shared" si="1642"/>
        <v>362.70285386400002</v>
      </c>
      <c r="EG55" s="3322">
        <f t="shared" si="1642"/>
        <v>366.91054358400004</v>
      </c>
      <c r="EH55" s="3322">
        <f t="shared" si="1642"/>
        <v>371.118233304</v>
      </c>
      <c r="EI55" s="3322">
        <f t="shared" si="1642"/>
        <v>375.32592302400002</v>
      </c>
      <c r="EJ55" s="3322">
        <f t="shared" si="1642"/>
        <v>379.53361274400004</v>
      </c>
      <c r="EK55" s="3322">
        <f t="shared" si="1642"/>
        <v>383.741302464</v>
      </c>
      <c r="EL55" s="3322">
        <f t="shared" si="1642"/>
        <v>387.94899218400002</v>
      </c>
      <c r="EM55" s="3322">
        <f t="shared" si="1642"/>
        <v>392.15668190400004</v>
      </c>
      <c r="EN55" s="3322">
        <f t="shared" si="1642"/>
        <v>396.364371624</v>
      </c>
      <c r="EO55" s="3322">
        <f t="shared" si="1642"/>
        <v>400.57206134400002</v>
      </c>
      <c r="EP55" s="3322">
        <f t="shared" si="1642"/>
        <v>412.87534608528</v>
      </c>
      <c r="EQ55" s="3322">
        <f t="shared" si="1642"/>
        <v>417.16718959968</v>
      </c>
      <c r="ER55" s="3322">
        <f t="shared" si="1642"/>
        <v>421.45903311408</v>
      </c>
      <c r="ES55" s="3322">
        <f t="shared" si="1642"/>
        <v>425.75087662848</v>
      </c>
      <c r="ET55" s="3322">
        <f t="shared" si="1642"/>
        <v>430.04272014288</v>
      </c>
      <c r="EU55" s="3322">
        <f t="shared" si="1642"/>
        <v>434.33456365728</v>
      </c>
      <c r="EV55" s="3322">
        <f t="shared" si="1642"/>
        <v>438.62640717168</v>
      </c>
      <c r="EW55" s="3322">
        <f t="shared" si="1642"/>
        <v>442.91825068608</v>
      </c>
      <c r="EX55" s="3322">
        <f t="shared" si="1642"/>
        <v>447.21009420048</v>
      </c>
      <c r="EY55" s="3322">
        <f t="shared" si="1642"/>
        <v>451.50193771488</v>
      </c>
      <c r="EZ55" s="3322">
        <f t="shared" si="1642"/>
        <v>455.79378122928</v>
      </c>
      <c r="FA55" s="3322">
        <f t="shared" si="1642"/>
        <v>460.08562474368</v>
      </c>
      <c r="FB55" s="3322">
        <f t="shared" si="1642"/>
        <v>473.66501762324162</v>
      </c>
      <c r="FC55" s="3322">
        <f t="shared" si="1642"/>
        <v>478.04269800792963</v>
      </c>
      <c r="FD55" s="3322">
        <f t="shared" si="1642"/>
        <v>482.42037839261764</v>
      </c>
      <c r="FE55" s="3322">
        <f t="shared" si="1642"/>
        <v>486.79805877730564</v>
      </c>
      <c r="FF55" s="3322">
        <f t="shared" si="1642"/>
        <v>491.17573916199365</v>
      </c>
      <c r="FG55" s="3322">
        <f t="shared" si="1642"/>
        <v>495.55341954668165</v>
      </c>
      <c r="FH55" s="3322">
        <f t="shared" si="1642"/>
        <v>499.9310999313696</v>
      </c>
      <c r="FI55" s="3322">
        <f t="shared" si="1642"/>
        <v>504.30878031605761</v>
      </c>
      <c r="FJ55" s="3322">
        <f t="shared" si="1642"/>
        <v>508.68646070074561</v>
      </c>
      <c r="FK55" s="3322">
        <f t="shared" si="1642"/>
        <v>513.06414108543368</v>
      </c>
      <c r="FL55" s="3322">
        <f t="shared" si="1642"/>
        <v>517.44182147012168</v>
      </c>
      <c r="FM55" s="3322">
        <f t="shared" si="1642"/>
        <v>521.81950185480957</v>
      </c>
      <c r="FN55" s="3322">
        <f t="shared" si="1642"/>
        <v>536.72112588428763</v>
      </c>
      <c r="FO55" s="3322">
        <f t="shared" si="1642"/>
        <v>541.18635987666937</v>
      </c>
      <c r="FP55" s="3322">
        <f t="shared" si="1642"/>
        <v>545.65159386905111</v>
      </c>
      <c r="FQ55" s="3322">
        <f t="shared" si="1642"/>
        <v>550.11682786143285</v>
      </c>
      <c r="FR55" s="3322">
        <f t="shared" si="1642"/>
        <v>554.58206185381459</v>
      </c>
      <c r="FS55" s="3322">
        <f t="shared" si="1642"/>
        <v>559.04729584619633</v>
      </c>
      <c r="FT55" s="3322">
        <f t="shared" si="1642"/>
        <v>563.51252983857819</v>
      </c>
      <c r="FU55" s="3322">
        <f t="shared" si="1642"/>
        <v>567.97776383095993</v>
      </c>
      <c r="FV55" s="3322">
        <f t="shared" si="1642"/>
        <v>572.44299782334167</v>
      </c>
      <c r="FW55" s="3322">
        <f t="shared" si="1642"/>
        <v>576.90823181572341</v>
      </c>
      <c r="FX55" s="3322">
        <f t="shared" si="1642"/>
        <v>581.37346580810515</v>
      </c>
      <c r="FY55" s="3322">
        <f t="shared" si="1642"/>
        <v>585.83869980048689</v>
      </c>
    </row>
    <row r="56" spans="1:181" s="2689" customFormat="1" outlineLevel="1">
      <c r="A56" s="2912" t="str">
        <f>A15</f>
        <v>%YoY</v>
      </c>
      <c r="Y56" s="2689">
        <f>Z43/N43-1</f>
        <v>-0.15344070278184496</v>
      </c>
      <c r="BJ56" s="2684"/>
      <c r="BK56" s="2684"/>
      <c r="BL56" s="2684"/>
      <c r="BM56" s="2684"/>
      <c r="BN56" s="2684"/>
      <c r="BO56" s="2684"/>
      <c r="BP56" s="2684"/>
      <c r="BQ56" s="2684"/>
      <c r="BR56" s="2684"/>
      <c r="BS56" s="2684"/>
      <c r="BT56" s="2684"/>
      <c r="BU56" s="2684"/>
      <c r="BV56" s="2684"/>
      <c r="BW56" s="2684"/>
      <c r="BX56" s="2684"/>
      <c r="BY56" s="2684"/>
      <c r="BZ56" s="2684"/>
      <c r="CA56" s="2684"/>
      <c r="CB56" s="2684"/>
      <c r="CC56" s="2684"/>
      <c r="CD56" s="2684"/>
      <c r="CE56" s="2684"/>
      <c r="CF56" s="2684"/>
      <c r="CG56" s="2684"/>
      <c r="CH56" s="2684"/>
      <c r="CI56" s="2684"/>
      <c r="CJ56" s="2684"/>
      <c r="CK56" s="2684"/>
      <c r="CL56" s="3316"/>
      <c r="CM56" s="3316"/>
      <c r="CN56" s="3316"/>
      <c r="CO56" s="3316"/>
      <c r="CP56" s="3316"/>
      <c r="CQ56" s="3316"/>
      <c r="CR56" s="3323"/>
      <c r="CS56" s="3323"/>
      <c r="CT56" s="3323"/>
      <c r="CU56" s="3323"/>
      <c r="CV56" s="3323"/>
      <c r="CW56" s="3323"/>
      <c r="CX56" s="3323"/>
      <c r="CY56" s="3323"/>
      <c r="CZ56" s="3323"/>
      <c r="DA56" s="3323"/>
      <c r="DB56" s="3323"/>
      <c r="DC56" s="3323"/>
      <c r="DD56" s="3323"/>
      <c r="DE56" s="3323"/>
      <c r="DF56" s="3323"/>
      <c r="DG56" s="3323"/>
      <c r="DH56" s="3323"/>
      <c r="DI56" s="3323"/>
      <c r="DJ56" s="3323"/>
      <c r="DK56" s="3323"/>
      <c r="DL56" s="3323"/>
      <c r="DM56" s="3323"/>
      <c r="DN56" s="3323"/>
      <c r="DO56" s="3323"/>
      <c r="DP56" s="3323"/>
      <c r="DQ56" s="3323"/>
      <c r="DR56" s="3323"/>
      <c r="DS56" s="3323"/>
      <c r="DT56" s="3323"/>
      <c r="DU56" s="3323"/>
      <c r="DV56" s="3323"/>
      <c r="DW56" s="3323"/>
      <c r="DX56" s="3323"/>
      <c r="DY56" s="3323"/>
      <c r="DZ56" s="3323"/>
      <c r="EA56" s="3323"/>
      <c r="EB56" s="3323"/>
      <c r="EC56" s="3323"/>
      <c r="ED56" s="3323"/>
      <c r="EE56" s="3323"/>
      <c r="EF56" s="3323"/>
      <c r="EG56" s="3323"/>
      <c r="EH56" s="3323"/>
      <c r="EI56" s="3323"/>
      <c r="EJ56" s="3323"/>
      <c r="EK56" s="3323"/>
      <c r="EL56" s="3323"/>
      <c r="EM56" s="3323"/>
      <c r="EN56" s="3323"/>
      <c r="EO56" s="3323"/>
      <c r="EP56" s="3323"/>
      <c r="EQ56" s="3323"/>
      <c r="ER56" s="3323"/>
      <c r="ES56" s="3323"/>
      <c r="ET56" s="3323"/>
      <c r="EU56" s="3323"/>
      <c r="EV56" s="3323"/>
      <c r="EW56" s="3323"/>
      <c r="EX56" s="3323"/>
      <c r="EY56" s="3323"/>
      <c r="EZ56" s="3323"/>
      <c r="FA56" s="3323"/>
      <c r="FB56" s="3323"/>
      <c r="FC56" s="3323"/>
      <c r="FD56" s="3323"/>
      <c r="FE56" s="3323"/>
      <c r="FF56" s="3323"/>
      <c r="FG56" s="3323"/>
      <c r="FH56" s="3323"/>
      <c r="FI56" s="3323"/>
      <c r="FJ56" s="3323"/>
      <c r="FK56" s="3323"/>
      <c r="FL56" s="3323"/>
      <c r="FM56" s="3323"/>
      <c r="FN56" s="3323"/>
      <c r="FO56" s="3323"/>
      <c r="FP56" s="3323"/>
      <c r="FQ56" s="3323"/>
      <c r="FR56" s="3323"/>
      <c r="FS56" s="3323"/>
      <c r="FT56" s="3323"/>
      <c r="FU56" s="3323"/>
      <c r="FV56" s="3323"/>
      <c r="FW56" s="3323"/>
      <c r="FX56" s="3323"/>
      <c r="FY56" s="3323"/>
    </row>
    <row r="57" spans="1:181" s="2689" customFormat="1" outlineLevel="1">
      <c r="A57" s="2912" t="str">
        <f>A16</f>
        <v>Number of store</v>
      </c>
      <c r="AW57" s="2689">
        <v>178</v>
      </c>
      <c r="AX57" s="2689">
        <v>205</v>
      </c>
      <c r="AY57" s="2689">
        <v>211</v>
      </c>
      <c r="AZ57" s="2689">
        <v>250</v>
      </c>
      <c r="BA57" s="2689">
        <v>320</v>
      </c>
      <c r="BB57" s="2689">
        <v>365</v>
      </c>
      <c r="BD57" s="2689">
        <v>432</v>
      </c>
      <c r="BE57" s="2689">
        <v>509</v>
      </c>
      <c r="BF57" s="2689">
        <f>BF58+BE57</f>
        <v>529</v>
      </c>
      <c r="BG57" s="2689">
        <f>BG58+BF57</f>
        <v>559</v>
      </c>
      <c r="BH57" s="2689">
        <f>BH58+BG57</f>
        <v>539</v>
      </c>
      <c r="BI57" s="2689">
        <v>500</v>
      </c>
      <c r="BJ57" s="2684">
        <f t="shared" ref="BJ57:BP57" si="1643">BJ58+BI57</f>
        <v>500</v>
      </c>
      <c r="BK57" s="2684">
        <f t="shared" si="1643"/>
        <v>500</v>
      </c>
      <c r="BL57" s="2684">
        <v>510</v>
      </c>
      <c r="BM57" s="2684">
        <f t="shared" si="1643"/>
        <v>523</v>
      </c>
      <c r="BN57" s="2684">
        <f t="shared" si="1643"/>
        <v>535</v>
      </c>
      <c r="BO57" s="2684">
        <f t="shared" si="1643"/>
        <v>535</v>
      </c>
      <c r="BP57" s="2684">
        <f t="shared" si="1643"/>
        <v>537</v>
      </c>
      <c r="BQ57" s="2684">
        <v>540</v>
      </c>
      <c r="BR57" s="2684">
        <v>540</v>
      </c>
      <c r="BS57" s="2684">
        <v>540</v>
      </c>
      <c r="BT57" s="2684">
        <v>527</v>
      </c>
      <c r="BU57" s="2684">
        <v>527</v>
      </c>
      <c r="BV57" s="2684">
        <f t="shared" ref="BV57:DA57" si="1644">BV58+BU57</f>
        <v>527</v>
      </c>
      <c r="BW57" s="2684">
        <f t="shared" si="1644"/>
        <v>527</v>
      </c>
      <c r="BX57" s="2684">
        <v>526</v>
      </c>
      <c r="BY57" s="2684">
        <v>526</v>
      </c>
      <c r="BZ57" s="2684">
        <v>526</v>
      </c>
      <c r="CA57" s="2684">
        <f>CA58+BZ57</f>
        <v>481</v>
      </c>
      <c r="CB57" s="2684">
        <v>387</v>
      </c>
      <c r="CC57" s="2684">
        <v>343</v>
      </c>
      <c r="CD57" s="2684">
        <f t="shared" si="1644"/>
        <v>326</v>
      </c>
      <c r="CE57" s="2684">
        <f t="shared" si="1644"/>
        <v>326</v>
      </c>
      <c r="CF57" s="2684">
        <f t="shared" si="1644"/>
        <v>326</v>
      </c>
      <c r="CG57" s="2684">
        <f t="shared" si="1644"/>
        <v>326</v>
      </c>
      <c r="CH57" s="2684">
        <f t="shared" si="1644"/>
        <v>326</v>
      </c>
      <c r="CI57" s="2684">
        <f t="shared" si="1644"/>
        <v>326</v>
      </c>
      <c r="CJ57" s="2684">
        <f t="shared" si="1644"/>
        <v>326</v>
      </c>
      <c r="CK57" s="2684">
        <v>326</v>
      </c>
      <c r="CL57" s="2684">
        <v>326</v>
      </c>
      <c r="CM57" s="2684">
        <v>326</v>
      </c>
      <c r="CN57" s="2684">
        <f t="shared" si="1644"/>
        <v>326</v>
      </c>
      <c r="CO57" s="2684">
        <f t="shared" si="1644"/>
        <v>326</v>
      </c>
      <c r="CP57" s="2684">
        <f>CP58+CO57</f>
        <v>347</v>
      </c>
      <c r="CQ57" s="2684">
        <f t="shared" si="1644"/>
        <v>356</v>
      </c>
      <c r="CR57" s="2689">
        <f t="shared" si="1644"/>
        <v>356</v>
      </c>
      <c r="CS57" s="2689">
        <f t="shared" si="1644"/>
        <v>356</v>
      </c>
      <c r="CT57" s="2689">
        <f t="shared" si="1644"/>
        <v>356</v>
      </c>
      <c r="CU57" s="2689">
        <f t="shared" si="1644"/>
        <v>356</v>
      </c>
      <c r="CV57" s="2689">
        <f t="shared" si="1644"/>
        <v>356</v>
      </c>
      <c r="CW57" s="2689">
        <f t="shared" si="1644"/>
        <v>356</v>
      </c>
      <c r="CX57" s="2689">
        <f t="shared" si="1644"/>
        <v>356</v>
      </c>
      <c r="CY57" s="2689">
        <f t="shared" si="1644"/>
        <v>356</v>
      </c>
      <c r="CZ57" s="2689">
        <f t="shared" si="1644"/>
        <v>356</v>
      </c>
      <c r="DA57" s="2689">
        <f t="shared" si="1644"/>
        <v>356</v>
      </c>
      <c r="DB57" s="2689">
        <f t="shared" ref="DB57:DR57" si="1645">DB58+DA57</f>
        <v>356</v>
      </c>
      <c r="DC57" s="2689">
        <f t="shared" si="1645"/>
        <v>356</v>
      </c>
      <c r="DD57" s="2689">
        <f t="shared" si="1645"/>
        <v>356</v>
      </c>
      <c r="DE57" s="2689">
        <f t="shared" si="1645"/>
        <v>356</v>
      </c>
      <c r="DF57" s="2689">
        <f t="shared" si="1645"/>
        <v>356</v>
      </c>
      <c r="DG57" s="2689">
        <f t="shared" si="1645"/>
        <v>356</v>
      </c>
      <c r="DH57" s="2689">
        <f t="shared" si="1645"/>
        <v>356</v>
      </c>
      <c r="DI57" s="2689">
        <f t="shared" si="1645"/>
        <v>356</v>
      </c>
      <c r="DJ57" s="2689">
        <f t="shared" si="1645"/>
        <v>356</v>
      </c>
      <c r="DK57" s="2689">
        <f t="shared" si="1645"/>
        <v>356</v>
      </c>
      <c r="DL57" s="2689">
        <f t="shared" si="1645"/>
        <v>356</v>
      </c>
      <c r="DM57" s="2689">
        <f t="shared" si="1645"/>
        <v>356</v>
      </c>
      <c r="DN57" s="2689">
        <f t="shared" si="1645"/>
        <v>356</v>
      </c>
      <c r="DO57" s="2689">
        <f t="shared" si="1645"/>
        <v>356</v>
      </c>
      <c r="DP57" s="2689">
        <f t="shared" si="1645"/>
        <v>356</v>
      </c>
      <c r="DQ57" s="2689">
        <f t="shared" si="1645"/>
        <v>356</v>
      </c>
      <c r="DR57" s="2689">
        <f t="shared" si="1645"/>
        <v>356</v>
      </c>
      <c r="DS57" s="2689">
        <f t="shared" ref="DS57" si="1646">DS58+DR57</f>
        <v>357</v>
      </c>
      <c r="DT57" s="2689">
        <f t="shared" ref="DT57" si="1647">DT58+DS57</f>
        <v>359</v>
      </c>
      <c r="DU57" s="2689">
        <f t="shared" ref="DU57" si="1648">DU58+DT57</f>
        <v>362</v>
      </c>
      <c r="DV57" s="2689">
        <f t="shared" ref="DV57" si="1649">DV58+DU57</f>
        <v>366</v>
      </c>
      <c r="DW57" s="2689">
        <f t="shared" ref="DW57" si="1650">DW58+DV57</f>
        <v>371</v>
      </c>
      <c r="DX57" s="2689">
        <f t="shared" ref="DX57" si="1651">DX58+DW57</f>
        <v>377</v>
      </c>
      <c r="DY57" s="2689">
        <f t="shared" ref="DY57" si="1652">DY58+DX57</f>
        <v>384</v>
      </c>
      <c r="DZ57" s="2689">
        <f t="shared" ref="DZ57" si="1653">DZ58+DY57</f>
        <v>392</v>
      </c>
      <c r="EA57" s="2689">
        <f t="shared" ref="EA57" si="1654">EA58+DZ57</f>
        <v>401</v>
      </c>
      <c r="EB57" s="2689">
        <f t="shared" ref="EB57" si="1655">EB58+EA57</f>
        <v>411</v>
      </c>
      <c r="EC57" s="2689">
        <f t="shared" ref="EC57" si="1656">EC58+EB57</f>
        <v>416</v>
      </c>
      <c r="ED57" s="2689">
        <f t="shared" ref="ED57" si="1657">ED58+EC57</f>
        <v>421</v>
      </c>
      <c r="EE57" s="2689">
        <f t="shared" ref="EE57" si="1658">EE58+ED57</f>
        <v>426</v>
      </c>
      <c r="EF57" s="2689">
        <f t="shared" ref="EF57" si="1659">EF58+EE57</f>
        <v>431</v>
      </c>
      <c r="EG57" s="2689">
        <f t="shared" ref="EG57" si="1660">EG58+EF57</f>
        <v>436</v>
      </c>
      <c r="EH57" s="2689">
        <f t="shared" ref="EH57" si="1661">EH58+EG57</f>
        <v>441</v>
      </c>
      <c r="EI57" s="2689">
        <f t="shared" ref="EI57" si="1662">EI58+EH57</f>
        <v>446</v>
      </c>
      <c r="EJ57" s="2689">
        <f t="shared" ref="EJ57" si="1663">EJ58+EI57</f>
        <v>451</v>
      </c>
      <c r="EK57" s="2689">
        <f t="shared" ref="EK57" si="1664">EK58+EJ57</f>
        <v>456</v>
      </c>
      <c r="EL57" s="2689">
        <f t="shared" ref="EL57" si="1665">EL58+EK57</f>
        <v>461</v>
      </c>
      <c r="EM57" s="2689">
        <f t="shared" ref="EM57" si="1666">EM58+EL57</f>
        <v>466</v>
      </c>
      <c r="EN57" s="2689">
        <f t="shared" ref="EN57" si="1667">EN58+EM57</f>
        <v>471</v>
      </c>
      <c r="EO57" s="2689">
        <f t="shared" ref="EO57" si="1668">EO58+EN57</f>
        <v>476</v>
      </c>
      <c r="EP57" s="2689">
        <f t="shared" ref="EP57" si="1669">EP58+EO57</f>
        <v>481</v>
      </c>
      <c r="EQ57" s="2689">
        <f t="shared" ref="EQ57" si="1670">EQ58+EP57</f>
        <v>486</v>
      </c>
      <c r="ER57" s="2689">
        <f t="shared" ref="ER57" si="1671">ER58+EQ57</f>
        <v>491</v>
      </c>
      <c r="ES57" s="2689">
        <f t="shared" ref="ES57" si="1672">ES58+ER57</f>
        <v>496</v>
      </c>
      <c r="ET57" s="2689">
        <f t="shared" ref="ET57" si="1673">ET58+ES57</f>
        <v>501</v>
      </c>
      <c r="EU57" s="2689">
        <f t="shared" ref="EU57" si="1674">EU58+ET57</f>
        <v>506</v>
      </c>
      <c r="EV57" s="2689">
        <f t="shared" ref="EV57" si="1675">EV58+EU57</f>
        <v>511</v>
      </c>
      <c r="EW57" s="2689">
        <f t="shared" ref="EW57" si="1676">EW58+EV57</f>
        <v>516</v>
      </c>
      <c r="EX57" s="2689">
        <f t="shared" ref="EX57" si="1677">EX58+EW57</f>
        <v>521</v>
      </c>
      <c r="EY57" s="2689">
        <f t="shared" ref="EY57" si="1678">EY58+EX57</f>
        <v>526</v>
      </c>
      <c r="EZ57" s="2689">
        <f t="shared" ref="EZ57" si="1679">EZ58+EY57</f>
        <v>531</v>
      </c>
      <c r="FA57" s="2689">
        <f t="shared" ref="FA57" si="1680">FA58+EZ57</f>
        <v>536</v>
      </c>
      <c r="FB57" s="2689">
        <f t="shared" ref="FB57" si="1681">FB58+FA57</f>
        <v>541</v>
      </c>
      <c r="FC57" s="2689">
        <f t="shared" ref="FC57" si="1682">FC58+FB57</f>
        <v>546</v>
      </c>
      <c r="FD57" s="2689">
        <f t="shared" ref="FD57" si="1683">FD58+FC57</f>
        <v>551</v>
      </c>
      <c r="FE57" s="2689">
        <f t="shared" ref="FE57" si="1684">FE58+FD57</f>
        <v>556</v>
      </c>
      <c r="FF57" s="2689">
        <f t="shared" ref="FF57" si="1685">FF58+FE57</f>
        <v>561</v>
      </c>
      <c r="FG57" s="2689">
        <f t="shared" ref="FG57" si="1686">FG58+FF57</f>
        <v>566</v>
      </c>
      <c r="FH57" s="2689">
        <f t="shared" ref="FH57" si="1687">FH58+FG57</f>
        <v>571</v>
      </c>
      <c r="FI57" s="2689">
        <f t="shared" ref="FI57" si="1688">FI58+FH57</f>
        <v>576</v>
      </c>
      <c r="FJ57" s="2689">
        <f t="shared" ref="FJ57" si="1689">FJ58+FI57</f>
        <v>581</v>
      </c>
      <c r="FK57" s="2689">
        <f t="shared" ref="FK57" si="1690">FK58+FJ57</f>
        <v>586</v>
      </c>
      <c r="FL57" s="2689">
        <f t="shared" ref="FL57" si="1691">FL58+FK57</f>
        <v>591</v>
      </c>
      <c r="FM57" s="2689">
        <f t="shared" ref="FM57" si="1692">FM58+FL57</f>
        <v>596</v>
      </c>
      <c r="FN57" s="2689">
        <f t="shared" ref="FN57" si="1693">FN58+FM57</f>
        <v>601</v>
      </c>
      <c r="FO57" s="2689">
        <f t="shared" ref="FO57" si="1694">FO58+FN57</f>
        <v>606</v>
      </c>
      <c r="FP57" s="2689">
        <f t="shared" ref="FP57" si="1695">FP58+FO57</f>
        <v>611</v>
      </c>
      <c r="FQ57" s="2689">
        <f t="shared" ref="FQ57" si="1696">FQ58+FP57</f>
        <v>616</v>
      </c>
      <c r="FR57" s="2689">
        <f t="shared" ref="FR57" si="1697">FR58+FQ57</f>
        <v>621</v>
      </c>
      <c r="FS57" s="2689">
        <f t="shared" ref="FS57" si="1698">FS58+FR57</f>
        <v>626</v>
      </c>
      <c r="FT57" s="2689">
        <f t="shared" ref="FT57" si="1699">FT58+FS57</f>
        <v>631</v>
      </c>
      <c r="FU57" s="2689">
        <f t="shared" ref="FU57" si="1700">FU58+FT57</f>
        <v>636</v>
      </c>
      <c r="FV57" s="2689">
        <f t="shared" ref="FV57" si="1701">FV58+FU57</f>
        <v>641</v>
      </c>
      <c r="FW57" s="2689">
        <f t="shared" ref="FW57" si="1702">FW58+FV57</f>
        <v>646</v>
      </c>
      <c r="FX57" s="2689">
        <f t="shared" ref="FX57" si="1703">FX58+FW57</f>
        <v>651</v>
      </c>
      <c r="FY57" s="2689">
        <f t="shared" ref="FY57" si="1704">FY58+FX57</f>
        <v>656</v>
      </c>
    </row>
    <row r="58" spans="1:181" s="2689" customFormat="1" outlineLevel="1">
      <c r="A58" s="2912" t="str">
        <f>A17</f>
        <v>(+/-)</v>
      </c>
      <c r="AY58" s="2689">
        <f>AY57-AX57</f>
        <v>6</v>
      </c>
      <c r="AZ58" s="2689">
        <f t="shared" ref="AZ58:BE58" si="1705">AZ57-AY57</f>
        <v>39</v>
      </c>
      <c r="BA58" s="2689">
        <f t="shared" si="1705"/>
        <v>70</v>
      </c>
      <c r="BB58" s="2689">
        <f t="shared" si="1705"/>
        <v>45</v>
      </c>
      <c r="BD58" s="2689">
        <f t="shared" si="1705"/>
        <v>432</v>
      </c>
      <c r="BE58" s="2689">
        <f t="shared" si="1705"/>
        <v>77</v>
      </c>
      <c r="BF58" s="2689">
        <v>20</v>
      </c>
      <c r="BG58" s="2689">
        <v>30</v>
      </c>
      <c r="BH58" s="2689">
        <v>-20</v>
      </c>
      <c r="BI58" s="2689">
        <f>BI57-BH57</f>
        <v>-39</v>
      </c>
      <c r="BJ58" s="2684">
        <v>0</v>
      </c>
      <c r="BK58" s="2684">
        <v>0</v>
      </c>
      <c r="BL58" s="2684">
        <f>BL57-BK57</f>
        <v>10</v>
      </c>
      <c r="BM58" s="2684">
        <v>13</v>
      </c>
      <c r="BN58" s="2684">
        <f>535-BM57</f>
        <v>12</v>
      </c>
      <c r="BO58" s="2684">
        <v>0</v>
      </c>
      <c r="BP58" s="2684">
        <v>2</v>
      </c>
      <c r="BQ58" s="2684">
        <v>2</v>
      </c>
      <c r="BR58" s="2684">
        <v>0</v>
      </c>
      <c r="BS58" s="2684">
        <v>0</v>
      </c>
      <c r="BT58" s="2684">
        <f>BT57-BS57</f>
        <v>-13</v>
      </c>
      <c r="BU58" s="2684">
        <f>BU57-BT57</f>
        <v>0</v>
      </c>
      <c r="BV58" s="2684">
        <v>0</v>
      </c>
      <c r="BW58" s="2684">
        <v>0</v>
      </c>
      <c r="BX58" s="2684">
        <v>0</v>
      </c>
      <c r="BY58" s="2684">
        <v>0</v>
      </c>
      <c r="BZ58" s="2684">
        <v>0</v>
      </c>
      <c r="CA58" s="2684">
        <f>481-BZ57</f>
        <v>-45</v>
      </c>
      <c r="CB58" s="2684">
        <f>CB57-CA57</f>
        <v>-94</v>
      </c>
      <c r="CC58" s="2684">
        <f>CC57-CB57</f>
        <v>-44</v>
      </c>
      <c r="CD58" s="2684">
        <f>326-CC57</f>
        <v>-17</v>
      </c>
      <c r="CE58" s="2684">
        <v>0</v>
      </c>
      <c r="CF58" s="2684">
        <v>0</v>
      </c>
      <c r="CG58" s="2684">
        <v>0</v>
      </c>
      <c r="CH58" s="2684">
        <v>0</v>
      </c>
      <c r="CI58" s="2684">
        <v>0</v>
      </c>
      <c r="CJ58" s="2684">
        <v>0</v>
      </c>
      <c r="CK58" s="2684">
        <v>0</v>
      </c>
      <c r="CL58" s="2684">
        <v>0</v>
      </c>
      <c r="CM58" s="2684">
        <v>0</v>
      </c>
      <c r="CN58" s="2684">
        <v>0</v>
      </c>
      <c r="CO58" s="2684">
        <v>0</v>
      </c>
      <c r="CP58" s="2684">
        <f>347-326</f>
        <v>21</v>
      </c>
      <c r="CQ58" s="2684">
        <f>356-CP57</f>
        <v>9</v>
      </c>
      <c r="CR58" s="2689">
        <v>0</v>
      </c>
      <c r="CS58" s="2689">
        <v>0</v>
      </c>
      <c r="CT58" s="2689">
        <v>0</v>
      </c>
      <c r="CU58" s="2689">
        <v>0</v>
      </c>
      <c r="CV58" s="2689">
        <v>0</v>
      </c>
      <c r="CW58" s="2689">
        <v>0</v>
      </c>
      <c r="CX58" s="2689">
        <v>0</v>
      </c>
      <c r="CY58" s="2689">
        <v>0</v>
      </c>
      <c r="CZ58" s="2689">
        <v>0</v>
      </c>
      <c r="DA58" s="2689">
        <v>0</v>
      </c>
      <c r="DB58" s="2689">
        <v>0</v>
      </c>
      <c r="DC58" s="2689">
        <v>0</v>
      </c>
      <c r="DD58" s="2689">
        <v>0</v>
      </c>
      <c r="DE58" s="2689">
        <v>0</v>
      </c>
      <c r="DF58" s="2689">
        <v>0</v>
      </c>
      <c r="DG58" s="2689">
        <v>0</v>
      </c>
      <c r="DH58" s="2689">
        <v>0</v>
      </c>
      <c r="DI58" s="2689">
        <v>0</v>
      </c>
      <c r="DJ58" s="2689">
        <v>0</v>
      </c>
      <c r="DK58" s="2689">
        <v>0</v>
      </c>
      <c r="DL58" s="2689">
        <v>0</v>
      </c>
      <c r="DM58" s="2689">
        <v>0</v>
      </c>
      <c r="DN58" s="2689">
        <v>0</v>
      </c>
      <c r="DO58" s="2689">
        <v>0</v>
      </c>
      <c r="DP58" s="2689">
        <v>0</v>
      </c>
      <c r="DQ58" s="2689">
        <v>0</v>
      </c>
      <c r="DR58" s="2689">
        <v>0</v>
      </c>
      <c r="DS58" s="2689">
        <v>1</v>
      </c>
      <c r="DT58" s="2689">
        <v>2</v>
      </c>
      <c r="DU58" s="2689">
        <v>3</v>
      </c>
      <c r="DV58" s="2689">
        <v>4</v>
      </c>
      <c r="DW58" s="2689">
        <v>5</v>
      </c>
      <c r="DX58" s="2689">
        <v>6</v>
      </c>
      <c r="DY58" s="2689">
        <v>7</v>
      </c>
      <c r="DZ58" s="2689">
        <v>8</v>
      </c>
      <c r="EA58" s="2689">
        <v>9</v>
      </c>
      <c r="EB58" s="2689">
        <v>10</v>
      </c>
      <c r="EC58" s="2689">
        <v>5</v>
      </c>
      <c r="ED58" s="2689">
        <v>5</v>
      </c>
      <c r="EE58" s="2689">
        <v>5</v>
      </c>
      <c r="EF58" s="2689">
        <v>5</v>
      </c>
      <c r="EG58" s="2689">
        <v>5</v>
      </c>
      <c r="EH58" s="2689">
        <v>5</v>
      </c>
      <c r="EI58" s="2689">
        <v>5</v>
      </c>
      <c r="EJ58" s="2689">
        <v>5</v>
      </c>
      <c r="EK58" s="2689">
        <v>5</v>
      </c>
      <c r="EL58" s="2689">
        <v>5</v>
      </c>
      <c r="EM58" s="2689">
        <v>5</v>
      </c>
      <c r="EN58" s="2689">
        <v>5</v>
      </c>
      <c r="EO58" s="2689">
        <v>5</v>
      </c>
      <c r="EP58" s="2689">
        <v>5</v>
      </c>
      <c r="EQ58" s="2689">
        <v>5</v>
      </c>
      <c r="ER58" s="2689">
        <v>5</v>
      </c>
      <c r="ES58" s="2689">
        <v>5</v>
      </c>
      <c r="ET58" s="2689">
        <v>5</v>
      </c>
      <c r="EU58" s="2689">
        <v>5</v>
      </c>
      <c r="EV58" s="2689">
        <v>5</v>
      </c>
      <c r="EW58" s="2689">
        <v>5</v>
      </c>
      <c r="EX58" s="2689">
        <v>5</v>
      </c>
      <c r="EY58" s="2689">
        <v>5</v>
      </c>
      <c r="EZ58" s="2689">
        <v>5</v>
      </c>
      <c r="FA58" s="2689">
        <v>5</v>
      </c>
      <c r="FB58" s="2689">
        <v>5</v>
      </c>
      <c r="FC58" s="2689">
        <v>5</v>
      </c>
      <c r="FD58" s="2689">
        <v>5</v>
      </c>
      <c r="FE58" s="2689">
        <v>5</v>
      </c>
      <c r="FF58" s="2689">
        <v>5</v>
      </c>
      <c r="FG58" s="2689">
        <v>5</v>
      </c>
      <c r="FH58" s="2689">
        <v>5</v>
      </c>
      <c r="FI58" s="2689">
        <v>5</v>
      </c>
      <c r="FJ58" s="2689">
        <v>5</v>
      </c>
      <c r="FK58" s="2689">
        <v>5</v>
      </c>
      <c r="FL58" s="2689">
        <v>5</v>
      </c>
      <c r="FM58" s="2689">
        <v>5</v>
      </c>
      <c r="FN58" s="2689">
        <v>5</v>
      </c>
      <c r="FO58" s="2689">
        <v>5</v>
      </c>
      <c r="FP58" s="2689">
        <v>5</v>
      </c>
      <c r="FQ58" s="2689">
        <v>5</v>
      </c>
      <c r="FR58" s="2689">
        <v>5</v>
      </c>
      <c r="FS58" s="2689">
        <v>5</v>
      </c>
      <c r="FT58" s="2689">
        <v>5</v>
      </c>
      <c r="FU58" s="2689">
        <v>5</v>
      </c>
      <c r="FV58" s="2689">
        <v>5</v>
      </c>
      <c r="FW58" s="2689">
        <v>5</v>
      </c>
      <c r="FX58" s="2689">
        <v>5</v>
      </c>
      <c r="FY58" s="2689">
        <v>5</v>
      </c>
    </row>
    <row r="59" spans="1:181" s="3325" customFormat="1">
      <c r="A59" s="3324" t="str">
        <f>A18</f>
        <v>Average REV per store (bnVND/Store)</v>
      </c>
      <c r="AX59" s="3326">
        <f>AX55/AVERAGE(AW57:AX57)/2</f>
        <v>0.53524804177545693</v>
      </c>
      <c r="AY59" s="3326">
        <f>AY55/AVERAGE(AX57:AY57)</f>
        <v>0.50721153846153844</v>
      </c>
      <c r="AZ59" s="3326">
        <f>AZ55/AVERAGE(AY57:AZ57)</f>
        <v>0.32537960954446854</v>
      </c>
      <c r="BA59" s="3326">
        <f>BA55/AVERAGE(AZ57:BA57)</f>
        <v>0.33684210526315789</v>
      </c>
      <c r="BB59" s="3326">
        <f>BB55/AVERAGE(BA57:BB57)</f>
        <v>0.3197080291970803</v>
      </c>
      <c r="BC59" s="3326"/>
      <c r="BD59" s="3326">
        <f t="shared" ref="BD59:BK59" si="1706">BD55/AVERAGE(BC57:BD57)</f>
        <v>0.3</v>
      </c>
      <c r="BE59" s="3326">
        <f t="shared" si="1706"/>
        <v>0.27045696068012753</v>
      </c>
      <c r="BF59" s="3326">
        <f t="shared" si="1706"/>
        <v>0.2548169556840077</v>
      </c>
      <c r="BG59" s="3326">
        <f t="shared" si="1706"/>
        <v>0.25689338235294118</v>
      </c>
      <c r="BH59" s="3326">
        <f t="shared" si="1706"/>
        <v>0.24544626593806923</v>
      </c>
      <c r="BI59" s="3326">
        <f t="shared" si="1706"/>
        <v>0.47237728585178074</v>
      </c>
      <c r="BJ59" s="3320">
        <f t="shared" si="1706"/>
        <v>0.34218000000000004</v>
      </c>
      <c r="BK59" s="3320">
        <f t="shared" si="1706"/>
        <v>0.34218000000000004</v>
      </c>
      <c r="BL59" s="3320">
        <f t="shared" ref="BL59:BT59" si="1707">BK59</f>
        <v>0.34218000000000004</v>
      </c>
      <c r="BM59" s="3320">
        <f t="shared" si="1707"/>
        <v>0.34218000000000004</v>
      </c>
      <c r="BN59" s="3320">
        <f t="shared" si="1707"/>
        <v>0.34218000000000004</v>
      </c>
      <c r="BO59" s="3320">
        <f t="shared" si="1707"/>
        <v>0.34218000000000004</v>
      </c>
      <c r="BP59" s="3320">
        <f t="shared" si="1707"/>
        <v>0.34218000000000004</v>
      </c>
      <c r="BQ59" s="3320">
        <f t="shared" si="1707"/>
        <v>0.34218000000000004</v>
      </c>
      <c r="BR59" s="3320">
        <f t="shared" si="1707"/>
        <v>0.34218000000000004</v>
      </c>
      <c r="BS59" s="3320">
        <f t="shared" si="1707"/>
        <v>0.34218000000000004</v>
      </c>
      <c r="BT59" s="3320">
        <f t="shared" si="1707"/>
        <v>0.34218000000000004</v>
      </c>
      <c r="BU59" s="3320">
        <v>0.41061600000000004</v>
      </c>
      <c r="BV59" s="3320">
        <v>0.3</v>
      </c>
      <c r="BW59" s="3320">
        <v>0.4</v>
      </c>
      <c r="BX59" s="3320">
        <f>BW59</f>
        <v>0.4</v>
      </c>
      <c r="BY59" s="3320">
        <f t="shared" ref="BY59:BZ59" si="1708">BX59</f>
        <v>0.4</v>
      </c>
      <c r="BZ59" s="3320">
        <f t="shared" si="1708"/>
        <v>0.4</v>
      </c>
      <c r="CA59" s="3320">
        <v>0.52</v>
      </c>
      <c r="CB59" s="3320">
        <v>0.52</v>
      </c>
      <c r="CC59" s="3320">
        <v>0.52</v>
      </c>
      <c r="CD59" s="3320">
        <v>0.52</v>
      </c>
      <c r="CE59" s="3320">
        <v>0.6</v>
      </c>
      <c r="CF59" s="3320">
        <f>CE59</f>
        <v>0.6</v>
      </c>
      <c r="CG59" s="3320">
        <f>CF59</f>
        <v>0.6</v>
      </c>
      <c r="CH59" s="3320">
        <f>CG59</f>
        <v>0.6</v>
      </c>
      <c r="CI59" s="3320">
        <f t="shared" ref="CI59:CS59" si="1709">CH59</f>
        <v>0.6</v>
      </c>
      <c r="CJ59" s="3320">
        <f t="shared" si="1709"/>
        <v>0.6</v>
      </c>
      <c r="CK59" s="3320">
        <v>0.66</v>
      </c>
      <c r="CL59" s="3320">
        <v>0.69300000000000006</v>
      </c>
      <c r="CM59" s="3320">
        <v>0.69300000000000006</v>
      </c>
      <c r="CN59" s="3320">
        <f t="shared" si="1709"/>
        <v>0.69300000000000006</v>
      </c>
      <c r="CO59" s="3320">
        <f t="shared" si="1709"/>
        <v>0.69300000000000006</v>
      </c>
      <c r="CP59" s="3320">
        <f t="shared" si="1709"/>
        <v>0.69300000000000006</v>
      </c>
      <c r="CQ59" s="3320">
        <f t="shared" si="1709"/>
        <v>0.69300000000000006</v>
      </c>
      <c r="CR59" s="3326">
        <f t="shared" si="1709"/>
        <v>0.69300000000000006</v>
      </c>
      <c r="CS59" s="3326">
        <f t="shared" si="1709"/>
        <v>0.69300000000000006</v>
      </c>
      <c r="CT59" s="3326">
        <f>CS59+0.1</f>
        <v>0.79300000000000004</v>
      </c>
      <c r="CU59" s="3326">
        <f t="shared" ref="CU59:DE59" si="1710">CT59</f>
        <v>0.79300000000000004</v>
      </c>
      <c r="CV59" s="3326">
        <f t="shared" si="1710"/>
        <v>0.79300000000000004</v>
      </c>
      <c r="CW59" s="3326">
        <f t="shared" si="1710"/>
        <v>0.79300000000000004</v>
      </c>
      <c r="CX59" s="3326">
        <f t="shared" si="1710"/>
        <v>0.79300000000000004</v>
      </c>
      <c r="CY59" s="3326">
        <f t="shared" si="1710"/>
        <v>0.79300000000000004</v>
      </c>
      <c r="CZ59" s="3326">
        <f t="shared" si="1710"/>
        <v>0.79300000000000004</v>
      </c>
      <c r="DA59" s="3326">
        <f t="shared" si="1710"/>
        <v>0.79300000000000004</v>
      </c>
      <c r="DB59" s="3326">
        <f t="shared" si="1710"/>
        <v>0.79300000000000004</v>
      </c>
      <c r="DC59" s="3326">
        <f t="shared" si="1710"/>
        <v>0.79300000000000004</v>
      </c>
      <c r="DD59" s="3326">
        <f t="shared" si="1710"/>
        <v>0.79300000000000004</v>
      </c>
      <c r="DE59" s="3326">
        <f t="shared" si="1710"/>
        <v>0.79300000000000004</v>
      </c>
      <c r="DF59" s="3326">
        <f>CT59*(1+DF60)</f>
        <v>0.80886000000000002</v>
      </c>
      <c r="DG59" s="3326">
        <f t="shared" ref="DG59:FR59" si="1711">CU59*(1+DG60)</f>
        <v>0.80886000000000002</v>
      </c>
      <c r="DH59" s="3326">
        <f t="shared" si="1711"/>
        <v>0.80886000000000002</v>
      </c>
      <c r="DI59" s="3326">
        <f t="shared" si="1711"/>
        <v>0.80886000000000002</v>
      </c>
      <c r="DJ59" s="3326">
        <f t="shared" si="1711"/>
        <v>0.80886000000000002</v>
      </c>
      <c r="DK59" s="3326">
        <f t="shared" si="1711"/>
        <v>0.80886000000000002</v>
      </c>
      <c r="DL59" s="3326">
        <f t="shared" si="1711"/>
        <v>0.80886000000000002</v>
      </c>
      <c r="DM59" s="3326">
        <f t="shared" si="1711"/>
        <v>0.80886000000000002</v>
      </c>
      <c r="DN59" s="3326">
        <f t="shared" si="1711"/>
        <v>0.80886000000000002</v>
      </c>
      <c r="DO59" s="3326">
        <f t="shared" si="1711"/>
        <v>0.80886000000000002</v>
      </c>
      <c r="DP59" s="3326">
        <f t="shared" si="1711"/>
        <v>0.80886000000000002</v>
      </c>
      <c r="DQ59" s="3326">
        <f t="shared" si="1711"/>
        <v>0.80886000000000002</v>
      </c>
      <c r="DR59" s="3326">
        <f t="shared" si="1711"/>
        <v>0.82503720000000003</v>
      </c>
      <c r="DS59" s="3326">
        <f t="shared" si="1711"/>
        <v>0.82503720000000003</v>
      </c>
      <c r="DT59" s="3326">
        <f t="shared" si="1711"/>
        <v>0.82503720000000003</v>
      </c>
      <c r="DU59" s="3326">
        <f t="shared" si="1711"/>
        <v>0.82503720000000003</v>
      </c>
      <c r="DV59" s="3326">
        <f t="shared" si="1711"/>
        <v>0.82503720000000003</v>
      </c>
      <c r="DW59" s="3326">
        <f t="shared" si="1711"/>
        <v>0.82503720000000003</v>
      </c>
      <c r="DX59" s="3326">
        <f t="shared" si="1711"/>
        <v>0.82503720000000003</v>
      </c>
      <c r="DY59" s="3326">
        <f t="shared" si="1711"/>
        <v>0.82503720000000003</v>
      </c>
      <c r="DZ59" s="3326">
        <f t="shared" si="1711"/>
        <v>0.82503720000000003</v>
      </c>
      <c r="EA59" s="3326">
        <f t="shared" si="1711"/>
        <v>0.82503720000000003</v>
      </c>
      <c r="EB59" s="3326">
        <f t="shared" si="1711"/>
        <v>0.82503720000000003</v>
      </c>
      <c r="EC59" s="3326">
        <f t="shared" si="1711"/>
        <v>0.82503720000000003</v>
      </c>
      <c r="ED59" s="3326">
        <f t="shared" si="1711"/>
        <v>0.84153794400000004</v>
      </c>
      <c r="EE59" s="3326">
        <f t="shared" si="1711"/>
        <v>0.84153794400000004</v>
      </c>
      <c r="EF59" s="3326">
        <f t="shared" si="1711"/>
        <v>0.84153794400000004</v>
      </c>
      <c r="EG59" s="3326">
        <f t="shared" si="1711"/>
        <v>0.84153794400000004</v>
      </c>
      <c r="EH59" s="3326">
        <f t="shared" si="1711"/>
        <v>0.84153794400000004</v>
      </c>
      <c r="EI59" s="3326">
        <f t="shared" si="1711"/>
        <v>0.84153794400000004</v>
      </c>
      <c r="EJ59" s="3326">
        <f t="shared" si="1711"/>
        <v>0.84153794400000004</v>
      </c>
      <c r="EK59" s="3326">
        <f t="shared" si="1711"/>
        <v>0.84153794400000004</v>
      </c>
      <c r="EL59" s="3326">
        <f t="shared" si="1711"/>
        <v>0.84153794400000004</v>
      </c>
      <c r="EM59" s="3326">
        <f t="shared" si="1711"/>
        <v>0.84153794400000004</v>
      </c>
      <c r="EN59" s="3326">
        <f t="shared" si="1711"/>
        <v>0.84153794400000004</v>
      </c>
      <c r="EO59" s="3326">
        <f t="shared" si="1711"/>
        <v>0.84153794400000004</v>
      </c>
      <c r="EP59" s="3326">
        <f t="shared" si="1711"/>
        <v>0.85836870288</v>
      </c>
      <c r="EQ59" s="3326">
        <f t="shared" si="1711"/>
        <v>0.85836870288</v>
      </c>
      <c r="ER59" s="3326">
        <f t="shared" si="1711"/>
        <v>0.85836870288</v>
      </c>
      <c r="ES59" s="3326">
        <f t="shared" si="1711"/>
        <v>0.85836870288</v>
      </c>
      <c r="ET59" s="3326">
        <f t="shared" si="1711"/>
        <v>0.85836870288</v>
      </c>
      <c r="EU59" s="3326">
        <f t="shared" si="1711"/>
        <v>0.85836870288</v>
      </c>
      <c r="EV59" s="3326">
        <f t="shared" si="1711"/>
        <v>0.85836870288</v>
      </c>
      <c r="EW59" s="3326">
        <f t="shared" si="1711"/>
        <v>0.85836870288</v>
      </c>
      <c r="EX59" s="3326">
        <f t="shared" si="1711"/>
        <v>0.85836870288</v>
      </c>
      <c r="EY59" s="3326">
        <f t="shared" si="1711"/>
        <v>0.85836870288</v>
      </c>
      <c r="EZ59" s="3326">
        <f t="shared" si="1711"/>
        <v>0.85836870288</v>
      </c>
      <c r="FA59" s="3326">
        <f t="shared" si="1711"/>
        <v>0.85836870288</v>
      </c>
      <c r="FB59" s="3326">
        <f t="shared" si="1711"/>
        <v>0.87553607693760005</v>
      </c>
      <c r="FC59" s="3326">
        <f t="shared" si="1711"/>
        <v>0.87553607693760005</v>
      </c>
      <c r="FD59" s="3326">
        <f t="shared" si="1711"/>
        <v>0.87553607693760005</v>
      </c>
      <c r="FE59" s="3326">
        <f t="shared" si="1711"/>
        <v>0.87553607693760005</v>
      </c>
      <c r="FF59" s="3326">
        <f t="shared" si="1711"/>
        <v>0.87553607693760005</v>
      </c>
      <c r="FG59" s="3326">
        <f t="shared" si="1711"/>
        <v>0.87553607693760005</v>
      </c>
      <c r="FH59" s="3326">
        <f t="shared" si="1711"/>
        <v>0.87553607693760005</v>
      </c>
      <c r="FI59" s="3326">
        <f t="shared" si="1711"/>
        <v>0.87553607693760005</v>
      </c>
      <c r="FJ59" s="3326">
        <f t="shared" si="1711"/>
        <v>0.87553607693760005</v>
      </c>
      <c r="FK59" s="3326">
        <f t="shared" si="1711"/>
        <v>0.87553607693760005</v>
      </c>
      <c r="FL59" s="3326">
        <f t="shared" si="1711"/>
        <v>0.87553607693760005</v>
      </c>
      <c r="FM59" s="3326">
        <f t="shared" si="1711"/>
        <v>0.87553607693760005</v>
      </c>
      <c r="FN59" s="3326">
        <f t="shared" si="1711"/>
        <v>0.89304679847635204</v>
      </c>
      <c r="FO59" s="3326">
        <f t="shared" si="1711"/>
        <v>0.89304679847635204</v>
      </c>
      <c r="FP59" s="3326">
        <f t="shared" si="1711"/>
        <v>0.89304679847635204</v>
      </c>
      <c r="FQ59" s="3326">
        <f t="shared" si="1711"/>
        <v>0.89304679847635204</v>
      </c>
      <c r="FR59" s="3326">
        <f t="shared" si="1711"/>
        <v>0.89304679847635204</v>
      </c>
      <c r="FS59" s="3326">
        <f t="shared" ref="FS59:FY59" si="1712">FG59*(1+FS60)</f>
        <v>0.89304679847635204</v>
      </c>
      <c r="FT59" s="3326">
        <f t="shared" si="1712"/>
        <v>0.89304679847635204</v>
      </c>
      <c r="FU59" s="3326">
        <f t="shared" si="1712"/>
        <v>0.89304679847635204</v>
      </c>
      <c r="FV59" s="3326">
        <f t="shared" si="1712"/>
        <v>0.89304679847635204</v>
      </c>
      <c r="FW59" s="3326">
        <f t="shared" si="1712"/>
        <v>0.89304679847635204</v>
      </c>
      <c r="FX59" s="3326">
        <f t="shared" si="1712"/>
        <v>0.89304679847635204</v>
      </c>
      <c r="FY59" s="3326">
        <f t="shared" si="1712"/>
        <v>0.89304679847635204</v>
      </c>
    </row>
    <row r="60" spans="1:181" s="2689" customFormat="1">
      <c r="A60" s="2912" t="str">
        <f>A19</f>
        <v>%YoY</v>
      </c>
      <c r="BJ60" s="2684"/>
      <c r="BK60" s="2684"/>
      <c r="BL60" s="2684"/>
      <c r="BM60" s="2684"/>
      <c r="BN60" s="2684"/>
      <c r="BO60" s="2684"/>
      <c r="BP60" s="2684"/>
      <c r="BQ60" s="2684"/>
      <c r="BR60" s="2684"/>
      <c r="BS60" s="2684"/>
      <c r="BT60" s="2684"/>
      <c r="BU60" s="2684"/>
      <c r="BV60" s="2684"/>
      <c r="BW60" s="2684"/>
      <c r="BX60" s="2684"/>
      <c r="BY60" s="2684"/>
      <c r="BZ60" s="2684"/>
      <c r="CA60" s="2684"/>
      <c r="CB60" s="2684"/>
      <c r="CC60" s="2684"/>
      <c r="CD60" s="2684"/>
      <c r="CE60" s="2684"/>
      <c r="CF60" s="2684"/>
      <c r="CG60" s="2684"/>
      <c r="CH60" s="2684"/>
      <c r="CI60" s="2684"/>
      <c r="CJ60" s="2684"/>
      <c r="CK60" s="2684"/>
      <c r="CL60" s="2684"/>
      <c r="CM60" s="2684"/>
      <c r="CN60" s="2684"/>
      <c r="CO60" s="2684"/>
      <c r="CP60" s="2684"/>
      <c r="CQ60" s="2684"/>
      <c r="DF60" s="2912">
        <v>0.02</v>
      </c>
      <c r="DG60" s="2912">
        <v>0.02</v>
      </c>
      <c r="DH60" s="2912">
        <v>0.02</v>
      </c>
      <c r="DI60" s="2912">
        <v>0.02</v>
      </c>
      <c r="DJ60" s="2912">
        <v>0.02</v>
      </c>
      <c r="DK60" s="2912">
        <v>0.02</v>
      </c>
      <c r="DL60" s="2912">
        <v>0.02</v>
      </c>
      <c r="DM60" s="2912">
        <v>0.02</v>
      </c>
      <c r="DN60" s="2912">
        <v>0.02</v>
      </c>
      <c r="DO60" s="2912">
        <v>0.02</v>
      </c>
      <c r="DP60" s="2912">
        <v>0.02</v>
      </c>
      <c r="DQ60" s="2912">
        <v>0.02</v>
      </c>
      <c r="DR60" s="2912">
        <v>0.02</v>
      </c>
      <c r="DS60" s="2912">
        <v>0.02</v>
      </c>
      <c r="DT60" s="2912">
        <v>0.02</v>
      </c>
      <c r="DU60" s="2912">
        <v>0.02</v>
      </c>
      <c r="DV60" s="2912">
        <v>0.02</v>
      </c>
      <c r="DW60" s="2912">
        <v>0.02</v>
      </c>
      <c r="DX60" s="2912">
        <v>0.02</v>
      </c>
      <c r="DY60" s="2912">
        <v>0.02</v>
      </c>
      <c r="DZ60" s="2912">
        <v>0.02</v>
      </c>
      <c r="EA60" s="2912">
        <v>0.02</v>
      </c>
      <c r="EB60" s="2912">
        <v>0.02</v>
      </c>
      <c r="EC60" s="2912">
        <v>0.02</v>
      </c>
      <c r="ED60" s="2912">
        <v>0.02</v>
      </c>
      <c r="EE60" s="2912">
        <v>0.02</v>
      </c>
      <c r="EF60" s="2912">
        <v>0.02</v>
      </c>
      <c r="EG60" s="2912">
        <v>0.02</v>
      </c>
      <c r="EH60" s="2912">
        <v>0.02</v>
      </c>
      <c r="EI60" s="2912">
        <v>0.02</v>
      </c>
      <c r="EJ60" s="2912">
        <v>0.02</v>
      </c>
      <c r="EK60" s="2912">
        <v>0.02</v>
      </c>
      <c r="EL60" s="2912">
        <v>0.02</v>
      </c>
      <c r="EM60" s="2912">
        <v>0.02</v>
      </c>
      <c r="EN60" s="2912">
        <v>0.02</v>
      </c>
      <c r="EO60" s="2912">
        <v>0.02</v>
      </c>
      <c r="EP60" s="2912">
        <v>0.02</v>
      </c>
      <c r="EQ60" s="2912">
        <v>0.02</v>
      </c>
      <c r="ER60" s="2912">
        <v>0.02</v>
      </c>
      <c r="ES60" s="2912">
        <v>0.02</v>
      </c>
      <c r="ET60" s="2912">
        <v>0.02</v>
      </c>
      <c r="EU60" s="2912">
        <v>0.02</v>
      </c>
      <c r="EV60" s="2912">
        <v>0.02</v>
      </c>
      <c r="EW60" s="2912">
        <v>0.02</v>
      </c>
      <c r="EX60" s="2912">
        <v>0.02</v>
      </c>
      <c r="EY60" s="2912">
        <v>0.02</v>
      </c>
      <c r="EZ60" s="2912">
        <v>0.02</v>
      </c>
      <c r="FA60" s="2912">
        <v>0.02</v>
      </c>
      <c r="FB60" s="2912">
        <v>0.02</v>
      </c>
      <c r="FC60" s="2912">
        <v>0.02</v>
      </c>
      <c r="FD60" s="2912">
        <v>0.02</v>
      </c>
      <c r="FE60" s="2912">
        <v>0.02</v>
      </c>
      <c r="FF60" s="2912">
        <v>0.02</v>
      </c>
      <c r="FG60" s="2912">
        <v>0.02</v>
      </c>
      <c r="FH60" s="2912">
        <v>0.02</v>
      </c>
      <c r="FI60" s="2912">
        <v>0.02</v>
      </c>
      <c r="FJ60" s="2912">
        <v>0.02</v>
      </c>
      <c r="FK60" s="2912">
        <v>0.02</v>
      </c>
      <c r="FL60" s="2912">
        <v>0.02</v>
      </c>
      <c r="FM60" s="2912">
        <v>0.02</v>
      </c>
      <c r="FN60" s="2912">
        <v>0.02</v>
      </c>
      <c r="FO60" s="2912">
        <v>0.02</v>
      </c>
      <c r="FP60" s="2912">
        <v>0.02</v>
      </c>
      <c r="FQ60" s="2912">
        <v>0.02</v>
      </c>
      <c r="FR60" s="2912">
        <v>0.02</v>
      </c>
      <c r="FS60" s="2912">
        <v>0.02</v>
      </c>
      <c r="FT60" s="2912">
        <v>0.02</v>
      </c>
      <c r="FU60" s="2912">
        <v>0.02</v>
      </c>
      <c r="FV60" s="2912">
        <v>0.02</v>
      </c>
      <c r="FW60" s="2912">
        <v>0.02</v>
      </c>
      <c r="FX60" s="2912">
        <v>0.02</v>
      </c>
      <c r="FY60" s="2912">
        <v>0.02</v>
      </c>
    </row>
    <row r="61" spans="1:181" s="2689" customFormat="1">
      <c r="A61" s="2912" t="s">
        <v>49</v>
      </c>
      <c r="AX61" s="3280">
        <f>AX5-AX7-AX14-AX20-AX38-AX55</f>
        <v>-22</v>
      </c>
      <c r="AY61" s="3280">
        <f>AY5-AY7-AY14-AY20-AY38-AY55</f>
        <v>30.404536795169406</v>
      </c>
      <c r="AZ61" s="3280">
        <f>AZ5-AZ7-AZ14-AZ20-AZ38-AZ55</f>
        <v>214.09546320483241</v>
      </c>
      <c r="BA61" s="3280"/>
      <c r="BB61" s="3280"/>
      <c r="BC61" s="3280">
        <f>BC5-BC7-BC14-BC20-BC38-BC55</f>
        <v>-303.86765447838479</v>
      </c>
      <c r="BD61" s="3280">
        <f>BD5-BD7-BD14-BD20-BD38-BD55</f>
        <v>530.76765447838477</v>
      </c>
      <c r="BE61" s="3280"/>
      <c r="BF61" s="3280"/>
      <c r="BG61" s="3280"/>
      <c r="BH61" s="3280"/>
      <c r="BI61" s="3280"/>
      <c r="BJ61" s="3257">
        <f ca="1">BK61</f>
        <v>0</v>
      </c>
      <c r="BK61" s="3257">
        <f ca="1">BJ67/2-BK32-BK38-BK55</f>
        <v>0</v>
      </c>
      <c r="BL61" s="3257">
        <f ca="1">BL5-BL32-BL38-BL55</f>
        <v>158.05819999999969</v>
      </c>
      <c r="BM61" s="3257">
        <f ca="1">BM5-BM32-BM38-BM55</f>
        <v>8.2187599999998611</v>
      </c>
      <c r="BN61" s="3257"/>
      <c r="BO61" s="3257"/>
      <c r="BP61" s="3257"/>
      <c r="BQ61" s="3257"/>
      <c r="BR61" s="3257"/>
      <c r="BS61" s="3257"/>
      <c r="BT61" s="3257"/>
      <c r="BU61" s="3257"/>
      <c r="BV61" s="3257"/>
      <c r="BW61" s="3257"/>
      <c r="BX61" s="3257"/>
      <c r="BY61" s="3257"/>
      <c r="BZ61" s="3257"/>
      <c r="CA61" s="3257"/>
      <c r="CB61" s="3257"/>
      <c r="CC61" s="3257"/>
      <c r="CD61" s="3257"/>
      <c r="CE61" s="3257"/>
      <c r="CF61" s="3257"/>
      <c r="CG61" s="3257"/>
      <c r="CH61" s="3257"/>
      <c r="CI61" s="3257"/>
      <c r="CJ61" s="3257"/>
      <c r="CK61" s="3257"/>
      <c r="CL61" s="3257"/>
      <c r="CM61" s="3257"/>
      <c r="CN61" s="3257"/>
      <c r="CO61" s="3257"/>
      <c r="CP61" s="3257"/>
      <c r="CQ61" s="3257"/>
      <c r="CR61" s="3280"/>
      <c r="CS61" s="3280"/>
      <c r="CT61" s="3280"/>
      <c r="CU61" s="3280"/>
      <c r="CV61" s="3280"/>
      <c r="CW61" s="3280"/>
      <c r="CX61" s="3280"/>
      <c r="CY61" s="3280"/>
      <c r="CZ61" s="3280"/>
      <c r="DA61" s="3280"/>
      <c r="DB61" s="3280"/>
      <c r="DC61" s="3280"/>
      <c r="DD61" s="3280"/>
      <c r="DE61" s="3280"/>
      <c r="DF61" s="3280"/>
      <c r="DG61" s="3280"/>
      <c r="DH61" s="3280"/>
      <c r="DI61" s="3280"/>
      <c r="DJ61" s="3280"/>
      <c r="DK61" s="3280"/>
      <c r="DL61" s="3280"/>
      <c r="DM61" s="3280"/>
      <c r="DN61" s="3280"/>
      <c r="DO61" s="3280"/>
      <c r="DP61" s="3280"/>
      <c r="DQ61" s="3280"/>
      <c r="DR61" s="3280"/>
      <c r="DS61" s="3280"/>
      <c r="DT61" s="3280"/>
      <c r="DU61" s="3280"/>
      <c r="DV61" s="3280"/>
      <c r="DW61" s="3280"/>
      <c r="DX61" s="3280"/>
      <c r="DY61" s="3280"/>
      <c r="DZ61" s="3280"/>
      <c r="EA61" s="3280"/>
      <c r="EB61" s="3280"/>
      <c r="EC61" s="3280"/>
      <c r="ED61" s="3280"/>
      <c r="EE61" s="3280"/>
      <c r="EF61" s="3280"/>
      <c r="EG61" s="3280"/>
      <c r="EH61" s="3280"/>
      <c r="EI61" s="3280"/>
      <c r="EJ61" s="3280"/>
      <c r="EK61" s="3280"/>
      <c r="EL61" s="3280"/>
      <c r="EM61" s="3280"/>
      <c r="EN61" s="3280"/>
      <c r="EO61" s="3280"/>
      <c r="EP61" s="3280"/>
      <c r="EQ61" s="3280"/>
      <c r="ER61" s="3280"/>
      <c r="ES61" s="3280"/>
      <c r="ET61" s="3280"/>
      <c r="EU61" s="3280"/>
      <c r="EV61" s="3280"/>
      <c r="EW61" s="3280"/>
      <c r="EX61" s="3280"/>
      <c r="EY61" s="3280"/>
      <c r="EZ61" s="3280"/>
      <c r="FA61" s="3280"/>
      <c r="FB61" s="3280"/>
      <c r="FC61" s="3280"/>
      <c r="FD61" s="3280"/>
      <c r="FE61" s="3280"/>
      <c r="FF61" s="3280"/>
      <c r="FG61" s="3280"/>
      <c r="FH61" s="3280"/>
      <c r="FI61" s="3280"/>
      <c r="FJ61" s="3280"/>
      <c r="FK61" s="3280"/>
      <c r="FL61" s="3280"/>
      <c r="FM61" s="3280"/>
      <c r="FN61" s="3280"/>
      <c r="FO61" s="3280"/>
      <c r="FP61" s="3280"/>
      <c r="FQ61" s="3280"/>
      <c r="FR61" s="3280"/>
      <c r="FS61" s="3280"/>
      <c r="FT61" s="3280"/>
      <c r="FU61" s="3280"/>
      <c r="FV61" s="3280"/>
      <c r="FW61" s="3280"/>
      <c r="FX61" s="3280"/>
      <c r="FY61" s="3280"/>
    </row>
    <row r="62" spans="1:181" s="3267" customFormat="1">
      <c r="A62" s="3083" t="s">
        <v>50</v>
      </c>
      <c r="B62" s="3083">
        <v>300</v>
      </c>
      <c r="C62" s="3083">
        <v>306</v>
      </c>
      <c r="D62" s="3083">
        <v>201</v>
      </c>
      <c r="E62" s="3083">
        <v>237</v>
      </c>
      <c r="F62" s="3083">
        <v>245</v>
      </c>
      <c r="G62" s="3083">
        <v>251</v>
      </c>
      <c r="H62" s="3083">
        <v>216</v>
      </c>
      <c r="I62" s="3083">
        <v>213</v>
      </c>
      <c r="J62" s="3083">
        <v>218</v>
      </c>
      <c r="K62" s="3083">
        <v>226</v>
      </c>
      <c r="L62" s="3083">
        <v>231</v>
      </c>
      <c r="M62" s="3083">
        <v>236</v>
      </c>
      <c r="N62" s="3083">
        <v>452</v>
      </c>
      <c r="O62" s="3083">
        <v>277</v>
      </c>
      <c r="P62" s="3083">
        <v>312</v>
      </c>
      <c r="Q62" s="3083">
        <v>383</v>
      </c>
      <c r="R62" s="3083">
        <v>368</v>
      </c>
      <c r="S62" s="3083">
        <v>329</v>
      </c>
      <c r="T62" s="3083">
        <v>290</v>
      </c>
      <c r="U62" s="3083">
        <v>286</v>
      </c>
      <c r="V62" s="3083">
        <v>309.5</v>
      </c>
      <c r="W62" s="3083">
        <v>253.5</v>
      </c>
      <c r="X62" s="3083">
        <v>282</v>
      </c>
      <c r="Y62" s="3083">
        <v>295.74283041799845</v>
      </c>
      <c r="Z62" s="3083">
        <v>553</v>
      </c>
      <c r="AA62" s="3083">
        <v>292</v>
      </c>
      <c r="AB62" s="3083">
        <v>287.92286977400067</v>
      </c>
      <c r="AC62" s="3083">
        <v>208.07713022599933</v>
      </c>
      <c r="AD62" s="3083">
        <v>382</v>
      </c>
      <c r="AE62" s="3083">
        <v>304</v>
      </c>
      <c r="AF62" s="3083">
        <v>326</v>
      </c>
      <c r="AG62" s="3083">
        <v>326</v>
      </c>
      <c r="AH62" s="3083">
        <v>299</v>
      </c>
      <c r="AI62" s="3083">
        <v>305</v>
      </c>
      <c r="AJ62" s="3083">
        <v>316</v>
      </c>
      <c r="AK62" s="3083">
        <v>314.22800000000001</v>
      </c>
      <c r="AL62" s="3083">
        <v>494</v>
      </c>
      <c r="AM62" s="3083">
        <v>505</v>
      </c>
      <c r="AN62" s="3083">
        <v>338</v>
      </c>
      <c r="AO62" s="3083">
        <v>354</v>
      </c>
      <c r="AP62" s="3083">
        <v>481</v>
      </c>
      <c r="AQ62" s="3083">
        <v>380</v>
      </c>
      <c r="AR62" s="3083">
        <v>232</v>
      </c>
      <c r="AS62" s="3083">
        <v>222</v>
      </c>
      <c r="AT62" s="3083">
        <v>332</v>
      </c>
      <c r="AU62" s="3083">
        <v>568</v>
      </c>
      <c r="AV62" s="3083">
        <v>489</v>
      </c>
      <c r="AW62" s="3083">
        <v>506</v>
      </c>
      <c r="AX62" s="3083">
        <v>1077</v>
      </c>
      <c r="AY62" s="3083">
        <v>368</v>
      </c>
      <c r="AZ62" s="3083">
        <v>374</v>
      </c>
      <c r="BA62" s="3083">
        <v>383</v>
      </c>
      <c r="BB62" s="3083">
        <v>374</v>
      </c>
      <c r="BC62" s="3083"/>
      <c r="BD62" s="3083">
        <v>305</v>
      </c>
      <c r="BE62" s="3083">
        <f>3176-SUM($AX$62:$BB$62,$BD$62:BD62)</f>
        <v>295</v>
      </c>
      <c r="BF62" s="3083">
        <f>3483-SUM($AX$62:$BB$62,$BD$62:BE62)</f>
        <v>307</v>
      </c>
      <c r="BG62" s="3083">
        <f>3839-SUM(AX62:BF62)</f>
        <v>356</v>
      </c>
      <c r="BH62" s="3083">
        <f>3998-SUM(AX62:BG62)</f>
        <v>159</v>
      </c>
      <c r="BI62" s="3083">
        <f>FS!M101-SUM(Rev_Month!AX62:BH62)</f>
        <v>103.71442493900213</v>
      </c>
      <c r="BJ62" s="3266">
        <f ca="1">BJ63*BJ5</f>
        <v>95.05</v>
      </c>
      <c r="BK62" s="3266">
        <f ca="1">BK63*BK5</f>
        <v>95.05</v>
      </c>
      <c r="BL62" s="3266">
        <f ca="1">21-SUM(BJ62:BK62)</f>
        <v>-169.1</v>
      </c>
      <c r="BM62" s="3266">
        <f ca="1">BM63*BM5</f>
        <v>197.14000000000001</v>
      </c>
      <c r="BN62" s="3266">
        <f ca="1">BN63*BN5</f>
        <v>205.94</v>
      </c>
      <c r="BO62" s="3266">
        <f ca="1">BO63*BO5</f>
        <v>188.52</v>
      </c>
      <c r="BP62" s="3266">
        <f ca="1">BP63*BP5</f>
        <v>396.8</v>
      </c>
      <c r="BQ62" s="3266">
        <f ca="1">BQ63*BQ5</f>
        <v>398.6</v>
      </c>
      <c r="BR62" s="3266">
        <v>402.99743351036852</v>
      </c>
      <c r="BS62" s="3266">
        <v>461.31528906911285</v>
      </c>
      <c r="BT62" s="3266">
        <v>463.49122227328053</v>
      </c>
      <c r="BU62" s="3266">
        <v>463.29236173909902</v>
      </c>
      <c r="BV62" s="3266">
        <f t="shared" ref="BV62:DA62" ca="1" si="1713">BV63*BV5</f>
        <v>440.15114</v>
      </c>
      <c r="BW62" s="3266">
        <f t="shared" ca="1" si="1713"/>
        <v>424.36885999999998</v>
      </c>
      <c r="BX62" s="3266">
        <f t="shared" ca="1" si="1713"/>
        <v>394.9396000000001</v>
      </c>
      <c r="BY62" s="3266">
        <v>462.10039999999992</v>
      </c>
      <c r="BZ62" s="3266">
        <v>448.04</v>
      </c>
      <c r="CA62" s="3266">
        <f t="shared" ca="1" si="1713"/>
        <v>455.24</v>
      </c>
      <c r="CB62" s="3266">
        <f ca="1">CB63*CB5</f>
        <v>436.8</v>
      </c>
      <c r="CC62" s="3266">
        <f t="shared" ca="1" si="1713"/>
        <v>457.04</v>
      </c>
      <c r="CD62" s="3266">
        <f t="shared" ca="1" si="1713"/>
        <v>472</v>
      </c>
      <c r="CE62" s="3266">
        <f t="shared" ca="1" si="1713"/>
        <v>463.44</v>
      </c>
      <c r="CF62" s="3266">
        <f t="shared" ca="1" si="1713"/>
        <v>437.8</v>
      </c>
      <c r="CG62" s="3266">
        <f t="shared" ca="1" si="1713"/>
        <v>517.08405195967998</v>
      </c>
      <c r="CH62" s="3266">
        <f t="shared" ca="1" si="1713"/>
        <v>468.37864625755503</v>
      </c>
      <c r="CI62" s="3266">
        <f t="shared" ca="1" si="1713"/>
        <v>512.581353742445</v>
      </c>
      <c r="CJ62" s="3266">
        <f t="shared" ca="1" si="1713"/>
        <v>464.4383367283599</v>
      </c>
      <c r="CK62" s="3266">
        <v>502.41597352034529</v>
      </c>
      <c r="CL62" s="3266">
        <v>501.34568975129486</v>
      </c>
      <c r="CM62" s="3266">
        <v>497.04</v>
      </c>
      <c r="CN62" s="3266">
        <f t="shared" ca="1" si="1713"/>
        <v>514.08000000000004</v>
      </c>
      <c r="CO62" s="3266">
        <f t="shared" ca="1" si="1713"/>
        <v>531.76</v>
      </c>
      <c r="CP62" s="3266">
        <f t="shared" ca="1" si="1713"/>
        <v>545.4</v>
      </c>
      <c r="CQ62" s="3266">
        <f t="shared" ca="1" si="1713"/>
        <v>594.12</v>
      </c>
      <c r="CR62" s="3083">
        <f t="shared" ca="1" si="1713"/>
        <v>560.52</v>
      </c>
      <c r="CS62" s="3083">
        <f t="shared" ca="1" si="1713"/>
        <v>660.88896220937374</v>
      </c>
      <c r="CT62" s="3083">
        <f t="shared" ca="1" si="1713"/>
        <v>578.11057643277945</v>
      </c>
      <c r="CU62" s="3083">
        <f t="shared" ca="1" si="1713"/>
        <v>568.47156093945216</v>
      </c>
      <c r="CV62" s="3083">
        <f t="shared" ca="1" si="1713"/>
        <v>568.09600681183588</v>
      </c>
      <c r="CW62" s="3083">
        <f t="shared" si="1713"/>
        <v>608.8958005773037</v>
      </c>
      <c r="CX62" s="3083">
        <f t="shared" si="1713"/>
        <v>610.36214312436175</v>
      </c>
      <c r="CY62" s="3083">
        <f t="shared" si="1713"/>
        <v>601.56971835992033</v>
      </c>
      <c r="CZ62" s="3083">
        <f t="shared" ca="1" si="1713"/>
        <v>634.92302063290981</v>
      </c>
      <c r="DA62" s="3083">
        <f t="shared" ca="1" si="1713"/>
        <v>651.62940751089479</v>
      </c>
      <c r="DB62" s="3083">
        <f t="shared" ref="DB62:DR62" ca="1" si="1714">DB63*DB5</f>
        <v>667.88034724857903</v>
      </c>
      <c r="DC62" s="3083">
        <f t="shared" ca="1" si="1714"/>
        <v>716.28527216006853</v>
      </c>
      <c r="DD62" s="3083">
        <f t="shared" ca="1" si="1714"/>
        <v>688.88074733913106</v>
      </c>
      <c r="DE62" s="3083">
        <f t="shared" ca="1" si="1714"/>
        <v>807.69813012411487</v>
      </c>
      <c r="DF62" s="3083">
        <f t="shared" ca="1" si="1714"/>
        <v>693.9236173878802</v>
      </c>
      <c r="DG62" s="3083">
        <f t="shared" ca="1" si="1714"/>
        <v>670.21673213519421</v>
      </c>
      <c r="DH62" s="3083">
        <f t="shared" ca="1" si="1714"/>
        <v>671.43791165639129</v>
      </c>
      <c r="DI62" s="3083">
        <f t="shared" si="1714"/>
        <v>716.07865934018889</v>
      </c>
      <c r="DJ62" s="3083">
        <f t="shared" si="1714"/>
        <v>708.78054394154981</v>
      </c>
      <c r="DK62" s="3083">
        <f t="shared" si="1714"/>
        <v>695.33573735945254</v>
      </c>
      <c r="DL62" s="3083">
        <f t="shared" ca="1" si="1714"/>
        <v>735.36312922388197</v>
      </c>
      <c r="DM62" s="3083">
        <f t="shared" ca="1" si="1714"/>
        <v>755.10389487096279</v>
      </c>
      <c r="DN62" s="3083">
        <f t="shared" ca="1" si="1714"/>
        <v>774.55989586514397</v>
      </c>
      <c r="DO62" s="3083">
        <f t="shared" ca="1" si="1714"/>
        <v>828.89070914542651</v>
      </c>
      <c r="DP62" s="3083">
        <f t="shared" ca="1" si="1714"/>
        <v>798.32731197627959</v>
      </c>
      <c r="DQ62" s="3083">
        <f t="shared" ca="1" si="1714"/>
        <v>937.02177796516253</v>
      </c>
      <c r="DR62" s="3083">
        <f t="shared" ca="1" si="1714"/>
        <v>800.13130271150135</v>
      </c>
      <c r="DS62" s="3083">
        <f t="shared" ref="DS62:FY62" ca="1" si="1715">DS63*DS5</f>
        <v>767.51160318803784</v>
      </c>
      <c r="DT62" s="3083">
        <f t="shared" ca="1" si="1715"/>
        <v>774.48200452032665</v>
      </c>
      <c r="DU62" s="3083">
        <f t="shared" si="1715"/>
        <v>828.16549383289475</v>
      </c>
      <c r="DV62" s="3083">
        <f t="shared" si="1715"/>
        <v>823.05194241817537</v>
      </c>
      <c r="DW62" s="3083">
        <f t="shared" si="1715"/>
        <v>806.9878582681647</v>
      </c>
      <c r="DX62" s="3083">
        <f t="shared" ca="1" si="1715"/>
        <v>851.80648219939508</v>
      </c>
      <c r="DY62" s="3083">
        <f t="shared" ca="1" si="1715"/>
        <v>873.30481284038808</v>
      </c>
      <c r="DZ62" s="3083">
        <f t="shared" ca="1" si="1715"/>
        <v>892.66812373681569</v>
      </c>
      <c r="EA62" s="3083">
        <f t="shared" ca="1" si="1715"/>
        <v>949.48292937364317</v>
      </c>
      <c r="EB62" s="3083">
        <f t="shared" ca="1" si="1715"/>
        <v>914.20470809692836</v>
      </c>
      <c r="EC62" s="3083">
        <f t="shared" ca="1" si="1715"/>
        <v>1070.7756654994612</v>
      </c>
      <c r="ED62" s="3083">
        <f t="shared" ca="1" si="1715"/>
        <v>910.24589664777784</v>
      </c>
      <c r="EE62" s="3083">
        <f t="shared" ca="1" si="1715"/>
        <v>858.79955549514125</v>
      </c>
      <c r="EF62" s="3083">
        <f t="shared" ca="1" si="1715"/>
        <v>871.09075852252579</v>
      </c>
      <c r="EG62" s="3083">
        <f t="shared" si="1715"/>
        <v>928.89471282910836</v>
      </c>
      <c r="EH62" s="3083">
        <f t="shared" si="1715"/>
        <v>920.79989002609761</v>
      </c>
      <c r="EI62" s="3083">
        <f t="shared" si="1715"/>
        <v>900.19043987871237</v>
      </c>
      <c r="EJ62" s="3083">
        <f t="shared" ca="1" si="1715"/>
        <v>948.43434554495093</v>
      </c>
      <c r="EK62" s="3083">
        <f t="shared" ca="1" si="1715"/>
        <v>972.36925886724021</v>
      </c>
      <c r="EL62" s="3083">
        <f t="shared" ca="1" si="1715"/>
        <v>990.36387492986728</v>
      </c>
      <c r="EM62" s="3083">
        <f t="shared" ca="1" si="1715"/>
        <v>1047.5510550529993</v>
      </c>
      <c r="EN62" s="3083">
        <f t="shared" ca="1" si="1715"/>
        <v>1010.080958301371</v>
      </c>
      <c r="EO62" s="3083">
        <f t="shared" ca="1" si="1715"/>
        <v>1181.4566318420245</v>
      </c>
      <c r="EP62" s="3083">
        <f t="shared" ca="1" si="1715"/>
        <v>1007.5236794749984</v>
      </c>
      <c r="EQ62" s="3083">
        <f t="shared" ca="1" si="1715"/>
        <v>946.54465004162796</v>
      </c>
      <c r="ER62" s="3083">
        <f t="shared" ca="1" si="1715"/>
        <v>962.24856396279256</v>
      </c>
      <c r="ES62" s="3083">
        <f t="shared" si="1715"/>
        <v>1024.0719197449603</v>
      </c>
      <c r="ET62" s="3083">
        <f t="shared" si="1715"/>
        <v>1012.5829641196087</v>
      </c>
      <c r="EU62" s="3083">
        <f t="shared" si="1715"/>
        <v>987.29308521493556</v>
      </c>
      <c r="EV62" s="3083">
        <f t="shared" ca="1" si="1715"/>
        <v>1037.6149174621044</v>
      </c>
      <c r="EW62" s="3083">
        <f t="shared" ca="1" si="1715"/>
        <v>1063.7863371291764</v>
      </c>
      <c r="EX62" s="3083">
        <f t="shared" ca="1" si="1715"/>
        <v>1079.666039605743</v>
      </c>
      <c r="EY62" s="3083">
        <f t="shared" ca="1" si="1715"/>
        <v>1137.0663073796784</v>
      </c>
      <c r="EZ62" s="3083">
        <f t="shared" ca="1" si="1715"/>
        <v>1096.6425040602905</v>
      </c>
      <c r="FA62" s="3083">
        <f t="shared" ca="1" si="1715"/>
        <v>1280.06360290767</v>
      </c>
      <c r="FB62" s="3083">
        <f t="shared" ca="1" si="1715"/>
        <v>1093.0938320946586</v>
      </c>
      <c r="FC62" s="3083">
        <f t="shared" ca="1" si="1715"/>
        <v>1026.514348802699</v>
      </c>
      <c r="FD62" s="3083">
        <f t="shared" ca="1" si="1715"/>
        <v>1044.9768747928222</v>
      </c>
      <c r="FE62" s="3083">
        <f t="shared" si="1715"/>
        <v>1112.946791120082</v>
      </c>
      <c r="FF62" s="3083">
        <f t="shared" si="1715"/>
        <v>1099.9684238239618</v>
      </c>
      <c r="FG62" s="3083">
        <f t="shared" si="1715"/>
        <v>1071.9527172340354</v>
      </c>
      <c r="FH62" s="3083">
        <f t="shared" ca="1" si="1715"/>
        <v>1125.386338757349</v>
      </c>
      <c r="FI62" s="3083">
        <f t="shared" ca="1" si="1715"/>
        <v>1154.868453422893</v>
      </c>
      <c r="FJ62" s="3083">
        <f t="shared" ca="1" si="1715"/>
        <v>1169.8162777386021</v>
      </c>
      <c r="FK62" s="3083">
        <f t="shared" ca="1" si="1715"/>
        <v>1229.778236758558</v>
      </c>
      <c r="FL62" s="3083">
        <f t="shared" ca="1" si="1715"/>
        <v>1187.9058453739387</v>
      </c>
      <c r="FM62" s="3083">
        <f t="shared" ca="1" si="1715"/>
        <v>1385.9322807477381</v>
      </c>
      <c r="FN62" s="3083">
        <f t="shared" ca="1" si="1715"/>
        <v>1185.8273465385653</v>
      </c>
      <c r="FO62" s="3083">
        <f t="shared" ca="1" si="1715"/>
        <v>1112.5766472444441</v>
      </c>
      <c r="FP62" s="3083">
        <f t="shared" ca="1" si="1715"/>
        <v>1133.1881045066652</v>
      </c>
      <c r="FQ62" s="3083">
        <f t="shared" si="1715"/>
        <v>1207.9471427114172</v>
      </c>
      <c r="FR62" s="3083">
        <f t="shared" si="1715"/>
        <v>1193.413699485355</v>
      </c>
      <c r="FS62" s="3083">
        <f t="shared" si="1715"/>
        <v>1162.5243471300435</v>
      </c>
      <c r="FT62" s="3083">
        <f t="shared" ca="1" si="1715"/>
        <v>1219.1899570689038</v>
      </c>
      <c r="FU62" s="3083">
        <f t="shared" ca="1" si="1715"/>
        <v>1252.3069105513816</v>
      </c>
      <c r="FV62" s="3083">
        <f t="shared" ca="1" si="1715"/>
        <v>1266.2042555633184</v>
      </c>
      <c r="FW62" s="3083">
        <f t="shared" ca="1" si="1715"/>
        <v>1328.9137649253332</v>
      </c>
      <c r="FX62" s="3083">
        <f t="shared" ca="1" si="1715"/>
        <v>1285.5233009457427</v>
      </c>
      <c r="FY62" s="3083">
        <f t="shared" ca="1" si="1715"/>
        <v>1499.1420747618517</v>
      </c>
    </row>
    <row r="63" spans="1:181" s="3328" customFormat="1">
      <c r="A63" s="3327" t="s">
        <v>51</v>
      </c>
      <c r="B63" s="3327">
        <f t="shared" ref="B63:AG63" si="1716">B62/B5</f>
        <v>3.8182512409316534E-2</v>
      </c>
      <c r="C63" s="3327">
        <f t="shared" si="1716"/>
        <v>3.8226108682073705E-2</v>
      </c>
      <c r="D63" s="3327">
        <f t="shared" si="1716"/>
        <v>3.3086419753086418E-2</v>
      </c>
      <c r="E63" s="3327">
        <f t="shared" si="1716"/>
        <v>3.0604338842975205E-2</v>
      </c>
      <c r="F63" s="3327">
        <f t="shared" si="1716"/>
        <v>3.3224844046650395E-2</v>
      </c>
      <c r="G63" s="3327">
        <f t="shared" si="1716"/>
        <v>3.3533734134936537E-2</v>
      </c>
      <c r="H63" s="3327">
        <f t="shared" si="1716"/>
        <v>3.0379746835443037E-2</v>
      </c>
      <c r="I63" s="3327">
        <f t="shared" si="1716"/>
        <v>3.053763440860215E-2</v>
      </c>
      <c r="J63" s="3327">
        <f t="shared" si="1716"/>
        <v>3.205410968975151E-2</v>
      </c>
      <c r="K63" s="3327">
        <f t="shared" si="1716"/>
        <v>3.3274440518256773E-2</v>
      </c>
      <c r="L63" s="3327">
        <f t="shared" si="1716"/>
        <v>3.4212085308056875E-2</v>
      </c>
      <c r="M63" s="3327">
        <f t="shared" si="1716"/>
        <v>3.1273645725250356E-2</v>
      </c>
      <c r="N63" s="3327">
        <f t="shared" si="1716"/>
        <v>4.3671497584541065E-2</v>
      </c>
      <c r="O63" s="3327">
        <f t="shared" si="1716"/>
        <v>3.9313085438546697E-2</v>
      </c>
      <c r="P63" s="3327">
        <f t="shared" si="1716"/>
        <v>4.0939509250754492E-2</v>
      </c>
      <c r="Q63" s="3327">
        <f t="shared" si="1716"/>
        <v>4.2064799560680946E-2</v>
      </c>
      <c r="R63" s="3327">
        <f t="shared" si="1716"/>
        <v>4.2484414684830295E-2</v>
      </c>
      <c r="S63" s="3327">
        <f t="shared" si="1716"/>
        <v>3.6788549703678855E-2</v>
      </c>
      <c r="T63" s="3327">
        <f t="shared" si="1716"/>
        <v>3.1514888067811345E-2</v>
      </c>
      <c r="U63" s="3327">
        <f t="shared" si="1716"/>
        <v>3.6083774917991418E-2</v>
      </c>
      <c r="V63" s="3327">
        <f t="shared" si="1716"/>
        <v>3.7030390045465419E-2</v>
      </c>
      <c r="W63" s="3327">
        <f t="shared" si="1716"/>
        <v>3.184673366834171E-2</v>
      </c>
      <c r="X63" s="3327">
        <f t="shared" si="1716"/>
        <v>3.3719956953246442E-2</v>
      </c>
      <c r="Y63" s="3327">
        <f t="shared" si="1716"/>
        <v>3.2542124825924126E-2</v>
      </c>
      <c r="Z63" s="3327">
        <f t="shared" si="1716"/>
        <v>4.4028662420382163E-2</v>
      </c>
      <c r="AA63" s="3327">
        <f t="shared" si="1716"/>
        <v>3.6586893872948251E-2</v>
      </c>
      <c r="AB63" s="3327">
        <f t="shared" si="1716"/>
        <v>3.2673952539037751E-2</v>
      </c>
      <c r="AC63" s="3327">
        <f t="shared" si="1716"/>
        <v>2.6574346133588674E-2</v>
      </c>
      <c r="AD63" s="3327">
        <f t="shared" si="1716"/>
        <v>3.7055000485013097E-2</v>
      </c>
      <c r="AE63" s="3327">
        <f t="shared" si="1716"/>
        <v>3.7314348840063828E-2</v>
      </c>
      <c r="AF63" s="3327">
        <f t="shared" si="1716"/>
        <v>3.7605260122274775E-2</v>
      </c>
      <c r="AG63" s="3327">
        <f t="shared" si="1716"/>
        <v>3.7635649965365968E-2</v>
      </c>
      <c r="AH63" s="3327">
        <f t="shared" ref="AH63:BB63" si="1717">AH62/AH5</f>
        <v>3.5671677403960871E-2</v>
      </c>
      <c r="AI63" s="3327">
        <f t="shared" si="1717"/>
        <v>3.4857142857142857E-2</v>
      </c>
      <c r="AJ63" s="3327">
        <f t="shared" si="1717"/>
        <v>3.4340360791132361E-2</v>
      </c>
      <c r="AK63" s="3327">
        <f t="shared" si="1717"/>
        <v>3.4000000000000002E-2</v>
      </c>
      <c r="AL63" s="3327">
        <f t="shared" si="1717"/>
        <v>4.470992850031677E-2</v>
      </c>
      <c r="AM63" s="3327">
        <f t="shared" si="1717"/>
        <v>4.7328959700093723E-2</v>
      </c>
      <c r="AN63" s="3327">
        <f t="shared" si="1717"/>
        <v>3.7110232762406672E-2</v>
      </c>
      <c r="AO63" s="3327">
        <f t="shared" si="1717"/>
        <v>3.6790688006651424E-2</v>
      </c>
      <c r="AP63" s="3327">
        <f t="shared" si="1717"/>
        <v>4.2263421491960287E-2</v>
      </c>
      <c r="AQ63" s="3327">
        <f t="shared" si="1717"/>
        <v>3.5657314441212347E-2</v>
      </c>
      <c r="AR63" s="3327">
        <f t="shared" si="1717"/>
        <v>2.4423623539319927E-2</v>
      </c>
      <c r="AS63" s="3327">
        <f t="shared" si="1717"/>
        <v>3.4106621600860344E-2</v>
      </c>
      <c r="AT63" s="3327">
        <f t="shared" si="1717"/>
        <v>3.9879879879879877E-2</v>
      </c>
      <c r="AU63" s="3327">
        <f t="shared" si="1717"/>
        <v>4.6610864926965367E-2</v>
      </c>
      <c r="AV63" s="3327">
        <f t="shared" si="1717"/>
        <v>4.2433182922596319E-2</v>
      </c>
      <c r="AW63" s="3327">
        <f t="shared" si="1717"/>
        <v>4.0714515609913099E-2</v>
      </c>
      <c r="AX63" s="3327">
        <f t="shared" si="1717"/>
        <v>4.2429972816451958E-2</v>
      </c>
      <c r="AY63" s="3327">
        <f t="shared" si="1717"/>
        <v>3.2670454545454544E-2</v>
      </c>
      <c r="AZ63" s="3327">
        <f t="shared" si="1717"/>
        <v>3.3211970517716009E-2</v>
      </c>
      <c r="BA63" s="3327">
        <f t="shared" si="1717"/>
        <v>3.3549404344779259E-2</v>
      </c>
      <c r="BB63" s="3327">
        <f t="shared" si="1717"/>
        <v>3.2578397212543554E-2</v>
      </c>
      <c r="BC63" s="3327"/>
      <c r="BD63" s="3327">
        <f t="shared" ref="BD63:BI63" si="1718">BD62/BD5</f>
        <v>2.7561901319356586E-2</v>
      </c>
      <c r="BE63" s="3327">
        <f t="shared" si="1718"/>
        <v>2.864624173446682E-2</v>
      </c>
      <c r="BF63" s="3327">
        <f t="shared" ca="1" si="1718"/>
        <v>3.0103233499113577E-2</v>
      </c>
      <c r="BG63" s="3327">
        <f t="shared" ca="1" si="1718"/>
        <v>3.2051541760187839E-2</v>
      </c>
      <c r="BH63" s="3327">
        <f t="shared" ca="1" si="1718"/>
        <v>1.6683078689045783E-2</v>
      </c>
      <c r="BI63" s="3327">
        <f t="shared" ca="1" si="1718"/>
        <v>9.9717958513101442E-3</v>
      </c>
      <c r="BJ63" s="3253">
        <v>0.01</v>
      </c>
      <c r="BK63" s="3253">
        <f>BJ63</f>
        <v>0.01</v>
      </c>
      <c r="BL63" s="3253">
        <f>BK63</f>
        <v>0.01</v>
      </c>
      <c r="BM63" s="3253">
        <v>0.02</v>
      </c>
      <c r="BN63" s="3253">
        <f>BM63</f>
        <v>0.02</v>
      </c>
      <c r="BO63" s="3253">
        <f>BN63</f>
        <v>0.02</v>
      </c>
      <c r="BP63" s="3253">
        <v>0.04</v>
      </c>
      <c r="BQ63" s="3253">
        <f>BP63</f>
        <v>0.04</v>
      </c>
      <c r="BR63" s="3253">
        <v>0.04</v>
      </c>
      <c r="BS63" s="3253">
        <v>0.04</v>
      </c>
      <c r="BT63" s="3253">
        <v>0.04</v>
      </c>
      <c r="BU63" s="3253">
        <v>0.04</v>
      </c>
      <c r="BV63" s="3253">
        <f t="shared" ref="BV63:DA63" si="1719">BU63</f>
        <v>0.04</v>
      </c>
      <c r="BW63" s="3253">
        <f t="shared" si="1719"/>
        <v>0.04</v>
      </c>
      <c r="BX63" s="3253">
        <f t="shared" si="1719"/>
        <v>0.04</v>
      </c>
      <c r="BY63" s="3253">
        <v>0.04</v>
      </c>
      <c r="BZ63" s="3253">
        <v>0.04</v>
      </c>
      <c r="CA63" s="3253">
        <f t="shared" si="1719"/>
        <v>0.04</v>
      </c>
      <c r="CB63" s="3253">
        <f t="shared" si="1719"/>
        <v>0.04</v>
      </c>
      <c r="CC63" s="3253">
        <f t="shared" si="1719"/>
        <v>0.04</v>
      </c>
      <c r="CD63" s="3253">
        <f t="shared" si="1719"/>
        <v>0.04</v>
      </c>
      <c r="CE63" s="3253">
        <f t="shared" si="1719"/>
        <v>0.04</v>
      </c>
      <c r="CF63" s="3253">
        <f t="shared" si="1719"/>
        <v>0.04</v>
      </c>
      <c r="CG63" s="3253">
        <f t="shared" si="1719"/>
        <v>0.04</v>
      </c>
      <c r="CH63" s="3253">
        <f t="shared" si="1719"/>
        <v>0.04</v>
      </c>
      <c r="CI63" s="3253">
        <f t="shared" si="1719"/>
        <v>0.04</v>
      </c>
      <c r="CJ63" s="3253">
        <f t="shared" si="1719"/>
        <v>0.04</v>
      </c>
      <c r="CK63" s="3253">
        <v>0.04</v>
      </c>
      <c r="CL63" s="3253">
        <v>0.04</v>
      </c>
      <c r="CM63" s="3253">
        <v>0.04</v>
      </c>
      <c r="CN63" s="3253">
        <f t="shared" si="1719"/>
        <v>0.04</v>
      </c>
      <c r="CO63" s="3253">
        <f t="shared" si="1719"/>
        <v>0.04</v>
      </c>
      <c r="CP63" s="3253">
        <f t="shared" si="1719"/>
        <v>0.04</v>
      </c>
      <c r="CQ63" s="3253">
        <f t="shared" si="1719"/>
        <v>0.04</v>
      </c>
      <c r="CR63" s="3327">
        <f t="shared" si="1719"/>
        <v>0.04</v>
      </c>
      <c r="CS63" s="3327">
        <f t="shared" si="1719"/>
        <v>0.04</v>
      </c>
      <c r="CT63" s="3327">
        <f t="shared" si="1719"/>
        <v>0.04</v>
      </c>
      <c r="CU63" s="3327">
        <f t="shared" si="1719"/>
        <v>0.04</v>
      </c>
      <c r="CV63" s="3327">
        <f t="shared" si="1719"/>
        <v>0.04</v>
      </c>
      <c r="CW63" s="3327">
        <f t="shared" si="1719"/>
        <v>0.04</v>
      </c>
      <c r="CX63" s="3327">
        <f t="shared" si="1719"/>
        <v>0.04</v>
      </c>
      <c r="CY63" s="3327">
        <f t="shared" si="1719"/>
        <v>0.04</v>
      </c>
      <c r="CZ63" s="3327">
        <f t="shared" si="1719"/>
        <v>0.04</v>
      </c>
      <c r="DA63" s="3327">
        <f t="shared" si="1719"/>
        <v>0.04</v>
      </c>
      <c r="DB63" s="3327">
        <f t="shared" ref="DB63:DR63" si="1720">DA63</f>
        <v>0.04</v>
      </c>
      <c r="DC63" s="3327">
        <f t="shared" si="1720"/>
        <v>0.04</v>
      </c>
      <c r="DD63" s="3327">
        <f t="shared" si="1720"/>
        <v>0.04</v>
      </c>
      <c r="DE63" s="3327">
        <f t="shared" si="1720"/>
        <v>0.04</v>
      </c>
      <c r="DF63" s="3327">
        <f t="shared" si="1720"/>
        <v>0.04</v>
      </c>
      <c r="DG63" s="3327">
        <f t="shared" si="1720"/>
        <v>0.04</v>
      </c>
      <c r="DH63" s="3327">
        <f t="shared" si="1720"/>
        <v>0.04</v>
      </c>
      <c r="DI63" s="3327">
        <f t="shared" si="1720"/>
        <v>0.04</v>
      </c>
      <c r="DJ63" s="3327">
        <f t="shared" si="1720"/>
        <v>0.04</v>
      </c>
      <c r="DK63" s="3327">
        <f t="shared" si="1720"/>
        <v>0.04</v>
      </c>
      <c r="DL63" s="3327">
        <f t="shared" si="1720"/>
        <v>0.04</v>
      </c>
      <c r="DM63" s="3327">
        <f t="shared" si="1720"/>
        <v>0.04</v>
      </c>
      <c r="DN63" s="3327">
        <f t="shared" si="1720"/>
        <v>0.04</v>
      </c>
      <c r="DO63" s="3327">
        <f t="shared" si="1720"/>
        <v>0.04</v>
      </c>
      <c r="DP63" s="3327">
        <f t="shared" si="1720"/>
        <v>0.04</v>
      </c>
      <c r="DQ63" s="3327">
        <f t="shared" si="1720"/>
        <v>0.04</v>
      </c>
      <c r="DR63" s="3327">
        <f t="shared" si="1720"/>
        <v>0.04</v>
      </c>
      <c r="DS63" s="3327">
        <f t="shared" ref="DS63" si="1721">DR63</f>
        <v>0.04</v>
      </c>
      <c r="DT63" s="3327">
        <f t="shared" ref="DT63" si="1722">DS63</f>
        <v>0.04</v>
      </c>
      <c r="DU63" s="3327">
        <f t="shared" ref="DU63" si="1723">DT63</f>
        <v>0.04</v>
      </c>
      <c r="DV63" s="3327">
        <f t="shared" ref="DV63" si="1724">DU63</f>
        <v>0.04</v>
      </c>
      <c r="DW63" s="3327">
        <f t="shared" ref="DW63" si="1725">DV63</f>
        <v>0.04</v>
      </c>
      <c r="DX63" s="3327">
        <f t="shared" ref="DX63" si="1726">DW63</f>
        <v>0.04</v>
      </c>
      <c r="DY63" s="3327">
        <f t="shared" ref="DY63" si="1727">DX63</f>
        <v>0.04</v>
      </c>
      <c r="DZ63" s="3327">
        <f t="shared" ref="DZ63" si="1728">DY63</f>
        <v>0.04</v>
      </c>
      <c r="EA63" s="3327">
        <f t="shared" ref="EA63" si="1729">DZ63</f>
        <v>0.04</v>
      </c>
      <c r="EB63" s="3327">
        <f t="shared" ref="EB63" si="1730">EA63</f>
        <v>0.04</v>
      </c>
      <c r="EC63" s="3327">
        <f t="shared" ref="EC63" si="1731">EB63</f>
        <v>0.04</v>
      </c>
      <c r="ED63" s="3327">
        <f t="shared" ref="ED63" si="1732">EC63</f>
        <v>0.04</v>
      </c>
      <c r="EE63" s="3327">
        <f t="shared" ref="EE63" si="1733">ED63</f>
        <v>0.04</v>
      </c>
      <c r="EF63" s="3327">
        <f t="shared" ref="EF63" si="1734">EE63</f>
        <v>0.04</v>
      </c>
      <c r="EG63" s="3327">
        <f t="shared" ref="EG63" si="1735">EF63</f>
        <v>0.04</v>
      </c>
      <c r="EH63" s="3327">
        <f t="shared" ref="EH63" si="1736">EG63</f>
        <v>0.04</v>
      </c>
      <c r="EI63" s="3327">
        <f t="shared" ref="EI63" si="1737">EH63</f>
        <v>0.04</v>
      </c>
      <c r="EJ63" s="3327">
        <f t="shared" ref="EJ63" si="1738">EI63</f>
        <v>0.04</v>
      </c>
      <c r="EK63" s="3327">
        <f t="shared" ref="EK63" si="1739">EJ63</f>
        <v>0.04</v>
      </c>
      <c r="EL63" s="3327">
        <f t="shared" ref="EL63" si="1740">EK63</f>
        <v>0.04</v>
      </c>
      <c r="EM63" s="3327">
        <f t="shared" ref="EM63" si="1741">EL63</f>
        <v>0.04</v>
      </c>
      <c r="EN63" s="3327">
        <f t="shared" ref="EN63" si="1742">EM63</f>
        <v>0.04</v>
      </c>
      <c r="EO63" s="3327">
        <f t="shared" ref="EO63" si="1743">EN63</f>
        <v>0.04</v>
      </c>
      <c r="EP63" s="3327">
        <f t="shared" ref="EP63" si="1744">EO63</f>
        <v>0.04</v>
      </c>
      <c r="EQ63" s="3327">
        <f t="shared" ref="EQ63" si="1745">EP63</f>
        <v>0.04</v>
      </c>
      <c r="ER63" s="3327">
        <f t="shared" ref="ER63" si="1746">EQ63</f>
        <v>0.04</v>
      </c>
      <c r="ES63" s="3327">
        <f t="shared" ref="ES63" si="1747">ER63</f>
        <v>0.04</v>
      </c>
      <c r="ET63" s="3327">
        <f t="shared" ref="ET63" si="1748">ES63</f>
        <v>0.04</v>
      </c>
      <c r="EU63" s="3327">
        <f t="shared" ref="EU63" si="1749">ET63</f>
        <v>0.04</v>
      </c>
      <c r="EV63" s="3327">
        <f t="shared" ref="EV63" si="1750">EU63</f>
        <v>0.04</v>
      </c>
      <c r="EW63" s="3327">
        <f t="shared" ref="EW63" si="1751">EV63</f>
        <v>0.04</v>
      </c>
      <c r="EX63" s="3327">
        <f t="shared" ref="EX63" si="1752">EW63</f>
        <v>0.04</v>
      </c>
      <c r="EY63" s="3327">
        <f t="shared" ref="EY63" si="1753">EX63</f>
        <v>0.04</v>
      </c>
      <c r="EZ63" s="3327">
        <f t="shared" ref="EZ63" si="1754">EY63</f>
        <v>0.04</v>
      </c>
      <c r="FA63" s="3327">
        <f t="shared" ref="FA63" si="1755">EZ63</f>
        <v>0.04</v>
      </c>
      <c r="FB63" s="3327">
        <f t="shared" ref="FB63" si="1756">FA63</f>
        <v>0.04</v>
      </c>
      <c r="FC63" s="3327">
        <f t="shared" ref="FC63" si="1757">FB63</f>
        <v>0.04</v>
      </c>
      <c r="FD63" s="3327">
        <f t="shared" ref="FD63" si="1758">FC63</f>
        <v>0.04</v>
      </c>
      <c r="FE63" s="3327">
        <f t="shared" ref="FE63" si="1759">FD63</f>
        <v>0.04</v>
      </c>
      <c r="FF63" s="3327">
        <f t="shared" ref="FF63" si="1760">FE63</f>
        <v>0.04</v>
      </c>
      <c r="FG63" s="3327">
        <f t="shared" ref="FG63" si="1761">FF63</f>
        <v>0.04</v>
      </c>
      <c r="FH63" s="3327">
        <f t="shared" ref="FH63" si="1762">FG63</f>
        <v>0.04</v>
      </c>
      <c r="FI63" s="3327">
        <f t="shared" ref="FI63" si="1763">FH63</f>
        <v>0.04</v>
      </c>
      <c r="FJ63" s="3327">
        <f t="shared" ref="FJ63" si="1764">FI63</f>
        <v>0.04</v>
      </c>
      <c r="FK63" s="3327">
        <f t="shared" ref="FK63" si="1765">FJ63</f>
        <v>0.04</v>
      </c>
      <c r="FL63" s="3327">
        <f t="shared" ref="FL63" si="1766">FK63</f>
        <v>0.04</v>
      </c>
      <c r="FM63" s="3327">
        <f t="shared" ref="FM63" si="1767">FL63</f>
        <v>0.04</v>
      </c>
      <c r="FN63" s="3327">
        <f t="shared" ref="FN63" si="1768">FM63</f>
        <v>0.04</v>
      </c>
      <c r="FO63" s="3327">
        <f t="shared" ref="FO63" si="1769">FN63</f>
        <v>0.04</v>
      </c>
      <c r="FP63" s="3327">
        <f t="shared" ref="FP63" si="1770">FO63</f>
        <v>0.04</v>
      </c>
      <c r="FQ63" s="3327">
        <f t="shared" ref="FQ63" si="1771">FP63</f>
        <v>0.04</v>
      </c>
      <c r="FR63" s="3327">
        <f t="shared" ref="FR63" si="1772">FQ63</f>
        <v>0.04</v>
      </c>
      <c r="FS63" s="3327">
        <f t="shared" ref="FS63" si="1773">FR63</f>
        <v>0.04</v>
      </c>
      <c r="FT63" s="3327">
        <f t="shared" ref="FT63" si="1774">FS63</f>
        <v>0.04</v>
      </c>
      <c r="FU63" s="3327">
        <f t="shared" ref="FU63" si="1775">FT63</f>
        <v>0.04</v>
      </c>
      <c r="FV63" s="3327">
        <f t="shared" ref="FV63" si="1776">FU63</f>
        <v>0.04</v>
      </c>
      <c r="FW63" s="3327">
        <f t="shared" ref="FW63" si="1777">FV63</f>
        <v>0.04</v>
      </c>
      <c r="FX63" s="3327">
        <f t="shared" ref="FX63" si="1778">FW63</f>
        <v>0.04</v>
      </c>
      <c r="FY63" s="3327">
        <f t="shared" ref="FY63" si="1779">FX63</f>
        <v>0.04</v>
      </c>
    </row>
    <row r="64" spans="1:181" s="3330" customFormat="1">
      <c r="A64" s="3329"/>
      <c r="B64" s="3329"/>
      <c r="C64" s="3329"/>
      <c r="D64" s="3329"/>
      <c r="E64" s="3329"/>
      <c r="F64" s="3329"/>
      <c r="G64" s="3329"/>
      <c r="H64" s="3329"/>
      <c r="I64" s="3329"/>
      <c r="J64" s="3329"/>
      <c r="K64" s="3329"/>
      <c r="L64" s="3329"/>
      <c r="M64" s="3329"/>
      <c r="N64" s="3329"/>
      <c r="O64" s="3329"/>
      <c r="P64" s="3329"/>
      <c r="Q64" s="3329"/>
      <c r="R64" s="3329"/>
      <c r="S64" s="3329"/>
      <c r="T64" s="3329"/>
      <c r="U64" s="3329"/>
      <c r="V64" s="3329"/>
      <c r="W64" s="3329"/>
      <c r="X64" s="3329"/>
      <c r="Y64" s="3329"/>
      <c r="Z64" s="3329"/>
      <c r="AA64" s="3329"/>
      <c r="AB64" s="3329"/>
      <c r="AC64" s="3329"/>
      <c r="AD64" s="3329"/>
      <c r="AE64" s="3329"/>
      <c r="AF64" s="3329"/>
      <c r="AG64" s="3329"/>
      <c r="AH64" s="3329"/>
      <c r="AI64" s="3329"/>
      <c r="AJ64" s="3329"/>
      <c r="AK64" s="3329"/>
      <c r="AL64" s="3329"/>
      <c r="AM64" s="3329"/>
      <c r="AN64" s="3329"/>
      <c r="AO64" s="3329"/>
      <c r="AP64" s="3329"/>
      <c r="AQ64" s="3329"/>
      <c r="AR64" s="3329"/>
      <c r="AS64" s="3329"/>
      <c r="AT64" s="3329"/>
      <c r="AU64" s="3329"/>
      <c r="AV64" s="3329"/>
      <c r="AW64" s="3329"/>
      <c r="AX64" s="3329"/>
      <c r="AY64" s="3329"/>
      <c r="AZ64" s="3329"/>
      <c r="BA64" s="3329"/>
      <c r="BB64" s="3329"/>
      <c r="BC64" s="3329"/>
      <c r="BD64" s="3329"/>
      <c r="BE64" s="3329"/>
      <c r="BF64" s="3329"/>
      <c r="BG64" s="3329"/>
      <c r="BH64" s="3329"/>
      <c r="BI64" s="3329"/>
      <c r="BJ64" s="2590" t="str">
        <f t="shared" ref="BJ64:BQ64" si="1780">RIGHT(BJ1,4)</f>
        <v>2023</v>
      </c>
      <c r="BK64" s="2590" t="str">
        <f t="shared" si="1780"/>
        <v>2023</v>
      </c>
      <c r="BL64" s="2590" t="str">
        <f t="shared" si="1780"/>
        <v>2023</v>
      </c>
      <c r="BM64" s="2590" t="str">
        <f t="shared" si="1780"/>
        <v>2023</v>
      </c>
      <c r="BN64" s="2590" t="str">
        <f t="shared" si="1780"/>
        <v>2023</v>
      </c>
      <c r="BO64" s="2590" t="str">
        <f t="shared" si="1780"/>
        <v>2023</v>
      </c>
      <c r="BP64" s="2590" t="str">
        <f t="shared" si="1780"/>
        <v>2023</v>
      </c>
      <c r="BQ64" s="2590" t="str">
        <f t="shared" si="1780"/>
        <v>2023</v>
      </c>
      <c r="BR64" s="2590" t="s">
        <v>52</v>
      </c>
      <c r="BS64" s="2590" t="s">
        <v>52</v>
      </c>
      <c r="BT64" s="2590" t="s">
        <v>52</v>
      </c>
      <c r="BU64" s="2590" t="s">
        <v>52</v>
      </c>
      <c r="BV64" s="2590" t="str">
        <f t="shared" ref="BV64:DA64" si="1781">RIGHT(BV1,4)</f>
        <v>2024</v>
      </c>
      <c r="BW64" s="2590" t="str">
        <f t="shared" si="1781"/>
        <v>2024</v>
      </c>
      <c r="BX64" s="2590" t="str">
        <f t="shared" si="1781"/>
        <v>2024</v>
      </c>
      <c r="BY64" s="2590" t="s">
        <v>53</v>
      </c>
      <c r="BZ64" s="2590" t="s">
        <v>53</v>
      </c>
      <c r="CA64" s="2590" t="str">
        <f t="shared" si="1781"/>
        <v>2024</v>
      </c>
      <c r="CB64" s="2590" t="str">
        <f t="shared" si="1781"/>
        <v>2024</v>
      </c>
      <c r="CC64" s="2590" t="str">
        <f t="shared" si="1781"/>
        <v>2024</v>
      </c>
      <c r="CD64" s="2590" t="str">
        <f t="shared" si="1781"/>
        <v>2024</v>
      </c>
      <c r="CE64" s="2590" t="str">
        <f t="shared" si="1781"/>
        <v>2024</v>
      </c>
      <c r="CF64" s="2590" t="str">
        <f t="shared" si="1781"/>
        <v>2024</v>
      </c>
      <c r="CG64" s="2590" t="str">
        <f t="shared" si="1781"/>
        <v>2024</v>
      </c>
      <c r="CH64" s="2590" t="str">
        <f t="shared" si="1781"/>
        <v>2025</v>
      </c>
      <c r="CI64" s="2590" t="str">
        <f t="shared" si="1781"/>
        <v>2025</v>
      </c>
      <c r="CJ64" s="2590" t="str">
        <f t="shared" si="1781"/>
        <v>2025</v>
      </c>
      <c r="CK64" s="2590" t="s">
        <v>54</v>
      </c>
      <c r="CL64" s="2590" t="s">
        <v>54</v>
      </c>
      <c r="CM64" s="2590" t="s">
        <v>54</v>
      </c>
      <c r="CN64" s="2590" t="str">
        <f t="shared" si="1781"/>
        <v>2025</v>
      </c>
      <c r="CO64" s="2590" t="str">
        <f t="shared" si="1781"/>
        <v>2025</v>
      </c>
      <c r="CP64" s="2590" t="str">
        <f t="shared" si="1781"/>
        <v>2025</v>
      </c>
      <c r="CQ64" s="2590" t="str">
        <f t="shared" si="1781"/>
        <v>2025</v>
      </c>
      <c r="CR64" s="3329" t="str">
        <f t="shared" si="1781"/>
        <v>2025</v>
      </c>
      <c r="CS64" s="3329" t="str">
        <f t="shared" si="1781"/>
        <v>2025</v>
      </c>
      <c r="CT64" s="3329" t="str">
        <f t="shared" si="1781"/>
        <v>2026</v>
      </c>
      <c r="CU64" s="3329" t="str">
        <f t="shared" si="1781"/>
        <v>2026</v>
      </c>
      <c r="CV64" s="3329" t="str">
        <f t="shared" si="1781"/>
        <v>2026</v>
      </c>
      <c r="CW64" s="3329" t="str">
        <f t="shared" si="1781"/>
        <v>2026</v>
      </c>
      <c r="CX64" s="3329" t="str">
        <f t="shared" si="1781"/>
        <v>2026</v>
      </c>
      <c r="CY64" s="3329" t="str">
        <f t="shared" si="1781"/>
        <v>2026</v>
      </c>
      <c r="CZ64" s="3329" t="str">
        <f t="shared" si="1781"/>
        <v>2026</v>
      </c>
      <c r="DA64" s="3329" t="str">
        <f t="shared" si="1781"/>
        <v>2026</v>
      </c>
      <c r="DB64" s="3329" t="str">
        <f t="shared" ref="DB64:DR64" si="1782">RIGHT(DB1,4)</f>
        <v>2026</v>
      </c>
      <c r="DC64" s="3329" t="str">
        <f t="shared" si="1782"/>
        <v>2026</v>
      </c>
      <c r="DD64" s="3329" t="str">
        <f t="shared" si="1782"/>
        <v>2026</v>
      </c>
      <c r="DE64" s="3329" t="str">
        <f t="shared" si="1782"/>
        <v>2026</v>
      </c>
      <c r="DF64" s="3329" t="str">
        <f t="shared" si="1782"/>
        <v>2027</v>
      </c>
      <c r="DG64" s="3329" t="str">
        <f t="shared" si="1782"/>
        <v>2027</v>
      </c>
      <c r="DH64" s="3329" t="str">
        <f t="shared" si="1782"/>
        <v>2027</v>
      </c>
      <c r="DI64" s="3329" t="str">
        <f t="shared" si="1782"/>
        <v>2027</v>
      </c>
      <c r="DJ64" s="3329" t="str">
        <f t="shared" si="1782"/>
        <v>2027</v>
      </c>
      <c r="DK64" s="3329" t="str">
        <f t="shared" si="1782"/>
        <v>2027</v>
      </c>
      <c r="DL64" s="3329" t="str">
        <f t="shared" si="1782"/>
        <v>2027</v>
      </c>
      <c r="DM64" s="3329" t="str">
        <f t="shared" si="1782"/>
        <v>2027</v>
      </c>
      <c r="DN64" s="3329" t="str">
        <f t="shared" si="1782"/>
        <v>2027</v>
      </c>
      <c r="DO64" s="3329" t="str">
        <f t="shared" si="1782"/>
        <v>2027</v>
      </c>
      <c r="DP64" s="3329" t="str">
        <f t="shared" si="1782"/>
        <v>2027</v>
      </c>
      <c r="DQ64" s="3329" t="str">
        <f t="shared" si="1782"/>
        <v>2027</v>
      </c>
      <c r="DR64" s="3329" t="str">
        <f t="shared" si="1782"/>
        <v>2028</v>
      </c>
      <c r="DS64" s="3329" t="str">
        <f t="shared" ref="DS64:FY64" si="1783">RIGHT(DS1,4)</f>
        <v>2028</v>
      </c>
      <c r="DT64" s="3329" t="str">
        <f t="shared" si="1783"/>
        <v>2028</v>
      </c>
      <c r="DU64" s="3329" t="str">
        <f t="shared" si="1783"/>
        <v>2028</v>
      </c>
      <c r="DV64" s="3329" t="str">
        <f t="shared" si="1783"/>
        <v>2028</v>
      </c>
      <c r="DW64" s="3329" t="str">
        <f t="shared" si="1783"/>
        <v>2028</v>
      </c>
      <c r="DX64" s="3329" t="str">
        <f t="shared" si="1783"/>
        <v>2028</v>
      </c>
      <c r="DY64" s="3329" t="str">
        <f t="shared" si="1783"/>
        <v>2028</v>
      </c>
      <c r="DZ64" s="3329" t="str">
        <f t="shared" si="1783"/>
        <v>2028</v>
      </c>
      <c r="EA64" s="3329" t="str">
        <f t="shared" si="1783"/>
        <v>2028</v>
      </c>
      <c r="EB64" s="3329" t="str">
        <f t="shared" si="1783"/>
        <v>2028</v>
      </c>
      <c r="EC64" s="3329" t="str">
        <f t="shared" si="1783"/>
        <v>2028</v>
      </c>
      <c r="ED64" s="3329" t="str">
        <f t="shared" si="1783"/>
        <v>2029</v>
      </c>
      <c r="EE64" s="3329" t="str">
        <f t="shared" si="1783"/>
        <v>2029</v>
      </c>
      <c r="EF64" s="3329" t="str">
        <f t="shared" si="1783"/>
        <v>2029</v>
      </c>
      <c r="EG64" s="3329" t="str">
        <f t="shared" si="1783"/>
        <v>2029</v>
      </c>
      <c r="EH64" s="3329" t="str">
        <f t="shared" si="1783"/>
        <v>2029</v>
      </c>
      <c r="EI64" s="3329" t="str">
        <f t="shared" si="1783"/>
        <v>2029</v>
      </c>
      <c r="EJ64" s="3329" t="str">
        <f t="shared" si="1783"/>
        <v>2029</v>
      </c>
      <c r="EK64" s="3329" t="str">
        <f t="shared" si="1783"/>
        <v>2029</v>
      </c>
      <c r="EL64" s="3329" t="str">
        <f t="shared" si="1783"/>
        <v>2029</v>
      </c>
      <c r="EM64" s="3329" t="str">
        <f t="shared" si="1783"/>
        <v>2029</v>
      </c>
      <c r="EN64" s="3329" t="str">
        <f t="shared" si="1783"/>
        <v>2029</v>
      </c>
      <c r="EO64" s="3329" t="str">
        <f t="shared" si="1783"/>
        <v>2029</v>
      </c>
      <c r="EP64" s="3329" t="str">
        <f t="shared" si="1783"/>
        <v>2030</v>
      </c>
      <c r="EQ64" s="3329" t="str">
        <f t="shared" si="1783"/>
        <v>2030</v>
      </c>
      <c r="ER64" s="3329" t="str">
        <f t="shared" si="1783"/>
        <v>2030</v>
      </c>
      <c r="ES64" s="3329" t="str">
        <f t="shared" si="1783"/>
        <v>2030</v>
      </c>
      <c r="ET64" s="3329" t="str">
        <f t="shared" si="1783"/>
        <v>2030</v>
      </c>
      <c r="EU64" s="3329" t="str">
        <f t="shared" si="1783"/>
        <v>2030</v>
      </c>
      <c r="EV64" s="3329" t="str">
        <f t="shared" si="1783"/>
        <v>2030</v>
      </c>
      <c r="EW64" s="3329" t="str">
        <f t="shared" si="1783"/>
        <v>2030</v>
      </c>
      <c r="EX64" s="3329" t="str">
        <f t="shared" si="1783"/>
        <v>2030</v>
      </c>
      <c r="EY64" s="3329" t="str">
        <f t="shared" si="1783"/>
        <v>2030</v>
      </c>
      <c r="EZ64" s="3329" t="str">
        <f t="shared" si="1783"/>
        <v>2030</v>
      </c>
      <c r="FA64" s="3329" t="str">
        <f t="shared" si="1783"/>
        <v>2030</v>
      </c>
      <c r="FB64" s="3329" t="str">
        <f t="shared" si="1783"/>
        <v>2031</v>
      </c>
      <c r="FC64" s="3329" t="str">
        <f t="shared" si="1783"/>
        <v>2031</v>
      </c>
      <c r="FD64" s="3329" t="str">
        <f t="shared" si="1783"/>
        <v>2031</v>
      </c>
      <c r="FE64" s="3329" t="str">
        <f t="shared" si="1783"/>
        <v>2031</v>
      </c>
      <c r="FF64" s="3329" t="str">
        <f t="shared" si="1783"/>
        <v>2031</v>
      </c>
      <c r="FG64" s="3329" t="str">
        <f t="shared" si="1783"/>
        <v>2031</v>
      </c>
      <c r="FH64" s="3329" t="str">
        <f t="shared" si="1783"/>
        <v>2031</v>
      </c>
      <c r="FI64" s="3329" t="str">
        <f t="shared" si="1783"/>
        <v>2031</v>
      </c>
      <c r="FJ64" s="3329" t="str">
        <f t="shared" si="1783"/>
        <v>2031</v>
      </c>
      <c r="FK64" s="3329" t="str">
        <f t="shared" si="1783"/>
        <v>2031</v>
      </c>
      <c r="FL64" s="3329" t="str">
        <f t="shared" si="1783"/>
        <v>2031</v>
      </c>
      <c r="FM64" s="3329" t="str">
        <f t="shared" si="1783"/>
        <v>2031</v>
      </c>
      <c r="FN64" s="3329" t="str">
        <f t="shared" si="1783"/>
        <v>2032</v>
      </c>
      <c r="FO64" s="3329" t="str">
        <f t="shared" si="1783"/>
        <v>2032</v>
      </c>
      <c r="FP64" s="3329" t="str">
        <f t="shared" si="1783"/>
        <v>2032</v>
      </c>
      <c r="FQ64" s="3329" t="str">
        <f t="shared" si="1783"/>
        <v>2032</v>
      </c>
      <c r="FR64" s="3329" t="str">
        <f t="shared" si="1783"/>
        <v>2032</v>
      </c>
      <c r="FS64" s="3329" t="str">
        <f t="shared" si="1783"/>
        <v>2032</v>
      </c>
      <c r="FT64" s="3329" t="str">
        <f t="shared" si="1783"/>
        <v>2032</v>
      </c>
      <c r="FU64" s="3329" t="str">
        <f t="shared" si="1783"/>
        <v>2032</v>
      </c>
      <c r="FV64" s="3329" t="str">
        <f t="shared" si="1783"/>
        <v>2032</v>
      </c>
      <c r="FW64" s="3329" t="str">
        <f t="shared" si="1783"/>
        <v>2032</v>
      </c>
      <c r="FX64" s="3329" t="str">
        <f t="shared" si="1783"/>
        <v>2032</v>
      </c>
      <c r="FY64" s="3329" t="str">
        <f t="shared" si="1783"/>
        <v>2032</v>
      </c>
    </row>
    <row r="65" spans="1:181" s="2555" customFormat="1">
      <c r="A65" s="3331"/>
      <c r="B65" s="3331"/>
      <c r="C65" s="3331"/>
      <c r="D65" s="3331"/>
      <c r="E65" s="3331"/>
      <c r="F65" s="3331"/>
      <c r="G65" s="3331"/>
      <c r="H65" s="3331"/>
      <c r="I65" s="3331"/>
      <c r="J65" s="3331"/>
      <c r="K65" s="3331"/>
      <c r="L65" s="3331"/>
      <c r="M65" s="3331"/>
      <c r="N65" s="3331"/>
      <c r="O65" s="3331"/>
      <c r="P65" s="3331"/>
      <c r="Q65" s="3331"/>
      <c r="R65" s="3331"/>
      <c r="S65" s="3331"/>
      <c r="T65" s="3331"/>
      <c r="U65" s="3331"/>
      <c r="V65" s="3331"/>
      <c r="W65" s="3331"/>
      <c r="X65" s="3331"/>
      <c r="Y65" s="3331"/>
      <c r="Z65" s="3331"/>
      <c r="AA65" s="3331"/>
      <c r="AB65" s="3331"/>
      <c r="AC65" s="3331"/>
      <c r="AD65" s="3331"/>
      <c r="AE65" s="3331"/>
      <c r="AF65" s="3331"/>
      <c r="AG65" s="3331"/>
      <c r="AH65" s="3331"/>
      <c r="AI65" s="3331"/>
      <c r="AJ65" s="3331"/>
      <c r="AK65" s="3331"/>
      <c r="AL65" s="3331"/>
      <c r="AM65" s="3331"/>
      <c r="AN65" s="3331"/>
      <c r="AO65" s="3331"/>
      <c r="AP65" s="3331"/>
      <c r="AQ65" s="3331"/>
      <c r="AR65" s="3331"/>
      <c r="AS65" s="3331"/>
      <c r="AT65" s="3331"/>
      <c r="AU65" s="3331"/>
      <c r="AV65" s="3331"/>
      <c r="AW65" s="3331"/>
      <c r="AX65" s="3331"/>
      <c r="AY65" s="3331"/>
      <c r="AZ65" s="3331"/>
      <c r="BA65" s="3331"/>
      <c r="BB65" s="3331"/>
      <c r="BC65" s="3331"/>
      <c r="BD65" s="3331"/>
      <c r="BE65" s="3331"/>
      <c r="BF65" s="3331"/>
      <c r="BG65" s="3331"/>
      <c r="BH65" s="3331"/>
      <c r="BI65" s="3331"/>
      <c r="BJ65" s="3332">
        <f t="shared" ref="BJ65:BO65" ca="1" si="1784">BJ5-BJ32-BJ38</f>
        <v>171.09000000000015</v>
      </c>
      <c r="BK65" s="3332">
        <f t="shared" ca="1" si="1784"/>
        <v>171.09000000000015</v>
      </c>
      <c r="BL65" s="3332">
        <f t="shared" ca="1" si="1784"/>
        <v>332.56999999999971</v>
      </c>
      <c r="BM65" s="3332">
        <f t="shared" ca="1" si="1784"/>
        <v>187.17889999999989</v>
      </c>
      <c r="BN65" s="3332">
        <f t="shared" ca="1" si="1784"/>
        <v>222.38309999999819</v>
      </c>
      <c r="BO65" s="3332">
        <f t="shared" ca="1" si="1784"/>
        <v>216.79800000000159</v>
      </c>
      <c r="BP65" s="3332">
        <f ca="1">9800-BP32-BP38</f>
        <v>241.1399999999976</v>
      </c>
      <c r="BQ65" s="3332"/>
      <c r="BR65" s="3332"/>
      <c r="BS65" s="3332"/>
      <c r="BT65" s="3331"/>
      <c r="BU65" s="3331"/>
      <c r="BV65" s="3331"/>
      <c r="BW65" s="3331"/>
      <c r="BX65" s="3331"/>
      <c r="BY65" s="3331"/>
      <c r="BZ65" s="3331"/>
      <c r="CA65" s="3331"/>
      <c r="CB65" s="3331"/>
      <c r="CC65" s="3331"/>
      <c r="CD65" s="3331"/>
      <c r="CE65" s="3331"/>
      <c r="CF65" s="3331"/>
      <c r="CG65" s="3331"/>
      <c r="CH65" s="3331"/>
      <c r="CI65" s="3331"/>
      <c r="CJ65" s="3331"/>
      <c r="CK65" s="3331"/>
      <c r="CL65" s="3331"/>
      <c r="CM65" s="3331"/>
      <c r="CN65" s="3331"/>
      <c r="CO65" s="3331"/>
      <c r="CP65" s="3331"/>
      <c r="CQ65" s="3331"/>
      <c r="CR65" s="3331"/>
      <c r="CS65" s="3331"/>
      <c r="CT65" s="3331"/>
      <c r="CU65" s="3331"/>
      <c r="CV65" s="3331"/>
      <c r="CW65" s="3331"/>
      <c r="CX65" s="3331"/>
      <c r="CY65" s="3331"/>
      <c r="CZ65" s="3331"/>
      <c r="DA65" s="3331"/>
      <c r="DB65" s="3331"/>
      <c r="DC65" s="3331"/>
      <c r="DD65" s="3331"/>
      <c r="DE65" s="3331"/>
      <c r="DF65" s="3331"/>
      <c r="DG65" s="3331"/>
      <c r="DH65" s="3331"/>
      <c r="DI65" s="3331"/>
      <c r="DJ65" s="3331"/>
      <c r="DK65" s="3331"/>
      <c r="DL65" s="3331"/>
      <c r="DM65" s="3331"/>
      <c r="DN65" s="3331"/>
      <c r="DO65" s="3331"/>
      <c r="DP65" s="3331"/>
      <c r="DQ65" s="3331"/>
      <c r="DR65" s="3331"/>
      <c r="DS65" s="3331"/>
      <c r="DT65" s="3331"/>
      <c r="DU65" s="3331"/>
      <c r="DV65" s="3331"/>
      <c r="DW65" s="3331"/>
      <c r="DX65" s="3331"/>
      <c r="DY65" s="3331"/>
      <c r="DZ65" s="3331"/>
      <c r="EA65" s="3331"/>
      <c r="EB65" s="3331"/>
      <c r="EC65" s="3331"/>
      <c r="ED65" s="3331"/>
      <c r="EE65" s="3331"/>
      <c r="EF65" s="3331"/>
      <c r="EG65" s="3331"/>
      <c r="EH65" s="3331"/>
      <c r="EI65" s="3331"/>
      <c r="EJ65" s="3331"/>
      <c r="EK65" s="3331"/>
      <c r="EL65" s="3331"/>
      <c r="EM65" s="3331"/>
      <c r="EN65" s="3331"/>
      <c r="EO65" s="3331"/>
      <c r="EP65" s="3331"/>
      <c r="EQ65" s="3331"/>
      <c r="ER65" s="3331"/>
      <c r="ES65" s="3331"/>
      <c r="ET65" s="3331"/>
      <c r="EU65" s="3331"/>
      <c r="EV65" s="3331"/>
      <c r="EW65" s="3331"/>
      <c r="EX65" s="3331"/>
      <c r="EY65" s="3331"/>
      <c r="EZ65" s="3331"/>
      <c r="FA65" s="3331"/>
      <c r="FB65" s="3331"/>
      <c r="FC65" s="3331"/>
      <c r="FD65" s="3331"/>
      <c r="FE65" s="3331"/>
      <c r="FF65" s="3331"/>
      <c r="FG65" s="3331"/>
      <c r="FH65" s="3331"/>
      <c r="FI65" s="3331"/>
      <c r="FJ65" s="3331"/>
      <c r="FK65" s="3331"/>
      <c r="FL65" s="3331"/>
      <c r="FM65" s="3331"/>
      <c r="FN65" s="3331"/>
      <c r="FO65" s="3331"/>
      <c r="FP65" s="3331"/>
      <c r="FQ65" s="3331"/>
      <c r="FR65" s="3331"/>
      <c r="FS65" s="3331"/>
      <c r="FT65" s="3331"/>
      <c r="FU65" s="3331"/>
      <c r="FV65" s="3331"/>
      <c r="FW65" s="3331"/>
      <c r="FX65" s="3331"/>
      <c r="FY65" s="3331"/>
    </row>
    <row r="66" spans="1:181" s="3334" customFormat="1">
      <c r="BD66" s="3335">
        <f>3.2%*BD5</f>
        <v>354.11200000000002</v>
      </c>
      <c r="BE66" s="3335">
        <f>3.7%*BE5</f>
        <v>381.02729500000004</v>
      </c>
      <c r="BF66" s="3335">
        <f ca="1">3.2%*BF5</f>
        <v>326.34367999999995</v>
      </c>
      <c r="BG66" s="3335">
        <f ca="1">3.5%*BG5</f>
        <v>388.74885000000006</v>
      </c>
      <c r="BJ66" s="3336"/>
      <c r="BO66" s="3334">
        <f>1.2*64</f>
        <v>76.8</v>
      </c>
      <c r="BW66" s="3337"/>
      <c r="BX66" s="3337" t="s">
        <v>55</v>
      </c>
      <c r="BY66" s="3337" t="s">
        <v>56</v>
      </c>
      <c r="BZ66" s="3337"/>
      <c r="CA66" s="3337"/>
      <c r="CB66" s="3337" t="s">
        <v>57</v>
      </c>
      <c r="CC66" s="3337"/>
      <c r="CE66" s="3337" t="s">
        <v>58</v>
      </c>
      <c r="CG66" s="3338">
        <f ca="1">0.6*CF47</f>
        <v>1.2384273968437014</v>
      </c>
      <c r="CH66" s="3338"/>
      <c r="CI66" s="3338"/>
      <c r="CJ66" s="3338">
        <f>CJ35/BX35-1</f>
        <v>-6.4823348694316385E-2</v>
      </c>
      <c r="CK66" s="3338"/>
      <c r="CL66" s="3338"/>
      <c r="CM66" s="3338"/>
      <c r="CN66" s="3338"/>
      <c r="CO66" s="3338"/>
      <c r="CP66" s="3338"/>
      <c r="CQ66" s="3338"/>
    </row>
    <row r="67" spans="1:181" s="3334" customFormat="1">
      <c r="BD67" s="3335">
        <f>BD66-BD62</f>
        <v>49.112000000000023</v>
      </c>
      <c r="BE67" s="3335">
        <f>BE66-BE62</f>
        <v>86.027295000000038</v>
      </c>
      <c r="BF67" s="3335">
        <f ca="1">BF66-BF62</f>
        <v>19.343679999999949</v>
      </c>
      <c r="BG67" s="3335">
        <f ca="1">BG66-BG62</f>
        <v>32.748850000000061</v>
      </c>
      <c r="BJ67" s="3334">
        <v>19010</v>
      </c>
      <c r="BM67" s="3334">
        <f ca="1">BM5/BL5-1</f>
        <v>0.23521303258145365</v>
      </c>
      <c r="BN67" s="3334">
        <f ca="1">BM5/BL5-1</f>
        <v>0.23521303258145365</v>
      </c>
      <c r="BW67" s="3337" t="s">
        <v>59</v>
      </c>
      <c r="BX67" s="3339">
        <f>$BZ$43*0.2</f>
        <v>0.40575698291102003</v>
      </c>
      <c r="BY67" s="3337">
        <v>1</v>
      </c>
      <c r="BZ67" s="3337" t="s">
        <v>60</v>
      </c>
      <c r="CA67" s="3337"/>
      <c r="CB67" s="3337">
        <v>1</v>
      </c>
      <c r="CC67" s="3334" t="s">
        <v>60</v>
      </c>
      <c r="CE67" s="3334">
        <v>1</v>
      </c>
      <c r="CM67" s="3334">
        <v>0.28395061728395055</v>
      </c>
    </row>
    <row r="68" spans="1:181" s="3334" customFormat="1">
      <c r="BB68" s="3334">
        <f>395+52+29</f>
        <v>476</v>
      </c>
      <c r="BC68" s="3334" t="s">
        <v>61</v>
      </c>
      <c r="BD68" s="3340">
        <f>-BD67/0.2</f>
        <v>-245.56000000000012</v>
      </c>
      <c r="BE68" s="3340">
        <f>-BE67/0.2</f>
        <v>-430.13647500000019</v>
      </c>
      <c r="BF68" s="3340">
        <f ca="1">-BF67/0.2</f>
        <v>-96.718399999999747</v>
      </c>
      <c r="BG68" s="3340">
        <f ca="1">-BG67/0.2</f>
        <v>-163.74425000000031</v>
      </c>
      <c r="BI68" s="3341">
        <v>0.255</v>
      </c>
      <c r="BJ68" s="3342">
        <f>BI68*$BJ$67</f>
        <v>4847.55</v>
      </c>
      <c r="BK68" s="3343">
        <f>BJ68/AX7-1</f>
        <v>-0.27385458576883515</v>
      </c>
      <c r="BM68" s="3334">
        <f ca="1">BM32/BL32-1</f>
        <v>0.36184924559870879</v>
      </c>
      <c r="BP68" s="3334">
        <f>26900*2.5%</f>
        <v>672.5</v>
      </c>
      <c r="BR68" s="3334">
        <f ca="1">BQ38*(1-3%)</f>
        <v>2842.1484999999993</v>
      </c>
      <c r="BS68" s="3334">
        <f>8+75</f>
        <v>83</v>
      </c>
      <c r="BW68" s="3337"/>
      <c r="BX68" s="3339">
        <f>$BZ$43*0.5</f>
        <v>1.01439245727755</v>
      </c>
      <c r="BY68" s="3337">
        <v>4</v>
      </c>
      <c r="BZ68" s="3337" t="s">
        <v>62</v>
      </c>
      <c r="CA68" s="3337"/>
      <c r="CB68" s="3337">
        <v>3</v>
      </c>
      <c r="CC68" s="3334" t="s">
        <v>62</v>
      </c>
      <c r="CE68" s="3334">
        <v>2</v>
      </c>
      <c r="CG68" s="3344"/>
      <c r="CH68" s="3344">
        <f>1739-BU41</f>
        <v>41</v>
      </c>
      <c r="CI68" s="3344"/>
      <c r="CJ68" s="3344"/>
      <c r="CK68" s="3344"/>
      <c r="CL68" s="3344"/>
      <c r="CM68" s="3344"/>
      <c r="CN68" s="3344"/>
      <c r="CO68" s="3344">
        <f>CO41/CC41-1</f>
        <v>0.29750145264381178</v>
      </c>
      <c r="CP68" s="3344"/>
      <c r="CQ68" s="3344"/>
      <c r="CR68" s="3343"/>
      <c r="CS68" s="3343"/>
      <c r="CV68" s="3334">
        <f>1+3+4+3</f>
        <v>11</v>
      </c>
    </row>
    <row r="69" spans="1:181" s="3334" customFormat="1">
      <c r="BG69" s="3338"/>
      <c r="BI69" s="3344">
        <v>0.51</v>
      </c>
      <c r="BJ69" s="3342">
        <f>BI69*$BJ$67</f>
        <v>9695.1</v>
      </c>
      <c r="BK69" s="3343">
        <f>BJ69/AX20-1</f>
        <v>-0.32070376186102412</v>
      </c>
      <c r="BN69" s="3334">
        <f ca="1">BM32/BL32-1</f>
        <v>0.36184924559870879</v>
      </c>
      <c r="BW69" s="3337" t="s">
        <v>63</v>
      </c>
      <c r="BX69" s="3339">
        <f>$BZ$43*0.7</f>
        <v>1.4201494401885699</v>
      </c>
      <c r="BY69" s="3337">
        <v>4</v>
      </c>
      <c r="BZ69" s="3337" t="s">
        <v>64</v>
      </c>
      <c r="CA69" s="3337"/>
      <c r="CB69" s="3337">
        <v>3</v>
      </c>
      <c r="CC69" s="3334" t="s">
        <v>64</v>
      </c>
      <c r="CE69" s="3334">
        <v>2</v>
      </c>
      <c r="CF69" s="3338">
        <f ca="1">AVERAGE(CH43:CI43)</f>
        <v>1.9351454378132793</v>
      </c>
      <c r="CG69" s="3345">
        <f>BW41/CI41</f>
        <v>0.91094420600858372</v>
      </c>
      <c r="CH69" s="3345">
        <f>CG69*2</f>
        <v>1.8218884120171674</v>
      </c>
      <c r="CI69" s="3345"/>
      <c r="CJ69" s="3345"/>
      <c r="CK69" s="3345">
        <v>-3.125E-2</v>
      </c>
      <c r="CL69" s="3345"/>
      <c r="CM69" s="3345">
        <v>9.9182076490654358E-2</v>
      </c>
      <c r="CN69" s="3345"/>
      <c r="CO69" s="3346">
        <f>CO41-CC41</f>
        <v>512</v>
      </c>
      <c r="CP69" s="3346"/>
      <c r="CQ69" s="3346"/>
    </row>
    <row r="70" spans="1:181" s="3334" customFormat="1">
      <c r="BA70" s="3338">
        <f>(AP63*BA5-BA62)/0.2</f>
        <v>497.39609876109313</v>
      </c>
      <c r="BB70" s="3338">
        <f>(AQ63*BB5-BB62)/0.2</f>
        <v>176.72984892558873</v>
      </c>
      <c r="BC70" s="3338"/>
      <c r="BD70" s="3338">
        <f>(2.9%*BD5-BD62)/0.2</f>
        <v>79.569999999999936</v>
      </c>
      <c r="BE70" s="3338">
        <f>(2.9%*BE5-BE62)/0.2</f>
        <v>18.215074999999956</v>
      </c>
      <c r="BG70" s="3334">
        <f>100*0.2</f>
        <v>20</v>
      </c>
      <c r="BI70" s="3341">
        <v>0.217</v>
      </c>
      <c r="BJ70" s="3342">
        <f>BI70*$BJ$67</f>
        <v>4125.17</v>
      </c>
      <c r="BK70" s="3343">
        <f>BJ70/AX38-1</f>
        <v>5.7735897435897465E-2</v>
      </c>
      <c r="BL70" s="3334">
        <f>BJ41/AVERAGE(AW41:AX41)-1</f>
        <v>-0.18211920529801329</v>
      </c>
      <c r="BR70" s="3334">
        <f ca="1">BR68/AVERAGE(BP41:BQ41)</f>
        <v>1.6659721570926138</v>
      </c>
      <c r="BW70" s="3337" t="s">
        <v>65</v>
      </c>
      <c r="BX70" s="3339">
        <f>$BZ$43*0.9</f>
        <v>1.8259064230995901</v>
      </c>
      <c r="BY70" s="3337">
        <v>3</v>
      </c>
      <c r="BZ70" s="3337" t="s">
        <v>65</v>
      </c>
      <c r="CA70" s="3337"/>
      <c r="CB70" s="3337">
        <v>2</v>
      </c>
      <c r="CC70" s="3334" t="s">
        <v>65</v>
      </c>
      <c r="CE70" s="3334">
        <v>1</v>
      </c>
      <c r="CG70" s="3344">
        <f>1-CG69</f>
        <v>8.9055793991416277E-2</v>
      </c>
      <c r="CH70" s="3344">
        <f ca="1">CF69-CH69</f>
        <v>0.11325702579611185</v>
      </c>
      <c r="CI70" s="3344"/>
      <c r="CJ70" s="3344"/>
      <c r="CK70" s="3344"/>
      <c r="CL70" s="3344"/>
      <c r="CM70" s="3344">
        <v>9.4342715895107343E-2</v>
      </c>
      <c r="CN70" s="3344"/>
      <c r="CO70" s="3344"/>
      <c r="CP70" s="3344"/>
      <c r="CQ70" s="3344"/>
    </row>
    <row r="71" spans="1:181" s="3334" customFormat="1">
      <c r="AX71" s="3334" t="s">
        <v>66</v>
      </c>
      <c r="BC71" s="3340">
        <f>BB11+BB17+BA17+AZ17+BB24</f>
        <v>107</v>
      </c>
      <c r="BE71" s="3340">
        <f>BE11+BD11+BE17+BE24+BD24+BF11+BF24+BF17</f>
        <v>164</v>
      </c>
      <c r="BG71" s="3334">
        <f ca="1">(BG70+BG62)/BG5</f>
        <v>3.3852190173681539E-2</v>
      </c>
      <c r="BI71" s="3341">
        <f>1-SUM(BI68:BI70)</f>
        <v>1.8000000000000016E-2</v>
      </c>
      <c r="BJ71" s="3342">
        <f>BI71*$BJ$67</f>
        <v>342.18000000000029</v>
      </c>
      <c r="BK71" s="3343">
        <f>BJ71/AX55-1</f>
        <v>0.66917073170731856</v>
      </c>
      <c r="BN71" s="3334">
        <f ca="1">BN12/BM12-1</f>
        <v>1.8389853333357076E-2</v>
      </c>
      <c r="BW71" s="3337" t="s">
        <v>67</v>
      </c>
      <c r="BX71" s="3337"/>
      <c r="BY71" s="3337">
        <v>12</v>
      </c>
      <c r="BZ71" s="3337" t="s">
        <v>67</v>
      </c>
      <c r="CA71" s="3337"/>
      <c r="CB71" s="3337">
        <f>SUM(CB67:CB70)</f>
        <v>9</v>
      </c>
      <c r="CC71" s="3334" t="s">
        <v>67</v>
      </c>
      <c r="CE71" s="3334">
        <f>SUM(CE67:CE70)</f>
        <v>6</v>
      </c>
      <c r="CH71" s="3334">
        <f ca="1">CH70/CG70</f>
        <v>1.2717535908671842</v>
      </c>
      <c r="CM71" s="3334">
        <v>0.12020341437999083</v>
      </c>
    </row>
    <row r="72" spans="1:181" s="3334" customFormat="1">
      <c r="AT72" s="3334">
        <f>6800/800</f>
        <v>8.5</v>
      </c>
      <c r="BF72" s="3334">
        <f>BF41/AT41-1</f>
        <v>-0.10651499482936921</v>
      </c>
      <c r="BI72" s="3334" t="s">
        <v>68</v>
      </c>
      <c r="BJ72" s="3334">
        <f>1189</f>
        <v>1189</v>
      </c>
      <c r="BK72" s="3343">
        <f>BJ72/AX10-1</f>
        <v>0.21823770491803285</v>
      </c>
      <c r="BX72" s="3338"/>
    </row>
    <row r="73" spans="1:181" s="3334" customFormat="1">
      <c r="BG73" s="3338">
        <f ca="1">3.4%*BG5</f>
        <v>377.64174000000003</v>
      </c>
      <c r="BJ73" s="3334">
        <v>2287</v>
      </c>
      <c r="BK73" s="3343">
        <f>BJ73/AX23-1</f>
        <v>0.12217860647693812</v>
      </c>
      <c r="BN73" s="3335">
        <f t="shared" ref="BN73:BU73" si="1785">BM43+0.05</f>
        <v>1.4027232884727914</v>
      </c>
      <c r="BO73" s="3335">
        <f t="shared" ca="1" si="1785"/>
        <v>1.4829073270808908</v>
      </c>
      <c r="BP73" s="3335">
        <f t="shared" ca="1" si="1785"/>
        <v>1.5537865102639288</v>
      </c>
      <c r="BQ73" s="3335">
        <f t="shared" ca="1" si="1785"/>
        <v>1.6910199296600246</v>
      </c>
      <c r="BR73" s="3335">
        <f t="shared" ca="1" si="1785"/>
        <v>1.7674970691676433</v>
      </c>
      <c r="BS73" s="3335">
        <f t="shared" ca="1" si="1785"/>
        <v>1.751603751465417</v>
      </c>
      <c r="BT73" s="3335">
        <f t="shared" ca="1" si="1785"/>
        <v>1.8503563892145367</v>
      </c>
      <c r="BU73" s="3335">
        <f t="shared" ca="1" si="1785"/>
        <v>1.8119676755803711</v>
      </c>
      <c r="CA73" s="3334">
        <f>CA35/BO35-1</f>
        <v>-9.5993081579705986E-2</v>
      </c>
      <c r="CM73" s="3334">
        <v>483</v>
      </c>
    </row>
    <row r="74" spans="1:181" s="3334" customFormat="1">
      <c r="AY74" s="3334">
        <f>1500/500/12</f>
        <v>0.25</v>
      </c>
      <c r="BJ74" s="3334">
        <v>1729</v>
      </c>
      <c r="BK74" s="3343">
        <f>BJ74/AX41-1</f>
        <v>-0.18520263901979261</v>
      </c>
      <c r="BS74" s="3334">
        <f ca="1">BS38*0.97/BS41</f>
        <v>1.7463456975381004</v>
      </c>
      <c r="CA74" s="3340">
        <f>CA35-BO35</f>
        <v>-333</v>
      </c>
    </row>
    <row r="75" spans="1:181" s="3334" customFormat="1">
      <c r="BE75" s="3338">
        <f>SUM(AX27:BF27)/SUM(AX20:BF20)</f>
        <v>0.15412716982641389</v>
      </c>
      <c r="BI75" s="3334" t="s">
        <v>6</v>
      </c>
      <c r="BJ75" s="3338">
        <f>BJ68/AVERAGE(BJ72,BI10)/2</f>
        <v>2.1270513383062748</v>
      </c>
      <c r="BK75" s="3343">
        <f>BJ75/AX12-1</f>
        <v>-0.3799565703844463</v>
      </c>
      <c r="BO75" s="3334">
        <f>184.742/0.2</f>
        <v>923.70999999999992</v>
      </c>
      <c r="BS75" s="3335"/>
      <c r="BX75" s="3340">
        <f>BX23+1071</f>
        <v>3255</v>
      </c>
      <c r="CA75" s="3334">
        <f>CA35/BU35-1</f>
        <v>-4.0391676866585069E-2</v>
      </c>
      <c r="CD75" s="3334">
        <f>CD35/BV35-1</f>
        <v>-6.5217391304347783E-2</v>
      </c>
      <c r="CE75" s="3334">
        <f>CE41/BS41-1</f>
        <v>1.6998827667057403E-2</v>
      </c>
    </row>
    <row r="76" spans="1:181" s="3334" customFormat="1">
      <c r="BB76" s="3334">
        <f>650*23</f>
        <v>14950</v>
      </c>
      <c r="BG76" s="3347">
        <f>32.4-30.3</f>
        <v>2.0999999999999979</v>
      </c>
      <c r="BJ76" s="3338">
        <f>BJ69/BJ73/2</f>
        <v>2.1196108439003063</v>
      </c>
      <c r="BK76" s="3343">
        <f>BJ76/AX25-1</f>
        <v>-0.40149456937033823</v>
      </c>
      <c r="BO76" s="3334">
        <f>BO75-150.61-96.451-353.723</f>
        <v>322.92599999999987</v>
      </c>
      <c r="BX76" s="3340">
        <f>BL10+BL16+BL23</f>
        <v>3479</v>
      </c>
    </row>
    <row r="77" spans="1:181" s="3334" customFormat="1">
      <c r="BG77" s="3348">
        <f>BG76/AVERAGE(1163,1169)</f>
        <v>1.8010291595197238E-3</v>
      </c>
      <c r="BJ77" s="3338">
        <f>BJ70/BJ74/2</f>
        <v>1.1929352226720649</v>
      </c>
      <c r="BK77" s="3343">
        <f>BJ77/AX43-1</f>
        <v>0.29326413370704874</v>
      </c>
      <c r="BU77" s="3334">
        <f>BU35/BJ35-1</f>
        <v>-5.9838895281933202E-2</v>
      </c>
      <c r="BX77" s="3334">
        <f>BX76/BX75-1</f>
        <v>6.8817204301075297E-2</v>
      </c>
    </row>
    <row r="78" spans="1:181" s="3334" customFormat="1">
      <c r="BG78" s="3334">
        <f>30.3-27</f>
        <v>3.3000000000000007</v>
      </c>
      <c r="BX78" s="3340">
        <f>BX76-BX75</f>
        <v>224</v>
      </c>
      <c r="CE78" s="3334">
        <f>CE35/BS35-1</f>
        <v>-0.11253271299796452</v>
      </c>
      <c r="CL78" s="3334">
        <v>0.18807339449541285</v>
      </c>
    </row>
    <row r="79" spans="1:181" s="3334" customFormat="1">
      <c r="BG79" s="3340"/>
      <c r="BI79" s="3340">
        <f ca="1">BJ68-SUM(BJ14:BK14)</f>
        <v>4215.1804838080807</v>
      </c>
      <c r="BJ79" s="3338">
        <f ca="1">BI79/BJ72/2</f>
        <v>1.7725737947048279</v>
      </c>
      <c r="BK79" s="3343">
        <f ca="1">BJ79/AX12-1</f>
        <v>-0.48328810164469005</v>
      </c>
      <c r="CA79" s="3340">
        <f>CA35-BX35</f>
        <v>-119</v>
      </c>
      <c r="CB79" s="3334">
        <f>91+2973</f>
        <v>3064</v>
      </c>
    </row>
    <row r="80" spans="1:181" s="3334" customFormat="1">
      <c r="CA80" s="3334">
        <f>177.6496885/119*72</f>
        <v>107.48552581512605</v>
      </c>
      <c r="CB80" s="3340">
        <f>CB79-CA35</f>
        <v>-72</v>
      </c>
    </row>
    <row r="81" spans="1:140" s="3334" customFormat="1">
      <c r="CA81" s="3338">
        <f>CA80/CA79</f>
        <v>-0.90323971273215176</v>
      </c>
      <c r="CB81" s="3334">
        <f>CB80*CA81</f>
        <v>65.033259316714933</v>
      </c>
    </row>
    <row r="82" spans="1:140" s="3334" customFormat="1">
      <c r="CD82" s="3334">
        <f>CD41/BR41-1</f>
        <v>1.1723329425556761E-2</v>
      </c>
    </row>
    <row r="83" spans="1:140" s="3334" customFormat="1">
      <c r="CB83" s="3340">
        <f t="shared" ref="CB83:CC83" si="1786">CB41-BP41</f>
        <v>-2</v>
      </c>
      <c r="CC83" s="3340">
        <f t="shared" si="1786"/>
        <v>15</v>
      </c>
      <c r="CD83" s="3340">
        <f>CD41-BR41</f>
        <v>20</v>
      </c>
    </row>
    <row r="84" spans="1:140" s="3334" customFormat="1"/>
    <row r="85" spans="1:140" s="3334" customFormat="1"/>
    <row r="86" spans="1:140" s="3334" customFormat="1"/>
    <row r="87" spans="1:140" s="3334" customFormat="1">
      <c r="B87" s="3340">
        <v>2055</v>
      </c>
      <c r="C87" s="3340">
        <v>2068</v>
      </c>
      <c r="D87" s="3340">
        <v>2137</v>
      </c>
      <c r="E87" s="3340">
        <v>2151</v>
      </c>
      <c r="F87" s="3340">
        <v>2153</v>
      </c>
      <c r="G87" s="3340">
        <v>2166</v>
      </c>
      <c r="H87" s="3340">
        <v>2165</v>
      </c>
      <c r="I87" s="3340">
        <v>2176</v>
      </c>
      <c r="J87" s="3340">
        <v>2184</v>
      </c>
      <c r="K87" s="3340">
        <v>2190</v>
      </c>
      <c r="L87" s="3340">
        <v>2187</v>
      </c>
      <c r="M87" s="3340">
        <v>2187</v>
      </c>
      <c r="N87" s="3340">
        <v>2214</v>
      </c>
      <c r="O87" s="3340">
        <v>2216</v>
      </c>
      <c r="P87" s="3340">
        <v>2266</v>
      </c>
      <c r="Q87" s="3340">
        <v>2324</v>
      </c>
      <c r="R87" s="3340">
        <v>2371</v>
      </c>
      <c r="S87" s="3340">
        <v>2449</v>
      </c>
      <c r="T87" s="3340">
        <v>2530</v>
      </c>
      <c r="U87" s="3340">
        <v>2611</v>
      </c>
      <c r="V87" s="3340">
        <v>2695</v>
      </c>
      <c r="W87" s="3340">
        <v>2803</v>
      </c>
      <c r="X87" s="3340">
        <v>2929</v>
      </c>
      <c r="Y87" s="3340">
        <v>3022</v>
      </c>
      <c r="Z87" s="3340">
        <v>3084</v>
      </c>
      <c r="AA87" s="3340">
        <v>3111</v>
      </c>
      <c r="AB87" s="3340">
        <v>3197</v>
      </c>
      <c r="AC87" s="3340">
        <v>3268</v>
      </c>
      <c r="AD87" s="3340">
        <v>3401</v>
      </c>
      <c r="AE87" s="3340">
        <v>3501</v>
      </c>
      <c r="AF87" s="3340">
        <v>3592</v>
      </c>
      <c r="AG87" s="3340">
        <v>3642</v>
      </c>
      <c r="AH87" s="3340">
        <v>3709</v>
      </c>
      <c r="AI87" s="3340">
        <v>3802</v>
      </c>
      <c r="AJ87" s="3340">
        <v>3894</v>
      </c>
      <c r="AK87" s="3340">
        <v>4059</v>
      </c>
      <c r="AL87" s="3340">
        <v>4157</v>
      </c>
      <c r="AM87" s="3340">
        <v>4195</v>
      </c>
      <c r="AN87" s="3340">
        <v>4229</v>
      </c>
      <c r="AO87" s="3340">
        <v>4354</v>
      </c>
      <c r="AP87" s="3340">
        <v>4477</v>
      </c>
      <c r="AQ87" s="3340">
        <v>4555</v>
      </c>
      <c r="AR87" s="3340">
        <v>4631</v>
      </c>
      <c r="AS87" s="3340">
        <v>4645</v>
      </c>
      <c r="AT87" s="3340">
        <v>4665</v>
      </c>
      <c r="AU87" s="3340">
        <v>4675</v>
      </c>
      <c r="AV87" s="3340">
        <v>4855</v>
      </c>
      <c r="AW87" s="3340">
        <v>5068</v>
      </c>
      <c r="AX87" s="3340">
        <v>5136</v>
      </c>
      <c r="AY87" s="3340">
        <v>5189</v>
      </c>
      <c r="AZ87" s="3340">
        <v>5202</v>
      </c>
      <c r="BA87" s="3340">
        <v>5202</v>
      </c>
      <c r="BB87" s="3340">
        <v>5037</v>
      </c>
      <c r="BC87" s="3340">
        <v>5037</v>
      </c>
      <c r="BD87" s="3340">
        <v>4940</v>
      </c>
      <c r="BE87" s="3340">
        <v>4980</v>
      </c>
      <c r="BF87" s="3340">
        <v>5019</v>
      </c>
      <c r="BG87" s="3340">
        <v>5067</v>
      </c>
      <c r="BH87" s="3340">
        <v>5076</v>
      </c>
      <c r="BI87" s="3340">
        <v>5102</v>
      </c>
      <c r="BJ87" s="3340">
        <v>5105</v>
      </c>
      <c r="BK87" s="3340">
        <v>5105</v>
      </c>
      <c r="BL87" s="3340">
        <v>5089</v>
      </c>
      <c r="BM87" s="3340">
        <v>5088</v>
      </c>
      <c r="BN87" s="3340">
        <v>5079</v>
      </c>
      <c r="BO87" s="3340">
        <v>5079</v>
      </c>
      <c r="BP87" s="3340">
        <v>5079</v>
      </c>
      <c r="BQ87" s="3340">
        <v>5099</v>
      </c>
      <c r="BR87" s="3340">
        <v>5119</v>
      </c>
      <c r="BS87" s="3340">
        <v>5139</v>
      </c>
      <c r="BT87" s="3340">
        <v>5159</v>
      </c>
      <c r="BU87" s="3340">
        <v>5189</v>
      </c>
      <c r="BV87" s="3340">
        <v>5202</v>
      </c>
      <c r="BW87" s="3340">
        <v>5215</v>
      </c>
      <c r="BX87" s="3340">
        <v>5228</v>
      </c>
      <c r="BY87" s="3340">
        <v>5241</v>
      </c>
      <c r="BZ87" s="3340">
        <v>5254</v>
      </c>
      <c r="CA87" s="3340">
        <v>5267</v>
      </c>
      <c r="CB87" s="3340">
        <v>5279</v>
      </c>
      <c r="CC87" s="3340">
        <v>5291</v>
      </c>
      <c r="CD87" s="3340">
        <v>5303</v>
      </c>
      <c r="CE87" s="3340">
        <v>5315</v>
      </c>
      <c r="CF87" s="3340">
        <v>5327</v>
      </c>
      <c r="CG87" s="3340">
        <v>5339</v>
      </c>
      <c r="CH87" s="3340">
        <v>5360</v>
      </c>
      <c r="CI87" s="3340">
        <v>5381</v>
      </c>
      <c r="CJ87" s="3340">
        <v>5402</v>
      </c>
      <c r="CK87" s="3340">
        <v>5423</v>
      </c>
      <c r="CL87" s="3340">
        <v>5444</v>
      </c>
      <c r="CM87" s="3340">
        <v>5465</v>
      </c>
      <c r="CN87" s="3340">
        <v>5486</v>
      </c>
      <c r="CO87" s="3340">
        <v>5507</v>
      </c>
      <c r="CP87" s="3340">
        <v>5528</v>
      </c>
      <c r="CQ87" s="3340">
        <v>5549</v>
      </c>
      <c r="CR87" s="3340">
        <v>5570</v>
      </c>
      <c r="CS87" s="3340">
        <v>5591</v>
      </c>
      <c r="CT87" s="3340">
        <v>5612</v>
      </c>
      <c r="CU87" s="3340">
        <v>5633</v>
      </c>
      <c r="CV87" s="3340">
        <v>5654</v>
      </c>
      <c r="CW87" s="3340">
        <v>5675</v>
      </c>
      <c r="CX87" s="3340">
        <v>5696</v>
      </c>
      <c r="CY87" s="3340">
        <v>5717</v>
      </c>
      <c r="CZ87" s="3340">
        <v>5738</v>
      </c>
      <c r="DA87" s="3340">
        <v>5759</v>
      </c>
      <c r="DB87" s="3340">
        <v>5780</v>
      </c>
      <c r="DC87" s="3340">
        <v>5801</v>
      </c>
      <c r="DD87" s="3340">
        <v>5822</v>
      </c>
      <c r="DE87" s="3340">
        <v>5843</v>
      </c>
      <c r="DF87" s="3340">
        <v>5864</v>
      </c>
      <c r="DG87" s="3340">
        <v>5885</v>
      </c>
      <c r="DH87" s="3340">
        <v>5906</v>
      </c>
      <c r="DI87" s="3340">
        <v>5927</v>
      </c>
      <c r="DJ87" s="3340">
        <v>5948</v>
      </c>
      <c r="DK87" s="3340">
        <v>5969</v>
      </c>
      <c r="DL87" s="3340">
        <v>5990</v>
      </c>
      <c r="DM87" s="3340">
        <v>6011</v>
      </c>
      <c r="DN87" s="3340">
        <v>6032</v>
      </c>
      <c r="DO87" s="3340">
        <v>6053</v>
      </c>
      <c r="DP87" s="3340">
        <v>6074</v>
      </c>
      <c r="DQ87" s="3340">
        <v>6095</v>
      </c>
      <c r="DR87" s="3340">
        <v>6116</v>
      </c>
      <c r="DS87" s="3340">
        <v>0</v>
      </c>
      <c r="DT87" s="3340">
        <v>0</v>
      </c>
      <c r="DU87" s="3340">
        <v>0</v>
      </c>
      <c r="DV87" s="3340">
        <v>0</v>
      </c>
      <c r="DW87" s="3340">
        <v>0</v>
      </c>
      <c r="DX87" s="3340">
        <v>0</v>
      </c>
      <c r="DY87" s="3340">
        <v>0</v>
      </c>
      <c r="DZ87" s="3340">
        <v>0</v>
      </c>
      <c r="EA87" s="3340">
        <v>0</v>
      </c>
      <c r="EB87" s="3340">
        <v>0</v>
      </c>
      <c r="EC87" s="3340">
        <v>0</v>
      </c>
      <c r="ED87" s="3340">
        <v>0</v>
      </c>
      <c r="EE87" s="3340">
        <v>0</v>
      </c>
      <c r="EF87" s="3340">
        <v>0</v>
      </c>
      <c r="EG87" s="3340">
        <v>0</v>
      </c>
      <c r="EH87" s="3340">
        <v>0</v>
      </c>
      <c r="EI87" s="3340">
        <v>0</v>
      </c>
      <c r="EJ87" s="3340">
        <v>0</v>
      </c>
    </row>
    <row r="88" spans="1:140" s="3334" customFormat="1">
      <c r="B88" s="3340">
        <v>7857</v>
      </c>
      <c r="C88" s="3340">
        <v>8005</v>
      </c>
      <c r="D88" s="3340">
        <v>6075</v>
      </c>
      <c r="E88" s="3340">
        <v>7744</v>
      </c>
      <c r="F88" s="3340">
        <v>7374</v>
      </c>
      <c r="G88" s="3340">
        <v>7485</v>
      </c>
      <c r="H88" s="3340">
        <v>7110</v>
      </c>
      <c r="I88" s="3340">
        <v>6975</v>
      </c>
      <c r="J88" s="3340">
        <v>6801</v>
      </c>
      <c r="K88" s="3340">
        <v>6792</v>
      </c>
      <c r="L88" s="3340">
        <v>6752</v>
      </c>
      <c r="M88" s="3340">
        <v>7546.2900000000154</v>
      </c>
      <c r="N88" s="3340">
        <v>10350</v>
      </c>
      <c r="O88" s="3340">
        <v>7046</v>
      </c>
      <c r="P88" s="3340">
        <v>7621</v>
      </c>
      <c r="Q88" s="3340">
        <v>9105</v>
      </c>
      <c r="R88" s="3340">
        <v>8662</v>
      </c>
      <c r="S88" s="3340">
        <v>8943</v>
      </c>
      <c r="T88" s="3340">
        <v>9202</v>
      </c>
      <c r="U88" s="3340">
        <v>7926</v>
      </c>
      <c r="V88" s="3340">
        <v>8358</v>
      </c>
      <c r="W88" s="3340">
        <v>7960</v>
      </c>
      <c r="X88" s="3340">
        <v>8363</v>
      </c>
      <c r="Y88" s="3340">
        <v>9088</v>
      </c>
      <c r="Z88" s="3340">
        <v>12560</v>
      </c>
      <c r="AA88" s="3340">
        <v>7981</v>
      </c>
      <c r="AB88" s="3340">
        <v>8812</v>
      </c>
      <c r="AC88" s="3340">
        <v>7830</v>
      </c>
      <c r="AD88" s="3340">
        <v>10309</v>
      </c>
      <c r="AE88" s="3340">
        <v>8147</v>
      </c>
      <c r="AF88" s="3340">
        <v>8669</v>
      </c>
      <c r="AG88" s="3340">
        <v>8662</v>
      </c>
      <c r="AH88" s="3340">
        <v>8382</v>
      </c>
      <c r="AI88" s="3340">
        <v>8750</v>
      </c>
      <c r="AJ88" s="3340">
        <v>9202</v>
      </c>
      <c r="AK88" s="3340">
        <v>9242</v>
      </c>
      <c r="AL88" s="3340">
        <v>11049</v>
      </c>
      <c r="AM88" s="3340">
        <v>10670</v>
      </c>
      <c r="AN88" s="3340">
        <v>9108</v>
      </c>
      <c r="AO88" s="3340">
        <v>9622</v>
      </c>
      <c r="AP88" s="3340">
        <v>11381</v>
      </c>
      <c r="AQ88" s="3340">
        <v>10657</v>
      </c>
      <c r="AR88" s="3340">
        <v>9499</v>
      </c>
      <c r="AS88" s="3340">
        <v>6509</v>
      </c>
      <c r="AT88" s="3340">
        <v>8325</v>
      </c>
      <c r="AU88" s="3340">
        <v>12186</v>
      </c>
      <c r="AV88" s="3340">
        <v>11524</v>
      </c>
      <c r="AW88" s="3340">
        <v>12428</v>
      </c>
      <c r="AX88" s="3340">
        <v>25383</v>
      </c>
      <c r="AY88" s="3340">
        <v>11264</v>
      </c>
      <c r="AZ88" s="3340">
        <v>11261</v>
      </c>
      <c r="BA88" s="3340">
        <v>11416</v>
      </c>
      <c r="BB88" s="3340">
        <v>11480</v>
      </c>
      <c r="BC88" s="3340">
        <v>22896</v>
      </c>
      <c r="BD88" s="3340">
        <v>11066</v>
      </c>
      <c r="BE88" s="3340">
        <v>10298.035</v>
      </c>
      <c r="BF88" s="3340">
        <v>10198.239999999998</v>
      </c>
      <c r="BG88" s="3340">
        <v>11107.11</v>
      </c>
      <c r="BH88" s="3340">
        <v>9530.6149999999961</v>
      </c>
      <c r="BI88" s="3340">
        <v>10400.777000000016</v>
      </c>
      <c r="BJ88" s="3340">
        <v>9505</v>
      </c>
      <c r="BK88" s="3340">
        <v>9505</v>
      </c>
      <c r="BL88" s="3340">
        <v>7980</v>
      </c>
      <c r="BM88" s="3340">
        <v>9857</v>
      </c>
      <c r="BN88" s="3340">
        <v>10297</v>
      </c>
      <c r="BO88" s="3340">
        <v>10264.24956681573</v>
      </c>
      <c r="BP88" s="3340">
        <v>10349.449566815731</v>
      </c>
      <c r="BQ88" s="3340">
        <v>10421.897444787524</v>
      </c>
      <c r="BR88" s="3340">
        <v>10928.904848848784</v>
      </c>
      <c r="BS88" s="3340">
        <v>11938.289722633155</v>
      </c>
      <c r="BT88" s="3340">
        <v>12492.101017009949</v>
      </c>
      <c r="BU88" s="3340">
        <v>12446.279619013259</v>
      </c>
      <c r="BV88" s="3340">
        <v>11523.127631702935</v>
      </c>
      <c r="BW88" s="3340">
        <v>10725.799488565443</v>
      </c>
      <c r="BX88" s="3340">
        <v>9288.9190869256563</v>
      </c>
      <c r="BY88" s="3340">
        <v>11216.356304645677</v>
      </c>
      <c r="BZ88" s="3340">
        <v>11546.290726694964</v>
      </c>
      <c r="CA88" s="3340">
        <v>11570.855862428944</v>
      </c>
      <c r="CB88" s="3340">
        <v>11632.099977382481</v>
      </c>
      <c r="CC88" s="3340">
        <v>11619.434092336018</v>
      </c>
      <c r="CD88" s="3340">
        <v>12106.028649940567</v>
      </c>
      <c r="CE88" s="3340">
        <v>13347.307839839215</v>
      </c>
      <c r="CF88" s="3340">
        <v>13823.92315825784</v>
      </c>
      <c r="CG88" s="3340">
        <v>13663.992719779011</v>
      </c>
      <c r="CH88" s="3340">
        <v>12419.596740394923</v>
      </c>
      <c r="CI88" s="3340">
        <v>11527.881852430359</v>
      </c>
      <c r="CJ88" s="3340">
        <v>10104.505195722797</v>
      </c>
      <c r="CK88" s="3340">
        <v>12131.722032744261</v>
      </c>
      <c r="CL88" s="3340">
        <v>12489.843635048115</v>
      </c>
      <c r="CM88" s="3340">
        <v>12530.258811767235</v>
      </c>
      <c r="CN88" s="3340">
        <v>12615.202176401446</v>
      </c>
      <c r="CO88" s="3340">
        <v>12616.114041035657</v>
      </c>
      <c r="CP88" s="3340">
        <v>13143.895370453434</v>
      </c>
      <c r="CQ88" s="3340">
        <v>14501.718466630249</v>
      </c>
      <c r="CR88" s="3340">
        <v>15003.056395795513</v>
      </c>
      <c r="CS88" s="3340">
        <v>14866.405380317929</v>
      </c>
      <c r="CT88" s="3340">
        <v>13539.299759536674</v>
      </c>
      <c r="CU88" s="3340">
        <v>12478.152778525024</v>
      </c>
      <c r="CV88" s="3340">
        <v>11111.090974553872</v>
      </c>
      <c r="CW88" s="3340">
        <v>13221.414641475403</v>
      </c>
      <c r="CX88" s="3340">
        <v>13594.022351147558</v>
      </c>
      <c r="CY88" s="3340">
        <v>13637.117355492372</v>
      </c>
      <c r="CZ88" s="3340">
        <v>13732.258957148033</v>
      </c>
      <c r="DA88" s="3340">
        <v>13731.097183803695</v>
      </c>
      <c r="DB88" s="3340">
        <v>14285.926648482096</v>
      </c>
      <c r="DC88" s="3340">
        <v>15753.933853416318</v>
      </c>
      <c r="DD88" s="3340">
        <v>16263.168295339849</v>
      </c>
      <c r="DE88" s="3340">
        <v>16134.623228233679</v>
      </c>
      <c r="DF88" s="3340">
        <v>14662.286280575334</v>
      </c>
      <c r="DG88" s="3340">
        <v>13412.06476253799</v>
      </c>
      <c r="DH88" s="3340">
        <v>12105.868760256457</v>
      </c>
      <c r="DI88" s="3340">
        <v>14296.648102457222</v>
      </c>
      <c r="DJ88" s="3340">
        <v>14679.247968244405</v>
      </c>
      <c r="DK88" s="3340">
        <v>14720.089072116356</v>
      </c>
      <c r="DL88" s="3340">
        <v>14821.135703164698</v>
      </c>
      <c r="DM88" s="3340">
        <v>14814.534785463042</v>
      </c>
      <c r="DN88" s="3340">
        <v>15392.940173935258</v>
      </c>
      <c r="DO88" s="3340">
        <v>16956.83195167857</v>
      </c>
      <c r="DP88" s="3340">
        <v>17478.461971169989</v>
      </c>
      <c r="DQ88" s="3340">
        <v>17353.639774206949</v>
      </c>
      <c r="DR88" s="3340">
        <v>15813.592497690506</v>
      </c>
      <c r="DS88" s="3340">
        <v>0</v>
      </c>
      <c r="DT88" s="3340">
        <v>0</v>
      </c>
      <c r="DU88" s="3340">
        <v>0</v>
      </c>
      <c r="DV88" s="3340">
        <v>0</v>
      </c>
      <c r="DW88" s="3340">
        <v>0</v>
      </c>
      <c r="DX88" s="3340">
        <v>0</v>
      </c>
      <c r="DY88" s="3340">
        <v>0</v>
      </c>
      <c r="DZ88" s="3340">
        <v>0</v>
      </c>
      <c r="EA88" s="3340">
        <v>0</v>
      </c>
      <c r="EB88" s="3340">
        <v>0</v>
      </c>
      <c r="EC88" s="3340">
        <v>0</v>
      </c>
      <c r="ED88" s="3340">
        <v>0</v>
      </c>
      <c r="EE88" s="3340">
        <v>0</v>
      </c>
      <c r="EF88" s="3340">
        <v>0</v>
      </c>
    </row>
    <row r="89" spans="1:140" s="3334" customFormat="1"/>
    <row r="90" spans="1:140" s="3334" customFormat="1">
      <c r="A90" s="3334" t="s">
        <v>69</v>
      </c>
      <c r="BJ90" s="3349">
        <f t="shared" ref="BJ90:BU90" si="1787">BJ38*0.97/AVERAGE(BI41:BJ41)</f>
        <v>1.1574818918137113</v>
      </c>
      <c r="BK90" s="3349">
        <f t="shared" si="1787"/>
        <v>1.1571471659919028</v>
      </c>
      <c r="BL90" s="3349">
        <f t="shared" si="1787"/>
        <v>1.2661447513812156</v>
      </c>
      <c r="BM90" s="3349">
        <f t="shared" si="1787"/>
        <v>1.3121415898186075</v>
      </c>
      <c r="BN90" s="3349">
        <f t="shared" ca="1" si="1787"/>
        <v>1.3899201072684642</v>
      </c>
      <c r="BO90" s="3349">
        <f t="shared" ca="1" si="1787"/>
        <v>1.4586729149560107</v>
      </c>
      <c r="BP90" s="3349">
        <f t="shared" ca="1" si="1787"/>
        <v>1.5917893317702239</v>
      </c>
      <c r="BQ90" s="3349">
        <f t="shared" ca="1" si="1787"/>
        <v>1.6659721570926138</v>
      </c>
      <c r="BR90" s="3349">
        <f t="shared" ca="1" si="1787"/>
        <v>1.6505556389214546</v>
      </c>
      <c r="BS90" s="3349">
        <f t="shared" ca="1" si="1787"/>
        <v>1.7463456975381004</v>
      </c>
      <c r="BT90" s="3349">
        <f t="shared" ca="1" si="1787"/>
        <v>1.7091086453129598</v>
      </c>
      <c r="BU90" s="3349">
        <f t="shared" ca="1" si="1787"/>
        <v>1.8222045714285715</v>
      </c>
    </row>
    <row r="91" spans="1:140" s="3334" customFormat="1">
      <c r="A91" s="3334" t="s">
        <v>70</v>
      </c>
      <c r="BJ91" s="3349"/>
      <c r="BK91" s="3343">
        <f t="shared" ref="BK91:BP91" si="1788">BK90/1.7-1</f>
        <v>-0.31932519647535129</v>
      </c>
      <c r="BL91" s="3343">
        <f>BL90/1.7-1</f>
        <v>-0.25520896977575547</v>
      </c>
      <c r="BM91" s="3343">
        <f t="shared" si="1788"/>
        <v>-0.22815200598905439</v>
      </c>
      <c r="BN91" s="3343">
        <f t="shared" ca="1" si="1788"/>
        <v>-0.18239993690090339</v>
      </c>
      <c r="BO91" s="3343">
        <f t="shared" ca="1" si="1788"/>
        <v>-0.14195710884940549</v>
      </c>
      <c r="BP91" s="3343">
        <f t="shared" ca="1" si="1788"/>
        <v>-6.3653334252809501E-2</v>
      </c>
      <c r="BQ91" s="3343">
        <f ca="1">BQ90/1.7-1</f>
        <v>-2.0016378180815364E-2</v>
      </c>
      <c r="BR91" s="3343">
        <f ca="1">BR90/1.7-1</f>
        <v>-2.9084918281497285E-2</v>
      </c>
      <c r="BS91" s="3343">
        <f ca="1">BS90/1.7-1</f>
        <v>2.7262175022412016E-2</v>
      </c>
      <c r="BT91" s="3343">
        <f ca="1">BT90/1.7-1</f>
        <v>5.3580266546822131E-3</v>
      </c>
      <c r="BU91" s="3343">
        <f ca="1">BU90/1.7-1</f>
        <v>7.1885042016806899E-2</v>
      </c>
    </row>
    <row r="92" spans="1:140" s="3334" customFormat="1">
      <c r="A92" s="3334" t="s">
        <v>71</v>
      </c>
      <c r="BJ92" s="3349"/>
      <c r="BK92" s="3343">
        <f t="shared" ref="BK92:BP92" si="1789">BK90/1.72-1</f>
        <v>-0.32724001977214956</v>
      </c>
      <c r="BL92" s="3343">
        <f t="shared" si="1789"/>
        <v>-0.26386933059231643</v>
      </c>
      <c r="BM92" s="3343">
        <f t="shared" si="1789"/>
        <v>-0.23712698266360022</v>
      </c>
      <c r="BN92" s="3343">
        <f t="shared" ca="1" si="1789"/>
        <v>-0.19190691437879992</v>
      </c>
      <c r="BO92" s="3343">
        <f t="shared" ca="1" si="1789"/>
        <v>-0.15193435176976122</v>
      </c>
      <c r="BP92" s="3343">
        <f t="shared" ca="1" si="1789"/>
        <v>-7.4541086180102356E-2</v>
      </c>
      <c r="BQ92" s="3343">
        <f ca="1">BQ90/1.72-1</f>
        <v>-3.1411536574061705E-2</v>
      </c>
      <c r="BR92" s="3343">
        <f ca="1">BR90/1.72-1</f>
        <v>-4.0374628534037948E-2</v>
      </c>
      <c r="BS92" s="3343">
        <f ca="1">BS90/1.72-1</f>
        <v>1.5317266010523412E-2</v>
      </c>
      <c r="BT92" s="3343">
        <f ca="1">BT90/1.72-1</f>
        <v>-6.3321829575815336E-3</v>
      </c>
      <c r="BU92" s="3343">
        <f ca="1">BU90/1.72-1</f>
        <v>5.9421262458471791E-2</v>
      </c>
    </row>
    <row r="93" spans="1:140" s="3334" customFormat="1">
      <c r="BV93" s="3340">
        <f ca="1">BV5-BV7-BV20-BV38</f>
        <v>493.03451425105141</v>
      </c>
      <c r="BW93" s="3340">
        <f t="shared" ref="BW93:CE93" ca="1" si="1790">BW5-BW7-BW20-BW38</f>
        <v>803.61151425105163</v>
      </c>
      <c r="BX93" s="3340">
        <f t="shared" ca="1" si="1790"/>
        <v>667.49197853849637</v>
      </c>
      <c r="BY93" s="3340">
        <f t="shared" si="1790"/>
        <v>615.51419856258508</v>
      </c>
      <c r="BZ93" s="3340">
        <f t="shared" ca="1" si="1790"/>
        <v>668.29338856258801</v>
      </c>
      <c r="CA93" s="3340">
        <f t="shared" ca="1" si="1790"/>
        <v>597.48437678795744</v>
      </c>
      <c r="CB93" s="3340">
        <f ca="1">CB5-CB7-CB20-CB38</f>
        <v>621.46969049691688</v>
      </c>
      <c r="CC93" s="3340">
        <f t="shared" ca="1" si="1790"/>
        <v>518.78267872229662</v>
      </c>
      <c r="CD93" s="3340">
        <f t="shared" ca="1" si="1790"/>
        <v>605.42167872230311</v>
      </c>
      <c r="CE93" s="3340">
        <f t="shared" ca="1" si="1790"/>
        <v>552.5889999999963</v>
      </c>
    </row>
    <row r="94" spans="1:140" s="3334" customFormat="1"/>
    <row r="95" spans="1:140" s="3334" customFormat="1">
      <c r="BK95" s="3334">
        <f>99/14</f>
        <v>7.0714285714285712</v>
      </c>
    </row>
    <row r="96" spans="1:140" s="3334" customFormat="1">
      <c r="BR96" s="3336">
        <f ca="1">BQ90/BR90-1</f>
        <v>9.3401990260886247E-3</v>
      </c>
    </row>
    <row r="97" spans="1:123" s="3334" customFormat="1">
      <c r="BR97" s="3343">
        <f ca="1">BR38/2930-1</f>
        <v>-9.2368600682588564E-3</v>
      </c>
    </row>
    <row r="98" spans="1:123" s="3334" customFormat="1">
      <c r="BJ98" s="3340">
        <f>BJ10+BJ16+BJ23</f>
        <v>3476</v>
      </c>
      <c r="BK98" s="3340">
        <f t="shared" ref="BK98:BR98" si="1791">BK10+BK16+BK23</f>
        <v>3476</v>
      </c>
      <c r="BL98" s="3340">
        <f t="shared" si="1791"/>
        <v>3479</v>
      </c>
      <c r="BM98" s="3340">
        <f t="shared" si="1791"/>
        <v>3480</v>
      </c>
      <c r="BN98" s="3340">
        <f t="shared" si="1791"/>
        <v>3475</v>
      </c>
      <c r="BO98" s="3340">
        <f t="shared" si="1791"/>
        <v>3469</v>
      </c>
      <c r="BP98" s="3340">
        <f t="shared" si="1791"/>
        <v>3469</v>
      </c>
      <c r="BQ98" s="3340">
        <f t="shared" si="1791"/>
        <v>3457</v>
      </c>
      <c r="BR98" s="3340">
        <f t="shared" si="1791"/>
        <v>3451</v>
      </c>
      <c r="BS98" s="3340">
        <f>BS10+BS16+BS23</f>
        <v>3439</v>
      </c>
      <c r="BT98" s="3340">
        <f>BT10+BT16+BT23</f>
        <v>3310</v>
      </c>
      <c r="BU98" s="3340">
        <f>BU10+BU16+BU23</f>
        <v>3268</v>
      </c>
    </row>
    <row r="99" spans="1:123" s="3334" customFormat="1">
      <c r="BU99" s="3334">
        <f>BU98/BJ98-1</f>
        <v>-5.9838895281933202E-2</v>
      </c>
    </row>
    <row r="100" spans="1:123" s="3334" customFormat="1">
      <c r="BJ100" s="3338">
        <f>210/BJ98</f>
        <v>6.041426927502877E-2</v>
      </c>
      <c r="BT100" s="3334">
        <f>3184+99</f>
        <v>3283</v>
      </c>
    </row>
    <row r="101" spans="1:123" s="3334" customFormat="1"/>
    <row r="102" spans="1:123" s="3334" customFormat="1"/>
    <row r="103" spans="1:123" s="3334" customFormat="1"/>
    <row r="104" spans="1:123" s="3334" customFormat="1"/>
    <row r="105" spans="1:123" s="3334" customFormat="1"/>
    <row r="106" spans="1:123" s="3334" customFormat="1"/>
    <row r="107" spans="1:123" s="3334" customFormat="1"/>
    <row r="108" spans="1:123" s="3334" customFormat="1">
      <c r="B108" s="3334">
        <f>Rev_Year!D107</f>
        <v>283</v>
      </c>
    </row>
    <row r="109" spans="1:123" s="3334" customFormat="1">
      <c r="B109" s="3350">
        <f>B4</f>
        <v>43101</v>
      </c>
      <c r="C109" s="3350">
        <f t="shared" ref="C109:BN109" si="1792">C4</f>
        <v>43132</v>
      </c>
      <c r="D109" s="3350">
        <f t="shared" si="1792"/>
        <v>43160</v>
      </c>
      <c r="E109" s="3350">
        <f t="shared" si="1792"/>
        <v>43191</v>
      </c>
      <c r="F109" s="3350">
        <f t="shared" si="1792"/>
        <v>43221</v>
      </c>
      <c r="G109" s="3350">
        <f t="shared" si="1792"/>
        <v>43252</v>
      </c>
      <c r="H109" s="3350">
        <f t="shared" si="1792"/>
        <v>43282</v>
      </c>
      <c r="I109" s="3350">
        <f t="shared" si="1792"/>
        <v>43313</v>
      </c>
      <c r="J109" s="3350">
        <f t="shared" si="1792"/>
        <v>43344</v>
      </c>
      <c r="K109" s="3350">
        <f t="shared" si="1792"/>
        <v>43374</v>
      </c>
      <c r="L109" s="3350">
        <f t="shared" si="1792"/>
        <v>43405</v>
      </c>
      <c r="M109" s="3350">
        <f t="shared" si="1792"/>
        <v>43435</v>
      </c>
      <c r="N109" s="3350">
        <f t="shared" si="1792"/>
        <v>43466</v>
      </c>
      <c r="O109" s="3350">
        <f t="shared" si="1792"/>
        <v>43497</v>
      </c>
      <c r="P109" s="3350">
        <f t="shared" si="1792"/>
        <v>43525</v>
      </c>
      <c r="Q109" s="3350">
        <f t="shared" si="1792"/>
        <v>43556</v>
      </c>
      <c r="R109" s="3350">
        <f t="shared" si="1792"/>
        <v>43586</v>
      </c>
      <c r="S109" s="3350">
        <f t="shared" si="1792"/>
        <v>43617</v>
      </c>
      <c r="T109" s="3350">
        <f t="shared" si="1792"/>
        <v>43647</v>
      </c>
      <c r="U109" s="3350">
        <f t="shared" si="1792"/>
        <v>43678</v>
      </c>
      <c r="V109" s="3350">
        <f t="shared" si="1792"/>
        <v>43709</v>
      </c>
      <c r="W109" s="3350">
        <f t="shared" si="1792"/>
        <v>43739</v>
      </c>
      <c r="X109" s="3350">
        <f t="shared" si="1792"/>
        <v>43770</v>
      </c>
      <c r="Y109" s="3350">
        <f t="shared" si="1792"/>
        <v>43800</v>
      </c>
      <c r="Z109" s="3350">
        <f t="shared" si="1792"/>
        <v>43831</v>
      </c>
      <c r="AA109" s="3350">
        <f t="shared" si="1792"/>
        <v>43862</v>
      </c>
      <c r="AB109" s="3350">
        <f t="shared" si="1792"/>
        <v>43891</v>
      </c>
      <c r="AC109" s="3350">
        <f t="shared" si="1792"/>
        <v>43922</v>
      </c>
      <c r="AD109" s="3350">
        <f t="shared" si="1792"/>
        <v>43952</v>
      </c>
      <c r="AE109" s="3350">
        <f t="shared" si="1792"/>
        <v>43983</v>
      </c>
      <c r="AF109" s="3350">
        <f t="shared" si="1792"/>
        <v>44013</v>
      </c>
      <c r="AG109" s="3350">
        <f t="shared" si="1792"/>
        <v>44044</v>
      </c>
      <c r="AH109" s="3350">
        <f t="shared" si="1792"/>
        <v>44075</v>
      </c>
      <c r="AI109" s="3350">
        <f t="shared" si="1792"/>
        <v>44105</v>
      </c>
      <c r="AJ109" s="3350">
        <f t="shared" si="1792"/>
        <v>44136</v>
      </c>
      <c r="AK109" s="3350">
        <f t="shared" si="1792"/>
        <v>44166</v>
      </c>
      <c r="AL109" s="3350">
        <f t="shared" si="1792"/>
        <v>44197</v>
      </c>
      <c r="AM109" s="3350">
        <f t="shared" si="1792"/>
        <v>44228</v>
      </c>
      <c r="AN109" s="3350">
        <f t="shared" si="1792"/>
        <v>44256</v>
      </c>
      <c r="AO109" s="3350">
        <f t="shared" si="1792"/>
        <v>44287</v>
      </c>
      <c r="AP109" s="3350">
        <f t="shared" si="1792"/>
        <v>44317</v>
      </c>
      <c r="AQ109" s="3350">
        <f t="shared" si="1792"/>
        <v>44348</v>
      </c>
      <c r="AR109" s="3350">
        <f t="shared" si="1792"/>
        <v>44378</v>
      </c>
      <c r="AS109" s="3350">
        <f t="shared" si="1792"/>
        <v>44409</v>
      </c>
      <c r="AT109" s="3350">
        <f t="shared" si="1792"/>
        <v>44440</v>
      </c>
      <c r="AU109" s="3350">
        <f t="shared" si="1792"/>
        <v>44470</v>
      </c>
      <c r="AV109" s="3350">
        <f t="shared" si="1792"/>
        <v>44501</v>
      </c>
      <c r="AW109" s="3350">
        <f t="shared" si="1792"/>
        <v>44531</v>
      </c>
      <c r="AX109" s="3350" t="str">
        <f t="shared" si="1792"/>
        <v>Jan-2022 &amp; Feb-2022</v>
      </c>
      <c r="AY109" s="3350">
        <f t="shared" si="1792"/>
        <v>44621</v>
      </c>
      <c r="AZ109" s="3350">
        <f t="shared" si="1792"/>
        <v>44652</v>
      </c>
      <c r="BA109" s="3350">
        <f t="shared" si="1792"/>
        <v>44682</v>
      </c>
      <c r="BB109" s="3350">
        <f t="shared" si="1792"/>
        <v>44713</v>
      </c>
      <c r="BC109" s="3350" t="str">
        <f t="shared" si="1792"/>
        <v>May&amp;Jun-22</v>
      </c>
      <c r="BD109" s="3350">
        <f t="shared" si="1792"/>
        <v>44743</v>
      </c>
      <c r="BE109" s="3350">
        <f t="shared" si="1792"/>
        <v>44774</v>
      </c>
      <c r="BF109" s="3350">
        <f t="shared" si="1792"/>
        <v>44805</v>
      </c>
      <c r="BG109" s="3350">
        <f t="shared" si="1792"/>
        <v>44835</v>
      </c>
      <c r="BH109" s="3350">
        <f t="shared" si="1792"/>
        <v>44866</v>
      </c>
      <c r="BI109" s="3350">
        <f t="shared" si="1792"/>
        <v>44896</v>
      </c>
      <c r="BJ109" s="3350">
        <f t="shared" si="1792"/>
        <v>44927</v>
      </c>
      <c r="BK109" s="3350">
        <f t="shared" si="1792"/>
        <v>44958</v>
      </c>
      <c r="BL109" s="3350">
        <f t="shared" si="1792"/>
        <v>44986</v>
      </c>
      <c r="BM109" s="3350">
        <f t="shared" si="1792"/>
        <v>45017</v>
      </c>
      <c r="BN109" s="3350">
        <f t="shared" si="1792"/>
        <v>45047</v>
      </c>
      <c r="BO109" s="3350">
        <f t="shared" ref="BO109:DS109" si="1793">BO4</f>
        <v>45078</v>
      </c>
      <c r="BP109" s="3350">
        <f t="shared" si="1793"/>
        <v>45108</v>
      </c>
      <c r="BQ109" s="3350">
        <f t="shared" si="1793"/>
        <v>45139</v>
      </c>
      <c r="BR109" s="3350">
        <f t="shared" si="1793"/>
        <v>45170</v>
      </c>
      <c r="BS109" s="3350">
        <f t="shared" si="1793"/>
        <v>45200</v>
      </c>
      <c r="BT109" s="3350">
        <f t="shared" si="1793"/>
        <v>45231</v>
      </c>
      <c r="BU109" s="3350">
        <f t="shared" si="1793"/>
        <v>45261</v>
      </c>
      <c r="BV109" s="3350">
        <f t="shared" si="1793"/>
        <v>45292</v>
      </c>
      <c r="BW109" s="3350">
        <f t="shared" si="1793"/>
        <v>45323</v>
      </c>
      <c r="BX109" s="3350">
        <f t="shared" si="1793"/>
        <v>45352</v>
      </c>
      <c r="BY109" s="3350">
        <v>45383</v>
      </c>
      <c r="BZ109" s="3350">
        <v>45413</v>
      </c>
      <c r="CA109" s="3350">
        <f t="shared" si="1793"/>
        <v>45444</v>
      </c>
      <c r="CB109" s="3350">
        <f t="shared" si="1793"/>
        <v>45474</v>
      </c>
      <c r="CC109" s="3350">
        <f t="shared" si="1793"/>
        <v>45505</v>
      </c>
      <c r="CD109" s="3350">
        <f t="shared" si="1793"/>
        <v>45536</v>
      </c>
      <c r="CE109" s="3350">
        <f t="shared" si="1793"/>
        <v>45566</v>
      </c>
      <c r="CF109" s="3350">
        <f t="shared" si="1793"/>
        <v>45597</v>
      </c>
      <c r="CG109" s="3350">
        <f t="shared" si="1793"/>
        <v>45627</v>
      </c>
      <c r="CH109" s="3350">
        <f t="shared" si="1793"/>
        <v>45658</v>
      </c>
      <c r="CI109" s="3350">
        <f t="shared" si="1793"/>
        <v>45689</v>
      </c>
      <c r="CJ109" s="3350">
        <f t="shared" si="1793"/>
        <v>45717</v>
      </c>
      <c r="CK109" s="3350">
        <f t="shared" si="1793"/>
        <v>45748</v>
      </c>
      <c r="CL109" s="3350">
        <f t="shared" si="1793"/>
        <v>45778</v>
      </c>
      <c r="CM109" s="3350">
        <f t="shared" si="1793"/>
        <v>45809</v>
      </c>
      <c r="CN109" s="3350">
        <f t="shared" si="1793"/>
        <v>45839</v>
      </c>
      <c r="CO109" s="3350">
        <f t="shared" si="1793"/>
        <v>45870</v>
      </c>
      <c r="CP109" s="3350">
        <f t="shared" si="1793"/>
        <v>45901</v>
      </c>
      <c r="CQ109" s="3350">
        <f t="shared" si="1793"/>
        <v>45931</v>
      </c>
      <c r="CR109" s="3350">
        <f t="shared" si="1793"/>
        <v>45962</v>
      </c>
      <c r="CS109" s="3350">
        <f t="shared" si="1793"/>
        <v>45992</v>
      </c>
      <c r="CT109" s="3350">
        <f t="shared" si="1793"/>
        <v>46023</v>
      </c>
      <c r="CU109" s="3350">
        <f t="shared" si="1793"/>
        <v>46054</v>
      </c>
      <c r="CV109" s="3350">
        <f t="shared" si="1793"/>
        <v>46082</v>
      </c>
      <c r="CW109" s="3350">
        <f t="shared" si="1793"/>
        <v>46113</v>
      </c>
      <c r="CX109" s="3350">
        <f t="shared" si="1793"/>
        <v>46143</v>
      </c>
      <c r="CY109" s="3350">
        <f t="shared" si="1793"/>
        <v>46174</v>
      </c>
      <c r="CZ109" s="3350">
        <f t="shared" si="1793"/>
        <v>46204</v>
      </c>
      <c r="DA109" s="3350">
        <f t="shared" si="1793"/>
        <v>46235</v>
      </c>
      <c r="DB109" s="3350">
        <f t="shared" si="1793"/>
        <v>46266</v>
      </c>
      <c r="DC109" s="3350">
        <f t="shared" si="1793"/>
        <v>46296</v>
      </c>
      <c r="DD109" s="3350">
        <f t="shared" si="1793"/>
        <v>46327</v>
      </c>
      <c r="DE109" s="3350">
        <f t="shared" si="1793"/>
        <v>46357</v>
      </c>
      <c r="DF109" s="3350">
        <f t="shared" si="1793"/>
        <v>46388</v>
      </c>
      <c r="DG109" s="3350">
        <f t="shared" si="1793"/>
        <v>46419</v>
      </c>
      <c r="DH109" s="3350">
        <f t="shared" si="1793"/>
        <v>46447</v>
      </c>
      <c r="DI109" s="3350">
        <f t="shared" si="1793"/>
        <v>46478</v>
      </c>
      <c r="DJ109" s="3350">
        <f t="shared" si="1793"/>
        <v>46508</v>
      </c>
      <c r="DK109" s="3350">
        <f t="shared" si="1793"/>
        <v>46539</v>
      </c>
      <c r="DL109" s="3350">
        <f t="shared" si="1793"/>
        <v>46569</v>
      </c>
      <c r="DM109" s="3350">
        <f t="shared" si="1793"/>
        <v>46600</v>
      </c>
      <c r="DN109" s="3350">
        <f t="shared" si="1793"/>
        <v>46631</v>
      </c>
      <c r="DO109" s="3350">
        <f t="shared" si="1793"/>
        <v>46661</v>
      </c>
      <c r="DP109" s="3350">
        <f t="shared" si="1793"/>
        <v>46692</v>
      </c>
      <c r="DQ109" s="3350">
        <f t="shared" si="1793"/>
        <v>46722</v>
      </c>
      <c r="DR109" s="3350">
        <f t="shared" si="1793"/>
        <v>46753</v>
      </c>
      <c r="DS109" s="3350">
        <f t="shared" si="1793"/>
        <v>46784</v>
      </c>
    </row>
    <row r="110" spans="1:123" s="3334" customFormat="1">
      <c r="A110" s="3334" t="s">
        <v>4</v>
      </c>
      <c r="B110" s="3340">
        <f>B41</f>
        <v>316</v>
      </c>
      <c r="C110" s="3340">
        <f t="shared" ref="C110:BN110" si="1794">C41</f>
        <v>324</v>
      </c>
      <c r="D110" s="3340">
        <f t="shared" si="1794"/>
        <v>355</v>
      </c>
      <c r="E110" s="3340">
        <f t="shared" si="1794"/>
        <v>367</v>
      </c>
      <c r="F110" s="3340">
        <f t="shared" si="1794"/>
        <v>372</v>
      </c>
      <c r="G110" s="3340">
        <f t="shared" si="1794"/>
        <v>384</v>
      </c>
      <c r="H110" s="3340">
        <f t="shared" si="1794"/>
        <v>393</v>
      </c>
      <c r="I110" s="3340">
        <f t="shared" si="1794"/>
        <v>405</v>
      </c>
      <c r="J110" s="3340">
        <f t="shared" si="1794"/>
        <v>409</v>
      </c>
      <c r="K110" s="3340">
        <f t="shared" si="1794"/>
        <v>412</v>
      </c>
      <c r="L110" s="3340">
        <f t="shared" si="1794"/>
        <v>404</v>
      </c>
      <c r="M110" s="3340">
        <f t="shared" si="1794"/>
        <v>405</v>
      </c>
      <c r="N110" s="3340">
        <f t="shared" si="1794"/>
        <v>421</v>
      </c>
      <c r="O110" s="3340">
        <f t="shared" si="1794"/>
        <v>423</v>
      </c>
      <c r="P110" s="3340">
        <f t="shared" si="1794"/>
        <v>469</v>
      </c>
      <c r="Q110" s="3340">
        <f t="shared" si="1794"/>
        <v>512</v>
      </c>
      <c r="R110" s="3340">
        <f t="shared" si="1794"/>
        <v>545</v>
      </c>
      <c r="S110" s="3340">
        <f t="shared" si="1794"/>
        <v>600</v>
      </c>
      <c r="T110" s="3340">
        <f t="shared" si="1794"/>
        <v>659</v>
      </c>
      <c r="U110" s="3340">
        <f t="shared" si="1794"/>
        <v>725</v>
      </c>
      <c r="V110" s="3340">
        <f t="shared" si="1794"/>
        <v>788</v>
      </c>
      <c r="W110" s="3340">
        <f t="shared" si="1794"/>
        <v>866</v>
      </c>
      <c r="X110" s="3340">
        <f t="shared" si="1794"/>
        <v>938</v>
      </c>
      <c r="Y110" s="3340">
        <f t="shared" si="1794"/>
        <v>1008</v>
      </c>
      <c r="Z110" s="3340">
        <f t="shared" si="1794"/>
        <v>1041</v>
      </c>
      <c r="AA110" s="3340">
        <f t="shared" si="1794"/>
        <v>1068</v>
      </c>
      <c r="AB110" s="3340">
        <f t="shared" si="1794"/>
        <v>1158</v>
      </c>
      <c r="AC110" s="3340">
        <f t="shared" si="1794"/>
        <v>1234</v>
      </c>
      <c r="AD110" s="3340">
        <f t="shared" si="1794"/>
        <v>1365</v>
      </c>
      <c r="AE110" s="3340">
        <f t="shared" si="1794"/>
        <v>1486</v>
      </c>
      <c r="AF110" s="3340">
        <f t="shared" si="1794"/>
        <v>1561</v>
      </c>
      <c r="AG110" s="3340">
        <f t="shared" si="1794"/>
        <v>1595</v>
      </c>
      <c r="AH110" s="3340">
        <f t="shared" si="1794"/>
        <v>1623</v>
      </c>
      <c r="AI110" s="3340">
        <f t="shared" si="1794"/>
        <v>1656</v>
      </c>
      <c r="AJ110" s="3340">
        <f t="shared" si="1794"/>
        <v>1687</v>
      </c>
      <c r="AK110" s="3340">
        <f t="shared" si="1794"/>
        <v>1719</v>
      </c>
      <c r="AL110" s="3340">
        <f t="shared" si="1794"/>
        <v>1749</v>
      </c>
      <c r="AM110" s="3340">
        <f t="shared" si="1794"/>
        <v>1756</v>
      </c>
      <c r="AN110" s="3340">
        <f t="shared" si="1794"/>
        <v>1767</v>
      </c>
      <c r="AO110" s="3340">
        <f t="shared" si="1794"/>
        <v>1803</v>
      </c>
      <c r="AP110" s="3340">
        <f t="shared" si="1794"/>
        <v>1851</v>
      </c>
      <c r="AQ110" s="3340">
        <f t="shared" si="1794"/>
        <v>1888</v>
      </c>
      <c r="AR110" s="3340">
        <f t="shared" si="1794"/>
        <v>1919</v>
      </c>
      <c r="AS110" s="3340">
        <f t="shared" si="1794"/>
        <v>1928</v>
      </c>
      <c r="AT110" s="3340">
        <f t="shared" si="1794"/>
        <v>1934</v>
      </c>
      <c r="AU110" s="3340">
        <f t="shared" si="1794"/>
        <v>1934</v>
      </c>
      <c r="AV110" s="3340">
        <f t="shared" si="1794"/>
        <v>2026</v>
      </c>
      <c r="AW110" s="3340">
        <f t="shared" si="1794"/>
        <v>2106</v>
      </c>
      <c r="AX110" s="3340">
        <f t="shared" si="1794"/>
        <v>2122</v>
      </c>
      <c r="AY110" s="3340">
        <f t="shared" si="1794"/>
        <v>2127</v>
      </c>
      <c r="AZ110" s="3340">
        <f t="shared" si="1794"/>
        <v>2140</v>
      </c>
      <c r="BA110" s="3340">
        <f t="shared" si="1794"/>
        <v>2140</v>
      </c>
      <c r="BB110" s="3340">
        <f t="shared" si="1794"/>
        <v>1889</v>
      </c>
      <c r="BC110" s="3340">
        <f t="shared" si="1794"/>
        <v>1889</v>
      </c>
      <c r="BD110" s="3340">
        <f t="shared" si="1794"/>
        <v>1735</v>
      </c>
      <c r="BE110" s="3340">
        <f t="shared" si="1794"/>
        <v>1726</v>
      </c>
      <c r="BF110" s="3340">
        <f t="shared" si="1794"/>
        <v>1728</v>
      </c>
      <c r="BG110" s="3340">
        <f t="shared" si="1794"/>
        <v>1728</v>
      </c>
      <c r="BH110" s="3340">
        <f t="shared" si="1794"/>
        <v>1728</v>
      </c>
      <c r="BI110" s="3340">
        <f t="shared" si="1794"/>
        <v>1728</v>
      </c>
      <c r="BJ110" s="3340">
        <f t="shared" si="1794"/>
        <v>1729</v>
      </c>
      <c r="BK110" s="3340">
        <f t="shared" si="1794"/>
        <v>1729</v>
      </c>
      <c r="BL110" s="3340">
        <f t="shared" si="1794"/>
        <v>1710</v>
      </c>
      <c r="BM110" s="3340">
        <f t="shared" si="1794"/>
        <v>1708</v>
      </c>
      <c r="BN110" s="3340">
        <f t="shared" si="1794"/>
        <v>1704</v>
      </c>
      <c r="BO110" s="3340">
        <f t="shared" ref="BO110:CF110" si="1795">BO41</f>
        <v>1706</v>
      </c>
      <c r="BP110" s="3340">
        <f t="shared" si="1795"/>
        <v>1706</v>
      </c>
      <c r="BQ110" s="3340">
        <f t="shared" si="1795"/>
        <v>1706</v>
      </c>
      <c r="BR110" s="3340">
        <f t="shared" si="1795"/>
        <v>1706</v>
      </c>
      <c r="BS110" s="3340">
        <f t="shared" si="1795"/>
        <v>1706</v>
      </c>
      <c r="BT110" s="3340">
        <f t="shared" si="1795"/>
        <v>1697</v>
      </c>
      <c r="BU110" s="3340">
        <f t="shared" si="1795"/>
        <v>1698</v>
      </c>
      <c r="BV110" s="3340">
        <f t="shared" si="1795"/>
        <v>1698</v>
      </c>
      <c r="BW110" s="3340">
        <f t="shared" si="1795"/>
        <v>1698</v>
      </c>
      <c r="BX110" s="3340">
        <f t="shared" si="1795"/>
        <v>1696</v>
      </c>
      <c r="BY110" s="3340">
        <v>1696</v>
      </c>
      <c r="BZ110" s="3340">
        <v>1698</v>
      </c>
      <c r="CA110" s="3340">
        <f t="shared" si="1795"/>
        <v>1701</v>
      </c>
      <c r="CB110" s="3340">
        <f t="shared" si="1795"/>
        <v>1704</v>
      </c>
      <c r="CC110" s="3340">
        <f t="shared" si="1795"/>
        <v>1721</v>
      </c>
      <c r="CD110" s="3340">
        <f t="shared" si="1795"/>
        <v>1726</v>
      </c>
      <c r="CE110" s="3340">
        <f t="shared" si="1795"/>
        <v>1735</v>
      </c>
      <c r="CF110" s="3340">
        <f t="shared" si="1795"/>
        <v>1735</v>
      </c>
      <c r="CG110" s="3340">
        <f>CG41</f>
        <v>1770</v>
      </c>
      <c r="CH110" s="3340"/>
      <c r="CI110" s="3340"/>
      <c r="CJ110" s="3340"/>
      <c r="CK110" s="3340"/>
      <c r="CL110" s="3340"/>
      <c r="CM110" s="3340"/>
      <c r="CN110" s="3340"/>
      <c r="CO110" s="3340"/>
      <c r="CP110" s="3340"/>
      <c r="CQ110" s="3340"/>
    </row>
    <row r="111" spans="1:123" s="3334" customFormat="1">
      <c r="C111" s="3340">
        <f t="shared" ref="C111:L111" si="1796">C110-B110</f>
        <v>8</v>
      </c>
      <c r="D111" s="3340">
        <f t="shared" si="1796"/>
        <v>31</v>
      </c>
      <c r="E111" s="3340">
        <f t="shared" si="1796"/>
        <v>12</v>
      </c>
      <c r="F111" s="3340">
        <f t="shared" si="1796"/>
        <v>5</v>
      </c>
      <c r="G111" s="3340">
        <f t="shared" si="1796"/>
        <v>12</v>
      </c>
      <c r="H111" s="3340">
        <f t="shared" si="1796"/>
        <v>9</v>
      </c>
      <c r="I111" s="3340">
        <f t="shared" si="1796"/>
        <v>12</v>
      </c>
      <c r="J111" s="3340">
        <f t="shared" si="1796"/>
        <v>4</v>
      </c>
      <c r="K111" s="3340">
        <f t="shared" si="1796"/>
        <v>3</v>
      </c>
      <c r="L111" s="3340">
        <f t="shared" si="1796"/>
        <v>-8</v>
      </c>
      <c r="M111" s="3340">
        <f>M110-L110</f>
        <v>1</v>
      </c>
    </row>
    <row r="112" spans="1:123" s="3334" customFormat="1">
      <c r="AQ112" s="3351">
        <f t="shared" ref="AQ112:BR112" si="1797">(AQ7+AQ14)/(AVERAGE(SUM(AP10:AQ10),SUM(AP16:AQ16)))</f>
        <v>2.4150402576489518</v>
      </c>
      <c r="AR112" s="3351">
        <f t="shared" si="1797"/>
        <v>1.6794737400530488</v>
      </c>
      <c r="AS112" s="3351">
        <f t="shared" si="1797"/>
        <v>1.1429726027397304</v>
      </c>
      <c r="AT112" s="3351">
        <f t="shared" si="1797"/>
        <v>2.3172037914691916</v>
      </c>
      <c r="AU112" s="3351">
        <f t="shared" si="1797"/>
        <v>2.4836604443886121</v>
      </c>
      <c r="AV112" s="3351">
        <f t="shared" si="1797"/>
        <v>5.4306332249313378</v>
      </c>
      <c r="AW112" s="3351">
        <f t="shared" si="1797"/>
        <v>3.6250934710743792</v>
      </c>
      <c r="AX112" s="3351">
        <f t="shared" si="1797"/>
        <v>7.1420010162601626</v>
      </c>
      <c r="AY112" s="3351">
        <f t="shared" si="1797"/>
        <v>3.0284691848906564</v>
      </c>
      <c r="AZ112" s="3351">
        <f t="shared" si="1797"/>
        <v>3.2970304818092426</v>
      </c>
      <c r="BA112" s="3351">
        <f t="shared" si="1797"/>
        <v>0.16577279375914189</v>
      </c>
      <c r="BB112" s="3351">
        <f t="shared" si="1797"/>
        <v>0.15252621544327932</v>
      </c>
      <c r="BC112" s="3351">
        <f t="shared" si="1797"/>
        <v>5.2226344892221173</v>
      </c>
      <c r="BD112" s="3351">
        <f t="shared" si="1797"/>
        <v>2.3397285914833881</v>
      </c>
      <c r="BE112" s="3351">
        <f t="shared" si="1797"/>
        <v>2.7829313543599263</v>
      </c>
      <c r="BF112" s="3351">
        <f t="shared" ca="1" si="1797"/>
        <v>2.2706630336058113</v>
      </c>
      <c r="BG112" s="3351">
        <f t="shared" ca="1" si="1797"/>
        <v>2.8960070206230797</v>
      </c>
      <c r="BH112" s="3351">
        <f t="shared" ca="1" si="1797"/>
        <v>1.8010291595197243</v>
      </c>
      <c r="BI112" s="3351">
        <f t="shared" ca="1" si="1797"/>
        <v>1.9374667401441339</v>
      </c>
      <c r="BJ112" s="3351">
        <f t="shared" ca="1" si="1797"/>
        <v>2.0376418663303908</v>
      </c>
      <c r="BK112" s="3351">
        <f t="shared" ca="1" si="1797"/>
        <v>2.0384987384356603</v>
      </c>
      <c r="BL112" s="3351">
        <f t="shared" ca="1" si="1797"/>
        <v>1.5077745056794285</v>
      </c>
      <c r="BM112" s="3351">
        <f t="shared" ca="1" si="1797"/>
        <v>1.8549999999999982</v>
      </c>
      <c r="BN112" s="3351">
        <f t="shared" ca="1" si="1797"/>
        <v>1.8841635061104103</v>
      </c>
      <c r="BO112" s="3351">
        <f t="shared" ca="1" si="1797"/>
        <v>1.9210824524312902</v>
      </c>
      <c r="BP112" s="3351">
        <f t="shared" ca="1" si="1797"/>
        <v>1.984</v>
      </c>
      <c r="BQ112" s="3351">
        <f t="shared" ca="1" si="1797"/>
        <v>2.000629519353466</v>
      </c>
      <c r="BR112" s="3351">
        <f t="shared" ca="1" si="1797"/>
        <v>2.2507054794520553</v>
      </c>
      <c r="BS112" s="3351">
        <f ca="1">(BS7+BS14)/(AVERAGE(SUM(BR10:BS10),SUM(BR16:BS16)))</f>
        <v>2.7145708136030988</v>
      </c>
    </row>
    <row r="113" spans="62:95" s="3334" customFormat="1">
      <c r="BJ113" s="3343">
        <f t="shared" ref="BJ113:BR113" ca="1" si="1798">BJ112/AY112-1</f>
        <v>-0.32717100887260298</v>
      </c>
      <c r="BK113" s="3343">
        <f t="shared" ca="1" si="1798"/>
        <v>-0.38171674490645413</v>
      </c>
      <c r="BL113" s="3343">
        <f t="shared" ca="1" si="1798"/>
        <v>8.0954279739661992</v>
      </c>
      <c r="BM113" s="3343">
        <f t="shared" ca="1" si="1798"/>
        <v>11.161843749999987</v>
      </c>
      <c r="BN113" s="3343">
        <f t="shared" ca="1" si="1798"/>
        <v>-0.63923121367219282</v>
      </c>
      <c r="BO113" s="3343">
        <f t="shared" ca="1" si="1798"/>
        <v>-0.17892935983086666</v>
      </c>
      <c r="BP113" s="3343">
        <f t="shared" ca="1" si="1798"/>
        <v>-0.28708266666666682</v>
      </c>
      <c r="BQ113" s="3343">
        <f t="shared" ca="1" si="1798"/>
        <v>-0.11892275967673294</v>
      </c>
      <c r="BR113" s="3343">
        <f t="shared" ca="1" si="1798"/>
        <v>-0.2228245776255704</v>
      </c>
      <c r="BS113" s="3343">
        <f ca="1">BS112/BH112-1</f>
        <v>0.50723312793391218</v>
      </c>
    </row>
    <row r="114" spans="62:95" s="3334" customFormat="1">
      <c r="BT114" s="3343">
        <f ca="1">BU5/10700-1</f>
        <v>-3.4953271028037358E-2</v>
      </c>
    </row>
    <row r="115" spans="62:95" s="3334" customFormat="1">
      <c r="BT115" s="3338">
        <f ca="1">BT32/7281-1</f>
        <v>-9.9799752781211115E-2</v>
      </c>
    </row>
    <row r="116" spans="62:95" s="3334" customFormat="1">
      <c r="BY116" s="3340">
        <f>BY49+BY35</f>
        <v>4951</v>
      </c>
      <c r="BZ116" s="3340">
        <f t="shared" ref="BZ116:CO116" si="1799">BZ49+BZ35</f>
        <v>4946</v>
      </c>
      <c r="CA116" s="3340">
        <f t="shared" si="1799"/>
        <v>4832</v>
      </c>
      <c r="CB116" s="3340">
        <f t="shared" si="1799"/>
        <v>4758</v>
      </c>
      <c r="CC116" s="3340">
        <f t="shared" si="1799"/>
        <v>4750</v>
      </c>
      <c r="CD116" s="3340">
        <f t="shared" si="1799"/>
        <v>4749</v>
      </c>
      <c r="CE116" s="3340">
        <f t="shared" si="1799"/>
        <v>4748</v>
      </c>
      <c r="CF116" s="3340">
        <f t="shared" si="1799"/>
        <v>4748</v>
      </c>
      <c r="CG116" s="3340">
        <f t="shared" si="1799"/>
        <v>4743</v>
      </c>
      <c r="CH116" s="3340">
        <f t="shared" si="1799"/>
        <v>4749</v>
      </c>
      <c r="CI116" s="3340">
        <f t="shared" si="1799"/>
        <v>4752</v>
      </c>
      <c r="CJ116" s="3340">
        <f t="shared" si="1799"/>
        <v>4765</v>
      </c>
      <c r="CK116" s="3340">
        <f t="shared" si="1799"/>
        <v>4768</v>
      </c>
      <c r="CL116" s="3340">
        <f t="shared" si="1799"/>
        <v>4777</v>
      </c>
      <c r="CM116" s="3340">
        <f t="shared" si="1799"/>
        <v>4773</v>
      </c>
      <c r="CN116" s="3340">
        <f t="shared" si="1799"/>
        <v>4806</v>
      </c>
      <c r="CO116" s="3340">
        <f t="shared" si="1799"/>
        <v>4886</v>
      </c>
      <c r="CP116" s="3340">
        <f>CP49+CP35</f>
        <v>4895</v>
      </c>
      <c r="CQ116" s="3340"/>
    </row>
    <row r="117" spans="62:95" s="3334" customFormat="1"/>
    <row r="118" spans="62:95" s="3334" customFormat="1"/>
    <row r="119" spans="62:95" s="3334" customFormat="1"/>
    <row r="120" spans="62:95" s="3334" customFormat="1"/>
    <row r="121" spans="62:95" s="3334" customFormat="1"/>
    <row r="122" spans="62:95" s="3334" customFormat="1"/>
    <row r="123" spans="62:95" s="3334" customFormat="1"/>
    <row r="124" spans="62:95" s="3334" customFormat="1"/>
    <row r="125" spans="62:95" s="3334" customFormat="1"/>
    <row r="126" spans="62:95" s="3334" customFormat="1"/>
    <row r="127" spans="62:95" s="3333" customFormat="1"/>
    <row r="128" spans="62:95" s="3333" customFormat="1"/>
    <row r="129" spans="74:75" s="3333" customFormat="1"/>
    <row r="130" spans="74:75" s="3333" customFormat="1">
      <c r="BV130" s="3333">
        <v>1671</v>
      </c>
      <c r="BW130" s="3333">
        <f>1397.7</f>
        <v>1397.7</v>
      </c>
    </row>
    <row r="131" spans="74:75" s="3333" customFormat="1">
      <c r="BW131" s="3333">
        <f>BV130-BW130</f>
        <v>273.29999999999995</v>
      </c>
    </row>
    <row r="132" spans="74:75" s="3333" customFormat="1">
      <c r="BV132" s="3333">
        <f>876-719</f>
        <v>157</v>
      </c>
      <c r="BW132" s="3333">
        <f>BV132/220</f>
        <v>0.71363636363636362</v>
      </c>
    </row>
    <row r="133" spans="74:75" s="3333" customFormat="1">
      <c r="BV133" s="3333">
        <f>BW131-BV132</f>
        <v>116.29999999999995</v>
      </c>
    </row>
    <row r="134" spans="74:75" s="3333" customFormat="1"/>
  </sheetData>
  <sheetProtection algorithmName="SHA-512" hashValue="N4iAJ8XuBi1uZcGNCfTRePmfIaaeBhGE9oEn44TjkgmBV5kCyaP8rI5wg8TLknmHKfwh4hC2kXl10OVmvLzSWA==" saltValue="O80iuIADmhk1NcaV5Ba0Gg==" spinCount="100000" sheet="1" objects="1" scenarios="1"/>
  <protectedRanges>
    <protectedRange algorithmName="SHA-512" hashValue="Sn6ko4M9F9q3I1SIXoUvrYa6Cl3wF/NBFSpJbWzCHpCxl75S9enWPaC063p9lhsz/+oycgy47nbPmNL3UaIleA==" saltValue="wvR1cqFZxlXP8Fu5NQtImw==" spinCount="100000" sqref="A43:XFD54" name="BHX_by M"/>
  </protectedRanges>
  <phoneticPr fontId="64" type="noConversion"/>
  <conditionalFormatting sqref="A43:XFD43">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8"/>
  </sheetPr>
  <dimension ref="A1:DA327"/>
  <sheetViews>
    <sheetView showGridLines="0" zoomScale="93" zoomScaleNormal="100" zoomScaleSheetLayoutView="112" workbookViewId="0">
      <pane xSplit="1" ySplit="5" topLeftCell="H173" activePane="bottomRight" state="frozen"/>
      <selection pane="topRight" activeCell="B1" sqref="B1"/>
      <selection pane="bottomLeft" activeCell="A3" sqref="A3"/>
      <selection pane="bottomRight" activeCell="AS319" sqref="AS319"/>
    </sheetView>
  </sheetViews>
  <sheetFormatPr baseColWidth="10" defaultColWidth="9.1640625" defaultRowHeight="14" outlineLevelRow="1" outlineLevelCol="1"/>
  <cols>
    <col min="1" max="1" width="18.83203125" style="2178" customWidth="1"/>
    <col min="2" max="2" width="11.5" style="2178" bestFit="1" customWidth="1"/>
    <col min="3" max="3" width="13.5" style="3113" bestFit="1" customWidth="1"/>
    <col min="4" max="4" width="11.33203125" style="3113" bestFit="1" customWidth="1"/>
    <col min="5" max="5" width="14" style="3113" bestFit="1" customWidth="1"/>
    <col min="6" max="6" width="11.83203125" style="3113" bestFit="1" customWidth="1"/>
    <col min="7" max="7" width="13.6640625" style="3113" bestFit="1" customWidth="1"/>
    <col min="8" max="8" width="14.5" style="3113" bestFit="1" customWidth="1"/>
    <col min="9" max="9" width="14.83203125" style="3113" customWidth="1"/>
    <col min="10" max="10" width="11.6640625" style="3113" customWidth="1"/>
    <col min="11" max="11" width="15.1640625" style="3119" customWidth="1"/>
    <col min="12" max="12" width="11.6640625" style="3113" bestFit="1" customWidth="1"/>
    <col min="13" max="13" width="14.33203125" style="3113" customWidth="1"/>
    <col min="14" max="14" width="10.6640625" style="3113" customWidth="1" outlineLevel="1"/>
    <col min="15" max="19" width="11.5" style="3113" customWidth="1" outlineLevel="1"/>
    <col min="20" max="20" width="13" style="3113" bestFit="1" customWidth="1"/>
    <col min="21" max="21" width="12" style="3113" customWidth="1" outlineLevel="1"/>
    <col min="22" max="31" width="10.6640625" style="3113" customWidth="1" outlineLevel="1"/>
    <col min="32" max="32" width="12.6640625" style="3113" customWidth="1" outlineLevel="1"/>
    <col min="33" max="34" width="11.5" style="3113" customWidth="1" outlineLevel="1"/>
    <col min="35" max="35" width="11.33203125" style="3113" customWidth="1" outlineLevel="1"/>
    <col min="36" max="36" width="11.6640625" style="3113" customWidth="1" outlineLevel="1"/>
    <col min="37" max="37" width="11.5" style="3113" customWidth="1" outlineLevel="1"/>
    <col min="38" max="38" width="12.5" style="3113" customWidth="1" outlineLevel="1"/>
    <col min="39" max="39" width="10.6640625" style="3113" customWidth="1" outlineLevel="1"/>
    <col min="40" max="40" width="14.6640625" style="3113" customWidth="1" outlineLevel="1"/>
    <col min="41" max="41" width="14.1640625" style="3114" bestFit="1" customWidth="1"/>
    <col min="42" max="43" width="11.33203125" style="3113" bestFit="1" customWidth="1"/>
    <col min="44" max="44" width="10.6640625" style="3113" customWidth="1"/>
    <col min="45" max="45" width="11.33203125" style="3114" bestFit="1" customWidth="1"/>
    <col min="46" max="46" width="9.1640625" style="3113" customWidth="1"/>
    <col min="47" max="47" width="10.5" style="3113" customWidth="1"/>
    <col min="48" max="48" width="12.5" style="3113" customWidth="1"/>
    <col min="49" max="49" width="11.33203125" style="3115" bestFit="1" customWidth="1"/>
    <col min="50" max="50" width="11" style="3116" bestFit="1" customWidth="1"/>
    <col min="51" max="52" width="10.6640625" style="3116" bestFit="1" customWidth="1"/>
    <col min="53" max="53" width="10" style="2178" bestFit="1" customWidth="1"/>
    <col min="54" max="59" width="9.5" style="2178" bestFit="1" customWidth="1"/>
    <col min="60" max="60" width="11.33203125" style="2178" bestFit="1" customWidth="1"/>
    <col min="61" max="64" width="9.33203125" style="2178" bestFit="1" customWidth="1"/>
    <col min="65" max="80" width="9.1640625" style="2178"/>
    <col min="81" max="83" width="0" style="2178" hidden="1" customWidth="1" outlineLevel="1"/>
    <col min="84" max="104" width="10.83203125" style="2178" hidden="1" customWidth="1" outlineLevel="1"/>
    <col min="105" max="105" width="9.1640625" style="2178" collapsed="1"/>
    <col min="106" max="16384" width="9.1640625" style="2178"/>
  </cols>
  <sheetData>
    <row r="1" spans="1:104" outlineLevel="1">
      <c r="A1" s="2174"/>
      <c r="B1" s="2174"/>
      <c r="C1" s="2175"/>
      <c r="D1" s="2175"/>
      <c r="E1" s="2175"/>
      <c r="F1" s="2175"/>
      <c r="G1" s="2175"/>
      <c r="H1" s="2175"/>
      <c r="I1" s="2175"/>
      <c r="J1" s="2175"/>
      <c r="K1" s="2176"/>
      <c r="L1" s="2175"/>
      <c r="M1" s="2175"/>
      <c r="N1" s="2175"/>
      <c r="O1" s="2175"/>
      <c r="P1" s="2175"/>
      <c r="Q1" s="2175"/>
      <c r="R1" s="2175"/>
      <c r="S1" s="2175"/>
      <c r="T1" s="2175"/>
      <c r="U1" s="2175"/>
      <c r="V1" s="2175"/>
      <c r="W1" s="2175"/>
      <c r="X1" s="2175"/>
      <c r="Y1" s="2175"/>
      <c r="Z1" s="2175"/>
      <c r="AA1" s="2175"/>
      <c r="AB1" s="2175"/>
      <c r="AC1" s="2175"/>
      <c r="AD1" s="2175"/>
      <c r="AE1" s="2175"/>
      <c r="AF1" s="2175"/>
      <c r="AG1" s="2175" t="str">
        <f>RIGHT(AG4,4)</f>
        <v>2021</v>
      </c>
      <c r="AH1" s="2175" t="str">
        <f t="shared" ref="AH1:BE1" si="0">RIGHT(AH4,4)</f>
        <v>2021</v>
      </c>
      <c r="AI1" s="2175" t="str">
        <f t="shared" si="0"/>
        <v>2021</v>
      </c>
      <c r="AJ1" s="2175" t="str">
        <f t="shared" si="0"/>
        <v>2021</v>
      </c>
      <c r="AK1" s="2175" t="str">
        <f t="shared" si="0"/>
        <v>2022</v>
      </c>
      <c r="AL1" s="2175" t="str">
        <f t="shared" si="0"/>
        <v>2022</v>
      </c>
      <c r="AM1" s="2175" t="str">
        <f t="shared" si="0"/>
        <v>2022</v>
      </c>
      <c r="AN1" s="2175" t="str">
        <f t="shared" si="0"/>
        <v>2022</v>
      </c>
      <c r="AO1" s="2175" t="str">
        <f t="shared" si="0"/>
        <v>2023</v>
      </c>
      <c r="AP1" s="2175" t="str">
        <f t="shared" si="0"/>
        <v>2023</v>
      </c>
      <c r="AQ1" s="2175" t="str">
        <f t="shared" si="0"/>
        <v>2023</v>
      </c>
      <c r="AR1" s="2175" t="str">
        <f t="shared" si="0"/>
        <v>2023</v>
      </c>
      <c r="AS1" s="2175" t="str">
        <f t="shared" si="0"/>
        <v>2024</v>
      </c>
      <c r="AT1" s="2175" t="str">
        <f t="shared" si="0"/>
        <v>2024</v>
      </c>
      <c r="AU1" s="2175" t="str">
        <f t="shared" si="0"/>
        <v>2024</v>
      </c>
      <c r="AV1" s="2175" t="str">
        <f t="shared" si="0"/>
        <v>2024</v>
      </c>
      <c r="AW1" s="2177" t="str">
        <f t="shared" si="0"/>
        <v>2025</v>
      </c>
      <c r="AX1" s="2177" t="str">
        <f t="shared" si="0"/>
        <v>2025</v>
      </c>
      <c r="AY1" s="2177" t="str">
        <f t="shared" si="0"/>
        <v>2025</v>
      </c>
      <c r="AZ1" s="2177" t="str">
        <f t="shared" si="0"/>
        <v>2025</v>
      </c>
      <c r="BA1" s="2174" t="str">
        <f t="shared" si="0"/>
        <v>2026</v>
      </c>
      <c r="BB1" s="2174" t="str">
        <f t="shared" si="0"/>
        <v>2026</v>
      </c>
      <c r="BC1" s="2174" t="str">
        <f t="shared" si="0"/>
        <v>2026</v>
      </c>
      <c r="BD1" s="2174" t="str">
        <f t="shared" si="0"/>
        <v>2026</v>
      </c>
      <c r="BE1" s="2174" t="str">
        <f t="shared" si="0"/>
        <v>2027</v>
      </c>
      <c r="BF1" s="2174" t="str">
        <f>RIGHT(BF4,4)</f>
        <v>2027</v>
      </c>
      <c r="BG1" s="2174" t="str">
        <f>RIGHT(BG4,4)</f>
        <v>2027</v>
      </c>
      <c r="BH1" s="2174" t="str">
        <f>RIGHT(BH4,4)</f>
        <v>2027</v>
      </c>
      <c r="BI1" s="2174" t="str">
        <f t="shared" ref="BI1:BT1" si="1">RIGHT(BI4,4)</f>
        <v>2028</v>
      </c>
      <c r="BJ1" s="2174" t="str">
        <f t="shared" si="1"/>
        <v>2028</v>
      </c>
      <c r="BK1" s="2174" t="str">
        <f t="shared" si="1"/>
        <v>2028</v>
      </c>
      <c r="BL1" s="2174" t="str">
        <f t="shared" si="1"/>
        <v>2028</v>
      </c>
      <c r="BM1" s="2174" t="str">
        <f t="shared" si="1"/>
        <v>2029</v>
      </c>
      <c r="BN1" s="2174" t="str">
        <f t="shared" si="1"/>
        <v>2029</v>
      </c>
      <c r="BO1" s="2174" t="str">
        <f t="shared" si="1"/>
        <v>2029</v>
      </c>
      <c r="BP1" s="2174" t="str">
        <f t="shared" si="1"/>
        <v>2029</v>
      </c>
      <c r="BQ1" s="2174" t="str">
        <f t="shared" si="1"/>
        <v>2030</v>
      </c>
      <c r="BR1" s="2174" t="str">
        <f t="shared" si="1"/>
        <v>2030</v>
      </c>
      <c r="BS1" s="2174" t="str">
        <f t="shared" si="1"/>
        <v>2030</v>
      </c>
      <c r="BT1" s="2174" t="str">
        <f t="shared" si="1"/>
        <v>2030</v>
      </c>
      <c r="BU1" s="2174" t="str">
        <f t="shared" ref="BU1:CZ1" si="2">RIGHT(BU4,4)</f>
        <v>2031</v>
      </c>
      <c r="BV1" s="2174" t="str">
        <f t="shared" si="2"/>
        <v>2031</v>
      </c>
      <c r="BW1" s="2174" t="str">
        <f t="shared" si="2"/>
        <v>2031</v>
      </c>
      <c r="BX1" s="2174" t="str">
        <f t="shared" si="2"/>
        <v>2031</v>
      </c>
      <c r="BY1" s="2174" t="str">
        <f t="shared" si="2"/>
        <v>2032</v>
      </c>
      <c r="BZ1" s="2174" t="str">
        <f t="shared" si="2"/>
        <v>2032</v>
      </c>
      <c r="CA1" s="2174" t="str">
        <f t="shared" si="2"/>
        <v>2032</v>
      </c>
      <c r="CB1" s="2174" t="str">
        <f t="shared" si="2"/>
        <v>2032</v>
      </c>
      <c r="CC1" s="2174" t="str">
        <f t="shared" si="2"/>
        <v>2033</v>
      </c>
      <c r="CD1" s="2174" t="str">
        <f t="shared" si="2"/>
        <v>2033</v>
      </c>
      <c r="CE1" s="2174" t="str">
        <f t="shared" si="2"/>
        <v>2033</v>
      </c>
      <c r="CF1" s="2174" t="str">
        <f t="shared" si="2"/>
        <v>2033</v>
      </c>
      <c r="CG1" s="2174" t="str">
        <f t="shared" si="2"/>
        <v>2034</v>
      </c>
      <c r="CH1" s="2174" t="str">
        <f t="shared" si="2"/>
        <v>2034</v>
      </c>
      <c r="CI1" s="2174" t="str">
        <f t="shared" si="2"/>
        <v>2034</v>
      </c>
      <c r="CJ1" s="2174" t="str">
        <f t="shared" si="2"/>
        <v>2034</v>
      </c>
      <c r="CK1" s="2174" t="str">
        <f t="shared" si="2"/>
        <v>2035</v>
      </c>
      <c r="CL1" s="2174" t="str">
        <f t="shared" si="2"/>
        <v>2035</v>
      </c>
      <c r="CM1" s="2174" t="str">
        <f t="shared" si="2"/>
        <v>2035</v>
      </c>
      <c r="CN1" s="2174" t="str">
        <f t="shared" si="2"/>
        <v>2035</v>
      </c>
      <c r="CO1" s="2174" t="str">
        <f t="shared" si="2"/>
        <v>2036</v>
      </c>
      <c r="CP1" s="2174" t="str">
        <f t="shared" si="2"/>
        <v>2036</v>
      </c>
      <c r="CQ1" s="2174" t="str">
        <f t="shared" si="2"/>
        <v>2036</v>
      </c>
      <c r="CR1" s="2174" t="str">
        <f t="shared" si="2"/>
        <v>2036</v>
      </c>
      <c r="CS1" s="2174" t="str">
        <f t="shared" si="2"/>
        <v>2037</v>
      </c>
      <c r="CT1" s="2174" t="str">
        <f t="shared" si="2"/>
        <v>2037</v>
      </c>
      <c r="CU1" s="2174" t="str">
        <f t="shared" si="2"/>
        <v>2037</v>
      </c>
      <c r="CV1" s="2174" t="str">
        <f t="shared" si="2"/>
        <v>2037</v>
      </c>
      <c r="CW1" s="2174" t="str">
        <f t="shared" si="2"/>
        <v>1</v>
      </c>
      <c r="CX1" s="2174" t="str">
        <f t="shared" si="2"/>
        <v>2</v>
      </c>
      <c r="CY1" s="2174" t="str">
        <f t="shared" si="2"/>
        <v>3</v>
      </c>
      <c r="CZ1" s="2174" t="str">
        <f t="shared" si="2"/>
        <v>4</v>
      </c>
    </row>
    <row r="2" spans="1:104" outlineLevel="1">
      <c r="A2" s="2174"/>
      <c r="B2" s="2174"/>
      <c r="C2" s="2175"/>
      <c r="D2" s="2175"/>
      <c r="E2" s="2175"/>
      <c r="F2" s="2175"/>
      <c r="G2" s="2175"/>
      <c r="H2" s="2175"/>
      <c r="I2" s="2175"/>
      <c r="J2" s="2175"/>
      <c r="K2" s="2176"/>
      <c r="L2" s="2175"/>
      <c r="M2" s="2175"/>
      <c r="N2" s="2175"/>
      <c r="O2" s="2175"/>
      <c r="P2" s="2175"/>
      <c r="Q2" s="2175"/>
      <c r="R2" s="2175"/>
      <c r="S2" s="2175"/>
      <c r="T2" s="2175"/>
      <c r="U2" s="2175">
        <v>1</v>
      </c>
      <c r="V2" s="2175">
        <v>2</v>
      </c>
      <c r="W2" s="2175">
        <v>3</v>
      </c>
      <c r="X2" s="2175">
        <v>4</v>
      </c>
      <c r="Y2" s="2175">
        <f>U2</f>
        <v>1</v>
      </c>
      <c r="Z2" s="2175">
        <f t="shared" ref="Z2:AR2" si="3">V2</f>
        <v>2</v>
      </c>
      <c r="AA2" s="2175">
        <f>W2</f>
        <v>3</v>
      </c>
      <c r="AB2" s="2175">
        <f t="shared" si="3"/>
        <v>4</v>
      </c>
      <c r="AC2" s="2175">
        <f t="shared" si="3"/>
        <v>1</v>
      </c>
      <c r="AD2" s="2175">
        <f t="shared" si="3"/>
        <v>2</v>
      </c>
      <c r="AE2" s="2175">
        <f t="shared" si="3"/>
        <v>3</v>
      </c>
      <c r="AF2" s="2175">
        <f t="shared" si="3"/>
        <v>4</v>
      </c>
      <c r="AG2" s="2175">
        <f t="shared" si="3"/>
        <v>1</v>
      </c>
      <c r="AH2" s="2175">
        <f t="shared" si="3"/>
        <v>2</v>
      </c>
      <c r="AI2" s="2175">
        <f t="shared" si="3"/>
        <v>3</v>
      </c>
      <c r="AJ2" s="2175">
        <f t="shared" si="3"/>
        <v>4</v>
      </c>
      <c r="AK2" s="2175">
        <f t="shared" si="3"/>
        <v>1</v>
      </c>
      <c r="AL2" s="2175">
        <f t="shared" si="3"/>
        <v>2</v>
      </c>
      <c r="AM2" s="2175">
        <f t="shared" si="3"/>
        <v>3</v>
      </c>
      <c r="AN2" s="2175">
        <f t="shared" si="3"/>
        <v>4</v>
      </c>
      <c r="AO2" s="2175">
        <f t="shared" si="3"/>
        <v>1</v>
      </c>
      <c r="AP2" s="2175">
        <f t="shared" si="3"/>
        <v>2</v>
      </c>
      <c r="AQ2" s="2175">
        <f t="shared" si="3"/>
        <v>3</v>
      </c>
      <c r="AR2" s="2175">
        <f t="shared" si="3"/>
        <v>4</v>
      </c>
      <c r="AS2" s="2175">
        <f t="shared" ref="AS2:BH2" si="4">AO2</f>
        <v>1</v>
      </c>
      <c r="AT2" s="2175">
        <f t="shared" si="4"/>
        <v>2</v>
      </c>
      <c r="AU2" s="2175">
        <f t="shared" si="4"/>
        <v>3</v>
      </c>
      <c r="AV2" s="2175">
        <f t="shared" si="4"/>
        <v>4</v>
      </c>
      <c r="AW2" s="2177">
        <f t="shared" si="4"/>
        <v>1</v>
      </c>
      <c r="AX2" s="2177">
        <f t="shared" si="4"/>
        <v>2</v>
      </c>
      <c r="AY2" s="2177">
        <f t="shared" si="4"/>
        <v>3</v>
      </c>
      <c r="AZ2" s="2177">
        <f t="shared" si="4"/>
        <v>4</v>
      </c>
      <c r="BA2" s="2174">
        <f t="shared" si="4"/>
        <v>1</v>
      </c>
      <c r="BB2" s="2174">
        <f t="shared" si="4"/>
        <v>2</v>
      </c>
      <c r="BC2" s="2174">
        <f t="shared" si="4"/>
        <v>3</v>
      </c>
      <c r="BD2" s="2174">
        <f t="shared" si="4"/>
        <v>4</v>
      </c>
      <c r="BE2" s="2174">
        <f t="shared" si="4"/>
        <v>1</v>
      </c>
      <c r="BF2" s="2174">
        <f t="shared" si="4"/>
        <v>2</v>
      </c>
      <c r="BG2" s="2174">
        <f t="shared" si="4"/>
        <v>3</v>
      </c>
      <c r="BH2" s="2174">
        <f t="shared" si="4"/>
        <v>4</v>
      </c>
      <c r="BI2" s="2174">
        <f t="shared" ref="BI2" si="5">BE2</f>
        <v>1</v>
      </c>
      <c r="BJ2" s="2174">
        <f t="shared" ref="BJ2" si="6">BF2</f>
        <v>2</v>
      </c>
      <c r="BK2" s="2174">
        <f t="shared" ref="BK2" si="7">BG2</f>
        <v>3</v>
      </c>
      <c r="BL2" s="2174">
        <f t="shared" ref="BL2" si="8">BH2</f>
        <v>4</v>
      </c>
      <c r="BM2" s="2174">
        <f t="shared" ref="BM2" si="9">BI2</f>
        <v>1</v>
      </c>
      <c r="BN2" s="2174">
        <f t="shared" ref="BN2" si="10">BJ2</f>
        <v>2</v>
      </c>
      <c r="BO2" s="2174">
        <f t="shared" ref="BO2" si="11">BK2</f>
        <v>3</v>
      </c>
      <c r="BP2" s="2174">
        <f t="shared" ref="BP2" si="12">BL2</f>
        <v>4</v>
      </c>
      <c r="BQ2" s="2174">
        <f t="shared" ref="BQ2" si="13">BM2</f>
        <v>1</v>
      </c>
      <c r="BR2" s="2174">
        <f t="shared" ref="BR2" si="14">BN2</f>
        <v>2</v>
      </c>
      <c r="BS2" s="2174">
        <f t="shared" ref="BS2" si="15">BO2</f>
        <v>3</v>
      </c>
      <c r="BT2" s="2174">
        <f t="shared" ref="BT2" si="16">BP2</f>
        <v>4</v>
      </c>
      <c r="BU2" s="2174">
        <f t="shared" ref="BU2" si="17">BQ2</f>
        <v>1</v>
      </c>
      <c r="BV2" s="2174">
        <f t="shared" ref="BV2" si="18">BR2</f>
        <v>2</v>
      </c>
      <c r="BW2" s="2174">
        <f t="shared" ref="BW2" si="19">BS2</f>
        <v>3</v>
      </c>
      <c r="BX2" s="2174">
        <f t="shared" ref="BX2" si="20">BT2</f>
        <v>4</v>
      </c>
      <c r="BY2" s="2174">
        <f t="shared" ref="BY2" si="21">BU2</f>
        <v>1</v>
      </c>
      <c r="BZ2" s="2174">
        <f t="shared" ref="BZ2" si="22">BV2</f>
        <v>2</v>
      </c>
      <c r="CA2" s="2174">
        <f t="shared" ref="CA2" si="23">BW2</f>
        <v>3</v>
      </c>
      <c r="CB2" s="2174">
        <f t="shared" ref="CB2" si="24">BX2</f>
        <v>4</v>
      </c>
      <c r="CC2" s="2174">
        <f t="shared" ref="CC2" si="25">BY2</f>
        <v>1</v>
      </c>
      <c r="CD2" s="2174">
        <f t="shared" ref="CD2" si="26">BZ2</f>
        <v>2</v>
      </c>
      <c r="CE2" s="2174">
        <f t="shared" ref="CE2" si="27">CA2</f>
        <v>3</v>
      </c>
      <c r="CF2" s="2174">
        <f t="shared" ref="CF2" si="28">CB2</f>
        <v>4</v>
      </c>
      <c r="CG2" s="2174">
        <f t="shared" ref="CG2" si="29">CC2</f>
        <v>1</v>
      </c>
      <c r="CH2" s="2174">
        <f t="shared" ref="CH2" si="30">CD2</f>
        <v>2</v>
      </c>
      <c r="CI2" s="2174">
        <f t="shared" ref="CI2" si="31">CE2</f>
        <v>3</v>
      </c>
      <c r="CJ2" s="2174">
        <f t="shared" ref="CJ2" si="32">CF2</f>
        <v>4</v>
      </c>
      <c r="CK2" s="2174">
        <f t="shared" ref="CK2" si="33">CG2</f>
        <v>1</v>
      </c>
      <c r="CL2" s="2174">
        <f t="shared" ref="CL2" si="34">CH2</f>
        <v>2</v>
      </c>
      <c r="CM2" s="2174">
        <f t="shared" ref="CM2" si="35">CI2</f>
        <v>3</v>
      </c>
      <c r="CN2" s="2174">
        <f t="shared" ref="CN2" si="36">CJ2</f>
        <v>4</v>
      </c>
      <c r="CO2" s="2174">
        <f t="shared" ref="CO2" si="37">CK2</f>
        <v>1</v>
      </c>
      <c r="CP2" s="2174">
        <f t="shared" ref="CP2" si="38">CL2</f>
        <v>2</v>
      </c>
      <c r="CQ2" s="2174">
        <f t="shared" ref="CQ2" si="39">CM2</f>
        <v>3</v>
      </c>
      <c r="CR2" s="2174">
        <f t="shared" ref="CR2" si="40">CN2</f>
        <v>4</v>
      </c>
      <c r="CS2" s="2174">
        <f t="shared" ref="CS2" si="41">CO2</f>
        <v>1</v>
      </c>
      <c r="CT2" s="2174">
        <f t="shared" ref="CT2" si="42">CP2</f>
        <v>2</v>
      </c>
      <c r="CU2" s="2174">
        <f t="shared" ref="CU2" si="43">CQ2</f>
        <v>3</v>
      </c>
      <c r="CV2" s="2174">
        <f t="shared" ref="CV2" si="44">CR2</f>
        <v>4</v>
      </c>
      <c r="CW2" s="2174">
        <f t="shared" ref="CW2" si="45">CS2</f>
        <v>1</v>
      </c>
      <c r="CX2" s="2174">
        <f t="shared" ref="CX2" si="46">CT2</f>
        <v>2</v>
      </c>
      <c r="CY2" s="2174">
        <f t="shared" ref="CY2" si="47">CU2</f>
        <v>3</v>
      </c>
      <c r="CZ2" s="2174">
        <f t="shared" ref="CZ2" si="48">CV2</f>
        <v>4</v>
      </c>
    </row>
    <row r="3" spans="1:104" outlineLevel="1">
      <c r="A3" s="2174"/>
      <c r="B3" s="2174"/>
      <c r="C3" s="2175"/>
      <c r="D3" s="2175"/>
      <c r="E3" s="2175"/>
      <c r="F3" s="2179">
        <f t="shared" ref="F3:M3" si="49">(F8+F15)</f>
        <v>91445.948359167087</v>
      </c>
      <c r="G3" s="2179">
        <f t="shared" si="49"/>
        <v>87270.983999999997</v>
      </c>
      <c r="H3" s="2179">
        <f t="shared" si="49"/>
        <v>94308.786000000007</v>
      </c>
      <c r="I3" s="2179">
        <f t="shared" ca="1" si="49"/>
        <v>103655.51172900001</v>
      </c>
      <c r="J3" s="2179">
        <f t="shared" ca="1" si="49"/>
        <v>83505.679999999993</v>
      </c>
      <c r="K3" s="2179">
        <f t="shared" ca="1" si="49"/>
        <v>90798.886168975005</v>
      </c>
      <c r="L3" s="2179">
        <f t="shared" ca="1" si="49"/>
        <v>107657.81840730226</v>
      </c>
      <c r="M3" s="2179">
        <f t="shared" ca="1" si="49"/>
        <v>120831.54694497709</v>
      </c>
      <c r="N3" s="2175"/>
      <c r="O3" s="2175"/>
      <c r="P3" s="2175"/>
      <c r="Q3" s="2175"/>
      <c r="R3" s="2175"/>
      <c r="S3" s="2175"/>
      <c r="T3" s="2175">
        <v>0</v>
      </c>
      <c r="U3" s="2175">
        <v>1</v>
      </c>
      <c r="V3" s="2175">
        <v>2</v>
      </c>
      <c r="W3" s="2175">
        <v>3</v>
      </c>
      <c r="X3" s="2175">
        <v>4</v>
      </c>
      <c r="Y3" s="2175">
        <v>5</v>
      </c>
      <c r="Z3" s="2175">
        <v>6</v>
      </c>
      <c r="AA3" s="2175">
        <v>7</v>
      </c>
      <c r="AB3" s="2175">
        <v>8</v>
      </c>
      <c r="AC3" s="2175">
        <v>9</v>
      </c>
      <c r="AD3" s="2175">
        <v>10</v>
      </c>
      <c r="AE3" s="2175">
        <v>11</v>
      </c>
      <c r="AF3" s="2175">
        <v>12</v>
      </c>
      <c r="AG3" s="2175">
        <v>13</v>
      </c>
      <c r="AH3" s="2175">
        <v>14</v>
      </c>
      <c r="AI3" s="2175">
        <v>15</v>
      </c>
      <c r="AJ3" s="2175">
        <v>16</v>
      </c>
      <c r="AK3" s="2175">
        <v>17</v>
      </c>
      <c r="AL3" s="2175">
        <v>18</v>
      </c>
      <c r="AM3" s="2175">
        <v>19</v>
      </c>
      <c r="AN3" s="2175">
        <v>20</v>
      </c>
      <c r="AO3" s="2175">
        <v>21</v>
      </c>
      <c r="AP3" s="2175">
        <v>22</v>
      </c>
      <c r="AQ3" s="2175">
        <v>23</v>
      </c>
      <c r="AR3" s="2175">
        <v>24</v>
      </c>
      <c r="AS3" s="2175">
        <v>25</v>
      </c>
      <c r="AT3" s="2175">
        <v>26</v>
      </c>
      <c r="AU3" s="2175">
        <v>27</v>
      </c>
      <c r="AV3" s="2175">
        <v>28</v>
      </c>
      <c r="AW3" s="2177">
        <v>29</v>
      </c>
      <c r="AX3" s="2177">
        <v>30</v>
      </c>
      <c r="AY3" s="2177">
        <v>31</v>
      </c>
      <c r="AZ3" s="2177">
        <v>32</v>
      </c>
      <c r="BA3" s="2174">
        <v>33</v>
      </c>
      <c r="BB3" s="2174">
        <v>34</v>
      </c>
      <c r="BC3" s="2174">
        <v>35</v>
      </c>
      <c r="BD3" s="2174">
        <v>36</v>
      </c>
      <c r="BE3" s="2174">
        <v>37</v>
      </c>
      <c r="BF3" s="2174">
        <v>38</v>
      </c>
      <c r="BG3" s="2174">
        <v>39</v>
      </c>
      <c r="BH3" s="2174">
        <v>40</v>
      </c>
      <c r="BI3" s="2174">
        <v>41</v>
      </c>
      <c r="BJ3" s="2174">
        <v>42</v>
      </c>
      <c r="BK3" s="2174">
        <v>43</v>
      </c>
      <c r="BL3" s="2174">
        <v>44</v>
      </c>
      <c r="BM3" s="2174">
        <v>45</v>
      </c>
      <c r="BN3" s="2174">
        <v>46</v>
      </c>
      <c r="BO3" s="2174">
        <v>47</v>
      </c>
      <c r="BP3" s="2174">
        <v>48</v>
      </c>
      <c r="BQ3" s="2174">
        <v>49</v>
      </c>
      <c r="BR3" s="2174">
        <v>50</v>
      </c>
      <c r="BS3" s="2174">
        <v>51</v>
      </c>
      <c r="BT3" s="2174">
        <v>52</v>
      </c>
      <c r="BU3" s="2174">
        <v>53</v>
      </c>
      <c r="BV3" s="2174">
        <v>54</v>
      </c>
      <c r="BW3" s="2174">
        <v>55</v>
      </c>
      <c r="BX3" s="2174">
        <v>56</v>
      </c>
      <c r="BY3" s="2174">
        <v>57</v>
      </c>
      <c r="BZ3" s="2174">
        <v>58</v>
      </c>
      <c r="CA3" s="2174">
        <v>59</v>
      </c>
      <c r="CB3" s="2174">
        <v>60</v>
      </c>
      <c r="CC3" s="2174">
        <v>61</v>
      </c>
      <c r="CD3" s="2174">
        <v>62</v>
      </c>
      <c r="CE3" s="2174">
        <v>63</v>
      </c>
      <c r="CF3" s="2174">
        <v>64</v>
      </c>
      <c r="CG3" s="2174">
        <v>65</v>
      </c>
      <c r="CH3" s="2174">
        <v>66</v>
      </c>
      <c r="CI3" s="2174">
        <v>67</v>
      </c>
      <c r="CJ3" s="2174">
        <v>68</v>
      </c>
      <c r="CK3" s="2174">
        <v>69</v>
      </c>
      <c r="CL3" s="2174">
        <v>70</v>
      </c>
      <c r="CM3" s="2174">
        <v>71</v>
      </c>
      <c r="CN3" s="2174">
        <v>72</v>
      </c>
      <c r="CO3" s="2174">
        <v>73</v>
      </c>
      <c r="CP3" s="2174">
        <v>74</v>
      </c>
      <c r="CQ3" s="2174">
        <v>75</v>
      </c>
      <c r="CR3" s="2174">
        <v>76</v>
      </c>
      <c r="CS3" s="2174">
        <v>77</v>
      </c>
      <c r="CT3" s="2174">
        <v>78</v>
      </c>
      <c r="CU3" s="2174">
        <v>79</v>
      </c>
      <c r="CV3" s="2174">
        <v>80</v>
      </c>
      <c r="CW3" s="2174">
        <v>81</v>
      </c>
      <c r="CX3" s="2174">
        <v>82</v>
      </c>
      <c r="CY3" s="2174">
        <v>83</v>
      </c>
      <c r="CZ3" s="2174">
        <v>84</v>
      </c>
    </row>
    <row r="4" spans="1:104" s="2185" customFormat="1">
      <c r="A4" s="2180" t="s">
        <v>72</v>
      </c>
      <c r="B4" s="2180"/>
      <c r="C4" s="2181"/>
      <c r="D4" s="2181"/>
      <c r="E4" s="2181"/>
      <c r="F4" s="2181"/>
      <c r="G4" s="2181"/>
      <c r="H4" s="2182"/>
      <c r="I4" s="2183">
        <f>VALUE(I5)</f>
        <v>2022</v>
      </c>
      <c r="J4" s="2184"/>
      <c r="K4" s="2184">
        <f ca="1">K99-J99</f>
        <v>2.4216860158258018E-2</v>
      </c>
      <c r="L4" s="2181"/>
      <c r="M4" s="2181">
        <f ca="1">(M3/J3)^(1/3)-1</f>
        <v>0.1310664130319017</v>
      </c>
      <c r="N4" s="2181"/>
      <c r="O4" s="2181"/>
      <c r="P4" s="2181"/>
      <c r="Q4" s="2181"/>
      <c r="R4" s="2181"/>
      <c r="S4" s="2181"/>
      <c r="T4" s="2175">
        <v>1</v>
      </c>
      <c r="U4" s="2181">
        <v>12018</v>
      </c>
      <c r="V4" s="2181">
        <v>22018</v>
      </c>
      <c r="W4" s="2181">
        <v>32018</v>
      </c>
      <c r="X4" s="2181">
        <v>42018</v>
      </c>
      <c r="Y4" s="2181">
        <v>12019</v>
      </c>
      <c r="Z4" s="2181">
        <v>22019</v>
      </c>
      <c r="AA4" s="2181">
        <v>32019</v>
      </c>
      <c r="AB4" s="2181">
        <v>42019</v>
      </c>
      <c r="AC4" s="2181">
        <v>12020</v>
      </c>
      <c r="AD4" s="2181">
        <v>22020</v>
      </c>
      <c r="AE4" s="2181">
        <v>32020</v>
      </c>
      <c r="AF4" s="2181">
        <v>42020</v>
      </c>
      <c r="AG4" s="2181">
        <v>12021</v>
      </c>
      <c r="AH4" s="2181">
        <v>22021</v>
      </c>
      <c r="AI4" s="2181">
        <v>32021</v>
      </c>
      <c r="AJ4" s="2181">
        <v>42021</v>
      </c>
      <c r="AK4" s="2181">
        <v>12022</v>
      </c>
      <c r="AL4" s="2181">
        <v>22022</v>
      </c>
      <c r="AM4" s="2181">
        <v>32022</v>
      </c>
      <c r="AN4" s="2181">
        <v>42022</v>
      </c>
      <c r="AO4" s="2181" t="str">
        <f t="shared" ref="AO4:AR4" si="50">AO2&amp;RIGHT(AO5,4)</f>
        <v>12023</v>
      </c>
      <c r="AP4" s="2181" t="str">
        <f t="shared" si="50"/>
        <v>22023</v>
      </c>
      <c r="AQ4" s="2181" t="str">
        <f t="shared" si="50"/>
        <v>32023</v>
      </c>
      <c r="AR4" s="2181" t="str">
        <f t="shared" si="50"/>
        <v>42023</v>
      </c>
      <c r="AS4" s="2181" t="str">
        <f>AS2&amp;RIGHT(AS5,4)</f>
        <v>12024</v>
      </c>
      <c r="AT4" s="2181" t="str">
        <f t="shared" ref="AT4" si="51">AT2&amp;RIGHT(AT5,4)</f>
        <v>22024</v>
      </c>
      <c r="AU4" s="2181" t="str">
        <f t="shared" ref="AU4" si="52">AU2&amp;RIGHT(AU5,4)</f>
        <v>32024</v>
      </c>
      <c r="AV4" s="2181" t="str">
        <f t="shared" ref="AV4" si="53">AV2&amp;RIGHT(AV5,4)</f>
        <v>42024</v>
      </c>
      <c r="AW4" s="2181" t="str">
        <f t="shared" ref="AW4:AX4" si="54">AW2&amp;RIGHT(AW5,4)</f>
        <v>12025</v>
      </c>
      <c r="AX4" s="2181" t="str">
        <f t="shared" si="54"/>
        <v>22025</v>
      </c>
      <c r="AY4" s="2181" t="str">
        <f t="shared" ref="AY4" si="55">AY2&amp;RIGHT(AY5,4)</f>
        <v>32025</v>
      </c>
      <c r="AZ4" s="2181" t="str">
        <f t="shared" ref="AZ4" si="56">AZ2&amp;RIGHT(AZ5,4)</f>
        <v>42025</v>
      </c>
      <c r="BA4" s="2181" t="str">
        <f t="shared" ref="BA4" si="57">BA2&amp;RIGHT(BA5,4)</f>
        <v>12026</v>
      </c>
      <c r="BB4" s="2181" t="str">
        <f t="shared" ref="BB4:BC4" si="58">BB2&amp;RIGHT(BB5,4)</f>
        <v>22026</v>
      </c>
      <c r="BC4" s="2181" t="str">
        <f t="shared" si="58"/>
        <v>32026</v>
      </c>
      <c r="BD4" s="2181" t="str">
        <f t="shared" ref="BD4" si="59">BD2&amp;RIGHT(BD5,4)</f>
        <v>42026</v>
      </c>
      <c r="BE4" s="2181" t="str">
        <f t="shared" ref="BE4" si="60">BE2&amp;RIGHT(BE5,4)</f>
        <v>12027</v>
      </c>
      <c r="BF4" s="2181" t="str">
        <f t="shared" ref="BF4" si="61">BF2&amp;RIGHT(BF5,4)</f>
        <v>22027</v>
      </c>
      <c r="BG4" s="2181" t="str">
        <f t="shared" ref="BG4:BH4" si="62">BG2&amp;RIGHT(BG5,4)</f>
        <v>32027</v>
      </c>
      <c r="BH4" s="2181" t="str">
        <f t="shared" si="62"/>
        <v>42027</v>
      </c>
      <c r="BI4" s="2181" t="str">
        <f t="shared" ref="BI4" si="63">BI2&amp;RIGHT(BI5,4)</f>
        <v>12028</v>
      </c>
      <c r="BJ4" s="2181" t="str">
        <f t="shared" ref="BJ4" si="64">BJ2&amp;RIGHT(BJ5,4)</f>
        <v>22028</v>
      </c>
      <c r="BK4" s="2181" t="str">
        <f t="shared" ref="BK4" si="65">BK2&amp;RIGHT(BK5,4)</f>
        <v>32028</v>
      </c>
      <c r="BL4" s="2181" t="str">
        <f t="shared" ref="BL4:BM4" si="66">BL2&amp;RIGHT(BL5,4)</f>
        <v>42028</v>
      </c>
      <c r="BM4" s="2181" t="str">
        <f t="shared" si="66"/>
        <v>12029</v>
      </c>
      <c r="BN4" s="2181" t="str">
        <f t="shared" ref="BN4" si="67">BN2&amp;RIGHT(BN5,4)</f>
        <v>22029</v>
      </c>
      <c r="BO4" s="2181" t="str">
        <f t="shared" ref="BO4" si="68">BO2&amp;RIGHT(BO5,4)</f>
        <v>32029</v>
      </c>
      <c r="BP4" s="2181" t="str">
        <f t="shared" ref="BP4" si="69">BP2&amp;RIGHT(BP5,4)</f>
        <v>42029</v>
      </c>
      <c r="BQ4" s="2181" t="str">
        <f t="shared" ref="BQ4:BR4" si="70">BQ2&amp;RIGHT(BQ5,4)</f>
        <v>12030</v>
      </c>
      <c r="BR4" s="2181" t="str">
        <f t="shared" si="70"/>
        <v>22030</v>
      </c>
      <c r="BS4" s="2181" t="str">
        <f t="shared" ref="BS4" si="71">BS2&amp;RIGHT(BS5,4)</f>
        <v>32030</v>
      </c>
      <c r="BT4" s="2181" t="str">
        <f t="shared" ref="BT4" si="72">BT2&amp;RIGHT(BT5,4)</f>
        <v>42030</v>
      </c>
      <c r="BU4" s="2181" t="str">
        <f t="shared" ref="BU4" si="73">BU2&amp;RIGHT(BU5,4)</f>
        <v>12031</v>
      </c>
      <c r="BV4" s="2181" t="str">
        <f t="shared" ref="BV4:BW4" si="74">BV2&amp;RIGHT(BV5,4)</f>
        <v>22031</v>
      </c>
      <c r="BW4" s="2181" t="str">
        <f t="shared" si="74"/>
        <v>32031</v>
      </c>
      <c r="BX4" s="2181" t="str">
        <f t="shared" ref="BX4" si="75">BX2&amp;RIGHT(BX5,4)</f>
        <v>42031</v>
      </c>
      <c r="BY4" s="2181" t="str">
        <f t="shared" ref="BY4" si="76">BY2&amp;RIGHT(BY5,4)</f>
        <v>12032</v>
      </c>
      <c r="BZ4" s="2181" t="str">
        <f t="shared" ref="BZ4" si="77">BZ2&amp;RIGHT(BZ5,4)</f>
        <v>22032</v>
      </c>
      <c r="CA4" s="2181" t="str">
        <f t="shared" ref="CA4:CB4" si="78">CA2&amp;RIGHT(CA5,4)</f>
        <v>32032</v>
      </c>
      <c r="CB4" s="2181" t="str">
        <f t="shared" si="78"/>
        <v>42032</v>
      </c>
      <c r="CC4" s="2181" t="str">
        <f t="shared" ref="CC4" si="79">CC2&amp;RIGHT(CC5,4)</f>
        <v>12033</v>
      </c>
      <c r="CD4" s="2181" t="str">
        <f t="shared" ref="CD4" si="80">CD2&amp;RIGHT(CD5,4)</f>
        <v>22033</v>
      </c>
      <c r="CE4" s="2181" t="str">
        <f t="shared" ref="CE4" si="81">CE2&amp;RIGHT(CE5,4)</f>
        <v>32033</v>
      </c>
      <c r="CF4" s="2181" t="str">
        <f t="shared" ref="CF4:CG4" si="82">CF2&amp;RIGHT(CF5,4)</f>
        <v>42033</v>
      </c>
      <c r="CG4" s="2181" t="str">
        <f t="shared" si="82"/>
        <v>12034</v>
      </c>
      <c r="CH4" s="2181" t="str">
        <f t="shared" ref="CH4" si="83">CH2&amp;RIGHT(CH5,4)</f>
        <v>22034</v>
      </c>
      <c r="CI4" s="2181" t="str">
        <f t="shared" ref="CI4" si="84">CI2&amp;RIGHT(CI5,4)</f>
        <v>32034</v>
      </c>
      <c r="CJ4" s="2181" t="str">
        <f t="shared" ref="CJ4" si="85">CJ2&amp;RIGHT(CJ5,4)</f>
        <v>42034</v>
      </c>
      <c r="CK4" s="2181" t="str">
        <f t="shared" ref="CK4:CL4" si="86">CK2&amp;RIGHT(CK5,4)</f>
        <v>12035</v>
      </c>
      <c r="CL4" s="2181" t="str">
        <f t="shared" si="86"/>
        <v>22035</v>
      </c>
      <c r="CM4" s="2181" t="str">
        <f t="shared" ref="CM4" si="87">CM2&amp;RIGHT(CM5,4)</f>
        <v>32035</v>
      </c>
      <c r="CN4" s="2181" t="str">
        <f t="shared" ref="CN4" si="88">CN2&amp;RIGHT(CN5,4)</f>
        <v>42035</v>
      </c>
      <c r="CO4" s="2181" t="str">
        <f t="shared" ref="CO4" si="89">CO2&amp;RIGHT(CO5,4)</f>
        <v>12036</v>
      </c>
      <c r="CP4" s="2181" t="str">
        <f t="shared" ref="CP4:CQ4" si="90">CP2&amp;RIGHT(CP5,4)</f>
        <v>22036</v>
      </c>
      <c r="CQ4" s="2181" t="str">
        <f t="shared" si="90"/>
        <v>32036</v>
      </c>
      <c r="CR4" s="2181" t="str">
        <f t="shared" ref="CR4" si="91">CR2&amp;RIGHT(CR5,4)</f>
        <v>42036</v>
      </c>
      <c r="CS4" s="2181" t="str">
        <f t="shared" ref="CS4" si="92">CS2&amp;RIGHT(CS5,4)</f>
        <v>12037</v>
      </c>
      <c r="CT4" s="2181" t="str">
        <f t="shared" ref="CT4" si="93">CT2&amp;RIGHT(CT5,4)</f>
        <v>22037</v>
      </c>
      <c r="CU4" s="2181" t="str">
        <f t="shared" ref="CU4:CV4" si="94">CU2&amp;RIGHT(CU5,4)</f>
        <v>32037</v>
      </c>
      <c r="CV4" s="2181" t="str">
        <f t="shared" si="94"/>
        <v>42037</v>
      </c>
      <c r="CW4" s="2181" t="str">
        <f t="shared" ref="CW4" si="95">CW2&amp;RIGHT(CW5,4)</f>
        <v>1</v>
      </c>
      <c r="CX4" s="2181" t="str">
        <f t="shared" ref="CX4" si="96">CX2&amp;RIGHT(CX5,4)</f>
        <v>2</v>
      </c>
      <c r="CY4" s="2181" t="str">
        <f t="shared" ref="CY4" si="97">CY2&amp;RIGHT(CY5,4)</f>
        <v>3</v>
      </c>
      <c r="CZ4" s="2181" t="str">
        <f t="shared" ref="CZ4" si="98">CZ2&amp;RIGHT(CZ5,4)</f>
        <v>4</v>
      </c>
    </row>
    <row r="5" spans="1:104" s="2191" customFormat="1">
      <c r="A5" s="2186" t="s">
        <v>73</v>
      </c>
      <c r="B5" s="2186">
        <v>2015</v>
      </c>
      <c r="C5" s="2187">
        <v>2016</v>
      </c>
      <c r="D5" s="2187">
        <v>2017</v>
      </c>
      <c r="E5" s="2187">
        <v>2018</v>
      </c>
      <c r="F5" s="2187">
        <v>2019</v>
      </c>
      <c r="G5" s="2188">
        <v>2020</v>
      </c>
      <c r="H5" s="2188">
        <v>2021</v>
      </c>
      <c r="I5" s="2188">
        <v>2022</v>
      </c>
      <c r="J5" s="2188">
        <v>2023</v>
      </c>
      <c r="K5" s="2188">
        <v>2024</v>
      </c>
      <c r="L5" s="2187">
        <v>2025</v>
      </c>
      <c r="M5" s="2187">
        <v>2026</v>
      </c>
      <c r="N5" s="2187">
        <v>2027</v>
      </c>
      <c r="O5" s="2187">
        <v>2028</v>
      </c>
      <c r="P5" s="2187">
        <v>2029</v>
      </c>
      <c r="Q5" s="2187">
        <v>2030</v>
      </c>
      <c r="R5" s="2187" t="s">
        <v>74</v>
      </c>
      <c r="S5" s="2187"/>
      <c r="T5" s="2189">
        <v>2</v>
      </c>
      <c r="U5" s="2187" t="s">
        <v>75</v>
      </c>
      <c r="V5" s="2187" t="s">
        <v>76</v>
      </c>
      <c r="W5" s="2187" t="s">
        <v>77</v>
      </c>
      <c r="X5" s="2187" t="s">
        <v>78</v>
      </c>
      <c r="Y5" s="2187" t="s">
        <v>79</v>
      </c>
      <c r="Z5" s="2187" t="s">
        <v>80</v>
      </c>
      <c r="AA5" s="2187" t="s">
        <v>81</v>
      </c>
      <c r="AB5" s="2187" t="s">
        <v>82</v>
      </c>
      <c r="AC5" s="2187" t="s">
        <v>83</v>
      </c>
      <c r="AD5" s="2187" t="s">
        <v>84</v>
      </c>
      <c r="AE5" s="2187" t="s">
        <v>85</v>
      </c>
      <c r="AF5" s="2187" t="s">
        <v>86</v>
      </c>
      <c r="AG5" s="2187" t="s">
        <v>87</v>
      </c>
      <c r="AH5" s="2187" t="s">
        <v>88</v>
      </c>
      <c r="AI5" s="2187" t="s">
        <v>89</v>
      </c>
      <c r="AJ5" s="2187" t="s">
        <v>90</v>
      </c>
      <c r="AK5" s="2187" t="s">
        <v>91</v>
      </c>
      <c r="AL5" s="2187" t="s">
        <v>92</v>
      </c>
      <c r="AM5" s="2187" t="s">
        <v>93</v>
      </c>
      <c r="AN5" s="2187" t="s">
        <v>94</v>
      </c>
      <c r="AO5" s="2187" t="s">
        <v>95</v>
      </c>
      <c r="AP5" s="2187" t="s">
        <v>96</v>
      </c>
      <c r="AQ5" s="2187" t="s">
        <v>97</v>
      </c>
      <c r="AR5" s="2187" t="s">
        <v>98</v>
      </c>
      <c r="AS5" s="2187" t="s">
        <v>99</v>
      </c>
      <c r="AT5" s="2187" t="s">
        <v>100</v>
      </c>
      <c r="AU5" s="2187" t="s">
        <v>101</v>
      </c>
      <c r="AV5" s="2187" t="s">
        <v>102</v>
      </c>
      <c r="AW5" s="2190" t="s">
        <v>103</v>
      </c>
      <c r="AX5" s="2190" t="s">
        <v>104</v>
      </c>
      <c r="AY5" s="2190" t="s">
        <v>105</v>
      </c>
      <c r="AZ5" s="2190" t="s">
        <v>106</v>
      </c>
      <c r="BA5" s="2186" t="s">
        <v>107</v>
      </c>
      <c r="BB5" s="2186" t="s">
        <v>108</v>
      </c>
      <c r="BC5" s="2186" t="s">
        <v>109</v>
      </c>
      <c r="BD5" s="2186" t="s">
        <v>110</v>
      </c>
      <c r="BE5" s="2186" t="s">
        <v>111</v>
      </c>
      <c r="BF5" s="2186" t="s">
        <v>112</v>
      </c>
      <c r="BG5" s="2186" t="s">
        <v>113</v>
      </c>
      <c r="BH5" s="2186" t="s">
        <v>114</v>
      </c>
      <c r="BI5" s="2186" t="s">
        <v>115</v>
      </c>
      <c r="BJ5" s="2186" t="s">
        <v>116</v>
      </c>
      <c r="BK5" s="2186" t="s">
        <v>117</v>
      </c>
      <c r="BL5" s="2186" t="s">
        <v>118</v>
      </c>
      <c r="BM5" s="2186" t="s">
        <v>119</v>
      </c>
      <c r="BN5" s="2186" t="s">
        <v>120</v>
      </c>
      <c r="BO5" s="2186" t="s">
        <v>121</v>
      </c>
      <c r="BP5" s="2186" t="s">
        <v>122</v>
      </c>
      <c r="BQ5" s="2186" t="s">
        <v>123</v>
      </c>
      <c r="BR5" s="2186" t="s">
        <v>124</v>
      </c>
      <c r="BS5" s="2186" t="s">
        <v>125</v>
      </c>
      <c r="BT5" s="2186" t="s">
        <v>126</v>
      </c>
      <c r="BU5" s="2186" t="s">
        <v>127</v>
      </c>
      <c r="BV5" s="2186" t="s">
        <v>128</v>
      </c>
      <c r="BW5" s="2186" t="s">
        <v>129</v>
      </c>
      <c r="BX5" s="2186" t="s">
        <v>130</v>
      </c>
      <c r="BY5" s="2186" t="s">
        <v>131</v>
      </c>
      <c r="BZ5" s="2186" t="s">
        <v>132</v>
      </c>
      <c r="CA5" s="2186" t="s">
        <v>133</v>
      </c>
      <c r="CB5" s="2186" t="s">
        <v>134</v>
      </c>
      <c r="CC5" s="2186" t="s">
        <v>135</v>
      </c>
      <c r="CD5" s="2186" t="s">
        <v>136</v>
      </c>
      <c r="CE5" s="2186" t="s">
        <v>137</v>
      </c>
      <c r="CF5" s="2186" t="s">
        <v>138</v>
      </c>
      <c r="CG5" s="2186" t="s">
        <v>139</v>
      </c>
      <c r="CH5" s="2186" t="s">
        <v>140</v>
      </c>
      <c r="CI5" s="2186" t="s">
        <v>141</v>
      </c>
      <c r="CJ5" s="2186" t="s">
        <v>142</v>
      </c>
      <c r="CK5" s="2186" t="s">
        <v>143</v>
      </c>
      <c r="CL5" s="2186" t="s">
        <v>144</v>
      </c>
      <c r="CM5" s="2186" t="s">
        <v>145</v>
      </c>
      <c r="CN5" s="2186" t="s">
        <v>146</v>
      </c>
      <c r="CO5" s="2186" t="s">
        <v>147</v>
      </c>
      <c r="CP5" s="2186" t="s">
        <v>148</v>
      </c>
      <c r="CQ5" s="2186" t="s">
        <v>149</v>
      </c>
      <c r="CR5" s="2186" t="s">
        <v>150</v>
      </c>
      <c r="CS5" s="2186" t="s">
        <v>151</v>
      </c>
      <c r="CT5" s="2186" t="s">
        <v>152</v>
      </c>
      <c r="CU5" s="2186" t="s">
        <v>153</v>
      </c>
      <c r="CV5" s="2186" t="s">
        <v>154</v>
      </c>
    </row>
    <row r="6" spans="1:104" s="2203" customFormat="1">
      <c r="A6" s="2192" t="s">
        <v>155</v>
      </c>
      <c r="B6" s="2193">
        <f>'FS Year'!N4</f>
        <v>25252.733079244001</v>
      </c>
      <c r="C6" s="2194">
        <f>'FS Year'!O4</f>
        <v>44613.332672987999</v>
      </c>
      <c r="D6" s="2194">
        <f>'FS Year'!P4</f>
        <v>66339.804192177995</v>
      </c>
      <c r="E6" s="2195">
        <f>'FS Year'!Q4</f>
        <v>86516.287002498997</v>
      </c>
      <c r="F6" s="2195">
        <f>'FS Year'!R4</f>
        <v>102174.243976723</v>
      </c>
      <c r="G6" s="2195">
        <f>'FS Year'!S4</f>
        <v>108546.01966541199</v>
      </c>
      <c r="H6" s="2195">
        <f>'FS Year'!T4</f>
        <v>122958.106103174</v>
      </c>
      <c r="I6" s="2196">
        <f ca="1">I8+I15+I23+I28+I30</f>
        <v>133404.78146</v>
      </c>
      <c r="J6" s="2196">
        <f>'FS Year'!V4</f>
        <v>118279.788455442</v>
      </c>
      <c r="K6" s="2196">
        <f>'FS Year'!W4</f>
        <v>134341.15284880201</v>
      </c>
      <c r="L6" s="2197">
        <f ca="1">L8+L15+L23+L28+L30</f>
        <v>159591.72685726223</v>
      </c>
      <c r="M6" s="2197">
        <f ca="1">M8+M15+M23+M28+M30</f>
        <v>193997.30007748908</v>
      </c>
      <c r="N6" s="2197">
        <f ca="1">N8+N15+N23+N28</f>
        <v>222597.77989764314</v>
      </c>
      <c r="O6" s="2197">
        <f ca="1">O8+O15+O23+O28</f>
        <v>256485.9856286986</v>
      </c>
      <c r="P6" s="2197">
        <f ca="1">P8+P15+P23+P28</f>
        <v>285405.00902979268</v>
      </c>
      <c r="Q6" s="2197">
        <f ca="1">Q8+Q15+Q23+Q28</f>
        <v>312067.08024857118</v>
      </c>
      <c r="R6" s="2197">
        <v>135000</v>
      </c>
      <c r="S6" s="2197">
        <v>150000</v>
      </c>
      <c r="T6" s="2175">
        <v>3</v>
      </c>
      <c r="U6" s="2198">
        <f>'FS Quarter'!AP2</f>
        <v>23073.465470685001</v>
      </c>
      <c r="V6" s="2198">
        <f>'FS Quarter'!AQ2</f>
        <v>22127.707569982002</v>
      </c>
      <c r="W6" s="2198">
        <f>'FS Quarter'!AR2</f>
        <v>21211.714779753998</v>
      </c>
      <c r="X6" s="2198">
        <f>'FS Quarter'!AS2</f>
        <v>21325.491158215002</v>
      </c>
      <c r="Y6" s="2198">
        <f>'FS Quarter'!AT2</f>
        <v>25309.615197439001</v>
      </c>
      <c r="Z6" s="2198">
        <f>'FS Quarter'!AU2</f>
        <v>26974.108534093</v>
      </c>
      <c r="AA6" s="2198">
        <f>'FS Quarter'!AV2</f>
        <v>25485.647042510001</v>
      </c>
      <c r="AB6" s="2198">
        <f>'FS Quarter'!AW2</f>
        <v>25715.675898404999</v>
      </c>
      <c r="AC6" s="2198">
        <f>'FS Quarter'!AX2</f>
        <v>29673.745407169001</v>
      </c>
      <c r="AD6" s="2198">
        <f>'FS Quarter'!AY2</f>
        <v>26593.356800951999</v>
      </c>
      <c r="AE6" s="2198">
        <f>'FS Quarter'!AZ2</f>
        <v>26021.650222198001</v>
      </c>
      <c r="AF6" s="2198">
        <f>'FS Quarter'!BA2</f>
        <v>27512.501260337001</v>
      </c>
      <c r="AG6" s="2198">
        <f>'FS Quarter'!BB2</f>
        <v>31156.445464032</v>
      </c>
      <c r="AH6" s="2198">
        <f>'FS Quarter'!BC2</f>
        <v>31982.973207654999</v>
      </c>
      <c r="AI6" s="2198">
        <f>'FS Quarter'!BD2</f>
        <v>24504.825927283</v>
      </c>
      <c r="AJ6" s="2198">
        <f>'FS Quarter'!BE2</f>
        <v>36497.281090978002</v>
      </c>
      <c r="AK6" s="2198">
        <f>'FS Quarter'!BF2</f>
        <v>36819.173885618999</v>
      </c>
      <c r="AL6" s="2198">
        <f>'FS Quarter'!BG2</f>
        <v>34702.840342035997</v>
      </c>
      <c r="AM6" s="2198">
        <f>'FS Quarter'!BH2</f>
        <v>32322.456456197</v>
      </c>
      <c r="AN6" s="2198">
        <f>'FS Quarter'!BI2</f>
        <v>30877.778203704998</v>
      </c>
      <c r="AO6" s="2199">
        <f t="shared" ref="AO6:AW6" ca="1" si="99">AO8+AO15+AO23+AO11+AO28</f>
        <v>27080.330372074233</v>
      </c>
      <c r="AP6" s="2197">
        <f t="shared" ca="1" si="99"/>
        <v>29747.121312074236</v>
      </c>
      <c r="AQ6" s="2197">
        <f t="shared" ca="1" si="99"/>
        <v>30219.353632074235</v>
      </c>
      <c r="AR6" s="2197">
        <f t="shared" ca="1" si="99"/>
        <v>31233.188972074237</v>
      </c>
      <c r="AS6" s="2199">
        <f t="shared" ca="1" si="99"/>
        <v>31399.976591729413</v>
      </c>
      <c r="AT6" s="2197">
        <f t="shared" ca="1" si="99"/>
        <v>34254.390971729408</v>
      </c>
      <c r="AU6" s="2197">
        <f t="shared" ca="1" si="99"/>
        <v>34149.066781729409</v>
      </c>
      <c r="AV6" s="2197">
        <f t="shared" ca="1" si="99"/>
        <v>35706.079992761428</v>
      </c>
      <c r="AW6" s="2200">
        <f t="shared" ca="1" si="99"/>
        <v>36247.46232357902</v>
      </c>
      <c r="AX6" s="2201">
        <f t="shared" ref="AX6" si="100">AX8+AX15+AX23+AX11+AX28</f>
        <v>37876.849530779829</v>
      </c>
      <c r="AY6" s="2201">
        <f t="shared" ref="AY6:CB6" ca="1" si="101">AY8+AY15+AY23+AY11+AY28</f>
        <v>39892.884998680209</v>
      </c>
      <c r="AZ6" s="2201">
        <f t="shared" ca="1" si="101"/>
        <v>45574.530004223168</v>
      </c>
      <c r="BA6" s="2202">
        <f t="shared" ca="1" si="101"/>
        <v>42020.029604601688</v>
      </c>
      <c r="BB6" s="2202">
        <f t="shared" si="101"/>
        <v>44673.76755153964</v>
      </c>
      <c r="BC6" s="2202">
        <f t="shared" ca="1" si="101"/>
        <v>48013.895384809592</v>
      </c>
      <c r="BD6" s="2202">
        <f t="shared" ca="1" si="101"/>
        <v>54474.679740582862</v>
      </c>
      <c r="BE6" s="2202">
        <f t="shared" ca="1" si="101"/>
        <v>50025.594049486637</v>
      </c>
      <c r="BF6" s="2202">
        <f t="shared" si="101"/>
        <v>52141.011036029769</v>
      </c>
      <c r="BG6" s="2202">
        <f t="shared" ca="1" si="101"/>
        <v>55761.8105189997</v>
      </c>
      <c r="BH6" s="2202">
        <f t="shared" ca="1" si="101"/>
        <v>63242.132497171711</v>
      </c>
      <c r="BI6" s="2202">
        <f t="shared" ca="1" si="101"/>
        <v>57668.682882096648</v>
      </c>
      <c r="BJ6" s="2202">
        <f t="shared" si="101"/>
        <v>60548.416480180866</v>
      </c>
      <c r="BK6" s="2202">
        <f t="shared" ca="1" si="101"/>
        <v>64493.217577814969</v>
      </c>
      <c r="BL6" s="2202">
        <f t="shared" ca="1" si="101"/>
        <v>72348.436892650818</v>
      </c>
      <c r="BM6" s="2202">
        <f t="shared" ca="1" si="101"/>
        <v>64927.919774204121</v>
      </c>
      <c r="BN6" s="2202">
        <f t="shared" si="101"/>
        <v>67633.771368435948</v>
      </c>
      <c r="BO6" s="2202">
        <f t="shared" ca="1" si="101"/>
        <v>71627.96307615946</v>
      </c>
      <c r="BP6" s="2202">
        <f t="shared" ca="1" si="101"/>
        <v>79788.123015037869</v>
      </c>
      <c r="BQ6" s="2202">
        <f t="shared" ca="1" si="101"/>
        <v>71656.420768186435</v>
      </c>
      <c r="BR6" s="2202">
        <f t="shared" si="101"/>
        <v>74308.571066558972</v>
      </c>
      <c r="BS6" s="2202">
        <f t="shared" ca="1" si="101"/>
        <v>78197.927602867363</v>
      </c>
      <c r="BT6" s="2202">
        <f t="shared" ca="1" si="101"/>
        <v>86476.92901500313</v>
      </c>
      <c r="BU6" s="2202">
        <f t="shared" ca="1" si="101"/>
        <v>77680.498298230697</v>
      </c>
      <c r="BV6" s="2202">
        <f t="shared" si="101"/>
        <v>80648.171086965987</v>
      </c>
      <c r="BW6" s="2202">
        <f t="shared" ca="1" si="101"/>
        <v>84738.850407022925</v>
      </c>
      <c r="BX6" s="2202">
        <f t="shared" ca="1" si="101"/>
        <v>93538.083607595516</v>
      </c>
      <c r="BY6" s="2202">
        <f t="shared" ca="1" si="101"/>
        <v>84166.243377611856</v>
      </c>
      <c r="BZ6" s="2202">
        <f t="shared" si="101"/>
        <v>87433.38354760893</v>
      </c>
      <c r="CA6" s="2202">
        <f t="shared" ca="1" si="101"/>
        <v>91738.594788097223</v>
      </c>
      <c r="CB6" s="2202">
        <f t="shared" ca="1" si="101"/>
        <v>101095.35811839887</v>
      </c>
      <c r="CC6" s="2202">
        <f t="shared" ref="CC6:CN6" si="102">CC8+CC15+CC23+CC11+CC28</f>
        <v>0</v>
      </c>
      <c r="CD6" s="2202">
        <f t="shared" si="102"/>
        <v>0</v>
      </c>
      <c r="CE6" s="2202">
        <f t="shared" si="102"/>
        <v>0</v>
      </c>
      <c r="CF6" s="2202">
        <f t="shared" si="102"/>
        <v>0</v>
      </c>
      <c r="CG6" s="2202">
        <f t="shared" si="102"/>
        <v>0</v>
      </c>
      <c r="CH6" s="2202">
        <f t="shared" si="102"/>
        <v>0</v>
      </c>
      <c r="CI6" s="2202">
        <f t="shared" si="102"/>
        <v>0</v>
      </c>
      <c r="CJ6" s="2202">
        <f t="shared" si="102"/>
        <v>0</v>
      </c>
      <c r="CK6" s="2202">
        <f t="shared" si="102"/>
        <v>0</v>
      </c>
      <c r="CL6" s="2202">
        <f t="shared" si="102"/>
        <v>0</v>
      </c>
      <c r="CM6" s="2202">
        <f t="shared" si="102"/>
        <v>0</v>
      </c>
      <c r="CN6" s="2202">
        <f t="shared" si="102"/>
        <v>0</v>
      </c>
      <c r="CO6" s="2202">
        <f t="shared" ref="CO6:CZ6" si="103">CO8+CO15+CO23+CO11+CO28</f>
        <v>0</v>
      </c>
      <c r="CP6" s="2202">
        <f t="shared" si="103"/>
        <v>0</v>
      </c>
      <c r="CQ6" s="2202">
        <f t="shared" si="103"/>
        <v>0</v>
      </c>
      <c r="CR6" s="2202">
        <f t="shared" si="103"/>
        <v>0</v>
      </c>
      <c r="CS6" s="2202">
        <f t="shared" si="103"/>
        <v>0</v>
      </c>
      <c r="CT6" s="2202">
        <f t="shared" si="103"/>
        <v>0</v>
      </c>
      <c r="CU6" s="2202">
        <f t="shared" si="103"/>
        <v>0</v>
      </c>
      <c r="CV6" s="2202">
        <f t="shared" si="103"/>
        <v>0</v>
      </c>
      <c r="CW6" s="2202">
        <f t="shared" si="103"/>
        <v>0</v>
      </c>
      <c r="CX6" s="2202">
        <f t="shared" si="103"/>
        <v>0</v>
      </c>
      <c r="CY6" s="2202">
        <f t="shared" si="103"/>
        <v>0</v>
      </c>
      <c r="CZ6" s="2202">
        <f t="shared" si="103"/>
        <v>0</v>
      </c>
    </row>
    <row r="7" spans="1:104" s="2216" customFormat="1">
      <c r="A7" s="2204"/>
      <c r="B7" s="2205">
        <f>B6/'FS Year'!M2-1</f>
        <v>0.59457551173763168</v>
      </c>
      <c r="C7" s="2206">
        <f t="shared" ref="C7:Q7" si="104">C6/B6-1</f>
        <v>0.76667343423738443</v>
      </c>
      <c r="D7" s="2206">
        <f t="shared" si="104"/>
        <v>0.4869950352833583</v>
      </c>
      <c r="E7" s="2207">
        <f t="shared" si="104"/>
        <v>0.30413841367201333</v>
      </c>
      <c r="F7" s="2207">
        <f t="shared" si="104"/>
        <v>0.18098276656014756</v>
      </c>
      <c r="G7" s="2207">
        <f t="shared" si="104"/>
        <v>6.2361857946711119E-2</v>
      </c>
      <c r="H7" s="2207">
        <f t="shared" si="104"/>
        <v>0.132773974413678</v>
      </c>
      <c r="I7" s="2207">
        <f t="shared" ca="1" si="104"/>
        <v>8.4961257845499016E-2</v>
      </c>
      <c r="J7" s="2207">
        <f t="shared" ca="1" si="104"/>
        <v>-0.11337669339155632</v>
      </c>
      <c r="K7" s="2208">
        <f t="shared" si="104"/>
        <v>0.13579128440367993</v>
      </c>
      <c r="L7" s="2209">
        <f t="shared" ca="1" si="104"/>
        <v>0.1879585925310554</v>
      </c>
      <c r="M7" s="2209">
        <f t="shared" ca="1" si="104"/>
        <v>0.2155849422633227</v>
      </c>
      <c r="N7" s="2209">
        <f t="shared" ca="1" si="104"/>
        <v>0.14742720547517951</v>
      </c>
      <c r="O7" s="2209">
        <f t="shared" ca="1" si="104"/>
        <v>0.15223963934697937</v>
      </c>
      <c r="P7" s="2209">
        <f t="shared" ca="1" si="104"/>
        <v>0.11275089097054458</v>
      </c>
      <c r="Q7" s="2209">
        <f t="shared" ca="1" si="104"/>
        <v>9.341837170067091E-2</v>
      </c>
      <c r="R7" s="2209">
        <f ca="1">R6/$I$6-1</f>
        <v>1.1957731368708924E-2</v>
      </c>
      <c r="S7" s="2209">
        <f ca="1">S6/$I$6-1</f>
        <v>0.12439747929856537</v>
      </c>
      <c r="T7" s="2175">
        <v>4</v>
      </c>
      <c r="U7" s="2210"/>
      <c r="V7" s="2210"/>
      <c r="W7" s="2210"/>
      <c r="X7" s="2210"/>
      <c r="Y7" s="2209">
        <f>Y6/U6-1</f>
        <v>9.6914342130142606E-2</v>
      </c>
      <c r="Z7" s="2209">
        <f t="shared" ref="Z7:AL7" si="105">Z6/V6-1</f>
        <v>0.21901956851081716</v>
      </c>
      <c r="AA7" s="2209">
        <f t="shared" si="105"/>
        <v>0.2014892387123437</v>
      </c>
      <c r="AB7" s="2209">
        <f t="shared" si="105"/>
        <v>0.20586558628914919</v>
      </c>
      <c r="AC7" s="2209">
        <f>AC6/Y6-1</f>
        <v>0.17242973374686432</v>
      </c>
      <c r="AD7" s="2209">
        <f>AD6/Z6-1</f>
        <v>-1.4115451958672254E-2</v>
      </c>
      <c r="AE7" s="2209">
        <f>AE6/AA6-1</f>
        <v>2.1031570389166365E-2</v>
      </c>
      <c r="AF7" s="2209">
        <f>AF6/AB6-1</f>
        <v>6.9872764341514015E-2</v>
      </c>
      <c r="AG7" s="2209">
        <f t="shared" si="105"/>
        <v>4.9966731078874504E-2</v>
      </c>
      <c r="AH7" s="2209">
        <f t="shared" si="105"/>
        <v>0.20266777327298757</v>
      </c>
      <c r="AI7" s="2209">
        <f t="shared" si="105"/>
        <v>-5.8290857111785388E-2</v>
      </c>
      <c r="AJ7" s="2209">
        <f t="shared" si="105"/>
        <v>0.32657081032446067</v>
      </c>
      <c r="AK7" s="2209">
        <f t="shared" si="105"/>
        <v>0.18175142694388025</v>
      </c>
      <c r="AL7" s="2209">
        <f t="shared" si="105"/>
        <v>8.5041097233887308E-2</v>
      </c>
      <c r="AM7" s="2209">
        <f t="shared" ref="AM7:AN7" si="106">AM6/AI6-1</f>
        <v>0.31902412006975589</v>
      </c>
      <c r="AN7" s="2209">
        <f t="shared" si="106"/>
        <v>-0.15397045257330488</v>
      </c>
      <c r="AO7" s="2211">
        <f t="shared" ref="AO7:CF7" ca="1" si="107">AO6/AK6-1</f>
        <v>-0.26450467204394845</v>
      </c>
      <c r="AP7" s="2212">
        <f t="shared" ca="1" si="107"/>
        <v>-0.14280442122654824</v>
      </c>
      <c r="AQ7" s="2212">
        <f t="shared" ca="1" si="107"/>
        <v>-6.5066305432969318E-2</v>
      </c>
      <c r="AR7" s="2212">
        <f t="shared" ca="1" si="107"/>
        <v>1.1510244228860822E-2</v>
      </c>
      <c r="AS7" s="2211">
        <f t="shared" ca="1" si="107"/>
        <v>0.15951231614624928</v>
      </c>
      <c r="AT7" s="2209">
        <f t="shared" ca="1" si="107"/>
        <v>0.15151952393543677</v>
      </c>
      <c r="AU7" s="2209">
        <f t="shared" ca="1" si="107"/>
        <v>0.13003961625056903</v>
      </c>
      <c r="AV7" s="2209">
        <f t="shared" ca="1" si="107"/>
        <v>0.14320955265523572</v>
      </c>
      <c r="AW7" s="2213">
        <f t="shared" ca="1" si="107"/>
        <v>0.15437864157919168</v>
      </c>
      <c r="AX7" s="2214">
        <f t="shared" ca="1" si="107"/>
        <v>0.10575165566481926</v>
      </c>
      <c r="AY7" s="2214">
        <f t="shared" ca="1" si="107"/>
        <v>0.16819839481012955</v>
      </c>
      <c r="AZ7" s="2214">
        <f t="shared" ca="1" si="107"/>
        <v>0.276380101469059</v>
      </c>
      <c r="BA7" s="2215">
        <f t="shared" ca="1" si="107"/>
        <v>0.15925438392048763</v>
      </c>
      <c r="BB7" s="2215">
        <f t="shared" si="107"/>
        <v>0.17944781852134861</v>
      </c>
      <c r="BC7" s="2215">
        <f t="shared" ca="1" si="107"/>
        <v>0.20357039573342606</v>
      </c>
      <c r="BD7" s="2215">
        <f t="shared" ca="1" si="107"/>
        <v>0.19528780078554764</v>
      </c>
      <c r="BE7" s="2215">
        <f t="shared" ca="1" si="107"/>
        <v>0.1905178201970672</v>
      </c>
      <c r="BF7" s="2215">
        <f t="shared" si="107"/>
        <v>0.16715052017663945</v>
      </c>
      <c r="BG7" s="2215">
        <f t="shared" ca="1" si="107"/>
        <v>0.16136818460768665</v>
      </c>
      <c r="BH7" s="2215">
        <f t="shared" ca="1" si="107"/>
        <v>0.16094546674419852</v>
      </c>
      <c r="BI7" s="2215">
        <f t="shared" ca="1" si="107"/>
        <v>0.15278356964735429</v>
      </c>
      <c r="BJ7" s="2215">
        <f t="shared" si="107"/>
        <v>0.16124362142386395</v>
      </c>
      <c r="BK7" s="2215">
        <f t="shared" ca="1" si="107"/>
        <v>0.15658399498775633</v>
      </c>
      <c r="BL7" s="2215">
        <f t="shared" ca="1" si="107"/>
        <v>0.14399110270176863</v>
      </c>
      <c r="BM7" s="2215">
        <f t="shared" ca="1" si="107"/>
        <v>0.1258783195542883</v>
      </c>
      <c r="BN7" s="2215">
        <f t="shared" si="107"/>
        <v>0.11701965633691369</v>
      </c>
      <c r="BO7" s="2215">
        <f t="shared" ca="1" si="107"/>
        <v>0.11062784221823008</v>
      </c>
      <c r="BP7" s="2215">
        <f t="shared" ca="1" si="107"/>
        <v>0.10283133184239923</v>
      </c>
      <c r="BQ7" s="2215">
        <f t="shared" ca="1" si="107"/>
        <v>0.10363031831886205</v>
      </c>
      <c r="BR7" s="2215">
        <f t="shared" si="107"/>
        <v>9.8690337135895589E-2</v>
      </c>
      <c r="BS7" s="2215">
        <f t="shared" ca="1" si="107"/>
        <v>9.1723458891638465E-2</v>
      </c>
      <c r="BT7" s="2215">
        <f t="shared" ca="1" si="107"/>
        <v>8.383210116002604E-2</v>
      </c>
      <c r="BU7" s="2215">
        <f t="shared" ca="1" si="107"/>
        <v>8.4068914766655345E-2</v>
      </c>
      <c r="BV7" s="2215">
        <f t="shared" si="107"/>
        <v>8.5314519299914515E-2</v>
      </c>
      <c r="BW7" s="2215">
        <f t="shared" ca="1" si="107"/>
        <v>8.3645730835400389E-2</v>
      </c>
      <c r="BX7" s="2215">
        <f t="shared" ca="1" si="107"/>
        <v>8.1653623377020201E-2</v>
      </c>
      <c r="BY7" s="2215">
        <f t="shared" ca="1" si="107"/>
        <v>8.3492578207738921E-2</v>
      </c>
      <c r="BZ7" s="2215">
        <f t="shared" si="107"/>
        <v>8.4133494525575614E-2</v>
      </c>
      <c r="CA7" s="2215">
        <f t="shared" ca="1" si="107"/>
        <v>8.2603721285487097E-2</v>
      </c>
      <c r="CB7" s="2215">
        <f t="shared" ca="1" si="107"/>
        <v>8.0793557226456647E-2</v>
      </c>
      <c r="CC7" s="2215">
        <f t="shared" ca="1" si="107"/>
        <v>-1</v>
      </c>
      <c r="CD7" s="2215">
        <f t="shared" si="107"/>
        <v>-1</v>
      </c>
      <c r="CE7" s="2215">
        <f t="shared" ca="1" si="107"/>
        <v>-1</v>
      </c>
      <c r="CF7" s="2215">
        <f t="shared" ca="1" si="107"/>
        <v>-1</v>
      </c>
      <c r="CG7" s="2215" t="e">
        <f t="shared" ref="CG7" si="108">CG6/CC6-1</f>
        <v>#DIV/0!</v>
      </c>
      <c r="CH7" s="2215" t="e">
        <f t="shared" ref="CH7" si="109">CH6/CD6-1</f>
        <v>#DIV/0!</v>
      </c>
      <c r="CI7" s="2215" t="e">
        <f t="shared" ref="CI7" si="110">CI6/CE6-1</f>
        <v>#DIV/0!</v>
      </c>
      <c r="CJ7" s="2215" t="e">
        <f t="shared" ref="CJ7" si="111">CJ6/CF6-1</f>
        <v>#DIV/0!</v>
      </c>
      <c r="CK7" s="2215" t="e">
        <f t="shared" ref="CK7" si="112">CK6/CG6-1</f>
        <v>#DIV/0!</v>
      </c>
      <c r="CL7" s="2215" t="e">
        <f t="shared" ref="CL7" si="113">CL6/CH6-1</f>
        <v>#DIV/0!</v>
      </c>
      <c r="CM7" s="2215" t="e">
        <f t="shared" ref="CM7" si="114">CM6/CI6-1</f>
        <v>#DIV/0!</v>
      </c>
      <c r="CN7" s="2215" t="e">
        <f t="shared" ref="CN7" si="115">CN6/CJ6-1</f>
        <v>#DIV/0!</v>
      </c>
      <c r="CO7" s="2215" t="e">
        <f t="shared" ref="CO7" si="116">CO6/CK6-1</f>
        <v>#DIV/0!</v>
      </c>
      <c r="CP7" s="2215" t="e">
        <f t="shared" ref="CP7" si="117">CP6/CL6-1</f>
        <v>#DIV/0!</v>
      </c>
      <c r="CQ7" s="2215" t="e">
        <f t="shared" ref="CQ7" si="118">CQ6/CM6-1</f>
        <v>#DIV/0!</v>
      </c>
      <c r="CR7" s="2215" t="e">
        <f t="shared" ref="CR7" si="119">CR6/CN6-1</f>
        <v>#DIV/0!</v>
      </c>
      <c r="CS7" s="2215" t="e">
        <f t="shared" ref="CS7" si="120">CS6/CO6-1</f>
        <v>#DIV/0!</v>
      </c>
      <c r="CT7" s="2215" t="e">
        <f t="shared" ref="CT7" si="121">CT6/CP6-1</f>
        <v>#DIV/0!</v>
      </c>
      <c r="CU7" s="2215" t="e">
        <f t="shared" ref="CU7" si="122">CU6/CQ6-1</f>
        <v>#DIV/0!</v>
      </c>
      <c r="CV7" s="2215" t="e">
        <f t="shared" ref="CV7" si="123">CV6/CR6-1</f>
        <v>#DIV/0!</v>
      </c>
      <c r="CW7" s="2215" t="e">
        <f t="shared" ref="CW7" si="124">CW6/CS6-1</f>
        <v>#DIV/0!</v>
      </c>
      <c r="CX7" s="2215" t="e">
        <f t="shared" ref="CX7" si="125">CX6/CT6-1</f>
        <v>#DIV/0!</v>
      </c>
      <c r="CY7" s="2215" t="e">
        <f t="shared" ref="CY7" si="126">CY6/CU6-1</f>
        <v>#DIV/0!</v>
      </c>
      <c r="CZ7" s="2215" t="e">
        <f t="shared" ref="CZ7" si="127">CZ6/CV6-1</f>
        <v>#DIV/0!</v>
      </c>
    </row>
    <row r="8" spans="1:104" s="2231" customFormat="1">
      <c r="A8" s="2217" t="s">
        <v>156</v>
      </c>
      <c r="B8" s="2218">
        <v>20769</v>
      </c>
      <c r="C8" s="2219">
        <v>30655.33</v>
      </c>
      <c r="D8" s="2219">
        <v>34708</v>
      </c>
      <c r="E8" s="2220">
        <v>34606.516000000003</v>
      </c>
      <c r="F8" s="2220">
        <v>33206.629292434976</v>
      </c>
      <c r="G8" s="2220">
        <v>29524.512000000002</v>
      </c>
      <c r="H8" s="2220">
        <v>31600.206000000002</v>
      </c>
      <c r="I8" s="2221">
        <f ca="1">SUMIF($AG$1:BE1,I5,$AG$8:BE8)+I11</f>
        <v>34685.242020000005</v>
      </c>
      <c r="J8" s="2221">
        <f ca="1">SUMIF($AG$1:BF1,J5,$AG$8:BF8)+J11</f>
        <v>28268.92</v>
      </c>
      <c r="K8" s="2222">
        <f ca="1">SUMIF($AG$1:BG1,K5,$AG$8:BG8)+K11</f>
        <v>30894.166293521557</v>
      </c>
      <c r="L8" s="2223">
        <f ca="1">SUMIF($AG$1:BH1,L5,$AG$8:BH8)+L11</f>
        <v>38280.546214507878</v>
      </c>
      <c r="M8" s="2223">
        <f ca="1">SUMIF($AG$1:BI1,M5,$AG$8:BI8)+M11</f>
        <v>41780.461519368851</v>
      </c>
      <c r="N8" s="2223">
        <f ca="1">SUMIF($AG$1:$CJ1,N5,$AG$8:$CJ8)+N11</f>
        <v>45762.244011003888</v>
      </c>
      <c r="O8" s="2223">
        <f ca="1">SUMIF($AG$1:$CJ1,O5,$AG$8:$CJ8)+O11</f>
        <v>50132.391568787338</v>
      </c>
      <c r="P8" s="2223">
        <f ca="1">SUMIF($AG$1:$CJ1,P5,$AG$8:$CJ8)+P11</f>
        <v>51859.170119422386</v>
      </c>
      <c r="Q8" s="2223">
        <f ca="1">SUMIF($AG$1:$CJ1,Q5,$AG$8:$CJ8)+Q11</f>
        <v>53414.945223005059</v>
      </c>
      <c r="R8" s="2223">
        <f>0.75*R6</f>
        <v>101250</v>
      </c>
      <c r="S8" s="2223">
        <f>0.75*S6</f>
        <v>112500</v>
      </c>
      <c r="T8" s="2224">
        <v>5</v>
      </c>
      <c r="U8" s="2225">
        <f>SUMIF(Rev_Month!$B$1:$BS$1,U$4,Rev_Month!$B$7:$BS$7)</f>
        <v>9554</v>
      </c>
      <c r="V8" s="2225">
        <f>SUMIF(Rev_Month!$B$1:$BS$1,V$4,Rev_Month!$B$7:$BS$7)</f>
        <v>8485</v>
      </c>
      <c r="W8" s="2225">
        <f>SUMIF(Rev_Month!$B$1:$BS$1,W$4,Rev_Month!$B$7:$BS$7)</f>
        <v>8570</v>
      </c>
      <c r="X8" s="2225">
        <f>SUMIF(Rev_Month!$B$1:$BS$1,X$4,Rev_Month!$B$7:$BS$7)</f>
        <v>7997.5160000000033</v>
      </c>
      <c r="Y8" s="2225">
        <f>SUMIF(Rev_Month!$B$1:$BS$1,Y$4,Rev_Month!$B$7:$BS$7)</f>
        <v>8831.0010000000002</v>
      </c>
      <c r="Z8" s="2225">
        <f>SUMIF(Rev_Month!$B$1:$BS$1,Z$4,Rev_Month!$B$7:$BS$7)</f>
        <v>8445.8169999999991</v>
      </c>
      <c r="AA8" s="2225">
        <f>SUMIF(Rev_Month!$B$1:$BS$1,AA$4,Rev_Month!$B$7:$BS$7)</f>
        <v>8285.2609999999986</v>
      </c>
      <c r="AB8" s="2225">
        <f>SUMIF(Rev_Month!$B$1:$BS$1,AB$4,Rev_Month!$B$7:$BS$7)</f>
        <v>7644.471000000005</v>
      </c>
      <c r="AC8" s="2225">
        <f>SUMIF(Rev_Month!$B$1:$BS$1,AC$4,Rev_Month!$B$7:$BS$7)</f>
        <v>8365.6049999999996</v>
      </c>
      <c r="AD8" s="2225">
        <f>SUMIF(Rev_Month!$B$1:$BS$1,AD$4,Rev_Month!$B$7:$BS$7)</f>
        <v>6100.5350000000017</v>
      </c>
      <c r="AE8" s="2225">
        <f>SUMIF(Rev_Month!$B$1:$BS$1,AE$4,Rev_Month!$B$7:$BS$7)</f>
        <v>7498.9</v>
      </c>
      <c r="AF8" s="2225">
        <f>SUMIF(Rev_Month!$B$1:$BS$1,AF$4,Rev_Month!$B$7:$BS$7)</f>
        <v>7559.4720000000016</v>
      </c>
      <c r="AG8" s="2225">
        <f>SUMIF(Rev_Month!$B$1:$QQ$1,AG$4,Rev_Month!$B$7:$QQ$7)</f>
        <v>8261.6360000000004</v>
      </c>
      <c r="AH8" s="2225">
        <f>SUMIF(Rev_Month!$B$1:$QQ$1,AH$4,Rev_Month!$B$7:$QQ$7)</f>
        <v>7360.1139999999996</v>
      </c>
      <c r="AI8" s="2225">
        <f>SUMIF(Rev_Month!$B$1:$QQ$1,AI$4,Rev_Month!$B$7:$QQ$7)</f>
        <v>4867.7700000000004</v>
      </c>
      <c r="AJ8" s="2225">
        <f>SUMIF(Rev_Month!$B$1:$QQ$1,AJ$4,Rev_Month!$B$7:$QQ$7)</f>
        <v>11110.686000000002</v>
      </c>
      <c r="AK8" s="2225">
        <f>SUMIF(Rev_Month!$B$1:$QQ$1,AK$4,Rev_Month!$B$7:$QQ$7)</f>
        <v>9604.3690000000006</v>
      </c>
      <c r="AL8" s="2225">
        <f>SUMIF(Rev_Month!$B$1:$QQ$1,AL$4,Rev_Month!$B$7:$QQ$7)</f>
        <v>8395.6309999999994</v>
      </c>
      <c r="AM8" s="2225">
        <f ca="1">SUMIF(Rev_Month!$B$1:$QQ$1,AM$4,Rev_Month!$B$7:$QQ$7)</f>
        <v>7529.5768730895661</v>
      </c>
      <c r="AN8" s="2225">
        <f ca="1">SUMIF(Rev_Month!$B$1:$QQ$1,AN$4,Rev_Month!$B$7:$QQ$7)</f>
        <v>6552.4664335500038</v>
      </c>
      <c r="AO8" s="2226">
        <f ca="1">SUMIF(Rev_Month!$B$1:$QQ$1,AO$4,Rev_Month!$B$7:$QQ$7)</f>
        <v>5706.7949636169196</v>
      </c>
      <c r="AP8" s="2227">
        <f ca="1">SUMIF(Rev_Month!$B$1:$QQ$1,AP$4,Rev_Month!$B$7:$QQ$7)</f>
        <v>5719.7407833691668</v>
      </c>
      <c r="AQ8" s="2227">
        <f ca="1">SUMIF(Rev_Month!$B$1:$QQ$1,AQ$4,Rev_Month!$B$7:$QQ$7)</f>
        <v>6373.5489140912687</v>
      </c>
      <c r="AR8" s="2227">
        <f ca="1">SUMIF(Rev_Month!$B$1:$QQ$1,AR$4,Rev_Month!$B$7:$QQ$7)</f>
        <v>6511.4930894849967</v>
      </c>
      <c r="AS8" s="2226">
        <f ca="1">SUMIF(Rev_Month!$B$1:$QQ$1,AS$4,Rev_Month!$B$7:$QQ$7)</f>
        <v>5813.0250229594021</v>
      </c>
      <c r="AT8" s="2225">
        <f ca="1">SUMIF(Rev_Month!$B$1:$QQ$1,AT$4,Rev_Month!$B$7:$QQ$7)</f>
        <v>5696.8590060868719</v>
      </c>
      <c r="AU8" s="2225">
        <f ca="1">SUMIF(Rev_Month!$B$1:$QQ$1,AU$4,Rev_Month!$B$7:$QQ$7)</f>
        <v>7242.1599520584823</v>
      </c>
      <c r="AV8" s="2225">
        <f ca="1">SUMIF(Rev_Month!$B$1:$QQ$1,AV$4,Rev_Month!$B$7:$QQ$7)</f>
        <v>8231.852577040896</v>
      </c>
      <c r="AW8" s="2228">
        <f ca="1">SUMIF(Rev_Month!$B$1:$QQ$1,AW$4,Rev_Month!$B$7:$QQ$7)</f>
        <v>7398.9782305248882</v>
      </c>
      <c r="AX8" s="2229">
        <f>SUMIF(Rev_Month!$B$1:$QQ$1,AX$4,Rev_Month!$B$7:$QQ$7)</f>
        <v>7236.3469930631027</v>
      </c>
      <c r="AY8" s="2229">
        <f ca="1">SUMIF(Rev_Month!$B$1:$QQ$1,AY$4,Rev_Month!$B$7:$QQ$7)</f>
        <v>8722.547468978486</v>
      </c>
      <c r="AZ8" s="2229">
        <f ca="1">SUMIF(Rev_Month!$B$1:$QQ$1,AZ$4,Rev_Month!$B$7:$QQ$7)</f>
        <v>11163.004073077207</v>
      </c>
      <c r="BA8" s="2230">
        <f ca="1">SUMIF(Rev_Month!$B$1:$QQ$1,BA$4,Rev_Month!$B$7:$QQ$7)</f>
        <v>8087.932890940745</v>
      </c>
      <c r="BB8" s="2230">
        <f>SUMIF(Rev_Month!$B$1:$QQ$1,BB$4,Rev_Month!$B$7:$QQ$7)</f>
        <v>7920.1970598028993</v>
      </c>
      <c r="BC8" s="2230">
        <f ca="1">SUMIF(Rev_Month!$B$1:$QQ$1,BC$4,Rev_Month!$B$7:$QQ$7)</f>
        <v>9574.3802524995335</v>
      </c>
      <c r="BD8" s="2230">
        <f ca="1">SUMIF(Rev_Month!$B$1:$QQ$1,BD$4,Rev_Month!$B$7:$QQ$7)</f>
        <v>12272.678110088678</v>
      </c>
      <c r="BE8" s="2230">
        <f ca="1">SUMIF(Rev_Month!$B$1:$QQ$1,BE$4,Rev_Month!$B$7:$QQ$7)</f>
        <v>8896.7261800348206</v>
      </c>
      <c r="BF8" s="2230">
        <f>SUMIF(Rev_Month!$B$1:$QQ$1,BF$4,Rev_Month!$B$7:$QQ$7)</f>
        <v>8712.2167657831887</v>
      </c>
      <c r="BG8" s="2230">
        <f ca="1">SUMIF(Rev_Month!$B$1:$QQ$1,BG$4,Rev_Month!$B$7:$QQ$7)</f>
        <v>10531.818277749488</v>
      </c>
      <c r="BH8" s="2230">
        <f ca="1">SUMIF(Rev_Month!$B$1:$QQ$1,BH$4,Rev_Month!$B$7:$QQ$7)</f>
        <v>13499.945921097547</v>
      </c>
      <c r="BI8" s="2230">
        <f ca="1">SUMIF(Rev_Month!$B$1:$QQ$1,BI$4,Rev_Month!$B$7:$QQ$7)</f>
        <v>9786.3987980383026</v>
      </c>
      <c r="BJ8" s="2230">
        <f>SUMIF(Rev_Month!$B$1:$QQ$1,BJ$4,Rev_Month!$B$7:$QQ$7)</f>
        <v>9583.4384423615084</v>
      </c>
      <c r="BK8" s="2230">
        <f ca="1">SUMIF(Rev_Month!$B$1:$QQ$1,BK$4,Rev_Month!$B$7:$QQ$7)</f>
        <v>11585.000105524439</v>
      </c>
      <c r="BL8" s="2230">
        <f ca="1">SUMIF(Rev_Month!$B$1:$QQ$1,BL$4,Rev_Month!$B$7:$QQ$7)</f>
        <v>14849.940513207303</v>
      </c>
      <c r="BM8" s="2230">
        <f ca="1">SUMIF(Rev_Month!$B$1:$QQ$1,BM$4,Rev_Month!$B$7:$QQ$7)</f>
        <v>10295.806701993277</v>
      </c>
      <c r="BN8" s="2230">
        <f>SUMIF(Rev_Month!$B$1:$QQ$1,BN$4,Rev_Month!$B$7:$QQ$7)</f>
        <v>9870.9415956323555</v>
      </c>
      <c r="BO8" s="2230">
        <f ca="1">SUMIF(Rev_Month!$B$1:$QQ$1,BO$4,Rev_Month!$B$7:$QQ$7)</f>
        <v>11932.550108690171</v>
      </c>
      <c r="BP8" s="2230">
        <f ca="1">SUMIF(Rev_Month!$B$1:$QQ$1,BP$4,Rev_Month!$B$7:$QQ$7)</f>
        <v>15295.438728603523</v>
      </c>
      <c r="BQ8" s="2230">
        <f ca="1">SUMIF(Rev_Month!$B$1:$QQ$1,BQ$4,Rev_Month!$B$7:$QQ$7)</f>
        <v>10604.680903053075</v>
      </c>
      <c r="BR8" s="2230">
        <f>SUMIF(Rev_Month!$B$1:$QQ$1,BR$4,Rev_Month!$B$7:$QQ$7)</f>
        <v>10167.069843501327</v>
      </c>
      <c r="BS8" s="2230">
        <f ca="1">SUMIF(Rev_Month!$B$1:$QQ$1,BS$4,Rev_Month!$B$7:$QQ$7)</f>
        <v>12290.526611950878</v>
      </c>
      <c r="BT8" s="2230">
        <f ca="1">SUMIF(Rev_Month!$B$1:$QQ$1,BT$4,Rev_Month!$B$7:$QQ$7)</f>
        <v>15754.301890461629</v>
      </c>
      <c r="BU8" s="2230">
        <f ca="1">SUMIF(Rev_Month!$B$1:$QQ$1,BU$4,Rev_Month!$B$7:$QQ$7)</f>
        <v>10922.821330144667</v>
      </c>
      <c r="BV8" s="2230">
        <f>SUMIF(Rev_Month!$B$1:$QQ$1,BV$4,Rev_Month!$B$7:$QQ$7)</f>
        <v>10472.081938806366</v>
      </c>
      <c r="BW8" s="2230">
        <f ca="1">SUMIF(Rev_Month!$B$1:$QQ$1,BW$4,Rev_Month!$B$7:$QQ$7)</f>
        <v>12659.242410309402</v>
      </c>
      <c r="BX8" s="2230">
        <f ca="1">SUMIF(Rev_Month!$B$1:$QQ$1,BX$4,Rev_Month!$B$7:$QQ$7)</f>
        <v>16226.930947175479</v>
      </c>
      <c r="BY8" s="2230">
        <f ca="1">SUMIF(Rev_Month!$B$1:$QQ$1,BY$4,Rev_Month!$B$7:$QQ$7)</f>
        <v>11250.505970049009</v>
      </c>
      <c r="BZ8" s="2230">
        <f>SUMIF(Rev_Month!$B$1:$QQ$1,BZ$4,Rev_Month!$B$7:$QQ$7)</f>
        <v>10786.244396970558</v>
      </c>
      <c r="CA8" s="2230">
        <f ca="1">SUMIF(Rev_Month!$B$1:$QQ$1,CA$4,Rev_Month!$B$7:$QQ$7)</f>
        <v>13039.019682618686</v>
      </c>
      <c r="CB8" s="2230">
        <f ca="1">SUMIF(Rev_Month!$B$1:$QQ$1,CB$4,Rev_Month!$B$7:$QQ$7)</f>
        <v>16713.738875590745</v>
      </c>
      <c r="CC8" s="2230">
        <f>SUMIF(Rev_Month!$B$1:$QQ$1,CC$4,Rev_Month!$B$7:$QQ$7)</f>
        <v>0</v>
      </c>
      <c r="CD8" s="2230">
        <f>SUMIF(Rev_Month!$B$1:$QQ$1,CD$4,Rev_Month!$B$7:$QQ$7)</f>
        <v>0</v>
      </c>
      <c r="CE8" s="2230">
        <f>SUMIF(Rev_Month!$B$1:$QQ$1,CE$4,Rev_Month!$B$7:$QQ$7)</f>
        <v>0</v>
      </c>
      <c r="CF8" s="2230">
        <f>SUMIF(Rev_Month!$B$1:$QQ$1,CF$4,Rev_Month!$B$7:$QQ$7)</f>
        <v>0</v>
      </c>
      <c r="CG8" s="2230">
        <f>SUMIF(Rev_Month!$B$1:$QQ$1,CG$4,Rev_Month!$B$7:$QQ$7)</f>
        <v>0</v>
      </c>
      <c r="CH8" s="2230">
        <f>SUMIF(Rev_Month!$B$1:$QQ$1,CH$4,Rev_Month!$B$7:$QQ$7)</f>
        <v>0</v>
      </c>
      <c r="CI8" s="2230">
        <f>SUMIF(Rev_Month!$B$1:$QQ$1,CI$4,Rev_Month!$B$7:$QQ$7)</f>
        <v>0</v>
      </c>
      <c r="CJ8" s="2230">
        <f>SUMIF(Rev_Month!$B$1:$QQ$1,CJ$4,Rev_Month!$B$7:$QQ$7)</f>
        <v>0</v>
      </c>
      <c r="CK8" s="2230">
        <f>SUMIF(Rev_Month!$B$1:$QQ$1,CK$4,Rev_Month!$B$7:$QQ$7)</f>
        <v>0</v>
      </c>
      <c r="CL8" s="2230">
        <f>SUMIF(Rev_Month!$B$1:$QQ$1,CL$4,Rev_Month!$B$7:$QQ$7)</f>
        <v>0</v>
      </c>
      <c r="CM8" s="2230">
        <f>SUMIF(Rev_Month!$B$1:$QQ$1,CM$4,Rev_Month!$B$7:$QQ$7)</f>
        <v>0</v>
      </c>
      <c r="CN8" s="2230">
        <f>SUMIF(Rev_Month!$B$1:$QQ$1,CN$4,Rev_Month!$B$7:$QQ$7)</f>
        <v>0</v>
      </c>
      <c r="CO8" s="2230">
        <f>SUMIF(Rev_Month!$B$1:$QQ$1,CO$4,Rev_Month!$B$7:$QQ$7)</f>
        <v>0</v>
      </c>
      <c r="CP8" s="2230">
        <f>SUMIF(Rev_Month!$B$1:$QQ$1,CP$4,Rev_Month!$B$7:$QQ$7)</f>
        <v>0</v>
      </c>
      <c r="CQ8" s="2230">
        <f>SUMIF(Rev_Month!$B$1:$QQ$1,CQ$4,Rev_Month!$B$7:$QQ$7)</f>
        <v>0</v>
      </c>
      <c r="CR8" s="2230">
        <f>SUMIF(Rev_Month!$B$1:$QQ$1,CR$4,Rev_Month!$B$7:$QQ$7)</f>
        <v>0</v>
      </c>
      <c r="CS8" s="2230">
        <f>SUMIF(Rev_Month!$B$1:$QQ$1,CS$4,Rev_Month!$B$7:$QQ$7)</f>
        <v>0</v>
      </c>
      <c r="CT8" s="2230">
        <f>SUMIF(Rev_Month!$B$1:$QQ$1,CT$4,Rev_Month!$B$7:$QQ$7)</f>
        <v>0</v>
      </c>
      <c r="CU8" s="2230">
        <f>SUMIF(Rev_Month!$B$1:$QQ$1,CU$4,Rev_Month!$B$7:$QQ$7)</f>
        <v>0</v>
      </c>
      <c r="CV8" s="2230">
        <f>SUMIF(Rev_Month!$B$1:$QQ$1,CV$4,Rev_Month!$B$7:$QQ$7)</f>
        <v>0</v>
      </c>
      <c r="CW8" s="2230">
        <f>SUMIF(Rev_Month!$B$1:$QQ$1,CW$4,Rev_Month!$B$7:$QQ$7)</f>
        <v>0</v>
      </c>
      <c r="CX8" s="2230">
        <f>SUMIF(Rev_Month!$B$1:$QQ$1,CX$4,Rev_Month!$B$7:$QQ$7)</f>
        <v>0</v>
      </c>
      <c r="CY8" s="2230">
        <f>SUMIF(Rev_Month!$B$1:$QQ$1,CY$4,Rev_Month!$B$7:$QQ$7)</f>
        <v>0</v>
      </c>
      <c r="CZ8" s="2230">
        <f>SUMIF(Rev_Month!$B$1:$QQ$1,CZ$4,Rev_Month!$B$7:$QQ$7)</f>
        <v>0</v>
      </c>
    </row>
    <row r="9" spans="1:104" s="2239" customFormat="1" hidden="1" outlineLevel="1">
      <c r="A9" s="2232" t="s">
        <v>32</v>
      </c>
      <c r="B9" s="2205">
        <f t="shared" ref="B9:Q9" si="128">B8/B$6</f>
        <v>0.82244563132339454</v>
      </c>
      <c r="C9" s="2206">
        <f t="shared" si="128"/>
        <v>0.68713382666793821</v>
      </c>
      <c r="D9" s="2206">
        <f t="shared" si="128"/>
        <v>0.52318514386107218</v>
      </c>
      <c r="E9" s="2207">
        <f t="shared" si="128"/>
        <v>0.4000000138586669</v>
      </c>
      <c r="F9" s="2207">
        <f t="shared" si="128"/>
        <v>0.32500000000000001</v>
      </c>
      <c r="G9" s="2207">
        <f t="shared" si="128"/>
        <v>0.27199995072143524</v>
      </c>
      <c r="H9" s="2207">
        <f t="shared" si="128"/>
        <v>0.25699977822921499</v>
      </c>
      <c r="I9" s="2207">
        <f t="shared" ca="1" si="128"/>
        <v>0.25999999130765794</v>
      </c>
      <c r="J9" s="2207">
        <f t="shared" ca="1" si="128"/>
        <v>0.23900042745383654</v>
      </c>
      <c r="K9" s="2208">
        <f t="shared" ca="1" si="128"/>
        <v>0.22996800041080678</v>
      </c>
      <c r="L9" s="2233">
        <f t="shared" ca="1" si="128"/>
        <v>0.2398654802999014</v>
      </c>
      <c r="M9" s="2233">
        <f t="shared" ca="1" si="128"/>
        <v>0.21536620098671641</v>
      </c>
      <c r="N9" s="2233">
        <f t="shared" ca="1" si="128"/>
        <v>0.2055826613906333</v>
      </c>
      <c r="O9" s="2233">
        <f t="shared" ca="1" si="128"/>
        <v>0.19545859960302622</v>
      </c>
      <c r="P9" s="2233">
        <f t="shared" ca="1" si="128"/>
        <v>0.18170378402156545</v>
      </c>
      <c r="Q9" s="2233">
        <f t="shared" ca="1" si="128"/>
        <v>0.17116494690967848</v>
      </c>
      <c r="R9" s="2233"/>
      <c r="S9" s="2233"/>
      <c r="T9" s="2175">
        <v>6</v>
      </c>
      <c r="U9" s="2233">
        <f>U8/U$6</f>
        <v>0.41406870641683297</v>
      </c>
      <c r="V9" s="2233">
        <f t="shared" ref="V9:AL9" si="129">V8/V$6</f>
        <v>0.38345589904263644</v>
      </c>
      <c r="W9" s="2233">
        <f t="shared" si="129"/>
        <v>0.40402202693107259</v>
      </c>
      <c r="X9" s="2233">
        <f t="shared" si="129"/>
        <v>0.37502142110894371</v>
      </c>
      <c r="Y9" s="2233">
        <f t="shared" si="129"/>
        <v>0.34891881726015261</v>
      </c>
      <c r="Z9" s="2233">
        <f t="shared" si="129"/>
        <v>0.313108290096972</v>
      </c>
      <c r="AA9" s="2233">
        <f t="shared" si="129"/>
        <v>0.32509517950163092</v>
      </c>
      <c r="AB9" s="2233">
        <f t="shared" si="129"/>
        <v>0.29726891216863366</v>
      </c>
      <c r="AC9" s="2233">
        <f t="shared" si="129"/>
        <v>0.28191941681817217</v>
      </c>
      <c r="AD9" s="2233">
        <f t="shared" si="129"/>
        <v>0.22940071257877503</v>
      </c>
      <c r="AE9" s="2233">
        <f t="shared" si="129"/>
        <v>0.28817926365035051</v>
      </c>
      <c r="AF9" s="2233">
        <f t="shared" si="129"/>
        <v>0.2747649851414275</v>
      </c>
      <c r="AG9" s="2233">
        <f t="shared" si="129"/>
        <v>0.26516619200150732</v>
      </c>
      <c r="AH9" s="2233">
        <f t="shared" si="129"/>
        <v>0.23012600961809221</v>
      </c>
      <c r="AI9" s="2233">
        <f t="shared" si="129"/>
        <v>0.19864536130331614</v>
      </c>
      <c r="AJ9" s="2233">
        <f t="shared" si="129"/>
        <v>0.30442503298544404</v>
      </c>
      <c r="AK9" s="2233">
        <f t="shared" si="129"/>
        <v>0.26085237626016694</v>
      </c>
      <c r="AL9" s="2233">
        <f t="shared" si="129"/>
        <v>0.241929217241341</v>
      </c>
      <c r="AM9" s="2233">
        <f t="shared" ref="AM9:AW9" ca="1" si="130">AM8/AM$6</f>
        <v>0.2329518761451054</v>
      </c>
      <c r="AN9" s="2233">
        <f t="shared" ca="1" si="130"/>
        <v>0.2122065386415587</v>
      </c>
      <c r="AO9" s="2234">
        <f t="shared" ca="1" si="130"/>
        <v>0.21073579550941809</v>
      </c>
      <c r="AP9" s="2235">
        <f t="shared" ca="1" si="130"/>
        <v>0.19227879979927831</v>
      </c>
      <c r="AQ9" s="2235">
        <f t="shared" ca="1" si="130"/>
        <v>0.21090950493813698</v>
      </c>
      <c r="AR9" s="2235">
        <f t="shared" ca="1" si="130"/>
        <v>0.2084799312457962</v>
      </c>
      <c r="AS9" s="2234">
        <f t="shared" ca="1" si="130"/>
        <v>0.18512832345520033</v>
      </c>
      <c r="AT9" s="2233">
        <f t="shared" ca="1" si="130"/>
        <v>0.1663103282375846</v>
      </c>
      <c r="AU9" s="2233">
        <f t="shared" ca="1" si="130"/>
        <v>0.21207490085595007</v>
      </c>
      <c r="AV9" s="2233">
        <f t="shared" ca="1" si="130"/>
        <v>0.23054484218681276</v>
      </c>
      <c r="AW9" s="2236">
        <f t="shared" ca="1" si="130"/>
        <v>0.20412403396614728</v>
      </c>
      <c r="AX9" s="2237">
        <f t="shared" ref="AX9" si="131">AX8/AX$6</f>
        <v>0.19104933706755722</v>
      </c>
      <c r="AY9" s="2237">
        <f t="shared" ref="AY9:CB9" ca="1" si="132">AY8/AY$6</f>
        <v>0.21864920196338414</v>
      </c>
      <c r="AZ9" s="2237">
        <f t="shared" ca="1" si="132"/>
        <v>0.24493953249858608</v>
      </c>
      <c r="BA9" s="2238">
        <f t="shared" ca="1" si="132"/>
        <v>0.19247803885542766</v>
      </c>
      <c r="BB9" s="2238">
        <f t="shared" si="132"/>
        <v>0.17728965999264454</v>
      </c>
      <c r="BC9" s="2238">
        <f t="shared" ca="1" si="132"/>
        <v>0.19940852904696066</v>
      </c>
      <c r="BD9" s="2238">
        <f t="shared" ca="1" si="132"/>
        <v>0.22529142288735124</v>
      </c>
      <c r="BE9" s="2238">
        <f t="shared" ca="1" si="132"/>
        <v>0.17784348889958096</v>
      </c>
      <c r="BF9" s="2238">
        <f t="shared" si="132"/>
        <v>0.16708952497608823</v>
      </c>
      <c r="BG9" s="2238">
        <f t="shared" ca="1" si="132"/>
        <v>0.18887152658289288</v>
      </c>
      <c r="BH9" s="2238">
        <f t="shared" ca="1" si="132"/>
        <v>0.21346443246045327</v>
      </c>
      <c r="BI9" s="2238">
        <f t="shared" ca="1" si="132"/>
        <v>0.16970040425661445</v>
      </c>
      <c r="BJ9" s="2238">
        <f t="shared" si="132"/>
        <v>0.15827727626036969</v>
      </c>
      <c r="BK9" s="2238">
        <f t="shared" ca="1" si="132"/>
        <v>0.17963129365574659</v>
      </c>
      <c r="BL9" s="2238">
        <f t="shared" ca="1" si="132"/>
        <v>0.20525585832961879</v>
      </c>
      <c r="BM9" s="2238">
        <f t="shared" ca="1" si="132"/>
        <v>0.15857287185233068</v>
      </c>
      <c r="BN9" s="2238">
        <f t="shared" si="132"/>
        <v>0.14594693443694362</v>
      </c>
      <c r="BO9" s="2238">
        <f t="shared" ca="1" si="132"/>
        <v>0.16659066649714324</v>
      </c>
      <c r="BP9" s="2238">
        <f t="shared" ca="1" si="132"/>
        <v>0.19170069617655691</v>
      </c>
      <c r="BQ9" s="2238">
        <f t="shared" ca="1" si="132"/>
        <v>0.14799344970578371</v>
      </c>
      <c r="BR9" s="2238">
        <f t="shared" si="132"/>
        <v>0.13682230323598304</v>
      </c>
      <c r="BS9" s="2238">
        <f t="shared" ca="1" si="132"/>
        <v>0.15717202474174274</v>
      </c>
      <c r="BT9" s="2238">
        <f t="shared" ca="1" si="132"/>
        <v>0.18217924792089193</v>
      </c>
      <c r="BU9" s="2238">
        <f t="shared" ca="1" si="132"/>
        <v>0.14061214293721197</v>
      </c>
      <c r="BV9" s="2238">
        <f t="shared" si="132"/>
        <v>0.12984896988567693</v>
      </c>
      <c r="BW9" s="2238">
        <f t="shared" ca="1" si="132"/>
        <v>0.14939124556804512</v>
      </c>
      <c r="BX9" s="2238">
        <f t="shared" ca="1" si="132"/>
        <v>0.17347940348285917</v>
      </c>
      <c r="BY9" s="2238">
        <f t="shared" ca="1" si="132"/>
        <v>0.13367005011229519</v>
      </c>
      <c r="BZ9" s="2238">
        <f t="shared" si="132"/>
        <v>0.12336528633936795</v>
      </c>
      <c r="CA9" s="2238">
        <f t="shared" ca="1" si="132"/>
        <v>0.14213232405332696</v>
      </c>
      <c r="CB9" s="2238">
        <f t="shared" ca="1" si="132"/>
        <v>0.16532647182491086</v>
      </c>
      <c r="CC9" s="2238" t="e">
        <f t="shared" ref="CC9:CN9" si="133">CC8/CC$6</f>
        <v>#DIV/0!</v>
      </c>
      <c r="CD9" s="2238" t="e">
        <f t="shared" si="133"/>
        <v>#DIV/0!</v>
      </c>
      <c r="CE9" s="2238" t="e">
        <f t="shared" si="133"/>
        <v>#DIV/0!</v>
      </c>
      <c r="CF9" s="2238" t="e">
        <f t="shared" si="133"/>
        <v>#DIV/0!</v>
      </c>
      <c r="CG9" s="2238" t="e">
        <f t="shared" si="133"/>
        <v>#DIV/0!</v>
      </c>
      <c r="CH9" s="2238" t="e">
        <f t="shared" si="133"/>
        <v>#DIV/0!</v>
      </c>
      <c r="CI9" s="2238" t="e">
        <f t="shared" si="133"/>
        <v>#DIV/0!</v>
      </c>
      <c r="CJ9" s="2238" t="e">
        <f t="shared" si="133"/>
        <v>#DIV/0!</v>
      </c>
      <c r="CK9" s="2238" t="e">
        <f t="shared" si="133"/>
        <v>#DIV/0!</v>
      </c>
      <c r="CL9" s="2238" t="e">
        <f t="shared" si="133"/>
        <v>#DIV/0!</v>
      </c>
      <c r="CM9" s="2238" t="e">
        <f t="shared" si="133"/>
        <v>#DIV/0!</v>
      </c>
      <c r="CN9" s="2238" t="e">
        <f t="shared" si="133"/>
        <v>#DIV/0!</v>
      </c>
      <c r="CO9" s="2238" t="e">
        <f t="shared" ref="CO9:CZ9" si="134">CO8/CO$6</f>
        <v>#DIV/0!</v>
      </c>
      <c r="CP9" s="2238" t="e">
        <f t="shared" si="134"/>
        <v>#DIV/0!</v>
      </c>
      <c r="CQ9" s="2238" t="e">
        <f t="shared" si="134"/>
        <v>#DIV/0!</v>
      </c>
      <c r="CR9" s="2238" t="e">
        <f t="shared" si="134"/>
        <v>#DIV/0!</v>
      </c>
      <c r="CS9" s="2238" t="e">
        <f t="shared" si="134"/>
        <v>#DIV/0!</v>
      </c>
      <c r="CT9" s="2238" t="e">
        <f t="shared" si="134"/>
        <v>#DIV/0!</v>
      </c>
      <c r="CU9" s="2238" t="e">
        <f t="shared" si="134"/>
        <v>#DIV/0!</v>
      </c>
      <c r="CV9" s="2238" t="e">
        <f t="shared" si="134"/>
        <v>#DIV/0!</v>
      </c>
      <c r="CW9" s="2238" t="e">
        <f t="shared" si="134"/>
        <v>#DIV/0!</v>
      </c>
      <c r="CX9" s="2238" t="e">
        <f t="shared" si="134"/>
        <v>#DIV/0!</v>
      </c>
      <c r="CY9" s="2238" t="e">
        <f t="shared" si="134"/>
        <v>#DIV/0!</v>
      </c>
      <c r="CZ9" s="2238" t="e">
        <f t="shared" si="134"/>
        <v>#DIV/0!</v>
      </c>
    </row>
    <row r="10" spans="1:104" s="2216" customFormat="1" hidden="1" outlineLevel="1">
      <c r="A10" s="2204" t="s">
        <v>31</v>
      </c>
      <c r="B10" s="2240"/>
      <c r="C10" s="2206">
        <f t="shared" ref="C10:Q10" si="135">C8/B8-1</f>
        <v>0.47601377052337623</v>
      </c>
      <c r="D10" s="2206">
        <f t="shared" si="135"/>
        <v>0.13220115392657639</v>
      </c>
      <c r="E10" s="2207">
        <f t="shared" si="135"/>
        <v>-2.9239368445314051E-3</v>
      </c>
      <c r="F10" s="2207">
        <f t="shared" si="135"/>
        <v>-4.0451535415036433E-2</v>
      </c>
      <c r="G10" s="2207">
        <f t="shared" si="135"/>
        <v>-0.1108850061235761</v>
      </c>
      <c r="H10" s="2207">
        <f t="shared" si="135"/>
        <v>7.0304091732320551E-2</v>
      </c>
      <c r="I10" s="2241">
        <f t="shared" ca="1" si="135"/>
        <v>9.7627085722162832E-2</v>
      </c>
      <c r="J10" s="2241">
        <f t="shared" ca="1" si="135"/>
        <v>-0.1849870909449115</v>
      </c>
      <c r="K10" s="2208">
        <f t="shared" ca="1" si="135"/>
        <v>9.2866876184925395E-2</v>
      </c>
      <c r="L10" s="2209">
        <f t="shared" ca="1" si="135"/>
        <v>0.23908655928142752</v>
      </c>
      <c r="M10" s="2209">
        <f t="shared" ca="1" si="135"/>
        <v>9.1428039852120557E-2</v>
      </c>
      <c r="N10" s="2209">
        <f t="shared" ca="1" si="135"/>
        <v>9.5302501380678528E-2</v>
      </c>
      <c r="O10" s="2209">
        <f t="shared" ca="1" si="135"/>
        <v>9.5496793311372841E-2</v>
      </c>
      <c r="P10" s="2209">
        <f t="shared" ca="1" si="135"/>
        <v>3.4444368134037839E-2</v>
      </c>
      <c r="Q10" s="2209">
        <f t="shared" ca="1" si="135"/>
        <v>3.0000000000000027E-2</v>
      </c>
      <c r="R10" s="2209">
        <f ca="1">R8/$I$20-1</f>
        <v>-2.3206790346943063E-2</v>
      </c>
      <c r="S10" s="2209">
        <f ca="1">S8/$I$20-1</f>
        <v>8.5325788503396449E-2</v>
      </c>
      <c r="T10" s="2175">
        <v>7</v>
      </c>
      <c r="U10" s="2210"/>
      <c r="V10" s="2210"/>
      <c r="W10" s="2210"/>
      <c r="X10" s="2210"/>
      <c r="Y10" s="2210"/>
      <c r="Z10" s="2210"/>
      <c r="AA10" s="2210"/>
      <c r="AB10" s="2210"/>
      <c r="AC10" s="2210"/>
      <c r="AD10" s="2210"/>
      <c r="AE10" s="2210"/>
      <c r="AF10" s="2210"/>
      <c r="AG10" s="2209">
        <f t="shared" ref="AG10:AL10" si="136">AG8/AC8-1</f>
        <v>-1.2428150743430844E-2</v>
      </c>
      <c r="AH10" s="2209">
        <f t="shared" si="136"/>
        <v>0.20647025219919191</v>
      </c>
      <c r="AI10" s="2209">
        <f t="shared" si="136"/>
        <v>-0.35086879408979976</v>
      </c>
      <c r="AJ10" s="2209">
        <f t="shared" si="136"/>
        <v>0.46977011092838228</v>
      </c>
      <c r="AK10" s="2209">
        <f t="shared" si="136"/>
        <v>0.16252628414033254</v>
      </c>
      <c r="AL10" s="2209">
        <f t="shared" si="136"/>
        <v>0.1406930653519769</v>
      </c>
      <c r="AM10" s="2209">
        <f t="shared" ref="AM10:AW10" ca="1" si="137">AM8/AI8-1</f>
        <v>0.54682264632255939</v>
      </c>
      <c r="AN10" s="2209">
        <f t="shared" ca="1" si="137"/>
        <v>-0.41025545735429814</v>
      </c>
      <c r="AO10" s="2211">
        <f t="shared" ca="1" si="137"/>
        <v>-0.40581260844758049</v>
      </c>
      <c r="AP10" s="2212">
        <f t="shared" ca="1" si="137"/>
        <v>-0.31872413361554752</v>
      </c>
      <c r="AQ10" s="2212">
        <f t="shared" ca="1" si="137"/>
        <v>-0.15353159659341542</v>
      </c>
      <c r="AR10" s="2212">
        <f t="shared" ca="1" si="137"/>
        <v>-6.2531177352110889E-3</v>
      </c>
      <c r="AS10" s="2211">
        <f t="shared" ca="1" si="137"/>
        <v>1.8614661998501925E-2</v>
      </c>
      <c r="AT10" s="2209">
        <f t="shared" ca="1" si="137"/>
        <v>-4.0004920063556604E-3</v>
      </c>
      <c r="AU10" s="2209">
        <f t="shared" ca="1" si="137"/>
        <v>0.13628373292104223</v>
      </c>
      <c r="AV10" s="2209">
        <f t="shared" ca="1" si="137"/>
        <v>0.26420353426067522</v>
      </c>
      <c r="AW10" s="2213">
        <f t="shared" ca="1" si="137"/>
        <v>0.27282752117899522</v>
      </c>
      <c r="AX10" s="2242"/>
      <c r="AY10" s="2242"/>
      <c r="AZ10" s="2242"/>
      <c r="BA10" s="2204"/>
      <c r="BB10" s="2204"/>
      <c r="BC10" s="2204"/>
      <c r="BD10" s="2204"/>
      <c r="BE10" s="2204"/>
      <c r="BF10" s="2204"/>
      <c r="BG10" s="2204"/>
      <c r="BH10" s="2204"/>
      <c r="BI10" s="2204"/>
      <c r="BJ10" s="2204"/>
      <c r="BK10" s="2204"/>
      <c r="BL10" s="2204"/>
      <c r="BM10" s="2204"/>
      <c r="BN10" s="2204"/>
      <c r="BO10" s="2204"/>
      <c r="BP10" s="2204"/>
      <c r="BQ10" s="2204"/>
      <c r="BR10" s="2204"/>
      <c r="BS10" s="2204"/>
      <c r="BT10" s="2204"/>
      <c r="BU10" s="2204"/>
      <c r="BV10" s="2204"/>
      <c r="BW10" s="2204"/>
      <c r="BX10" s="2204"/>
      <c r="BY10" s="2204"/>
      <c r="BZ10" s="2204"/>
      <c r="CA10" s="2204"/>
      <c r="CB10" s="2204"/>
      <c r="CC10" s="2204"/>
      <c r="CD10" s="2204"/>
      <c r="CE10" s="2204"/>
      <c r="CF10" s="2204"/>
      <c r="CG10" s="2204"/>
      <c r="CH10" s="2204"/>
      <c r="CI10" s="2204"/>
      <c r="CJ10" s="2204"/>
      <c r="CK10" s="2204"/>
      <c r="CL10" s="2204"/>
      <c r="CM10" s="2204"/>
      <c r="CN10" s="2204"/>
      <c r="CO10" s="2204"/>
      <c r="CP10" s="2204"/>
      <c r="CQ10" s="2204"/>
      <c r="CR10" s="2204"/>
      <c r="CS10" s="2204"/>
      <c r="CT10" s="2204"/>
      <c r="CU10" s="2204"/>
      <c r="CV10" s="2204"/>
      <c r="CW10" s="2204"/>
      <c r="CX10" s="2204"/>
      <c r="CY10" s="2204"/>
      <c r="CZ10" s="2204"/>
    </row>
    <row r="11" spans="1:104" s="2255" customFormat="1" hidden="1" outlineLevel="1">
      <c r="A11" s="2243" t="s">
        <v>36</v>
      </c>
      <c r="B11" s="2244"/>
      <c r="C11" s="2245"/>
      <c r="D11" s="2245"/>
      <c r="E11" s="2246"/>
      <c r="F11" s="2246"/>
      <c r="G11" s="2246"/>
      <c r="H11" s="2246"/>
      <c r="I11" s="2246">
        <f ca="1">SUMIF($AG$1:BE1,I5,$AG$11:BE11)</f>
        <v>2603.1987133604325</v>
      </c>
      <c r="J11" s="2246">
        <f ca="1">SUMIF($AG$1:BF1,J5,$AG$11:BF11)</f>
        <v>3957.3422494376455</v>
      </c>
      <c r="K11" s="2247">
        <f ca="1">SUMIF($AG$1:BG1,K5,$AG$11:BG11)</f>
        <v>3910.2697353759072</v>
      </c>
      <c r="L11" s="2248">
        <f ca="1">SUMIF($AG$1:BH1,L5,$AG$11:BH11)</f>
        <v>3759.6694488641983</v>
      </c>
      <c r="M11" s="2248">
        <f ca="1">SUMIF($AG$1:BI1,M5,$AG$11:BI11)</f>
        <v>3925.2732060369972</v>
      </c>
      <c r="N11" s="2248">
        <f ca="1">SUMIF($AG$1:$CJ1,N5,$AG$11:$CJ11)</f>
        <v>4121.5368663388472</v>
      </c>
      <c r="O11" s="2248">
        <f ca="1">SUMIF($AG$1:$CJ1,O5,$AG$11:$CJ11)</f>
        <v>4327.6137096557895</v>
      </c>
      <c r="P11" s="2248">
        <f ca="1">SUMIF($AG$1:$CJ1,P5,$AG$11:$CJ11)</f>
        <v>4464.4329845030579</v>
      </c>
      <c r="Q11" s="2248">
        <f ca="1">SUMIF($AG$1:$CJ1,Q5,$AG$11:$CJ11)</f>
        <v>4598.3659740381499</v>
      </c>
      <c r="R11" s="2248">
        <f>0.8*R6</f>
        <v>108000</v>
      </c>
      <c r="S11" s="2248">
        <f>0.8*S6</f>
        <v>120000</v>
      </c>
      <c r="T11" s="2249">
        <v>8</v>
      </c>
      <c r="U11" s="2250">
        <f>SUMIF(Rev_Month!$B$1:$BS$1,U$4,Rev_Month!$B$14:$BS$14)</f>
        <v>0</v>
      </c>
      <c r="V11" s="2250">
        <f>SUMIF(Rev_Month!$B$1:$BS$1,V$4,Rev_Month!$B$14:$BS$14)</f>
        <v>0</v>
      </c>
      <c r="W11" s="2250">
        <f>SUMIF(Rev_Month!$B$1:$BS$1,W$4,Rev_Month!$B$14:$BS$14)</f>
        <v>0</v>
      </c>
      <c r="X11" s="2250">
        <f>SUMIF(Rev_Month!$B$1:$BS$1,X$4,Rev_Month!$B$14:$BS$14)</f>
        <v>0</v>
      </c>
      <c r="Y11" s="2250">
        <f>SUMIF(Rev_Month!$B$1:$BS$1,Y$4,Rev_Month!$B$14:$BS$14)</f>
        <v>0</v>
      </c>
      <c r="Z11" s="2250">
        <f>SUMIF(Rev_Month!$B$1:$BS$1,Z$4,Rev_Month!$B$14:$BS$14)</f>
        <v>0</v>
      </c>
      <c r="AA11" s="2250">
        <f>SUMIF(Rev_Month!$B$1:$BS$1,AA$4,Rev_Month!$B$14:$BS$14)</f>
        <v>0</v>
      </c>
      <c r="AB11" s="2250">
        <f>SUMIF(Rev_Month!$B$1:$BS$1,AB$4,Rev_Month!$B$14:$BS$14)</f>
        <v>0</v>
      </c>
      <c r="AC11" s="2250">
        <f>SUMIF(Rev_Month!$B$1:$BS$1,AC$4,Rev_Month!$B$14:$BS$14)</f>
        <v>0</v>
      </c>
      <c r="AD11" s="2250">
        <f>SUMIF(Rev_Month!$B$1:$BS$1,AD$4,Rev_Month!$B$14:$BS$14)</f>
        <v>0</v>
      </c>
      <c r="AE11" s="2250">
        <f>SUMIF(Rev_Month!$B$1:$BS$1,AE$4,Rev_Month!$B$14:$BS$14)</f>
        <v>0</v>
      </c>
      <c r="AF11" s="2250">
        <f>SUMIF(Rev_Month!$B$1:$BS$1,AF$4,Rev_Month!$B$14:$BS$14)</f>
        <v>0</v>
      </c>
      <c r="AG11" s="2250">
        <f>SUMIF(Rev_Month!$B$1:$QQ$1,AG$4,Rev_Month!$B$14:$QQ$14)</f>
        <v>0</v>
      </c>
      <c r="AH11" s="2250">
        <f>SUMIF(Rev_Month!$B$1:$QQ$1,AH$4,Rev_Month!$B$14:$QQ$14)</f>
        <v>0</v>
      </c>
      <c r="AI11" s="2250">
        <f>SUMIF(Rev_Month!$B$1:$QQ$1,AI$4,Rev_Month!$B$14:$QQ$14)</f>
        <v>0</v>
      </c>
      <c r="AJ11" s="2250">
        <f>SUMIF(Rev_Month!$B$1:$QQ$1,AJ$4,Rev_Month!$B$14:$QQ$14)</f>
        <v>0</v>
      </c>
      <c r="AK11" s="2250">
        <f>SUMIF(Rev_Month!$B$1:$QQ$1,AK$4,Rev_Month!$B$14:$QQ$14)</f>
        <v>470</v>
      </c>
      <c r="AL11" s="2250">
        <f>SUMIF(Rev_Month!$B$1:$QQ$1,AL$4,Rev_Month!$B$14:$QQ$14)</f>
        <v>530</v>
      </c>
      <c r="AM11" s="2250">
        <f ca="1">SUMIF(Rev_Month!$B$1:$QQ$1,AM$4,Rev_Month!$B$14:$QQ$14)</f>
        <v>470.42312691043236</v>
      </c>
      <c r="AN11" s="2250">
        <f ca="1">SUMIF(Rev_Month!$B$1:$QQ$1,AN$4,Rev_Month!$B$14:$QQ$14)</f>
        <v>1132.7755864500002</v>
      </c>
      <c r="AO11" s="2251">
        <f ca="1">SUMIF(Rev_Month!$B$1:$QQ$1,AO$4,Rev_Month!$B$14:$QQ$14)</f>
        <v>932.74503638308113</v>
      </c>
      <c r="AP11" s="2248">
        <f ca="1">SUMIF(Rev_Month!$B$1:$QQ$1,AP$4,Rev_Month!$B$14:$QQ$14)</f>
        <v>991.23921663083365</v>
      </c>
      <c r="AQ11" s="2248">
        <f ca="1">SUMIF(Rev_Month!$B$1:$QQ$1,AQ$4,Rev_Month!$B$14:$QQ$14)</f>
        <v>948.13508590873084</v>
      </c>
      <c r="AR11" s="2248">
        <f>SUMIF(Rev_Month!$B$1:$QQ$1,AR$4,Rev_Month!$B$14:$QQ$14)</f>
        <v>1085.222910515</v>
      </c>
      <c r="AS11" s="2251">
        <f ca="1">SUMIF(Rev_Month!$B$1:$QQ$1,AS$4,Rev_Month!$B$14:$QQ$14)</f>
        <v>988.05681704059793</v>
      </c>
      <c r="AT11" s="2250">
        <f ca="1">SUMIF(Rev_Month!$B$1:$QQ$1,AT$4,Rev_Month!$B$14:$QQ$14)</f>
        <v>1019.985153913128</v>
      </c>
      <c r="AU11" s="2250">
        <f ca="1">SUMIF(Rev_Month!$B$1:$QQ$1,AU$4,Rev_Month!$B$14:$QQ$14)</f>
        <v>889.35304794151421</v>
      </c>
      <c r="AV11" s="2250">
        <f>SUMIF(Rev_Month!$B$1:$QQ$1,AV$4,Rev_Month!$B$14:$QQ$14)</f>
        <v>1012.8747164806668</v>
      </c>
      <c r="AW11" s="2252">
        <f ca="1">SUMIF(Rev_Month!$B$1:$QQ$1,AW$4,Rev_Month!$B$14:$QQ$14)</f>
        <v>912.06220566318166</v>
      </c>
      <c r="AX11" s="2253">
        <f>SUMIF(Rev_Month!$B$1:$QQ$1,AX$4,Rev_Month!$B$14:$QQ$14)</f>
        <v>928.9150508851701</v>
      </c>
      <c r="AY11" s="2253">
        <f ca="1">SUMIF(Rev_Month!$B$1:$QQ$1,AY$4,Rev_Month!$B$14:$QQ$14)</f>
        <v>891.43005088517009</v>
      </c>
      <c r="AZ11" s="2253">
        <f>SUMIF(Rev_Month!$B$1:$QQ$1,AZ$4,Rev_Month!$B$14:$QQ$14)</f>
        <v>1027.2621414306764</v>
      </c>
      <c r="BA11" s="2254">
        <f ca="1">SUMIF(Rev_Month!$B$1:$QQ$1,BA$4,Rev_Month!$B$14:$QQ$14)</f>
        <v>935.2856006759298</v>
      </c>
      <c r="BB11" s="2254">
        <f>SUMIF(Rev_Month!$B$1:$QQ$1,BB$4,Rev_Month!$B$14:$QQ$14)</f>
        <v>975.36080342942864</v>
      </c>
      <c r="BC11" s="2254">
        <f ca="1">SUMIF(Rev_Month!$B$1:$QQ$1,BC$4,Rev_Month!$B$14:$QQ$14)</f>
        <v>936.00155342942867</v>
      </c>
      <c r="BD11" s="2254">
        <f>SUMIF(Rev_Month!$B$1:$QQ$1,BD$4,Rev_Month!$B$14:$QQ$14)</f>
        <v>1078.6252485022101</v>
      </c>
      <c r="BE11" s="2254">
        <f ca="1">SUMIF(Rev_Month!$B$1:$QQ$1,BE$4,Rev_Month!$B$14:$QQ$14)</f>
        <v>982.04988070972627</v>
      </c>
      <c r="BF11" s="2254">
        <f>SUMIF(Rev_Month!$B$1:$QQ$1,BF$4,Rev_Month!$B$14:$QQ$14)</f>
        <v>1024.1288436008999</v>
      </c>
      <c r="BG11" s="2254">
        <f ca="1">SUMIF(Rev_Month!$B$1:$QQ$1,BG$4,Rev_Month!$B$14:$QQ$14)</f>
        <v>982.80163110090007</v>
      </c>
      <c r="BH11" s="2254">
        <f>SUMIF(Rev_Month!$B$1:$QQ$1,BH$4,Rev_Month!$B$14:$QQ$14)</f>
        <v>1132.5565109273207</v>
      </c>
      <c r="BI11" s="2254">
        <f ca="1">SUMIF(Rev_Month!$B$1:$QQ$1,BI$4,Rev_Month!$B$14:$QQ$14)</f>
        <v>1031.1523747452127</v>
      </c>
      <c r="BJ11" s="2254">
        <f>SUMIF(Rev_Month!$B$1:$QQ$1,BJ$4,Rev_Month!$B$14:$QQ$14)</f>
        <v>1075.335285780945</v>
      </c>
      <c r="BK11" s="2254">
        <f ca="1">SUMIF(Rev_Month!$B$1:$QQ$1,BK$4,Rev_Month!$B$14:$QQ$14)</f>
        <v>1031.9417126559451</v>
      </c>
      <c r="BL11" s="2254">
        <f>SUMIF(Rev_Month!$B$1:$QQ$1,BL$4,Rev_Month!$B$14:$QQ$14)</f>
        <v>1189.1843364736865</v>
      </c>
      <c r="BM11" s="2254">
        <f ca="1">SUMIF(Rev_Month!$B$1:$QQ$1,BM$4,Rev_Month!$B$14:$QQ$14)</f>
        <v>1069.0778095451635</v>
      </c>
      <c r="BN11" s="2254">
        <f>SUMIF(Rev_Month!$B$1:$QQ$1,BN$4,Rev_Month!$B$14:$QQ$14)</f>
        <v>1107.5953443543735</v>
      </c>
      <c r="BO11" s="2254">
        <f ca="1">SUMIF(Rev_Month!$B$1:$QQ$1,BO$4,Rev_Month!$B$14:$QQ$14)</f>
        <v>1062.8999640356235</v>
      </c>
      <c r="BP11" s="2254">
        <f>SUMIF(Rev_Month!$B$1:$QQ$1,BP$4,Rev_Month!$B$14:$QQ$14)</f>
        <v>1224.8598665678974</v>
      </c>
      <c r="BQ11" s="2254">
        <f ca="1">SUMIF(Rev_Month!$B$1:$QQ$1,BQ$4,Rev_Month!$B$14:$QQ$14)</f>
        <v>1101.1501438315186</v>
      </c>
      <c r="BR11" s="2254">
        <f>SUMIF(Rev_Month!$B$1:$QQ$1,BR$4,Rev_Month!$B$14:$QQ$14)</f>
        <v>1140.8232046850048</v>
      </c>
      <c r="BS11" s="2254">
        <f ca="1">SUMIF(Rev_Month!$B$1:$QQ$1,BS$4,Rev_Month!$B$14:$QQ$14)</f>
        <v>1094.7869629566922</v>
      </c>
      <c r="BT11" s="2254">
        <f>SUMIF(Rev_Month!$B$1:$QQ$1,BT$4,Rev_Month!$B$14:$QQ$14)</f>
        <v>1261.6056625649344</v>
      </c>
      <c r="BU11" s="2254">
        <f ca="1">SUMIF(Rev_Month!$B$1:$QQ$1,BU$4,Rev_Month!$B$14:$QQ$14)</f>
        <v>1134.184648146464</v>
      </c>
      <c r="BV11" s="2254">
        <f>SUMIF(Rev_Month!$B$1:$QQ$1,BV$4,Rev_Month!$B$14:$QQ$14)</f>
        <v>1175.047900825555</v>
      </c>
      <c r="BW11" s="2254">
        <f ca="1">SUMIF(Rev_Month!$B$1:$QQ$1,BW$4,Rev_Month!$B$14:$QQ$14)</f>
        <v>1127.6305718453932</v>
      </c>
      <c r="BX11" s="2254">
        <f>SUMIF(Rev_Month!$B$1:$QQ$1,BX$4,Rev_Month!$B$14:$QQ$14)</f>
        <v>1299.4538324418822</v>
      </c>
      <c r="BY11" s="2254">
        <f ca="1">SUMIF(Rev_Month!$B$1:$QQ$1,BY$4,Rev_Month!$B$14:$QQ$14)</f>
        <v>1168.2101875908581</v>
      </c>
      <c r="BZ11" s="2254">
        <f>SUMIF(Rev_Month!$B$1:$QQ$1,BZ$4,Rev_Month!$B$14:$QQ$14)</f>
        <v>1210.2993378503215</v>
      </c>
      <c r="CA11" s="2254">
        <f ca="1">SUMIF(Rev_Month!$B$1:$QQ$1,CA$4,Rev_Month!$B$14:$QQ$14)</f>
        <v>1161.459489000755</v>
      </c>
      <c r="CB11" s="2254">
        <f>SUMIF(Rev_Month!$B$1:$QQ$1,CB$4,Rev_Month!$B$14:$QQ$14)</f>
        <v>1338.4374474151389</v>
      </c>
      <c r="CC11" s="2254">
        <f>SUMIF(Rev_Month!$B$1:$QQ$1,CC$4,Rev_Month!$B$14:$QQ$14)</f>
        <v>0</v>
      </c>
      <c r="CD11" s="2254">
        <f>SUMIF(Rev_Month!$B$1:$QQ$1,CD$4,Rev_Month!$B$14:$QQ$14)</f>
        <v>0</v>
      </c>
      <c r="CE11" s="2254">
        <f>SUMIF(Rev_Month!$B$1:$QQ$1,CE$4,Rev_Month!$B$14:$QQ$14)</f>
        <v>0</v>
      </c>
      <c r="CF11" s="2254">
        <f>SUMIF(Rev_Month!$B$1:$QQ$1,CF$4,Rev_Month!$B$14:$QQ$14)</f>
        <v>0</v>
      </c>
      <c r="CG11" s="2254">
        <f>SUMIF(Rev_Month!$B$1:$QQ$1,CG$4,Rev_Month!$B$14:$QQ$14)</f>
        <v>0</v>
      </c>
      <c r="CH11" s="2254">
        <f>SUMIF(Rev_Month!$B$1:$QQ$1,CH$4,Rev_Month!$B$14:$QQ$14)</f>
        <v>0</v>
      </c>
      <c r="CI11" s="2254">
        <f>SUMIF(Rev_Month!$B$1:$QQ$1,CI$4,Rev_Month!$B$14:$QQ$14)</f>
        <v>0</v>
      </c>
      <c r="CJ11" s="2254">
        <f>SUMIF(Rev_Month!$B$1:$QQ$1,CJ$4,Rev_Month!$B$14:$QQ$14)</f>
        <v>0</v>
      </c>
      <c r="CK11" s="2254">
        <f>SUMIF(Rev_Month!$B$1:$QQ$1,CK$4,Rev_Month!$B$14:$QQ$14)</f>
        <v>0</v>
      </c>
      <c r="CL11" s="2254">
        <f>SUMIF(Rev_Month!$B$1:$QQ$1,CL$4,Rev_Month!$B$14:$QQ$14)</f>
        <v>0</v>
      </c>
      <c r="CM11" s="2254">
        <f>SUMIF(Rev_Month!$B$1:$QQ$1,CM$4,Rev_Month!$B$14:$QQ$14)</f>
        <v>0</v>
      </c>
      <c r="CN11" s="2254">
        <f>SUMIF(Rev_Month!$B$1:$QQ$1,CN$4,Rev_Month!$B$14:$QQ$14)</f>
        <v>0</v>
      </c>
      <c r="CO11" s="2254">
        <f>SUMIF(Rev_Month!$B$1:$QQ$1,CO$4,Rev_Month!$B$14:$QQ$14)</f>
        <v>0</v>
      </c>
      <c r="CP11" s="2254">
        <f>SUMIF(Rev_Month!$B$1:$QQ$1,CP$4,Rev_Month!$B$14:$QQ$14)</f>
        <v>0</v>
      </c>
      <c r="CQ11" s="2254">
        <f>SUMIF(Rev_Month!$B$1:$QQ$1,CQ$4,Rev_Month!$B$14:$QQ$14)</f>
        <v>0</v>
      </c>
      <c r="CR11" s="2254">
        <f>SUMIF(Rev_Month!$B$1:$QQ$1,CR$4,Rev_Month!$B$14:$QQ$14)</f>
        <v>0</v>
      </c>
      <c r="CS11" s="2254">
        <f>SUMIF(Rev_Month!$B$1:$QQ$1,CS$4,Rev_Month!$B$14:$QQ$14)</f>
        <v>0</v>
      </c>
      <c r="CT11" s="2254">
        <f>SUMIF(Rev_Month!$B$1:$QQ$1,CT$4,Rev_Month!$B$14:$QQ$14)</f>
        <v>0</v>
      </c>
      <c r="CU11" s="2254">
        <f>SUMIF(Rev_Month!$B$1:$QQ$1,CU$4,Rev_Month!$B$14:$QQ$14)</f>
        <v>0</v>
      </c>
      <c r="CV11" s="2254">
        <f>SUMIF(Rev_Month!$B$1:$QQ$1,CV$4,Rev_Month!$B$14:$QQ$14)</f>
        <v>0</v>
      </c>
      <c r="CW11" s="2254">
        <f>SUMIF(Rev_Month!$B$1:$QQ$1,CW$4,Rev_Month!$B$14:$QQ$14)</f>
        <v>0</v>
      </c>
      <c r="CX11" s="2254">
        <f>SUMIF(Rev_Month!$B$1:$QQ$1,CX$4,Rev_Month!$B$14:$QQ$14)</f>
        <v>0</v>
      </c>
      <c r="CY11" s="2254">
        <f>SUMIF(Rev_Month!$B$1:$QQ$1,CY$4,Rev_Month!$B$14:$QQ$14)</f>
        <v>0</v>
      </c>
      <c r="CZ11" s="2254">
        <f>SUMIF(Rev_Month!$B$1:$QQ$1,CZ$4,Rev_Month!$B$14:$QQ$14)</f>
        <v>0</v>
      </c>
    </row>
    <row r="12" spans="1:104" s="2216" customFormat="1" hidden="1" outlineLevel="1">
      <c r="A12" s="2204"/>
      <c r="B12" s="2240"/>
      <c r="C12" s="2206"/>
      <c r="D12" s="2206"/>
      <c r="E12" s="2207"/>
      <c r="F12" s="2207"/>
      <c r="G12" s="2207"/>
      <c r="H12" s="2207"/>
      <c r="I12" s="2256"/>
      <c r="J12" s="2207">
        <f t="shared" ref="J12:Q12" ca="1" si="138">J11/I11-1</f>
        <v>0.52018446733525314</v>
      </c>
      <c r="K12" s="2208">
        <f t="shared" ca="1" si="138"/>
        <v>-1.1894981807152871E-2</v>
      </c>
      <c r="L12" s="2209">
        <f t="shared" ca="1" si="138"/>
        <v>-3.8514040386840809E-2</v>
      </c>
      <c r="M12" s="2209">
        <f t="shared" ca="1" si="138"/>
        <v>4.404742476039436E-2</v>
      </c>
      <c r="N12" s="2209">
        <f t="shared" ca="1" si="138"/>
        <v>5.0000000000000044E-2</v>
      </c>
      <c r="O12" s="2209">
        <f t="shared" ca="1" si="138"/>
        <v>5.0000000000000044E-2</v>
      </c>
      <c r="P12" s="2209">
        <f t="shared" ca="1" si="138"/>
        <v>3.1615408404404688E-2</v>
      </c>
      <c r="Q12" s="2209">
        <f t="shared" ca="1" si="138"/>
        <v>3.0000000000000027E-2</v>
      </c>
      <c r="R12" s="2209">
        <f ca="1">R11/$I$20-1</f>
        <v>4.1912756963260689E-2</v>
      </c>
      <c r="S12" s="2209">
        <f ca="1">S11/$I$20-1</f>
        <v>0.15768084107028968</v>
      </c>
      <c r="T12" s="2175">
        <v>9</v>
      </c>
      <c r="U12" s="2210"/>
      <c r="V12" s="2210"/>
      <c r="W12" s="2210"/>
      <c r="X12" s="2210"/>
      <c r="Y12" s="2210"/>
      <c r="Z12" s="2210"/>
      <c r="AA12" s="2210"/>
      <c r="AB12" s="2210"/>
      <c r="AC12" s="2210"/>
      <c r="AD12" s="2210"/>
      <c r="AE12" s="2210"/>
      <c r="AF12" s="2210"/>
      <c r="AG12" s="2210"/>
      <c r="AH12" s="2210"/>
      <c r="AI12" s="2210"/>
      <c r="AJ12" s="2210"/>
      <c r="AK12" s="2257"/>
      <c r="AL12" s="2257"/>
      <c r="AM12" s="2257"/>
      <c r="AN12" s="2257"/>
      <c r="AO12" s="2258"/>
      <c r="AP12" s="2210"/>
      <c r="AQ12" s="2210"/>
      <c r="AR12" s="2210"/>
      <c r="AS12" s="2258"/>
      <c r="AT12" s="2210"/>
      <c r="AU12" s="2210"/>
      <c r="AV12" s="2210"/>
      <c r="AW12" s="2259"/>
      <c r="AX12" s="2242"/>
      <c r="AY12" s="2242"/>
      <c r="AZ12" s="2242"/>
      <c r="BA12" s="2204"/>
      <c r="BB12" s="2204"/>
      <c r="BC12" s="2204"/>
      <c r="BD12" s="2204"/>
      <c r="BE12" s="2204"/>
      <c r="BF12" s="2204"/>
      <c r="BG12" s="2204"/>
      <c r="BH12" s="2204"/>
      <c r="BI12" s="2204"/>
      <c r="BJ12" s="2204"/>
      <c r="BK12" s="2204"/>
      <c r="BL12" s="2204"/>
      <c r="BM12" s="2204"/>
      <c r="BN12" s="2204"/>
      <c r="BO12" s="2204"/>
      <c r="BP12" s="2204"/>
      <c r="BQ12" s="2204"/>
      <c r="BR12" s="2204"/>
      <c r="BS12" s="2204"/>
      <c r="BT12" s="2204"/>
      <c r="BU12" s="2204"/>
      <c r="BV12" s="2204"/>
      <c r="BW12" s="2204"/>
      <c r="BX12" s="2204"/>
      <c r="BY12" s="2204"/>
      <c r="BZ12" s="2204"/>
      <c r="CA12" s="2204"/>
      <c r="CB12" s="2204"/>
      <c r="CC12" s="2204"/>
      <c r="CD12" s="2204"/>
      <c r="CE12" s="2204"/>
      <c r="CF12" s="2204"/>
      <c r="CG12" s="2204"/>
      <c r="CH12" s="2204"/>
      <c r="CI12" s="2204"/>
      <c r="CJ12" s="2204"/>
      <c r="CK12" s="2204"/>
      <c r="CL12" s="2204"/>
      <c r="CM12" s="2204"/>
      <c r="CN12" s="2204"/>
      <c r="CO12" s="2204"/>
      <c r="CP12" s="2204"/>
      <c r="CQ12" s="2204"/>
      <c r="CR12" s="2204"/>
      <c r="CS12" s="2204"/>
      <c r="CT12" s="2204"/>
      <c r="CU12" s="2204"/>
      <c r="CV12" s="2204"/>
      <c r="CW12" s="2204"/>
      <c r="CX12" s="2204"/>
      <c r="CY12" s="2204"/>
      <c r="CZ12" s="2204"/>
    </row>
    <row r="13" spans="1:104" s="2216" customFormat="1" hidden="1" outlineLevel="1">
      <c r="A13" s="2254" t="s">
        <v>6</v>
      </c>
      <c r="B13" s="2244" t="e">
        <f t="shared" ref="B13:H13" si="139">(B8+B11)/AVERAGE(A234:B234)</f>
        <v>#DIV/0!</v>
      </c>
      <c r="C13" s="2245">
        <f t="shared" si="139"/>
        <v>64.537536842105268</v>
      </c>
      <c r="D13" s="2245">
        <f t="shared" si="139"/>
        <v>34.330365974282891</v>
      </c>
      <c r="E13" s="2246">
        <f t="shared" si="139"/>
        <v>32.895927756653997</v>
      </c>
      <c r="F13" s="2246">
        <f t="shared" si="139"/>
        <v>32.748155120744549</v>
      </c>
      <c r="G13" s="2246">
        <f t="shared" si="139"/>
        <v>30.931914091147199</v>
      </c>
      <c r="H13" s="2246">
        <f t="shared" si="139"/>
        <v>33.563681359532666</v>
      </c>
      <c r="I13" s="2246">
        <f t="shared" ref="I13:Q13" ca="1" si="140">(I8)/AVERAGE(H234:I234)</f>
        <v>32.115964833333337</v>
      </c>
      <c r="J13" s="2246">
        <f t="shared" ca="1" si="140"/>
        <v>24.678236577913573</v>
      </c>
      <c r="K13" s="2247">
        <f t="shared" ca="1" si="140"/>
        <v>27.958521532598695</v>
      </c>
      <c r="L13" s="2248">
        <f t="shared" ca="1" si="140"/>
        <v>34.705844256126817</v>
      </c>
      <c r="M13" s="2248">
        <f t="shared" ca="1" si="140"/>
        <v>38.086108951111079</v>
      </c>
      <c r="N13" s="2248">
        <f t="shared" ca="1" si="140"/>
        <v>41.715810402009012</v>
      </c>
      <c r="O13" s="2248">
        <f t="shared" ca="1" si="140"/>
        <v>45.699536525786087</v>
      </c>
      <c r="P13" s="2248">
        <f t="shared" ca="1" si="140"/>
        <v>47.273628185435172</v>
      </c>
      <c r="Q13" s="2248">
        <f t="shared" ca="1" si="140"/>
        <v>48.691837030998229</v>
      </c>
      <c r="R13" s="2209"/>
      <c r="S13" s="2209"/>
      <c r="T13" s="2175">
        <v>10</v>
      </c>
      <c r="U13" s="2210"/>
      <c r="V13" s="2210"/>
      <c r="W13" s="2210"/>
      <c r="X13" s="2260" t="e">
        <f>X8/(AVERAGEIF(Rev_Month!$B$1:$QQ$1,X$4,Rev_Month!$B$10:$QQ$10)+AVERAGEIF(Rev_Month!$B$1:$QQ$1,X$4,Rev_Month!$B$16:$QQ$16))/3</f>
        <v>#DIV/0!</v>
      </c>
      <c r="Y13" s="2260">
        <f>Y8/(AVERAGEIF(Rev_Month!$B$1:$QQ$1,Y$4,Rev_Month!$B$10:$QQ$10)+AVERAGEIF(Rev_Month!$B$1:$QQ$1,Y$4,Rev_Month!$B$16:$QQ$16))/3</f>
        <v>2.8681393309516081</v>
      </c>
      <c r="Z13" s="2260">
        <f>Z8/(AVERAGEIF(Rev_Month!$B$1:$QQ$1,Z$4,Rev_Month!$B$10:$QQ$10)+AVERAGEIF(Rev_Month!$B$1:$QQ$1,Z$4,Rev_Month!$B$16:$QQ$16))/3</f>
        <v>2.7700285339455557</v>
      </c>
      <c r="AA13" s="2260">
        <f>AA8/(AVERAGEIF(Rev_Month!$B$1:$QQ$1,AA$4,Rev_Month!$B$10:$QQ$10)+AVERAGEIF(Rev_Month!$B$1:$QQ$1,AA$4,Rev_Month!$B$16:$QQ$16))/3</f>
        <v>2.7562411842980699</v>
      </c>
      <c r="AB13" s="2260">
        <f>AB8/(AVERAGEIF(Rev_Month!$B$1:$QQ$1,AB$4,Rev_Month!$B$10:$QQ$10)+AVERAGEIF(Rev_Month!$B$1:$QQ$1,AB$4,Rev_Month!$B$16:$QQ$16))/3</f>
        <v>2.5447639813581904</v>
      </c>
      <c r="AC13" s="2260">
        <f>AC8/(AVERAGEIF(Rev_Month!$B$1:$QQ$1,AC$4,Rev_Month!$B$10:$QQ$10)+AVERAGEIF(Rev_Month!$B$1:$QQ$1,AC$4,Rev_Month!$B$16:$QQ$16))/3</f>
        <v>2.7527492596248764</v>
      </c>
      <c r="AD13" s="2260">
        <f>AD8/(AVERAGEIF(Rev_Month!$B$1:$QQ$1,AD$4,Rev_Month!$B$10:$QQ$10)+AVERAGEIF(Rev_Month!$B$1:$QQ$1,AD$4,Rev_Month!$B$16:$QQ$16))/3</f>
        <v>2.0526699192462994</v>
      </c>
      <c r="AE13" s="2260">
        <f>AE8/(AVERAGEIF(Rev_Month!$B$1:$QQ$1,AE$4,Rev_Month!$B$10:$QQ$10)+AVERAGEIF(Rev_Month!$B$1:$QQ$1,AE$4,Rev_Month!$B$16:$QQ$16))/3</f>
        <v>2.5929806362378973</v>
      </c>
      <c r="AF13" s="2260">
        <f>AF8/(AVERAGEIF(Rev_Month!$B$1:$QQ$1,AF$4,Rev_Month!$B$10:$QQ$10)+AVERAGEIF(Rev_Month!$B$1:$QQ$1,AF$4,Rev_Month!$B$16:$QQ$16))/3</f>
        <v>2.7056091624910525</v>
      </c>
      <c r="AG13" s="2260">
        <f>AG8/(AVERAGEIF(Rev_Month!$B$1:$QQ$1,AG$4,Rev_Month!$B$10:$QQ$10)+AVERAGEIF(Rev_Month!$B$1:$QQ$1,AG$4,Rev_Month!$B$16:$QQ$16))/3</f>
        <v>3.0317930275229359</v>
      </c>
      <c r="AH13" s="2260">
        <f>AH8/(AVERAGEIF(Rev_Month!$B$1:$QQ$1,AH$4,Rev_Month!$B$10:$QQ$10)+AVERAGEIF(Rev_Month!$B$1:$QQ$1,AH$4,Rev_Month!$B$16:$QQ$16))/3</f>
        <v>2.641821249102656</v>
      </c>
      <c r="AI13" s="2260">
        <f>AI8/(AVERAGEIF(Rev_Month!$B$1:$QQ$1,AI$4,Rev_Month!$B$10:$QQ$10)+AVERAGEIF(Rev_Month!$B$1:$QQ$1,AI$4,Rev_Month!$B$16:$QQ$16))/3</f>
        <v>1.709188904494382</v>
      </c>
      <c r="AJ13" s="2260">
        <f>AJ8/(AVERAGEIF(Rev_Month!$B$1:$QQ$1,AJ$4,Rev_Month!$B$10:$QQ$10)+AVERAGEIF(Rev_Month!$B$1:$QQ$1,AJ$4,Rev_Month!$B$16:$QQ$16))/3</f>
        <v>3.836562845303868</v>
      </c>
      <c r="AK13" s="2261">
        <f>AK8/(AVERAGEIF(Rev_Month!$B$1:$QQ$1,AK$4,Rev_Month!$B$10:$QQ$10)+AVERAGEIF(Rev_Month!$B$1:$QQ$1,AK$4,Rev_Month!$B$16:$QQ$16))/3</f>
        <v>3.1823621603711065</v>
      </c>
      <c r="AL13" s="2261">
        <f>AL8/(AVERAGEIF(Rev_Month!$B$1:$QQ$1,AL$4,Rev_Month!$B$10:$QQ$10)+AVERAGEIF(Rev_Month!$B$1:$QQ$1,AL$4,Rev_Month!$B$16:$QQ$16))/3</f>
        <v>2.6818818080178883</v>
      </c>
      <c r="AM13" s="2261">
        <f ca="1">AM8/(AVERAGEIF(Rev_Month!$B$1:$QQ$1,AM$4,Rev_Month!$B$10:$QQ$10)+AVERAGEIF(Rev_Month!$B$1:$QQ$1,AM$4,Rev_Month!$B$16:$QQ$16))/3</f>
        <v>2.3012154257608701</v>
      </c>
      <c r="AN13" s="2261">
        <f ca="1">AN8/(AVERAGEIF(Rev_Month!$B$1:$QQ$1,AN$4,Rev_Month!$B$10:$QQ$10)+AVERAGEIF(Rev_Month!$B$1:$QQ$1,AN$4,Rev_Month!$B$16:$QQ$16))/3</f>
        <v>1.8604390782367985</v>
      </c>
      <c r="AO13" s="2262">
        <f ca="1">AO8/(AVERAGEIF(Rev_Month!$B$1:$QQ$1,AO$4,Rev_Month!$B$10:$QQ$10)+AVERAGEIF(Rev_Month!$B$1:$QQ$1,AO$4,Rev_Month!$B$16:$QQ$16))/3</f>
        <v>1.6003350991634659</v>
      </c>
      <c r="AP13" s="2263">
        <f ca="1">AP8/(AVERAGEIF(Rev_Month!$B$1:$QQ$1,AP$4,Rev_Month!$B$10:$QQ$10)+AVERAGEIF(Rev_Month!$B$1:$QQ$1,AP$4,Rev_Month!$B$16:$QQ$16))/3</f>
        <v>1.6098341636276856</v>
      </c>
      <c r="AQ13" s="2264">
        <f ca="1">AQ8/(AVERAGEIF(Rev_Month!$B$1:$QQ$1,AQ$4,Rev_Month!$B$10:$QQ$10)+AVERAGEIF(Rev_Month!$B$1:$QQ$1,AQ$4,Rev_Month!$B$16:$QQ$16))/3</f>
        <v>1.8127272224377897</v>
      </c>
      <c r="AR13" s="2264">
        <f ca="1">AR8/(AVERAGEIF(Rev_Month!$B$1:$QQ$1,AR$4,Rev_Month!$B$10:$QQ$10)+AVERAGEIF(Rev_Month!$B$1:$QQ$1,AR$4,Rev_Month!$B$16:$QQ$16))/3</f>
        <v>1.9518864177113298</v>
      </c>
      <c r="AS13" s="2262">
        <f ca="1">AS8/(AVERAGEIF(Rev_Month!$B$1:$QQ$1,AS$4,Rev_Month!$B$10:$QQ$10)+AVERAGEIF(Rev_Month!$B$1:$QQ$1,AS$4,Rev_Month!$B$16:$QQ$16))/3</f>
        <v>1.8024883792122177</v>
      </c>
      <c r="AT13" s="2260">
        <f ca="1">AT8/(AVERAGEIF(Rev_Month!$B$1:$QQ$1,AT$4,Rev_Month!$B$10:$QQ$10)+AVERAGEIF(Rev_Month!$B$1:$QQ$1,AT$4,Rev_Month!$B$16:$QQ$16))/3</f>
        <v>1.7892145119619569</v>
      </c>
      <c r="AU13" s="2260">
        <f ca="1">AU8/(AVERAGEIF(Rev_Month!$B$1:$QQ$1,AU$4,Rev_Month!$B$10:$QQ$10)+AVERAGEIF(Rev_Month!$B$1:$QQ$1,AU$4,Rev_Month!$B$16:$QQ$16))/3</f>
        <v>2.3559401275401703</v>
      </c>
      <c r="AV13" s="2260">
        <f ca="1">AV8/(AVERAGEIF(Rev_Month!$B$1:$QQ$1,AV$4,Rev_Month!$B$10:$QQ$10)+AVERAGEIF(Rev_Month!$B$1:$QQ$1,AV$4,Rev_Month!$B$16:$QQ$16))/3</f>
        <v>2.6857594052335716</v>
      </c>
      <c r="AW13" s="2265"/>
      <c r="AX13" s="2242"/>
      <c r="AY13" s="2242"/>
      <c r="AZ13" s="2242"/>
      <c r="BA13" s="2204"/>
      <c r="BB13" s="2204"/>
      <c r="BC13" s="2204"/>
      <c r="BD13" s="2204"/>
      <c r="BE13" s="2204"/>
      <c r="BF13" s="2204"/>
      <c r="BG13" s="2204"/>
      <c r="BH13" s="2204"/>
      <c r="BI13" s="2204"/>
      <c r="BJ13" s="2204"/>
      <c r="BK13" s="2204"/>
      <c r="BL13" s="2204"/>
      <c r="BM13" s="2204"/>
      <c r="BN13" s="2204"/>
      <c r="BO13" s="2204"/>
      <c r="BP13" s="2204"/>
      <c r="BQ13" s="2204"/>
      <c r="BR13" s="2204"/>
      <c r="BS13" s="2204"/>
      <c r="BT13" s="2204"/>
      <c r="BU13" s="2204"/>
      <c r="BV13" s="2204"/>
      <c r="BW13" s="2204"/>
      <c r="BX13" s="2204"/>
      <c r="BY13" s="2204"/>
      <c r="BZ13" s="2204"/>
      <c r="CA13" s="2204"/>
      <c r="CB13" s="2204"/>
      <c r="CC13" s="2204"/>
      <c r="CD13" s="2204"/>
      <c r="CE13" s="2204"/>
      <c r="CF13" s="2204"/>
      <c r="CG13" s="2204"/>
      <c r="CH13" s="2204"/>
      <c r="CI13" s="2204"/>
      <c r="CJ13" s="2204"/>
      <c r="CK13" s="2204"/>
      <c r="CL13" s="2204"/>
      <c r="CM13" s="2204"/>
      <c r="CN13" s="2204"/>
      <c r="CO13" s="2204"/>
      <c r="CP13" s="2204"/>
      <c r="CQ13" s="2204"/>
      <c r="CR13" s="2204"/>
      <c r="CS13" s="2204"/>
      <c r="CT13" s="2204"/>
      <c r="CU13" s="2204"/>
      <c r="CV13" s="2204"/>
      <c r="CW13" s="2204"/>
      <c r="CX13" s="2204"/>
      <c r="CY13" s="2204"/>
      <c r="CZ13" s="2204"/>
    </row>
    <row r="14" spans="1:104" s="2216" customFormat="1" hidden="1" outlineLevel="1">
      <c r="A14" s="2266" t="s">
        <v>31</v>
      </c>
      <c r="B14" s="2244"/>
      <c r="C14" s="2245"/>
      <c r="D14" s="2206">
        <f t="shared" ref="D14:Q14" si="141">D13/C13-1</f>
        <v>-0.46805583767050063</v>
      </c>
      <c r="E14" s="2207">
        <f t="shared" si="141"/>
        <v>-4.1783365161427111E-2</v>
      </c>
      <c r="F14" s="2207">
        <f t="shared" si="141"/>
        <v>-4.4921254996237447E-3</v>
      </c>
      <c r="G14" s="2207">
        <f t="shared" si="141"/>
        <v>-5.5460865593825126E-2</v>
      </c>
      <c r="H14" s="2207">
        <f t="shared" si="141"/>
        <v>8.508258689166226E-2</v>
      </c>
      <c r="I14" s="2207">
        <f t="shared" ca="1" si="141"/>
        <v>-4.3133424807948018E-2</v>
      </c>
      <c r="J14" s="2267">
        <f t="shared" ca="1" si="141"/>
        <v>-0.23158974964688295</v>
      </c>
      <c r="K14" s="2208">
        <f t="shared" ca="1" si="141"/>
        <v>0.13292217798174844</v>
      </c>
      <c r="L14" s="2209">
        <f t="shared" ca="1" si="141"/>
        <v>0.24133331641521072</v>
      </c>
      <c r="M14" s="2209">
        <f t="shared" ca="1" si="141"/>
        <v>9.7397564226881617E-2</v>
      </c>
      <c r="N14" s="2209">
        <f t="shared" ca="1" si="141"/>
        <v>9.5302501380678528E-2</v>
      </c>
      <c r="O14" s="2209">
        <f t="shared" ca="1" si="141"/>
        <v>9.5496793311372841E-2</v>
      </c>
      <c r="P14" s="2209">
        <f t="shared" ca="1" si="141"/>
        <v>3.4444368134037839E-2</v>
      </c>
      <c r="Q14" s="2209">
        <f t="shared" ca="1" si="141"/>
        <v>3.0000000000000027E-2</v>
      </c>
      <c r="R14" s="2209"/>
      <c r="S14" s="2209"/>
      <c r="T14" s="2249">
        <v>11</v>
      </c>
      <c r="U14" s="2210"/>
      <c r="V14" s="2210"/>
      <c r="W14" s="2210"/>
      <c r="X14" s="2210"/>
      <c r="Y14" s="2210"/>
      <c r="Z14" s="2210"/>
      <c r="AA14" s="2210"/>
      <c r="AB14" s="2210"/>
      <c r="AC14" s="2210"/>
      <c r="AD14" s="2210"/>
      <c r="AE14" s="2210"/>
      <c r="AF14" s="2210"/>
      <c r="AG14" s="2210"/>
      <c r="AH14" s="2210"/>
      <c r="AI14" s="2209">
        <f t="shared" ref="AI14:AL14" si="142">AI13/AE13-1</f>
        <v>-0.34084008163893997</v>
      </c>
      <c r="AJ14" s="2209">
        <f t="shared" si="142"/>
        <v>0.41800334597165079</v>
      </c>
      <c r="AK14" s="2209">
        <f t="shared" si="142"/>
        <v>4.9663394394435345E-2</v>
      </c>
      <c r="AL14" s="2209">
        <f t="shared" si="142"/>
        <v>1.5163992994923436E-2</v>
      </c>
      <c r="AM14" s="2209">
        <f t="shared" ref="AM14:AV14" ca="1" si="143">AM13/AI13-1</f>
        <v>0.34637863591890294</v>
      </c>
      <c r="AN14" s="2209">
        <f t="shared" ca="1" si="143"/>
        <v>-0.51507660547928658</v>
      </c>
      <c r="AO14" s="2211">
        <f t="shared" ca="1" si="143"/>
        <v>-0.49712351438440772</v>
      </c>
      <c r="AP14" s="2212">
        <f t="shared" ca="1" si="143"/>
        <v>-0.39973709549211134</v>
      </c>
      <c r="AQ14" s="2212">
        <f t="shared" ca="1" si="143"/>
        <v>-0.21227400001526042</v>
      </c>
      <c r="AR14" s="2268">
        <f t="shared" ca="1" si="143"/>
        <v>4.9153632894660015E-2</v>
      </c>
      <c r="AS14" s="2269">
        <f t="shared" ca="1" si="143"/>
        <v>0.12631934408888634</v>
      </c>
      <c r="AT14" s="2270">
        <f t="shared" ca="1" si="143"/>
        <v>0.11142784293386221</v>
      </c>
      <c r="AU14" s="2270">
        <f t="shared" ca="1" si="143"/>
        <v>0.29966610440806285</v>
      </c>
      <c r="AV14" s="2270">
        <f t="shared" ca="1" si="143"/>
        <v>0.37598139976953138</v>
      </c>
      <c r="AW14" s="2271"/>
      <c r="AX14" s="2242"/>
      <c r="AY14" s="2242"/>
      <c r="AZ14" s="2242"/>
      <c r="BA14" s="2204"/>
      <c r="BB14" s="2204"/>
      <c r="BC14" s="2204"/>
      <c r="BD14" s="2204"/>
      <c r="BE14" s="2204"/>
      <c r="BF14" s="2204"/>
      <c r="BG14" s="2204"/>
      <c r="BH14" s="2204"/>
      <c r="BI14" s="2204"/>
      <c r="BJ14" s="2204"/>
      <c r="BK14" s="2204"/>
      <c r="BL14" s="2204"/>
      <c r="BM14" s="2204"/>
      <c r="BN14" s="2204"/>
      <c r="BO14" s="2204"/>
      <c r="BP14" s="2204"/>
      <c r="BQ14" s="2204"/>
      <c r="BR14" s="2204"/>
      <c r="BS14" s="2204"/>
      <c r="BT14" s="2204"/>
      <c r="BU14" s="2204"/>
      <c r="BV14" s="2204"/>
      <c r="BW14" s="2204"/>
      <c r="BX14" s="2204"/>
      <c r="BY14" s="2204"/>
      <c r="BZ14" s="2204"/>
      <c r="CA14" s="2204"/>
      <c r="CB14" s="2204"/>
      <c r="CC14" s="2204"/>
      <c r="CD14" s="2204"/>
      <c r="CE14" s="2204"/>
      <c r="CF14" s="2204"/>
      <c r="CG14" s="2204"/>
      <c r="CH14" s="2204"/>
      <c r="CI14" s="2204"/>
      <c r="CJ14" s="2204"/>
      <c r="CK14" s="2204"/>
      <c r="CL14" s="2204"/>
      <c r="CM14" s="2204"/>
      <c r="CN14" s="2204"/>
      <c r="CO14" s="2204"/>
      <c r="CP14" s="2204"/>
      <c r="CQ14" s="2204"/>
      <c r="CR14" s="2204"/>
      <c r="CS14" s="2204"/>
      <c r="CT14" s="2204"/>
      <c r="CU14" s="2204"/>
      <c r="CV14" s="2204"/>
      <c r="CW14" s="2204"/>
      <c r="CX14" s="2204"/>
      <c r="CY14" s="2204"/>
      <c r="CZ14" s="2204"/>
    </row>
    <row r="15" spans="1:104" s="2231" customFormat="1" collapsed="1">
      <c r="A15" s="2217" t="s">
        <v>37</v>
      </c>
      <c r="B15" s="2218">
        <v>4482</v>
      </c>
      <c r="C15" s="2219">
        <v>13709</v>
      </c>
      <c r="D15" s="2219">
        <v>30493.103999999999</v>
      </c>
      <c r="E15" s="2220">
        <v>47583.959500000012</v>
      </c>
      <c r="F15" s="2220">
        <v>58239.319066732103</v>
      </c>
      <c r="G15" s="2220">
        <v>57746.472000000002</v>
      </c>
      <c r="H15" s="2220">
        <v>62708.58</v>
      </c>
      <c r="I15" s="2221">
        <f>SUMIF($AG$1:BE$1,I$5,$AG$15:BE$15)</f>
        <v>68970.269709</v>
      </c>
      <c r="J15" s="2221">
        <f ca="1">SUMIF($AG$1:BF$1,J$5,$AG$15:BF$15)</f>
        <v>55236.76</v>
      </c>
      <c r="K15" s="2222">
        <f ca="1">SUMIF($AG$1:BG$1,K$5,$AG$15:BG$15)</f>
        <v>59904.719875453447</v>
      </c>
      <c r="L15" s="2223">
        <f ca="1">SUMIF($AG$1:BH$1,L$5,$AG$15:BH$15)</f>
        <v>69377.272192794378</v>
      </c>
      <c r="M15" s="2223">
        <f ca="1">SUMIF($AG$1:BI$1,M$5,$AG$15:BI$15)</f>
        <v>79051.085425608238</v>
      </c>
      <c r="N15" s="2223">
        <f ca="1">SUMIF($AG$1:$CJ$1,N$5,$AG$15:$CJ$15)</f>
        <v>88537.215676681226</v>
      </c>
      <c r="O15" s="2223">
        <f ca="1">SUMIF($AG$1:$CJ$1,O$5,$AG$15:$CJ$15)</f>
        <v>99161.681557882985</v>
      </c>
      <c r="P15" s="2223">
        <f ca="1">SUMIF($AG$1:$CJ$1,P$5,$AG$15:$CJ$15)</f>
        <v>109077.84971367128</v>
      </c>
      <c r="Q15" s="2223">
        <f ca="1">SUMIF($AG$1:$CJ$1,Q$5,$AG$15:$CJ$15)</f>
        <v>119985.63468503841</v>
      </c>
      <c r="R15" s="2223"/>
      <c r="S15" s="2223"/>
      <c r="T15" s="2224">
        <v>12</v>
      </c>
      <c r="U15" s="2225">
        <f>SUMIF(Rev_Month!$B$1:$BS$1,U$4,Rev_Month!$B$20:$BS$20)</f>
        <v>11777</v>
      </c>
      <c r="V15" s="2225">
        <f>SUMIF(Rev_Month!$B$1:$BS$1,V$4,Rev_Month!$B$20:$BS$20)</f>
        <v>13172</v>
      </c>
      <c r="W15" s="2225">
        <f>SUMIF(Rev_Month!$B$1:$BS$1,W$4,Rev_Month!$B$20:$BS$20)</f>
        <v>11068</v>
      </c>
      <c r="X15" s="2225">
        <f>SUMIF(Rev_Month!$B$1:$BS$1,X$4,Rev_Month!$B$20:$BS$20)</f>
        <v>11566.959500000012</v>
      </c>
      <c r="Y15" s="2225">
        <f>SUMIF(Rev_Month!$B$1:$BS$1,Y$4,Rev_Month!$B$20:$BS$20)</f>
        <v>14559.894000000002</v>
      </c>
      <c r="Z15" s="2225">
        <f>SUMIF(Rev_Month!$B$1:$BS$1,Z$4,Rev_Month!$B$20:$BS$20)</f>
        <v>15803.855000000001</v>
      </c>
      <c r="AA15" s="2225">
        <f>SUMIF(Rev_Month!$B$1:$BS$1,AA$4,Rev_Month!$B$20:$BS$20)</f>
        <v>13698.212999999996</v>
      </c>
      <c r="AB15" s="2225">
        <f>SUMIF(Rev_Month!$B$1:$BS$1,AB$4,Rev_Month!$B$20:$BS$20)</f>
        <v>14177.217999999993</v>
      </c>
      <c r="AC15" s="2225">
        <f>SUMIF(Rev_Month!$B$1:$BS$1,AC$4,Rev_Month!$B$20:$BS$20)</f>
        <v>16496.386000000002</v>
      </c>
      <c r="AD15" s="2225">
        <f>SUMIF(Rev_Month!$B$1:$BS$1,AD$4,Rev_Month!$B$20:$BS$20)</f>
        <v>15217.843999999994</v>
      </c>
      <c r="AE15" s="2225">
        <f>SUMIF(Rev_Month!$B$1:$BS$1,AE$4,Rev_Month!$B$20:$BS$20)</f>
        <v>12541.258000000009</v>
      </c>
      <c r="AF15" s="2225">
        <f>SUMIF(Rev_Month!$B$1:$BS$1,AF$4,Rev_Month!$B$20:$BS$20)</f>
        <v>13490.983999999997</v>
      </c>
      <c r="AG15" s="2225">
        <f>SUMIF(Rev_Month!$B$1:$QQ$1,AG$4,Rev_Month!$B$20:$QQ$20)</f>
        <v>16615.753000000001</v>
      </c>
      <c r="AH15" s="2225">
        <f>SUMIF(Rev_Month!$B$1:$QQ$1,AH$4,Rev_Month!$B$20:$QQ$20)</f>
        <v>16689.817999999996</v>
      </c>
      <c r="AI15" s="2225">
        <f>SUMIF(Rev_Month!$B$1:$QQ$1,AI$4,Rev_Month!$B$20:$QQ$20)</f>
        <v>10104.429000000004</v>
      </c>
      <c r="AJ15" s="2225">
        <f>SUMIF(Rev_Month!$B$1:$QQ$1,AJ$4,Rev_Month!$B$20:$QQ$20)</f>
        <v>19298.580000000002</v>
      </c>
      <c r="AK15" s="2225">
        <f>SUMIF(Rev_Month!$B$1:$QQ$1,AK$4,Rev_Month!$B$20:$QQ$20)</f>
        <v>20213.726463204832</v>
      </c>
      <c r="AL15" s="2225">
        <f>SUMIF(Rev_Month!$B$1:$QQ$1,AL$4,Rev_Month!$B$20:$QQ$20)</f>
        <v>18265.117191273552</v>
      </c>
      <c r="AM15" s="2225">
        <f>SUMIF(Rev_Month!$B$1:$QQ$1,AM$4,Rev_Month!$B$20:$QQ$20)</f>
        <v>15521.156345521616</v>
      </c>
      <c r="AN15" s="2225">
        <f>SUMIF(Rev_Month!$B$1:$QQ$1,AN$4,Rev_Month!$B$20:$QQ$20)</f>
        <v>14970.269709</v>
      </c>
      <c r="AO15" s="2226">
        <f>SUMIF(Rev_Month!$B$1:$QQ$1,AO$4,Rev_Month!$B$20:$QQ$20)</f>
        <v>13306.07</v>
      </c>
      <c r="AP15" s="2227">
        <f ca="1">SUMIF(Rev_Month!$B$1:$QQ$1,AP$4,Rev_Month!$B$20:$QQ$20)</f>
        <v>14922.36</v>
      </c>
      <c r="AQ15" s="2227">
        <f ca="1">SUMIF(Rev_Month!$B$1:$QQ$1,AQ$4,Rev_Month!$B$20:$QQ$20)</f>
        <v>13463.409999999996</v>
      </c>
      <c r="AR15" s="2227">
        <f ca="1">SUMIF(Rev_Month!$B$1:$QQ$1,AR$4,Rev_Month!$B$20:$QQ$20)</f>
        <v>13544.920000000006</v>
      </c>
      <c r="AS15" s="2226">
        <f ca="1">SUMIF(Rev_Month!$B$1:$QQ$1,AS$4,Rev_Month!$B$20:$QQ$20)</f>
        <v>14546.758380000001</v>
      </c>
      <c r="AT15" s="2225">
        <f ca="1">SUMIF(Rev_Month!$B$1:$QQ$1,AT$4,Rev_Month!$B$20:$QQ$20)</f>
        <v>16229.490619999999</v>
      </c>
      <c r="AU15" s="2225">
        <f ca="1">SUMIF(Rev_Month!$B$1:$QQ$1,AU$4,Rev_Month!$B$20:$QQ$20)</f>
        <v>14318.435000000001</v>
      </c>
      <c r="AV15" s="2225">
        <f ca="1">SUMIF(Rev_Month!$B$1:$QQ$1,AV$4,Rev_Month!$B$20:$QQ$20)</f>
        <v>14810.035875453446</v>
      </c>
      <c r="AW15" s="2228">
        <f ca="1">SUMIF(Rev_Month!$B$1:$QQ$1,AW$4,Rev_Month!$B$20:$QQ$20)</f>
        <v>15971.651620848377</v>
      </c>
      <c r="AX15" s="2229">
        <f>SUMIF(Rev_Month!$B$1:$QQ$1,AX$4,Rev_Month!$B$20:$QQ$20)</f>
        <v>16945.892279035284</v>
      </c>
      <c r="AY15" s="2229">
        <f ca="1">SUMIF(Rev_Month!$B$1:$QQ$1,AY$4,Rev_Month!$B$20:$QQ$20)</f>
        <v>17448.040100116341</v>
      </c>
      <c r="AZ15" s="2229">
        <f ca="1">SUMIF(Rev_Month!$B$1:$QQ$1,AZ$4,Rev_Month!$B$20:$QQ$20)</f>
        <v>19011.688192794376</v>
      </c>
      <c r="BA15" s="2230">
        <f ca="1">SUMIF(Rev_Month!$B$1:$QQ$1,BA$4,Rev_Month!$B$20:$QQ$20)</f>
        <v>17231.812072383596</v>
      </c>
      <c r="BB15" s="2230">
        <f>SUMIF(Rev_Month!$B$1:$QQ$1,BB$4,Rev_Month!$B$20:$QQ$20)</f>
        <v>19579.552221588052</v>
      </c>
      <c r="BC15" s="2230">
        <f ca="1">SUMIF(Rev_Month!$B$1:$QQ$1,BC$4,Rev_Month!$B$20:$QQ$20)</f>
        <v>20191.390318787813</v>
      </c>
      <c r="BD15" s="2230">
        <f ca="1">SUMIF(Rev_Month!$B$1:$QQ$1,BD$4,Rev_Month!$B$20:$QQ$20)</f>
        <v>22048.330812848766</v>
      </c>
      <c r="BE15" s="2230">
        <f ca="1">SUMIF(Rev_Month!$B$1:$QQ$1,BE$4,Rev_Month!$B$20:$QQ$20)</f>
        <v>19299.62952106963</v>
      </c>
      <c r="BF15" s="2230">
        <f>SUMIF(Rev_Month!$B$1:$QQ$1,BF$4,Rev_Month!$B$20:$QQ$20)</f>
        <v>21929.098488178621</v>
      </c>
      <c r="BG15" s="2230">
        <f ca="1">SUMIF(Rev_Month!$B$1:$QQ$1,BG$4,Rev_Month!$B$20:$QQ$20)</f>
        <v>22614.357157042348</v>
      </c>
      <c r="BH15" s="2230">
        <f ca="1">SUMIF(Rev_Month!$B$1:$QQ$1,BH$4,Rev_Month!$B$20:$QQ$20)</f>
        <v>24694.13051039062</v>
      </c>
      <c r="BI15" s="2230">
        <f ca="1">SUMIF(Rev_Month!$B$1:$QQ$1,BI$4,Rev_Month!$B$20:$QQ$20)</f>
        <v>21615.585063597988</v>
      </c>
      <c r="BJ15" s="2230">
        <f>SUMIF(Rev_Month!$B$1:$QQ$1,BJ$4,Rev_Month!$B$20:$QQ$20)</f>
        <v>24560.590306760056</v>
      </c>
      <c r="BK15" s="2230">
        <f ca="1">SUMIF(Rev_Month!$B$1:$QQ$1,BK$4,Rev_Month!$B$20:$QQ$20)</f>
        <v>25328.080015887437</v>
      </c>
      <c r="BL15" s="2230">
        <f ca="1">SUMIF(Rev_Month!$B$1:$QQ$1,BL$4,Rev_Month!$B$20:$QQ$20)</f>
        <v>27657.426171637497</v>
      </c>
      <c r="BM15" s="2230">
        <f ca="1">SUMIF(Rev_Month!$B$1:$QQ$1,BM$4,Rev_Month!$B$20:$QQ$20)</f>
        <v>23777.143569957789</v>
      </c>
      <c r="BN15" s="2230">
        <f>SUMIF(Rev_Month!$B$1:$QQ$1,BN$4,Rev_Month!$B$20:$QQ$20)</f>
        <v>27016.649337436069</v>
      </c>
      <c r="BO15" s="2230">
        <f ca="1">SUMIF(Rev_Month!$B$1:$QQ$1,BO$4,Rev_Month!$B$20:$QQ$20)</f>
        <v>27860.88801747618</v>
      </c>
      <c r="BP15" s="2230">
        <f ca="1">SUMIF(Rev_Month!$B$1:$QQ$1,BP$4,Rev_Month!$B$20:$QQ$20)</f>
        <v>30423.168788801246</v>
      </c>
      <c r="BQ15" s="2230">
        <f ca="1">SUMIF(Rev_Month!$B$1:$QQ$1,BQ$4,Rev_Month!$B$20:$QQ$20)</f>
        <v>26154.857926953569</v>
      </c>
      <c r="BR15" s="2230">
        <f>SUMIF(Rev_Month!$B$1:$QQ$1,BR$4,Rev_Month!$B$20:$QQ$20)</f>
        <v>29718.314271179675</v>
      </c>
      <c r="BS15" s="2230">
        <f ca="1">SUMIF(Rev_Month!$B$1:$QQ$1,BS$4,Rev_Month!$B$20:$QQ$20)</f>
        <v>30646.976819223801</v>
      </c>
      <c r="BT15" s="2230">
        <f ca="1">SUMIF(Rev_Month!$B$1:$QQ$1,BT$4,Rev_Month!$B$20:$QQ$20)</f>
        <v>33465.485667681372</v>
      </c>
      <c r="BU15" s="2230">
        <f ca="1">SUMIF(Rev_Month!$B$1:$QQ$1,BU$4,Rev_Month!$B$20:$QQ$20)</f>
        <v>28770.343719648929</v>
      </c>
      <c r="BV15" s="2230">
        <f>SUMIF(Rev_Month!$B$1:$QQ$1,BV$4,Rev_Month!$B$20:$QQ$20)</f>
        <v>32690.145698297645</v>
      </c>
      <c r="BW15" s="2230">
        <f ca="1">SUMIF(Rev_Month!$B$1:$QQ$1,BW$4,Rev_Month!$B$20:$QQ$20)</f>
        <v>33711.67450114619</v>
      </c>
      <c r="BX15" s="2230">
        <f ca="1">SUMIF(Rev_Month!$B$1:$QQ$1,BX$4,Rev_Month!$B$20:$QQ$20)</f>
        <v>36812.034234449515</v>
      </c>
      <c r="BY15" s="2230">
        <f ca="1">SUMIF(Rev_Month!$B$1:$QQ$1,BY$4,Rev_Month!$B$20:$QQ$20)</f>
        <v>31647.37809161382</v>
      </c>
      <c r="BZ15" s="2230">
        <f>SUMIF(Rev_Month!$B$1:$QQ$1,BZ$4,Rev_Month!$B$20:$QQ$20)</f>
        <v>35959.160268127416</v>
      </c>
      <c r="CA15" s="2230">
        <f ca="1">SUMIF(Rev_Month!$B$1:$QQ$1,CA$4,Rev_Month!$B$20:$QQ$20)</f>
        <v>37082.841951260809</v>
      </c>
      <c r="CB15" s="2230">
        <f ca="1">SUMIF(Rev_Month!$B$1:$QQ$1,CB$4,Rev_Month!$B$20:$QQ$20)</f>
        <v>40493.237657894468</v>
      </c>
      <c r="CC15" s="2230">
        <f>SUMIF(Rev_Month!$B$1:$QQ$1,CC$4,Rev_Month!$B$20:$QQ$20)</f>
        <v>0</v>
      </c>
      <c r="CD15" s="2230">
        <f>SUMIF(Rev_Month!$B$1:$QQ$1,CD$4,Rev_Month!$B$20:$QQ$20)</f>
        <v>0</v>
      </c>
      <c r="CE15" s="2230">
        <f>SUMIF(Rev_Month!$B$1:$QQ$1,CE$4,Rev_Month!$B$20:$QQ$20)</f>
        <v>0</v>
      </c>
      <c r="CF15" s="2230">
        <f>SUMIF(Rev_Month!$B$1:$QQ$1,CF$4,Rev_Month!$B$20:$QQ$20)</f>
        <v>0</v>
      </c>
      <c r="CG15" s="2230">
        <f>SUMIF(Rev_Month!$B$1:$QQ$1,CG$4,Rev_Month!$B$20:$QQ$20)</f>
        <v>0</v>
      </c>
      <c r="CH15" s="2230">
        <f>SUMIF(Rev_Month!$B$1:$QQ$1,CH$4,Rev_Month!$B$20:$QQ$20)</f>
        <v>0</v>
      </c>
      <c r="CI15" s="2230">
        <f>SUMIF(Rev_Month!$B$1:$QQ$1,CI$4,Rev_Month!$B$20:$QQ$20)</f>
        <v>0</v>
      </c>
      <c r="CJ15" s="2230">
        <f>SUMIF(Rev_Month!$B$1:$QQ$1,CJ$4,Rev_Month!$B$20:$QQ$20)</f>
        <v>0</v>
      </c>
      <c r="CK15" s="2230">
        <f>SUMIF(Rev_Month!$B$1:$QQ$1,CK$4,Rev_Month!$B$20:$QQ$20)</f>
        <v>0</v>
      </c>
      <c r="CL15" s="2230">
        <f>SUMIF(Rev_Month!$B$1:$QQ$1,CL$4,Rev_Month!$B$20:$QQ$20)</f>
        <v>0</v>
      </c>
      <c r="CM15" s="2230">
        <f>SUMIF(Rev_Month!$B$1:$QQ$1,CM$4,Rev_Month!$B$20:$QQ$20)</f>
        <v>0</v>
      </c>
      <c r="CN15" s="2230">
        <f>SUMIF(Rev_Month!$B$1:$QQ$1,CN$4,Rev_Month!$B$20:$QQ$20)</f>
        <v>0</v>
      </c>
      <c r="CO15" s="2230">
        <f>SUMIF(Rev_Month!$B$1:$QQ$1,CO$4,Rev_Month!$B$20:$QQ$20)</f>
        <v>0</v>
      </c>
      <c r="CP15" s="2230">
        <f>SUMIF(Rev_Month!$B$1:$QQ$1,CP$4,Rev_Month!$B$20:$QQ$20)</f>
        <v>0</v>
      </c>
      <c r="CQ15" s="2230">
        <f>SUMIF(Rev_Month!$B$1:$QQ$1,CQ$4,Rev_Month!$B$20:$QQ$20)</f>
        <v>0</v>
      </c>
      <c r="CR15" s="2230">
        <f>SUMIF(Rev_Month!$B$1:$QQ$1,CR$4,Rev_Month!$B$20:$QQ$20)</f>
        <v>0</v>
      </c>
      <c r="CS15" s="2230">
        <f>SUMIF(Rev_Month!$B$1:$QQ$1,CS$4,Rev_Month!$B$20:$QQ$20)</f>
        <v>0</v>
      </c>
      <c r="CT15" s="2230">
        <f>SUMIF(Rev_Month!$B$1:$QQ$1,CT$4,Rev_Month!$B$20:$QQ$20)</f>
        <v>0</v>
      </c>
      <c r="CU15" s="2230">
        <f>SUMIF(Rev_Month!$B$1:$QQ$1,CU$4,Rev_Month!$B$20:$QQ$20)</f>
        <v>0</v>
      </c>
      <c r="CV15" s="2230">
        <f>SUMIF(Rev_Month!$B$1:$QQ$1,CV$4,Rev_Month!$B$20:$QQ$20)</f>
        <v>0</v>
      </c>
      <c r="CW15" s="2230">
        <f>SUMIF(Rev_Month!$B$1:$QQ$1,CW$4,Rev_Month!$B$20:$QQ$20)</f>
        <v>0</v>
      </c>
      <c r="CX15" s="2230">
        <f>SUMIF(Rev_Month!$B$1:$QQ$1,CX$4,Rev_Month!$B$20:$QQ$20)</f>
        <v>0</v>
      </c>
      <c r="CY15" s="2230">
        <f>SUMIF(Rev_Month!$B$1:$QQ$1,CY$4,Rev_Month!$B$20:$QQ$20)</f>
        <v>0</v>
      </c>
      <c r="CZ15" s="2230">
        <f>SUMIF(Rev_Month!$B$1:$QQ$1,CZ$4,Rev_Month!$B$20:$QQ$20)</f>
        <v>0</v>
      </c>
    </row>
    <row r="16" spans="1:104" s="2239" customFormat="1" hidden="1" outlineLevel="1">
      <c r="A16" s="2232" t="s">
        <v>32</v>
      </c>
      <c r="B16" s="2205">
        <f t="shared" ref="B16:Q16" si="144">B15/B$6</f>
        <v>0.17748573930335856</v>
      </c>
      <c r="C16" s="2206">
        <f t="shared" si="144"/>
        <v>0.30728482224105125</v>
      </c>
      <c r="D16" s="2206">
        <f t="shared" si="144"/>
        <v>0.4596501960069907</v>
      </c>
      <c r="E16" s="2207">
        <f t="shared" si="144"/>
        <v>0.55000001905566709</v>
      </c>
      <c r="F16" s="2207">
        <f t="shared" si="144"/>
        <v>0.56999999999999995</v>
      </c>
      <c r="G16" s="2207">
        <f t="shared" si="144"/>
        <v>0.53199990361692473</v>
      </c>
      <c r="H16" s="2207">
        <f t="shared" si="144"/>
        <v>0.50999955991011536</v>
      </c>
      <c r="I16" s="2241">
        <f t="shared" ca="1" si="144"/>
        <v>0.51699998271561198</v>
      </c>
      <c r="J16" s="2207">
        <f t="shared" ca="1" si="144"/>
        <v>0.4670008352340656</v>
      </c>
      <c r="K16" s="2208">
        <f t="shared" ca="1" si="144"/>
        <v>0.44591488613228503</v>
      </c>
      <c r="L16" s="2233">
        <f t="shared" ca="1" si="144"/>
        <v>0.43471722224576809</v>
      </c>
      <c r="M16" s="2233">
        <f t="shared" ca="1" si="144"/>
        <v>0.40748549280857294</v>
      </c>
      <c r="N16" s="2233">
        <f t="shared" ca="1" si="144"/>
        <v>0.39774527723229397</v>
      </c>
      <c r="O16" s="2233">
        <f t="shared" ca="1" si="144"/>
        <v>0.38661637326818388</v>
      </c>
      <c r="P16" s="2233">
        <f t="shared" ca="1" si="144"/>
        <v>0.38218617845731268</v>
      </c>
      <c r="Q16" s="2233">
        <f t="shared" ca="1" si="144"/>
        <v>0.38448667699734979</v>
      </c>
      <c r="R16" s="2233"/>
      <c r="S16" s="2233"/>
      <c r="T16" s="2175">
        <v>13</v>
      </c>
      <c r="U16" s="2233">
        <f t="shared" ref="U16:AN16" si="145">U15/U$6</f>
        <v>0.5104131416653801</v>
      </c>
      <c r="V16" s="2233">
        <f t="shared" si="145"/>
        <v>0.59527178576188644</v>
      </c>
      <c r="W16" s="2233">
        <f t="shared" si="145"/>
        <v>0.52178714049861274</v>
      </c>
      <c r="X16" s="2233">
        <f t="shared" si="145"/>
        <v>0.54240061409062501</v>
      </c>
      <c r="Y16" s="2233">
        <f t="shared" si="145"/>
        <v>0.57527125112013833</v>
      </c>
      <c r="Z16" s="2233">
        <f t="shared" si="145"/>
        <v>0.58588979798999696</v>
      </c>
      <c r="AA16" s="2233">
        <f t="shared" si="145"/>
        <v>0.5374873542410521</v>
      </c>
      <c r="AB16" s="2233">
        <f t="shared" si="145"/>
        <v>0.55130645043163451</v>
      </c>
      <c r="AC16" s="2233">
        <f t="shared" si="145"/>
        <v>0.55592530614671154</v>
      </c>
      <c r="AD16" s="2233">
        <f t="shared" si="145"/>
        <v>0.57224231276644322</v>
      </c>
      <c r="AE16" s="2233">
        <f t="shared" si="145"/>
        <v>0.48195475278895172</v>
      </c>
      <c r="AF16" s="2233">
        <f t="shared" si="145"/>
        <v>0.49035832374314431</v>
      </c>
      <c r="AG16" s="2233">
        <f t="shared" si="145"/>
        <v>0.53330066227168815</v>
      </c>
      <c r="AH16" s="2233">
        <f t="shared" si="145"/>
        <v>0.52183447397583893</v>
      </c>
      <c r="AI16" s="2233">
        <f t="shared" si="145"/>
        <v>0.4123444512515394</v>
      </c>
      <c r="AJ16" s="2233">
        <f t="shared" si="145"/>
        <v>0.52876760742516082</v>
      </c>
      <c r="AK16" s="2233">
        <f t="shared" si="145"/>
        <v>0.54900000000000004</v>
      </c>
      <c r="AL16" s="2233">
        <f t="shared" si="145"/>
        <v>0.52632917107792987</v>
      </c>
      <c r="AM16" s="2233">
        <f t="shared" si="145"/>
        <v>0.48019730080093692</v>
      </c>
      <c r="AN16" s="2233">
        <f t="shared" si="145"/>
        <v>0.48482340958080106</v>
      </c>
      <c r="AO16" s="2234">
        <f t="shared" ref="AO16:AW16" ca="1" si="146">AO15/AO$6</f>
        <v>0.49135552695182327</v>
      </c>
      <c r="AP16" s="2235">
        <f t="shared" ca="1" si="146"/>
        <v>0.50164047281923296</v>
      </c>
      <c r="AQ16" s="2235">
        <f t="shared" ca="1" si="146"/>
        <v>0.44552276544095881</v>
      </c>
      <c r="AR16" s="2235">
        <f t="shared" ca="1" si="146"/>
        <v>0.43367073442646514</v>
      </c>
      <c r="AS16" s="2234">
        <f t="shared" ca="1" si="146"/>
        <v>0.46327290523622683</v>
      </c>
      <c r="AT16" s="2233">
        <f t="shared" ca="1" si="146"/>
        <v>0.47379299878355469</v>
      </c>
      <c r="AU16" s="2233">
        <f t="shared" ca="1" si="146"/>
        <v>0.41929213151033212</v>
      </c>
      <c r="AV16" s="2233">
        <f t="shared" ca="1" si="146"/>
        <v>0.41477630360027856</v>
      </c>
      <c r="AW16" s="2236">
        <f t="shared" ca="1" si="146"/>
        <v>0.44062813220606611</v>
      </c>
      <c r="AX16" s="2237">
        <f t="shared" ref="AX16" si="147">AX15/AX$6</f>
        <v>0.44739445040867404</v>
      </c>
      <c r="AY16" s="2237">
        <f t="shared" ref="AY16:CB16" ca="1" si="148">AY15/AY$6</f>
        <v>0.43737223067957059</v>
      </c>
      <c r="AZ16" s="2237">
        <f t="shared" ca="1" si="148"/>
        <v>0.41715599022157018</v>
      </c>
      <c r="BA16" s="2238">
        <f t="shared" ca="1" si="148"/>
        <v>0.41008567186960071</v>
      </c>
      <c r="BB16" s="2238">
        <f t="shared" si="148"/>
        <v>0.43827850872437241</v>
      </c>
      <c r="BC16" s="2238">
        <f t="shared" ca="1" si="148"/>
        <v>0.42053222628497394</v>
      </c>
      <c r="BD16" s="2238">
        <f t="shared" ca="1" si="148"/>
        <v>0.40474456973123007</v>
      </c>
      <c r="BE16" s="2238">
        <f t="shared" ca="1" si="148"/>
        <v>0.38579510923904126</v>
      </c>
      <c r="BF16" s="2238">
        <f t="shared" si="148"/>
        <v>0.42057294349404684</v>
      </c>
      <c r="BG16" s="2238">
        <f t="shared" ca="1" si="148"/>
        <v>0.40555277790589256</v>
      </c>
      <c r="BH16" s="2238">
        <f t="shared" ca="1" si="148"/>
        <v>0.39046960523500657</v>
      </c>
      <c r="BI16" s="2238">
        <f t="shared" ca="1" si="148"/>
        <v>0.37482363014586184</v>
      </c>
      <c r="BJ16" s="2238">
        <f t="shared" si="148"/>
        <v>0.40563555142353558</v>
      </c>
      <c r="BK16" s="2238">
        <f t="shared" ca="1" si="148"/>
        <v>0.39272470760708406</v>
      </c>
      <c r="BL16" s="2238">
        <f t="shared" ca="1" si="148"/>
        <v>0.38228090833081907</v>
      </c>
      <c r="BM16" s="2238">
        <f t="shared" ca="1" si="148"/>
        <v>0.36620830688317313</v>
      </c>
      <c r="BN16" s="2238">
        <f t="shared" si="148"/>
        <v>0.39945501767545211</v>
      </c>
      <c r="BO16" s="2238">
        <f t="shared" ca="1" si="148"/>
        <v>0.38896663846007584</v>
      </c>
      <c r="BP16" s="2238">
        <f t="shared" ca="1" si="148"/>
        <v>0.38129946712830071</v>
      </c>
      <c r="BQ16" s="2238">
        <f t="shared" ca="1" si="148"/>
        <v>0.36500368908414188</v>
      </c>
      <c r="BR16" s="2238">
        <f t="shared" si="148"/>
        <v>0.39993117677583473</v>
      </c>
      <c r="BS16" s="2238">
        <f t="shared" ca="1" si="148"/>
        <v>0.39191546066113442</v>
      </c>
      <c r="BT16" s="2238">
        <f t="shared" ca="1" si="148"/>
        <v>0.38698744334312968</v>
      </c>
      <c r="BU16" s="2238">
        <f t="shared" ca="1" si="148"/>
        <v>0.37036765146889156</v>
      </c>
      <c r="BV16" s="2238">
        <f t="shared" si="148"/>
        <v>0.40534267867087298</v>
      </c>
      <c r="BW16" s="2238">
        <f t="shared" ca="1" si="148"/>
        <v>0.39783020821288201</v>
      </c>
      <c r="BX16" s="2238">
        <f t="shared" ca="1" si="148"/>
        <v>0.39355129819508394</v>
      </c>
      <c r="BY16" s="2238">
        <f t="shared" ca="1" si="148"/>
        <v>0.37601034359615954</v>
      </c>
      <c r="BZ16" s="2238">
        <f t="shared" si="148"/>
        <v>0.41127494795562908</v>
      </c>
      <c r="CA16" s="2238">
        <f t="shared" ca="1" si="148"/>
        <v>0.40422291225319906</v>
      </c>
      <c r="CB16" s="2238">
        <f t="shared" ca="1" si="148"/>
        <v>0.4005449746809383</v>
      </c>
      <c r="CC16" s="2238" t="e">
        <f t="shared" ref="CC16:CN16" si="149">CC15/CC$6</f>
        <v>#DIV/0!</v>
      </c>
      <c r="CD16" s="2238" t="e">
        <f t="shared" si="149"/>
        <v>#DIV/0!</v>
      </c>
      <c r="CE16" s="2238" t="e">
        <f t="shared" si="149"/>
        <v>#DIV/0!</v>
      </c>
      <c r="CF16" s="2238" t="e">
        <f t="shared" si="149"/>
        <v>#DIV/0!</v>
      </c>
      <c r="CG16" s="2238" t="e">
        <f t="shared" si="149"/>
        <v>#DIV/0!</v>
      </c>
      <c r="CH16" s="2238" t="e">
        <f t="shared" si="149"/>
        <v>#DIV/0!</v>
      </c>
      <c r="CI16" s="2238" t="e">
        <f t="shared" si="149"/>
        <v>#DIV/0!</v>
      </c>
      <c r="CJ16" s="2238" t="e">
        <f t="shared" si="149"/>
        <v>#DIV/0!</v>
      </c>
      <c r="CK16" s="2238" t="e">
        <f t="shared" si="149"/>
        <v>#DIV/0!</v>
      </c>
      <c r="CL16" s="2238" t="e">
        <f t="shared" si="149"/>
        <v>#DIV/0!</v>
      </c>
      <c r="CM16" s="2238" t="e">
        <f t="shared" si="149"/>
        <v>#DIV/0!</v>
      </c>
      <c r="CN16" s="2238" t="e">
        <f t="shared" si="149"/>
        <v>#DIV/0!</v>
      </c>
      <c r="CO16" s="2238" t="e">
        <f t="shared" ref="CO16:CZ16" si="150">CO15/CO$6</f>
        <v>#DIV/0!</v>
      </c>
      <c r="CP16" s="2238" t="e">
        <f t="shared" si="150"/>
        <v>#DIV/0!</v>
      </c>
      <c r="CQ16" s="2238" t="e">
        <f t="shared" si="150"/>
        <v>#DIV/0!</v>
      </c>
      <c r="CR16" s="2238" t="e">
        <f t="shared" si="150"/>
        <v>#DIV/0!</v>
      </c>
      <c r="CS16" s="2238" t="e">
        <f t="shared" si="150"/>
        <v>#DIV/0!</v>
      </c>
      <c r="CT16" s="2238" t="e">
        <f t="shared" si="150"/>
        <v>#DIV/0!</v>
      </c>
      <c r="CU16" s="2238" t="e">
        <f t="shared" si="150"/>
        <v>#DIV/0!</v>
      </c>
      <c r="CV16" s="2238" t="e">
        <f t="shared" si="150"/>
        <v>#DIV/0!</v>
      </c>
      <c r="CW16" s="2238" t="e">
        <f t="shared" si="150"/>
        <v>#DIV/0!</v>
      </c>
      <c r="CX16" s="2238" t="e">
        <f t="shared" si="150"/>
        <v>#DIV/0!</v>
      </c>
      <c r="CY16" s="2238" t="e">
        <f t="shared" si="150"/>
        <v>#DIV/0!</v>
      </c>
      <c r="CZ16" s="2238" t="e">
        <f t="shared" si="150"/>
        <v>#DIV/0!</v>
      </c>
    </row>
    <row r="17" spans="1:104" s="2216" customFormat="1" ht="15.75" hidden="1" customHeight="1" outlineLevel="1">
      <c r="A17" s="2204" t="s">
        <v>31</v>
      </c>
      <c r="B17" s="2240"/>
      <c r="C17" s="2206">
        <f t="shared" ref="C17:Q17" si="151">C15/B15-1</f>
        <v>2.0586791610887998</v>
      </c>
      <c r="D17" s="2206">
        <f t="shared" si="151"/>
        <v>1.2243127872200743</v>
      </c>
      <c r="E17" s="2207">
        <f t="shared" si="151"/>
        <v>0.56048264223937361</v>
      </c>
      <c r="F17" s="2207">
        <f t="shared" si="151"/>
        <v>0.22392755203005099</v>
      </c>
      <c r="G17" s="2207">
        <f t="shared" si="151"/>
        <v>-8.4624455544781707E-3</v>
      </c>
      <c r="H17" s="2207">
        <f t="shared" si="151"/>
        <v>8.5929197544743596E-2</v>
      </c>
      <c r="I17" s="2241">
        <f t="shared" si="151"/>
        <v>9.9853795270120838E-2</v>
      </c>
      <c r="J17" s="2207">
        <f t="shared" ca="1" si="151"/>
        <v>-0.19912216911641134</v>
      </c>
      <c r="K17" s="2208">
        <f t="shared" ca="1" si="151"/>
        <v>8.4508212926562853E-2</v>
      </c>
      <c r="L17" s="2209">
        <f t="shared" ca="1" si="151"/>
        <v>0.15812697792486308</v>
      </c>
      <c r="M17" s="2209">
        <f t="shared" ca="1" si="151"/>
        <v>0.13943778599324341</v>
      </c>
      <c r="N17" s="2209">
        <f t="shared" ca="1" si="151"/>
        <v>0.11999999999999988</v>
      </c>
      <c r="O17" s="2209">
        <f t="shared" ca="1" si="151"/>
        <v>0.12000000000000011</v>
      </c>
      <c r="P17" s="2209">
        <f t="shared" ca="1" si="151"/>
        <v>0.10000000000000009</v>
      </c>
      <c r="Q17" s="2209">
        <f t="shared" ca="1" si="151"/>
        <v>0.10000000000000009</v>
      </c>
      <c r="R17" s="2209"/>
      <c r="S17" s="2209"/>
      <c r="T17" s="2249">
        <v>14</v>
      </c>
      <c r="U17" s="2210"/>
      <c r="V17" s="2210"/>
      <c r="W17" s="2210"/>
      <c r="X17" s="2210"/>
      <c r="Y17" s="2210"/>
      <c r="Z17" s="2210"/>
      <c r="AA17" s="2210"/>
      <c r="AB17" s="2210"/>
      <c r="AC17" s="2210"/>
      <c r="AD17" s="2210"/>
      <c r="AE17" s="2209">
        <f t="shared" ref="AE17:BF17" si="152">AE15/AA15-1</f>
        <v>-8.4460286900195469E-2</v>
      </c>
      <c r="AF17" s="2209">
        <f t="shared" si="152"/>
        <v>-4.8403995762779206E-2</v>
      </c>
      <c r="AG17" s="2209">
        <f t="shared" si="152"/>
        <v>7.2359485283624014E-3</v>
      </c>
      <c r="AH17" s="2209">
        <f t="shared" si="152"/>
        <v>9.6726842514616607E-2</v>
      </c>
      <c r="AI17" s="2209">
        <f t="shared" si="152"/>
        <v>-0.19430498918051153</v>
      </c>
      <c r="AJ17" s="2209">
        <f t="shared" si="152"/>
        <v>0.43047979302325223</v>
      </c>
      <c r="AK17" s="2209">
        <f t="shared" si="152"/>
        <v>0.21653989820412178</v>
      </c>
      <c r="AL17" s="2209">
        <f t="shared" si="152"/>
        <v>9.4386840603867261E-2</v>
      </c>
      <c r="AM17" s="2209">
        <f t="shared" si="152"/>
        <v>0.53607456151372945</v>
      </c>
      <c r="AN17" s="2209">
        <f t="shared" si="152"/>
        <v>-0.22428128344157972</v>
      </c>
      <c r="AO17" s="2211">
        <f t="shared" si="152"/>
        <v>-0.34173097552194942</v>
      </c>
      <c r="AP17" s="2212">
        <f t="shared" ref="AP17:BA17" ca="1" si="153">AP15/AL15-1</f>
        <v>-0.18301318060365945</v>
      </c>
      <c r="AQ17" s="2212">
        <f t="shared" ca="1" si="153"/>
        <v>-0.13257687118881123</v>
      </c>
      <c r="AR17" s="2212">
        <f t="shared" ca="1" si="153"/>
        <v>-9.5212026016009976E-2</v>
      </c>
      <c r="AS17" s="2211">
        <f t="shared" ca="1" si="153"/>
        <v>9.3242285663610813E-2</v>
      </c>
      <c r="AT17" s="2209">
        <f t="shared" ca="1" si="153"/>
        <v>8.7595435306479619E-2</v>
      </c>
      <c r="AU17" s="2209">
        <f t="shared" ca="1" si="153"/>
        <v>6.3507313526068421E-2</v>
      </c>
      <c r="AV17" s="2209">
        <f t="shared" ca="1" si="153"/>
        <v>9.3401502220274546E-2</v>
      </c>
      <c r="AW17" s="2213">
        <f t="shared" ca="1" si="153"/>
        <v>9.7952629969260352E-2</v>
      </c>
      <c r="AX17" s="2214">
        <f t="shared" ca="1" si="153"/>
        <v>4.4141968211401927E-2</v>
      </c>
      <c r="AY17" s="2214">
        <f t="shared" ca="1" si="153"/>
        <v>0.21857172939056113</v>
      </c>
      <c r="AZ17" s="2214">
        <f t="shared" ca="1" si="153"/>
        <v>0.28370304789773404</v>
      </c>
      <c r="BA17" s="2215">
        <f t="shared" ca="1" si="153"/>
        <v>7.8899820848226332E-2</v>
      </c>
      <c r="BB17" s="2215">
        <f t="shared" si="152"/>
        <v>0.15541583170636675</v>
      </c>
      <c r="BC17" s="2215">
        <f ca="1">BC15/AY15-1</f>
        <v>0.15722970619795751</v>
      </c>
      <c r="BD17" s="2215">
        <f ca="1">BD15/AZ15-1</f>
        <v>0.15972503805344918</v>
      </c>
      <c r="BE17" s="2215">
        <f ca="1">BE15/BA15-1</f>
        <v>0.12000000000000011</v>
      </c>
      <c r="BF17" s="2215">
        <f t="shared" si="152"/>
        <v>0.12000000000000011</v>
      </c>
      <c r="BG17" s="2215">
        <f ca="1">BG15/BC15-1</f>
        <v>0.11999999999999988</v>
      </c>
      <c r="BH17" s="2204"/>
      <c r="BI17" s="2204"/>
      <c r="BJ17" s="2204"/>
      <c r="BK17" s="2204"/>
      <c r="BL17" s="2204"/>
      <c r="BM17" s="2204"/>
      <c r="BN17" s="2204"/>
      <c r="BO17" s="2204"/>
      <c r="BP17" s="2204"/>
      <c r="BQ17" s="2204"/>
      <c r="BR17" s="2204"/>
      <c r="BS17" s="2204"/>
      <c r="BT17" s="2204"/>
      <c r="BU17" s="2204"/>
      <c r="BV17" s="2204"/>
      <c r="BW17" s="2204"/>
      <c r="BX17" s="2204"/>
      <c r="BY17" s="2204"/>
      <c r="BZ17" s="2204"/>
      <c r="CA17" s="2204"/>
      <c r="CB17" s="2204"/>
      <c r="CC17" s="2204"/>
      <c r="CD17" s="2204"/>
      <c r="CE17" s="2204"/>
      <c r="CF17" s="2204"/>
      <c r="CG17" s="2204"/>
      <c r="CH17" s="2204"/>
      <c r="CI17" s="2204"/>
      <c r="CJ17" s="2204"/>
      <c r="CK17" s="2204"/>
      <c r="CL17" s="2204"/>
      <c r="CM17" s="2204"/>
      <c r="CN17" s="2204"/>
      <c r="CO17" s="2215" t="e">
        <f t="shared" ref="CO17" si="154">CO15/CK15-1</f>
        <v>#DIV/0!</v>
      </c>
      <c r="CP17" s="2215" t="e">
        <f t="shared" ref="CP17" si="155">CP15/CL15-1</f>
        <v>#DIV/0!</v>
      </c>
      <c r="CQ17" s="2215" t="e">
        <f t="shared" ref="CQ17" si="156">CQ15/CM15-1</f>
        <v>#DIV/0!</v>
      </c>
      <c r="CR17" s="2215" t="e">
        <f t="shared" ref="CR17" si="157">CR15/CN15-1</f>
        <v>#DIV/0!</v>
      </c>
      <c r="CS17" s="2215" t="e">
        <f t="shared" ref="CS17" si="158">CS15/CO15-1</f>
        <v>#DIV/0!</v>
      </c>
      <c r="CT17" s="2215" t="e">
        <f t="shared" ref="CT17" si="159">CT15/CP15-1</f>
        <v>#DIV/0!</v>
      </c>
      <c r="CU17" s="2215" t="e">
        <f t="shared" ref="CU17" si="160">CU15/CQ15-1</f>
        <v>#DIV/0!</v>
      </c>
      <c r="CV17" s="2215" t="e">
        <f t="shared" ref="CV17" si="161">CV15/CR15-1</f>
        <v>#DIV/0!</v>
      </c>
      <c r="CW17" s="2215" t="e">
        <f t="shared" ref="CW17" si="162">CW15/CS15-1</f>
        <v>#DIV/0!</v>
      </c>
      <c r="CX17" s="2215" t="e">
        <f t="shared" ref="CX17" si="163">CX15/CT15-1</f>
        <v>#DIV/0!</v>
      </c>
      <c r="CY17" s="2215" t="e">
        <f t="shared" ref="CY17" si="164">CY15/CU15-1</f>
        <v>#DIV/0!</v>
      </c>
      <c r="CZ17" s="2215" t="e">
        <f t="shared" ref="CZ17" si="165">CZ15/CV15-1</f>
        <v>#DIV/0!</v>
      </c>
    </row>
    <row r="18" spans="1:104" s="2216" customFormat="1" ht="15.75" hidden="1" customHeight="1" outlineLevel="1">
      <c r="A18" s="2254" t="str">
        <f>A13</f>
        <v>DT/CH</v>
      </c>
      <c r="B18" s="2244"/>
      <c r="C18" s="2245">
        <f t="shared" ref="C18:Q18" si="166">C15/AVERAGE(B235:C235)</f>
        <v>107.02736003858541</v>
      </c>
      <c r="D18" s="2245">
        <f t="shared" si="166"/>
        <v>67.913371937639198</v>
      </c>
      <c r="E18" s="2246">
        <f t="shared" si="166"/>
        <v>68.367757902298862</v>
      </c>
      <c r="F18" s="2246">
        <f t="shared" si="166"/>
        <v>65.881582654674318</v>
      </c>
      <c r="G18" s="2246">
        <f t="shared" si="166"/>
        <v>47.236377914110427</v>
      </c>
      <c r="H18" s="2246">
        <f t="shared" si="166"/>
        <v>36.682410061421471</v>
      </c>
      <c r="I18" s="2246">
        <f t="shared" si="166"/>
        <v>32.259246823666977</v>
      </c>
      <c r="J18" s="2246">
        <f t="shared" ca="1" si="166"/>
        <v>24.926335740072204</v>
      </c>
      <c r="K18" s="2247">
        <f t="shared" ca="1" si="166"/>
        <v>28.953465382046133</v>
      </c>
      <c r="L18" s="2248">
        <f t="shared" ca="1" si="166"/>
        <v>34.941965345149526</v>
      </c>
      <c r="M18" s="2248">
        <f t="shared" ca="1" si="166"/>
        <v>39.90463676204353</v>
      </c>
      <c r="N18" s="2248">
        <f t="shared" ca="1" si="166"/>
        <v>44.693193173488758</v>
      </c>
      <c r="O18" s="2248">
        <f t="shared" ca="1" si="166"/>
        <v>50.05637635430741</v>
      </c>
      <c r="P18" s="2248">
        <f t="shared" ca="1" si="166"/>
        <v>55.062013989738155</v>
      </c>
      <c r="Q18" s="2248">
        <f t="shared" ca="1" si="166"/>
        <v>60.56821538871197</v>
      </c>
      <c r="R18" s="2209"/>
      <c r="S18" s="2209"/>
      <c r="T18" s="2175">
        <v>15</v>
      </c>
      <c r="U18" s="2210"/>
      <c r="V18" s="2210"/>
      <c r="W18" s="2210"/>
      <c r="X18" s="2210"/>
      <c r="Y18" s="2210"/>
      <c r="Z18" s="2210"/>
      <c r="AA18" s="2210"/>
      <c r="AB18" s="2261">
        <f>AB15/AVERAGEIF(Rev_Month!$B$1:$QQ$1,AB$4,Rev_Month!$B$23:$QQ$23)/3</f>
        <v>4.8254656228726995</v>
      </c>
      <c r="AC18" s="2261">
        <f>AC15/AVERAGEIF(Rev_Month!$B$1:$QQ$1,AC$4,Rev_Month!$B$23:$QQ$23)/3</f>
        <v>5.3455560596241094</v>
      </c>
      <c r="AD18" s="2261">
        <f>AD15/AVERAGEIF(Rev_Month!$B$1:$QQ$1,AD$4,Rev_Month!$B$23:$QQ$23)/3</f>
        <v>4.8884818503051699</v>
      </c>
      <c r="AE18" s="2261">
        <f>AE15/AVERAGEIF(Rev_Month!$B$1:$QQ$1,AE$4,Rev_Month!$B$23:$QQ$23)/3</f>
        <v>3.8329028117359436</v>
      </c>
      <c r="AF18" s="2261">
        <f>AF15/AVERAGEIF(Rev_Month!$B$1:$QQ$1,AF$4,Rev_Month!$B$23:$QQ$23)/3</f>
        <v>3.4601138753526537</v>
      </c>
      <c r="AG18" s="2261">
        <f>AG15/AVERAGEIF(Rev_Month!$B$1:$QQ$1,AG$4,Rev_Month!$B$23:$QQ$23)/3</f>
        <v>3.6247279668411867</v>
      </c>
      <c r="AH18" s="2261">
        <f>AH15/AVERAGEIF(Rev_Month!$B$1:$QQ$1,AH$4,Rev_Month!$B$23:$QQ$23)/3</f>
        <v>3.2996872281534197</v>
      </c>
      <c r="AI18" s="2261">
        <f>AI15/AVERAGEIF(Rev_Month!$B$1:$QQ$1,AI$4,Rev_Month!$B$23:$QQ$23)/3</f>
        <v>1.902189194277109</v>
      </c>
      <c r="AJ18" s="2261">
        <f>AJ15/AVERAGEIF(Rev_Month!$B$1:$QQ$1,AJ$4,Rev_Month!$B$23:$QQ$23)/3</f>
        <v>3.4241625266146207</v>
      </c>
      <c r="AK18" s="2261">
        <f>AK15/AVERAGEIF(Rev_Month!$B$1:$QQ$1,AK$4,Rev_Month!$B$23:$QQ$23)/3</f>
        <v>3.2748038012482517</v>
      </c>
      <c r="AL18" s="2261">
        <f>AL15/AVERAGEIF(Rev_Month!$B$1:$QQ$1,AL$4,Rev_Month!$B$23:$QQ$23)/3</f>
        <v>2.8937131164882053</v>
      </c>
      <c r="AM18" s="2261">
        <f>AM15/AVERAGEIF(Rev_Month!$B$1:$QQ$1,AM$4,Rev_Month!$B$23:$QQ$23)/3</f>
        <v>2.3329560116521297</v>
      </c>
      <c r="AN18" s="2261">
        <f>AN15/AVERAGEIF(Rev_Month!$B$1:$QQ$1,AN$4,Rev_Month!$B$23:$QQ$23)/3</f>
        <v>2.1918403673499269</v>
      </c>
      <c r="AO18" s="2262">
        <f>AO15/AVERAGEIF(Rev_Month!$B$1:$QQ$1,AO$4,Rev_Month!$B$23:$QQ$23)/3</f>
        <v>1.9382476329206115</v>
      </c>
      <c r="AP18" s="2264">
        <f ca="1">AP15/AVERAGEIF(Rev_Month!$B$1:$QQ$1,AP$4,Rev_Month!$B$23:$QQ$23)/3</f>
        <v>2.1717886770484642</v>
      </c>
      <c r="AQ18" s="2264">
        <f ca="1">AQ15/AVERAGEIF(Rev_Month!$B$1:$QQ$1,AQ$4,Rev_Month!$B$23:$QQ$23)/3</f>
        <v>1.9623101588689691</v>
      </c>
      <c r="AR18" s="2264">
        <f ca="1">AR15/AVERAGEIF(Rev_Month!$B$1:$QQ$1,AR$4,Rev_Month!$B$23:$QQ$23)/3</f>
        <v>2.0273791348600518</v>
      </c>
      <c r="AS18" s="2262">
        <f ca="1">AS15/AVERAGEIF(Rev_Month!$B$1:$QQ$1,AS$4,Rev_Month!$B$23:$QQ$23)/3</f>
        <v>2.2168177964035354</v>
      </c>
      <c r="AT18" s="2261">
        <f ca="1">AT15/AVERAGEIF(Rev_Month!$B$1:$QQ$1,AT$4,Rev_Month!$B$23:$QQ$23)/3</f>
        <v>2.5134722967322283</v>
      </c>
      <c r="AU18" s="2261">
        <f ca="1">AU15/AVERAGEIF(Rev_Month!$B$1:$QQ$1,AU$4,Rev_Month!$B$23:$QQ$23)/3</f>
        <v>2.3492100082034457</v>
      </c>
      <c r="AV18" s="2261">
        <f ca="1">AV15/AVERAGEIF(Rev_Month!$B$1:$QQ$1,AV$4,Rev_Month!$B$23:$QQ$23)/3</f>
        <v>2.4334597232095705</v>
      </c>
      <c r="AW18" s="2265"/>
      <c r="AX18" s="2214"/>
      <c r="AY18" s="2214"/>
      <c r="AZ18" s="2214"/>
      <c r="BA18" s="2215"/>
      <c r="BB18" s="2215"/>
      <c r="BC18" s="2215"/>
      <c r="BD18" s="2215"/>
      <c r="BE18" s="2215"/>
      <c r="BF18" s="2215"/>
      <c r="BG18" s="2215"/>
      <c r="BH18" s="2204"/>
      <c r="BI18" s="2204"/>
      <c r="BJ18" s="2204"/>
      <c r="BK18" s="2204"/>
      <c r="BL18" s="2204"/>
      <c r="BM18" s="2204"/>
      <c r="BN18" s="2204"/>
      <c r="BO18" s="2204"/>
      <c r="BP18" s="2204"/>
      <c r="BQ18" s="2204"/>
      <c r="BR18" s="2204"/>
      <c r="BS18" s="2204"/>
      <c r="BT18" s="2204"/>
      <c r="BU18" s="2204"/>
      <c r="BV18" s="2204"/>
      <c r="BW18" s="2204"/>
      <c r="BX18" s="2204"/>
      <c r="BY18" s="2204"/>
      <c r="BZ18" s="2204"/>
      <c r="CA18" s="2204"/>
      <c r="CB18" s="2204"/>
      <c r="CC18" s="2204"/>
      <c r="CD18" s="2204"/>
      <c r="CE18" s="2204"/>
      <c r="CF18" s="2204"/>
      <c r="CG18" s="2204"/>
      <c r="CH18" s="2204"/>
      <c r="CI18" s="2204"/>
      <c r="CJ18" s="2204"/>
      <c r="CK18" s="2204"/>
      <c r="CL18" s="2204"/>
      <c r="CM18" s="2204"/>
      <c r="CN18" s="2204"/>
      <c r="CO18" s="2215"/>
      <c r="CP18" s="2215"/>
      <c r="CQ18" s="2215"/>
      <c r="CR18" s="2215"/>
      <c r="CS18" s="2215"/>
      <c r="CT18" s="2215"/>
      <c r="CU18" s="2215"/>
      <c r="CV18" s="2215"/>
      <c r="CW18" s="2215"/>
      <c r="CX18" s="2215"/>
      <c r="CY18" s="2215"/>
      <c r="CZ18" s="2215"/>
    </row>
    <row r="19" spans="1:104" s="2216" customFormat="1" ht="15.75" hidden="1" customHeight="1" outlineLevel="1">
      <c r="A19" s="2272" t="str">
        <f>A14</f>
        <v>%YoY</v>
      </c>
      <c r="B19" s="2240"/>
      <c r="C19" s="2206"/>
      <c r="D19" s="2206">
        <f t="shared" ref="D19:Q19" si="167">D18/C18-1</f>
        <v>-0.36545784261935332</v>
      </c>
      <c r="E19" s="2207">
        <f t="shared" si="167"/>
        <v>6.6906700653428519E-3</v>
      </c>
      <c r="F19" s="2207">
        <f t="shared" si="167"/>
        <v>-3.6364732790819643E-2</v>
      </c>
      <c r="G19" s="2207">
        <f t="shared" si="167"/>
        <v>-0.2830108808753854</v>
      </c>
      <c r="H19" s="2207">
        <f t="shared" si="167"/>
        <v>-0.22342881310415375</v>
      </c>
      <c r="I19" s="2207">
        <f t="shared" si="167"/>
        <v>-0.12057995181745951</v>
      </c>
      <c r="J19" s="2267">
        <f t="shared" ca="1" si="167"/>
        <v>-0.22731191226123071</v>
      </c>
      <c r="K19" s="2208">
        <f t="shared" ca="1" si="167"/>
        <v>0.16156123723792315</v>
      </c>
      <c r="L19" s="2209">
        <f t="shared" ca="1" si="167"/>
        <v>0.20683188986479051</v>
      </c>
      <c r="M19" s="2209">
        <f t="shared" ca="1" si="167"/>
        <v>0.14202611009065347</v>
      </c>
      <c r="N19" s="2209">
        <f t="shared" ca="1" si="167"/>
        <v>0.12000000000000011</v>
      </c>
      <c r="O19" s="2209">
        <f t="shared" ca="1" si="167"/>
        <v>0.12000000000000011</v>
      </c>
      <c r="P19" s="2209">
        <f t="shared" ca="1" si="167"/>
        <v>0.10000000000000009</v>
      </c>
      <c r="Q19" s="2209">
        <f t="shared" ca="1" si="167"/>
        <v>0.10000000000000009</v>
      </c>
      <c r="R19" s="2209"/>
      <c r="S19" s="2209"/>
      <c r="T19" s="2175">
        <v>16</v>
      </c>
      <c r="U19" s="2210"/>
      <c r="V19" s="2210"/>
      <c r="W19" s="2210"/>
      <c r="X19" s="2210"/>
      <c r="Y19" s="2210"/>
      <c r="Z19" s="2210"/>
      <c r="AA19" s="2210"/>
      <c r="AB19" s="2210"/>
      <c r="AC19" s="2210"/>
      <c r="AD19" s="2210"/>
      <c r="AE19" s="2210"/>
      <c r="AF19" s="2210"/>
      <c r="AG19" s="2210"/>
      <c r="AH19" s="2210"/>
      <c r="AI19" s="2210"/>
      <c r="AJ19" s="2210"/>
      <c r="AK19" s="2209">
        <f t="shared" ref="AK19:AO19" si="168">AK18/AG18-1</f>
        <v>-9.653804886712114E-2</v>
      </c>
      <c r="AL19" s="2209">
        <f t="shared" si="168"/>
        <v>-0.12303411917389728</v>
      </c>
      <c r="AM19" s="2209">
        <f t="shared" si="168"/>
        <v>0.22645845043753687</v>
      </c>
      <c r="AN19" s="2209">
        <f t="shared" si="168"/>
        <v>-0.35989008982089943</v>
      </c>
      <c r="AO19" s="2211">
        <f t="shared" si="168"/>
        <v>-0.40813320413827148</v>
      </c>
      <c r="AP19" s="2212">
        <f t="shared" ref="AP19:AV19" ca="1" si="169">AP18/AL18-1</f>
        <v>-0.24948030795667286</v>
      </c>
      <c r="AQ19" s="2212">
        <f t="shared" ca="1" si="169"/>
        <v>-0.15887391400949746</v>
      </c>
      <c r="AR19" s="2268">
        <f t="shared" ca="1" si="169"/>
        <v>-7.5033398845883559E-2</v>
      </c>
      <c r="AS19" s="2269">
        <f t="shared" ca="1" si="169"/>
        <v>0.14372268989343007</v>
      </c>
      <c r="AT19" s="2270">
        <f t="shared" ca="1" si="169"/>
        <v>0.15732820752529375</v>
      </c>
      <c r="AU19" s="2270">
        <f t="shared" ca="1" si="169"/>
        <v>0.19716549271572692</v>
      </c>
      <c r="AV19" s="2270">
        <f t="shared" ca="1" si="169"/>
        <v>0.20029829713007774</v>
      </c>
      <c r="AW19" s="2271"/>
      <c r="AX19" s="2214"/>
      <c r="AY19" s="2214"/>
      <c r="AZ19" s="2214"/>
      <c r="BA19" s="2215"/>
      <c r="BB19" s="2215"/>
      <c r="BC19" s="2215"/>
      <c r="BD19" s="2215"/>
      <c r="BE19" s="2215"/>
      <c r="BF19" s="2215"/>
      <c r="BG19" s="2215"/>
      <c r="BH19" s="2204"/>
      <c r="BI19" s="2204"/>
      <c r="BJ19" s="2204"/>
      <c r="BK19" s="2204"/>
      <c r="BL19" s="2204"/>
      <c r="BM19" s="2204"/>
      <c r="BN19" s="2204"/>
      <c r="BO19" s="2204"/>
      <c r="BP19" s="2204"/>
      <c r="BQ19" s="2204"/>
      <c r="BR19" s="2204"/>
      <c r="BS19" s="2204"/>
      <c r="BT19" s="2204"/>
      <c r="BU19" s="2204"/>
      <c r="BV19" s="2204"/>
      <c r="BW19" s="2204"/>
      <c r="BX19" s="2204"/>
      <c r="BY19" s="2204"/>
      <c r="BZ19" s="2204"/>
      <c r="CA19" s="2204"/>
      <c r="CB19" s="2204"/>
      <c r="CC19" s="2204"/>
      <c r="CD19" s="2204"/>
      <c r="CE19" s="2204"/>
      <c r="CF19" s="2204"/>
      <c r="CG19" s="2204"/>
      <c r="CH19" s="2204"/>
      <c r="CI19" s="2204"/>
      <c r="CJ19" s="2204"/>
      <c r="CK19" s="2204"/>
      <c r="CL19" s="2204"/>
      <c r="CM19" s="2204"/>
      <c r="CN19" s="2204"/>
      <c r="CO19" s="2215"/>
      <c r="CP19" s="2215"/>
      <c r="CQ19" s="2215"/>
      <c r="CR19" s="2215"/>
      <c r="CS19" s="2215"/>
      <c r="CT19" s="2215"/>
      <c r="CU19" s="2215"/>
      <c r="CV19" s="2215"/>
      <c r="CW19" s="2215"/>
      <c r="CX19" s="2215"/>
      <c r="CY19" s="2215"/>
      <c r="CZ19" s="2215"/>
    </row>
    <row r="20" spans="1:104" s="2231" customFormat="1" collapsed="1">
      <c r="A20" s="2217" t="str">
        <f>Rev_Month!A32</f>
        <v>Mobil+CE</v>
      </c>
      <c r="B20" s="2218">
        <f t="shared" ref="B20:Q20" si="170">B8+B15</f>
        <v>25251</v>
      </c>
      <c r="C20" s="2219">
        <f t="shared" si="170"/>
        <v>44364.33</v>
      </c>
      <c r="D20" s="2219">
        <f t="shared" si="170"/>
        <v>65201.103999999999</v>
      </c>
      <c r="E20" s="2220">
        <f t="shared" si="170"/>
        <v>82190.475500000015</v>
      </c>
      <c r="F20" s="2220">
        <f t="shared" si="170"/>
        <v>91445.948359167087</v>
      </c>
      <c r="G20" s="2220">
        <f t="shared" si="170"/>
        <v>87270.983999999997</v>
      </c>
      <c r="H20" s="2220">
        <f t="shared" si="170"/>
        <v>94308.786000000007</v>
      </c>
      <c r="I20" s="2221">
        <f t="shared" ca="1" si="170"/>
        <v>103655.51172900001</v>
      </c>
      <c r="J20" s="2221">
        <f t="shared" ca="1" si="170"/>
        <v>83505.679999999993</v>
      </c>
      <c r="K20" s="2222">
        <f t="shared" ca="1" si="170"/>
        <v>90798.886168975005</v>
      </c>
      <c r="L20" s="2223">
        <f t="shared" ca="1" si="170"/>
        <v>107657.81840730226</v>
      </c>
      <c r="M20" s="2223">
        <f t="shared" ca="1" si="170"/>
        <v>120831.54694497709</v>
      </c>
      <c r="N20" s="2223">
        <f t="shared" ca="1" si="170"/>
        <v>134299.45968768513</v>
      </c>
      <c r="O20" s="2223">
        <f t="shared" ca="1" si="170"/>
        <v>149294.07312667032</v>
      </c>
      <c r="P20" s="2223">
        <f t="shared" ca="1" si="170"/>
        <v>160937.01983309368</v>
      </c>
      <c r="Q20" s="2223">
        <f t="shared" ca="1" si="170"/>
        <v>173400.57990804347</v>
      </c>
      <c r="R20" s="2223"/>
      <c r="S20" s="2223"/>
      <c r="T20" s="2224">
        <v>17</v>
      </c>
      <c r="U20" s="2225">
        <f>SUMIF(Rev_Month!$B$1:$BS$1,U$4,Rev_Month!$B$32:$BS$32)</f>
        <v>21331</v>
      </c>
      <c r="V20" s="2225">
        <f>SUMIF(Rev_Month!$B$1:$BS$1,V$4,Rev_Month!$B$32:$BS$32)</f>
        <v>21657</v>
      </c>
      <c r="W20" s="2225">
        <f>SUMIF(Rev_Month!$B$1:$BS$1,W$4,Rev_Month!$B$32:$BS$32)</f>
        <v>19638</v>
      </c>
      <c r="X20" s="2225">
        <f>SUMIF(Rev_Month!$B$1:$BS$1,X$4,Rev_Month!$B$32:$BS$32)</f>
        <v>19564.475500000015</v>
      </c>
      <c r="Y20" s="2225">
        <f>SUMIF(Rev_Month!$B$1:$BS$1,Y$4,Rev_Month!$B$32:$BS$32)</f>
        <v>23390.895000000004</v>
      </c>
      <c r="Z20" s="2225">
        <f>SUMIF(Rev_Month!$B$1:$BS$1,Z$4,Rev_Month!$B$32:$BS$32)</f>
        <v>24249.671999999999</v>
      </c>
      <c r="AA20" s="2225">
        <f>SUMIF(Rev_Month!$B$1:$BS$1,AA$4,Rev_Month!$B$32:$BS$32)</f>
        <v>21983.473999999995</v>
      </c>
      <c r="AB20" s="2225">
        <f>SUMIF(Rev_Month!$B$1:$BS$1,AB$4,Rev_Month!$B$32:$BS$32)</f>
        <v>21821.688999999998</v>
      </c>
      <c r="AC20" s="2225">
        <f>SUMIF(Rev_Month!$B$1:$BS$1,AC$4,Rev_Month!$B$32:$BS$32)</f>
        <v>24861.991000000002</v>
      </c>
      <c r="AD20" s="2225">
        <f>SUMIF(Rev_Month!$B$1:$BS$1,AD$4,Rev_Month!$B$32:$BS$32)</f>
        <v>21318.378999999994</v>
      </c>
      <c r="AE20" s="2225">
        <f>SUMIF(Rev_Month!$B$1:$BS$1,AE$4,Rev_Month!$B$32:$BS$32)</f>
        <v>20040.15800000001</v>
      </c>
      <c r="AF20" s="2225">
        <f>SUMIF(Rev_Month!$B$1:$BS$1,AF$4,Rev_Month!$B$32:$BS$32)</f>
        <v>21050.455999999998</v>
      </c>
      <c r="AG20" s="2225">
        <f>SUMIF(Rev_Month!$B$1:$QQ$1,AG$4,Rev_Month!$B$32:$QQ$32)</f>
        <v>24877.389000000003</v>
      </c>
      <c r="AH20" s="2225">
        <f>SUMIF(Rev_Month!$B$1:$QQ$1,AH$4,Rev_Month!$B$32:$QQ$32)</f>
        <v>24049.931999999993</v>
      </c>
      <c r="AI20" s="2225">
        <f>SUMIF(Rev_Month!$B$1:$QQ$1,AI$4,Rev_Month!$B$32:$QQ$32)</f>
        <v>14972.199000000004</v>
      </c>
      <c r="AJ20" s="2225">
        <f>SUMIF(Rev_Month!$B$1:$QQ$1,AJ$4,Rev_Month!$B$32:$QQ$32)</f>
        <v>30409.266000000003</v>
      </c>
      <c r="AK20" s="2225">
        <f>SUMIF(Rev_Month!$B$1:$QQ$1,AK$4,Rev_Month!$B$32:$QQ$32)</f>
        <v>30288.095463204831</v>
      </c>
      <c r="AL20" s="2225">
        <f>SUMIF(Rev_Month!$B$1:$QQ$1,AL$4,Rev_Month!$B$32:$QQ$32)</f>
        <v>18001.326364034358</v>
      </c>
      <c r="AM20" s="2225">
        <f ca="1">SUMIF(Rev_Month!$B$1:$QQ$1,AM$4,Rev_Month!$B$32:$QQ$32)</f>
        <v>23521.156345521616</v>
      </c>
      <c r="AN20" s="2225">
        <f ca="1">SUMIF(Rev_Month!$B$1:$QQ$1,AN$4,Rev_Month!$B$32:$QQ$32)</f>
        <v>22655.511729000005</v>
      </c>
      <c r="AO20" s="2226">
        <f ca="1">SUMIF(Rev_Month!$B$1:$QQ$1,AO$4,Rev_Month!$B$32:$QQ$32)</f>
        <v>19945.61</v>
      </c>
      <c r="AP20" s="2227">
        <f ca="1">SUMIF(Rev_Month!$B$1:$QQ$1,AP$4,Rev_Month!$B$32:$QQ$32)</f>
        <v>21633.34</v>
      </c>
      <c r="AQ20" s="2227">
        <f ca="1">SUMIF(Rev_Month!$B$1:$QQ$1,AQ$4,Rev_Month!$B$32:$QQ$32)</f>
        <v>20644.035045759207</v>
      </c>
      <c r="AR20" s="2227">
        <f ca="1">SUMIF(Rev_Month!$B$1:$QQ$1,AR$4,Rev_Month!$B$32:$QQ$32)</f>
        <v>21141.636000000002</v>
      </c>
      <c r="AS20" s="2226">
        <f ca="1">SUMIF(Rev_Month!$B$1:$QQ$1,AS$4,Rev_Month!$B$32:$QQ$32)</f>
        <v>21347.840220000002</v>
      </c>
      <c r="AT20" s="2225">
        <f ca="1">SUMIF(Rev_Month!$B$1:$QQ$1,AT$4,Rev_Month!$B$32:$QQ$32)</f>
        <v>22946.334779999997</v>
      </c>
      <c r="AU20" s="2225">
        <f ca="1">SUMIF(Rev_Month!$B$1:$QQ$1,AU$4,Rev_Month!$B$32:$QQ$32)</f>
        <v>22449.947999999997</v>
      </c>
      <c r="AV20" s="2225">
        <f ca="1">SUMIF(Rev_Month!$B$1:$QQ$1,AV$4,Rev_Month!$B$32:$QQ$32)</f>
        <v>24054.763168975012</v>
      </c>
      <c r="AW20" s="2228">
        <f ca="1">SUMIF(Rev_Month!$B$1:$QQ$1,AW$4,Rev_Month!$B$32:$QQ$32)</f>
        <v>24282.692057036445</v>
      </c>
      <c r="AX20" s="2229">
        <f>SUMIF(Rev_Month!$B$1:$QQ$1,AX$4,Rev_Month!$B$32:$QQ$32)</f>
        <v>25111.154322983559</v>
      </c>
      <c r="AY20" s="2229">
        <f ca="1">SUMIF(Rev_Month!$B$1:$QQ$1,AY$4,Rev_Month!$B$32:$QQ$32)</f>
        <v>27062.017619979997</v>
      </c>
      <c r="AZ20" s="2229">
        <f ca="1">SUMIF(Rev_Month!$B$1:$QQ$1,AZ$4,Rev_Month!$B$32:$QQ$32)</f>
        <v>31201.954407302259</v>
      </c>
      <c r="BA20" s="2230">
        <f ca="1">SUMIF(Rev_Month!$B$1:$QQ$1,BA$4,Rev_Month!$B$32:$QQ$32)</f>
        <v>26255.03056400027</v>
      </c>
      <c r="BB20" s="2230">
        <f>SUMIF(Rev_Month!$B$1:$QQ$1,BB$4,Rev_Month!$B$32:$QQ$32)</f>
        <v>28475.110084820379</v>
      </c>
      <c r="BC20" s="2230">
        <f ca="1">SUMIF(Rev_Month!$B$1:$QQ$1,BC$4,Rev_Month!$B$32:$QQ$32)</f>
        <v>30701.772124716772</v>
      </c>
      <c r="BD20" s="2230">
        <f ca="1">SUMIF(Rev_Month!$B$1:$QQ$1,BD$4,Rev_Month!$B$32:$QQ$32)</f>
        <v>35399.634171439655</v>
      </c>
      <c r="BE20" s="2230">
        <f ca="1">SUMIF(Rev_Month!$B$1:$QQ$1,BE$4,Rev_Month!$B$32:$QQ$32)</f>
        <v>29178.405581814179</v>
      </c>
      <c r="BF20" s="2230">
        <f>SUMIF(Rev_Month!$B$1:$QQ$1,BF$4,Rev_Month!$B$32:$QQ$32)</f>
        <v>31665.444097562715</v>
      </c>
      <c r="BG20" s="2230">
        <f ca="1">SUMIF(Rev_Month!$B$1:$QQ$1,BG$4,Rev_Month!$B$32:$QQ$32)</f>
        <v>34128.977065892745</v>
      </c>
      <c r="BH20" s="2230">
        <f ca="1">SUMIF(Rev_Month!$B$1:$QQ$1,BH$4,Rev_Month!$B$32:$QQ$32)</f>
        <v>39326.632942415483</v>
      </c>
      <c r="BI20" s="2230">
        <f ca="1">SUMIF(Rev_Month!$B$1:$QQ$1,BI$4,Rev_Month!$B$32:$QQ$32)</f>
        <v>32433.136236381506</v>
      </c>
      <c r="BJ20" s="2230">
        <f>SUMIF(Rev_Month!$B$1:$QQ$1,BJ$4,Rev_Month!$B$32:$QQ$32)</f>
        <v>35219.364034902508</v>
      </c>
      <c r="BK20" s="2230">
        <f ca="1">SUMIF(Rev_Month!$B$1:$QQ$1,BK$4,Rev_Month!$B$32:$QQ$32)</f>
        <v>37945.021834067818</v>
      </c>
      <c r="BL20" s="2230">
        <f ca="1">SUMIF(Rev_Month!$B$1:$QQ$1,BL$4,Rev_Month!$B$32:$QQ$32)</f>
        <v>43696.55102131849</v>
      </c>
      <c r="BM20" s="2230">
        <f ca="1">SUMIF(Rev_Month!$B$1:$QQ$1,BM$4,Rev_Month!$B$32:$QQ$32)</f>
        <v>35142.028081496232</v>
      </c>
      <c r="BN20" s="2230">
        <f>SUMIF(Rev_Month!$B$1:$QQ$1,BN$4,Rev_Month!$B$32:$QQ$32)</f>
        <v>37995.186277422792</v>
      </c>
      <c r="BO20" s="2230">
        <f ca="1">SUMIF(Rev_Month!$B$1:$QQ$1,BO$4,Rev_Month!$B$32:$QQ$32)</f>
        <v>40856.338090201971</v>
      </c>
      <c r="BP20" s="2230">
        <f ca="1">SUMIF(Rev_Month!$B$1:$QQ$1,BP$4,Rev_Month!$B$32:$QQ$32)</f>
        <v>46943.467383972667</v>
      </c>
      <c r="BQ20" s="2230">
        <f ca="1">SUMIF(Rev_Month!$B$1:$QQ$1,BQ$4,Rev_Month!$B$32:$QQ$32)</f>
        <v>37860.688973838165</v>
      </c>
      <c r="BR20" s="2230">
        <f>SUMIF(Rev_Month!$B$1:$QQ$1,BR$4,Rev_Month!$B$32:$QQ$32)</f>
        <v>41026.207319366004</v>
      </c>
      <c r="BS20" s="2230">
        <f ca="1">SUMIF(Rev_Month!$B$1:$QQ$1,BS$4,Rev_Month!$B$32:$QQ$32)</f>
        <v>44032.290394131371</v>
      </c>
      <c r="BT20" s="2230">
        <f ca="1">SUMIF(Rev_Month!$B$1:$QQ$1,BT$4,Rev_Month!$B$32:$QQ$32)</f>
        <v>50481.393220707942</v>
      </c>
      <c r="BU20" s="2230">
        <f ca="1">SUMIF(Rev_Month!$B$1:$QQ$1,BU$4,Rev_Month!$B$32:$QQ$32)</f>
        <v>40827.349697940059</v>
      </c>
      <c r="BV20" s="2230">
        <f>SUMIF(Rev_Month!$B$1:$QQ$1,BV$4,Rev_Month!$B$32:$QQ$32)</f>
        <v>44337.275537929563</v>
      </c>
      <c r="BW20" s="2230">
        <f ca="1">SUMIF(Rev_Month!$B$1:$QQ$1,BW$4,Rev_Month!$B$32:$QQ$32)</f>
        <v>47498.547483300979</v>
      </c>
      <c r="BX20" s="2230">
        <f ca="1">SUMIF(Rev_Month!$B$1:$QQ$1,BX$4,Rev_Month!$B$32:$QQ$32)</f>
        <v>54338.419014066872</v>
      </c>
      <c r="BY20" s="2230">
        <f ca="1">SUMIF(Rev_Month!$B$1:$QQ$1,BY$4,Rev_Month!$B$32:$QQ$32)</f>
        <v>44066.094249253685</v>
      </c>
      <c r="BZ20" s="2230">
        <f>SUMIF(Rev_Month!$B$1:$QQ$1,BZ$4,Rev_Month!$B$32:$QQ$32)</f>
        <v>47955.704002948296</v>
      </c>
      <c r="CA20" s="2230">
        <f ca="1">SUMIF(Rev_Month!$B$1:$QQ$1,CA$4,Rev_Month!$B$32:$QQ$32)</f>
        <v>51283.321122880254</v>
      </c>
      <c r="CB20" s="2230">
        <f ca="1">SUMIF(Rev_Month!$B$1:$QQ$1,CB$4,Rev_Month!$B$32:$QQ$32)</f>
        <v>58545.413980900354</v>
      </c>
      <c r="CC20" s="2230">
        <f>SUMIF(Rev_Month!$B$1:$QQ$1,CC$4,Rev_Month!$B$32:$QQ$32)</f>
        <v>0</v>
      </c>
      <c r="CD20" s="2230">
        <f>SUMIF(Rev_Month!$B$1:$QQ$1,CD$4,Rev_Month!$B$32:$QQ$32)</f>
        <v>0</v>
      </c>
      <c r="CE20" s="2230">
        <f>SUMIF(Rev_Month!$B$1:$QQ$1,CE$4,Rev_Month!$B$32:$QQ$32)</f>
        <v>0</v>
      </c>
      <c r="CF20" s="2230">
        <f>SUMIF(Rev_Month!$B$1:$QQ$1,CF$4,Rev_Month!$B$32:$QQ$32)</f>
        <v>0</v>
      </c>
      <c r="CG20" s="2230">
        <f>SUMIF(Rev_Month!$B$1:$QQ$1,CG$4,Rev_Month!$B$32:$QQ$32)</f>
        <v>0</v>
      </c>
      <c r="CH20" s="2230">
        <f>SUMIF(Rev_Month!$B$1:$QQ$1,CH$4,Rev_Month!$B$32:$QQ$32)</f>
        <v>0</v>
      </c>
      <c r="CI20" s="2230">
        <f>SUMIF(Rev_Month!$B$1:$QQ$1,CI$4,Rev_Month!$B$32:$QQ$32)</f>
        <v>0</v>
      </c>
      <c r="CJ20" s="2230">
        <f>SUMIF(Rev_Month!$B$1:$QQ$1,CJ$4,Rev_Month!$B$32:$QQ$32)</f>
        <v>0</v>
      </c>
      <c r="CK20" s="2230">
        <f>SUMIF(Rev_Month!$B$1:$QQ$1,CK$4,Rev_Month!$B$32:$QQ$32)</f>
        <v>0</v>
      </c>
      <c r="CL20" s="2230">
        <f>SUMIF(Rev_Month!$B$1:$QQ$1,CL$4,Rev_Month!$B$32:$QQ$32)</f>
        <v>0</v>
      </c>
      <c r="CM20" s="2230">
        <f>SUMIF(Rev_Month!$B$1:$QQ$1,CM$4,Rev_Month!$B$32:$QQ$32)</f>
        <v>0</v>
      </c>
      <c r="CN20" s="2230">
        <f>SUMIF(Rev_Month!$B$1:$QQ$1,CN$4,Rev_Month!$B$32:$QQ$32)</f>
        <v>0</v>
      </c>
      <c r="CO20" s="2230">
        <f>SUMIF(Rev_Month!$B$1:$QQ$1,CO$4,Rev_Month!$B$32:$QQ$32)</f>
        <v>0</v>
      </c>
      <c r="CP20" s="2230">
        <f>SUMIF(Rev_Month!$B$1:$QQ$1,CP$4,Rev_Month!$B$32:$QQ$32)</f>
        <v>0</v>
      </c>
      <c r="CQ20" s="2230">
        <f>SUMIF(Rev_Month!$B$1:$QQ$1,CQ$4,Rev_Month!$B$32:$QQ$32)</f>
        <v>0</v>
      </c>
      <c r="CR20" s="2230">
        <f>SUMIF(Rev_Month!$B$1:$QQ$1,CR$4,Rev_Month!$B$32:$QQ$32)</f>
        <v>0</v>
      </c>
      <c r="CS20" s="2230">
        <f>SUMIF(Rev_Month!$B$1:$QQ$1,CS$4,Rev_Month!$B$32:$QQ$32)</f>
        <v>0</v>
      </c>
      <c r="CT20" s="2230">
        <f>SUMIF(Rev_Month!$B$1:$QQ$1,CT$4,Rev_Month!$B$32:$QQ$32)</f>
        <v>0</v>
      </c>
      <c r="CU20" s="2230">
        <f>SUMIF(Rev_Month!$B$1:$QQ$1,CU$4,Rev_Month!$B$32:$QQ$32)</f>
        <v>0</v>
      </c>
      <c r="CV20" s="2230">
        <f>SUMIF(Rev_Month!$B$1:$QQ$1,CV$4,Rev_Month!$B$32:$QQ$32)</f>
        <v>0</v>
      </c>
      <c r="CW20" s="2230">
        <f>SUMIF(Rev_Month!$B$1:$QQ$1,CW$4,Rev_Month!$B$32:$QQ$32)</f>
        <v>0</v>
      </c>
      <c r="CX20" s="2230">
        <f>SUMIF(Rev_Month!$B$1:$QQ$1,CX$4,Rev_Month!$B$32:$QQ$32)</f>
        <v>0</v>
      </c>
      <c r="CY20" s="2230">
        <f>SUMIF(Rev_Month!$B$1:$QQ$1,CY$4,Rev_Month!$B$32:$QQ$32)</f>
        <v>0</v>
      </c>
      <c r="CZ20" s="2230">
        <f>SUMIF(Rev_Month!$B$1:$QQ$1,CZ$4,Rev_Month!$B$32:$QQ$32)</f>
        <v>0</v>
      </c>
    </row>
    <row r="21" spans="1:104" s="2279" customFormat="1" ht="15.75" customHeight="1" outlineLevel="1">
      <c r="A21" s="2273" t="str">
        <f>Rev_Month!A33</f>
        <v>Weight</v>
      </c>
      <c r="B21" s="2205">
        <f t="shared" ref="B21:Q21" si="171">B20/B$6</f>
        <v>0.99993137062675308</v>
      </c>
      <c r="C21" s="2206">
        <f t="shared" si="171"/>
        <v>0.99441864890898946</v>
      </c>
      <c r="D21" s="2206">
        <f t="shared" si="171"/>
        <v>0.98283533986806282</v>
      </c>
      <c r="E21" s="2207">
        <f t="shared" si="171"/>
        <v>0.95000003291433399</v>
      </c>
      <c r="F21" s="2207">
        <f t="shared" si="171"/>
        <v>0.89500000000000002</v>
      </c>
      <c r="G21" s="2207">
        <f t="shared" si="171"/>
        <v>0.80399985433835996</v>
      </c>
      <c r="H21" s="2207">
        <f t="shared" si="171"/>
        <v>0.7669993381393303</v>
      </c>
      <c r="I21" s="2207">
        <f t="shared" ca="1" si="171"/>
        <v>0.77699997402326992</v>
      </c>
      <c r="J21" s="2207">
        <f t="shared" ca="1" si="171"/>
        <v>0.70600126268790209</v>
      </c>
      <c r="K21" s="2208">
        <f t="shared" ca="1" si="171"/>
        <v>0.67588288654309181</v>
      </c>
      <c r="L21" s="2274">
        <f t="shared" ca="1" si="171"/>
        <v>0.67458270254566943</v>
      </c>
      <c r="M21" s="2274">
        <f t="shared" ca="1" si="171"/>
        <v>0.62285169379528937</v>
      </c>
      <c r="N21" s="2274">
        <f t="shared" ca="1" si="171"/>
        <v>0.60332793862292733</v>
      </c>
      <c r="O21" s="2274">
        <f t="shared" ca="1" si="171"/>
        <v>0.58207497287121013</v>
      </c>
      <c r="P21" s="2274">
        <f t="shared" ca="1" si="171"/>
        <v>0.56388996247887824</v>
      </c>
      <c r="Q21" s="2274">
        <f t="shared" ca="1" si="171"/>
        <v>0.55565162390702827</v>
      </c>
      <c r="R21" s="2274"/>
      <c r="S21" s="2274"/>
      <c r="T21" s="2175">
        <v>18</v>
      </c>
      <c r="U21" s="2274"/>
      <c r="V21" s="2274"/>
      <c r="W21" s="2274"/>
      <c r="X21" s="2274"/>
      <c r="Y21" s="2274"/>
      <c r="Z21" s="2274"/>
      <c r="AA21" s="2274"/>
      <c r="AB21" s="2274"/>
      <c r="AC21" s="2274"/>
      <c r="AD21" s="2274"/>
      <c r="AE21" s="2274"/>
      <c r="AF21" s="2274"/>
      <c r="AG21" s="2274"/>
      <c r="AH21" s="2274">
        <f t="shared" ref="AH21:AL21" si="172">AH20/AD20-1</f>
        <v>0.12813136495978417</v>
      </c>
      <c r="AI21" s="2274">
        <f t="shared" si="172"/>
        <v>-0.25289017182399476</v>
      </c>
      <c r="AJ21" s="2274">
        <f t="shared" si="172"/>
        <v>0.44458941887054637</v>
      </c>
      <c r="AK21" s="2274">
        <f t="shared" si="172"/>
        <v>0.21749494945811354</v>
      </c>
      <c r="AL21" s="2274">
        <f t="shared" si="172"/>
        <v>-0.25150198495220855</v>
      </c>
      <c r="AM21" s="2274">
        <f t="shared" ref="AM21:AZ21" ca="1" si="173">AM20/AI20-1</f>
        <v>0.57098876026972456</v>
      </c>
      <c r="AN21" s="2274">
        <f t="shared" ca="1" si="173"/>
        <v>-0.25497998771164021</v>
      </c>
      <c r="AO21" s="2275">
        <f t="shared" ca="1" si="173"/>
        <v>-0.34147031383235327</v>
      </c>
      <c r="AP21" s="2276">
        <f t="shared" ca="1" si="173"/>
        <v>0.20176366799405421</v>
      </c>
      <c r="AQ21" s="2276">
        <f t="shared" ca="1" si="173"/>
        <v>-0.12232057206278502</v>
      </c>
      <c r="AR21" s="2276">
        <f t="shared" ca="1" si="173"/>
        <v>-6.6821519951022701E-2</v>
      </c>
      <c r="AS21" s="2275">
        <f t="shared" ca="1" si="173"/>
        <v>7.0302699190448514E-2</v>
      </c>
      <c r="AT21" s="2274">
        <f t="shared" ca="1" si="173"/>
        <v>6.0693114424309691E-2</v>
      </c>
      <c r="AU21" s="2274">
        <f t="shared" ca="1" si="173"/>
        <v>8.7478680899244488E-2</v>
      </c>
      <c r="AV21" s="2274">
        <f t="shared" ca="1" si="173"/>
        <v>0.1377910001371232</v>
      </c>
      <c r="AW21" s="2277">
        <f t="shared" ca="1" si="173"/>
        <v>0.1374776936116886</v>
      </c>
      <c r="AX21" s="2278">
        <f t="shared" ca="1" si="173"/>
        <v>9.4342715895107343E-2</v>
      </c>
      <c r="AY21" s="2278">
        <f t="shared" ca="1" si="173"/>
        <v>0.20543787540086966</v>
      </c>
      <c r="AZ21" s="2278">
        <f t="shared" ca="1" si="173"/>
        <v>0.29712166310352384</v>
      </c>
      <c r="BA21" s="2273"/>
      <c r="BB21" s="2273"/>
      <c r="BC21" s="2273"/>
      <c r="BD21" s="2273"/>
      <c r="BE21" s="2273"/>
      <c r="BF21" s="2273"/>
      <c r="BG21" s="2273"/>
      <c r="BH21" s="2273"/>
      <c r="BI21" s="2273"/>
      <c r="BJ21" s="2273"/>
      <c r="BK21" s="2273"/>
      <c r="BL21" s="2273"/>
      <c r="BM21" s="2273"/>
      <c r="BN21" s="2273"/>
      <c r="BO21" s="2273"/>
      <c r="BP21" s="2273"/>
      <c r="BQ21" s="2273"/>
      <c r="BR21" s="2273"/>
      <c r="BS21" s="2273"/>
      <c r="BT21" s="2273"/>
      <c r="BU21" s="2273"/>
      <c r="BV21" s="2273"/>
      <c r="BW21" s="2273"/>
      <c r="BX21" s="2273"/>
      <c r="BY21" s="2273"/>
      <c r="BZ21" s="2273"/>
      <c r="CA21" s="2273"/>
      <c r="CB21" s="2273"/>
      <c r="CC21" s="2273"/>
      <c r="CD21" s="2273"/>
      <c r="CE21" s="2273"/>
      <c r="CF21" s="2273"/>
      <c r="CG21" s="2273"/>
      <c r="CH21" s="2273"/>
      <c r="CI21" s="2273"/>
      <c r="CJ21" s="2273"/>
      <c r="CK21" s="2273"/>
      <c r="CL21" s="2273"/>
      <c r="CM21" s="2273"/>
      <c r="CN21" s="2273"/>
      <c r="CO21" s="2273"/>
      <c r="CP21" s="2273"/>
      <c r="CQ21" s="2273"/>
      <c r="CR21" s="2273"/>
      <c r="CS21" s="2273"/>
      <c r="CT21" s="2273"/>
      <c r="CU21" s="2273"/>
      <c r="CV21" s="2273"/>
      <c r="CW21" s="2273"/>
      <c r="CX21" s="2273"/>
      <c r="CY21" s="2273"/>
      <c r="CZ21" s="2273"/>
    </row>
    <row r="22" spans="1:104" s="2216" customFormat="1" ht="15.75" customHeight="1" outlineLevel="1">
      <c r="A22" s="2204" t="str">
        <f>Rev_Month!A34</f>
        <v>%YoY</v>
      </c>
      <c r="B22" s="2240"/>
      <c r="C22" s="2206">
        <f t="shared" ref="C22:Q22" si="174">C20/B20-1</f>
        <v>0.7569335867886422</v>
      </c>
      <c r="D22" s="2206">
        <f t="shared" si="174"/>
        <v>0.46967403767846827</v>
      </c>
      <c r="E22" s="2207">
        <f t="shared" si="174"/>
        <v>0.26056877043063587</v>
      </c>
      <c r="F22" s="2207">
        <f t="shared" si="174"/>
        <v>0.11261004152685627</v>
      </c>
      <c r="G22" s="2207">
        <f t="shared" si="174"/>
        <v>-4.5654995481804406E-2</v>
      </c>
      <c r="H22" s="2207">
        <f t="shared" si="174"/>
        <v>8.0643092095764812E-2</v>
      </c>
      <c r="I22" s="2207">
        <f t="shared" ca="1" si="174"/>
        <v>9.9107687898771113E-2</v>
      </c>
      <c r="J22" s="2207">
        <f t="shared" ca="1" si="174"/>
        <v>-0.19439228452877955</v>
      </c>
      <c r="K22" s="2208">
        <f t="shared" ca="1" si="174"/>
        <v>8.7337845389379609E-2</v>
      </c>
      <c r="L22" s="2209">
        <f t="shared" ca="1" si="174"/>
        <v>0.18567333752258919</v>
      </c>
      <c r="M22" s="2209">
        <f t="shared" ca="1" si="174"/>
        <v>0.12236666813955499</v>
      </c>
      <c r="N22" s="2209">
        <f t="shared" ca="1" si="174"/>
        <v>0.11146023603290378</v>
      </c>
      <c r="O22" s="2209">
        <f t="shared" ca="1" si="174"/>
        <v>0.11165058648676118</v>
      </c>
      <c r="P22" s="2209">
        <f t="shared" ca="1" si="174"/>
        <v>7.7986663921646437E-2</v>
      </c>
      <c r="Q22" s="2209">
        <f t="shared" ca="1" si="174"/>
        <v>7.7443711135422033E-2</v>
      </c>
      <c r="R22" s="2209"/>
      <c r="S22" s="2209"/>
      <c r="T22" s="2175">
        <v>19</v>
      </c>
      <c r="U22" s="2210"/>
      <c r="V22" s="2210"/>
      <c r="W22" s="2210"/>
      <c r="X22" s="2210"/>
      <c r="Y22" s="2210"/>
      <c r="Z22" s="2210"/>
      <c r="AA22" s="2210"/>
      <c r="AB22" s="2210"/>
      <c r="AC22" s="2210"/>
      <c r="AD22" s="2210"/>
      <c r="AE22" s="2210"/>
      <c r="AF22" s="2210"/>
      <c r="AG22" s="2210"/>
      <c r="AH22" s="2210"/>
      <c r="AI22" s="2210"/>
      <c r="AJ22" s="2210"/>
      <c r="AK22" s="2280"/>
      <c r="AL22" s="2210"/>
      <c r="AM22" s="2210"/>
      <c r="AN22" s="2210"/>
      <c r="AO22" s="2258"/>
      <c r="AP22" s="2210"/>
      <c r="AQ22" s="2210"/>
      <c r="AR22" s="2210"/>
      <c r="AS22" s="2281"/>
      <c r="AT22" s="2210"/>
      <c r="AU22" s="2210"/>
      <c r="AV22" s="2210"/>
      <c r="AW22" s="2282"/>
      <c r="AX22" s="2242"/>
      <c r="AY22" s="2242"/>
      <c r="AZ22" s="2242"/>
      <c r="BA22" s="2204"/>
      <c r="BB22" s="2204"/>
      <c r="BC22" s="2204"/>
      <c r="BD22" s="2204"/>
      <c r="BE22" s="2204"/>
      <c r="BF22" s="2204"/>
      <c r="BG22" s="2204"/>
      <c r="BH22" s="2204"/>
      <c r="BI22" s="2204"/>
      <c r="BJ22" s="2204"/>
      <c r="BK22" s="2204"/>
      <c r="BL22" s="2204"/>
      <c r="BM22" s="2204"/>
      <c r="BN22" s="2204"/>
      <c r="BO22" s="2204"/>
      <c r="BP22" s="2204"/>
      <c r="BQ22" s="2204"/>
      <c r="BR22" s="2204"/>
      <c r="BS22" s="2204"/>
      <c r="BT22" s="2204"/>
      <c r="BU22" s="2204"/>
      <c r="BV22" s="2204"/>
      <c r="BW22" s="2204"/>
      <c r="BX22" s="2204"/>
      <c r="BY22" s="2204"/>
      <c r="BZ22" s="2204"/>
      <c r="CA22" s="2204"/>
      <c r="CB22" s="2204"/>
      <c r="CC22" s="2204"/>
      <c r="CD22" s="2204"/>
      <c r="CE22" s="2204"/>
      <c r="CF22" s="2204"/>
      <c r="CG22" s="2204"/>
      <c r="CH22" s="2204"/>
      <c r="CI22" s="2204"/>
      <c r="CJ22" s="2204"/>
      <c r="CK22" s="2204"/>
      <c r="CL22" s="2204"/>
      <c r="CM22" s="2204"/>
      <c r="CN22" s="2204"/>
      <c r="CO22" s="2204"/>
      <c r="CP22" s="2204"/>
      <c r="CQ22" s="2204"/>
      <c r="CR22" s="2204"/>
      <c r="CS22" s="2204"/>
      <c r="CT22" s="2204"/>
      <c r="CU22" s="2204"/>
      <c r="CV22" s="2204"/>
      <c r="CW22" s="2204"/>
      <c r="CX22" s="2204"/>
      <c r="CY22" s="2204"/>
      <c r="CZ22" s="2204"/>
    </row>
    <row r="23" spans="1:104" s="2231" customFormat="1">
      <c r="A23" s="2217" t="s">
        <v>40</v>
      </c>
      <c r="B23" s="2218">
        <v>0</v>
      </c>
      <c r="C23" s="2219">
        <v>249</v>
      </c>
      <c r="D23" s="2219">
        <v>1138.7</v>
      </c>
      <c r="E23" s="2220">
        <v>4325.8145000000004</v>
      </c>
      <c r="F23" s="2220">
        <v>10728.295617555914</v>
      </c>
      <c r="G23" s="2220">
        <v>21275.016</v>
      </c>
      <c r="H23" s="2220">
        <v>28157.381999999998</v>
      </c>
      <c r="I23" s="2221">
        <f>SUMIF($AG$1:BE$1,I$5,$AG$23:BE$23)</f>
        <v>27081.169731000002</v>
      </c>
      <c r="J23" s="2221">
        <f ca="1">SUMIF($AG$1:BF$1,J$5,$AG$23:BF$23)</f>
        <v>31580.760000000002</v>
      </c>
      <c r="K23" s="2222">
        <f ca="1">SUMIF($AG$1:BG$1,K$5,$AG$23:BG$23)</f>
        <v>41083.417042057001</v>
      </c>
      <c r="L23" s="2223">
        <f ca="1">SUMIF($AG$1:BH$1,L$5,$AG$23:BH$23)</f>
        <v>47646.751647932077</v>
      </c>
      <c r="M23" s="2223">
        <f ca="1">SUMIF($AG$1:BI$1,M$5,$AG$23:BI$23)</f>
        <v>68350.825336556707</v>
      </c>
      <c r="N23" s="2223">
        <f ca="1">SUMIF($AG$1:$CJ$1,N$5,$AG$23:$CJ$23)</f>
        <v>86871.088414002705</v>
      </c>
      <c r="O23" s="2223">
        <f ca="1">SUMIF($AG$1:$CJ$1,O$5,$AG$23:$CJ$23)</f>
        <v>105764.68070607298</v>
      </c>
      <c r="P23" s="2223">
        <f ca="1">SUMIF($AG$1:$CJ$1,P$5,$AG$23:$CJ$23)</f>
        <v>123040.75740074375</v>
      </c>
      <c r="Q23" s="2223">
        <f ca="1">SUMIF($AG$1:$CJ$1,Q$5,$AG$23:$CJ$23)</f>
        <v>137239.26854457241</v>
      </c>
      <c r="R23" s="2223">
        <f>0.2*R6</f>
        <v>27000</v>
      </c>
      <c r="S23" s="2223">
        <f>0.2*S6</f>
        <v>30000</v>
      </c>
      <c r="T23" s="2224">
        <v>20</v>
      </c>
      <c r="U23" s="2225">
        <f>SUMIF(Rev_Month!$B$1:$BS$1,U$4,Rev_Month!$B$38:$BS$38)</f>
        <v>606</v>
      </c>
      <c r="V23" s="2225">
        <f>SUMIF(Rev_Month!$B$1:$BS$1,V$4,Rev_Month!$B$38:$BS$38)</f>
        <v>946</v>
      </c>
      <c r="W23" s="2225">
        <f>SUMIF(Rev_Month!$B$1:$BS$1,W$4,Rev_Month!$B$38:$BS$38)</f>
        <v>1248</v>
      </c>
      <c r="X23" s="2225">
        <f>SUMIF(Rev_Month!$B$1:$BS$1,X$4,Rev_Month!$B$38:$BS$38)</f>
        <v>1525.8145000000004</v>
      </c>
      <c r="Y23" s="2225">
        <f>SUMIF(Rev_Month!$B$1:$BS$1,Y$4,Rev_Month!$B$38:$BS$38)</f>
        <v>1662.105</v>
      </c>
      <c r="Z23" s="2225">
        <f>SUMIF(Rev_Month!$B$1:$BS$1,Z$4,Rev_Month!$B$38:$BS$38)</f>
        <v>2460.328</v>
      </c>
      <c r="AA23" s="2225">
        <f>SUMIF(Rev_Month!$B$1:$BS$1,AA$4,Rev_Month!$B$38:$BS$38)</f>
        <v>3052.5260000000007</v>
      </c>
      <c r="AB23" s="2225">
        <f>SUMIF(Rev_Month!$B$1:$BS$1,AB$4,Rev_Month!$B$38:$BS$38)</f>
        <v>3589.3109999999997</v>
      </c>
      <c r="AC23" s="2225">
        <f>SUMIF(Rev_Month!$B$1:$BS$1,AC$4,Rev_Month!$B$38:$BS$38)</f>
        <v>4491.009</v>
      </c>
      <c r="AD23" s="2225">
        <f>SUMIF(Rev_Month!$B$1:$BS$1,AD$4,Rev_Month!$B$38:$BS$38)</f>
        <v>4967.621000000001</v>
      </c>
      <c r="AE23" s="2225">
        <f>SUMIF(Rev_Month!$B$1:$BS$1,AE$4,Rev_Month!$B$38:$BS$38)</f>
        <v>5672.8420000000006</v>
      </c>
      <c r="AF23" s="2225">
        <f>SUMIF(Rev_Month!$B$1:$BS$1,AF$4,Rev_Month!$B$38:$BS$38)</f>
        <v>6143.5439999999981</v>
      </c>
      <c r="AG23" s="2225">
        <f>SUMIF(Rev_Month!$B$1:$QQ$1,AG$4,Rev_Month!$B$38:$QQ$38)</f>
        <v>5949.6109999999999</v>
      </c>
      <c r="AH23" s="2225">
        <f>SUMIF(Rev_Month!$B$1:$QQ$1,AH$4,Rev_Month!$B$38:$QQ$38)</f>
        <v>7422.6069999999991</v>
      </c>
      <c r="AI23" s="2225">
        <f>SUMIF(Rev_Month!$B$1:$QQ$1,AI$4,Rev_Month!$B$38:$QQ$38)</f>
        <v>9200.9820000000018</v>
      </c>
      <c r="AJ23" s="2225">
        <f>SUMIF(Rev_Month!$B$1:$QQ$1,AJ$4,Rev_Month!$B$38:$QQ$38)</f>
        <v>5584.1819999999971</v>
      </c>
      <c r="AK23" s="2225">
        <f>SUMIF(Rev_Month!$B$1:$QQ$1,AK$4,Rev_Month!$B$38:$QQ$38)</f>
        <v>6040</v>
      </c>
      <c r="AL23" s="2225">
        <f>SUMIF(Rev_Month!$B$1:$QQ$1,AL$4,Rev_Month!$B$38:$QQ$38)</f>
        <v>6775.5240000000013</v>
      </c>
      <c r="AM23" s="2225">
        <f>SUMIF(Rev_Month!$B$1:$QQ$1,AM$4,Rev_Month!$B$38:$QQ$38)</f>
        <v>7121.2509999999984</v>
      </c>
      <c r="AN23" s="2225">
        <f>SUMIF(Rev_Month!$B$1:$QQ$1,AN$4,Rev_Month!$B$38:$QQ$38)</f>
        <v>7144.3947310000003</v>
      </c>
      <c r="AO23" s="2226">
        <f>SUMIF(Rev_Month!$B$1:$QQ$1,AO$4,Rev_Month!$B$38:$QQ$38)</f>
        <v>6369.64</v>
      </c>
      <c r="AP23" s="2227">
        <f ca="1">SUMIF(Rev_Month!$B$1:$QQ$1,AP$4,Rev_Month!$B$38:$QQ$38)</f>
        <v>7320.2999999999984</v>
      </c>
      <c r="AQ23" s="2227">
        <f ca="1">SUMIF(Rev_Month!$B$1:$QQ$1,AQ$4,Rev_Month!$B$38:$QQ$38)</f>
        <v>8632.5660000000025</v>
      </c>
      <c r="AR23" s="2227">
        <f ca="1">SUMIF(Rev_Month!$B$1:$QQ$1,AR$4,Rev_Month!$B$38:$QQ$38)</f>
        <v>9258.2540000000008</v>
      </c>
      <c r="AS23" s="2226">
        <f ca="1">SUMIF(Rev_Month!$B$1:$QQ$1,AS$4,Rev_Month!$B$38:$QQ$38)</f>
        <v>9162.5685900000008</v>
      </c>
      <c r="AT23" s="2225">
        <f ca="1">SUMIF(Rev_Month!$B$1:$QQ$1,AT$4,Rev_Month!$B$38:$QQ$38)</f>
        <v>10326.868409999997</v>
      </c>
      <c r="AU23" s="2225">
        <f ca="1">SUMIF(Rev_Month!$B$1:$QQ$1,AU$4,Rev_Month!$B$38:$QQ$38)</f>
        <v>10839.731</v>
      </c>
      <c r="AV23" s="2225">
        <f ca="1">SUMIF(Rev_Month!$B$1:$QQ$1,AV$4,Rev_Month!$B$38:$QQ$38)</f>
        <v>10754.249042057003</v>
      </c>
      <c r="AW23" s="2228">
        <f ca="1">SUMIF(Rev_Month!$B$1:$QQ$1,AW$4,Rev_Month!$B$38:$QQ$38)</f>
        <v>11021.162317553744</v>
      </c>
      <c r="AX23" s="2229">
        <f>SUMIF(Rev_Month!$B$1:$QQ$1,AX$4,Rev_Month!$B$38:$QQ$38)</f>
        <v>11568.193252734864</v>
      </c>
      <c r="AY23" s="2229">
        <f ca="1">SUMIF(Rev_Month!$B$1:$QQ$1,AY$4,Rev_Month!$B$38:$QQ$38)</f>
        <v>11781.752429711392</v>
      </c>
      <c r="AZ23" s="2229">
        <f ca="1">SUMIF(Rev_Month!$B$1:$QQ$1,AZ$4,Rev_Month!$B$38:$QQ$38)</f>
        <v>13275.643647932076</v>
      </c>
      <c r="BA23" s="2230">
        <f ca="1">SUMIF(Rev_Month!$B$1:$QQ$1,BA$4,Rev_Month!$B$38:$QQ$38)</f>
        <v>15764.999040601415</v>
      </c>
      <c r="BB23" s="2230">
        <f>SUMIF(Rev_Month!$B$1:$QQ$1,BB$4,Rev_Month!$B$38:$QQ$38)</f>
        <v>16198.657466719262</v>
      </c>
      <c r="BC23" s="2230">
        <f ca="1">SUMIF(Rev_Month!$B$1:$QQ$1,BC$4,Rev_Month!$B$38:$QQ$38)</f>
        <v>17312.123260092812</v>
      </c>
      <c r="BD23" s="2230">
        <f ca="1">SUMIF(Rev_Month!$B$1:$QQ$1,BD$4,Rev_Month!$B$38:$QQ$38)</f>
        <v>19075.045569143207</v>
      </c>
      <c r="BE23" s="2230">
        <f ca="1">SUMIF(Rev_Month!$B$1:$QQ$1,BE$4,Rev_Month!$B$38:$QQ$38)</f>
        <v>20847.188467672462</v>
      </c>
      <c r="BF23" s="2230">
        <f>SUMIF(Rev_Month!$B$1:$QQ$1,BF$4,Rev_Month!$B$38:$QQ$38)</f>
        <v>20475.566938467062</v>
      </c>
      <c r="BG23" s="2230">
        <f ca="1">SUMIF(Rev_Month!$B$1:$QQ$1,BG$4,Rev_Month!$B$38:$QQ$38)</f>
        <v>21632.833453106974</v>
      </c>
      <c r="BH23" s="2230">
        <f ca="1">SUMIF(Rev_Month!$B$1:$QQ$1,BH$4,Rev_Month!$B$38:$QQ$38)</f>
        <v>23915.499554756221</v>
      </c>
      <c r="BI23" s="2230">
        <f ca="1">SUMIF(Rev_Month!$B$1:$QQ$1,BI$4,Rev_Month!$B$38:$QQ$38)</f>
        <v>25235.546645715141</v>
      </c>
      <c r="BJ23" s="2230">
        <f>SUMIF(Rev_Month!$B$1:$QQ$1,BJ$4,Rev_Month!$B$38:$QQ$38)</f>
        <v>25329.052445278357</v>
      </c>
      <c r="BK23" s="2230">
        <f ca="1">SUMIF(Rev_Month!$B$1:$QQ$1,BK$4,Rev_Month!$B$38:$QQ$38)</f>
        <v>26548.19574374715</v>
      </c>
      <c r="BL23" s="2230">
        <f ca="1">SUMIF(Rev_Month!$B$1:$QQ$1,BL$4,Rev_Month!$B$38:$QQ$38)</f>
        <v>28651.885871332335</v>
      </c>
      <c r="BM23" s="2230">
        <f ca="1">SUMIF(Rev_Month!$B$1:$QQ$1,BM$4,Rev_Month!$B$38:$QQ$38)</f>
        <v>29785.891692707894</v>
      </c>
      <c r="BN23" s="2230">
        <f>SUMIF(Rev_Month!$B$1:$QQ$1,BN$4,Rev_Month!$B$38:$QQ$38)</f>
        <v>29638.585091013159</v>
      </c>
      <c r="BO23" s="2230">
        <f ca="1">SUMIF(Rev_Month!$B$1:$QQ$1,BO$4,Rev_Month!$B$38:$QQ$38)</f>
        <v>30771.624985957485</v>
      </c>
      <c r="BP23" s="2230">
        <f ca="1">SUMIF(Rev_Month!$B$1:$QQ$1,BP$4,Rev_Month!$B$38:$QQ$38)</f>
        <v>32844.655631065201</v>
      </c>
      <c r="BQ23" s="2230">
        <f ca="1">SUMIF(Rev_Month!$B$1:$QQ$1,BQ$4,Rev_Month!$B$38:$QQ$38)</f>
        <v>33795.73179434827</v>
      </c>
      <c r="BR23" s="2230">
        <f>SUMIF(Rev_Month!$B$1:$QQ$1,BR$4,Rev_Month!$B$38:$QQ$38)</f>
        <v>33282.363747192961</v>
      </c>
      <c r="BS23" s="2230">
        <f ca="1">SUMIF(Rev_Month!$B$1:$QQ$1,BS$4,Rev_Month!$B$38:$QQ$38)</f>
        <v>34165.637208735985</v>
      </c>
      <c r="BT23" s="2230">
        <f ca="1">SUMIF(Rev_Month!$B$1:$QQ$1,BT$4,Rev_Month!$B$38:$QQ$38)</f>
        <v>35995.535794295196</v>
      </c>
      <c r="BU23" s="2230">
        <f ca="1">SUMIF(Rev_Month!$B$1:$QQ$1,BU$4,Rev_Month!$B$38:$QQ$38)</f>
        <v>36853.148600290646</v>
      </c>
      <c r="BV23" s="2230">
        <f>SUMIF(Rev_Month!$B$1:$QQ$1,BV$4,Rev_Month!$B$38:$QQ$38)</f>
        <v>36310.895549036424</v>
      </c>
      <c r="BW23" s="2230">
        <f ca="1">SUMIF(Rev_Month!$B$1:$QQ$1,BW$4,Rev_Month!$B$38:$QQ$38)</f>
        <v>37240.302923721945</v>
      </c>
      <c r="BX23" s="2230">
        <f ca="1">SUMIF(Rev_Month!$B$1:$QQ$1,BX$4,Rev_Month!$B$38:$QQ$38)</f>
        <v>39199.664593528636</v>
      </c>
      <c r="BY23" s="2230">
        <f ca="1">SUMIF(Rev_Month!$B$1:$QQ$1,BY$4,Rev_Month!$B$38:$QQ$38)</f>
        <v>40100.149128358171</v>
      </c>
      <c r="BZ23" s="2230">
        <f>SUMIF(Rev_Month!$B$1:$QQ$1,BZ$4,Rev_Month!$B$38:$QQ$38)</f>
        <v>39477.679544660648</v>
      </c>
      <c r="CA23" s="2230">
        <f ca="1">SUMIF(Rev_Month!$B$1:$QQ$1,CA$4,Rev_Month!$B$38:$QQ$38)</f>
        <v>40455.273665216962</v>
      </c>
      <c r="CB23" s="2230">
        <f ca="1">SUMIF(Rev_Month!$B$1:$QQ$1,CB$4,Rev_Month!$B$38:$QQ$38)</f>
        <v>42549.944137498518</v>
      </c>
      <c r="CC23" s="2230">
        <f>SUMIF(Rev_Month!$B$1:$QQ$1,CC$4,Rev_Month!$B$38:$QQ$38)</f>
        <v>0</v>
      </c>
      <c r="CD23" s="2230">
        <f>SUMIF(Rev_Month!$B$1:$QQ$1,CD$4,Rev_Month!$B$38:$QQ$38)</f>
        <v>0</v>
      </c>
      <c r="CE23" s="2230">
        <f>SUMIF(Rev_Month!$B$1:$QQ$1,CE$4,Rev_Month!$B$38:$QQ$38)</f>
        <v>0</v>
      </c>
      <c r="CF23" s="2230">
        <f>SUMIF(Rev_Month!$B$1:$QQ$1,CF$4,Rev_Month!$B$38:$QQ$38)</f>
        <v>0</v>
      </c>
      <c r="CG23" s="2230">
        <f>SUMIF(Rev_Month!$B$1:$QQ$1,CG$4,Rev_Month!$B$38:$QQ$38)</f>
        <v>0</v>
      </c>
      <c r="CH23" s="2230">
        <f>SUMIF(Rev_Month!$B$1:$QQ$1,CH$4,Rev_Month!$B$38:$QQ$38)</f>
        <v>0</v>
      </c>
      <c r="CI23" s="2230">
        <f>SUMIF(Rev_Month!$B$1:$QQ$1,CI$4,Rev_Month!$B$38:$QQ$38)</f>
        <v>0</v>
      </c>
      <c r="CJ23" s="2230">
        <f>SUMIF(Rev_Month!$B$1:$QQ$1,CJ$4,Rev_Month!$B$38:$QQ$38)</f>
        <v>0</v>
      </c>
      <c r="CK23" s="2230">
        <f>SUMIF(Rev_Month!$B$1:$QQ$1,CK$4,Rev_Month!$B$38:$QQ$38)</f>
        <v>0</v>
      </c>
      <c r="CL23" s="2230">
        <f>SUMIF(Rev_Month!$B$1:$QQ$1,CL$4,Rev_Month!$B$38:$QQ$38)</f>
        <v>0</v>
      </c>
      <c r="CM23" s="2230">
        <f>SUMIF(Rev_Month!$B$1:$QQ$1,CM$4,Rev_Month!$B$38:$QQ$38)</f>
        <v>0</v>
      </c>
      <c r="CN23" s="2230">
        <f>SUMIF(Rev_Month!$B$1:$QQ$1,CN$4,Rev_Month!$B$38:$QQ$38)</f>
        <v>0</v>
      </c>
      <c r="CO23" s="2230">
        <f>SUMIF(Rev_Month!$B$1:$QQ$1,CO$4,Rev_Month!$B$38:$QQ$38)</f>
        <v>0</v>
      </c>
      <c r="CP23" s="2230">
        <f>SUMIF(Rev_Month!$B$1:$QQ$1,CP$4,Rev_Month!$B$38:$QQ$38)</f>
        <v>0</v>
      </c>
      <c r="CQ23" s="2230">
        <f>SUMIF(Rev_Month!$B$1:$QQ$1,CQ$4,Rev_Month!$B$38:$QQ$38)</f>
        <v>0</v>
      </c>
      <c r="CR23" s="2230">
        <f>SUMIF(Rev_Month!$B$1:$QQ$1,CR$4,Rev_Month!$B$38:$QQ$38)</f>
        <v>0</v>
      </c>
      <c r="CS23" s="2230">
        <f>SUMIF(Rev_Month!$B$1:$QQ$1,CS$4,Rev_Month!$B$38:$QQ$38)</f>
        <v>0</v>
      </c>
      <c r="CT23" s="2230">
        <f>SUMIF(Rev_Month!$B$1:$QQ$1,CT$4,Rev_Month!$B$38:$QQ$38)</f>
        <v>0</v>
      </c>
      <c r="CU23" s="2230">
        <f>SUMIF(Rev_Month!$B$1:$QQ$1,CU$4,Rev_Month!$B$38:$QQ$38)</f>
        <v>0</v>
      </c>
      <c r="CV23" s="2230">
        <f>SUMIF(Rev_Month!$B$1:$QQ$1,CV$4,Rev_Month!$B$38:$QQ$38)</f>
        <v>0</v>
      </c>
      <c r="CW23" s="2230">
        <f>SUMIF(Rev_Month!$B$1:$QQ$1,CW$4,Rev_Month!$B$38:$QQ$38)</f>
        <v>0</v>
      </c>
      <c r="CX23" s="2230">
        <f>SUMIF(Rev_Month!$B$1:$QQ$1,CX$4,Rev_Month!$B$38:$QQ$38)</f>
        <v>0</v>
      </c>
      <c r="CY23" s="2230">
        <f>SUMIF(Rev_Month!$B$1:$QQ$1,CY$4,Rev_Month!$B$38:$QQ$38)</f>
        <v>0</v>
      </c>
      <c r="CZ23" s="2230">
        <f>SUMIF(Rev_Month!$B$1:$QQ$1,CZ$4,Rev_Month!$B$38:$QQ$38)</f>
        <v>0</v>
      </c>
    </row>
    <row r="24" spans="1:104" s="2239" customFormat="1" hidden="1" outlineLevel="1">
      <c r="A24" s="2232" t="s">
        <v>32</v>
      </c>
      <c r="B24" s="2205">
        <f t="shared" ref="B24:Q24" si="175">B23/B$6</f>
        <v>0</v>
      </c>
      <c r="C24" s="2206">
        <f t="shared" si="175"/>
        <v>5.5812911764550116E-3</v>
      </c>
      <c r="D24" s="2206">
        <f t="shared" si="175"/>
        <v>1.7164657235064044E-2</v>
      </c>
      <c r="E24" s="2207">
        <f t="shared" si="175"/>
        <v>5.0000001732333363E-2</v>
      </c>
      <c r="F24" s="2207">
        <f t="shared" si="175"/>
        <v>0.105</v>
      </c>
      <c r="G24" s="2207">
        <f t="shared" si="175"/>
        <v>0.19599996449044596</v>
      </c>
      <c r="H24" s="2207">
        <f t="shared" si="175"/>
        <v>0.22899980239101253</v>
      </c>
      <c r="I24" s="2241">
        <f t="shared" ca="1" si="175"/>
        <v>0.20299999321328674</v>
      </c>
      <c r="J24" s="2207">
        <f t="shared" ca="1" si="175"/>
        <v>0.26700047753211031</v>
      </c>
      <c r="K24" s="2208">
        <f t="shared" ca="1" si="175"/>
        <v>0.30581408727596282</v>
      </c>
      <c r="L24" s="2233">
        <f t="shared" ca="1" si="175"/>
        <v>0.29855402022529032</v>
      </c>
      <c r="M24" s="2233">
        <f t="shared" ca="1" si="175"/>
        <v>0.3523287453446779</v>
      </c>
      <c r="N24" s="2233">
        <f t="shared" ca="1" si="175"/>
        <v>0.39026035414166543</v>
      </c>
      <c r="O24" s="2233">
        <f t="shared" ca="1" si="175"/>
        <v>0.41236046658386627</v>
      </c>
      <c r="P24" s="2233">
        <f t="shared" ca="1" si="175"/>
        <v>0.43110931310914674</v>
      </c>
      <c r="Q24" s="2233">
        <f t="shared" ca="1" si="175"/>
        <v>0.43977489850982371</v>
      </c>
      <c r="R24" s="2233">
        <f>R23/$I$23-1</f>
        <v>-2.9972756644660592E-3</v>
      </c>
      <c r="S24" s="2233">
        <f>S23/$I$23-1</f>
        <v>0.10778080481725993</v>
      </c>
      <c r="T24" s="2175">
        <v>21</v>
      </c>
      <c r="U24" s="2233">
        <f t="shared" ref="U24:AN24" si="176">U23/U$6</f>
        <v>2.6263935114988566E-2</v>
      </c>
      <c r="V24" s="2233">
        <f t="shared" si="176"/>
        <v>4.2751830347004603E-2</v>
      </c>
      <c r="W24" s="2233">
        <f t="shared" si="176"/>
        <v>5.8835413023334719E-2</v>
      </c>
      <c r="X24" s="2233">
        <f t="shared" si="176"/>
        <v>7.1548856187175158E-2</v>
      </c>
      <c r="Y24" s="2233">
        <f t="shared" si="176"/>
        <v>6.5670891755327171E-2</v>
      </c>
      <c r="Z24" s="2233">
        <f t="shared" si="176"/>
        <v>9.121072516225523E-2</v>
      </c>
      <c r="AA24" s="2233">
        <f t="shared" si="176"/>
        <v>0.11977431826268309</v>
      </c>
      <c r="AB24" s="2233">
        <f t="shared" si="176"/>
        <v>0.13957677076738337</v>
      </c>
      <c r="AC24" s="2233">
        <f t="shared" si="176"/>
        <v>0.15134621323922928</v>
      </c>
      <c r="AD24" s="2233">
        <f t="shared" si="176"/>
        <v>0.18679932124334783</v>
      </c>
      <c r="AE24" s="2233">
        <f t="shared" si="176"/>
        <v>0.21800469807102135</v>
      </c>
      <c r="AF24" s="2233">
        <f t="shared" si="176"/>
        <v>0.22330008972527515</v>
      </c>
      <c r="AG24" s="2233">
        <f t="shared" si="176"/>
        <v>0.19095923528466754</v>
      </c>
      <c r="AH24" s="2233">
        <f t="shared" si="176"/>
        <v>0.23207995553782435</v>
      </c>
      <c r="AI24" s="2233">
        <f t="shared" si="176"/>
        <v>0.37547632565534289</v>
      </c>
      <c r="AJ24" s="2233">
        <f t="shared" si="176"/>
        <v>0.15300268494193084</v>
      </c>
      <c r="AK24" s="2233">
        <f t="shared" si="176"/>
        <v>0.16404496251772588</v>
      </c>
      <c r="AL24" s="2233">
        <f t="shared" si="176"/>
        <v>0.19524407608194311</v>
      </c>
      <c r="AM24" s="2233">
        <f t="shared" si="176"/>
        <v>0.22031899121437851</v>
      </c>
      <c r="AN24" s="2233">
        <f t="shared" si="176"/>
        <v>0.23137658039601924</v>
      </c>
      <c r="AO24" s="2234">
        <f t="shared" ref="AO24:AW24" ca="1" si="177">AO23/AO$6</f>
        <v>0.23521278774975721</v>
      </c>
      <c r="AP24" s="2235">
        <f t="shared" ca="1" si="177"/>
        <v>0.24608431596467514</v>
      </c>
      <c r="AQ24" s="2235">
        <f t="shared" ca="1" si="177"/>
        <v>0.28566348920307694</v>
      </c>
      <c r="AR24" s="2235">
        <f t="shared" ca="1" si="177"/>
        <v>0.29642358992794032</v>
      </c>
      <c r="AS24" s="2234">
        <f t="shared" ca="1" si="177"/>
        <v>0.29180176498645455</v>
      </c>
      <c r="AT24" s="2233">
        <f t="shared" ca="1" si="177"/>
        <v>0.30147575586799646</v>
      </c>
      <c r="AU24" s="2233">
        <f t="shared" ca="1" si="177"/>
        <v>0.31742393047764111</v>
      </c>
      <c r="AV24" s="2233">
        <f t="shared" ca="1" si="177"/>
        <v>0.30118817423355282</v>
      </c>
      <c r="AW24" s="2236">
        <f t="shared" ca="1" si="177"/>
        <v>0.30405334914671983</v>
      </c>
      <c r="AX24" s="2237">
        <f t="shared" ref="AX24" si="178">AX23/AX$6</f>
        <v>0.30541593073452988</v>
      </c>
      <c r="AY24" s="2237">
        <f t="shared" ref="AY24:CB24" ca="1" si="179">AY23/AY$6</f>
        <v>0.29533468010902625</v>
      </c>
      <c r="AZ24" s="2237">
        <f t="shared" ca="1" si="179"/>
        <v>0.29129523983465955</v>
      </c>
      <c r="BA24" s="2238">
        <f t="shared" ca="1" si="179"/>
        <v>0.37517819927654122</v>
      </c>
      <c r="BB24" s="2238">
        <f t="shared" si="179"/>
        <v>0.36259886628167293</v>
      </c>
      <c r="BC24" s="2238">
        <f t="shared" ca="1" si="179"/>
        <v>0.36056485568071489</v>
      </c>
      <c r="BD24" s="2238">
        <f t="shared" ca="1" si="179"/>
        <v>0.35016351927136835</v>
      </c>
      <c r="BE24" s="2238">
        <f t="shared" ca="1" si="179"/>
        <v>0.416730452956738</v>
      </c>
      <c r="BF24" s="2238">
        <f t="shared" si="179"/>
        <v>0.39269600898836265</v>
      </c>
      <c r="BG24" s="2238">
        <f t="shared" ca="1" si="179"/>
        <v>0.38795070051995578</v>
      </c>
      <c r="BH24" s="2238">
        <f t="shared" ca="1" si="179"/>
        <v>0.37815770294946588</v>
      </c>
      <c r="BI24" s="2238">
        <f t="shared" ca="1" si="179"/>
        <v>0.43759533570948894</v>
      </c>
      <c r="BJ24" s="2238">
        <f t="shared" si="179"/>
        <v>0.41832724813817784</v>
      </c>
      <c r="BK24" s="2238">
        <f t="shared" ca="1" si="179"/>
        <v>0.4116432198737045</v>
      </c>
      <c r="BL24" s="2238">
        <f t="shared" ca="1" si="179"/>
        <v>0.39602632899789442</v>
      </c>
      <c r="BM24" s="2238">
        <f t="shared" ca="1" si="179"/>
        <v>0.45875321119623852</v>
      </c>
      <c r="BN24" s="2238">
        <f t="shared" si="179"/>
        <v>0.43822168262001149</v>
      </c>
      <c r="BO24" s="2238">
        <f t="shared" ca="1" si="179"/>
        <v>0.42960351885532627</v>
      </c>
      <c r="BP24" s="2238">
        <f t="shared" ca="1" si="179"/>
        <v>0.41164843074294261</v>
      </c>
      <c r="BQ24" s="2238">
        <f t="shared" ca="1" si="179"/>
        <v>0.47163577851145877</v>
      </c>
      <c r="BR24" s="2238">
        <f t="shared" si="179"/>
        <v>0.4478940083154283</v>
      </c>
      <c r="BS24" s="2238">
        <f t="shared" ca="1" si="179"/>
        <v>0.43691231028842764</v>
      </c>
      <c r="BT24" s="2238">
        <f t="shared" ca="1" si="179"/>
        <v>0.41624438106550044</v>
      </c>
      <c r="BU24" s="2238">
        <f t="shared" ca="1" si="179"/>
        <v>0.47441957000332524</v>
      </c>
      <c r="BV24" s="2238">
        <f t="shared" si="179"/>
        <v>0.45023830124902653</v>
      </c>
      <c r="BW24" s="2238">
        <f t="shared" ca="1" si="179"/>
        <v>0.43947142007293</v>
      </c>
      <c r="BX24" s="2238">
        <f t="shared" ca="1" si="179"/>
        <v>0.41907705483871521</v>
      </c>
      <c r="BY24" s="2238">
        <f t="shared" ca="1" si="179"/>
        <v>0.47643981148652259</v>
      </c>
      <c r="BZ24" s="2238">
        <f t="shared" si="179"/>
        <v>0.45151723452592218</v>
      </c>
      <c r="CA24" s="2238">
        <f t="shared" ca="1" si="179"/>
        <v>0.44098423088627797</v>
      </c>
      <c r="CB24" s="2238">
        <f t="shared" ca="1" si="179"/>
        <v>0.42088919738199759</v>
      </c>
      <c r="CC24" s="2238" t="e">
        <f t="shared" ref="CC24:CN24" si="180">CC23/CC$6</f>
        <v>#DIV/0!</v>
      </c>
      <c r="CD24" s="2238" t="e">
        <f t="shared" si="180"/>
        <v>#DIV/0!</v>
      </c>
      <c r="CE24" s="2238" t="e">
        <f t="shared" si="180"/>
        <v>#DIV/0!</v>
      </c>
      <c r="CF24" s="2238" t="e">
        <f t="shared" si="180"/>
        <v>#DIV/0!</v>
      </c>
      <c r="CG24" s="2238" t="e">
        <f t="shared" si="180"/>
        <v>#DIV/0!</v>
      </c>
      <c r="CH24" s="2238" t="e">
        <f t="shared" si="180"/>
        <v>#DIV/0!</v>
      </c>
      <c r="CI24" s="2238" t="e">
        <f t="shared" si="180"/>
        <v>#DIV/0!</v>
      </c>
      <c r="CJ24" s="2238" t="e">
        <f t="shared" si="180"/>
        <v>#DIV/0!</v>
      </c>
      <c r="CK24" s="2238" t="e">
        <f t="shared" si="180"/>
        <v>#DIV/0!</v>
      </c>
      <c r="CL24" s="2238" t="e">
        <f t="shared" si="180"/>
        <v>#DIV/0!</v>
      </c>
      <c r="CM24" s="2238" t="e">
        <f t="shared" si="180"/>
        <v>#DIV/0!</v>
      </c>
      <c r="CN24" s="2238" t="e">
        <f t="shared" si="180"/>
        <v>#DIV/0!</v>
      </c>
      <c r="CO24" s="2238" t="e">
        <f t="shared" ref="CO24:CZ24" si="181">CO23/CO$6</f>
        <v>#DIV/0!</v>
      </c>
      <c r="CP24" s="2238" t="e">
        <f t="shared" si="181"/>
        <v>#DIV/0!</v>
      </c>
      <c r="CQ24" s="2238" t="e">
        <f t="shared" si="181"/>
        <v>#DIV/0!</v>
      </c>
      <c r="CR24" s="2238" t="e">
        <f t="shared" si="181"/>
        <v>#DIV/0!</v>
      </c>
      <c r="CS24" s="2238" t="e">
        <f t="shared" si="181"/>
        <v>#DIV/0!</v>
      </c>
      <c r="CT24" s="2238" t="e">
        <f t="shared" si="181"/>
        <v>#DIV/0!</v>
      </c>
      <c r="CU24" s="2238" t="e">
        <f t="shared" si="181"/>
        <v>#DIV/0!</v>
      </c>
      <c r="CV24" s="2238" t="e">
        <f t="shared" si="181"/>
        <v>#DIV/0!</v>
      </c>
      <c r="CW24" s="2238" t="e">
        <f t="shared" si="181"/>
        <v>#DIV/0!</v>
      </c>
      <c r="CX24" s="2238" t="e">
        <f t="shared" si="181"/>
        <v>#DIV/0!</v>
      </c>
      <c r="CY24" s="2238" t="e">
        <f t="shared" si="181"/>
        <v>#DIV/0!</v>
      </c>
      <c r="CZ24" s="2238" t="e">
        <f t="shared" si="181"/>
        <v>#DIV/0!</v>
      </c>
    </row>
    <row r="25" spans="1:104" s="2216" customFormat="1" hidden="1" outlineLevel="1">
      <c r="A25" s="2204" t="s">
        <v>31</v>
      </c>
      <c r="B25" s="2240" t="e">
        <v>#DIV/0!</v>
      </c>
      <c r="C25" s="2206" t="e">
        <f t="shared" ref="C25:Q25" si="182">C23/B23-1</f>
        <v>#DIV/0!</v>
      </c>
      <c r="D25" s="2206">
        <f t="shared" si="182"/>
        <v>3.5730923694779122</v>
      </c>
      <c r="E25" s="2207">
        <f t="shared" si="182"/>
        <v>2.7989062088346364</v>
      </c>
      <c r="F25" s="2207">
        <f t="shared" si="182"/>
        <v>1.4800637238503667</v>
      </c>
      <c r="G25" s="2207">
        <f t="shared" si="182"/>
        <v>0.98307510889104366</v>
      </c>
      <c r="H25" s="2207">
        <f t="shared" si="182"/>
        <v>0.32349522087315941</v>
      </c>
      <c r="I25" s="2207">
        <f t="shared" si="182"/>
        <v>-3.8221318622590594E-2</v>
      </c>
      <c r="J25" s="2207">
        <f t="shared" ca="1" si="182"/>
        <v>0.16615199098469113</v>
      </c>
      <c r="K25" s="2208">
        <f t="shared" ca="1" si="182"/>
        <v>0.30090020132691553</v>
      </c>
      <c r="L25" s="2209">
        <f t="shared" ca="1" si="182"/>
        <v>0.15975629775771094</v>
      </c>
      <c r="M25" s="2209">
        <f t="shared" ca="1" si="182"/>
        <v>0.43453274300018752</v>
      </c>
      <c r="N25" s="2209">
        <f t="shared" ca="1" si="182"/>
        <v>0.27095887995869794</v>
      </c>
      <c r="O25" s="2209">
        <f t="shared" ca="1" si="182"/>
        <v>0.21748999163022842</v>
      </c>
      <c r="P25" s="2209">
        <f t="shared" ca="1" si="182"/>
        <v>0.16334447926602391</v>
      </c>
      <c r="Q25" s="2209">
        <f t="shared" ca="1" si="182"/>
        <v>0.11539681194893903</v>
      </c>
      <c r="R25" s="2209"/>
      <c r="S25" s="2209"/>
      <c r="T25" s="2175">
        <v>22</v>
      </c>
      <c r="U25" s="2210"/>
      <c r="V25" s="2210"/>
      <c r="W25" s="2210"/>
      <c r="X25" s="2210"/>
      <c r="Y25" s="2210"/>
      <c r="Z25" s="2210"/>
      <c r="AA25" s="2210"/>
      <c r="AB25" s="2210"/>
      <c r="AC25" s="2210"/>
      <c r="AD25" s="2210"/>
      <c r="AE25" s="2210"/>
      <c r="AF25" s="2210"/>
      <c r="AG25" s="2210"/>
      <c r="AH25" s="2210"/>
      <c r="AI25" s="2210"/>
      <c r="AJ25" s="2210"/>
      <c r="AK25" s="2209">
        <f>AK23/AG23-1</f>
        <v>1.5192421823880586E-2</v>
      </c>
      <c r="AL25" s="2209">
        <f>AL23/AH23-1</f>
        <v>-8.7177321930151708E-2</v>
      </c>
      <c r="AM25" s="2209">
        <f>AM23/AI23-1</f>
        <v>-0.22603359076237761</v>
      </c>
      <c r="AN25" s="2209">
        <f>AN23/AJ23-1</f>
        <v>0.27939861755938544</v>
      </c>
      <c r="AO25" s="2211">
        <f t="shared" ref="AO25" si="183">AO23/AK23-1</f>
        <v>5.4576158940397468E-2</v>
      </c>
      <c r="AP25" s="2212">
        <f t="shared" ref="AP25:CF25" ca="1" si="184">AP23/AL23-1</f>
        <v>8.0403523033790059E-2</v>
      </c>
      <c r="AQ25" s="2212">
        <f t="shared" ca="1" si="184"/>
        <v>0.21222605410201156</v>
      </c>
      <c r="AR25" s="2212">
        <f t="shared" ca="1" si="184"/>
        <v>0.29587660656931858</v>
      </c>
      <c r="AS25" s="2211">
        <f t="shared" ca="1" si="184"/>
        <v>0.43847510848336801</v>
      </c>
      <c r="AT25" s="2209">
        <f t="shared" ca="1" si="184"/>
        <v>0.41071655669849583</v>
      </c>
      <c r="AU25" s="2209">
        <f t="shared" ca="1" si="184"/>
        <v>0.25567890242599911</v>
      </c>
      <c r="AV25" s="2209">
        <f t="shared" ca="1" si="184"/>
        <v>0.16158500750325078</v>
      </c>
      <c r="AW25" s="2213">
        <f t="shared" ca="1" si="184"/>
        <v>0.20284636445529114</v>
      </c>
      <c r="AX25" s="2214">
        <f t="shared" ca="1" si="184"/>
        <v>0.12020341437999083</v>
      </c>
      <c r="AY25" s="2214">
        <f t="shared" ca="1" si="184"/>
        <v>8.6904502492856306E-2</v>
      </c>
      <c r="AZ25" s="2214">
        <f t="shared" ca="1" si="184"/>
        <v>0.23445566454845612</v>
      </c>
      <c r="BA25" s="2215">
        <f t="shared" ca="1" si="184"/>
        <v>0.43042980280691601</v>
      </c>
      <c r="BB25" s="2215">
        <f t="shared" si="184"/>
        <v>0.40027548925063994</v>
      </c>
      <c r="BC25" s="2215">
        <f t="shared" ca="1" si="184"/>
        <v>0.46940137839213558</v>
      </c>
      <c r="BD25" s="2215">
        <f t="shared" ca="1" si="184"/>
        <v>0.43684525398619689</v>
      </c>
      <c r="BE25" s="2215">
        <f t="shared" ca="1" si="184"/>
        <v>0.32237169275953015</v>
      </c>
      <c r="BF25" s="2215">
        <f t="shared" si="184"/>
        <v>0.26402863820874467</v>
      </c>
      <c r="BG25" s="2215">
        <f t="shared" ca="1" si="184"/>
        <v>0.24957713898526146</v>
      </c>
      <c r="BH25" s="2215">
        <f t="shared" ca="1" si="184"/>
        <v>0.2537584493870455</v>
      </c>
      <c r="BI25" s="2215">
        <f t="shared" ca="1" si="184"/>
        <v>0.21050119947098223</v>
      </c>
      <c r="BJ25" s="2215">
        <f t="shared" si="184"/>
        <v>0.23703790578287443</v>
      </c>
      <c r="BK25" s="2215">
        <f t="shared" ca="1" si="184"/>
        <v>0.22721768284746902</v>
      </c>
      <c r="BL25" s="2215">
        <f t="shared" ca="1" si="184"/>
        <v>0.19804672303548676</v>
      </c>
      <c r="BM25" s="2215">
        <f t="shared" ca="1" si="184"/>
        <v>0.18031489909355214</v>
      </c>
      <c r="BN25" s="2215">
        <f t="shared" si="184"/>
        <v>0.17014188174015765</v>
      </c>
      <c r="BO25" s="2215">
        <f t="shared" ca="1" si="184"/>
        <v>0.15908535868035667</v>
      </c>
      <c r="BP25" s="2215">
        <f t="shared" ca="1" si="184"/>
        <v>0.14633486181542921</v>
      </c>
      <c r="BQ25" s="2215">
        <f t="shared" ca="1" si="184"/>
        <v>0.13462212724764777</v>
      </c>
      <c r="BR25" s="2215">
        <f t="shared" si="184"/>
        <v>0.12294037130958202</v>
      </c>
      <c r="BS25" s="2215">
        <f t="shared" ca="1" si="184"/>
        <v>0.11029681481973563</v>
      </c>
      <c r="BT25" s="2215">
        <f t="shared" ca="1" si="184"/>
        <v>9.5932811676363583E-2</v>
      </c>
      <c r="BU25" s="2215">
        <f t="shared" ca="1" si="184"/>
        <v>9.0467542604112827E-2</v>
      </c>
      <c r="BV25" s="2215">
        <f t="shared" si="184"/>
        <v>9.0995093523034143E-2</v>
      </c>
      <c r="BW25" s="2215">
        <f t="shared" ca="1" si="184"/>
        <v>8.9992927578115944E-2</v>
      </c>
      <c r="BX25" s="2215">
        <f t="shared" ca="1" si="184"/>
        <v>8.9014616077509601E-2</v>
      </c>
      <c r="BY25" s="2215">
        <f t="shared" ca="1" si="184"/>
        <v>8.8106461764895672E-2</v>
      </c>
      <c r="BZ25" s="2215">
        <f t="shared" si="184"/>
        <v>8.7213051282296394E-2</v>
      </c>
      <c r="CA25" s="2215">
        <f t="shared" ca="1" si="184"/>
        <v>8.6330413264363859E-2</v>
      </c>
      <c r="CB25" s="2215">
        <f t="shared" ca="1" si="184"/>
        <v>8.5467046177812644E-2</v>
      </c>
      <c r="CC25" s="2215">
        <f t="shared" ca="1" si="184"/>
        <v>-1</v>
      </c>
      <c r="CD25" s="2215">
        <f t="shared" si="184"/>
        <v>-1</v>
      </c>
      <c r="CE25" s="2215">
        <f t="shared" ca="1" si="184"/>
        <v>-1</v>
      </c>
      <c r="CF25" s="2215">
        <f t="shared" ca="1" si="184"/>
        <v>-1</v>
      </c>
      <c r="CG25" s="2215" t="e">
        <f t="shared" ref="CG25" si="185">CG23/CC23-1</f>
        <v>#DIV/0!</v>
      </c>
      <c r="CH25" s="2215" t="e">
        <f t="shared" ref="CH25" si="186">CH23/CD23-1</f>
        <v>#DIV/0!</v>
      </c>
      <c r="CI25" s="2215" t="e">
        <f t="shared" ref="CI25" si="187">CI23/CE23-1</f>
        <v>#DIV/0!</v>
      </c>
      <c r="CJ25" s="2215" t="e">
        <f t="shared" ref="CJ25" si="188">CJ23/CF23-1</f>
        <v>#DIV/0!</v>
      </c>
      <c r="CK25" s="2215" t="e">
        <f t="shared" ref="CK25" si="189">CK23/CG23-1</f>
        <v>#DIV/0!</v>
      </c>
      <c r="CL25" s="2215" t="e">
        <f t="shared" ref="CL25" si="190">CL23/CH23-1</f>
        <v>#DIV/0!</v>
      </c>
      <c r="CM25" s="2215" t="e">
        <f t="shared" ref="CM25" si="191">CM23/CI23-1</f>
        <v>#DIV/0!</v>
      </c>
      <c r="CN25" s="2215" t="e">
        <f t="shared" ref="CN25" si="192">CN23/CJ23-1</f>
        <v>#DIV/0!</v>
      </c>
      <c r="CO25" s="2215" t="e">
        <f t="shared" ref="CO25" si="193">CO23/CK23-1</f>
        <v>#DIV/0!</v>
      </c>
      <c r="CP25" s="2215" t="e">
        <f t="shared" ref="CP25" si="194">CP23/CL23-1</f>
        <v>#DIV/0!</v>
      </c>
      <c r="CQ25" s="2215" t="e">
        <f t="shared" ref="CQ25" si="195">CQ23/CM23-1</f>
        <v>#DIV/0!</v>
      </c>
      <c r="CR25" s="2215" t="e">
        <f t="shared" ref="CR25" si="196">CR23/CN23-1</f>
        <v>#DIV/0!</v>
      </c>
      <c r="CS25" s="2215" t="e">
        <f t="shared" ref="CS25" si="197">CS23/CO23-1</f>
        <v>#DIV/0!</v>
      </c>
      <c r="CT25" s="2215" t="e">
        <f t="shared" ref="CT25" si="198">CT23/CP23-1</f>
        <v>#DIV/0!</v>
      </c>
      <c r="CU25" s="2215" t="e">
        <f t="shared" ref="CU25" si="199">CU23/CQ23-1</f>
        <v>#DIV/0!</v>
      </c>
      <c r="CV25" s="2215" t="e">
        <f t="shared" ref="CV25" si="200">CV23/CR23-1</f>
        <v>#DIV/0!</v>
      </c>
      <c r="CW25" s="2215" t="e">
        <f t="shared" ref="CW25" si="201">CW23/CS23-1</f>
        <v>#DIV/0!</v>
      </c>
      <c r="CX25" s="2215" t="e">
        <f t="shared" ref="CX25" si="202">CX23/CT23-1</f>
        <v>#DIV/0!</v>
      </c>
      <c r="CY25" s="2215" t="e">
        <f t="shared" ref="CY25" si="203">CY23/CU23-1</f>
        <v>#DIV/0!</v>
      </c>
      <c r="CZ25" s="2215" t="e">
        <f t="shared" ref="CZ25" si="204">CZ23/CV23-1</f>
        <v>#DIV/0!</v>
      </c>
    </row>
    <row r="26" spans="1:104" s="2216" customFormat="1" hidden="1" outlineLevel="1">
      <c r="A26" s="2254" t="str">
        <f>A21</f>
        <v>Weight</v>
      </c>
      <c r="B26" s="2240"/>
      <c r="C26" s="2206"/>
      <c r="D26" s="2206"/>
      <c r="E26" s="2207"/>
      <c r="F26" s="2207"/>
      <c r="G26" s="2207"/>
      <c r="H26" s="2207"/>
      <c r="I26" s="2207"/>
      <c r="J26" s="2207"/>
      <c r="K26" s="2208"/>
      <c r="L26" s="2209"/>
      <c r="M26" s="2209"/>
      <c r="N26" s="2209"/>
      <c r="O26" s="2209"/>
      <c r="P26" s="2209"/>
      <c r="Q26" s="2209"/>
      <c r="R26" s="2283">
        <f>R6*0.25</f>
        <v>33750</v>
      </c>
      <c r="S26" s="2283">
        <f>S6*0.25</f>
        <v>37500</v>
      </c>
      <c r="T26" s="2175">
        <v>23</v>
      </c>
      <c r="U26" s="2210"/>
      <c r="V26" s="2210"/>
      <c r="W26" s="2210"/>
      <c r="X26" s="2210"/>
      <c r="Y26" s="2210"/>
      <c r="Z26" s="2210"/>
      <c r="AA26" s="2210"/>
      <c r="AB26" s="2210"/>
      <c r="AC26" s="2210"/>
      <c r="AD26" s="2210"/>
      <c r="AE26" s="2210"/>
      <c r="AF26" s="2210"/>
      <c r="AG26" s="2210"/>
      <c r="AH26" s="2210"/>
      <c r="AI26" s="2210"/>
      <c r="AJ26" s="2210"/>
      <c r="AK26" s="2209"/>
      <c r="AL26" s="2209"/>
      <c r="AM26" s="2209"/>
      <c r="AN26" s="2209"/>
      <c r="AO26" s="2258"/>
      <c r="AP26" s="2210"/>
      <c r="AQ26" s="2210"/>
      <c r="AR26" s="2210"/>
      <c r="AS26" s="2258"/>
      <c r="AT26" s="2210"/>
      <c r="AU26" s="2210"/>
      <c r="AV26" s="2210"/>
      <c r="AW26" s="2259"/>
      <c r="AX26" s="2242"/>
      <c r="AY26" s="2242"/>
      <c r="AZ26" s="2242"/>
      <c r="BA26" s="2204"/>
      <c r="BB26" s="2204"/>
      <c r="BC26" s="2204"/>
      <c r="BD26" s="2204"/>
      <c r="BE26" s="2204"/>
      <c r="BF26" s="2204"/>
      <c r="BG26" s="2204"/>
      <c r="BH26" s="2204"/>
      <c r="BI26" s="2204"/>
      <c r="BJ26" s="2204"/>
      <c r="BK26" s="2204"/>
      <c r="BL26" s="2204"/>
      <c r="BM26" s="2204"/>
      <c r="BN26" s="2204"/>
      <c r="BO26" s="2204"/>
      <c r="BP26" s="2204"/>
      <c r="BQ26" s="2204"/>
      <c r="BR26" s="2204"/>
      <c r="BS26" s="2204"/>
      <c r="BT26" s="2204"/>
      <c r="BU26" s="2204"/>
      <c r="BV26" s="2204"/>
      <c r="BW26" s="2204"/>
      <c r="BX26" s="2204"/>
      <c r="BY26" s="2204"/>
      <c r="BZ26" s="2204"/>
      <c r="CA26" s="2204"/>
      <c r="CB26" s="2204"/>
      <c r="CC26" s="2204"/>
      <c r="CD26" s="2204"/>
      <c r="CE26" s="2204"/>
      <c r="CF26" s="2204"/>
      <c r="CG26" s="2204"/>
      <c r="CH26" s="2204"/>
      <c r="CI26" s="2204"/>
      <c r="CJ26" s="2204"/>
      <c r="CK26" s="2204"/>
      <c r="CL26" s="2204"/>
      <c r="CM26" s="2204"/>
      <c r="CN26" s="2204"/>
      <c r="CO26" s="2204"/>
      <c r="CP26" s="2204"/>
      <c r="CQ26" s="2204"/>
      <c r="CR26" s="2204"/>
      <c r="CS26" s="2204"/>
      <c r="CT26" s="2204"/>
      <c r="CU26" s="2204"/>
      <c r="CV26" s="2204"/>
      <c r="CW26" s="2204"/>
      <c r="CX26" s="2204"/>
      <c r="CY26" s="2204"/>
      <c r="CZ26" s="2204"/>
    </row>
    <row r="27" spans="1:104" s="2216" customFormat="1" hidden="1" outlineLevel="1">
      <c r="A27" s="2272" t="str">
        <f>A22</f>
        <v>%YoY</v>
      </c>
      <c r="B27" s="2240"/>
      <c r="C27" s="2206"/>
      <c r="D27" s="2206"/>
      <c r="E27" s="2207"/>
      <c r="F27" s="2207"/>
      <c r="G27" s="2207"/>
      <c r="H27" s="2207"/>
      <c r="I27" s="2207"/>
      <c r="J27" s="2207"/>
      <c r="K27" s="2208"/>
      <c r="L27" s="2209"/>
      <c r="M27" s="2209"/>
      <c r="N27" s="2209"/>
      <c r="O27" s="2209"/>
      <c r="P27" s="2209"/>
      <c r="Q27" s="2209"/>
      <c r="R27" s="2209">
        <f>R26/$I$23-1</f>
        <v>0.24625340541941743</v>
      </c>
      <c r="S27" s="2209">
        <f>S26/$I$23-1</f>
        <v>0.38472600602157492</v>
      </c>
      <c r="T27" s="2175">
        <v>24</v>
      </c>
      <c r="U27" s="2210"/>
      <c r="V27" s="2210"/>
      <c r="W27" s="2210"/>
      <c r="X27" s="2210"/>
      <c r="Y27" s="2210"/>
      <c r="Z27" s="2210"/>
      <c r="AA27" s="2210"/>
      <c r="AB27" s="2210"/>
      <c r="AC27" s="2210"/>
      <c r="AD27" s="2210"/>
      <c r="AE27" s="2210"/>
      <c r="AF27" s="2210"/>
      <c r="AG27" s="2210"/>
      <c r="AH27" s="2210"/>
      <c r="AI27" s="2210"/>
      <c r="AJ27" s="2210"/>
      <c r="AK27" s="2209"/>
      <c r="AL27" s="2209"/>
      <c r="AM27" s="2209"/>
      <c r="AN27" s="2209"/>
      <c r="AO27" s="2258"/>
      <c r="AP27" s="2210"/>
      <c r="AQ27" s="2210"/>
      <c r="AR27" s="2210"/>
      <c r="AS27" s="2258"/>
      <c r="AT27" s="2210"/>
      <c r="AU27" s="2210"/>
      <c r="AV27" s="2210"/>
      <c r="AW27" s="2259"/>
      <c r="AX27" s="2242"/>
      <c r="AY27" s="2242"/>
      <c r="AZ27" s="2242"/>
      <c r="BA27" s="2204"/>
      <c r="BB27" s="2204"/>
      <c r="BC27" s="2204"/>
      <c r="BD27" s="2204"/>
      <c r="BE27" s="2204"/>
      <c r="BF27" s="2204"/>
      <c r="BG27" s="2204"/>
      <c r="BH27" s="2204"/>
      <c r="BI27" s="2204"/>
      <c r="BJ27" s="2204"/>
      <c r="BK27" s="2204"/>
      <c r="BL27" s="2204"/>
      <c r="BM27" s="2204"/>
      <c r="BN27" s="2204"/>
      <c r="BO27" s="2204"/>
      <c r="BP27" s="2204"/>
      <c r="BQ27" s="2204"/>
      <c r="BR27" s="2204"/>
      <c r="BS27" s="2204"/>
      <c r="BT27" s="2204"/>
      <c r="BU27" s="2204"/>
      <c r="BV27" s="2204"/>
      <c r="BW27" s="2204"/>
      <c r="BX27" s="2204"/>
      <c r="BY27" s="2204"/>
      <c r="BZ27" s="2204"/>
      <c r="CA27" s="2204"/>
      <c r="CB27" s="2204"/>
      <c r="CC27" s="2204"/>
      <c r="CD27" s="2204"/>
      <c r="CE27" s="2204"/>
      <c r="CF27" s="2204"/>
      <c r="CG27" s="2204"/>
      <c r="CH27" s="2204"/>
      <c r="CI27" s="2204"/>
      <c r="CJ27" s="2204"/>
      <c r="CK27" s="2204"/>
      <c r="CL27" s="2204"/>
      <c r="CM27" s="2204"/>
      <c r="CN27" s="2204"/>
      <c r="CO27" s="2204"/>
      <c r="CP27" s="2204"/>
      <c r="CQ27" s="2204"/>
      <c r="CR27" s="2204"/>
      <c r="CS27" s="2204"/>
      <c r="CT27" s="2204"/>
      <c r="CU27" s="2204"/>
      <c r="CV27" s="2204"/>
      <c r="CW27" s="2204"/>
      <c r="CX27" s="2204"/>
      <c r="CY27" s="2204"/>
      <c r="CZ27" s="2204"/>
    </row>
    <row r="28" spans="1:104" s="2291" customFormat="1" collapsed="1">
      <c r="A28" s="2284" t="s">
        <v>49</v>
      </c>
      <c r="B28" s="2193">
        <f t="shared" ref="B28:G28" si="205">B6-B8-B15-B23</f>
        <v>1.7330792440006917</v>
      </c>
      <c r="C28" s="2194">
        <f t="shared" si="205"/>
        <v>2.6729879973572679E-3</v>
      </c>
      <c r="D28" s="2194">
        <f t="shared" si="205"/>
        <v>1.921779955864622E-4</v>
      </c>
      <c r="E28" s="2195">
        <f t="shared" si="205"/>
        <v>-2.997501018398907E-3</v>
      </c>
      <c r="F28" s="2195">
        <f t="shared" si="205"/>
        <v>0</v>
      </c>
      <c r="G28" s="2195">
        <f t="shared" si="205"/>
        <v>1.9665411989990389E-2</v>
      </c>
      <c r="H28" s="2195">
        <f>H6-H8-H15-H23-H30</f>
        <v>491.93810317399038</v>
      </c>
      <c r="I28" s="2195">
        <f>2%*133405-I30</f>
        <v>1168.0999999999999</v>
      </c>
      <c r="J28" s="2195">
        <f>2.7%*J6-J30</f>
        <v>993.55428829693437</v>
      </c>
      <c r="K28" s="2195">
        <f>2.7%*K6-K30</f>
        <v>1241.0711269176545</v>
      </c>
      <c r="L28" s="2285">
        <f>L182</f>
        <v>1427.2317959553025</v>
      </c>
      <c r="M28" s="2285">
        <f>M182</f>
        <v>1427.2317959553025</v>
      </c>
      <c r="N28" s="2285">
        <f>N182</f>
        <v>1427.2317959553025</v>
      </c>
      <c r="O28" s="2285">
        <f t="shared" ref="O28:Q28" si="206">O182</f>
        <v>1427.2317959553025</v>
      </c>
      <c r="P28" s="2285">
        <f t="shared" si="206"/>
        <v>1427.2317959553025</v>
      </c>
      <c r="Q28" s="2285">
        <f t="shared" si="206"/>
        <v>1427.2317959553025</v>
      </c>
      <c r="R28" s="2285"/>
      <c r="S28" s="2285"/>
      <c r="T28" s="2175">
        <v>25</v>
      </c>
      <c r="U28" s="2285"/>
      <c r="V28" s="2285"/>
      <c r="W28" s="2285"/>
      <c r="X28" s="2285"/>
      <c r="Y28" s="2285"/>
      <c r="Z28" s="2285"/>
      <c r="AA28" s="2285"/>
      <c r="AB28" s="2285"/>
      <c r="AC28" s="2285"/>
      <c r="AD28" s="2285"/>
      <c r="AE28" s="2285"/>
      <c r="AF28" s="2285"/>
      <c r="AG28" s="2285">
        <f t="shared" ref="AG28:AL28" si="207">AG6-AG8-AG15-AG23-AG11</f>
        <v>329.44546403199729</v>
      </c>
      <c r="AH28" s="2285">
        <f t="shared" si="207"/>
        <v>510.43420765500287</v>
      </c>
      <c r="AI28" s="2285">
        <f>AI6-AI8-AI15-AI23-AI11</f>
        <v>331.6449272829941</v>
      </c>
      <c r="AJ28" s="2285">
        <f t="shared" si="207"/>
        <v>503.83309097800156</v>
      </c>
      <c r="AK28" s="2285">
        <f t="shared" si="207"/>
        <v>491.07842241416802</v>
      </c>
      <c r="AL28" s="2285">
        <f t="shared" si="207"/>
        <v>736.56815076244311</v>
      </c>
      <c r="AM28" s="2285">
        <f ca="1">AM6-AM8-AM15-AM23-AM11</f>
        <v>1680.0491106753877</v>
      </c>
      <c r="AN28" s="2285">
        <f ca="1">AN6-AN8-AN15-AN23-AN11</f>
        <v>1077.871743704992</v>
      </c>
      <c r="AO28" s="2286">
        <f>AO30+AO32</f>
        <v>765.08037207423365</v>
      </c>
      <c r="AP28" s="2287">
        <f t="shared" ref="AP28:AZ28" si="208">AP30+AP32</f>
        <v>793.48131207423364</v>
      </c>
      <c r="AQ28" s="2287">
        <f>AQ30+AQ32</f>
        <v>801.69363207423362</v>
      </c>
      <c r="AR28" s="2287">
        <f t="shared" si="208"/>
        <v>833.29897207423357</v>
      </c>
      <c r="AS28" s="2286">
        <f>AS30+AS32</f>
        <v>889.56778172941358</v>
      </c>
      <c r="AT28" s="2288">
        <f t="shared" si="208"/>
        <v>981.1877817294137</v>
      </c>
      <c r="AU28" s="2288">
        <f>AU30+AU32</f>
        <v>859.38778172941363</v>
      </c>
      <c r="AV28" s="2288">
        <f t="shared" si="208"/>
        <v>897.06778172941358</v>
      </c>
      <c r="AW28" s="2289">
        <f>AW30+AW32</f>
        <v>943.60794898882557</v>
      </c>
      <c r="AX28" s="2290">
        <f t="shared" si="208"/>
        <v>1197.5019550614068</v>
      </c>
      <c r="AY28" s="2290">
        <f t="shared" si="208"/>
        <v>1049.1149489888257</v>
      </c>
      <c r="AZ28" s="2290">
        <f t="shared" si="208"/>
        <v>1096.9319489888258</v>
      </c>
      <c r="BA28" s="2284"/>
      <c r="BB28" s="2284"/>
      <c r="BC28" s="2284"/>
      <c r="BD28" s="2284"/>
      <c r="BE28" s="2284"/>
      <c r="BF28" s="2284"/>
      <c r="BG28" s="2284"/>
      <c r="BH28" s="2284"/>
      <c r="BI28" s="2284"/>
      <c r="BJ28" s="2284"/>
      <c r="BK28" s="2284"/>
      <c r="BL28" s="2284"/>
      <c r="BM28" s="2284"/>
      <c r="BN28" s="2284"/>
      <c r="BO28" s="2284"/>
      <c r="BP28" s="2284"/>
      <c r="BQ28" s="2284"/>
      <c r="BR28" s="2284"/>
      <c r="BS28" s="2284"/>
      <c r="BT28" s="2284"/>
      <c r="BU28" s="2284"/>
      <c r="BV28" s="2284"/>
      <c r="BW28" s="2284"/>
      <c r="BX28" s="2284"/>
      <c r="BY28" s="2284"/>
      <c r="BZ28" s="2284"/>
      <c r="CA28" s="2284"/>
      <c r="CB28" s="2284"/>
      <c r="CC28" s="2284"/>
      <c r="CD28" s="2284"/>
      <c r="CE28" s="2284"/>
      <c r="CF28" s="2284"/>
      <c r="CG28" s="2284"/>
      <c r="CH28" s="2284"/>
      <c r="CI28" s="2284"/>
      <c r="CJ28" s="2284"/>
      <c r="CK28" s="2284"/>
      <c r="CL28" s="2284"/>
      <c r="CM28" s="2284"/>
      <c r="CN28" s="2284"/>
      <c r="CO28" s="2284"/>
      <c r="CP28" s="2284"/>
      <c r="CQ28" s="2284"/>
      <c r="CR28" s="2284"/>
      <c r="CS28" s="2284"/>
      <c r="CT28" s="2284"/>
      <c r="CU28" s="2284"/>
      <c r="CV28" s="2284"/>
      <c r="CW28" s="2284"/>
      <c r="CX28" s="2284"/>
      <c r="CY28" s="2284"/>
      <c r="CZ28" s="2284"/>
    </row>
    <row r="29" spans="1:104" s="2216" customFormat="1">
      <c r="A29" s="2204" t="str">
        <f>A25</f>
        <v>%YoY</v>
      </c>
      <c r="B29" s="2240"/>
      <c r="C29" s="2206"/>
      <c r="D29" s="2206"/>
      <c r="E29" s="2207"/>
      <c r="F29" s="2207"/>
      <c r="G29" s="2207"/>
      <c r="H29" s="2207"/>
      <c r="I29" s="2292">
        <f t="shared" ref="I29:Q29" si="209">I28/H28-1</f>
        <v>1.3744857177425476</v>
      </c>
      <c r="J29" s="2292">
        <f t="shared" si="209"/>
        <v>-0.1494270282536303</v>
      </c>
      <c r="K29" s="2293">
        <f t="shared" si="209"/>
        <v>0.24912261115091394</v>
      </c>
      <c r="L29" s="2294">
        <f t="shared" si="209"/>
        <v>0.14999999999999991</v>
      </c>
      <c r="M29" s="2294">
        <f t="shared" si="209"/>
        <v>0</v>
      </c>
      <c r="N29" s="2294">
        <f t="shared" si="209"/>
        <v>0</v>
      </c>
      <c r="O29" s="2294">
        <f t="shared" si="209"/>
        <v>0</v>
      </c>
      <c r="P29" s="2294">
        <f t="shared" si="209"/>
        <v>0</v>
      </c>
      <c r="Q29" s="2294">
        <f t="shared" si="209"/>
        <v>0</v>
      </c>
      <c r="R29" s="2294"/>
      <c r="S29" s="2294"/>
      <c r="T29" s="2175">
        <v>26</v>
      </c>
      <c r="U29" s="2210"/>
      <c r="V29" s="2210"/>
      <c r="W29" s="2210"/>
      <c r="X29" s="2210"/>
      <c r="Y29" s="2210"/>
      <c r="Z29" s="2210"/>
      <c r="AA29" s="2210"/>
      <c r="AB29" s="2210"/>
      <c r="AC29" s="2210"/>
      <c r="AD29" s="2210"/>
      <c r="AE29" s="2210"/>
      <c r="AF29" s="2210"/>
      <c r="AG29" s="2210"/>
      <c r="AH29" s="2210"/>
      <c r="AI29" s="2210"/>
      <c r="AJ29" s="2210"/>
      <c r="AK29" s="2210"/>
      <c r="AL29" s="2210"/>
      <c r="AM29" s="2210"/>
      <c r="AN29" s="2210"/>
      <c r="AO29" s="2258"/>
      <c r="AP29" s="2210"/>
      <c r="AQ29" s="2210"/>
      <c r="AR29" s="2210"/>
      <c r="AS29" s="2258"/>
      <c r="AT29" s="2210"/>
      <c r="AU29" s="2210"/>
      <c r="AV29" s="2210"/>
      <c r="AW29" s="2259"/>
      <c r="AX29" s="2242"/>
      <c r="AY29" s="2242"/>
      <c r="AZ29" s="2242"/>
      <c r="BA29" s="2204"/>
      <c r="BB29" s="2204"/>
      <c r="BC29" s="2204"/>
      <c r="BD29" s="2204"/>
      <c r="BE29" s="2204"/>
      <c r="BF29" s="2204"/>
      <c r="BG29" s="2204"/>
      <c r="BH29" s="2204"/>
      <c r="BI29" s="2204"/>
      <c r="BJ29" s="2204"/>
      <c r="BK29" s="2204"/>
      <c r="BL29" s="2204"/>
      <c r="BM29" s="2204"/>
      <c r="BN29" s="2204"/>
      <c r="BO29" s="2204"/>
      <c r="BP29" s="2204"/>
      <c r="BQ29" s="2204"/>
      <c r="BR29" s="2204"/>
      <c r="BS29" s="2204"/>
      <c r="BT29" s="2204"/>
      <c r="BU29" s="2204"/>
      <c r="BV29" s="2204"/>
      <c r="BW29" s="2204"/>
      <c r="BX29" s="2204"/>
      <c r="BY29" s="2204"/>
      <c r="BZ29" s="2204"/>
      <c r="CA29" s="2204"/>
      <c r="CB29" s="2204"/>
      <c r="CC29" s="2204"/>
      <c r="CD29" s="2204"/>
      <c r="CE29" s="2204"/>
      <c r="CF29" s="2204"/>
      <c r="CG29" s="2204"/>
      <c r="CH29" s="2204"/>
      <c r="CI29" s="2204"/>
      <c r="CJ29" s="2204"/>
      <c r="CK29" s="2204"/>
      <c r="CL29" s="2204"/>
      <c r="CM29" s="2204"/>
      <c r="CN29" s="2204"/>
      <c r="CO29" s="2204"/>
      <c r="CP29" s="2204"/>
      <c r="CQ29" s="2204"/>
      <c r="CR29" s="2204"/>
      <c r="CS29" s="2204"/>
      <c r="CT29" s="2204"/>
      <c r="CU29" s="2204"/>
      <c r="CV29" s="2204"/>
      <c r="CW29" s="2204"/>
      <c r="CX29" s="2204"/>
      <c r="CY29" s="2204"/>
      <c r="CZ29" s="2204"/>
    </row>
    <row r="30" spans="1:104" s="2231" customFormat="1">
      <c r="A30" s="2217" t="s">
        <v>48</v>
      </c>
      <c r="B30" s="2218"/>
      <c r="C30" s="2219"/>
      <c r="D30" s="2219"/>
      <c r="E30" s="2220"/>
      <c r="F30" s="2220"/>
      <c r="G30" s="2220"/>
      <c r="H30" s="2220"/>
      <c r="I30" s="2221">
        <f t="shared" ref="I30:M30" si="210">I165</f>
        <v>1500</v>
      </c>
      <c r="J30" s="2221">
        <f>J165</f>
        <v>2200</v>
      </c>
      <c r="K30" s="2222">
        <f>K165</f>
        <v>2386.1400000000003</v>
      </c>
      <c r="L30" s="2223">
        <f t="shared" si="210"/>
        <v>2859.9250060725808</v>
      </c>
      <c r="M30" s="2223">
        <f t="shared" si="210"/>
        <v>3387.6959999999999</v>
      </c>
      <c r="N30" s="2223">
        <f t="shared" ref="N30" si="211">N165</f>
        <v>3455.44992</v>
      </c>
      <c r="O30" s="2223">
        <f t="shared" ref="O30:Q30" si="212">O165</f>
        <v>3755.5693344000001</v>
      </c>
      <c r="P30" s="2223">
        <f t="shared" si="212"/>
        <v>4529.1572146079998</v>
      </c>
      <c r="Q30" s="2223">
        <f t="shared" si="212"/>
        <v>5237.7658249737606</v>
      </c>
      <c r="R30" s="2223"/>
      <c r="S30" s="2223"/>
      <c r="T30" s="2224">
        <v>27</v>
      </c>
      <c r="U30" s="2225"/>
      <c r="V30" s="2225"/>
      <c r="W30" s="2225"/>
      <c r="X30" s="2225"/>
      <c r="Y30" s="2225"/>
      <c r="Z30" s="2225"/>
      <c r="AA30" s="2225"/>
      <c r="AB30" s="2225"/>
      <c r="AC30" s="2225"/>
      <c r="AD30" s="2225"/>
      <c r="AE30" s="2225"/>
      <c r="AF30" s="2225"/>
      <c r="AG30" s="2225">
        <f>SUMIF(Rev_Month!$B$1:$QQ$1,AG$4,Rev_Month!$B$55:$QQ$55)</f>
        <v>0</v>
      </c>
      <c r="AH30" s="2225">
        <f>SUMIF(Rev_Month!$B$1:$QQ$1,AH$4,Rev_Month!$B$55:$QQ$55)</f>
        <v>0</v>
      </c>
      <c r="AI30" s="2225">
        <f>SUMIF(Rev_Month!$B$1:$QQ$1,AI$4,Rev_Month!$B$55:$QQ$55)</f>
        <v>0</v>
      </c>
      <c r="AJ30" s="2225">
        <f>SUMIF(Rev_Month!$B$1:$QQ$1,AJ$4,Rev_Month!$B$55:$QQ$55)</f>
        <v>0</v>
      </c>
      <c r="AK30" s="2225">
        <f>SUMIF(Rev_Month!$B$1:$QQ$1,AK$4,Rev_Month!$B$55:$QQ$55)</f>
        <v>310.5</v>
      </c>
      <c r="AL30" s="2225">
        <f>SUMIF(Rev_Month!$B$1:$QQ$1,AL$4,Rev_Month!$B$55:$QQ$55)</f>
        <v>280.5</v>
      </c>
      <c r="AM30" s="2225">
        <f>SUMIF(Rev_Month!$B$1:$QQ$1,AM$4,Rev_Month!$B$55:$QQ$55)</f>
        <v>389.1</v>
      </c>
      <c r="AN30" s="2225">
        <f>SUMIF(Rev_Month!$B$1:$QQ$1,AN$4,Rev_Month!$B$55:$QQ$55)</f>
        <v>519.90000000000009</v>
      </c>
      <c r="AO30" s="2226">
        <f>SUMIF(Rev_Month!$B$1:$QQ$1,AO$4,Rev_Month!$B$55:$QQ$55)</f>
        <v>516.69180000000006</v>
      </c>
      <c r="AP30" s="2227">
        <f>SUMIF(Rev_Month!$B$1:$QQ$1,AP$4,Rev_Month!$B$55:$QQ$55)</f>
        <v>545.09274000000005</v>
      </c>
      <c r="AQ30" s="2227">
        <f>SUMIF(Rev_Month!$B$1:$QQ$1,AQ$4,Rev_Month!$B$55:$QQ$55)</f>
        <v>553.30506000000003</v>
      </c>
      <c r="AR30" s="2227">
        <f>SUMIF(Rev_Month!$B$1:$QQ$1,AR$4,Rev_Month!$B$55:$QQ$55)</f>
        <v>584.91039999999998</v>
      </c>
      <c r="AS30" s="2226">
        <f>SUMIF(Rev_Month!$B$1:$QQ$1,AS$4,Rev_Month!$B$55:$QQ$55)</f>
        <v>579.29999999999995</v>
      </c>
      <c r="AT30" s="2225">
        <f>SUMIF(Rev_Month!$B$1:$QQ$1,AT$4,Rev_Month!$B$55:$QQ$55)</f>
        <v>670.92000000000007</v>
      </c>
      <c r="AU30" s="2225">
        <f>SUMIF(Rev_Month!$B$1:$QQ$1,AU$4,Rev_Month!$B$55:$QQ$55)</f>
        <v>549.12</v>
      </c>
      <c r="AV30" s="2225">
        <f>SUMIF(Rev_Month!$B$1:$QQ$1,AV$4,Rev_Month!$B$55:$QQ$55)</f>
        <v>586.79999999999995</v>
      </c>
      <c r="AW30" s="2228">
        <f>SUMIF(Rev_Month!$B$1:$QQ$1,AW$4,Rev_Month!$B$55:$QQ$55)</f>
        <v>586.79999999999995</v>
      </c>
      <c r="AX30" s="2229">
        <f>SUMIF(Rev_Month!$B$1:$QQ$1,AX$4,Rev_Month!$B$55:$QQ$55)</f>
        <v>840.69400607258115</v>
      </c>
      <c r="AY30" s="2229">
        <f>SUMIF(Rev_Month!$B$1:$QQ$1,AY$4,Rev_Month!$B$55:$QQ$55)</f>
        <v>692.30700000000002</v>
      </c>
      <c r="AZ30" s="2229">
        <f>SUMIF(Rev_Month!$B$1:$QQ$1,AZ$4,Rev_Month!$B$55:$QQ$55)</f>
        <v>740.12400000000002</v>
      </c>
      <c r="BA30" s="2230">
        <f>SUMIF(Rev_Month!$B$1:$QQ$1,BA$4,Rev_Month!$B$55:$QQ$55)</f>
        <v>846.92399999999998</v>
      </c>
      <c r="BB30" s="2230">
        <f>SUMIF(Rev_Month!$B$1:$QQ$1,BB$4,Rev_Month!$B$55:$QQ$55)</f>
        <v>846.92399999999998</v>
      </c>
      <c r="BC30" s="2230">
        <f>SUMIF(Rev_Month!$B$1:$QQ$1,BC$4,Rev_Month!$B$55:$QQ$55)</f>
        <v>846.92399999999998</v>
      </c>
      <c r="BD30" s="2230">
        <f>SUMIF(Rev_Month!$B$1:$QQ$1,BD$4,Rev_Month!$B$55:$QQ$55)</f>
        <v>846.92399999999998</v>
      </c>
      <c r="BE30" s="2230">
        <f>SUMIF(Rev_Month!$B$1:$QQ$1,BE$4,Rev_Month!$B$55:$QQ$55)</f>
        <v>863.86248000000001</v>
      </c>
      <c r="BF30" s="2230">
        <f>SUMIF(Rev_Month!$B$1:$QQ$1,BF$4,Rev_Month!$B$55:$QQ$55)</f>
        <v>863.86248000000001</v>
      </c>
      <c r="BG30" s="2230">
        <f>SUMIF(Rev_Month!$B$1:$QQ$1,BG$4,Rev_Month!$B$55:$QQ$55)</f>
        <v>863.86248000000001</v>
      </c>
      <c r="BH30" s="2230">
        <f>SUMIF(Rev_Month!$B$1:$QQ$1,BH$4,Rev_Month!$B$55:$QQ$55)</f>
        <v>863.86248000000001</v>
      </c>
      <c r="BI30" s="2230">
        <f>SUMIF(Rev_Month!$B$1:$QQ$1,BI$4,Rev_Month!$B$55:$QQ$55)</f>
        <v>884.4398784</v>
      </c>
      <c r="BJ30" s="2230">
        <f>SUMIF(Rev_Month!$B$1:$QQ$1,BJ$4,Rev_Month!$B$55:$QQ$55)</f>
        <v>906.71588280000003</v>
      </c>
      <c r="BK30" s="2230">
        <f>SUMIF(Rev_Month!$B$1:$QQ$1,BK$4,Rev_Month!$B$55:$QQ$55)</f>
        <v>951.26789159999998</v>
      </c>
      <c r="BL30" s="2230">
        <f>SUMIF(Rev_Month!$B$1:$QQ$1,BL$4,Rev_Month!$B$55:$QQ$55)</f>
        <v>1013.1456816000001</v>
      </c>
      <c r="BM30" s="2230">
        <f>SUMIF(Rev_Month!$B$1:$QQ$1,BM$4,Rev_Month!$B$55:$QQ$55)</f>
        <v>1075.485492432</v>
      </c>
      <c r="BN30" s="2230">
        <f>SUMIF(Rev_Month!$B$1:$QQ$1,BN$4,Rev_Month!$B$55:$QQ$55)</f>
        <v>1113.3546999120001</v>
      </c>
      <c r="BO30" s="2230">
        <f>SUMIF(Rev_Month!$B$1:$QQ$1,BO$4,Rev_Month!$B$55:$QQ$55)</f>
        <v>1151.223907392</v>
      </c>
      <c r="BP30" s="2230">
        <f>SUMIF(Rev_Month!$B$1:$QQ$1,BP$4,Rev_Month!$B$55:$QQ$55)</f>
        <v>1189.0931148720001</v>
      </c>
      <c r="BQ30" s="2230">
        <f>SUMIF(Rev_Month!$B$1:$QQ$1,BQ$4,Rev_Month!$B$55:$QQ$55)</f>
        <v>1251.5015687990401</v>
      </c>
      <c r="BR30" s="2230">
        <f>SUMIF(Rev_Month!$B$1:$QQ$1,BR$4,Rev_Month!$B$55:$QQ$55)</f>
        <v>1290.1281604286401</v>
      </c>
      <c r="BS30" s="2230">
        <f>SUMIF(Rev_Month!$B$1:$QQ$1,BS$4,Rev_Month!$B$55:$QQ$55)</f>
        <v>1328.75475205824</v>
      </c>
      <c r="BT30" s="2230">
        <f>SUMIF(Rev_Month!$B$1:$QQ$1,BT$4,Rev_Month!$B$55:$QQ$55)</f>
        <v>1367.3813436878399</v>
      </c>
      <c r="BU30" s="2230">
        <f>SUMIF(Rev_Month!$B$1:$QQ$1,BU$4,Rev_Month!$B$55:$QQ$55)</f>
        <v>1434.1280940237889</v>
      </c>
      <c r="BV30" s="2230">
        <f>SUMIF(Rev_Month!$B$1:$QQ$1,BV$4,Rev_Month!$B$55:$QQ$55)</f>
        <v>1473.5272174859811</v>
      </c>
      <c r="BW30" s="2230">
        <f>SUMIF(Rev_Month!$B$1:$QQ$1,BW$4,Rev_Month!$B$55:$QQ$55)</f>
        <v>1512.9263409481728</v>
      </c>
      <c r="BX30" s="2230">
        <f>SUMIF(Rev_Month!$B$1:$QQ$1,BX$4,Rev_Month!$B$55:$QQ$55)</f>
        <v>1552.3254644103649</v>
      </c>
      <c r="BY30" s="2230">
        <f>SUMIF(Rev_Month!$B$1:$QQ$1,BY$4,Rev_Month!$B$55:$QQ$55)</f>
        <v>1623.5590796300082</v>
      </c>
      <c r="BZ30" s="2230">
        <f>SUMIF(Rev_Month!$B$1:$QQ$1,BZ$4,Rev_Month!$B$55:$QQ$55)</f>
        <v>1663.7461855614438</v>
      </c>
      <c r="CA30" s="2230">
        <f>SUMIF(Rev_Month!$B$1:$QQ$1,CA$4,Rev_Month!$B$55:$QQ$55)</f>
        <v>1703.9332914928796</v>
      </c>
      <c r="CB30" s="2230">
        <f>SUMIF(Rev_Month!$B$1:$QQ$1,CB$4,Rev_Month!$B$55:$QQ$55)</f>
        <v>1744.1203974243156</v>
      </c>
      <c r="CC30" s="2230">
        <f>SUMIF(Rev_Month!$B$1:$QQ$1,CC$4,Rev_Month!$B$55:$QQ$55)</f>
        <v>0</v>
      </c>
      <c r="CD30" s="2230">
        <f>SUMIF(Rev_Month!$B$1:$QQ$1,CD$4,Rev_Month!$B$55:$QQ$55)</f>
        <v>0</v>
      </c>
      <c r="CE30" s="2230">
        <f>SUMIF(Rev_Month!$B$1:$QQ$1,CE$4,Rev_Month!$B$55:$QQ$55)</f>
        <v>0</v>
      </c>
      <c r="CF30" s="2230">
        <f>SUMIF(Rev_Month!$B$1:$QQ$1,CF$4,Rev_Month!$B$55:$QQ$55)</f>
        <v>0</v>
      </c>
      <c r="CG30" s="2230">
        <f>SUMIF(Rev_Month!$B$1:$QQ$1,CG$4,Rev_Month!$B$55:$QQ$55)</f>
        <v>0</v>
      </c>
      <c r="CH30" s="2230">
        <f>SUMIF(Rev_Month!$B$1:$QQ$1,CH$4,Rev_Month!$B$55:$QQ$55)</f>
        <v>0</v>
      </c>
      <c r="CI30" s="2230">
        <f>SUMIF(Rev_Month!$B$1:$QQ$1,CI$4,Rev_Month!$B$55:$QQ$55)</f>
        <v>0</v>
      </c>
      <c r="CJ30" s="2230">
        <f>SUMIF(Rev_Month!$B$1:$QQ$1,CJ$4,Rev_Month!$B$55:$QQ$55)</f>
        <v>0</v>
      </c>
      <c r="CK30" s="2230">
        <f>SUMIF(Rev_Month!$B$1:$QQ$1,CK$4,Rev_Month!$B$55:$QQ$55)</f>
        <v>0</v>
      </c>
      <c r="CL30" s="2230">
        <f>SUMIF(Rev_Month!$B$1:$QQ$1,CL$4,Rev_Month!$B$55:$QQ$55)</f>
        <v>0</v>
      </c>
      <c r="CM30" s="2230">
        <f>SUMIF(Rev_Month!$B$1:$QQ$1,CM$4,Rev_Month!$B$55:$QQ$55)</f>
        <v>0</v>
      </c>
      <c r="CN30" s="2230">
        <f>SUMIF(Rev_Month!$B$1:$QQ$1,CN$4,Rev_Month!$B$55:$QQ$55)</f>
        <v>0</v>
      </c>
      <c r="CO30" s="2230">
        <f>SUMIF(Rev_Month!$B$1:$QQ$1,CO$4,Rev_Month!$B$55:$QQ$55)</f>
        <v>0</v>
      </c>
      <c r="CP30" s="2230">
        <f>SUMIF(Rev_Month!$B$1:$QQ$1,CP$4,Rev_Month!$B$55:$QQ$55)</f>
        <v>0</v>
      </c>
      <c r="CQ30" s="2230">
        <f>SUMIF(Rev_Month!$B$1:$QQ$1,CQ$4,Rev_Month!$B$55:$QQ$55)</f>
        <v>0</v>
      </c>
      <c r="CR30" s="2230">
        <f>SUMIF(Rev_Month!$B$1:$QQ$1,CR$4,Rev_Month!$B$55:$QQ$55)</f>
        <v>0</v>
      </c>
      <c r="CS30" s="2230">
        <f>SUMIF(Rev_Month!$B$1:$QQ$1,CS$4,Rev_Month!$B$55:$QQ$55)</f>
        <v>0</v>
      </c>
      <c r="CT30" s="2230">
        <f>SUMIF(Rev_Month!$B$1:$QQ$1,CT$4,Rev_Month!$B$55:$QQ$55)</f>
        <v>0</v>
      </c>
      <c r="CU30" s="2230">
        <f>SUMIF(Rev_Month!$B$1:$QQ$1,CU$4,Rev_Month!$B$55:$QQ$55)</f>
        <v>0</v>
      </c>
      <c r="CV30" s="2230">
        <f>SUMIF(Rev_Month!$B$1:$QQ$1,CV$4,Rev_Month!$B$55:$QQ$55)</f>
        <v>0</v>
      </c>
      <c r="CW30" s="2230">
        <f>SUMIF(Rev_Month!$B$1:$QQ$1,CW$4,Rev_Month!$B$55:$QQ$55)</f>
        <v>0</v>
      </c>
      <c r="CX30" s="2230">
        <f>SUMIF(Rev_Month!$B$1:$QQ$1,CX$4,Rev_Month!$B$55:$QQ$55)</f>
        <v>0</v>
      </c>
      <c r="CY30" s="2230">
        <f>SUMIF(Rev_Month!$B$1:$QQ$1,CY$4,Rev_Month!$B$55:$QQ$55)</f>
        <v>0</v>
      </c>
      <c r="CZ30" s="2230">
        <f>SUMIF(Rev_Month!$B$1:$QQ$1,CZ$4,Rev_Month!$B$55:$QQ$55)</f>
        <v>0</v>
      </c>
    </row>
    <row r="31" spans="1:104" s="2216" customFormat="1" outlineLevel="1">
      <c r="A31" s="2295" t="str">
        <f>A29</f>
        <v>%YoY</v>
      </c>
      <c r="B31" s="2240"/>
      <c r="C31" s="2206"/>
      <c r="D31" s="2206"/>
      <c r="E31" s="2207"/>
      <c r="F31" s="2207"/>
      <c r="G31" s="2207"/>
      <c r="H31" s="2207"/>
      <c r="I31" s="2256"/>
      <c r="J31" s="2207">
        <f>J30/I30-1</f>
        <v>0.46666666666666656</v>
      </c>
      <c r="K31" s="2296"/>
      <c r="L31" s="2210"/>
      <c r="M31" s="2210"/>
      <c r="N31" s="2210"/>
      <c r="O31" s="2210"/>
      <c r="P31" s="2210"/>
      <c r="Q31" s="2210"/>
      <c r="R31" s="2210"/>
      <c r="S31" s="2210"/>
      <c r="T31" s="2175">
        <v>28</v>
      </c>
      <c r="U31" s="2210"/>
      <c r="V31" s="2210"/>
      <c r="W31" s="2210"/>
      <c r="X31" s="2210"/>
      <c r="Y31" s="2210"/>
      <c r="Z31" s="2210"/>
      <c r="AA31" s="2210"/>
      <c r="AB31" s="2210"/>
      <c r="AC31" s="2210"/>
      <c r="AD31" s="2210"/>
      <c r="AE31" s="2210"/>
      <c r="AF31" s="2210"/>
      <c r="AG31" s="2210"/>
      <c r="AH31" s="2210"/>
      <c r="AI31" s="2210"/>
      <c r="AJ31" s="2210"/>
      <c r="AK31" s="2210">
        <f>AVERAGEIF(Rev_Month!$B$1:$QQ$1,AK$4,Rev_Month!$B$57:$QQ$57)</f>
        <v>208</v>
      </c>
      <c r="AL31" s="2210">
        <f>AVERAGEIF(Rev_Month!$B$1:$QQ$1,AL$4,Rev_Month!$B$57:$QQ$57)</f>
        <v>250</v>
      </c>
      <c r="AM31" s="2210">
        <f>AVERAGEIF(Rev_Month!$B$1:$QQ$1,AM$4,Rev_Month!$B$57:$QQ$57)</f>
        <v>490</v>
      </c>
      <c r="AN31" s="2283">
        <f>AVERAGEIF(Rev_Month!$B$1:$QQ$1,AN$4,Rev_Month!$B$57:$QQ$57)</f>
        <v>532.66666666666663</v>
      </c>
      <c r="AO31" s="2297">
        <f>AVERAGEIF(Rev_Month!$B$1:$QQ$1,AO$4,Rev_Month!$B$57:$QQ$57)</f>
        <v>503.33333333333331</v>
      </c>
      <c r="AP31" s="2283">
        <f>AVERAGEIF(Rev_Month!$B$1:$QQ$1,AP$4,Rev_Month!$B$57:$QQ$57)</f>
        <v>531</v>
      </c>
      <c r="AQ31" s="2283">
        <f>AVERAGEIF(Rev_Month!$B$1:$QQ$1,AQ$4,Rev_Month!$B$57:$QQ$57)</f>
        <v>539</v>
      </c>
      <c r="AR31" s="2298">
        <f>AVERAGEIF(Rev_Month!$B$1:$QQ$1,AR$4,Rev_Month!$B$57:$QQ$57)</f>
        <v>531.33333333333337</v>
      </c>
      <c r="AS31" s="2297">
        <f>AVERAGEIF(Rev_Month!$B$1:$QQ$1,AS$4,Rev_Month!$B$57:$QQ$57)</f>
        <v>526.66666666666663</v>
      </c>
      <c r="AT31" s="2210">
        <f>AVERAGEIF(Rev_Month!$B$1:$QQ$1,AT$4,Rev_Month!$B$57:$QQ$57)</f>
        <v>511</v>
      </c>
      <c r="AU31" s="2210">
        <f>AVERAGEIF(Rev_Month!$B$1:$QQ$1,AU$4,Rev_Month!$B$57:$QQ$57)</f>
        <v>352</v>
      </c>
      <c r="AV31" s="2210">
        <f>AVERAGEIF(Rev_Month!$B$1:$QQ$1,AV$4,Rev_Month!$B$57:$QQ$57)</f>
        <v>326</v>
      </c>
      <c r="AW31" s="2299">
        <f>AVERAGEIF(Rev_Month!$B$1:$QQ$1,AW$4,Rev_Month!$B$57:$QQ$57)</f>
        <v>326</v>
      </c>
      <c r="AX31" s="2242">
        <f>AVERAGEIF(Rev_Month!$B$1:$QQ$1,AX$4,Rev_Month!$B$57:$QQ$57)</f>
        <v>326</v>
      </c>
      <c r="AY31" s="2242">
        <f>AVERAGEIF(Rev_Month!$B$1:$QQ$1,AY$4,Rev_Month!$B$57:$QQ$57)</f>
        <v>333</v>
      </c>
      <c r="AZ31" s="2242">
        <f>AVERAGEIF(Rev_Month!$B$1:$QQ$1,AZ$4,Rev_Month!$B$57:$QQ$57)</f>
        <v>356</v>
      </c>
      <c r="BA31" s="2204">
        <f>AVERAGEIF(Rev_Month!$B$1:$QQ$1,BA$4,Rev_Month!$B$57:$QQ$57)</f>
        <v>356</v>
      </c>
      <c r="BB31" s="2204">
        <f>AVERAGEIF(Rev_Month!$B$1:$QQ$1,BB$4,Rev_Month!$B$57:$QQ$57)</f>
        <v>356</v>
      </c>
      <c r="BC31" s="2204">
        <f>AVERAGEIF(Rev_Month!$B$1:$QQ$1,BC$4,Rev_Month!$B$57:$QQ$57)</f>
        <v>356</v>
      </c>
      <c r="BD31" s="2204">
        <f>AVERAGEIF(Rev_Month!$B$1:$QQ$1,BD$4,Rev_Month!$B$57:$QQ$57)</f>
        <v>356</v>
      </c>
      <c r="BE31" s="2204">
        <f>AVERAGEIF(Rev_Month!$B$1:$QQ$1,BE$4,Rev_Month!$B$57:$QQ$57)</f>
        <v>356</v>
      </c>
      <c r="BF31" s="2204">
        <f>AVERAGEIF(Rev_Month!$B$1:$QQ$1,BF$4,Rev_Month!$B$57:$QQ$57)</f>
        <v>356</v>
      </c>
      <c r="BG31" s="2204">
        <f>AVERAGEIF(Rev_Month!$B$1:$QQ$1,BG$4,Rev_Month!$B$57:$QQ$57)</f>
        <v>356</v>
      </c>
      <c r="BH31" s="2204">
        <f>AVERAGEIF(Rev_Month!$B$1:$QQ$1,BH$4,Rev_Month!$B$57:$QQ$57)</f>
        <v>356</v>
      </c>
      <c r="BI31" s="2266">
        <f>AVERAGEIF(Rev_Month!$B$1:$QQ$1,BI$4,Rev_Month!$B$57:$QQ$57)</f>
        <v>357.33333333333331</v>
      </c>
      <c r="BJ31" s="2266">
        <f>AVERAGEIF(Rev_Month!$B$1:$QQ$1,BJ$4,Rev_Month!$B$57:$QQ$57)</f>
        <v>366.33333333333331</v>
      </c>
      <c r="BK31" s="2266">
        <f>AVERAGEIF(Rev_Month!$B$1:$QQ$1,BK$4,Rev_Month!$B$57:$QQ$57)</f>
        <v>384.33333333333331</v>
      </c>
      <c r="BL31" s="2266">
        <f>AVERAGEIF(Rev_Month!$B$1:$QQ$1,BL$4,Rev_Month!$B$57:$QQ$57)</f>
        <v>409.33333333333331</v>
      </c>
      <c r="BM31" s="2266">
        <f>AVERAGEIF(Rev_Month!$B$1:$QQ$1,BM$4,Rev_Month!$B$57:$QQ$57)</f>
        <v>426</v>
      </c>
      <c r="BN31" s="2266">
        <f>AVERAGEIF(Rev_Month!$B$1:$QQ$1,BN$4,Rev_Month!$B$57:$QQ$57)</f>
        <v>441</v>
      </c>
      <c r="BO31" s="2266">
        <f>AVERAGEIF(Rev_Month!$B$1:$QQ$1,BO$4,Rev_Month!$B$57:$QQ$57)</f>
        <v>456</v>
      </c>
      <c r="BP31" s="2266">
        <f>AVERAGEIF(Rev_Month!$B$1:$QQ$1,BP$4,Rev_Month!$B$57:$QQ$57)</f>
        <v>471</v>
      </c>
      <c r="BQ31" s="2266">
        <f>AVERAGEIF(Rev_Month!$B$1:$QQ$1,BQ$4,Rev_Month!$B$57:$QQ$57)</f>
        <v>486</v>
      </c>
      <c r="BR31" s="2266">
        <f>AVERAGEIF(Rev_Month!$B$1:$QQ$1,BR$4,Rev_Month!$B$57:$QQ$57)</f>
        <v>501</v>
      </c>
      <c r="BS31" s="2266">
        <f>AVERAGEIF(Rev_Month!$B$1:$QQ$1,BS$4,Rev_Month!$B$57:$QQ$57)</f>
        <v>516</v>
      </c>
      <c r="BT31" s="2266">
        <f>AVERAGEIF(Rev_Month!$B$1:$QQ$1,BT$4,Rev_Month!$B$57:$QQ$57)</f>
        <v>531</v>
      </c>
      <c r="BU31" s="2266">
        <f>AVERAGEIF(Rev_Month!$B$1:$QQ$1,BU$4,Rev_Month!$B$57:$QQ$57)</f>
        <v>546</v>
      </c>
      <c r="BV31" s="2266">
        <f>AVERAGEIF(Rev_Month!$B$1:$QQ$1,BV$4,Rev_Month!$B$57:$QQ$57)</f>
        <v>561</v>
      </c>
      <c r="BW31" s="2266">
        <f>AVERAGEIF(Rev_Month!$B$1:$QQ$1,BW$4,Rev_Month!$B$57:$QQ$57)</f>
        <v>576</v>
      </c>
      <c r="BX31" s="2266">
        <f>AVERAGEIF(Rev_Month!$B$1:$QQ$1,BX$4,Rev_Month!$B$57:$QQ$57)</f>
        <v>591</v>
      </c>
      <c r="BY31" s="2266">
        <f>AVERAGEIF(Rev_Month!$B$1:$QQ$1,BY$4,Rev_Month!$B$57:$QQ$57)</f>
        <v>606</v>
      </c>
      <c r="BZ31" s="2266">
        <f>AVERAGEIF(Rev_Month!$B$1:$QQ$1,BZ$4,Rev_Month!$B$57:$QQ$57)</f>
        <v>621</v>
      </c>
      <c r="CA31" s="2266">
        <f>AVERAGEIF(Rev_Month!$B$1:$QQ$1,CA$4,Rev_Month!$B$57:$QQ$57)</f>
        <v>636</v>
      </c>
      <c r="CB31" s="2266">
        <f>AVERAGEIF(Rev_Month!$B$1:$QQ$1,CB$4,Rev_Month!$B$57:$QQ$57)</f>
        <v>651</v>
      </c>
      <c r="CC31" s="2204" t="e">
        <f>AVERAGEIF(Rev_Month!$B$1:$QQ$1,CC$4,Rev_Month!$B$57:$QQ$57)</f>
        <v>#DIV/0!</v>
      </c>
      <c r="CD31" s="2204" t="e">
        <f>AVERAGEIF(Rev_Month!$B$1:$QQ$1,CD$4,Rev_Month!$B$57:$QQ$57)</f>
        <v>#DIV/0!</v>
      </c>
      <c r="CE31" s="2204" t="e">
        <f>AVERAGEIF(Rev_Month!$B$1:$QQ$1,CE$4,Rev_Month!$B$57:$QQ$57)</f>
        <v>#DIV/0!</v>
      </c>
      <c r="CF31" s="2204" t="e">
        <f>AVERAGEIF(Rev_Month!$B$1:$QQ$1,CF$4,Rev_Month!$B$57:$QQ$57)</f>
        <v>#DIV/0!</v>
      </c>
      <c r="CG31" s="2204" t="e">
        <f>AVERAGEIF(Rev_Month!$B$1:$QQ$1,CG$4,Rev_Month!$B$57:$QQ$57)</f>
        <v>#DIV/0!</v>
      </c>
      <c r="CH31" s="2204" t="e">
        <f>AVERAGEIF(Rev_Month!$B$1:$QQ$1,CH$4,Rev_Month!$B$57:$QQ$57)</f>
        <v>#DIV/0!</v>
      </c>
      <c r="CI31" s="2204" t="e">
        <f>AVERAGEIF(Rev_Month!$B$1:$QQ$1,CI$4,Rev_Month!$B$57:$QQ$57)</f>
        <v>#DIV/0!</v>
      </c>
      <c r="CJ31" s="2204" t="e">
        <f>AVERAGEIF(Rev_Month!$B$1:$QQ$1,CJ$4,Rev_Month!$B$57:$QQ$57)</f>
        <v>#DIV/0!</v>
      </c>
      <c r="CK31" s="2204" t="e">
        <f>AVERAGEIF(Rev_Month!$B$1:$QQ$1,CK$4,Rev_Month!$B$57:$QQ$57)</f>
        <v>#DIV/0!</v>
      </c>
      <c r="CL31" s="2204" t="e">
        <f>AVERAGEIF(Rev_Month!$B$1:$QQ$1,CL$4,Rev_Month!$B$57:$QQ$57)</f>
        <v>#DIV/0!</v>
      </c>
      <c r="CM31" s="2204" t="e">
        <f>AVERAGEIF(Rev_Month!$B$1:$QQ$1,CM$4,Rev_Month!$B$57:$QQ$57)</f>
        <v>#DIV/0!</v>
      </c>
      <c r="CN31" s="2204" t="e">
        <f>AVERAGEIF(Rev_Month!$B$1:$QQ$1,CN$4,Rev_Month!$B$57:$QQ$57)</f>
        <v>#DIV/0!</v>
      </c>
      <c r="CO31" s="2204" t="e">
        <f>AVERAGEIF(Rev_Month!$B$1:$QQ$1,CO$4,Rev_Month!$B$57:$QQ$57)</f>
        <v>#DIV/0!</v>
      </c>
      <c r="CP31" s="2204" t="e">
        <f>AVERAGEIF(Rev_Month!$B$1:$QQ$1,CP$4,Rev_Month!$B$57:$QQ$57)</f>
        <v>#DIV/0!</v>
      </c>
      <c r="CQ31" s="2204" t="e">
        <f>AVERAGEIF(Rev_Month!$B$1:$QQ$1,CQ$4,Rev_Month!$B$57:$QQ$57)</f>
        <v>#DIV/0!</v>
      </c>
      <c r="CR31" s="2204" t="e">
        <f>AVERAGEIF(Rev_Month!$B$1:$QQ$1,CR$4,Rev_Month!$B$57:$QQ$57)</f>
        <v>#DIV/0!</v>
      </c>
      <c r="CS31" s="2204" t="e">
        <f>AVERAGEIF(Rev_Month!$B$1:$QQ$1,CS$4,Rev_Month!$B$57:$QQ$57)</f>
        <v>#DIV/0!</v>
      </c>
      <c r="CT31" s="2204" t="e">
        <f>AVERAGEIF(Rev_Month!$B$1:$QQ$1,CT$4,Rev_Month!$B$57:$QQ$57)</f>
        <v>#DIV/0!</v>
      </c>
      <c r="CU31" s="2204" t="e">
        <f>AVERAGEIF(Rev_Month!$B$1:$QQ$1,CU$4,Rev_Month!$B$57:$QQ$57)</f>
        <v>#DIV/0!</v>
      </c>
      <c r="CV31" s="2204" t="e">
        <f>AVERAGEIF(Rev_Month!$B$1:$QQ$1,CV$4,Rev_Month!$B$57:$QQ$57)</f>
        <v>#DIV/0!</v>
      </c>
      <c r="CW31" s="2204" t="e">
        <f>AVERAGEIF(Rev_Month!$B$1:$QQ$1,CW$4,Rev_Month!$B$57:$QQ$57)</f>
        <v>#DIV/0!</v>
      </c>
      <c r="CX31" s="2204" t="e">
        <f>AVERAGEIF(Rev_Month!$B$1:$QQ$1,CX$4,Rev_Month!$B$57:$QQ$57)</f>
        <v>#DIV/0!</v>
      </c>
      <c r="CY31" s="2204" t="e">
        <f>AVERAGEIF(Rev_Month!$B$1:$QQ$1,CY$4,Rev_Month!$B$57:$QQ$57)</f>
        <v>#DIV/0!</v>
      </c>
      <c r="CZ31" s="2204" t="e">
        <f>AVERAGEIF(Rev_Month!$B$1:$QQ$1,CZ$4,Rev_Month!$B$57:$QQ$57)</f>
        <v>#DIV/0!</v>
      </c>
    </row>
    <row r="32" spans="1:104" s="2216" customFormat="1" outlineLevel="1">
      <c r="A32" s="2180" t="s">
        <v>157</v>
      </c>
      <c r="B32" s="2300">
        <v>1721</v>
      </c>
      <c r="C32" s="2301">
        <v>3372</v>
      </c>
      <c r="D32" s="2301">
        <v>5706</v>
      </c>
      <c r="E32" s="2301">
        <v>12350</v>
      </c>
      <c r="F32" s="2301">
        <v>12350</v>
      </c>
      <c r="G32" s="2301">
        <v>9386</v>
      </c>
      <c r="H32" s="2301">
        <v>9386</v>
      </c>
      <c r="I32" s="2256"/>
      <c r="J32" s="2256"/>
      <c r="K32" s="2296"/>
      <c r="L32" s="2210"/>
      <c r="M32" s="2210"/>
      <c r="N32" s="2210"/>
      <c r="O32" s="2210"/>
      <c r="P32" s="2210"/>
      <c r="Q32" s="2210"/>
      <c r="R32" s="2210"/>
      <c r="S32" s="2210"/>
      <c r="T32" s="2175">
        <v>29</v>
      </c>
      <c r="U32" s="2210"/>
      <c r="V32" s="2210"/>
      <c r="W32" s="2210"/>
      <c r="X32" s="2210"/>
      <c r="Y32" s="2210"/>
      <c r="Z32" s="2210"/>
      <c r="AA32" s="2210"/>
      <c r="AB32" s="2210"/>
      <c r="AC32" s="2210"/>
      <c r="AD32" s="2210"/>
      <c r="AE32" s="2210"/>
      <c r="AF32" s="2210"/>
      <c r="AG32" s="2210"/>
      <c r="AH32" s="2210"/>
      <c r="AI32" s="2210"/>
      <c r="AJ32" s="2210"/>
      <c r="AK32" s="2283">
        <f>$I$182/4</f>
        <v>292.02499999999998</v>
      </c>
      <c r="AL32" s="2283">
        <f>$I$182/4</f>
        <v>292.02499999999998</v>
      </c>
      <c r="AM32" s="2283">
        <f>$I$182/4</f>
        <v>292.02499999999998</v>
      </c>
      <c r="AN32" s="2283">
        <f>$I$182/4</f>
        <v>292.02499999999998</v>
      </c>
      <c r="AO32" s="2297">
        <f>$J$182/4</f>
        <v>248.38857207423359</v>
      </c>
      <c r="AP32" s="2298">
        <f>$J$182/4</f>
        <v>248.38857207423359</v>
      </c>
      <c r="AQ32" s="2298">
        <f>$J$182/4</f>
        <v>248.38857207423359</v>
      </c>
      <c r="AR32" s="2298">
        <f>$J$182/4</f>
        <v>248.38857207423359</v>
      </c>
      <c r="AS32" s="2302">
        <f>$K$182/4</f>
        <v>310.26778172941363</v>
      </c>
      <c r="AT32" s="2303">
        <f>$K$182/4</f>
        <v>310.26778172941363</v>
      </c>
      <c r="AU32" s="2303">
        <f>$K$182/4</f>
        <v>310.26778172941363</v>
      </c>
      <c r="AV32" s="2303">
        <f>$K$182/4</f>
        <v>310.26778172941363</v>
      </c>
      <c r="AW32" s="2304">
        <f>$L$182/4</f>
        <v>356.80794898882561</v>
      </c>
      <c r="AX32" s="2305">
        <f>$L$182/4</f>
        <v>356.80794898882561</v>
      </c>
      <c r="AY32" s="2305">
        <f>$L$182/4</f>
        <v>356.80794898882561</v>
      </c>
      <c r="AZ32" s="2305">
        <f>$L$182/4</f>
        <v>356.80794898882561</v>
      </c>
      <c r="BA32" s="2204"/>
      <c r="BB32" s="2204"/>
      <c r="BC32" s="2204"/>
      <c r="BD32" s="2204"/>
      <c r="BE32" s="2204"/>
      <c r="BF32" s="2204"/>
      <c r="BG32" s="2204"/>
      <c r="BH32" s="2204"/>
      <c r="BI32" s="2204"/>
      <c r="BJ32" s="2204"/>
      <c r="BK32" s="2204"/>
      <c r="BL32" s="2204"/>
      <c r="BM32" s="2204"/>
      <c r="BN32" s="2204"/>
      <c r="BO32" s="2204"/>
      <c r="BP32" s="2204"/>
      <c r="BQ32" s="2204"/>
      <c r="BR32" s="2204"/>
      <c r="BS32" s="2204"/>
      <c r="BT32" s="2204"/>
      <c r="BU32" s="2204"/>
      <c r="BV32" s="2204"/>
      <c r="BW32" s="2204"/>
      <c r="BX32" s="2204"/>
      <c r="BY32" s="2204"/>
      <c r="BZ32" s="2204"/>
      <c r="CA32" s="2204"/>
      <c r="CB32" s="2204"/>
      <c r="CC32" s="2204"/>
      <c r="CD32" s="2204"/>
      <c r="CE32" s="2204"/>
      <c r="CF32" s="2204"/>
      <c r="CG32" s="2204"/>
      <c r="CH32" s="2204"/>
      <c r="CI32" s="2204"/>
      <c r="CJ32" s="2204"/>
      <c r="CK32" s="2204"/>
      <c r="CL32" s="2204"/>
      <c r="CM32" s="2204"/>
      <c r="CN32" s="2204"/>
      <c r="CO32" s="2204"/>
      <c r="CP32" s="2204"/>
      <c r="CQ32" s="2204"/>
      <c r="CR32" s="2204"/>
      <c r="CS32" s="2204"/>
      <c r="CT32" s="2204"/>
      <c r="CU32" s="2204"/>
      <c r="CV32" s="2204"/>
      <c r="CW32" s="2204"/>
      <c r="CX32" s="2204"/>
      <c r="CY32" s="2204"/>
      <c r="CZ32" s="2204"/>
    </row>
    <row r="33" spans="1:104" s="2216" customFormat="1" outlineLevel="1">
      <c r="A33" s="2204" t="s">
        <v>31</v>
      </c>
      <c r="B33" s="2205">
        <v>0.86054054054054063</v>
      </c>
      <c r="C33" s="2206">
        <f t="shared" ref="C33:H33" si="213">C32/B32-1</f>
        <v>0.95932597327135394</v>
      </c>
      <c r="D33" s="2206">
        <f t="shared" si="213"/>
        <v>0.69217081850533813</v>
      </c>
      <c r="E33" s="2207">
        <f t="shared" si="213"/>
        <v>1.1643883631265335</v>
      </c>
      <c r="F33" s="2207">
        <f t="shared" si="213"/>
        <v>0</v>
      </c>
      <c r="G33" s="2207">
        <f t="shared" si="213"/>
        <v>-0.24</v>
      </c>
      <c r="H33" s="2207">
        <f t="shared" si="213"/>
        <v>0</v>
      </c>
      <c r="I33" s="2256"/>
      <c r="J33" s="2256"/>
      <c r="K33" s="2296"/>
      <c r="L33" s="2210"/>
      <c r="M33" s="2210"/>
      <c r="N33" s="2210"/>
      <c r="O33" s="2210"/>
      <c r="P33" s="2210"/>
      <c r="Q33" s="2210"/>
      <c r="R33" s="2210"/>
      <c r="S33" s="2210"/>
      <c r="T33" s="2175">
        <v>30</v>
      </c>
      <c r="U33" s="2210"/>
      <c r="V33" s="2210"/>
      <c r="W33" s="2210"/>
      <c r="X33" s="2210"/>
      <c r="Y33" s="2210"/>
      <c r="Z33" s="2210"/>
      <c r="AA33" s="2210"/>
      <c r="AB33" s="2210"/>
      <c r="AC33" s="2210"/>
      <c r="AD33" s="2210"/>
      <c r="AE33" s="2210"/>
      <c r="AF33" s="2210"/>
      <c r="AG33" s="2210"/>
      <c r="AH33" s="2210"/>
      <c r="AI33" s="2210"/>
      <c r="AJ33" s="2210"/>
      <c r="AK33" s="2210"/>
      <c r="AL33" s="2210"/>
      <c r="AM33" s="2210"/>
      <c r="AN33" s="2210"/>
      <c r="AO33" s="2258"/>
      <c r="AP33" s="2210"/>
      <c r="AQ33" s="2210"/>
      <c r="AR33" s="2210"/>
      <c r="AS33" s="2258"/>
      <c r="AT33" s="2210"/>
      <c r="AU33" s="2210"/>
      <c r="AV33" s="2210"/>
      <c r="AW33" s="2259"/>
      <c r="AX33" s="2242"/>
      <c r="AY33" s="2242"/>
      <c r="AZ33" s="2242"/>
      <c r="BA33" s="2204"/>
      <c r="BB33" s="2204"/>
      <c r="BC33" s="2204"/>
      <c r="BD33" s="2204"/>
      <c r="BE33" s="2204"/>
      <c r="BF33" s="2204"/>
      <c r="BG33" s="2204"/>
      <c r="BH33" s="2204"/>
      <c r="BI33" s="2204"/>
      <c r="BJ33" s="2204"/>
      <c r="BK33" s="2204"/>
      <c r="BL33" s="2204"/>
      <c r="BM33" s="2204"/>
      <c r="BN33" s="2204"/>
      <c r="BO33" s="2204"/>
      <c r="BP33" s="2204"/>
      <c r="BQ33" s="2204"/>
      <c r="BR33" s="2204"/>
      <c r="BS33" s="2204"/>
      <c r="BT33" s="2204"/>
      <c r="BU33" s="2204"/>
      <c r="BV33" s="2204"/>
      <c r="BW33" s="2204"/>
      <c r="BX33" s="2204"/>
      <c r="BY33" s="2204"/>
      <c r="BZ33" s="2204"/>
      <c r="CA33" s="2204"/>
      <c r="CB33" s="2204"/>
      <c r="CC33" s="2204"/>
      <c r="CD33" s="2204"/>
      <c r="CE33" s="2204"/>
      <c r="CF33" s="2204"/>
      <c r="CG33" s="2204"/>
      <c r="CH33" s="2204"/>
      <c r="CI33" s="2204"/>
      <c r="CJ33" s="2204"/>
      <c r="CK33" s="2204"/>
      <c r="CL33" s="2204"/>
      <c r="CM33" s="2204"/>
      <c r="CN33" s="2204"/>
      <c r="CO33" s="2204"/>
      <c r="CP33" s="2204"/>
      <c r="CQ33" s="2204"/>
      <c r="CR33" s="2204"/>
      <c r="CS33" s="2204"/>
      <c r="CT33" s="2204"/>
      <c r="CU33" s="2204"/>
      <c r="CV33" s="2204"/>
      <c r="CW33" s="2204"/>
      <c r="CX33" s="2204"/>
      <c r="CY33" s="2204"/>
      <c r="CZ33" s="2204"/>
    </row>
    <row r="34" spans="1:104" s="2319" customFormat="1" ht="17">
      <c r="A34" s="2306" t="s">
        <v>158</v>
      </c>
      <c r="B34" s="2307">
        <f>'FS Year'!N6</f>
        <v>3922.430893874</v>
      </c>
      <c r="C34" s="2308">
        <f>'FS Year'!O6</f>
        <v>7214.1063125620003</v>
      </c>
      <c r="D34" s="2308">
        <f>'FS Year'!P6</f>
        <v>11141.779266943</v>
      </c>
      <c r="E34" s="2309">
        <f>'FS Year'!Q6</f>
        <v>15292.127763064</v>
      </c>
      <c r="F34" s="2309">
        <f>'FS Year'!R6</f>
        <v>19487.799303710999</v>
      </c>
      <c r="G34" s="2309">
        <f>'FS Year'!S6</f>
        <v>23954.497272462999</v>
      </c>
      <c r="H34" s="2309">
        <f>'FS Year'!T6</f>
        <v>27632.131995534</v>
      </c>
      <c r="I34" s="2309">
        <f>'FS Year'!U6</f>
        <v>30782.215367861001</v>
      </c>
      <c r="J34" s="2309">
        <f>'FS Year'!V6</f>
        <v>22520.613163729999</v>
      </c>
      <c r="K34" s="2310">
        <f>'FS Year'!W6</f>
        <v>27499.210077021002</v>
      </c>
      <c r="L34" s="2311">
        <f t="shared" ref="L34:Q34" ca="1" si="214">SUM(L36:L39)</f>
        <v>31336.850622463226</v>
      </c>
      <c r="M34" s="2311">
        <f t="shared" ca="1" si="214"/>
        <v>38919.681055344343</v>
      </c>
      <c r="N34" s="2311">
        <f t="shared" ca="1" si="214"/>
        <v>45564.919425460212</v>
      </c>
      <c r="O34" s="2311">
        <f t="shared" ca="1" si="214"/>
        <v>53235.078861643255</v>
      </c>
      <c r="P34" s="2311">
        <f t="shared" ca="1" si="214"/>
        <v>59851.063618543856</v>
      </c>
      <c r="Q34" s="2311">
        <f t="shared" ca="1" si="214"/>
        <v>65935.153255848112</v>
      </c>
      <c r="R34" s="2311">
        <f>4200</f>
        <v>4200</v>
      </c>
      <c r="S34" s="2311">
        <v>4700</v>
      </c>
      <c r="T34" s="2175">
        <v>31</v>
      </c>
      <c r="U34" s="2311"/>
      <c r="V34" s="2311"/>
      <c r="W34" s="2311"/>
      <c r="X34" s="2311"/>
      <c r="Y34" s="2311"/>
      <c r="Z34" s="2311"/>
      <c r="AA34" s="2311"/>
      <c r="AB34" s="2311"/>
      <c r="AC34" s="2311"/>
      <c r="AD34" s="2311"/>
      <c r="AE34" s="2311"/>
      <c r="AF34" s="2311"/>
      <c r="AG34" s="2311">
        <f>'FS Quarter'!BB6</f>
        <v>7024.9455515019999</v>
      </c>
      <c r="AH34" s="2311">
        <f>'FS Quarter'!BC6</f>
        <v>7143.5833856709996</v>
      </c>
      <c r="AI34" s="2311">
        <f>'FS Quarter'!BD6</f>
        <v>6088.7133257659998</v>
      </c>
      <c r="AJ34" s="2311">
        <f>'FS Quarter'!BE6</f>
        <v>7374.8897325950002</v>
      </c>
      <c r="AK34" s="2311">
        <f>'FS Quarter'!BF6</f>
        <v>8124.2640914989997</v>
      </c>
      <c r="AL34" s="2311">
        <f>'FS Quarter'!BG6</f>
        <v>7336.4182392599996</v>
      </c>
      <c r="AM34" s="2311">
        <f>'FS Quarter'!BH6</f>
        <v>7392.0243795890001</v>
      </c>
      <c r="AN34" s="2311">
        <f>'FS Quarter'!BI6</f>
        <v>7929.5086575129999</v>
      </c>
      <c r="AO34" s="2312">
        <f>'quý 1.22'!AP16</f>
        <v>5214.4998517869999</v>
      </c>
      <c r="AP34" s="2313">
        <f ca="1">AP8/AO8-1</f>
        <v>2.2684921807742953E-3</v>
      </c>
      <c r="AQ34" s="2314"/>
      <c r="AR34" s="2314"/>
      <c r="AS34" s="2312"/>
      <c r="AT34" s="2311"/>
      <c r="AU34" s="2311"/>
      <c r="AV34" s="2311"/>
      <c r="AW34" s="2315"/>
      <c r="AX34" s="2316"/>
      <c r="AY34" s="2317"/>
      <c r="AZ34" s="2317"/>
      <c r="BA34" s="2318"/>
      <c r="BB34" s="2318"/>
      <c r="BC34" s="2318"/>
      <c r="BD34" s="2318"/>
      <c r="BE34" s="2318"/>
      <c r="BF34" s="2318"/>
      <c r="BG34" s="2318"/>
      <c r="BH34" s="2318"/>
      <c r="BI34" s="2318"/>
      <c r="BJ34" s="2318"/>
      <c r="BK34" s="2318"/>
      <c r="BL34" s="2318"/>
      <c r="BM34" s="2318"/>
      <c r="BN34" s="2318"/>
      <c r="BO34" s="2318"/>
      <c r="BP34" s="2318"/>
      <c r="BQ34" s="2318"/>
      <c r="BR34" s="2318"/>
      <c r="BS34" s="2318"/>
      <c r="BT34" s="2318"/>
      <c r="BU34" s="2318"/>
      <c r="BV34" s="2318"/>
      <c r="BW34" s="2318"/>
      <c r="BX34" s="2318"/>
      <c r="BY34" s="2318"/>
      <c r="BZ34" s="2318"/>
      <c r="CA34" s="2318"/>
      <c r="CB34" s="2318"/>
      <c r="CC34" s="2318"/>
      <c r="CD34" s="2318"/>
      <c r="CE34" s="2318"/>
      <c r="CF34" s="2318"/>
      <c r="CG34" s="2318"/>
      <c r="CH34" s="2318"/>
      <c r="CI34" s="2318"/>
      <c r="CJ34" s="2318"/>
      <c r="CK34" s="2318"/>
      <c r="CL34" s="2318"/>
      <c r="CM34" s="2318"/>
      <c r="CN34" s="2318"/>
      <c r="CO34" s="2318"/>
      <c r="CP34" s="2318"/>
      <c r="CQ34" s="2318"/>
      <c r="CR34" s="2318"/>
      <c r="CS34" s="2318"/>
      <c r="CT34" s="2318"/>
      <c r="CU34" s="2318"/>
      <c r="CV34" s="2318"/>
      <c r="CW34" s="2318"/>
      <c r="CX34" s="2318"/>
      <c r="CY34" s="2318"/>
      <c r="CZ34" s="2318"/>
    </row>
    <row r="35" spans="1:104" s="2239" customFormat="1">
      <c r="A35" s="2320" t="s">
        <v>159</v>
      </c>
      <c r="B35" s="2321">
        <f t="shared" ref="B35:Q35" si="215">B34/B6</f>
        <v>0.15532698506594389</v>
      </c>
      <c r="C35" s="2322">
        <f t="shared" si="215"/>
        <v>0.16170292332654898</v>
      </c>
      <c r="D35" s="2322">
        <f t="shared" si="215"/>
        <v>0.16795013796945615</v>
      </c>
      <c r="E35" s="2241">
        <f t="shared" si="215"/>
        <v>0.17675432329432134</v>
      </c>
      <c r="F35" s="2241">
        <f t="shared" si="215"/>
        <v>0.19073103499694744</v>
      </c>
      <c r="G35" s="2241">
        <f t="shared" si="215"/>
        <v>0.22068517432791743</v>
      </c>
      <c r="H35" s="2241">
        <f t="shared" si="215"/>
        <v>0.22472802217974888</v>
      </c>
      <c r="I35" s="2241">
        <f t="shared" ca="1" si="215"/>
        <v>0.23074296911232317</v>
      </c>
      <c r="J35" s="2241">
        <f t="shared" si="215"/>
        <v>0.19040119582403459</v>
      </c>
      <c r="K35" s="2323">
        <f t="shared" si="215"/>
        <v>0.20469684451770898</v>
      </c>
      <c r="L35" s="2324">
        <f t="shared" ca="1" si="215"/>
        <v>0.19635636031741605</v>
      </c>
      <c r="M35" s="2324">
        <f t="shared" ca="1" si="215"/>
        <v>0.20061970470619181</v>
      </c>
      <c r="N35" s="2324">
        <f t="shared" ca="1" si="215"/>
        <v>0.20469619888577628</v>
      </c>
      <c r="O35" s="2324">
        <f t="shared" ca="1" si="215"/>
        <v>0.20755550729663999</v>
      </c>
      <c r="P35" s="2324">
        <f t="shared" ca="1" si="215"/>
        <v>0.20970572248189295</v>
      </c>
      <c r="Q35" s="2324">
        <f t="shared" ca="1" si="215"/>
        <v>0.21128519292495929</v>
      </c>
      <c r="R35" s="2324">
        <f>R34/$I$197-1</f>
        <v>2.3962071679931585E-2</v>
      </c>
      <c r="S35" s="2324">
        <f>S34/$I$197-1</f>
        <v>0.14586231830849483</v>
      </c>
      <c r="T35" s="2175">
        <v>32</v>
      </c>
      <c r="U35" s="2325"/>
      <c r="V35" s="2325"/>
      <c r="W35" s="2325"/>
      <c r="X35" s="2325"/>
      <c r="Y35" s="2325"/>
      <c r="Z35" s="2325"/>
      <c r="AA35" s="2325"/>
      <c r="AB35" s="2325"/>
      <c r="AC35" s="2325"/>
      <c r="AD35" s="2325"/>
      <c r="AE35" s="2325"/>
      <c r="AF35" s="2325"/>
      <c r="AG35" s="2324">
        <f t="shared" ref="AG35:AN35" si="216">AG34/AG6</f>
        <v>0.22547326714826382</v>
      </c>
      <c r="AH35" s="2324">
        <f t="shared" si="216"/>
        <v>0.22335582559163733</v>
      </c>
      <c r="AI35" s="2324">
        <f>AI34/AI6</f>
        <v>0.24846996848024919</v>
      </c>
      <c r="AJ35" s="2324">
        <f t="shared" si="216"/>
        <v>0.20206682558657901</v>
      </c>
      <c r="AK35" s="2324">
        <f t="shared" si="216"/>
        <v>0.22065307920100324</v>
      </c>
      <c r="AL35" s="2324">
        <f t="shared" si="216"/>
        <v>0.21140685220435118</v>
      </c>
      <c r="AM35" s="2324">
        <f t="shared" si="216"/>
        <v>0.22869624372784234</v>
      </c>
      <c r="AN35" s="2324">
        <f t="shared" si="216"/>
        <v>0.25680308360274268</v>
      </c>
      <c r="AO35" s="2326">
        <f ca="1">AO34/AO6</f>
        <v>0.19255672955763842</v>
      </c>
      <c r="AP35" s="2325">
        <f ca="1">AP15/AO15-1</f>
        <v>0.12147012604022089</v>
      </c>
      <c r="AQ35" s="2325"/>
      <c r="AR35" s="2325"/>
      <c r="AS35" s="2327"/>
      <c r="AT35" s="2325"/>
      <c r="AU35" s="2325"/>
      <c r="AV35" s="2325"/>
      <c r="AW35" s="2328"/>
      <c r="AX35" s="2329"/>
      <c r="AY35" s="2329"/>
      <c r="AZ35" s="2329"/>
      <c r="BA35" s="2232"/>
      <c r="BB35" s="2232"/>
      <c r="BC35" s="2232"/>
      <c r="BD35" s="2232"/>
      <c r="BE35" s="2232"/>
      <c r="BF35" s="2232"/>
      <c r="BG35" s="2232"/>
      <c r="BH35" s="2232"/>
      <c r="BI35" s="2232"/>
      <c r="BJ35" s="2232"/>
      <c r="BK35" s="2232"/>
      <c r="BL35" s="2232"/>
      <c r="BM35" s="2232"/>
      <c r="BN35" s="2232"/>
      <c r="BO35" s="2232"/>
      <c r="BP35" s="2232"/>
      <c r="BQ35" s="2232"/>
      <c r="BR35" s="2232"/>
      <c r="BS35" s="2232"/>
      <c r="BT35" s="2232"/>
      <c r="BU35" s="2232"/>
      <c r="BV35" s="2232"/>
      <c r="BW35" s="2232"/>
      <c r="BX35" s="2232"/>
      <c r="BY35" s="2232"/>
      <c r="BZ35" s="2232"/>
      <c r="CA35" s="2232"/>
      <c r="CB35" s="2232"/>
      <c r="CC35" s="2232"/>
      <c r="CD35" s="2232"/>
      <c r="CE35" s="2232"/>
      <c r="CF35" s="2232"/>
      <c r="CG35" s="2232"/>
      <c r="CH35" s="2232"/>
      <c r="CI35" s="2232"/>
      <c r="CJ35" s="2232"/>
      <c r="CK35" s="2232"/>
      <c r="CL35" s="2232"/>
      <c r="CM35" s="2232"/>
      <c r="CN35" s="2232"/>
      <c r="CO35" s="2232"/>
      <c r="CP35" s="2232"/>
      <c r="CQ35" s="2232"/>
      <c r="CR35" s="2232"/>
      <c r="CS35" s="2232"/>
      <c r="CT35" s="2232"/>
      <c r="CU35" s="2232"/>
      <c r="CV35" s="2232"/>
      <c r="CW35" s="2232"/>
      <c r="CX35" s="2232"/>
      <c r="CY35" s="2232"/>
      <c r="CZ35" s="2232"/>
    </row>
    <row r="36" spans="1:104" s="2339" customFormat="1" outlineLevel="1">
      <c r="A36" s="2330" t="str">
        <f>A82</f>
        <v>Mobil &amp;CE</v>
      </c>
      <c r="B36" s="2244">
        <f t="shared" ref="B36:Q36" si="217">B86</f>
        <v>3922.430893874</v>
      </c>
      <c r="C36" s="2245">
        <f t="shared" si="217"/>
        <v>7214.1063125620003</v>
      </c>
      <c r="D36" s="2245">
        <f t="shared" si="217"/>
        <v>10977.806466943</v>
      </c>
      <c r="E36" s="2246">
        <f t="shared" si="217"/>
        <v>14621.626515563999</v>
      </c>
      <c r="F36" s="2246">
        <f t="shared" si="217"/>
        <v>17449.423136375375</v>
      </c>
      <c r="G36" s="2246">
        <f t="shared" si="217"/>
        <v>18954.868512462999</v>
      </c>
      <c r="H36" s="2246">
        <f t="shared" si="217"/>
        <v>20136.751158589639</v>
      </c>
      <c r="I36" s="2246">
        <f t="shared" ca="1" si="217"/>
        <v>21980.181352288579</v>
      </c>
      <c r="J36" s="2246">
        <f t="shared" ca="1" si="217"/>
        <v>13955.652177779066</v>
      </c>
      <c r="K36" s="2247">
        <f t="shared" ca="1" si="217"/>
        <v>16634.170192351001</v>
      </c>
      <c r="L36" s="2331">
        <f t="shared" ca="1" si="217"/>
        <v>19083.766002562406</v>
      </c>
      <c r="M36" s="2331">
        <f t="shared" ca="1" si="217"/>
        <v>21713.030983256496</v>
      </c>
      <c r="N36" s="2331">
        <f t="shared" ca="1" si="217"/>
        <v>24201.442340715614</v>
      </c>
      <c r="O36" s="2331">
        <f t="shared" ca="1" si="217"/>
        <v>27351.463917206682</v>
      </c>
      <c r="P36" s="2331">
        <f t="shared" ca="1" si="217"/>
        <v>29486.922885377448</v>
      </c>
      <c r="Q36" s="2331">
        <f t="shared" ca="1" si="217"/>
        <v>31771.002874486483</v>
      </c>
      <c r="R36" s="2331"/>
      <c r="S36" s="2331"/>
      <c r="T36" s="2175">
        <v>33</v>
      </c>
      <c r="U36" s="2332"/>
      <c r="V36" s="2332"/>
      <c r="W36" s="2332"/>
      <c r="X36" s="2332"/>
      <c r="Y36" s="2332"/>
      <c r="Z36" s="2332"/>
      <c r="AA36" s="2332"/>
      <c r="AB36" s="2332"/>
      <c r="AC36" s="2332"/>
      <c r="AD36" s="2332"/>
      <c r="AE36" s="2332"/>
      <c r="AF36" s="2332"/>
      <c r="AG36" s="2333"/>
      <c r="AH36" s="2333"/>
      <c r="AI36" s="2333"/>
      <c r="AJ36" s="2333"/>
      <c r="AK36" s="2334">
        <f>AK20*AK37</f>
        <v>5754.7381380089182</v>
      </c>
      <c r="AL36" s="2334">
        <f>AL20*AL37</f>
        <v>2700.1989546051536</v>
      </c>
      <c r="AM36" s="2334">
        <f ca="1">AM20*AM37</f>
        <v>3528.1734518282424</v>
      </c>
      <c r="AN36" s="2332"/>
      <c r="AO36" s="2335"/>
      <c r="AP36" s="2332"/>
      <c r="AQ36" s="2332"/>
      <c r="AR36" s="2332"/>
      <c r="AS36" s="2335"/>
      <c r="AT36" s="2332"/>
      <c r="AU36" s="2332"/>
      <c r="AV36" s="2332"/>
      <c r="AW36" s="2336"/>
      <c r="AX36" s="2337"/>
      <c r="AY36" s="2337"/>
      <c r="AZ36" s="2337"/>
      <c r="BA36" s="2338"/>
      <c r="BB36" s="2338"/>
      <c r="BC36" s="2338"/>
      <c r="BD36" s="2338"/>
      <c r="BE36" s="2338"/>
      <c r="BF36" s="2338"/>
      <c r="BG36" s="2338"/>
      <c r="BH36" s="2338"/>
      <c r="BI36" s="2338"/>
      <c r="BJ36" s="2338"/>
      <c r="BK36" s="2338"/>
      <c r="BL36" s="2338"/>
      <c r="BM36" s="2338"/>
      <c r="BN36" s="2338"/>
      <c r="BO36" s="2338"/>
      <c r="BP36" s="2338"/>
      <c r="BQ36" s="2338"/>
      <c r="BR36" s="2338"/>
      <c r="BS36" s="2338"/>
      <c r="BT36" s="2338"/>
      <c r="BU36" s="2338"/>
      <c r="BV36" s="2338"/>
      <c r="BW36" s="2338"/>
      <c r="BX36" s="2338"/>
      <c r="BY36" s="2338"/>
      <c r="BZ36" s="2338"/>
      <c r="CA36" s="2338"/>
      <c r="CB36" s="2338"/>
      <c r="CC36" s="2338"/>
      <c r="CD36" s="2338"/>
      <c r="CE36" s="2338"/>
      <c r="CF36" s="2338"/>
      <c r="CG36" s="2338"/>
      <c r="CH36" s="2338"/>
      <c r="CI36" s="2338"/>
      <c r="CJ36" s="2338"/>
      <c r="CK36" s="2338"/>
      <c r="CL36" s="2338"/>
      <c r="CM36" s="2338"/>
      <c r="CN36" s="2338"/>
      <c r="CO36" s="2338"/>
      <c r="CP36" s="2338"/>
      <c r="CQ36" s="2338"/>
      <c r="CR36" s="2338"/>
      <c r="CS36" s="2338"/>
      <c r="CT36" s="2338"/>
      <c r="CU36" s="2338"/>
      <c r="CV36" s="2338"/>
      <c r="CW36" s="2338"/>
      <c r="CX36" s="2338"/>
      <c r="CY36" s="2338"/>
      <c r="CZ36" s="2338"/>
    </row>
    <row r="37" spans="1:104" s="2339" customFormat="1" outlineLevel="1">
      <c r="A37" s="2330" t="str">
        <f>A102</f>
        <v>Grocery (BHX)</v>
      </c>
      <c r="B37" s="2244">
        <f>B110</f>
        <v>0</v>
      </c>
      <c r="C37" s="2245">
        <f t="shared" ref="C37:H37" si="218">C110</f>
        <v>0</v>
      </c>
      <c r="D37" s="2245">
        <f t="shared" si="218"/>
        <v>163.97280000000001</v>
      </c>
      <c r="E37" s="2246">
        <f t="shared" si="218"/>
        <v>670.50124750000009</v>
      </c>
      <c r="F37" s="2246">
        <f t="shared" si="218"/>
        <v>2038.3761673356237</v>
      </c>
      <c r="G37" s="2246">
        <f t="shared" si="218"/>
        <v>4999.6287599999996</v>
      </c>
      <c r="H37" s="2246">
        <f t="shared" si="218"/>
        <v>7426.509502500001</v>
      </c>
      <c r="I37" s="2246">
        <f t="shared" ref="I37:Q37" si="219">I110</f>
        <v>6913.1803273700007</v>
      </c>
      <c r="J37" s="2246">
        <f t="shared" ca="1" si="219"/>
        <v>7974.1419000000005</v>
      </c>
      <c r="K37" s="2247">
        <f t="shared" ca="1" si="219"/>
        <v>10274.890976236</v>
      </c>
      <c r="L37" s="2331">
        <f t="shared" ca="1" si="219"/>
        <v>11481.287167252562</v>
      </c>
      <c r="M37" s="2331">
        <f t="shared" ca="1" si="219"/>
        <v>16315.026102694548</v>
      </c>
      <c r="N37" s="2331">
        <f t="shared" ca="1" si="219"/>
        <v>20444.030013391752</v>
      </c>
      <c r="O37" s="2331">
        <f t="shared" ca="1" si="219"/>
        <v>24889.871672244175</v>
      </c>
      <c r="P37" s="2331">
        <f t="shared" ca="1" si="219"/>
        <v>29201.407566972855</v>
      </c>
      <c r="Q37" s="2331">
        <f t="shared" ca="1" si="219"/>
        <v>32845.423175135365</v>
      </c>
      <c r="R37" s="2331"/>
      <c r="S37" s="2331"/>
      <c r="T37" s="2340">
        <v>34</v>
      </c>
      <c r="U37" s="2332"/>
      <c r="V37" s="2332"/>
      <c r="W37" s="2332"/>
      <c r="X37" s="2332"/>
      <c r="Y37" s="2332"/>
      <c r="Z37" s="2332"/>
      <c r="AA37" s="2332"/>
      <c r="AB37" s="2332"/>
      <c r="AC37" s="2332"/>
      <c r="AD37" s="2332"/>
      <c r="AE37" s="2332"/>
      <c r="AF37" s="2332"/>
      <c r="AG37" s="2333"/>
      <c r="AH37" s="2333"/>
      <c r="AI37" s="2333"/>
      <c r="AJ37" s="2333"/>
      <c r="AK37" s="2333">
        <v>0.19</v>
      </c>
      <c r="AL37" s="2333">
        <v>0.15</v>
      </c>
      <c r="AM37" s="2341">
        <v>0.15</v>
      </c>
      <c r="AN37" s="2332"/>
      <c r="AO37" s="2335"/>
      <c r="AP37" s="2332"/>
      <c r="AQ37" s="2332"/>
      <c r="AR37" s="2332"/>
      <c r="AS37" s="2335"/>
      <c r="AT37" s="2342"/>
      <c r="AU37" s="2332"/>
      <c r="AV37" s="2332"/>
      <c r="AW37" s="2336"/>
      <c r="AX37" s="2337"/>
      <c r="AY37" s="2337"/>
      <c r="AZ37" s="2337"/>
      <c r="BA37" s="2338"/>
      <c r="BB37" s="2338"/>
      <c r="BC37" s="2338"/>
      <c r="BD37" s="2338"/>
      <c r="BE37" s="2338"/>
      <c r="BF37" s="2338"/>
      <c r="BG37" s="2338"/>
      <c r="BH37" s="2338"/>
      <c r="BI37" s="2338"/>
      <c r="BJ37" s="2338"/>
      <c r="BK37" s="2338"/>
      <c r="BL37" s="2338"/>
      <c r="BM37" s="2338"/>
      <c r="BN37" s="2338"/>
      <c r="BO37" s="2338"/>
      <c r="BP37" s="2338"/>
      <c r="BQ37" s="2338"/>
      <c r="BR37" s="2338"/>
      <c r="BS37" s="2338"/>
      <c r="BT37" s="2338"/>
      <c r="BU37" s="2338"/>
      <c r="BV37" s="2338"/>
      <c r="BW37" s="2338"/>
      <c r="BX37" s="2338"/>
      <c r="BY37" s="2338"/>
      <c r="BZ37" s="2338"/>
      <c r="CA37" s="2338"/>
      <c r="CB37" s="2338"/>
      <c r="CC37" s="2338"/>
      <c r="CD37" s="2338"/>
      <c r="CE37" s="2338"/>
      <c r="CF37" s="2338"/>
      <c r="CG37" s="2338"/>
      <c r="CH37" s="2338"/>
      <c r="CI37" s="2338"/>
      <c r="CJ37" s="2338"/>
      <c r="CK37" s="2338"/>
      <c r="CL37" s="2338"/>
      <c r="CM37" s="2338"/>
      <c r="CN37" s="2338"/>
      <c r="CO37" s="2338"/>
      <c r="CP37" s="2338"/>
      <c r="CQ37" s="2338"/>
      <c r="CR37" s="2338"/>
      <c r="CS37" s="2338"/>
      <c r="CT37" s="2338"/>
      <c r="CU37" s="2338"/>
      <c r="CV37" s="2338"/>
      <c r="CW37" s="2338"/>
      <c r="CX37" s="2338"/>
      <c r="CY37" s="2338"/>
      <c r="CZ37" s="2338"/>
    </row>
    <row r="38" spans="1:104" s="2339" customFormat="1" outlineLevel="1">
      <c r="A38" s="2343" t="str">
        <f>A165</f>
        <v>Pharmacity (An Khang)</v>
      </c>
      <c r="B38" s="2244">
        <f t="shared" ref="B38:G38" si="220">B171</f>
        <v>0</v>
      </c>
      <c r="C38" s="2245">
        <f t="shared" si="220"/>
        <v>0</v>
      </c>
      <c r="D38" s="2245">
        <f t="shared" si="220"/>
        <v>0</v>
      </c>
      <c r="E38" s="2246">
        <f t="shared" si="220"/>
        <v>0</v>
      </c>
      <c r="F38" s="2246">
        <f t="shared" si="220"/>
        <v>0</v>
      </c>
      <c r="G38" s="2246">
        <f t="shared" si="220"/>
        <v>0</v>
      </c>
      <c r="H38" s="2246"/>
      <c r="I38" s="2246">
        <f>I171</f>
        <v>300</v>
      </c>
      <c r="J38" s="2246">
        <f t="shared" ref="J38:M38" si="221">J171</f>
        <v>477.40000000000003</v>
      </c>
      <c r="K38" s="2247">
        <f t="shared" si="221"/>
        <v>429.50520000000006</v>
      </c>
      <c r="L38" s="2331">
        <f t="shared" si="221"/>
        <v>571.98500121451616</v>
      </c>
      <c r="M38" s="2331">
        <f t="shared" si="221"/>
        <v>677.53919999999994</v>
      </c>
      <c r="N38" s="2331">
        <f t="shared" ref="N38" si="222">N171</f>
        <v>691.08998399999996</v>
      </c>
      <c r="O38" s="2331">
        <f t="shared" ref="O38:Q38" si="223">O171</f>
        <v>751.11386687999993</v>
      </c>
      <c r="P38" s="2331">
        <f t="shared" si="223"/>
        <v>905.83144292159989</v>
      </c>
      <c r="Q38" s="2331">
        <f t="shared" si="223"/>
        <v>1047.553164994752</v>
      </c>
      <c r="R38" s="2331"/>
      <c r="S38" s="2331"/>
      <c r="T38" s="2175">
        <v>35</v>
      </c>
      <c r="U38" s="2332"/>
      <c r="V38" s="2332"/>
      <c r="W38" s="2332"/>
      <c r="X38" s="2332"/>
      <c r="Y38" s="2332"/>
      <c r="Z38" s="2332"/>
      <c r="AA38" s="2332"/>
      <c r="AB38" s="2332"/>
      <c r="AC38" s="2332"/>
      <c r="AD38" s="2332"/>
      <c r="AE38" s="2332"/>
      <c r="AF38" s="2332"/>
      <c r="AG38" s="2333"/>
      <c r="AH38" s="2333"/>
      <c r="AI38" s="2333"/>
      <c r="AJ38" s="2333"/>
      <c r="AK38" s="2333"/>
      <c r="AL38" s="2333"/>
      <c r="AM38" s="2332"/>
      <c r="AN38" s="2332"/>
      <c r="AO38" s="2344"/>
      <c r="AP38" s="2334"/>
      <c r="AQ38" s="2334"/>
      <c r="AR38" s="2334"/>
      <c r="AS38" s="2345"/>
      <c r="AT38" s="2331"/>
      <c r="AU38" s="2331"/>
      <c r="AV38" s="2332"/>
      <c r="AW38" s="2346"/>
      <c r="AX38" s="2337"/>
      <c r="AY38" s="2347">
        <f ca="1">AY50-AX50</f>
        <v>81.46319833648181</v>
      </c>
      <c r="AZ38" s="2337"/>
      <c r="BA38" s="2338"/>
      <c r="BB38" s="2338"/>
      <c r="BC38" s="2338"/>
      <c r="BD38" s="2338"/>
      <c r="BE38" s="2338"/>
      <c r="BF38" s="2338"/>
      <c r="BG38" s="2338"/>
      <c r="BH38" s="2338"/>
      <c r="BI38" s="2338"/>
      <c r="BJ38" s="2338"/>
      <c r="BK38" s="2338"/>
      <c r="BL38" s="2338"/>
      <c r="BM38" s="2338"/>
      <c r="BN38" s="2338"/>
      <c r="BO38" s="2338"/>
      <c r="BP38" s="2338"/>
      <c r="BQ38" s="2338"/>
      <c r="BR38" s="2338"/>
      <c r="BS38" s="2338"/>
      <c r="BT38" s="2338"/>
      <c r="BU38" s="2338"/>
      <c r="BV38" s="2338"/>
      <c r="BW38" s="2338"/>
      <c r="BX38" s="2338"/>
      <c r="BY38" s="2338"/>
      <c r="BZ38" s="2338"/>
      <c r="CA38" s="2338"/>
      <c r="CB38" s="2338"/>
      <c r="CC38" s="2338"/>
      <c r="CD38" s="2338"/>
      <c r="CE38" s="2338"/>
      <c r="CF38" s="2338"/>
      <c r="CG38" s="2338"/>
      <c r="CH38" s="2338"/>
      <c r="CI38" s="2338"/>
      <c r="CJ38" s="2338"/>
      <c r="CK38" s="2338"/>
      <c r="CL38" s="2338"/>
      <c r="CM38" s="2338"/>
      <c r="CN38" s="2338"/>
      <c r="CO38" s="2338"/>
      <c r="CP38" s="2338"/>
      <c r="CQ38" s="2338"/>
      <c r="CR38" s="2338"/>
      <c r="CS38" s="2338"/>
      <c r="CT38" s="2338"/>
      <c r="CU38" s="2338"/>
      <c r="CV38" s="2338"/>
      <c r="CW38" s="2338"/>
      <c r="CX38" s="2338"/>
      <c r="CY38" s="2338"/>
      <c r="CZ38" s="2338"/>
    </row>
    <row r="39" spans="1:104" s="2339" customFormat="1" outlineLevel="1">
      <c r="A39" s="2343" t="s">
        <v>49</v>
      </c>
      <c r="B39" s="2244">
        <f t="shared" ref="B39:H39" si="224">B34-SUM(B36:B38)</f>
        <v>0</v>
      </c>
      <c r="C39" s="2245">
        <f t="shared" si="224"/>
        <v>0</v>
      </c>
      <c r="D39" s="2245">
        <f t="shared" si="224"/>
        <v>0</v>
      </c>
      <c r="E39" s="2246">
        <f t="shared" si="224"/>
        <v>0</v>
      </c>
      <c r="F39" s="2246">
        <f t="shared" si="224"/>
        <v>0</v>
      </c>
      <c r="G39" s="2246">
        <f t="shared" si="224"/>
        <v>0</v>
      </c>
      <c r="H39" s="2246">
        <f t="shared" si="224"/>
        <v>68.8713344443604</v>
      </c>
      <c r="I39" s="2246">
        <f t="shared" ref="I39:N39" si="225">I185</f>
        <v>151.85299999999998</v>
      </c>
      <c r="J39" s="2246">
        <f t="shared" si="225"/>
        <v>149.03314324454016</v>
      </c>
      <c r="K39" s="2247">
        <f t="shared" si="225"/>
        <v>160.64369999999997</v>
      </c>
      <c r="L39" s="2348">
        <f t="shared" si="225"/>
        <v>199.81245143374235</v>
      </c>
      <c r="M39" s="2348">
        <f t="shared" si="225"/>
        <v>214.0847693932954</v>
      </c>
      <c r="N39" s="2348">
        <f t="shared" si="225"/>
        <v>228.35708735284842</v>
      </c>
      <c r="O39" s="2348">
        <f t="shared" ref="O39:Q39" si="226">O185</f>
        <v>242.62940531240147</v>
      </c>
      <c r="P39" s="2348">
        <f t="shared" si="226"/>
        <v>256.90172327195449</v>
      </c>
      <c r="Q39" s="2348">
        <f t="shared" si="226"/>
        <v>271.17404123150754</v>
      </c>
      <c r="R39" s="2331"/>
      <c r="S39" s="2331"/>
      <c r="T39" s="2175">
        <v>36</v>
      </c>
      <c r="U39" s="2332"/>
      <c r="V39" s="2332"/>
      <c r="W39" s="2332"/>
      <c r="X39" s="2332"/>
      <c r="Y39" s="2332"/>
      <c r="Z39" s="2332"/>
      <c r="AA39" s="2332"/>
      <c r="AB39" s="2332"/>
      <c r="AC39" s="2332"/>
      <c r="AD39" s="2332"/>
      <c r="AE39" s="2332"/>
      <c r="AF39" s="2332"/>
      <c r="AG39" s="2331">
        <f t="shared" ref="AG39:AL39" si="227">AG34-AG86-AG110</f>
        <v>46.122364964480084</v>
      </c>
      <c r="AH39" s="2331">
        <f t="shared" si="227"/>
        <v>71.460789071700447</v>
      </c>
      <c r="AI39" s="2331">
        <f t="shared" si="227"/>
        <v>46.430289819619247</v>
      </c>
      <c r="AJ39" s="2331">
        <f t="shared" si="227"/>
        <v>70.536632736920637</v>
      </c>
      <c r="AK39" s="2331">
        <f t="shared" si="227"/>
        <v>54.283089593936893</v>
      </c>
      <c r="AL39" s="2331">
        <f t="shared" si="227"/>
        <v>43.780119092553832</v>
      </c>
      <c r="AM39" s="2331">
        <f ca="1">AM34-AM86-AM110</f>
        <v>310.04298930842879</v>
      </c>
      <c r="AN39" s="2331">
        <f ca="1">AN34-AN86-AN110</f>
        <v>1480.7474902074982</v>
      </c>
      <c r="AO39" s="2335"/>
      <c r="AP39" s="2332"/>
      <c r="AQ39" s="2332"/>
      <c r="AR39" s="2332"/>
      <c r="AS39" s="2335"/>
      <c r="AT39" s="2332"/>
      <c r="AU39" s="2332"/>
      <c r="AV39" s="2332"/>
      <c r="AW39" s="2336"/>
      <c r="AX39" s="2337"/>
      <c r="AY39" s="2347">
        <f>(AY54+AY55)-(AX54+AX55)</f>
        <v>31.947843473999967</v>
      </c>
      <c r="AZ39" s="2337"/>
      <c r="BA39" s="2338"/>
      <c r="BB39" s="2338"/>
      <c r="BC39" s="2338"/>
      <c r="BD39" s="2338"/>
      <c r="BE39" s="2338"/>
      <c r="BF39" s="2338"/>
      <c r="BG39" s="2338"/>
      <c r="BH39" s="2338"/>
      <c r="BI39" s="2338"/>
      <c r="BJ39" s="2338"/>
      <c r="BK39" s="2338"/>
      <c r="BL39" s="2338"/>
      <c r="BM39" s="2338"/>
      <c r="BN39" s="2338"/>
      <c r="BO39" s="2338"/>
      <c r="BP39" s="2338"/>
      <c r="BQ39" s="2338"/>
      <c r="BR39" s="2338"/>
      <c r="BS39" s="2338"/>
      <c r="BT39" s="2338"/>
      <c r="BU39" s="2338"/>
      <c r="BV39" s="2338"/>
      <c r="BW39" s="2338"/>
      <c r="BX39" s="2338"/>
      <c r="BY39" s="2338"/>
      <c r="BZ39" s="2338"/>
      <c r="CA39" s="2338"/>
      <c r="CB39" s="2338"/>
      <c r="CC39" s="2338"/>
      <c r="CD39" s="2338"/>
      <c r="CE39" s="2338"/>
      <c r="CF39" s="2338"/>
      <c r="CG39" s="2338"/>
      <c r="CH39" s="2338"/>
      <c r="CI39" s="2338"/>
      <c r="CJ39" s="2338"/>
      <c r="CK39" s="2338"/>
      <c r="CL39" s="2338"/>
      <c r="CM39" s="2338"/>
      <c r="CN39" s="2338"/>
      <c r="CO39" s="2338"/>
      <c r="CP39" s="2338"/>
      <c r="CQ39" s="2338"/>
      <c r="CR39" s="2338"/>
      <c r="CS39" s="2338"/>
      <c r="CT39" s="2338"/>
      <c r="CU39" s="2338"/>
      <c r="CV39" s="2338"/>
      <c r="CW39" s="2338"/>
      <c r="CX39" s="2338"/>
      <c r="CY39" s="2338"/>
      <c r="CZ39" s="2338"/>
    </row>
    <row r="40" spans="1:104" s="2339" customFormat="1" outlineLevel="1">
      <c r="A40" s="2343" t="s">
        <v>160</v>
      </c>
      <c r="B40" s="2244"/>
      <c r="C40" s="2245"/>
      <c r="D40" s="2245"/>
      <c r="E40" s="2246"/>
      <c r="F40" s="2246"/>
      <c r="G40" s="2246"/>
      <c r="H40" s="2246">
        <f>H34-H36-H37-H38-H39</f>
        <v>0</v>
      </c>
      <c r="I40" s="2246">
        <f ca="1">I34-SUM(I36:I39)</f>
        <v>1437.0006882024245</v>
      </c>
      <c r="J40" s="2246"/>
      <c r="K40" s="2247">
        <f t="shared" ref="K40:Q40" si="228">J40*0.8</f>
        <v>0</v>
      </c>
      <c r="L40" s="2348">
        <f t="shared" si="228"/>
        <v>0</v>
      </c>
      <c r="M40" s="2348">
        <f t="shared" si="228"/>
        <v>0</v>
      </c>
      <c r="N40" s="2348">
        <f t="shared" si="228"/>
        <v>0</v>
      </c>
      <c r="O40" s="2348">
        <f t="shared" si="228"/>
        <v>0</v>
      </c>
      <c r="P40" s="2348">
        <f t="shared" si="228"/>
        <v>0</v>
      </c>
      <c r="Q40" s="2348">
        <f t="shared" si="228"/>
        <v>0</v>
      </c>
      <c r="R40" s="2331"/>
      <c r="S40" s="2331"/>
      <c r="T40" s="2175">
        <v>37</v>
      </c>
      <c r="U40" s="2332"/>
      <c r="V40" s="2332"/>
      <c r="W40" s="2332"/>
      <c r="X40" s="2332"/>
      <c r="Y40" s="2332"/>
      <c r="Z40" s="2332"/>
      <c r="AA40" s="2332"/>
      <c r="AB40" s="2332"/>
      <c r="AC40" s="2332"/>
      <c r="AD40" s="2332"/>
      <c r="AE40" s="2332"/>
      <c r="AF40" s="2332"/>
      <c r="AG40" s="2333"/>
      <c r="AH40" s="2333"/>
      <c r="AI40" s="2333"/>
      <c r="AJ40" s="2333"/>
      <c r="AK40" s="2333"/>
      <c r="AL40" s="2333"/>
      <c r="AM40" s="2332"/>
      <c r="AN40" s="2332"/>
      <c r="AO40" s="2335"/>
      <c r="AP40" s="2332"/>
      <c r="AQ40" s="2332"/>
      <c r="AR40" s="2332"/>
      <c r="AS40" s="2335"/>
      <c r="AT40" s="2332"/>
      <c r="AU40" s="2332"/>
      <c r="AV40" s="2332"/>
      <c r="AW40" s="2336"/>
      <c r="AX40" s="2337"/>
      <c r="AY40" s="2347">
        <f ca="1">AY57-AX57</f>
        <v>30.62877072451829</v>
      </c>
      <c r="AZ40" s="2337"/>
      <c r="BA40" s="2338"/>
      <c r="BB40" s="2338"/>
      <c r="BC40" s="2338"/>
      <c r="BD40" s="2338"/>
      <c r="BE40" s="2338"/>
      <c r="BF40" s="2338"/>
      <c r="BG40" s="2338"/>
      <c r="BH40" s="2338"/>
      <c r="BI40" s="2338"/>
      <c r="BJ40" s="2338"/>
      <c r="BK40" s="2338"/>
      <c r="BL40" s="2338"/>
      <c r="BM40" s="2338"/>
      <c r="BN40" s="2338"/>
      <c r="BO40" s="2338"/>
      <c r="BP40" s="2338"/>
      <c r="BQ40" s="2338"/>
      <c r="BR40" s="2338"/>
      <c r="BS40" s="2338"/>
      <c r="BT40" s="2338"/>
      <c r="BU40" s="2338"/>
      <c r="BV40" s="2338"/>
      <c r="BW40" s="2338"/>
      <c r="BX40" s="2338"/>
      <c r="BY40" s="2338"/>
      <c r="BZ40" s="2338"/>
      <c r="CA40" s="2338"/>
      <c r="CB40" s="2338"/>
      <c r="CC40" s="2338"/>
      <c r="CD40" s="2338"/>
      <c r="CE40" s="2338"/>
      <c r="CF40" s="2338"/>
      <c r="CG40" s="2338"/>
      <c r="CH40" s="2338"/>
      <c r="CI40" s="2338"/>
      <c r="CJ40" s="2338"/>
      <c r="CK40" s="2338"/>
      <c r="CL40" s="2338"/>
      <c r="CM40" s="2338"/>
      <c r="CN40" s="2338"/>
      <c r="CO40" s="2338"/>
      <c r="CP40" s="2338"/>
      <c r="CQ40" s="2338"/>
      <c r="CR40" s="2338"/>
      <c r="CS40" s="2338"/>
      <c r="CT40" s="2338"/>
      <c r="CU40" s="2338"/>
      <c r="CV40" s="2338"/>
      <c r="CW40" s="2338"/>
      <c r="CX40" s="2338"/>
      <c r="CY40" s="2338"/>
      <c r="CZ40" s="2338"/>
    </row>
    <row r="41" spans="1:104" s="2255" customFormat="1" outlineLevel="1">
      <c r="A41" s="2243" t="s">
        <v>161</v>
      </c>
      <c r="B41" s="2244">
        <f>'FS Year'!N11</f>
        <v>-2351.0947199970001</v>
      </c>
      <c r="C41" s="2245">
        <f>'FS Year'!O11</f>
        <v>-4287.696260226</v>
      </c>
      <c r="D41" s="2245">
        <f>'FS Year'!P11</f>
        <v>-7017.0613213659999</v>
      </c>
      <c r="E41" s="2246">
        <f>'FS Year'!Q11</f>
        <v>-9659.7411887559992</v>
      </c>
      <c r="F41" s="2246">
        <f>'FS Year'!R11</f>
        <v>-12437.282718212</v>
      </c>
      <c r="G41" s="2246">
        <f>'FS Year'!S11</f>
        <v>-15333.798830787</v>
      </c>
      <c r="H41" s="2246">
        <f>'FS Year'!T11</f>
        <v>-17914.173302345</v>
      </c>
      <c r="I41" s="2246">
        <f>'FS Year'!U11</f>
        <v>-21789.998975781</v>
      </c>
      <c r="J41" s="2246">
        <f>'FS Year'!V11</f>
        <v>-20917.223252948999</v>
      </c>
      <c r="K41" s="2247">
        <f>'FS Year'!W11</f>
        <v>-19849.837609882001</v>
      </c>
      <c r="L41" s="2250">
        <f t="shared" ref="L41:Q42" ca="1" si="229">K41*L$43/K$43</f>
        <v>-20550.33116467328</v>
      </c>
      <c r="M41" s="2250">
        <f t="shared" ca="1" si="229"/>
        <v>-25157.038895568781</v>
      </c>
      <c r="N41" s="2250">
        <f t="shared" ca="1" si="229"/>
        <v>-29160.551392820907</v>
      </c>
      <c r="O41" s="2250">
        <f t="shared" ca="1" si="229"/>
        <v>-34041.07955355099</v>
      </c>
      <c r="P41" s="2250">
        <f t="shared" ca="1" si="229"/>
        <v>-38113.316953776732</v>
      </c>
      <c r="Q41" s="2250">
        <f t="shared" ca="1" si="229"/>
        <v>-41688.699122028236</v>
      </c>
      <c r="R41" s="2250"/>
      <c r="S41" s="2250"/>
      <c r="T41" s="2175">
        <v>38</v>
      </c>
      <c r="U41" s="2250"/>
      <c r="V41" s="2250"/>
      <c r="W41" s="2250"/>
      <c r="X41" s="2250"/>
      <c r="Y41" s="2250"/>
      <c r="Z41" s="2250"/>
      <c r="AA41" s="2250"/>
      <c r="AB41" s="2250"/>
      <c r="AC41" s="2250"/>
      <c r="AD41" s="2250"/>
      <c r="AE41" s="2250"/>
      <c r="AF41" s="2250"/>
      <c r="AG41" s="2250"/>
      <c r="AH41" s="2250"/>
      <c r="AI41" s="2250"/>
      <c r="AJ41" s="2250"/>
      <c r="AK41" s="2250"/>
      <c r="AL41" s="2250"/>
      <c r="AM41" s="2250"/>
      <c r="AN41" s="2250"/>
      <c r="AO41" s="2251"/>
      <c r="AP41" s="2248"/>
      <c r="AQ41" s="2248"/>
      <c r="AR41" s="2248"/>
      <c r="AS41" s="2251"/>
      <c r="AT41" s="2250"/>
      <c r="AU41" s="2250"/>
      <c r="AV41" s="2250"/>
      <c r="AW41" s="2252"/>
      <c r="AX41" s="2253"/>
      <c r="AY41" s="2253"/>
      <c r="AZ41" s="2253"/>
      <c r="BA41" s="2254"/>
      <c r="BB41" s="2254"/>
      <c r="BC41" s="2254"/>
      <c r="BD41" s="2254"/>
      <c r="BE41" s="2254"/>
      <c r="BF41" s="2254"/>
      <c r="BG41" s="2254"/>
      <c r="BH41" s="2254"/>
      <c r="BI41" s="2254"/>
      <c r="BJ41" s="2254"/>
      <c r="BK41" s="2254"/>
      <c r="BL41" s="2254"/>
      <c r="BM41" s="2254"/>
      <c r="BN41" s="2254"/>
      <c r="BO41" s="2254"/>
      <c r="BP41" s="2254"/>
      <c r="BQ41" s="2254"/>
      <c r="BR41" s="2254"/>
      <c r="BS41" s="2254"/>
      <c r="BT41" s="2254"/>
      <c r="BU41" s="2254"/>
      <c r="BV41" s="2254"/>
      <c r="BW41" s="2254"/>
      <c r="BX41" s="2254"/>
      <c r="BY41" s="2254"/>
      <c r="BZ41" s="2254"/>
      <c r="CA41" s="2254"/>
      <c r="CB41" s="2254"/>
      <c r="CC41" s="2254"/>
      <c r="CD41" s="2254"/>
      <c r="CE41" s="2254"/>
      <c r="CF41" s="2254"/>
      <c r="CG41" s="2254"/>
      <c r="CH41" s="2254"/>
      <c r="CI41" s="2254"/>
      <c r="CJ41" s="2254"/>
      <c r="CK41" s="2254"/>
      <c r="CL41" s="2254"/>
      <c r="CM41" s="2254"/>
      <c r="CN41" s="2254"/>
      <c r="CO41" s="2254"/>
      <c r="CP41" s="2254"/>
      <c r="CQ41" s="2254"/>
      <c r="CR41" s="2254"/>
      <c r="CS41" s="2254"/>
      <c r="CT41" s="2254"/>
      <c r="CU41" s="2254"/>
      <c r="CV41" s="2254"/>
      <c r="CW41" s="2254"/>
      <c r="CX41" s="2254"/>
      <c r="CY41" s="2254"/>
      <c r="CZ41" s="2254"/>
    </row>
    <row r="42" spans="1:104" s="2255" customFormat="1" outlineLevel="1">
      <c r="A42" s="2243" t="s">
        <v>162</v>
      </c>
      <c r="B42" s="2244">
        <f>'FS Year'!N12</f>
        <v>-249.31530653499999</v>
      </c>
      <c r="C42" s="2245">
        <f>'FS Year'!O12</f>
        <v>-934.77694112400002</v>
      </c>
      <c r="D42" s="2245">
        <f>'FS Year'!P12</f>
        <v>-1345.4973815589999</v>
      </c>
      <c r="E42" s="2246">
        <f>'FS Year'!Q12</f>
        <v>-1761.6139000799999</v>
      </c>
      <c r="F42" s="2246">
        <f>'FS Year'!R12</f>
        <v>-2073.782880058</v>
      </c>
      <c r="G42" s="2246">
        <f>'FS Year'!S12</f>
        <v>-3404.431838167</v>
      </c>
      <c r="H42" s="2246">
        <f>'FS Year'!T12</f>
        <v>-3823.390074765</v>
      </c>
      <c r="I42" s="2246">
        <f>'FS Year'!U12</f>
        <v>-2348.039543287</v>
      </c>
      <c r="J42" s="2246">
        <f>'FS Year'!V12</f>
        <v>-1196.355624265</v>
      </c>
      <c r="K42" s="2247">
        <f>'FS Year'!W12</f>
        <v>-3565.7675831020001</v>
      </c>
      <c r="L42" s="2250">
        <f t="shared" ca="1" si="229"/>
        <v>-3691.6022251246195</v>
      </c>
      <c r="M42" s="2250">
        <f t="shared" ca="1" si="229"/>
        <v>-4519.1379165740464</v>
      </c>
      <c r="N42" s="2250">
        <f t="shared" ca="1" si="229"/>
        <v>-5238.3173558123008</v>
      </c>
      <c r="O42" s="2250">
        <f t="shared" ca="1" si="229"/>
        <v>-6115.0413596038461</v>
      </c>
      <c r="P42" s="2250">
        <f t="shared" ca="1" si="229"/>
        <v>-6846.566342215875</v>
      </c>
      <c r="Q42" s="2250">
        <f t="shared" ca="1" si="229"/>
        <v>-7488.8376838416234</v>
      </c>
      <c r="R42" s="2250"/>
      <c r="S42" s="2250"/>
      <c r="T42" s="2175">
        <v>39</v>
      </c>
      <c r="U42" s="2250"/>
      <c r="V42" s="2250"/>
      <c r="W42" s="2250"/>
      <c r="X42" s="2250"/>
      <c r="Y42" s="2250"/>
      <c r="Z42" s="2250"/>
      <c r="AA42" s="2250"/>
      <c r="AB42" s="2250"/>
      <c r="AC42" s="2250"/>
      <c r="AD42" s="2250"/>
      <c r="AE42" s="2250"/>
      <c r="AF42" s="2250"/>
      <c r="AG42" s="2250"/>
      <c r="AH42" s="2250"/>
      <c r="AI42" s="2250"/>
      <c r="AJ42" s="2250"/>
      <c r="AK42" s="2250"/>
      <c r="AL42" s="2250"/>
      <c r="AM42" s="2250"/>
      <c r="AN42" s="2250"/>
      <c r="AO42" s="2251"/>
      <c r="AP42" s="2248"/>
      <c r="AQ42" s="2248"/>
      <c r="AR42" s="2248"/>
      <c r="AS42" s="2251"/>
      <c r="AT42" s="2250"/>
      <c r="AU42" s="2250"/>
      <c r="AV42" s="2250"/>
      <c r="AW42" s="2252"/>
      <c r="AX42" s="2253"/>
      <c r="AY42" s="2253"/>
      <c r="AZ42" s="2253"/>
      <c r="BA42" s="2254"/>
      <c r="BB42" s="2254"/>
      <c r="BC42" s="2254"/>
      <c r="BD42" s="2254"/>
      <c r="BE42" s="2254"/>
      <c r="BF42" s="2254"/>
      <c r="BG42" s="2254"/>
      <c r="BH42" s="2254"/>
      <c r="BI42" s="2254"/>
      <c r="BJ42" s="2254"/>
      <c r="BK42" s="2254"/>
      <c r="BL42" s="2254"/>
      <c r="BM42" s="2254"/>
      <c r="BN42" s="2254"/>
      <c r="BO42" s="2254"/>
      <c r="BP42" s="2254"/>
      <c r="BQ42" s="2254"/>
      <c r="BR42" s="2254"/>
      <c r="BS42" s="2254"/>
      <c r="BT42" s="2254"/>
      <c r="BU42" s="2254"/>
      <c r="BV42" s="2254"/>
      <c r="BW42" s="2254"/>
      <c r="BX42" s="2254"/>
      <c r="BY42" s="2254"/>
      <c r="BZ42" s="2254"/>
      <c r="CA42" s="2254"/>
      <c r="CB42" s="2254"/>
      <c r="CC42" s="2254"/>
      <c r="CD42" s="2254"/>
      <c r="CE42" s="2254"/>
      <c r="CF42" s="2254"/>
      <c r="CG42" s="2254"/>
      <c r="CH42" s="2254"/>
      <c r="CI42" s="2254"/>
      <c r="CJ42" s="2254"/>
      <c r="CK42" s="2254"/>
      <c r="CL42" s="2254"/>
      <c r="CM42" s="2254"/>
      <c r="CN42" s="2254"/>
      <c r="CO42" s="2254"/>
      <c r="CP42" s="2254"/>
      <c r="CQ42" s="2254"/>
      <c r="CR42" s="2254"/>
      <c r="CS42" s="2254"/>
      <c r="CT42" s="2254"/>
      <c r="CU42" s="2254"/>
      <c r="CV42" s="2254"/>
      <c r="CW42" s="2254"/>
      <c r="CX42" s="2254"/>
      <c r="CY42" s="2254"/>
      <c r="CZ42" s="2254"/>
    </row>
    <row r="43" spans="1:104" s="2360" customFormat="1">
      <c r="A43" s="2349" t="s">
        <v>163</v>
      </c>
      <c r="B43" s="2350">
        <f t="shared" ref="B43:K43" si="230">SUM(B41:B42)</f>
        <v>-2600.4100265320003</v>
      </c>
      <c r="C43" s="2351">
        <f t="shared" si="230"/>
        <v>-5222.4732013499997</v>
      </c>
      <c r="D43" s="2351">
        <f t="shared" si="230"/>
        <v>-8362.558702925</v>
      </c>
      <c r="E43" s="2351">
        <f t="shared" si="230"/>
        <v>-11421.355088835999</v>
      </c>
      <c r="F43" s="2351">
        <f t="shared" si="230"/>
        <v>-14511.065598270001</v>
      </c>
      <c r="G43" s="2351">
        <f t="shared" si="230"/>
        <v>-18738.230668953998</v>
      </c>
      <c r="H43" s="2351">
        <f t="shared" si="230"/>
        <v>-21737.56337711</v>
      </c>
      <c r="I43" s="2351">
        <f t="shared" si="230"/>
        <v>-24138.038519067999</v>
      </c>
      <c r="J43" s="2351">
        <f t="shared" si="230"/>
        <v>-22113.578877214</v>
      </c>
      <c r="K43" s="2352">
        <f t="shared" si="230"/>
        <v>-23415.605192984</v>
      </c>
      <c r="L43" s="2353">
        <f t="shared" ref="L43:Q43" ca="1" si="231">L88+L112+L173+L187</f>
        <v>-24241.933389797898</v>
      </c>
      <c r="M43" s="2353">
        <f t="shared" ca="1" si="231"/>
        <v>-29676.176812142821</v>
      </c>
      <c r="N43" s="2353">
        <f t="shared" ca="1" si="231"/>
        <v>-34398.868748633198</v>
      </c>
      <c r="O43" s="2353">
        <f t="shared" ca="1" si="231"/>
        <v>-40156.120913154824</v>
      </c>
      <c r="P43" s="2353">
        <f t="shared" ca="1" si="231"/>
        <v>-44959.883295992593</v>
      </c>
      <c r="Q43" s="2353">
        <f t="shared" ca="1" si="231"/>
        <v>-49177.536805869844</v>
      </c>
      <c r="R43" s="2353">
        <f ca="1">R34*10^3/(FS!$M$44/10)</f>
        <v>2869.0890412766826</v>
      </c>
      <c r="S43" s="2353">
        <f ca="1">S34*10^3/(FS!$M$44/10)</f>
        <v>3210.6472604762876</v>
      </c>
      <c r="T43" s="2175">
        <v>40</v>
      </c>
      <c r="U43" s="2353"/>
      <c r="V43" s="2353"/>
      <c r="W43" s="2353"/>
      <c r="X43" s="2353"/>
      <c r="Y43" s="2353"/>
      <c r="Z43" s="2353"/>
      <c r="AA43" s="2353"/>
      <c r="AB43" s="2353"/>
      <c r="AC43" s="2353"/>
      <c r="AD43" s="2353"/>
      <c r="AE43" s="2353"/>
      <c r="AF43" s="2353"/>
      <c r="AG43" s="2353">
        <f>'quý 1.22'!AH21+'quý 1.22'!AH22</f>
        <v>-5333.4965086370003</v>
      </c>
      <c r="AH43" s="2353">
        <f>'quý 1.22'!AI21+'quý 1.22'!AI22</f>
        <v>-5645.8538106739998</v>
      </c>
      <c r="AI43" s="2353">
        <f>'quý 1.22'!AJ21+'quý 1.22'!AJ22</f>
        <v>-5245.6146872830004</v>
      </c>
      <c r="AJ43" s="2353">
        <f>'quý 1.22'!AK21+'quý 1.22'!AK22</f>
        <v>-5518.9680401409996</v>
      </c>
      <c r="AK43" s="2353">
        <f>'quý 1.22'!AL21+'quý 1.22'!AL22</f>
        <v>-6275.4729509810004</v>
      </c>
      <c r="AL43" s="2353">
        <f>'quý 1.22'!AM21+'quý 1.22'!AM22</f>
        <v>-5308.2069969029999</v>
      </c>
      <c r="AM43" s="2353">
        <f>'quý 1.22'!AN21+'quý 1.22'!AN22</f>
        <v>-5658.8262519999998</v>
      </c>
      <c r="AN43" s="2353">
        <f>'quý 1.22'!AO21+'quý 1.22'!AO22</f>
        <v>-6895.531505252</v>
      </c>
      <c r="AO43" s="2354">
        <f>'quý 1.22'!AP21+'quý 1.22'!AP22</f>
        <v>-5109.378202631</v>
      </c>
      <c r="AP43" s="2355">
        <f ca="1">AP23/AO23-1</f>
        <v>0.14924862315609633</v>
      </c>
      <c r="AQ43" s="2353"/>
      <c r="AR43" s="2353"/>
      <c r="AS43" s="2354"/>
      <c r="AT43" s="2353"/>
      <c r="AU43" s="2353"/>
      <c r="AV43" s="2353"/>
      <c r="AW43" s="2356"/>
      <c r="AX43" s="2357"/>
      <c r="AY43" s="2357"/>
      <c r="AZ43" s="2358"/>
      <c r="BA43" s="2359"/>
      <c r="BB43" s="2359"/>
      <c r="BC43" s="2359"/>
      <c r="BD43" s="2359"/>
      <c r="BE43" s="2359"/>
      <c r="BF43" s="2359"/>
      <c r="BG43" s="2359"/>
      <c r="BH43" s="2359"/>
      <c r="BI43" s="2359"/>
      <c r="BJ43" s="2359"/>
      <c r="BK43" s="2359"/>
      <c r="BL43" s="2359"/>
      <c r="BM43" s="2359"/>
      <c r="BN43" s="2359"/>
      <c r="BO43" s="2359"/>
      <c r="BP43" s="2359"/>
      <c r="BQ43" s="2359"/>
      <c r="BR43" s="2359"/>
      <c r="BS43" s="2359"/>
      <c r="BT43" s="2359"/>
      <c r="BU43" s="2359"/>
      <c r="BV43" s="2359"/>
      <c r="BW43" s="2359"/>
      <c r="BX43" s="2359"/>
      <c r="BY43" s="2359"/>
      <c r="BZ43" s="2359"/>
      <c r="CA43" s="2359"/>
      <c r="CB43" s="2359"/>
      <c r="CC43" s="2359"/>
      <c r="CD43" s="2359"/>
      <c r="CE43" s="2359"/>
      <c r="CF43" s="2359"/>
      <c r="CG43" s="2359"/>
      <c r="CH43" s="2359"/>
      <c r="CI43" s="2359"/>
      <c r="CJ43" s="2359"/>
      <c r="CK43" s="2359"/>
      <c r="CL43" s="2359"/>
      <c r="CM43" s="2359"/>
      <c r="CN43" s="2359"/>
      <c r="CO43" s="2359"/>
      <c r="CP43" s="2359"/>
      <c r="CQ43" s="2359"/>
      <c r="CR43" s="2359"/>
      <c r="CS43" s="2359"/>
      <c r="CT43" s="2359"/>
      <c r="CU43" s="2359"/>
      <c r="CV43" s="2359"/>
      <c r="CW43" s="2359"/>
      <c r="CX43" s="2359"/>
      <c r="CY43" s="2359"/>
      <c r="CZ43" s="2359"/>
    </row>
    <row r="44" spans="1:104" s="2239" customFormat="1">
      <c r="A44" s="2320" t="s">
        <v>164</v>
      </c>
      <c r="B44" s="2321">
        <f t="shared" ref="B44:Q44" si="232">B43/B6</f>
        <v>-0.1029753895695891</v>
      </c>
      <c r="C44" s="2322">
        <f t="shared" si="232"/>
        <v>-0.11706081766252012</v>
      </c>
      <c r="D44" s="2322">
        <f t="shared" si="232"/>
        <v>-0.12605642728006444</v>
      </c>
      <c r="E44" s="2241">
        <f t="shared" si="232"/>
        <v>-0.13201393037713346</v>
      </c>
      <c r="F44" s="2241">
        <f t="shared" si="232"/>
        <v>-0.14202273521667422</v>
      </c>
      <c r="G44" s="2241">
        <f t="shared" si="232"/>
        <v>-0.17262936703449572</v>
      </c>
      <c r="H44" s="2241">
        <f t="shared" si="232"/>
        <v>-0.17678837179608181</v>
      </c>
      <c r="I44" s="2241">
        <f t="shared" ca="1" si="232"/>
        <v>-0.18093833110701157</v>
      </c>
      <c r="J44" s="2241">
        <f t="shared" si="232"/>
        <v>-0.18695991230610426</v>
      </c>
      <c r="K44" s="2323">
        <f t="shared" si="232"/>
        <v>-0.17429957013498124</v>
      </c>
      <c r="L44" s="2324">
        <f t="shared" ca="1" si="232"/>
        <v>-0.15189968720295707</v>
      </c>
      <c r="M44" s="2324">
        <f t="shared" ca="1" si="232"/>
        <v>-0.15297211249996343</v>
      </c>
      <c r="N44" s="2324">
        <f t="shared" ca="1" si="232"/>
        <v>-0.15453374586418062</v>
      </c>
      <c r="O44" s="2324">
        <f t="shared" ca="1" si="232"/>
        <v>-0.15656263173492352</v>
      </c>
      <c r="P44" s="2324">
        <f t="shared" ca="1" si="232"/>
        <v>-0.15753011290456836</v>
      </c>
      <c r="Q44" s="2324">
        <f t="shared" ca="1" si="232"/>
        <v>-0.15758642906742487</v>
      </c>
      <c r="R44" s="2361">
        <f ca="1">43300/R43</f>
        <v>15.091898291428571</v>
      </c>
      <c r="S44" s="2361">
        <f ca="1">43300/S43</f>
        <v>13.486377196595743</v>
      </c>
      <c r="T44" s="2175">
        <v>41</v>
      </c>
      <c r="U44" s="2325"/>
      <c r="V44" s="2325"/>
      <c r="W44" s="2325"/>
      <c r="X44" s="2325"/>
      <c r="Y44" s="2325"/>
      <c r="Z44" s="2325"/>
      <c r="AA44" s="2325"/>
      <c r="AB44" s="2325"/>
      <c r="AC44" s="2325"/>
      <c r="AD44" s="2325"/>
      <c r="AE44" s="2325"/>
      <c r="AF44" s="2325"/>
      <c r="AG44" s="2362">
        <v>-2505.1495</v>
      </c>
      <c r="AH44" s="2362">
        <f>-4990.94-AG44</f>
        <v>-2485.7904999999996</v>
      </c>
      <c r="AI44" s="2362">
        <f>-7413.0934625-SUM(AG44:AH44)</f>
        <v>-2422.1534625000004</v>
      </c>
      <c r="AJ44" s="2362">
        <f>-9699.36910764-SUM(AG44:AI44)</f>
        <v>-2286.2756451399991</v>
      </c>
      <c r="AK44" s="2362">
        <v>-3022.9973763100002</v>
      </c>
      <c r="AL44" s="2362">
        <f>-5038.66521-SUM(AK44)</f>
        <v>-2015.66783369</v>
      </c>
      <c r="AM44" s="2362">
        <f>-7439.404965986-SUM(AK44:AL44)</f>
        <v>-2400.7397559860001</v>
      </c>
      <c r="AN44" s="2362">
        <f>-9492.067901614-SUM(AK44:AM44)</f>
        <v>-2052.662935628</v>
      </c>
      <c r="AO44" s="2327"/>
      <c r="AP44" s="2325"/>
      <c r="AQ44" s="2325"/>
      <c r="AR44" s="2325"/>
      <c r="AS44" s="2327"/>
      <c r="AT44" s="2325"/>
      <c r="AU44" s="2325"/>
      <c r="AV44" s="2325"/>
      <c r="AW44" s="2328"/>
      <c r="AX44" s="2329"/>
      <c r="AY44" s="2329"/>
      <c r="AZ44" s="2329"/>
      <c r="BA44" s="2232"/>
      <c r="BB44" s="2232"/>
      <c r="BC44" s="2232"/>
      <c r="BD44" s="2232"/>
      <c r="BE44" s="2232"/>
      <c r="BF44" s="2232"/>
      <c r="BG44" s="2232"/>
      <c r="BH44" s="2232"/>
      <c r="BI44" s="2232"/>
      <c r="BJ44" s="2232"/>
      <c r="BK44" s="2232"/>
      <c r="BL44" s="2232"/>
      <c r="BM44" s="2232"/>
      <c r="BN44" s="2232"/>
      <c r="BO44" s="2232"/>
      <c r="BP44" s="2232"/>
      <c r="BQ44" s="2232"/>
      <c r="BR44" s="2232"/>
      <c r="BS44" s="2232"/>
      <c r="BT44" s="2232"/>
      <c r="BU44" s="2232"/>
      <c r="BV44" s="2232"/>
      <c r="BW44" s="2232"/>
      <c r="BX44" s="2232"/>
      <c r="BY44" s="2232"/>
      <c r="BZ44" s="2232"/>
      <c r="CA44" s="2232"/>
      <c r="CB44" s="2232"/>
      <c r="CC44" s="2232"/>
      <c r="CD44" s="2232"/>
      <c r="CE44" s="2232"/>
      <c r="CF44" s="2232"/>
      <c r="CG44" s="2232"/>
      <c r="CH44" s="2232"/>
      <c r="CI44" s="2232"/>
      <c r="CJ44" s="2232"/>
      <c r="CK44" s="2232"/>
      <c r="CL44" s="2232"/>
      <c r="CM44" s="2232"/>
      <c r="CN44" s="2232"/>
      <c r="CO44" s="2232"/>
      <c r="CP44" s="2232"/>
      <c r="CQ44" s="2232"/>
      <c r="CR44" s="2232"/>
      <c r="CS44" s="2232"/>
      <c r="CT44" s="2232"/>
      <c r="CU44" s="2232"/>
      <c r="CV44" s="2232"/>
      <c r="CW44" s="2232"/>
      <c r="CX44" s="2232"/>
      <c r="CY44" s="2232"/>
      <c r="CZ44" s="2232"/>
    </row>
    <row r="45" spans="1:104" s="2185" customFormat="1">
      <c r="A45" s="2363" t="str">
        <f>A90</f>
        <v>Labor cost</v>
      </c>
      <c r="B45" s="2300"/>
      <c r="C45" s="2301"/>
      <c r="D45" s="2301"/>
      <c r="E45" s="2301"/>
      <c r="F45" s="2301"/>
      <c r="G45" s="2301"/>
      <c r="H45" s="2196">
        <f>SUM(AG44:AJ44)</f>
        <v>-9699.3691076399991</v>
      </c>
      <c r="I45" s="2196">
        <f>SUM(AK44:AN44)</f>
        <v>-9492.0679016140002</v>
      </c>
      <c r="J45" s="2196"/>
      <c r="K45" s="2364"/>
      <c r="L45" s="2181"/>
      <c r="M45" s="2181"/>
      <c r="N45" s="2181"/>
      <c r="O45" s="2181"/>
      <c r="P45" s="2181"/>
      <c r="Q45" s="2181"/>
      <c r="R45" s="2182">
        <f>63364/I197</f>
        <v>15.448174454744569</v>
      </c>
      <c r="S45" s="2181"/>
      <c r="T45" s="2175">
        <v>42</v>
      </c>
      <c r="U45" s="2181"/>
      <c r="V45" s="2181"/>
      <c r="W45" s="2181"/>
      <c r="X45" s="2181"/>
      <c r="Y45" s="2181"/>
      <c r="Z45" s="2181"/>
      <c r="AA45" s="2181"/>
      <c r="AB45" s="2181"/>
      <c r="AC45" s="2181"/>
      <c r="AD45" s="2181"/>
      <c r="AE45" s="2181"/>
      <c r="AF45" s="2181"/>
      <c r="AG45" s="2365">
        <v>-656.01939727199999</v>
      </c>
      <c r="AH45" s="2365">
        <f>-1375.023-AG45</f>
        <v>-719.00360272799992</v>
      </c>
      <c r="AI45" s="2365">
        <f>-2123.186409-SUM(AG45:AH45)</f>
        <v>-748.163409</v>
      </c>
      <c r="AJ45" s="2365">
        <f>-2920.71360841-SUM(AG45:AI45)</f>
        <v>-797.52719940999987</v>
      </c>
      <c r="AK45" s="2365">
        <v>-857.82523000000003</v>
      </c>
      <c r="AL45" s="2365">
        <f>-1981.919301-SUM(AK45)</f>
        <v>-1124.094071</v>
      </c>
      <c r="AM45" s="2365">
        <f>-2585.762471253-SUM(AK45:AL45)</f>
        <v>-603.84317025300015</v>
      </c>
      <c r="AN45" s="2365">
        <f>-3582.424818828-SUM(AK45:AM45)</f>
        <v>-996.66234757499979</v>
      </c>
      <c r="AO45" s="2366"/>
      <c r="AP45" s="2181"/>
      <c r="AQ45" s="2181"/>
      <c r="AR45" s="2181"/>
      <c r="AS45" s="2366"/>
      <c r="AT45" s="2181"/>
      <c r="AU45" s="2181"/>
      <c r="AV45" s="2181"/>
      <c r="AW45" s="2367"/>
      <c r="AX45" s="2368"/>
      <c r="AY45" s="2368"/>
      <c r="AZ45" s="2368"/>
      <c r="BA45" s="2180"/>
      <c r="BB45" s="2180"/>
      <c r="BC45" s="2180"/>
      <c r="BD45" s="2180"/>
      <c r="BE45" s="2180"/>
      <c r="BF45" s="2180"/>
      <c r="BG45" s="2180"/>
      <c r="BH45" s="2180"/>
      <c r="BI45" s="2180"/>
      <c r="BJ45" s="2180"/>
      <c r="BK45" s="2180"/>
      <c r="BL45" s="2180"/>
      <c r="BM45" s="2180"/>
      <c r="BN45" s="2180"/>
      <c r="BO45" s="2180"/>
      <c r="BP45" s="2180"/>
      <c r="BQ45" s="2180"/>
      <c r="BR45" s="2180"/>
      <c r="BS45" s="2180"/>
      <c r="BT45" s="2180"/>
      <c r="BU45" s="2180"/>
      <c r="BV45" s="2180"/>
      <c r="BW45" s="2180"/>
      <c r="BX45" s="2180"/>
      <c r="BY45" s="2180"/>
      <c r="BZ45" s="2180"/>
      <c r="CA45" s="2180"/>
      <c r="CB45" s="2180"/>
      <c r="CC45" s="2180"/>
      <c r="CD45" s="2180"/>
      <c r="CE45" s="2180"/>
      <c r="CF45" s="2180"/>
      <c r="CG45" s="2180"/>
      <c r="CH45" s="2180"/>
      <c r="CI45" s="2180"/>
      <c r="CJ45" s="2180"/>
      <c r="CK45" s="2180"/>
      <c r="CL45" s="2180"/>
      <c r="CM45" s="2180"/>
      <c r="CN45" s="2180"/>
      <c r="CO45" s="2180"/>
      <c r="CP45" s="2180"/>
      <c r="CQ45" s="2180"/>
      <c r="CR45" s="2180"/>
      <c r="CS45" s="2180"/>
      <c r="CT45" s="2180"/>
      <c r="CU45" s="2180"/>
      <c r="CV45" s="2180"/>
      <c r="CW45" s="2180"/>
      <c r="CX45" s="2180"/>
      <c r="CY45" s="2180"/>
      <c r="CZ45" s="2180"/>
    </row>
    <row r="46" spans="1:104" s="2216" customFormat="1">
      <c r="A46" s="2363" t="str">
        <f>A91</f>
        <v>DEP</v>
      </c>
      <c r="B46" s="2205"/>
      <c r="C46" s="2206"/>
      <c r="D46" s="2206"/>
      <c r="E46" s="2207"/>
      <c r="F46" s="2207"/>
      <c r="G46" s="2207"/>
      <c r="H46" s="2369">
        <f>SUM(AG45:AJ45)</f>
        <v>-2920.7136084099998</v>
      </c>
      <c r="I46" s="2196">
        <f>SUM(AK45:AN45)</f>
        <v>-3582.4248188279998</v>
      </c>
      <c r="J46" s="2256"/>
      <c r="K46" s="2370">
        <f ca="1">K6-K20-K23</f>
        <v>2458.8496377700067</v>
      </c>
      <c r="L46" s="2210"/>
      <c r="M46" s="2210"/>
      <c r="N46" s="2210"/>
      <c r="O46" s="2210"/>
      <c r="P46" s="2210"/>
      <c r="Q46" s="2210"/>
      <c r="R46" s="2210"/>
      <c r="S46" s="2210"/>
      <c r="T46" s="2175">
        <v>43</v>
      </c>
      <c r="U46" s="2210"/>
      <c r="V46" s="2210"/>
      <c r="W46" s="2210"/>
      <c r="X46" s="2210"/>
      <c r="Y46" s="2210"/>
      <c r="Z46" s="2210"/>
      <c r="AA46" s="2210"/>
      <c r="AB46" s="2210"/>
      <c r="AC46" s="2210"/>
      <c r="AD46" s="2210"/>
      <c r="AE46" s="2210"/>
      <c r="AF46" s="2210"/>
      <c r="AG46" s="2283">
        <f>AG43-AG44-AG45</f>
        <v>-2172.3276113650004</v>
      </c>
      <c r="AH46" s="2283">
        <f t="shared" ref="AH46:AN46" si="233">AH43-AH44-AH45</f>
        <v>-2441.0597079460003</v>
      </c>
      <c r="AI46" s="2283">
        <f t="shared" si="233"/>
        <v>-2075.2978157830003</v>
      </c>
      <c r="AJ46" s="2283">
        <f t="shared" si="233"/>
        <v>-2435.1651955910006</v>
      </c>
      <c r="AK46" s="2283">
        <f t="shared" si="233"/>
        <v>-2394.6503446710003</v>
      </c>
      <c r="AL46" s="2283">
        <f t="shared" si="233"/>
        <v>-2168.445092213</v>
      </c>
      <c r="AM46" s="2283">
        <f t="shared" si="233"/>
        <v>-2654.2433257609996</v>
      </c>
      <c r="AN46" s="2283">
        <f t="shared" si="233"/>
        <v>-3846.2062220490002</v>
      </c>
      <c r="AO46" s="2209">
        <f>AO48/AK48-1</f>
        <v>-0.92063550311806719</v>
      </c>
      <c r="AP46" s="2209">
        <f>AP48/AL48-1</f>
        <v>-0.92375232216912062</v>
      </c>
      <c r="AQ46" s="2209">
        <f>AQ48/AM48-1</f>
        <v>-0.87162439457013385</v>
      </c>
      <c r="AR46" s="2209">
        <f>AR48/AN48-1</f>
        <v>-0.76544855458718408</v>
      </c>
      <c r="AS46" s="2258"/>
      <c r="AT46" s="2210"/>
      <c r="AU46" s="2210">
        <f>-27.626/0.2</f>
        <v>-138.13</v>
      </c>
      <c r="AV46" s="2210">
        <f>-6.139/0.2</f>
        <v>-30.695</v>
      </c>
      <c r="AW46" s="2259"/>
      <c r="AX46" s="2242"/>
      <c r="AY46" s="2242"/>
      <c r="AZ46" s="2242"/>
      <c r="BA46" s="2204"/>
      <c r="BB46" s="2204"/>
      <c r="BC46" s="2204"/>
      <c r="BD46" s="2204"/>
      <c r="BE46" s="2204"/>
      <c r="BF46" s="2204"/>
      <c r="BG46" s="2204"/>
      <c r="BH46" s="2204"/>
      <c r="BI46" s="2204"/>
      <c r="BJ46" s="2204"/>
      <c r="BK46" s="2204"/>
      <c r="BL46" s="2204"/>
      <c r="BM46" s="2204"/>
      <c r="BN46" s="2204"/>
      <c r="BO46" s="2204"/>
      <c r="BP46" s="2204"/>
      <c r="BQ46" s="2204"/>
      <c r="BR46" s="2204"/>
      <c r="BS46" s="2204"/>
      <c r="BT46" s="2204"/>
      <c r="BU46" s="2204"/>
      <c r="BV46" s="2204"/>
      <c r="BW46" s="2204"/>
      <c r="BX46" s="2204"/>
      <c r="BY46" s="2204"/>
      <c r="BZ46" s="2204"/>
      <c r="CA46" s="2204"/>
      <c r="CB46" s="2204"/>
      <c r="CC46" s="2204"/>
      <c r="CD46" s="2204"/>
      <c r="CE46" s="2204"/>
      <c r="CF46" s="2204"/>
      <c r="CG46" s="2204"/>
      <c r="CH46" s="2204"/>
      <c r="CI46" s="2204"/>
      <c r="CJ46" s="2204"/>
      <c r="CK46" s="2204"/>
      <c r="CL46" s="2204"/>
      <c r="CM46" s="2204"/>
      <c r="CN46" s="2204"/>
      <c r="CO46" s="2204"/>
      <c r="CP46" s="2204"/>
      <c r="CQ46" s="2204"/>
      <c r="CR46" s="2204"/>
      <c r="CS46" s="2204"/>
      <c r="CT46" s="2204"/>
      <c r="CU46" s="2204"/>
      <c r="CV46" s="2204"/>
      <c r="CW46" s="2204"/>
      <c r="CX46" s="2204"/>
      <c r="CY46" s="2204"/>
      <c r="CZ46" s="2204"/>
    </row>
    <row r="47" spans="1:104">
      <c r="A47" s="2363" t="str">
        <f>A92</f>
        <v>Others</v>
      </c>
      <c r="B47" s="2240"/>
      <c r="C47" s="2371">
        <f t="shared" ref="C47:H47" si="234">C67+C78+C110</f>
        <v>0</v>
      </c>
      <c r="D47" s="2371">
        <f t="shared" si="234"/>
        <v>163.97280000000001</v>
      </c>
      <c r="E47" s="2371">
        <f t="shared" si="234"/>
        <v>15159.816915250001</v>
      </c>
      <c r="F47" s="2371">
        <f t="shared" si="234"/>
        <v>19413.106355577369</v>
      </c>
      <c r="G47" s="2371">
        <f t="shared" si="234"/>
        <v>23320.022640000003</v>
      </c>
      <c r="H47" s="2371">
        <f t="shared" si="234"/>
        <v>27702.8984925</v>
      </c>
      <c r="I47" s="2372">
        <f>I39-(I28*0.17)</f>
        <v>-46.724000000000018</v>
      </c>
      <c r="J47" s="2256"/>
      <c r="K47" s="2296"/>
      <c r="L47" s="2175"/>
      <c r="M47" s="2175"/>
      <c r="N47" s="2175"/>
      <c r="O47" s="2175"/>
      <c r="P47" s="2175"/>
      <c r="Q47" s="2175"/>
      <c r="R47" s="2175"/>
      <c r="S47" s="2175"/>
      <c r="T47" s="2175">
        <v>44</v>
      </c>
      <c r="U47" s="2175"/>
      <c r="V47" s="2175"/>
      <c r="W47" s="2175"/>
      <c r="X47" s="2175"/>
      <c r="Y47" s="2175"/>
      <c r="Z47" s="2175"/>
      <c r="AA47" s="2175"/>
      <c r="AB47" s="2175"/>
      <c r="AC47" s="2175"/>
      <c r="AD47" s="2175"/>
      <c r="AE47" s="2175"/>
      <c r="AF47" s="2175"/>
      <c r="AG47" s="2373"/>
      <c r="AH47" s="2175"/>
      <c r="AI47" s="2175"/>
      <c r="AJ47" s="2175"/>
      <c r="AK47" s="2340">
        <f>'2023_quater'!AL32</f>
        <v>1445.2443731660001</v>
      </c>
      <c r="AL47" s="2340">
        <f>'2023_quater'!AM32</f>
        <v>1130.668779267</v>
      </c>
      <c r="AM47" s="2340">
        <f>'2023_quater'!AN32</f>
        <v>906.77916900000002</v>
      </c>
      <c r="AN47" s="2340">
        <f>'2023_quater'!AO32</f>
        <v>619.02210313299997</v>
      </c>
      <c r="AO47" s="2374">
        <f>'2023_quater'!AP32</f>
        <v>21.281314441999999</v>
      </c>
      <c r="AP47" s="2179">
        <f ca="1">AP98+AP124+AP175</f>
        <v>-154.5025622550807</v>
      </c>
      <c r="AQ47" s="2179">
        <f ca="1">AQ98+AQ124+AQ175</f>
        <v>-27.105943106848883</v>
      </c>
      <c r="AR47" s="2179">
        <f ca="1">AR98+AR124+AR175</f>
        <v>237.30923157635104</v>
      </c>
      <c r="AS47" s="2375"/>
      <c r="AT47" s="2179"/>
      <c r="AU47" s="2175"/>
      <c r="AV47" s="2175"/>
      <c r="AW47" s="2376">
        <f>AW48*0.8</f>
        <v>1547.7291097760001</v>
      </c>
      <c r="AX47" s="2377">
        <f>AX48*0.8</f>
        <v>1622.5638043008003</v>
      </c>
      <c r="AY47" s="2377">
        <f>AY48*0.8</f>
        <v>1737.8809328632001</v>
      </c>
      <c r="AZ47" s="2376">
        <f ca="1">AZ48*0.8</f>
        <v>1974.259239106299</v>
      </c>
      <c r="BA47" s="2174"/>
      <c r="BB47" s="2174"/>
      <c r="BC47" s="2174"/>
      <c r="BD47" s="2174"/>
      <c r="BE47" s="2174"/>
      <c r="BF47" s="2174"/>
      <c r="BG47" s="2174"/>
      <c r="BH47" s="2174"/>
      <c r="BI47" s="2174"/>
      <c r="BJ47" s="2174"/>
      <c r="BK47" s="2174"/>
      <c r="BL47" s="2174"/>
      <c r="BM47" s="2174"/>
      <c r="BN47" s="2174"/>
      <c r="BO47" s="2174"/>
      <c r="BP47" s="2174"/>
      <c r="BQ47" s="2174"/>
      <c r="BR47" s="2174"/>
      <c r="BS47" s="2174"/>
      <c r="BT47" s="2174"/>
      <c r="BU47" s="2174"/>
      <c r="BV47" s="2174"/>
      <c r="BW47" s="2174"/>
      <c r="BX47" s="2174"/>
      <c r="BY47" s="2174"/>
      <c r="BZ47" s="2174"/>
      <c r="CA47" s="2174"/>
      <c r="CB47" s="2174"/>
      <c r="CC47" s="2174"/>
      <c r="CD47" s="2174"/>
      <c r="CE47" s="2174"/>
      <c r="CF47" s="2174"/>
      <c r="CG47" s="2174"/>
      <c r="CH47" s="2174"/>
      <c r="CI47" s="2174"/>
      <c r="CJ47" s="2174"/>
      <c r="CK47" s="2174"/>
      <c r="CL47" s="2174"/>
      <c r="CM47" s="2174"/>
      <c r="CN47" s="2174"/>
      <c r="CO47" s="2174"/>
      <c r="CP47" s="2174"/>
      <c r="CQ47" s="2174"/>
      <c r="CR47" s="2174"/>
      <c r="CS47" s="2174"/>
      <c r="CT47" s="2174"/>
      <c r="CU47" s="2174"/>
      <c r="CV47" s="2174"/>
      <c r="CW47" s="2174"/>
      <c r="CX47" s="2174"/>
      <c r="CY47" s="2174"/>
      <c r="CZ47" s="2174"/>
    </row>
    <row r="48" spans="1:104" s="2231" customFormat="1">
      <c r="A48" s="2378" t="s">
        <v>8</v>
      </c>
      <c r="B48" s="2379"/>
      <c r="C48" s="2221"/>
      <c r="D48" s="2221"/>
      <c r="E48" s="2221"/>
      <c r="F48" s="2221"/>
      <c r="G48" s="2221"/>
      <c r="H48" s="2221"/>
      <c r="I48" s="2380"/>
      <c r="J48" s="2381"/>
      <c r="K48" s="2382"/>
      <c r="L48" s="2383"/>
      <c r="M48" s="2383"/>
      <c r="N48" s="2383"/>
      <c r="O48" s="2383"/>
      <c r="P48" s="2383"/>
      <c r="Q48" s="2383"/>
      <c r="R48" s="2383"/>
      <c r="S48" s="2383"/>
      <c r="T48" s="2175">
        <v>45</v>
      </c>
      <c r="U48" s="2383"/>
      <c r="V48" s="2383"/>
      <c r="W48" s="2383"/>
      <c r="X48" s="2383"/>
      <c r="Y48" s="2383"/>
      <c r="Z48" s="2383"/>
      <c r="AA48" s="2383"/>
      <c r="AB48" s="2383"/>
      <c r="AC48" s="2383"/>
      <c r="AD48" s="2383"/>
      <c r="AE48" s="2225">
        <f>'FS Quarter'!AZ18</f>
        <v>1278.2799294680001</v>
      </c>
      <c r="AF48" s="2225">
        <f>'FS Quarter'!BA18</f>
        <v>1333.731770224</v>
      </c>
      <c r="AG48" s="2225">
        <f>'FS Quarter'!BB18</f>
        <v>1827.568934141</v>
      </c>
      <c r="AH48" s="2225">
        <f>'FS Quarter'!BC18</f>
        <v>1625.9705259679999</v>
      </c>
      <c r="AI48" s="2225">
        <f>'FS Quarter'!BD18</f>
        <v>968.13116075300002</v>
      </c>
      <c r="AJ48" s="2225">
        <f>'FS Quarter'!BE18</f>
        <v>2049.9131296810001</v>
      </c>
      <c r="AK48" s="2225">
        <f>'FS Quarter'!BF18</f>
        <v>2002.993629475</v>
      </c>
      <c r="AL48" s="2225">
        <f>'FS Quarter'!BG18</f>
        <v>1702.1433241530001</v>
      </c>
      <c r="AM48" s="2225">
        <f>'FS Quarter'!BH18</f>
        <v>1417.840145809</v>
      </c>
      <c r="AN48" s="2225">
        <f>'FS Quarter'!BI18</f>
        <v>933.378274121</v>
      </c>
      <c r="AO48" s="2226">
        <f>'FS Quarter'!BJ18</f>
        <v>158.96658166099999</v>
      </c>
      <c r="AP48" s="2227">
        <f>'FS Quarter'!BK18</f>
        <v>129.784475802</v>
      </c>
      <c r="AQ48" s="2227">
        <f>'FS Quarter'!BL18</f>
        <v>182.016087121</v>
      </c>
      <c r="AR48" s="2227">
        <f>'FS Quarter'!BM18</f>
        <v>218.92522331200001</v>
      </c>
      <c r="AS48" s="2226">
        <f>'FS Quarter'!BN18</f>
        <v>1206.2</v>
      </c>
      <c r="AT48" s="2227">
        <f>'FS Quarter'!BO18</f>
        <v>1516.0430932920001</v>
      </c>
      <c r="AU48" s="2227">
        <f>'FS Quarter'!BP18</f>
        <v>1068.05</v>
      </c>
      <c r="AV48" s="2227">
        <f>'FS Quarter'!BQ18</f>
        <v>1035.4712539980001</v>
      </c>
      <c r="AW48" s="2228">
        <f>'FS Quarter'!BR18</f>
        <v>1934.6613872200001</v>
      </c>
      <c r="AX48" s="2228">
        <f>'FS Quarter'!BS18</f>
        <v>2028.2047553760001</v>
      </c>
      <c r="AY48" s="2228">
        <f>'FS Quarter'!BT18</f>
        <v>2172.351166079</v>
      </c>
      <c r="AZ48" s="2229">
        <f t="shared" ref="AZ48:CD48" ca="1" si="235">AZ49+AZ57+AZ54+AZ56+AZ51</f>
        <v>2467.8240488828737</v>
      </c>
      <c r="BA48" s="2230">
        <f t="shared" ca="1" si="235"/>
        <v>695.3748854656518</v>
      </c>
      <c r="BB48" s="2230">
        <f t="shared" ca="1" si="235"/>
        <v>698.44636826132728</v>
      </c>
      <c r="BC48" s="2230">
        <f t="shared" ca="1" si="235"/>
        <v>751.77915431899828</v>
      </c>
      <c r="BD48" s="2230">
        <f t="shared" ca="1" si="235"/>
        <v>909.20882720885822</v>
      </c>
      <c r="BE48" s="2230">
        <f t="shared" ca="1" si="235"/>
        <v>1050.1365009095059</v>
      </c>
      <c r="BF48" s="2230">
        <f t="shared" ca="1" si="235"/>
        <v>926.7172144191353</v>
      </c>
      <c r="BG48" s="2230">
        <f t="shared" ca="1" si="235"/>
        <v>992.15269911583471</v>
      </c>
      <c r="BH48" s="2230">
        <f t="shared" ca="1" si="235"/>
        <v>1293.9115912921577</v>
      </c>
      <c r="BI48" s="2230">
        <f t="shared" ca="1" si="235"/>
        <v>1346.6391517329889</v>
      </c>
      <c r="BJ48" s="2230">
        <f t="shared" ca="1" si="235"/>
        <v>1250.2020675336457</v>
      </c>
      <c r="BK48" s="2230">
        <f t="shared" ca="1" si="235"/>
        <v>1323.2331966696486</v>
      </c>
      <c r="BL48" s="2230">
        <f t="shared" ca="1" si="235"/>
        <v>1630.0057805594442</v>
      </c>
      <c r="BM48" s="2230">
        <f t="shared" ca="1" si="235"/>
        <v>1691.0320460728594</v>
      </c>
      <c r="BN48" s="2230">
        <f t="shared" ca="1" si="235"/>
        <v>1577.4234761207683</v>
      </c>
      <c r="BO48" s="2230">
        <f t="shared" ca="1" si="235"/>
        <v>1677.8215955331714</v>
      </c>
      <c r="BP48" s="2230">
        <f t="shared" ca="1" si="235"/>
        <v>2001.1599896386197</v>
      </c>
      <c r="BQ48" s="2230">
        <f t="shared" ca="1" si="235"/>
        <v>2043.5047225804501</v>
      </c>
      <c r="BR48" s="2230">
        <f t="shared" ca="1" si="235"/>
        <v>1909.0104835757256</v>
      </c>
      <c r="BS48" s="2230">
        <f t="shared" ca="1" si="235"/>
        <v>2020.0791145142678</v>
      </c>
      <c r="BT48" s="2230">
        <f t="shared" ca="1" si="235"/>
        <v>2358.9157163574637</v>
      </c>
      <c r="BU48" s="2230" t="e">
        <f t="shared" ca="1" si="235"/>
        <v>#N/A</v>
      </c>
      <c r="BV48" s="2230" t="e">
        <f t="shared" ca="1" si="235"/>
        <v>#N/A</v>
      </c>
      <c r="BW48" s="2230" t="e">
        <f t="shared" ca="1" si="235"/>
        <v>#N/A</v>
      </c>
      <c r="BX48" s="2230" t="e">
        <f t="shared" ca="1" si="235"/>
        <v>#N/A</v>
      </c>
      <c r="BY48" s="2230" t="e">
        <f t="shared" ca="1" si="235"/>
        <v>#N/A</v>
      </c>
      <c r="BZ48" s="2230" t="e">
        <f t="shared" ca="1" si="235"/>
        <v>#N/A</v>
      </c>
      <c r="CA48" s="2230" t="e">
        <f t="shared" ca="1" si="235"/>
        <v>#N/A</v>
      </c>
      <c r="CB48" s="2230" t="e">
        <f t="shared" ca="1" si="235"/>
        <v>#N/A</v>
      </c>
      <c r="CC48" s="2230" t="e">
        <f t="shared" si="235"/>
        <v>#N/A</v>
      </c>
      <c r="CD48" s="2230" t="e">
        <f t="shared" ca="1" si="235"/>
        <v>#N/A</v>
      </c>
      <c r="CE48" s="2230" t="e">
        <f t="shared" ref="CE48:CZ48" ca="1" si="236">CE49+CE57+CE54+CE56+CE51</f>
        <v>#N/A</v>
      </c>
      <c r="CF48" s="2230" t="e">
        <f t="shared" si="236"/>
        <v>#N/A</v>
      </c>
      <c r="CG48" s="2230" t="e">
        <f t="shared" si="236"/>
        <v>#N/A</v>
      </c>
      <c r="CH48" s="2230" t="e">
        <f t="shared" ca="1" si="236"/>
        <v>#N/A</v>
      </c>
      <c r="CI48" s="2230" t="e">
        <f t="shared" ca="1" si="236"/>
        <v>#N/A</v>
      </c>
      <c r="CJ48" s="2230" t="e">
        <f t="shared" si="236"/>
        <v>#N/A</v>
      </c>
      <c r="CK48" s="2230" t="e">
        <f t="shared" si="236"/>
        <v>#N/A</v>
      </c>
      <c r="CL48" s="2230" t="e">
        <f t="shared" ca="1" si="236"/>
        <v>#N/A</v>
      </c>
      <c r="CM48" s="2230" t="e">
        <f t="shared" ca="1" si="236"/>
        <v>#N/A</v>
      </c>
      <c r="CN48" s="2230" t="e">
        <f t="shared" si="236"/>
        <v>#N/A</v>
      </c>
      <c r="CO48" s="2230" t="e">
        <f t="shared" si="236"/>
        <v>#N/A</v>
      </c>
      <c r="CP48" s="2230" t="e">
        <f t="shared" ca="1" si="236"/>
        <v>#N/A</v>
      </c>
      <c r="CQ48" s="2230" t="e">
        <f t="shared" ca="1" si="236"/>
        <v>#N/A</v>
      </c>
      <c r="CR48" s="2230" t="e">
        <f t="shared" si="236"/>
        <v>#N/A</v>
      </c>
      <c r="CS48" s="2230" t="e">
        <f t="shared" si="236"/>
        <v>#N/A</v>
      </c>
      <c r="CT48" s="2230" t="e">
        <f t="shared" ca="1" si="236"/>
        <v>#N/A</v>
      </c>
      <c r="CU48" s="2230" t="e">
        <f t="shared" ca="1" si="236"/>
        <v>#N/A</v>
      </c>
      <c r="CV48" s="2230" t="e">
        <f t="shared" si="236"/>
        <v>#N/A</v>
      </c>
      <c r="CW48" s="2230" t="e">
        <f t="shared" si="236"/>
        <v>#N/A</v>
      </c>
      <c r="CX48" s="2230" t="e">
        <f t="shared" ca="1" si="236"/>
        <v>#N/A</v>
      </c>
      <c r="CY48" s="2230" t="e">
        <f t="shared" ca="1" si="236"/>
        <v>#N/A</v>
      </c>
      <c r="CZ48" s="2230" t="e">
        <f t="shared" si="236"/>
        <v>#N/A</v>
      </c>
    </row>
    <row r="49" spans="1:104" s="2185" customFormat="1" ht="15">
      <c r="A49" s="2363" t="s">
        <v>165</v>
      </c>
      <c r="B49" s="2300"/>
      <c r="C49" s="2196"/>
      <c r="D49" s="2196"/>
      <c r="E49" s="2196"/>
      <c r="F49" s="2196"/>
      <c r="G49" s="2196"/>
      <c r="H49" s="2196"/>
      <c r="I49" s="2384"/>
      <c r="J49" s="2301"/>
      <c r="K49" s="2364"/>
      <c r="L49" s="2181"/>
      <c r="M49" s="2181"/>
      <c r="N49" s="2181"/>
      <c r="O49" s="2181"/>
      <c r="P49" s="2181"/>
      <c r="Q49" s="2181"/>
      <c r="R49" s="2181"/>
      <c r="S49" s="2181"/>
      <c r="T49" s="2175">
        <v>46</v>
      </c>
      <c r="U49" s="2181"/>
      <c r="V49" s="2181"/>
      <c r="W49" s="2181"/>
      <c r="X49" s="2181"/>
      <c r="Y49" s="2181"/>
      <c r="Z49" s="2181"/>
      <c r="AA49" s="2181"/>
      <c r="AB49" s="2181"/>
      <c r="AC49" s="2181"/>
      <c r="AD49" s="2181"/>
      <c r="AE49" s="2365"/>
      <c r="AF49" s="2365"/>
      <c r="AG49" s="2365">
        <f>-127.52733/0.2</f>
        <v>-637.63665000000003</v>
      </c>
      <c r="AH49" s="2365">
        <f>-212.1023/0.2-AG49</f>
        <v>-422.87485000000004</v>
      </c>
      <c r="AI49" s="2365">
        <f>-199.755298064/0.2-SUM($AG$49:AH49)</f>
        <v>61.735009680000189</v>
      </c>
      <c r="AJ49" s="2365">
        <f>-239.946680526/0.2-SUM($AG$49:AI49)</f>
        <v>-200.95691231000012</v>
      </c>
      <c r="AK49" s="2365">
        <f>-151.996329823/0.2</f>
        <v>-759.98164911499998</v>
      </c>
      <c r="AL49" s="2365">
        <f>-376.567885988/0.2-AK49</f>
        <v>-1122.857780825</v>
      </c>
      <c r="AM49" s="2365">
        <f>-593.505081838/0.2-SUM(AK49:AL49)</f>
        <v>-1084.6859792500002</v>
      </c>
      <c r="AN49" s="2365">
        <f>-715.458143561/0.2-SUM(AK49:AM49)</f>
        <v>-609.76530861499987</v>
      </c>
      <c r="AO49" s="2385">
        <f>-104.794481787/0.2</f>
        <v>-523.97240893499998</v>
      </c>
      <c r="AP49" s="2386">
        <f>-184.742/0.2-AO49</f>
        <v>-399.73759106499995</v>
      </c>
      <c r="AQ49" s="2386">
        <f>-271.170918653/0.2-SUM(AO49:AP49)</f>
        <v>-432.14459326500003</v>
      </c>
      <c r="AR49" s="2386">
        <f>-399.822105035/0.2-SUM(AO49:AQ49)</f>
        <v>-643.25593190999984</v>
      </c>
      <c r="AS49" s="2387">
        <f>AS50+AS52+AS53</f>
        <v>-300.73212914499999</v>
      </c>
      <c r="AT49" s="2365">
        <f>AT50+AT52+AT53</f>
        <v>-85.998331611062525</v>
      </c>
      <c r="AU49" s="2365">
        <f>-117.84/0.2-SUM(AS49:AT49)</f>
        <v>-202.46953924393745</v>
      </c>
      <c r="AV49" s="2365">
        <f>-82.008156469/0.2-SUM(AS49:AU49)</f>
        <v>179.15921765499996</v>
      </c>
      <c r="AW49" s="2388">
        <f>-6.242803871/0.2</f>
        <v>-31.214019354999998</v>
      </c>
      <c r="AX49" s="2389">
        <f>AX52</f>
        <v>-26.074920850999998</v>
      </c>
      <c r="AY49" s="2389">
        <f t="shared" ref="AY49:AZ49" si="237">AY52</f>
        <v>-27.868975593999998</v>
      </c>
      <c r="AZ49" s="2389">
        <f t="shared" si="237"/>
        <v>-27.868975593999998</v>
      </c>
      <c r="BA49" s="2390">
        <f t="shared" ref="BA49:CD49" ca="1" si="238">BA50+BA52+BA53</f>
        <v>400.94120383800868</v>
      </c>
      <c r="BB49" s="2390">
        <f t="shared" ca="1" si="238"/>
        <v>397.23523096648609</v>
      </c>
      <c r="BC49" s="2390">
        <f t="shared" ca="1" si="238"/>
        <v>445.65771486520265</v>
      </c>
      <c r="BD49" s="2390">
        <f t="shared" ca="1" si="238"/>
        <v>591.67131179240732</v>
      </c>
      <c r="BE49" s="2390">
        <f t="shared" ca="1" si="238"/>
        <v>728.74864426465274</v>
      </c>
      <c r="BF49" s="2390">
        <f t="shared" ca="1" si="238"/>
        <v>596.99569797335016</v>
      </c>
      <c r="BG49" s="2390">
        <f t="shared" ca="1" si="238"/>
        <v>651.40961283432671</v>
      </c>
      <c r="BH49" s="2390">
        <f t="shared" ca="1" si="238"/>
        <v>939.81561483662836</v>
      </c>
      <c r="BI49" s="2390">
        <f t="shared" ca="1" si="238"/>
        <v>977.21010613466979</v>
      </c>
      <c r="BJ49" s="2390">
        <f t="shared" ca="1" si="238"/>
        <v>864.75765894966344</v>
      </c>
      <c r="BK49" s="2390">
        <f t="shared" ca="1" si="238"/>
        <v>917.73838760326862</v>
      </c>
      <c r="BL49" s="2390">
        <f t="shared" ca="1" si="238"/>
        <v>1183.2608089975488</v>
      </c>
      <c r="BM49" s="2390">
        <f t="shared" ca="1" si="238"/>
        <v>1240.0334796696447</v>
      </c>
      <c r="BN49" s="2390">
        <f t="shared" ca="1" si="238"/>
        <v>1103.7972832066093</v>
      </c>
      <c r="BO49" s="2390">
        <f t="shared" ca="1" si="238"/>
        <v>1161.3016915747517</v>
      </c>
      <c r="BP49" s="2390">
        <f t="shared" ca="1" si="238"/>
        <v>1452.2547526261865</v>
      </c>
      <c r="BQ49" s="2390">
        <f t="shared" ca="1" si="238"/>
        <v>1504.0087217850873</v>
      </c>
      <c r="BR49" s="2390">
        <f t="shared" ca="1" si="238"/>
        <v>1343.3150904027693</v>
      </c>
      <c r="BS49" s="2390">
        <f t="shared" ca="1" si="238"/>
        <v>1401.1190316738889</v>
      </c>
      <c r="BT49" s="2390">
        <f t="shared" ca="1" si="238"/>
        <v>1702.9532341930103</v>
      </c>
      <c r="BU49" s="2390" t="e">
        <f t="shared" ca="1" si="238"/>
        <v>#N/A</v>
      </c>
      <c r="BV49" s="2390" t="e">
        <f t="shared" ca="1" si="238"/>
        <v>#N/A</v>
      </c>
      <c r="BW49" s="2390" t="e">
        <f t="shared" ca="1" si="238"/>
        <v>#N/A</v>
      </c>
      <c r="BX49" s="2390" t="e">
        <f t="shared" ca="1" si="238"/>
        <v>#N/A</v>
      </c>
      <c r="BY49" s="2390" t="e">
        <f t="shared" ca="1" si="238"/>
        <v>#N/A</v>
      </c>
      <c r="BZ49" s="2390" t="e">
        <f t="shared" ca="1" si="238"/>
        <v>#N/A</v>
      </c>
      <c r="CA49" s="2390" t="e">
        <f t="shared" ca="1" si="238"/>
        <v>#N/A</v>
      </c>
      <c r="CB49" s="2390" t="e">
        <f t="shared" ca="1" si="238"/>
        <v>#N/A</v>
      </c>
      <c r="CC49" s="2390" t="e">
        <f t="shared" si="238"/>
        <v>#N/A</v>
      </c>
      <c r="CD49" s="2390" t="e">
        <f t="shared" ca="1" si="238"/>
        <v>#N/A</v>
      </c>
      <c r="CE49" s="2390" t="e">
        <f t="shared" ref="CE49:CZ49" ca="1" si="239">CE50+CE52+CE53</f>
        <v>#N/A</v>
      </c>
      <c r="CF49" s="2390" t="e">
        <f t="shared" si="239"/>
        <v>#N/A</v>
      </c>
      <c r="CG49" s="2390" t="e">
        <f t="shared" si="239"/>
        <v>#N/A</v>
      </c>
      <c r="CH49" s="2390" t="e">
        <f t="shared" ca="1" si="239"/>
        <v>#N/A</v>
      </c>
      <c r="CI49" s="2390" t="e">
        <f t="shared" ca="1" si="239"/>
        <v>#N/A</v>
      </c>
      <c r="CJ49" s="2390" t="e">
        <f t="shared" si="239"/>
        <v>#N/A</v>
      </c>
      <c r="CK49" s="2390" t="e">
        <f t="shared" si="239"/>
        <v>#N/A</v>
      </c>
      <c r="CL49" s="2390" t="e">
        <f t="shared" ca="1" si="239"/>
        <v>#N/A</v>
      </c>
      <c r="CM49" s="2390" t="e">
        <f t="shared" ca="1" si="239"/>
        <v>#N/A</v>
      </c>
      <c r="CN49" s="2390" t="e">
        <f t="shared" si="239"/>
        <v>#N/A</v>
      </c>
      <c r="CO49" s="2390" t="e">
        <f t="shared" si="239"/>
        <v>#N/A</v>
      </c>
      <c r="CP49" s="2390" t="e">
        <f t="shared" ca="1" si="239"/>
        <v>#N/A</v>
      </c>
      <c r="CQ49" s="2390" t="e">
        <f t="shared" ca="1" si="239"/>
        <v>#N/A</v>
      </c>
      <c r="CR49" s="2390" t="e">
        <f t="shared" si="239"/>
        <v>#N/A</v>
      </c>
      <c r="CS49" s="2390" t="e">
        <f t="shared" si="239"/>
        <v>#N/A</v>
      </c>
      <c r="CT49" s="2390" t="e">
        <f t="shared" ca="1" si="239"/>
        <v>#N/A</v>
      </c>
      <c r="CU49" s="2390" t="e">
        <f t="shared" ca="1" si="239"/>
        <v>#N/A</v>
      </c>
      <c r="CV49" s="2390" t="e">
        <f t="shared" si="239"/>
        <v>#N/A</v>
      </c>
      <c r="CW49" s="2390" t="e">
        <f t="shared" si="239"/>
        <v>#N/A</v>
      </c>
      <c r="CX49" s="2390" t="e">
        <f t="shared" ca="1" si="239"/>
        <v>#N/A</v>
      </c>
      <c r="CY49" s="2390" t="e">
        <f t="shared" ca="1" si="239"/>
        <v>#N/A</v>
      </c>
      <c r="CZ49" s="2390" t="e">
        <f t="shared" si="239"/>
        <v>#N/A</v>
      </c>
    </row>
    <row r="50" spans="1:104" s="2216" customFormat="1">
      <c r="A50" s="2391" t="s">
        <v>7</v>
      </c>
      <c r="B50" s="2240"/>
      <c r="C50" s="2371"/>
      <c r="D50" s="2371"/>
      <c r="E50" s="2371"/>
      <c r="F50" s="2371"/>
      <c r="G50" s="2371"/>
      <c r="H50" s="2371"/>
      <c r="I50" s="2372"/>
      <c r="J50" s="2256"/>
      <c r="K50" s="2296"/>
      <c r="L50" s="2210"/>
      <c r="M50" s="2210"/>
      <c r="N50" s="2210"/>
      <c r="O50" s="2210"/>
      <c r="P50" s="2210"/>
      <c r="Q50" s="2210"/>
      <c r="R50" s="2210"/>
      <c r="S50" s="2210"/>
      <c r="T50" s="2175">
        <v>47</v>
      </c>
      <c r="U50" s="2210"/>
      <c r="V50" s="2210"/>
      <c r="W50" s="2210"/>
      <c r="X50" s="2210"/>
      <c r="Y50" s="2210"/>
      <c r="Z50" s="2210"/>
      <c r="AA50" s="2210"/>
      <c r="AB50" s="2210"/>
      <c r="AC50" s="2210"/>
      <c r="AD50" s="2210"/>
      <c r="AE50" s="2283"/>
      <c r="AF50" s="2283"/>
      <c r="AG50" s="2283"/>
      <c r="AH50" s="2283"/>
      <c r="AI50" s="2283"/>
      <c r="AJ50" s="2283">
        <v>-1005.808243298</v>
      </c>
      <c r="AK50" s="2392">
        <f>AK49-AK51</f>
        <v>-759.98164911499998</v>
      </c>
      <c r="AL50" s="2283">
        <f>AL49-AL51</f>
        <v>-998.446037617</v>
      </c>
      <c r="AM50" s="2283">
        <f>AM49-AM51-AM52</f>
        <v>-849.22341758000016</v>
      </c>
      <c r="AN50" s="2283">
        <f>AN49-AN51-AN52</f>
        <v>-332.80196534399988</v>
      </c>
      <c r="AO50" s="2297">
        <v>-353.72330699999998</v>
      </c>
      <c r="AP50" s="2298">
        <f ca="1">AP122</f>
        <v>-304.93636233799998</v>
      </c>
      <c r="AQ50" s="2298">
        <f ca="1">AQ124</f>
        <v>-201.65277461900007</v>
      </c>
      <c r="AR50" s="2298">
        <f ca="1">AR122</f>
        <v>-66.861121911749933</v>
      </c>
      <c r="AS50" s="2297">
        <f t="shared" ref="AS50" si="240">AS122</f>
        <v>-55.611490963562503</v>
      </c>
      <c r="AT50" s="2283">
        <f t="shared" ref="AT50:AV50" si="241">AT122</f>
        <v>55.822758308937502</v>
      </c>
      <c r="AU50" s="2283">
        <f t="shared" si="241"/>
        <v>136.97520048500002</v>
      </c>
      <c r="AV50" s="2283">
        <f t="shared" si="241"/>
        <v>159.74968538499999</v>
      </c>
      <c r="AW50" s="2299">
        <f>AW122</f>
        <v>74.37996625000001</v>
      </c>
      <c r="AX50" s="2299">
        <f t="shared" ref="AX50:AY50" ca="1" si="242">AX122</f>
        <v>234.56310540238348</v>
      </c>
      <c r="AY50" s="2299">
        <f t="shared" ca="1" si="242"/>
        <v>316.02630373886529</v>
      </c>
      <c r="AZ50" s="2393">
        <f t="shared" ref="AZ50:CB50" ca="1" si="243">AZ122</f>
        <v>310.99398394222681</v>
      </c>
      <c r="BA50" s="2266">
        <f t="shared" ca="1" si="243"/>
        <v>428.81017943200868</v>
      </c>
      <c r="BB50" s="2266">
        <f t="shared" ca="1" si="243"/>
        <v>425.10420656048609</v>
      </c>
      <c r="BC50" s="2266">
        <f t="shared" ca="1" si="243"/>
        <v>473.52669045920265</v>
      </c>
      <c r="BD50" s="2266">
        <f t="shared" ca="1" si="243"/>
        <v>619.54028738640727</v>
      </c>
      <c r="BE50" s="2266">
        <f t="shared" ca="1" si="243"/>
        <v>756.61761985865269</v>
      </c>
      <c r="BF50" s="2266">
        <f t="shared" ca="1" si="243"/>
        <v>624.86467356735011</v>
      </c>
      <c r="BG50" s="2266">
        <f t="shared" ca="1" si="243"/>
        <v>679.27858842832666</v>
      </c>
      <c r="BH50" s="2266">
        <f t="shared" ca="1" si="243"/>
        <v>967.6845904306283</v>
      </c>
      <c r="BI50" s="2266">
        <f t="shared" ca="1" si="243"/>
        <v>1005.0790817286697</v>
      </c>
      <c r="BJ50" s="2266">
        <f t="shared" ca="1" si="243"/>
        <v>892.62663454366339</v>
      </c>
      <c r="BK50" s="2266">
        <f t="shared" ca="1" si="243"/>
        <v>945.60736319726857</v>
      </c>
      <c r="BL50" s="2266">
        <f t="shared" ca="1" si="243"/>
        <v>1211.1297845915487</v>
      </c>
      <c r="BM50" s="2266">
        <f t="shared" ca="1" si="243"/>
        <v>1267.9024552636447</v>
      </c>
      <c r="BN50" s="2266">
        <f t="shared" ca="1" si="243"/>
        <v>1131.6662588006093</v>
      </c>
      <c r="BO50" s="2266">
        <f t="shared" ca="1" si="243"/>
        <v>1189.1706671687516</v>
      </c>
      <c r="BP50" s="2266">
        <f t="shared" ca="1" si="243"/>
        <v>1480.1237282201864</v>
      </c>
      <c r="BQ50" s="2266">
        <f t="shared" ca="1" si="243"/>
        <v>1531.8776973790873</v>
      </c>
      <c r="BR50" s="2266">
        <f t="shared" ca="1" si="243"/>
        <v>1371.1840659967693</v>
      </c>
      <c r="BS50" s="2266">
        <f t="shared" ca="1" si="243"/>
        <v>1428.9880072678889</v>
      </c>
      <c r="BT50" s="2266">
        <f t="shared" ca="1" si="243"/>
        <v>1730.8222097870103</v>
      </c>
      <c r="BU50" s="2266" t="e">
        <f t="shared" ca="1" si="243"/>
        <v>#N/A</v>
      </c>
      <c r="BV50" s="2266" t="e">
        <f t="shared" ca="1" si="243"/>
        <v>#N/A</v>
      </c>
      <c r="BW50" s="2266" t="e">
        <f t="shared" ca="1" si="243"/>
        <v>#N/A</v>
      </c>
      <c r="BX50" s="2266" t="e">
        <f t="shared" ca="1" si="243"/>
        <v>#N/A</v>
      </c>
      <c r="BY50" s="2266" t="e">
        <f t="shared" ca="1" si="243"/>
        <v>#N/A</v>
      </c>
      <c r="BZ50" s="2266" t="e">
        <f t="shared" ca="1" si="243"/>
        <v>#N/A</v>
      </c>
      <c r="CA50" s="2266" t="e">
        <f t="shared" ca="1" si="243"/>
        <v>#N/A</v>
      </c>
      <c r="CB50" s="2266" t="e">
        <f t="shared" ca="1" si="243"/>
        <v>#N/A</v>
      </c>
      <c r="CC50" s="2266" t="e">
        <f t="shared" ref="CC50:CZ50" si="244">CC122</f>
        <v>#N/A</v>
      </c>
      <c r="CD50" s="2266" t="e">
        <f t="shared" ca="1" si="244"/>
        <v>#N/A</v>
      </c>
      <c r="CE50" s="2266" t="e">
        <f t="shared" ca="1" si="244"/>
        <v>#N/A</v>
      </c>
      <c r="CF50" s="2266" t="e">
        <f t="shared" si="244"/>
        <v>#N/A</v>
      </c>
      <c r="CG50" s="2266" t="e">
        <f t="shared" si="244"/>
        <v>#N/A</v>
      </c>
      <c r="CH50" s="2266" t="e">
        <f t="shared" ca="1" si="244"/>
        <v>#N/A</v>
      </c>
      <c r="CI50" s="2266" t="e">
        <f t="shared" ca="1" si="244"/>
        <v>#N/A</v>
      </c>
      <c r="CJ50" s="2266" t="e">
        <f t="shared" si="244"/>
        <v>#N/A</v>
      </c>
      <c r="CK50" s="2266" t="e">
        <f t="shared" si="244"/>
        <v>#N/A</v>
      </c>
      <c r="CL50" s="2266" t="e">
        <f t="shared" ca="1" si="244"/>
        <v>#N/A</v>
      </c>
      <c r="CM50" s="2266" t="e">
        <f t="shared" ca="1" si="244"/>
        <v>#N/A</v>
      </c>
      <c r="CN50" s="2266" t="e">
        <f t="shared" si="244"/>
        <v>#N/A</v>
      </c>
      <c r="CO50" s="2266" t="e">
        <f t="shared" si="244"/>
        <v>#N/A</v>
      </c>
      <c r="CP50" s="2266" t="e">
        <f t="shared" ca="1" si="244"/>
        <v>#N/A</v>
      </c>
      <c r="CQ50" s="2266" t="e">
        <f t="shared" ca="1" si="244"/>
        <v>#N/A</v>
      </c>
      <c r="CR50" s="2266" t="e">
        <f t="shared" si="244"/>
        <v>#N/A</v>
      </c>
      <c r="CS50" s="2266" t="e">
        <f t="shared" si="244"/>
        <v>#N/A</v>
      </c>
      <c r="CT50" s="2266" t="e">
        <f t="shared" ca="1" si="244"/>
        <v>#N/A</v>
      </c>
      <c r="CU50" s="2266" t="e">
        <f t="shared" ca="1" si="244"/>
        <v>#N/A</v>
      </c>
      <c r="CV50" s="2266" t="e">
        <f t="shared" si="244"/>
        <v>#N/A</v>
      </c>
      <c r="CW50" s="2266" t="e">
        <f t="shared" si="244"/>
        <v>#N/A</v>
      </c>
      <c r="CX50" s="2266" t="e">
        <f t="shared" ca="1" si="244"/>
        <v>#N/A</v>
      </c>
      <c r="CY50" s="2266" t="e">
        <f t="shared" ca="1" si="244"/>
        <v>#N/A</v>
      </c>
      <c r="CZ50" s="2266" t="e">
        <f t="shared" si="244"/>
        <v>#N/A</v>
      </c>
    </row>
    <row r="51" spans="1:104" s="2411" customFormat="1">
      <c r="A51" s="2394" t="s">
        <v>166</v>
      </c>
      <c r="B51" s="2395"/>
      <c r="C51" s="2396"/>
      <c r="D51" s="2396"/>
      <c r="E51" s="2396"/>
      <c r="F51" s="2396"/>
      <c r="G51" s="2396"/>
      <c r="H51" s="2396"/>
      <c r="I51" s="2397"/>
      <c r="J51" s="2398"/>
      <c r="K51" s="2399"/>
      <c r="L51" s="2400"/>
      <c r="M51" s="2400"/>
      <c r="N51" s="2400"/>
      <c r="O51" s="2400"/>
      <c r="P51" s="2400"/>
      <c r="Q51" s="2400"/>
      <c r="R51" s="2400"/>
      <c r="S51" s="2400"/>
      <c r="T51" s="2175">
        <v>48</v>
      </c>
      <c r="U51" s="2400"/>
      <c r="V51" s="2400"/>
      <c r="W51" s="2400"/>
      <c r="X51" s="2400"/>
      <c r="Y51" s="2400"/>
      <c r="Z51" s="2400"/>
      <c r="AA51" s="2400"/>
      <c r="AB51" s="2400"/>
      <c r="AC51" s="2400"/>
      <c r="AD51" s="2400"/>
      <c r="AE51" s="2401"/>
      <c r="AF51" s="2401"/>
      <c r="AG51" s="2401"/>
      <c r="AH51" s="2401"/>
      <c r="AI51" s="2401"/>
      <c r="AJ51" s="2401"/>
      <c r="AK51" s="2402">
        <v>0</v>
      </c>
      <c r="AL51" s="2401">
        <f>-124.411743208-AK51</f>
        <v>-124.411743208</v>
      </c>
      <c r="AM51" s="2401">
        <f>-186.57-SUM(AK51:AL51)</f>
        <v>-62.158256791999989</v>
      </c>
      <c r="AN51" s="2401">
        <f>-330.623145856-SUM(AK51:AM51)</f>
        <v>-144.05314585600001</v>
      </c>
      <c r="AO51" s="2403">
        <v>-89.071894999999998</v>
      </c>
      <c r="AP51" s="2404">
        <f>-94.452-AO51</f>
        <v>-5.3801050000000004</v>
      </c>
      <c r="AQ51" s="2404">
        <f>-96.83296-SUM(AO51:AP51)</f>
        <v>-2.3809600000000017</v>
      </c>
      <c r="AR51" s="2404">
        <f>-(97.963+SUM(AO51:AQ51))</f>
        <v>-1.1300399999999939</v>
      </c>
      <c r="AS51" s="2403">
        <f>+'FS Quarter'!BN10</f>
        <v>-20.49</v>
      </c>
      <c r="AT51" s="2401">
        <f>+'FS Quarter'!BO10</f>
        <v>-26.681279546999999</v>
      </c>
      <c r="AU51" s="2405">
        <f>-47.018975017-SUM(AS51:AT51)</f>
        <v>0.152304529999995</v>
      </c>
      <c r="AV51" s="2406">
        <f>-8.91929098/0.2-SUM(AS51:AU51)</f>
        <v>2.4225201170000048</v>
      </c>
      <c r="AW51" s="2407">
        <f>'FS Quarter'!BR10</f>
        <v>3.1297742999999998</v>
      </c>
      <c r="AX51" s="2408">
        <f>14.2514-AW51</f>
        <v>11.121625700000001</v>
      </c>
      <c r="AY51" s="2408">
        <f>18.428106429-AW51-AX51</f>
        <v>4.1767064289999993</v>
      </c>
      <c r="AZ51" s="2408">
        <f t="shared" ref="AZ51:BH51" si="245">AZ312*0.45</f>
        <v>11.597952952131857</v>
      </c>
      <c r="BA51" s="2409">
        <f t="shared" si="245"/>
        <v>15.514713643393096</v>
      </c>
      <c r="BB51" s="2409">
        <f t="shared" si="245"/>
        <v>22.292169310591103</v>
      </c>
      <c r="BC51" s="2409">
        <f t="shared" si="245"/>
        <v>27.202471469545628</v>
      </c>
      <c r="BD51" s="2409">
        <f t="shared" si="245"/>
        <v>38.61854743220087</v>
      </c>
      <c r="BE51" s="2409">
        <f t="shared" si="245"/>
        <v>42.46888866060322</v>
      </c>
      <c r="BF51" s="2409">
        <f t="shared" si="245"/>
        <v>50.80254846153516</v>
      </c>
      <c r="BG51" s="2409">
        <f t="shared" si="245"/>
        <v>61.824118297258025</v>
      </c>
      <c r="BH51" s="2410">
        <f t="shared" si="245"/>
        <v>75.177008471279336</v>
      </c>
      <c r="BI51" s="2410">
        <f t="shared" ref="BI51:CN51" si="246">BI312*0.45</f>
        <v>90.510077614069075</v>
      </c>
      <c r="BJ51" s="2410">
        <f t="shared" si="246"/>
        <v>106.52544059973228</v>
      </c>
      <c r="BK51" s="2410">
        <f t="shared" si="246"/>
        <v>126.57584108212994</v>
      </c>
      <c r="BL51" s="2410">
        <f t="shared" si="246"/>
        <v>167.82600357764548</v>
      </c>
      <c r="BM51" s="2410">
        <f t="shared" si="246"/>
        <v>172.07959841896476</v>
      </c>
      <c r="BN51" s="2410">
        <f t="shared" si="246"/>
        <v>194.70722492990905</v>
      </c>
      <c r="BO51" s="2410">
        <f t="shared" si="246"/>
        <v>237.60093597416963</v>
      </c>
      <c r="BP51" s="2410">
        <f t="shared" si="246"/>
        <v>269.98626902818319</v>
      </c>
      <c r="BQ51" s="2410">
        <f t="shared" si="246"/>
        <v>260.57703281111276</v>
      </c>
      <c r="BR51" s="2410">
        <f t="shared" si="246"/>
        <v>286.77642518870618</v>
      </c>
      <c r="BS51" s="2410">
        <f t="shared" si="246"/>
        <v>340.0411148561289</v>
      </c>
      <c r="BT51" s="2410">
        <f t="shared" si="246"/>
        <v>377.0435141802036</v>
      </c>
      <c r="BU51" s="2410">
        <f t="shared" si="246"/>
        <v>390.51197472691837</v>
      </c>
      <c r="BV51" s="2410">
        <f t="shared" si="246"/>
        <v>420.50340244891811</v>
      </c>
      <c r="BW51" s="2410">
        <f t="shared" si="246"/>
        <v>459.54369686382472</v>
      </c>
      <c r="BX51" s="2410">
        <f t="shared" si="246"/>
        <v>500.44118955583224</v>
      </c>
      <c r="BY51" s="2410">
        <f t="shared" si="246"/>
        <v>464.70924992503296</v>
      </c>
      <c r="BZ51" s="2410">
        <f t="shared" si="246"/>
        <v>493.61892068217122</v>
      </c>
      <c r="CA51" s="2410">
        <f t="shared" si="246"/>
        <v>533.04856452518641</v>
      </c>
      <c r="CB51" s="2410">
        <f t="shared" si="246"/>
        <v>574.34088869127038</v>
      </c>
      <c r="CC51" s="2410">
        <f t="shared" si="246"/>
        <v>528.26645440972936</v>
      </c>
      <c r="CD51" s="2410">
        <f t="shared" si="246"/>
        <v>556.3379212214054</v>
      </c>
      <c r="CE51" s="2410">
        <f t="shared" si="246"/>
        <v>596.15687235188761</v>
      </c>
      <c r="CF51" s="2410">
        <f t="shared" si="246"/>
        <v>638.39424149342096</v>
      </c>
      <c r="CG51" s="2410">
        <f t="shared" si="246"/>
        <v>584.49023846559442</v>
      </c>
      <c r="CH51" s="2410">
        <f t="shared" si="246"/>
        <v>613.6220937797051</v>
      </c>
      <c r="CI51" s="2410">
        <f t="shared" si="246"/>
        <v>656.37759469194532</v>
      </c>
      <c r="CJ51" s="2410">
        <f t="shared" si="246"/>
        <v>701.87459046096046</v>
      </c>
      <c r="CK51" s="2410">
        <f t="shared" si="246"/>
        <v>641.72377067566299</v>
      </c>
      <c r="CL51" s="2410">
        <f t="shared" si="246"/>
        <v>672.81218955137581</v>
      </c>
      <c r="CM51" s="2410">
        <f t="shared" si="246"/>
        <v>718.76868317666458</v>
      </c>
      <c r="CN51" s="2410">
        <f t="shared" si="246"/>
        <v>767.63879569060418</v>
      </c>
      <c r="CO51" s="2409">
        <f t="shared" ref="CO51:CZ51" si="247">CO312*0.45</f>
        <v>701.01284807874811</v>
      </c>
      <c r="CP51" s="2409">
        <f t="shared" si="247"/>
        <v>734.12444031640143</v>
      </c>
      <c r="CQ51" s="2409">
        <f t="shared" si="247"/>
        <v>783.3928641628961</v>
      </c>
      <c r="CR51" s="2409">
        <f t="shared" si="247"/>
        <v>835.7528192932491</v>
      </c>
      <c r="CS51" s="2409">
        <f t="shared" si="247"/>
        <v>762.41679906968659</v>
      </c>
      <c r="CT51" s="2409">
        <f t="shared" si="247"/>
        <v>797.62005623620769</v>
      </c>
      <c r="CU51" s="2409">
        <f t="shared" si="247"/>
        <v>850.31450491530586</v>
      </c>
      <c r="CV51" s="2409">
        <f t="shared" si="247"/>
        <v>906.28434832172354</v>
      </c>
      <c r="CW51" s="2409">
        <f t="shared" si="247"/>
        <v>825.99650296103084</v>
      </c>
      <c r="CX51" s="2409">
        <f t="shared" si="247"/>
        <v>863.36184701667946</v>
      </c>
      <c r="CY51" s="2409">
        <f t="shared" si="247"/>
        <v>919.59965415214708</v>
      </c>
      <c r="CZ51" s="2409">
        <f t="shared" si="247"/>
        <v>979.3028373836197</v>
      </c>
    </row>
    <row r="52" spans="1:104" s="2216" customFormat="1">
      <c r="A52" s="2391" t="s">
        <v>167</v>
      </c>
      <c r="B52" s="2240"/>
      <c r="C52" s="2371"/>
      <c r="D52" s="2371"/>
      <c r="E52" s="2371"/>
      <c r="F52" s="2371"/>
      <c r="G52" s="2371"/>
      <c r="H52" s="2371"/>
      <c r="I52" s="2372"/>
      <c r="J52" s="2256"/>
      <c r="K52" s="2296"/>
      <c r="L52" s="2210"/>
      <c r="M52" s="2210"/>
      <c r="N52" s="2210"/>
      <c r="O52" s="2210"/>
      <c r="P52" s="2210"/>
      <c r="Q52" s="2210"/>
      <c r="R52" s="2210"/>
      <c r="S52" s="2210"/>
      <c r="T52" s="2175">
        <v>49</v>
      </c>
      <c r="U52" s="2210"/>
      <c r="V52" s="2210"/>
      <c r="W52" s="2210"/>
      <c r="X52" s="2210"/>
      <c r="Y52" s="2210"/>
      <c r="Z52" s="2210"/>
      <c r="AA52" s="2210"/>
      <c r="AB52" s="2210"/>
      <c r="AC52" s="2210"/>
      <c r="AD52" s="2210"/>
      <c r="AE52" s="2210"/>
      <c r="AF52" s="2210"/>
      <c r="AG52" s="2412"/>
      <c r="AH52" s="2210"/>
      <c r="AI52" s="2210"/>
      <c r="AJ52" s="2210"/>
      <c r="AK52" s="2392"/>
      <c r="AL52" s="2283">
        <v>0</v>
      </c>
      <c r="AM52" s="2283">
        <f>-173.304304878</f>
        <v>-173.30430487800001</v>
      </c>
      <c r="AN52" s="2283">
        <f>-306.214502293-SUM(AK52:AM52)</f>
        <v>-132.910197415</v>
      </c>
      <c r="AO52" s="2297">
        <v>-74.283714700000004</v>
      </c>
      <c r="AP52" s="2298">
        <f>-150.561-AO52</f>
        <v>-76.277285300000003</v>
      </c>
      <c r="AQ52" s="2298">
        <f>-234.4178-AP52-AO52</f>
        <v>-83.856799999999978</v>
      </c>
      <c r="AR52" s="2298">
        <f>-(342.942+SUM(AO52:AQ52))</f>
        <v>-108.52420000000001</v>
      </c>
      <c r="AS52" s="2297">
        <f>-69.758948554</f>
        <v>-69.758948554</v>
      </c>
      <c r="AT52" s="2283">
        <f>-172.12818-AS52</f>
        <v>-102.36923144599999</v>
      </c>
      <c r="AU52" s="2283">
        <f>-320.612-SUM(AS52:AT52)</f>
        <v>-148.48382000000004</v>
      </c>
      <c r="AV52" s="2283">
        <f>-346.722004707-SUM(AS52:AU52)</f>
        <v>-26.110004706999973</v>
      </c>
      <c r="AW52" s="2299">
        <v>-31.213926595</v>
      </c>
      <c r="AX52" s="2393">
        <f>-57.288847446-AW52</f>
        <v>-26.074920850999998</v>
      </c>
      <c r="AY52" s="2393">
        <f>-85.15782304+57.288847446</f>
        <v>-27.868975593999998</v>
      </c>
      <c r="AZ52" s="2393">
        <f t="shared" ref="AZ52:BH52" si="248">AY52</f>
        <v>-27.868975593999998</v>
      </c>
      <c r="BA52" s="2266">
        <f t="shared" si="248"/>
        <v>-27.868975593999998</v>
      </c>
      <c r="BB52" s="2266">
        <f t="shared" si="248"/>
        <v>-27.868975593999998</v>
      </c>
      <c r="BC52" s="2266">
        <f t="shared" si="248"/>
        <v>-27.868975593999998</v>
      </c>
      <c r="BD52" s="2266">
        <f t="shared" si="248"/>
        <v>-27.868975593999998</v>
      </c>
      <c r="BE52" s="2266">
        <f t="shared" si="248"/>
        <v>-27.868975593999998</v>
      </c>
      <c r="BF52" s="2266">
        <f t="shared" si="248"/>
        <v>-27.868975593999998</v>
      </c>
      <c r="BG52" s="2266">
        <f t="shared" si="248"/>
        <v>-27.868975593999998</v>
      </c>
      <c r="BH52" s="2266">
        <f t="shared" si="248"/>
        <v>-27.868975593999998</v>
      </c>
      <c r="BI52" s="2266">
        <f t="shared" ref="BI52:BI53" si="249">BH52</f>
        <v>-27.868975593999998</v>
      </c>
      <c r="BJ52" s="2266">
        <f t="shared" ref="BJ52:BJ53" si="250">BI52</f>
        <v>-27.868975593999998</v>
      </c>
      <c r="BK52" s="2266">
        <f t="shared" ref="BK52:BK53" si="251">BJ52</f>
        <v>-27.868975593999998</v>
      </c>
      <c r="BL52" s="2266">
        <f t="shared" ref="BL52:BL53" si="252">BK52</f>
        <v>-27.868975593999998</v>
      </c>
      <c r="BM52" s="2266">
        <f t="shared" ref="BM52:BM53" si="253">BL52</f>
        <v>-27.868975593999998</v>
      </c>
      <c r="BN52" s="2266">
        <f t="shared" ref="BN52:BN53" si="254">BM52</f>
        <v>-27.868975593999998</v>
      </c>
      <c r="BO52" s="2266">
        <f t="shared" ref="BO52:BO53" si="255">BN52</f>
        <v>-27.868975593999998</v>
      </c>
      <c r="BP52" s="2266">
        <f t="shared" ref="BP52:BP53" si="256">BO52</f>
        <v>-27.868975593999998</v>
      </c>
      <c r="BQ52" s="2266">
        <f t="shared" ref="BQ52:BQ53" si="257">BP52</f>
        <v>-27.868975593999998</v>
      </c>
      <c r="BR52" s="2266">
        <f t="shared" ref="BR52:BR53" si="258">BQ52</f>
        <v>-27.868975593999998</v>
      </c>
      <c r="BS52" s="2266">
        <f t="shared" ref="BS52:BS53" si="259">BR52</f>
        <v>-27.868975593999998</v>
      </c>
      <c r="BT52" s="2266">
        <f t="shared" ref="BT52:BT53" si="260">BS52</f>
        <v>-27.868975593999998</v>
      </c>
      <c r="BU52" s="2266">
        <f t="shared" ref="BU52:BU53" si="261">BT52</f>
        <v>-27.868975593999998</v>
      </c>
      <c r="BV52" s="2266">
        <f t="shared" ref="BV52:BV53" si="262">BU52</f>
        <v>-27.868975593999998</v>
      </c>
      <c r="BW52" s="2266">
        <f t="shared" ref="BW52:BW53" si="263">BV52</f>
        <v>-27.868975593999998</v>
      </c>
      <c r="BX52" s="2266">
        <f t="shared" ref="BX52:BX53" si="264">BW52</f>
        <v>-27.868975593999998</v>
      </c>
      <c r="BY52" s="2266">
        <f t="shared" ref="BY52:BY53" si="265">BX52</f>
        <v>-27.868975593999998</v>
      </c>
      <c r="BZ52" s="2266">
        <f t="shared" ref="BZ52:BZ53" si="266">BY52</f>
        <v>-27.868975593999998</v>
      </c>
      <c r="CA52" s="2266">
        <f t="shared" ref="CA52:CA53" si="267">BZ52</f>
        <v>-27.868975593999998</v>
      </c>
      <c r="CB52" s="2266">
        <f t="shared" ref="CB52:CB53" si="268">CA52</f>
        <v>-27.868975593999998</v>
      </c>
      <c r="CC52" s="2266">
        <f t="shared" ref="CC52:CC53" si="269">CB52</f>
        <v>-27.868975593999998</v>
      </c>
      <c r="CD52" s="2266">
        <f t="shared" ref="CD52:CD53" si="270">CC52</f>
        <v>-27.868975593999998</v>
      </c>
      <c r="CE52" s="2266">
        <f t="shared" ref="CE52:CE53" si="271">CD52</f>
        <v>-27.868975593999998</v>
      </c>
      <c r="CF52" s="2266">
        <f t="shared" ref="CF52:CF53" si="272">CE52</f>
        <v>-27.868975593999998</v>
      </c>
      <c r="CG52" s="2266">
        <f t="shared" ref="CG52:CG53" si="273">CF52</f>
        <v>-27.868975593999998</v>
      </c>
      <c r="CH52" s="2266">
        <f t="shared" ref="CH52:CH53" si="274">CG52</f>
        <v>-27.868975593999998</v>
      </c>
      <c r="CI52" s="2266">
        <f t="shared" ref="CI52:CI53" si="275">CH52</f>
        <v>-27.868975593999998</v>
      </c>
      <c r="CJ52" s="2266">
        <f t="shared" ref="CJ52:CJ53" si="276">CI52</f>
        <v>-27.868975593999998</v>
      </c>
      <c r="CK52" s="2266">
        <f t="shared" ref="CK52:CK53" si="277">CJ52</f>
        <v>-27.868975593999998</v>
      </c>
      <c r="CL52" s="2266">
        <f t="shared" ref="CL52:CL53" si="278">CK52</f>
        <v>-27.868975593999998</v>
      </c>
      <c r="CM52" s="2266">
        <f t="shared" ref="CM52:CM53" si="279">CL52</f>
        <v>-27.868975593999998</v>
      </c>
      <c r="CN52" s="2266">
        <f t="shared" ref="CN52:CN53" si="280">CM52</f>
        <v>-27.868975593999998</v>
      </c>
      <c r="CO52" s="2266">
        <f t="shared" ref="CO52:CO53" si="281">CN52</f>
        <v>-27.868975593999998</v>
      </c>
      <c r="CP52" s="2266">
        <f t="shared" ref="CP52:CP53" si="282">CO52</f>
        <v>-27.868975593999998</v>
      </c>
      <c r="CQ52" s="2266">
        <f t="shared" ref="CQ52:CQ53" si="283">CP52</f>
        <v>-27.868975593999998</v>
      </c>
      <c r="CR52" s="2266">
        <f t="shared" ref="CR52:CR53" si="284">CQ52</f>
        <v>-27.868975593999998</v>
      </c>
      <c r="CS52" s="2266">
        <f t="shared" ref="CS52:CS53" si="285">CR52</f>
        <v>-27.868975593999998</v>
      </c>
      <c r="CT52" s="2266">
        <f t="shared" ref="CT52:CT53" si="286">CS52</f>
        <v>-27.868975593999998</v>
      </c>
      <c r="CU52" s="2266">
        <f t="shared" ref="CU52:CU53" si="287">CT52</f>
        <v>-27.868975593999998</v>
      </c>
      <c r="CV52" s="2266">
        <f t="shared" ref="CV52:CV53" si="288">CU52</f>
        <v>-27.868975593999998</v>
      </c>
      <c r="CW52" s="2266">
        <f t="shared" ref="CW52:CW53" si="289">CV52</f>
        <v>-27.868975593999998</v>
      </c>
      <c r="CX52" s="2266">
        <f t="shared" ref="CX52:CX53" si="290">CW52</f>
        <v>-27.868975593999998</v>
      </c>
      <c r="CY52" s="2266">
        <f t="shared" ref="CY52:CY53" si="291">CX52</f>
        <v>-27.868975593999998</v>
      </c>
      <c r="CZ52" s="2266">
        <f t="shared" ref="CZ52:CZ53" si="292">CY52</f>
        <v>-27.868975593999998</v>
      </c>
    </row>
    <row r="53" spans="1:104" s="2216" customFormat="1">
      <c r="A53" s="2391" t="s">
        <v>168</v>
      </c>
      <c r="B53" s="2240"/>
      <c r="C53" s="2371"/>
      <c r="D53" s="2371"/>
      <c r="E53" s="2371"/>
      <c r="F53" s="2371"/>
      <c r="G53" s="2371"/>
      <c r="H53" s="2371"/>
      <c r="I53" s="2372"/>
      <c r="J53" s="2256"/>
      <c r="K53" s="2296"/>
      <c r="L53" s="2210"/>
      <c r="M53" s="2210"/>
      <c r="N53" s="2210"/>
      <c r="O53" s="2210"/>
      <c r="P53" s="2210"/>
      <c r="Q53" s="2210"/>
      <c r="R53" s="2210"/>
      <c r="S53" s="2210"/>
      <c r="T53" s="2175">
        <v>50</v>
      </c>
      <c r="U53" s="2210"/>
      <c r="V53" s="2210"/>
      <c r="W53" s="2210"/>
      <c r="X53" s="2210"/>
      <c r="Y53" s="2210"/>
      <c r="Z53" s="2210"/>
      <c r="AA53" s="2210"/>
      <c r="AB53" s="2210"/>
      <c r="AC53" s="2210"/>
      <c r="AD53" s="2210"/>
      <c r="AE53" s="2210"/>
      <c r="AF53" s="2210"/>
      <c r="AG53" s="2412"/>
      <c r="AH53" s="2210"/>
      <c r="AI53" s="2210"/>
      <c r="AJ53" s="2210"/>
      <c r="AK53" s="2392"/>
      <c r="AL53" s="2283"/>
      <c r="AM53" s="2283"/>
      <c r="AN53" s="2283"/>
      <c r="AO53" s="2297">
        <f>AO49-SUM(AO50:AO52)</f>
        <v>-6.8934922350000534</v>
      </c>
      <c r="AP53" s="2297">
        <f ca="1">AP49-SUM(AP50:AP52)</f>
        <v>-13.143838426999935</v>
      </c>
      <c r="AQ53" s="2297">
        <f ca="1">AQ49-SUM(AQ50:AQ52)</f>
        <v>-144.25405864599998</v>
      </c>
      <c r="AR53" s="2413">
        <f ca="1">AR49-SUM(AR50:AR52)</f>
        <v>-466.7405699982499</v>
      </c>
      <c r="AS53" s="2297">
        <f>-60.146425829/0.2-AS50-AS52</f>
        <v>-175.36168962743747</v>
      </c>
      <c r="AT53" s="2283">
        <f>-(92.608643813/0.2+SUM(AS50:AS53)+AT52)</f>
        <v>-39.451858474000034</v>
      </c>
      <c r="AU53" s="2283">
        <f>AU49-AU50-AU52-107</f>
        <v>-297.96091972893743</v>
      </c>
      <c r="AV53" s="2283">
        <f>AV49-AV50-AV52</f>
        <v>45.519536976999944</v>
      </c>
      <c r="AW53" s="2299">
        <f>AW49-AW52</f>
        <v>-9.2759999997582554E-5</v>
      </c>
      <c r="AX53" s="2299">
        <f>AX49-AX52</f>
        <v>0</v>
      </c>
      <c r="AY53" s="2393">
        <v>0</v>
      </c>
      <c r="AZ53" s="2393">
        <f t="shared" ref="AZ53:BH53" si="293">AY53</f>
        <v>0</v>
      </c>
      <c r="BA53" s="2266">
        <f t="shared" si="293"/>
        <v>0</v>
      </c>
      <c r="BB53" s="2266">
        <f t="shared" si="293"/>
        <v>0</v>
      </c>
      <c r="BC53" s="2266">
        <f t="shared" si="293"/>
        <v>0</v>
      </c>
      <c r="BD53" s="2266">
        <f t="shared" si="293"/>
        <v>0</v>
      </c>
      <c r="BE53" s="2266">
        <f t="shared" si="293"/>
        <v>0</v>
      </c>
      <c r="BF53" s="2266">
        <f t="shared" si="293"/>
        <v>0</v>
      </c>
      <c r="BG53" s="2266">
        <f t="shared" si="293"/>
        <v>0</v>
      </c>
      <c r="BH53" s="2266">
        <f t="shared" si="293"/>
        <v>0</v>
      </c>
      <c r="BI53" s="2266">
        <f t="shared" si="249"/>
        <v>0</v>
      </c>
      <c r="BJ53" s="2266">
        <f t="shared" si="250"/>
        <v>0</v>
      </c>
      <c r="BK53" s="2266">
        <f t="shared" si="251"/>
        <v>0</v>
      </c>
      <c r="BL53" s="2266">
        <f t="shared" si="252"/>
        <v>0</v>
      </c>
      <c r="BM53" s="2266">
        <f t="shared" si="253"/>
        <v>0</v>
      </c>
      <c r="BN53" s="2266">
        <f t="shared" si="254"/>
        <v>0</v>
      </c>
      <c r="BO53" s="2266">
        <f t="shared" si="255"/>
        <v>0</v>
      </c>
      <c r="BP53" s="2266">
        <f t="shared" si="256"/>
        <v>0</v>
      </c>
      <c r="BQ53" s="2266">
        <f t="shared" si="257"/>
        <v>0</v>
      </c>
      <c r="BR53" s="2266">
        <f t="shared" si="258"/>
        <v>0</v>
      </c>
      <c r="BS53" s="2266">
        <f t="shared" si="259"/>
        <v>0</v>
      </c>
      <c r="BT53" s="2266">
        <f t="shared" si="260"/>
        <v>0</v>
      </c>
      <c r="BU53" s="2266">
        <f t="shared" si="261"/>
        <v>0</v>
      </c>
      <c r="BV53" s="2266">
        <f t="shared" si="262"/>
        <v>0</v>
      </c>
      <c r="BW53" s="2266">
        <f t="shared" si="263"/>
        <v>0</v>
      </c>
      <c r="BX53" s="2266">
        <f t="shared" si="264"/>
        <v>0</v>
      </c>
      <c r="BY53" s="2266">
        <f t="shared" si="265"/>
        <v>0</v>
      </c>
      <c r="BZ53" s="2266">
        <f t="shared" si="266"/>
        <v>0</v>
      </c>
      <c r="CA53" s="2266">
        <f t="shared" si="267"/>
        <v>0</v>
      </c>
      <c r="CB53" s="2266">
        <f t="shared" si="268"/>
        <v>0</v>
      </c>
      <c r="CC53" s="2266">
        <f t="shared" si="269"/>
        <v>0</v>
      </c>
      <c r="CD53" s="2266">
        <f t="shared" si="270"/>
        <v>0</v>
      </c>
      <c r="CE53" s="2266">
        <f t="shared" si="271"/>
        <v>0</v>
      </c>
      <c r="CF53" s="2266">
        <f t="shared" si="272"/>
        <v>0</v>
      </c>
      <c r="CG53" s="2266">
        <f t="shared" si="273"/>
        <v>0</v>
      </c>
      <c r="CH53" s="2266">
        <f t="shared" si="274"/>
        <v>0</v>
      </c>
      <c r="CI53" s="2266">
        <f t="shared" si="275"/>
        <v>0</v>
      </c>
      <c r="CJ53" s="2266">
        <f t="shared" si="276"/>
        <v>0</v>
      </c>
      <c r="CK53" s="2266">
        <f t="shared" si="277"/>
        <v>0</v>
      </c>
      <c r="CL53" s="2266">
        <f t="shared" si="278"/>
        <v>0</v>
      </c>
      <c r="CM53" s="2266">
        <f t="shared" si="279"/>
        <v>0</v>
      </c>
      <c r="CN53" s="2266">
        <f t="shared" si="280"/>
        <v>0</v>
      </c>
      <c r="CO53" s="2266">
        <f t="shared" si="281"/>
        <v>0</v>
      </c>
      <c r="CP53" s="2266">
        <f t="shared" si="282"/>
        <v>0</v>
      </c>
      <c r="CQ53" s="2266">
        <f t="shared" si="283"/>
        <v>0</v>
      </c>
      <c r="CR53" s="2266">
        <f t="shared" si="284"/>
        <v>0</v>
      </c>
      <c r="CS53" s="2266">
        <f t="shared" si="285"/>
        <v>0</v>
      </c>
      <c r="CT53" s="2266">
        <f t="shared" si="286"/>
        <v>0</v>
      </c>
      <c r="CU53" s="2266">
        <f t="shared" si="287"/>
        <v>0</v>
      </c>
      <c r="CV53" s="2266">
        <f t="shared" si="288"/>
        <v>0</v>
      </c>
      <c r="CW53" s="2266">
        <f t="shared" si="289"/>
        <v>0</v>
      </c>
      <c r="CX53" s="2266">
        <f t="shared" si="290"/>
        <v>0</v>
      </c>
      <c r="CY53" s="2266">
        <f t="shared" si="291"/>
        <v>0</v>
      </c>
      <c r="CZ53" s="2266">
        <f t="shared" si="292"/>
        <v>0</v>
      </c>
    </row>
    <row r="54" spans="1:104" outlineLevel="1">
      <c r="A54" s="2363" t="s">
        <v>169</v>
      </c>
      <c r="B54" s="2240"/>
      <c r="C54" s="2371"/>
      <c r="D54" s="2371"/>
      <c r="E54" s="2371"/>
      <c r="F54" s="2371"/>
      <c r="G54" s="2371"/>
      <c r="H54" s="2371"/>
      <c r="I54" s="2372"/>
      <c r="J54" s="2256"/>
      <c r="K54" s="2296"/>
      <c r="L54" s="2175"/>
      <c r="M54" s="2175"/>
      <c r="N54" s="2175"/>
      <c r="O54" s="2175"/>
      <c r="P54" s="2175"/>
      <c r="Q54" s="2175"/>
      <c r="R54" s="2175"/>
      <c r="S54" s="2175"/>
      <c r="T54" s="2175">
        <v>51</v>
      </c>
      <c r="U54" s="2175"/>
      <c r="V54" s="2175"/>
      <c r="W54" s="2175"/>
      <c r="X54" s="2175"/>
      <c r="Y54" s="2175"/>
      <c r="Z54" s="2175"/>
      <c r="AA54" s="2175"/>
      <c r="AB54" s="2175"/>
      <c r="AC54" s="2175"/>
      <c r="AD54" s="2175"/>
      <c r="AE54" s="2340">
        <f>'FS Quarter'!AZ7</f>
        <v>256.71866273299997</v>
      </c>
      <c r="AF54" s="2340">
        <f>'FS Quarter'!BA7</f>
        <v>243.144091635</v>
      </c>
      <c r="AG54" s="2340">
        <f>'FS Quarter'!BB7</f>
        <v>288.290505677</v>
      </c>
      <c r="AH54" s="2340">
        <f>'FS Quarter'!BC7</f>
        <v>304.72639665100002</v>
      </c>
      <c r="AI54" s="2340">
        <f>'FS Quarter'!BD7</f>
        <v>288.60571992899997</v>
      </c>
      <c r="AJ54" s="2340">
        <f>'FS Quarter'!BE7</f>
        <v>384.46625450300002</v>
      </c>
      <c r="AK54" s="2340">
        <f>'FS Quarter'!BF7</f>
        <v>354.85920563000002</v>
      </c>
      <c r="AL54" s="2340">
        <f>'FS Quarter'!BG7</f>
        <v>297.75755306600001</v>
      </c>
      <c r="AM54" s="2340">
        <f>'FS Quarter'!BH7</f>
        <v>348.74040445399999</v>
      </c>
      <c r="AN54" s="2340">
        <f>'FS Quarter'!BI7</f>
        <v>311.780141173</v>
      </c>
      <c r="AO54" s="2374">
        <f>'FS Quarter'!BJ7</f>
        <v>359.08489394899999</v>
      </c>
      <c r="AP54" s="2414">
        <f>'FS Quarter'!BK7</f>
        <v>585.36871865399996</v>
      </c>
      <c r="AQ54" s="2414">
        <f>'FS Quarter'!BL7</f>
        <v>619.11561073500002</v>
      </c>
      <c r="AR54" s="2414">
        <f>'FS Quarter'!BM7</f>
        <v>603.39449175300001</v>
      </c>
      <c r="AS54" s="2374">
        <f>'FS Quarter'!BN7</f>
        <v>585.30999999999995</v>
      </c>
      <c r="AT54" s="2414">
        <f>'FS Quarter'!BO7</f>
        <v>580.10878495099996</v>
      </c>
      <c r="AU54" s="2414">
        <f>'FS Quarter'!BP7</f>
        <v>575.39</v>
      </c>
      <c r="AV54" s="2414">
        <f>'FS Quarter'!BQ7</f>
        <v>635.69558438800004</v>
      </c>
      <c r="AW54" s="2415">
        <f>'FS Quarter'!BR7</f>
        <v>693.29366793099996</v>
      </c>
      <c r="AX54" s="2415">
        <f>'FS Quarter'!BS7</f>
        <v>768.83224696499997</v>
      </c>
      <c r="AY54" s="2415">
        <f>'FS Quarter'!BT7</f>
        <v>809.06889743099998</v>
      </c>
      <c r="AZ54" s="2416">
        <f ca="1">(FS!$P$80+FS!$P$86)-SUM(AW54:AY55)</f>
        <v>417.01619501837718</v>
      </c>
      <c r="BA54" s="2417">
        <f>(FS!$O$80+FS!$O$86)/4</f>
        <v>297.00924893825004</v>
      </c>
      <c r="BB54" s="2417">
        <f>(FS!$O$80+FS!$O$86)/4</f>
        <v>297.00924893825004</v>
      </c>
      <c r="BC54" s="2417">
        <f>(FS!$O$80+FS!$O$86)/4</f>
        <v>297.00924893825004</v>
      </c>
      <c r="BD54" s="2417">
        <f>(FS!$O$80+FS!$O$86)/4</f>
        <v>297.00924893825004</v>
      </c>
      <c r="BE54" s="2417">
        <f>(FS!$O$80+FS!$O$86)/4</f>
        <v>297.00924893825004</v>
      </c>
      <c r="BF54" s="2417">
        <f>(FS!$O$80+FS!$O$86)/4</f>
        <v>297.00924893825004</v>
      </c>
      <c r="BG54" s="2417">
        <f>(FS!$O$80+FS!$O$86)/4</f>
        <v>297.00924893825004</v>
      </c>
      <c r="BH54" s="2417">
        <f>(FS!$O$80+FS!$O$86)/4</f>
        <v>297.00924893825004</v>
      </c>
      <c r="BI54" s="2417">
        <f>(FS!$O$80+FS!$O$86)/4</f>
        <v>297.00924893825004</v>
      </c>
      <c r="BJ54" s="2417">
        <f>(FS!$O$80+FS!$O$86)/4</f>
        <v>297.00924893825004</v>
      </c>
      <c r="BK54" s="2417">
        <f>(FS!$O$80+FS!$O$86)/4</f>
        <v>297.00924893825004</v>
      </c>
      <c r="BL54" s="2417">
        <f>(FS!$O$80+FS!$O$86)/4</f>
        <v>297.00924893825004</v>
      </c>
      <c r="BM54" s="2417">
        <f>(FS!$O$80+FS!$O$86)/4</f>
        <v>297.00924893825004</v>
      </c>
      <c r="BN54" s="2417">
        <f>(FS!$O$80+FS!$O$86)/4</f>
        <v>297.00924893825004</v>
      </c>
      <c r="BO54" s="2417">
        <f>(FS!$O$80+FS!$O$86)/4</f>
        <v>297.00924893825004</v>
      </c>
      <c r="BP54" s="2417">
        <f>(FS!$O$80+FS!$O$86)/4</f>
        <v>297.00924893825004</v>
      </c>
      <c r="BQ54" s="2417">
        <f>(FS!$O$80+FS!$O$86)/4</f>
        <v>297.00924893825004</v>
      </c>
      <c r="BR54" s="2417">
        <f>(FS!$O$80+FS!$O$86)/4</f>
        <v>297.00924893825004</v>
      </c>
      <c r="BS54" s="2417">
        <f>(FS!$O$80+FS!$O$86)/4</f>
        <v>297.00924893825004</v>
      </c>
      <c r="BT54" s="2417">
        <f>(FS!$O$80+FS!$O$86)/4</f>
        <v>297.00924893825004</v>
      </c>
      <c r="BU54" s="2417">
        <f>(FS!$O$80+FS!$O$86)/4</f>
        <v>297.00924893825004</v>
      </c>
      <c r="BV54" s="2417">
        <f>(FS!$O$80+FS!$O$86)/4</f>
        <v>297.00924893825004</v>
      </c>
      <c r="BW54" s="2417">
        <f>(FS!$O$80+FS!$O$86)/4</f>
        <v>297.00924893825004</v>
      </c>
      <c r="BX54" s="2417">
        <f>(FS!$O$80+FS!$O$86)/4</f>
        <v>297.00924893825004</v>
      </c>
      <c r="BY54" s="2417">
        <f>(FS!$O$80+FS!$O$86)/4</f>
        <v>297.00924893825004</v>
      </c>
      <c r="BZ54" s="2417">
        <f>(FS!$O$80+FS!$O$86)/4</f>
        <v>297.00924893825004</v>
      </c>
      <c r="CA54" s="2417">
        <f>(FS!$O$80+FS!$O$86)/4</f>
        <v>297.00924893825004</v>
      </c>
      <c r="CB54" s="2417">
        <f>(FS!$O$80+FS!$O$86)/4</f>
        <v>297.00924893825004</v>
      </c>
      <c r="CC54" s="2417">
        <f>(FS!$O$80+FS!$O$86)/4</f>
        <v>297.00924893825004</v>
      </c>
      <c r="CD54" s="2417">
        <f>(FS!$O$80+FS!$O$86)/4</f>
        <v>297.00924893825004</v>
      </c>
      <c r="CE54" s="2417">
        <f>(FS!$O$80+FS!$O$86)/4</f>
        <v>297.00924893825004</v>
      </c>
      <c r="CF54" s="2417">
        <f>(FS!$O$80+FS!$O$86)/4</f>
        <v>297.00924893825004</v>
      </c>
      <c r="CG54" s="2417">
        <f>(FS!$O$80+FS!$O$86)/4</f>
        <v>297.00924893825004</v>
      </c>
      <c r="CH54" s="2417">
        <f>(FS!$O$80+FS!$O$86)/4</f>
        <v>297.00924893825004</v>
      </c>
      <c r="CI54" s="2417">
        <f>(FS!$O$80+FS!$O$86)/4</f>
        <v>297.00924893825004</v>
      </c>
      <c r="CJ54" s="2417">
        <f>(FS!$O$80+FS!$O$86)/4</f>
        <v>297.00924893825004</v>
      </c>
      <c r="CK54" s="2417">
        <f>(FS!$O$80+FS!$O$86)/4</f>
        <v>297.00924893825004</v>
      </c>
      <c r="CL54" s="2417">
        <f>(FS!$O$80+FS!$O$86)/4</f>
        <v>297.00924893825004</v>
      </c>
      <c r="CM54" s="2417">
        <f>(FS!$O$80+FS!$O$86)/4</f>
        <v>297.00924893825004</v>
      </c>
      <c r="CN54" s="2417">
        <f>(FS!$O$80+FS!$O$86)/4</f>
        <v>297.00924893825004</v>
      </c>
      <c r="CO54" s="2417">
        <f>(FS!$O$80+FS!$O$86)/4</f>
        <v>297.00924893825004</v>
      </c>
      <c r="CP54" s="2417">
        <f>(FS!$O$80+FS!$O$86)/4</f>
        <v>297.00924893825004</v>
      </c>
      <c r="CQ54" s="2417">
        <f>(FS!$O$80+FS!$O$86)/4</f>
        <v>297.00924893825004</v>
      </c>
      <c r="CR54" s="2417">
        <f>(FS!$O$80+FS!$O$86)/4</f>
        <v>297.00924893825004</v>
      </c>
      <c r="CS54" s="2417">
        <f>(FS!$O$80+FS!$O$86)/4</f>
        <v>297.00924893825004</v>
      </c>
      <c r="CT54" s="2417">
        <f>(FS!$O$80+FS!$O$86)/4</f>
        <v>297.00924893825004</v>
      </c>
      <c r="CU54" s="2417">
        <f>(FS!$O$80+FS!$O$86)/4</f>
        <v>297.00924893825004</v>
      </c>
      <c r="CV54" s="2417">
        <f>(FS!$O$80+FS!$O$86)/4</f>
        <v>297.00924893825004</v>
      </c>
      <c r="CW54" s="2417">
        <f>(FS!$O$80+FS!$O$86)/4</f>
        <v>297.00924893825004</v>
      </c>
      <c r="CX54" s="2417">
        <f>(FS!$O$80+FS!$O$86)/4</f>
        <v>297.00924893825004</v>
      </c>
      <c r="CY54" s="2417">
        <f>(FS!$O$80+FS!$O$86)/4</f>
        <v>297.00924893825004</v>
      </c>
      <c r="CZ54" s="2417">
        <f>(FS!$O$80+FS!$O$86)/4</f>
        <v>297.00924893825004</v>
      </c>
    </row>
    <row r="55" spans="1:104" outlineLevel="1">
      <c r="A55" s="2363" t="s">
        <v>170</v>
      </c>
      <c r="B55" s="2240"/>
      <c r="C55" s="2371"/>
      <c r="D55" s="2371"/>
      <c r="E55" s="2371"/>
      <c r="F55" s="2371"/>
      <c r="G55" s="2371"/>
      <c r="H55" s="2371"/>
      <c r="I55" s="2372"/>
      <c r="J55" s="2256"/>
      <c r="K55" s="2296"/>
      <c r="L55" s="2175"/>
      <c r="M55" s="2175"/>
      <c r="N55" s="2175"/>
      <c r="O55" s="2175"/>
      <c r="P55" s="2175"/>
      <c r="Q55" s="2175"/>
      <c r="R55" s="2175"/>
      <c r="S55" s="2175"/>
      <c r="T55" s="2175">
        <v>52</v>
      </c>
      <c r="U55" s="2175"/>
      <c r="V55" s="2175"/>
      <c r="W55" s="2175"/>
      <c r="X55" s="2175"/>
      <c r="Y55" s="2175"/>
      <c r="Z55" s="2175"/>
      <c r="AA55" s="2175"/>
      <c r="AB55" s="2175"/>
      <c r="AC55" s="2175"/>
      <c r="AD55" s="2340">
        <f>'FS Quarter'!AY8</f>
        <v>-137.081235663</v>
      </c>
      <c r="AE55" s="2340">
        <f>'FS Quarter'!AZ8</f>
        <v>-132.14626749199999</v>
      </c>
      <c r="AF55" s="2340">
        <f>'FS Quarter'!BA8</f>
        <v>-146.67580293099999</v>
      </c>
      <c r="AG55" s="2340">
        <f>'FS Quarter'!BB8</f>
        <v>-152.80239519099999</v>
      </c>
      <c r="AH55" s="2340">
        <f>'FS Quarter'!BC8</f>
        <v>-170.84221576799999</v>
      </c>
      <c r="AI55" s="2340">
        <f>'FS Quarter'!BD8</f>
        <v>-164.67884072800001</v>
      </c>
      <c r="AJ55" s="2340">
        <f>'FS Quarter'!BE8</f>
        <v>-225.42169071800001</v>
      </c>
      <c r="AK55" s="2340">
        <f>'FS Quarter'!BF8</f>
        <v>-206.279128125</v>
      </c>
      <c r="AL55" s="2340">
        <f>'FS Quarter'!BG8</f>
        <v>-360.15734653999999</v>
      </c>
      <c r="AM55" s="2340">
        <f>'FS Quarter'!BH8</f>
        <v>-434.63715038200002</v>
      </c>
      <c r="AN55" s="2340">
        <f>'FS Quarter'!BI8</f>
        <v>-381.54682948499999</v>
      </c>
      <c r="AO55" s="2374">
        <f>'FS Quarter'!BJ8</f>
        <v>-295.779227945</v>
      </c>
      <c r="AP55" s="2414">
        <f>'FS Quarter'!BK8</f>
        <v>-396.87509483899998</v>
      </c>
      <c r="AQ55" s="2414">
        <f>'FS Quarter'!BL8</f>
        <v>-444.91105877000001</v>
      </c>
      <c r="AR55" s="2414">
        <f>'FS Quarter'!BM8</f>
        <v>-418.58072542799999</v>
      </c>
      <c r="AS55" s="2374">
        <f>'FS Quarter'!BN8</f>
        <v>-375.24</v>
      </c>
      <c r="AT55" s="2414">
        <f>'FS Quarter'!BO8</f>
        <v>-293.71725455799998</v>
      </c>
      <c r="AU55" s="2414">
        <f>'FS Quarter'!BP8</f>
        <v>-330.44</v>
      </c>
      <c r="AV55" s="2414">
        <f>'FS Quarter'!BQ8</f>
        <v>-189.07196317099999</v>
      </c>
      <c r="AW55" s="2415">
        <f>'FS Quarter'!BR8</f>
        <v>-339.023162705</v>
      </c>
      <c r="AX55" s="2415">
        <f>'FS Quarter'!BS8</f>
        <v>-402.45446864399997</v>
      </c>
      <c r="AY55" s="2415">
        <f>'FS Quarter'!BT8</f>
        <v>-410.74327563600002</v>
      </c>
      <c r="AZ55" s="2416"/>
      <c r="BA55" s="2417"/>
      <c r="BB55" s="2417"/>
      <c r="BC55" s="2417"/>
      <c r="BD55" s="2417"/>
      <c r="BE55" s="2417"/>
      <c r="BF55" s="2417"/>
      <c r="BG55" s="2417"/>
      <c r="BH55" s="2417"/>
      <c r="BI55" s="2417"/>
      <c r="BJ55" s="2417"/>
      <c r="BK55" s="2417"/>
      <c r="BL55" s="2417"/>
      <c r="BM55" s="2417"/>
      <c r="BN55" s="2417"/>
      <c r="BO55" s="2417"/>
      <c r="BP55" s="2417"/>
      <c r="BQ55" s="2417"/>
      <c r="BR55" s="2417"/>
      <c r="BS55" s="2417"/>
      <c r="BT55" s="2417"/>
      <c r="BU55" s="2417"/>
      <c r="BV55" s="2417"/>
      <c r="BW55" s="2417"/>
      <c r="BX55" s="2417"/>
      <c r="BY55" s="2417"/>
      <c r="BZ55" s="2417"/>
      <c r="CA55" s="2417"/>
      <c r="CB55" s="2417"/>
      <c r="CC55" s="2417"/>
      <c r="CD55" s="2417"/>
      <c r="CE55" s="2417"/>
      <c r="CF55" s="2417"/>
      <c r="CG55" s="2417"/>
      <c r="CH55" s="2417"/>
      <c r="CI55" s="2417"/>
      <c r="CJ55" s="2417"/>
      <c r="CK55" s="2417"/>
      <c r="CL55" s="2417"/>
      <c r="CM55" s="2417"/>
      <c r="CN55" s="2417"/>
      <c r="CO55" s="2417"/>
      <c r="CP55" s="2417"/>
      <c r="CQ55" s="2417"/>
      <c r="CR55" s="2417"/>
      <c r="CS55" s="2417"/>
      <c r="CT55" s="2417"/>
      <c r="CU55" s="2417"/>
      <c r="CV55" s="2417"/>
      <c r="CW55" s="2417"/>
      <c r="CX55" s="2417"/>
      <c r="CY55" s="2417"/>
      <c r="CZ55" s="2417"/>
    </row>
    <row r="56" spans="1:104">
      <c r="A56" s="2363" t="s">
        <v>171</v>
      </c>
      <c r="B56" s="2240"/>
      <c r="C56" s="2371"/>
      <c r="D56" s="2371"/>
      <c r="E56" s="2371"/>
      <c r="F56" s="2371"/>
      <c r="G56" s="2371"/>
      <c r="H56" s="2206"/>
      <c r="I56" s="2372"/>
      <c r="J56" s="2256"/>
      <c r="K56" s="2296"/>
      <c r="L56" s="2175"/>
      <c r="M56" s="2175"/>
      <c r="N56" s="2175"/>
      <c r="O56" s="2175"/>
      <c r="P56" s="2175"/>
      <c r="Q56" s="2175"/>
      <c r="R56" s="2175"/>
      <c r="S56" s="2175"/>
      <c r="T56" s="2175">
        <v>53</v>
      </c>
      <c r="U56" s="2175"/>
      <c r="V56" s="2175"/>
      <c r="W56" s="2175"/>
      <c r="X56" s="2175"/>
      <c r="Y56" s="2175"/>
      <c r="Z56" s="2175"/>
      <c r="AA56" s="2175"/>
      <c r="AB56" s="2175"/>
      <c r="AC56" s="2340">
        <f>'FS Quarter'!AX16</f>
        <v>1.389332266</v>
      </c>
      <c r="AD56" s="2340">
        <f>'FS Quarter'!AY16</f>
        <v>-8.5967387019999997</v>
      </c>
      <c r="AE56" s="2340">
        <f>'FS Quarter'!AZ16</f>
        <v>-0.95991647400000002</v>
      </c>
      <c r="AF56" s="2340">
        <f>'FS Quarter'!BA16</f>
        <v>5.3727973090000001</v>
      </c>
      <c r="AG56" s="2340">
        <f>'FS Quarter'!BB16</f>
        <v>3.592342881</v>
      </c>
      <c r="AH56" s="2340">
        <f>'FS Quarter'!BC16</f>
        <v>-2.2299470659999998</v>
      </c>
      <c r="AI56" s="2340">
        <f>'FS Quarter'!BD16</f>
        <v>2.343896585</v>
      </c>
      <c r="AJ56" s="2340">
        <f>'FS Quarter'!BE16</f>
        <v>23.17560585</v>
      </c>
      <c r="AK56" s="2340">
        <f>'FS Quarter'!BF16</f>
        <v>5.6224114519999997</v>
      </c>
      <c r="AL56" s="2340">
        <f>'FS Quarter'!BG16</f>
        <v>-263.66812472999999</v>
      </c>
      <c r="AM56" s="2340">
        <f>'FS Quarter'!BH16</f>
        <v>-229.46042191999999</v>
      </c>
      <c r="AN56" s="2340">
        <f>'FS Quarter'!BI16</f>
        <v>-30.832189828000001</v>
      </c>
      <c r="AO56" s="2374">
        <f>'FS Quarter'!BJ16</f>
        <v>-9.4607334989999998</v>
      </c>
      <c r="AP56" s="2414">
        <f>'FS Quarter'!BK16</f>
        <v>-59.58685002</v>
      </c>
      <c r="AQ56" s="2414">
        <f>'FS Quarter'!BL16</f>
        <v>-14.818349994</v>
      </c>
      <c r="AR56" s="2414">
        <f>'FS Quarter'!BM16</f>
        <v>-244.293593216</v>
      </c>
      <c r="AS56" s="2374">
        <f>'FS Quarter'!BN16</f>
        <v>-6.2</v>
      </c>
      <c r="AT56" s="2414">
        <f>'FS Quarter'!BO16</f>
        <v>-181.60930927499999</v>
      </c>
      <c r="AU56" s="2414">
        <f>'FS Quarter'!BP16</f>
        <v>-252.39</v>
      </c>
      <c r="AV56" s="2414">
        <f>'FS Quarter'!BQ16</f>
        <v>38.921131266000003</v>
      </c>
      <c r="AW56" s="2415">
        <f>'FS Quarter'!BR16</f>
        <v>-5.543377145</v>
      </c>
      <c r="AX56" s="2415">
        <f>'FS Quarter'!BS16</f>
        <v>-13.046014594000001</v>
      </c>
      <c r="AY56" s="2415">
        <f>'FS Quarter'!BT16</f>
        <v>-18.090280954000001</v>
      </c>
      <c r="AZ56" s="2416">
        <f t="shared" ref="AZ56:BH56" si="294">AY56</f>
        <v>-18.090280954000001</v>
      </c>
      <c r="BA56" s="2417">
        <f t="shared" si="294"/>
        <v>-18.090280954000001</v>
      </c>
      <c r="BB56" s="2417">
        <f t="shared" si="294"/>
        <v>-18.090280954000001</v>
      </c>
      <c r="BC56" s="2417">
        <f t="shared" si="294"/>
        <v>-18.090280954000001</v>
      </c>
      <c r="BD56" s="2417">
        <f t="shared" si="294"/>
        <v>-18.090280954000001</v>
      </c>
      <c r="BE56" s="2417">
        <f t="shared" si="294"/>
        <v>-18.090280954000001</v>
      </c>
      <c r="BF56" s="2417">
        <f t="shared" si="294"/>
        <v>-18.090280954000001</v>
      </c>
      <c r="BG56" s="2417">
        <f t="shared" si="294"/>
        <v>-18.090280954000001</v>
      </c>
      <c r="BH56" s="2417">
        <f t="shared" si="294"/>
        <v>-18.090280954000001</v>
      </c>
      <c r="BI56" s="2417">
        <f t="shared" ref="BI56" si="295">BH56</f>
        <v>-18.090280954000001</v>
      </c>
      <c r="BJ56" s="2417">
        <f t="shared" ref="BJ56" si="296">BI56</f>
        <v>-18.090280954000001</v>
      </c>
      <c r="BK56" s="2417">
        <f t="shared" ref="BK56" si="297">BJ56</f>
        <v>-18.090280954000001</v>
      </c>
      <c r="BL56" s="2417">
        <f t="shared" ref="BL56" si="298">BK56</f>
        <v>-18.090280954000001</v>
      </c>
      <c r="BM56" s="2417">
        <f t="shared" ref="BM56" si="299">BL56</f>
        <v>-18.090280954000001</v>
      </c>
      <c r="BN56" s="2417">
        <f t="shared" ref="BN56" si="300">BM56</f>
        <v>-18.090280954000001</v>
      </c>
      <c r="BO56" s="2417">
        <f t="shared" ref="BO56" si="301">BN56</f>
        <v>-18.090280954000001</v>
      </c>
      <c r="BP56" s="2417">
        <f t="shared" ref="BP56" si="302">BO56</f>
        <v>-18.090280954000001</v>
      </c>
      <c r="BQ56" s="2417">
        <f t="shared" ref="BQ56" si="303">BP56</f>
        <v>-18.090280954000001</v>
      </c>
      <c r="BR56" s="2417">
        <f t="shared" ref="BR56" si="304">BQ56</f>
        <v>-18.090280954000001</v>
      </c>
      <c r="BS56" s="2417">
        <f t="shared" ref="BS56" si="305">BR56</f>
        <v>-18.090280954000001</v>
      </c>
      <c r="BT56" s="2417">
        <f t="shared" ref="BT56" si="306">BS56</f>
        <v>-18.090280954000001</v>
      </c>
      <c r="BU56" s="2417">
        <f t="shared" ref="BU56" si="307">BT56</f>
        <v>-18.090280954000001</v>
      </c>
      <c r="BV56" s="2417">
        <f t="shared" ref="BV56" si="308">BU56</f>
        <v>-18.090280954000001</v>
      </c>
      <c r="BW56" s="2417">
        <f t="shared" ref="BW56" si="309">BV56</f>
        <v>-18.090280954000001</v>
      </c>
      <c r="BX56" s="2417">
        <f t="shared" ref="BX56" si="310">BW56</f>
        <v>-18.090280954000001</v>
      </c>
      <c r="BY56" s="2417">
        <f t="shared" ref="BY56" si="311">BX56</f>
        <v>-18.090280954000001</v>
      </c>
      <c r="BZ56" s="2417">
        <f t="shared" ref="BZ56" si="312">BY56</f>
        <v>-18.090280954000001</v>
      </c>
      <c r="CA56" s="2417">
        <f t="shared" ref="CA56" si="313">BZ56</f>
        <v>-18.090280954000001</v>
      </c>
      <c r="CB56" s="2417">
        <f t="shared" ref="CB56" si="314">CA56</f>
        <v>-18.090280954000001</v>
      </c>
      <c r="CC56" s="2417">
        <f t="shared" ref="CC56" si="315">CB56</f>
        <v>-18.090280954000001</v>
      </c>
      <c r="CD56" s="2417">
        <f t="shared" ref="CD56" si="316">CC56</f>
        <v>-18.090280954000001</v>
      </c>
      <c r="CE56" s="2417">
        <f t="shared" ref="CE56" si="317">CD56</f>
        <v>-18.090280954000001</v>
      </c>
      <c r="CF56" s="2417">
        <f t="shared" ref="CF56" si="318">CE56</f>
        <v>-18.090280954000001</v>
      </c>
      <c r="CG56" s="2417">
        <f t="shared" ref="CG56" si="319">CF56</f>
        <v>-18.090280954000001</v>
      </c>
      <c r="CH56" s="2417">
        <f t="shared" ref="CH56" si="320">CG56</f>
        <v>-18.090280954000001</v>
      </c>
      <c r="CI56" s="2417">
        <f t="shared" ref="CI56" si="321">CH56</f>
        <v>-18.090280954000001</v>
      </c>
      <c r="CJ56" s="2417">
        <f t="shared" ref="CJ56" si="322">CI56</f>
        <v>-18.090280954000001</v>
      </c>
      <c r="CK56" s="2417">
        <f t="shared" ref="CK56" si="323">CJ56</f>
        <v>-18.090280954000001</v>
      </c>
      <c r="CL56" s="2417">
        <f t="shared" ref="CL56" si="324">CK56</f>
        <v>-18.090280954000001</v>
      </c>
      <c r="CM56" s="2417">
        <f t="shared" ref="CM56" si="325">CL56</f>
        <v>-18.090280954000001</v>
      </c>
      <c r="CN56" s="2417">
        <f t="shared" ref="CN56" si="326">CM56</f>
        <v>-18.090280954000001</v>
      </c>
      <c r="CO56" s="2417">
        <f t="shared" ref="CO56" si="327">CN56</f>
        <v>-18.090280954000001</v>
      </c>
      <c r="CP56" s="2417">
        <f t="shared" ref="CP56" si="328">CO56</f>
        <v>-18.090280954000001</v>
      </c>
      <c r="CQ56" s="2417">
        <f t="shared" ref="CQ56" si="329">CP56</f>
        <v>-18.090280954000001</v>
      </c>
      <c r="CR56" s="2417">
        <f t="shared" ref="CR56" si="330">CQ56</f>
        <v>-18.090280954000001</v>
      </c>
      <c r="CS56" s="2417">
        <f t="shared" ref="CS56" si="331">CR56</f>
        <v>-18.090280954000001</v>
      </c>
      <c r="CT56" s="2417">
        <f t="shared" ref="CT56" si="332">CS56</f>
        <v>-18.090280954000001</v>
      </c>
      <c r="CU56" s="2417">
        <f t="shared" ref="CU56" si="333">CT56</f>
        <v>-18.090280954000001</v>
      </c>
      <c r="CV56" s="2417">
        <f t="shared" ref="CV56" si="334">CU56</f>
        <v>-18.090280954000001</v>
      </c>
      <c r="CW56" s="2417">
        <f t="shared" ref="CW56" si="335">CV56</f>
        <v>-18.090280954000001</v>
      </c>
      <c r="CX56" s="2417">
        <f t="shared" ref="CX56" si="336">CW56</f>
        <v>-18.090280954000001</v>
      </c>
      <c r="CY56" s="2417">
        <f t="shared" ref="CY56" si="337">CX56</f>
        <v>-18.090280954000001</v>
      </c>
      <c r="CZ56" s="2417">
        <f t="shared" ref="CZ56" si="338">CY56</f>
        <v>-18.090280954000001</v>
      </c>
    </row>
    <row r="57" spans="1:104" s="2231" customFormat="1">
      <c r="A57" s="2378" t="s">
        <v>172</v>
      </c>
      <c r="B57" s="2379"/>
      <c r="C57" s="2221"/>
      <c r="D57" s="2221"/>
      <c r="E57" s="2221"/>
      <c r="F57" s="2221"/>
      <c r="G57" s="2221"/>
      <c r="H57" s="2221"/>
      <c r="I57" s="2380"/>
      <c r="J57" s="2381"/>
      <c r="K57" s="2382"/>
      <c r="L57" s="2383"/>
      <c r="M57" s="2383"/>
      <c r="N57" s="2383"/>
      <c r="O57" s="2383"/>
      <c r="P57" s="2383"/>
      <c r="Q57" s="2383"/>
      <c r="R57" s="2383"/>
      <c r="S57" s="2383"/>
      <c r="T57" s="2175">
        <v>54</v>
      </c>
      <c r="U57" s="2383"/>
      <c r="V57" s="2383"/>
      <c r="W57" s="2383"/>
      <c r="X57" s="2383"/>
      <c r="Y57" s="2383"/>
      <c r="Z57" s="2383"/>
      <c r="AA57" s="2383"/>
      <c r="AB57" s="2383"/>
      <c r="AC57" s="2383"/>
      <c r="AD57" s="2383"/>
      <c r="AE57" s="2225">
        <f t="shared" ref="AE57:AJ57" si="339">AE48-AE49-(AE54+AE55+AE56)</f>
        <v>1154.667450701</v>
      </c>
      <c r="AF57" s="2225">
        <f t="shared" si="339"/>
        <v>1231.890684211</v>
      </c>
      <c r="AG57" s="2225">
        <f t="shared" si="339"/>
        <v>2326.1251307740004</v>
      </c>
      <c r="AH57" s="2225">
        <f t="shared" si="339"/>
        <v>1917.1911421510001</v>
      </c>
      <c r="AI57" s="2225">
        <f t="shared" si="339"/>
        <v>780.12537528699988</v>
      </c>
      <c r="AJ57" s="2225">
        <f t="shared" si="339"/>
        <v>2068.6498723560003</v>
      </c>
      <c r="AK57" s="2225">
        <f>AK48-AK49-(AK54+AK55+AK56)</f>
        <v>2608.7727896329998</v>
      </c>
      <c r="AL57" s="2225">
        <f>AL48-AL49-(AL54+AL55+AL56)</f>
        <v>3151.0690231819999</v>
      </c>
      <c r="AM57" s="2225">
        <f>AM48-AM49-(AM54+AM55+AM56)</f>
        <v>2817.8832929070004</v>
      </c>
      <c r="AN57" s="2225">
        <f>AN48-AN49-(AN54+AN55+AN56)</f>
        <v>1643.7424608759998</v>
      </c>
      <c r="AO57" s="2227">
        <f>AO48-AO49-SUM(AO54:AO55)</f>
        <v>619.63332459200001</v>
      </c>
      <c r="AP57" s="2227">
        <f>AP48-AP49-SUM(AP54:AP55)</f>
        <v>341.02844305199994</v>
      </c>
      <c r="AQ57" s="2227">
        <f>AQ48-AQ49-SUM(AQ54:AQ55)</f>
        <v>439.95612842099996</v>
      </c>
      <c r="AR57" s="2227">
        <f>AR48-AR49-SUM(AR54:AR55)</f>
        <v>677.36738889699996</v>
      </c>
      <c r="AS57" s="2226">
        <f>AS48-AS49-SUM(AS54:AS55)-AS56</f>
        <v>1303.0621291450002</v>
      </c>
      <c r="AT57" s="2227">
        <f>AT48-AT49-SUM(AT54:AT55)-AT56-45</f>
        <v>1452.2592037850625</v>
      </c>
      <c r="AU57" s="2227">
        <f>AU48-AU49-SUM(AU54:AU55)-AU56-45+AU51+107</f>
        <v>1340.1118437739374</v>
      </c>
      <c r="AV57" s="2227">
        <f>AV48-AV49-SUM(AV54:AV55)-AV56+AV51</f>
        <v>373.189803977</v>
      </c>
      <c r="AW57" s="2228">
        <f>AW48-AW49-SUM(AW54:AW55)-AW56+AW51-AW50</f>
        <v>1545.8980865440001</v>
      </c>
      <c r="AX57" s="2228">
        <f ca="1">AX48-AX49-SUM(AX54:AX55)-AX56+AX51-AX50+AX53</f>
        <v>1477.5064327976165</v>
      </c>
      <c r="AY57" s="2228">
        <f ca="1">AY48-AY49-SUM(AY54:AY55)-AY56+AY51-AY50+AY53</f>
        <v>1508.1352035221348</v>
      </c>
      <c r="AZ57" s="2229">
        <f ca="1">AZ93</f>
        <v>2085.1691574603642</v>
      </c>
      <c r="BA57" s="2217"/>
      <c r="BB57" s="2217"/>
      <c r="BC57" s="2217"/>
      <c r="BD57" s="2217"/>
      <c r="BE57" s="2217"/>
      <c r="BF57" s="2217"/>
      <c r="BG57" s="2217"/>
      <c r="BH57" s="2217"/>
      <c r="BI57" s="2217"/>
      <c r="BJ57" s="2217"/>
      <c r="BK57" s="2217"/>
      <c r="BL57" s="2217"/>
      <c r="BM57" s="2217"/>
      <c r="BN57" s="2217"/>
      <c r="BO57" s="2217"/>
      <c r="BP57" s="2217"/>
      <c r="BQ57" s="2217"/>
      <c r="BR57" s="2217"/>
      <c r="BS57" s="2217"/>
      <c r="BT57" s="2217"/>
      <c r="BU57" s="2217"/>
      <c r="BV57" s="2217"/>
      <c r="BW57" s="2217"/>
      <c r="BX57" s="2217"/>
      <c r="BY57" s="2217"/>
      <c r="BZ57" s="2217"/>
      <c r="CA57" s="2217"/>
      <c r="CB57" s="2217"/>
      <c r="CC57" s="2217"/>
      <c r="CD57" s="2217"/>
      <c r="CE57" s="2217"/>
      <c r="CF57" s="2217"/>
      <c r="CG57" s="2217"/>
      <c r="CH57" s="2217"/>
      <c r="CI57" s="2217"/>
      <c r="CJ57" s="2217"/>
      <c r="CK57" s="2217"/>
      <c r="CL57" s="2217"/>
      <c r="CM57" s="2217"/>
      <c r="CN57" s="2217"/>
      <c r="CO57" s="2217"/>
      <c r="CP57" s="2217"/>
      <c r="CQ57" s="2217"/>
      <c r="CR57" s="2217"/>
      <c r="CS57" s="2217"/>
      <c r="CT57" s="2217"/>
      <c r="CU57" s="2217"/>
      <c r="CV57" s="2217"/>
      <c r="CW57" s="2217"/>
      <c r="CX57" s="2217"/>
      <c r="CY57" s="2217"/>
      <c r="CZ57" s="2217"/>
    </row>
    <row r="58" spans="1:104" s="2231" customFormat="1">
      <c r="A58" s="2378"/>
      <c r="B58" s="2379"/>
      <c r="C58" s="2221"/>
      <c r="D58" s="2221"/>
      <c r="E58" s="2418">
        <f t="shared" ref="E58:L58" si="340">E71/E82</f>
        <v>0.57894736842105265</v>
      </c>
      <c r="F58" s="2418">
        <f t="shared" si="340"/>
        <v>0.63687150837988815</v>
      </c>
      <c r="G58" s="2418">
        <f t="shared" si="340"/>
        <v>0.66169154228855731</v>
      </c>
      <c r="H58" s="2418">
        <f t="shared" si="340"/>
        <v>0.66492829204693604</v>
      </c>
      <c r="I58" s="2418">
        <f t="shared" ca="1" si="340"/>
        <v>0.66537966537966531</v>
      </c>
      <c r="J58" s="2418">
        <f t="shared" ca="1" si="340"/>
        <v>0.66147308781869696</v>
      </c>
      <c r="K58" s="2419">
        <f t="shared" ca="1" si="340"/>
        <v>0.65975170404592742</v>
      </c>
      <c r="L58" s="2420">
        <f t="shared" ca="1" si="340"/>
        <v>0.64442390918901093</v>
      </c>
      <c r="M58" s="2383"/>
      <c r="N58" s="2383"/>
      <c r="O58" s="2383"/>
      <c r="P58" s="2383"/>
      <c r="Q58" s="2383"/>
      <c r="R58" s="2383"/>
      <c r="S58" s="2383"/>
      <c r="T58" s="2175">
        <v>55</v>
      </c>
      <c r="U58" s="2383"/>
      <c r="V58" s="2383"/>
      <c r="W58" s="2383"/>
      <c r="X58" s="2383"/>
      <c r="Y58" s="2383"/>
      <c r="Z58" s="2383"/>
      <c r="AA58" s="2383"/>
      <c r="AB58" s="2383"/>
      <c r="AC58" s="2383"/>
      <c r="AD58" s="2383"/>
      <c r="AE58" s="2225"/>
      <c r="AF58" s="2225"/>
      <c r="AG58" s="2225"/>
      <c r="AH58" s="2225"/>
      <c r="AI58" s="2225"/>
      <c r="AJ58" s="2225"/>
      <c r="AK58" s="2225"/>
      <c r="AL58" s="2225"/>
      <c r="AM58" s="2225"/>
      <c r="AN58" s="2225"/>
      <c r="AO58" s="2227">
        <f>'FS Quarter'!BJ22</f>
        <v>21.281314441999999</v>
      </c>
      <c r="AP58" s="2227">
        <f>'FS Quarter'!BK22</f>
        <v>17.413949382999999</v>
      </c>
      <c r="AQ58" s="2227">
        <f>'FS Quarter'!BL22</f>
        <v>38.815863118999999</v>
      </c>
      <c r="AR58" s="2227">
        <f>'FS Quarter'!BM22</f>
        <v>90.318027994999994</v>
      </c>
      <c r="AS58" s="2226">
        <f>'FS Quarter'!BN22</f>
        <v>902.97</v>
      </c>
      <c r="AT58" s="2227">
        <f>'FS Quarter'!BO22</f>
        <v>1172.384028448</v>
      </c>
      <c r="AU58" s="2227">
        <f>'FS Quarter'!BP22</f>
        <v>805.79</v>
      </c>
      <c r="AV58" s="2227">
        <f>'FS Quarter'!BQ22</f>
        <v>852.14412629000003</v>
      </c>
      <c r="AW58" s="2228">
        <f>'FS Quarter'!BR22</f>
        <v>1547.8337686760001</v>
      </c>
      <c r="AX58" s="2228">
        <f>'FS Quarter'!BS22</f>
        <v>1657.5291209100001</v>
      </c>
      <c r="AY58" s="2228">
        <f>'FS Quarter'!BT22</f>
        <v>1783.6656339850001</v>
      </c>
      <c r="AZ58" s="2229">
        <f t="shared" ref="AZ58:CD58" ca="1" si="341">AZ98+AZ49+AZ54*0.8+AZ51+AZ56</f>
        <v>1958.1307706442753</v>
      </c>
      <c r="BA58" s="2230">
        <f t="shared" ca="1" si="341"/>
        <v>1920.5528456193204</v>
      </c>
      <c r="BB58" s="2230">
        <f t="shared" ca="1" si="341"/>
        <v>2017.264149788858</v>
      </c>
      <c r="BC58" s="2230">
        <f t="shared" ca="1" si="341"/>
        <v>2077.9869405635673</v>
      </c>
      <c r="BD58" s="2230">
        <f t="shared" ca="1" si="341"/>
        <v>2900.8347969466495</v>
      </c>
      <c r="BE58" s="2230">
        <f t="shared" ca="1" si="341"/>
        <v>2418.3464227139716</v>
      </c>
      <c r="BF58" s="2230">
        <f t="shared" ca="1" si="341"/>
        <v>2399.9498850802465</v>
      </c>
      <c r="BG58" s="2230">
        <f t="shared" ca="1" si="341"/>
        <v>2527.3379215371829</v>
      </c>
      <c r="BH58" s="2230">
        <f t="shared" ca="1" si="341"/>
        <v>3513.0648763549161</v>
      </c>
      <c r="BI58" s="2230">
        <f t="shared" ca="1" si="341"/>
        <v>2951.5008798112217</v>
      </c>
      <c r="BJ58" s="2230">
        <f t="shared" ca="1" si="341"/>
        <v>2979.5049466207056</v>
      </c>
      <c r="BK58" s="2230">
        <f t="shared" ca="1" si="341"/>
        <v>3127.2758477548682</v>
      </c>
      <c r="BL58" s="2230">
        <f t="shared" ca="1" si="341"/>
        <v>4206.6385945840166</v>
      </c>
      <c r="BM58" s="2230">
        <f t="shared" ca="1" si="341"/>
        <v>3434.8969837495893</v>
      </c>
      <c r="BN58" s="2230">
        <f t="shared" ca="1" si="341"/>
        <v>3447.7035280719151</v>
      </c>
      <c r="BO58" s="2230">
        <f t="shared" ca="1" si="341"/>
        <v>3624.8362625924137</v>
      </c>
      <c r="BP58" s="2230">
        <f t="shared" ca="1" si="341"/>
        <v>4773.666022084476</v>
      </c>
      <c r="BQ58" s="2230">
        <f t="shared" ca="1" si="341"/>
        <v>3926.8741556200944</v>
      </c>
      <c r="BR58" s="2230">
        <f t="shared" ca="1" si="341"/>
        <v>3933.2286266766646</v>
      </c>
      <c r="BS58" s="2230">
        <f t="shared" ca="1" si="341"/>
        <v>4123.0618261215368</v>
      </c>
      <c r="BT58" s="2230">
        <f t="shared" ca="1" si="341"/>
        <v>5344.8503816279363</v>
      </c>
      <c r="BU58" s="2230" t="e">
        <f t="shared" ca="1" si="341"/>
        <v>#N/A</v>
      </c>
      <c r="BV58" s="2230" t="e">
        <f t="shared" ca="1" si="341"/>
        <v>#N/A</v>
      </c>
      <c r="BW58" s="2230" t="e">
        <f t="shared" ca="1" si="341"/>
        <v>#N/A</v>
      </c>
      <c r="BX58" s="2230" t="e">
        <f t="shared" ca="1" si="341"/>
        <v>#N/A</v>
      </c>
      <c r="BY58" s="2230" t="e">
        <f t="shared" ca="1" si="341"/>
        <v>#N/A</v>
      </c>
      <c r="BZ58" s="2230" t="e">
        <f t="shared" ca="1" si="341"/>
        <v>#N/A</v>
      </c>
      <c r="CA58" s="2230" t="e">
        <f t="shared" ca="1" si="341"/>
        <v>#N/A</v>
      </c>
      <c r="CB58" s="2230" t="e">
        <f t="shared" ca="1" si="341"/>
        <v>#N/A</v>
      </c>
      <c r="CC58" s="2230" t="e">
        <f t="shared" si="341"/>
        <v>#N/A</v>
      </c>
      <c r="CD58" s="2230" t="e">
        <f t="shared" ca="1" si="341"/>
        <v>#N/A</v>
      </c>
      <c r="CE58" s="2230" t="e">
        <f t="shared" ref="CE58:CZ58" ca="1" si="342">CE98+CE49+CE54*0.8+CE51+CE56</f>
        <v>#N/A</v>
      </c>
      <c r="CF58" s="2230" t="e">
        <f t="shared" ca="1" si="342"/>
        <v>#N/A</v>
      </c>
      <c r="CG58" s="2230" t="e">
        <f t="shared" si="342"/>
        <v>#N/A</v>
      </c>
      <c r="CH58" s="2230" t="e">
        <f t="shared" ca="1" si="342"/>
        <v>#N/A</v>
      </c>
      <c r="CI58" s="2230" t="e">
        <f t="shared" ca="1" si="342"/>
        <v>#N/A</v>
      </c>
      <c r="CJ58" s="2230" t="e">
        <f t="shared" ca="1" si="342"/>
        <v>#N/A</v>
      </c>
      <c r="CK58" s="2230" t="e">
        <f t="shared" si="342"/>
        <v>#N/A</v>
      </c>
      <c r="CL58" s="2230" t="e">
        <f t="shared" ca="1" si="342"/>
        <v>#N/A</v>
      </c>
      <c r="CM58" s="2230" t="e">
        <f t="shared" ca="1" si="342"/>
        <v>#N/A</v>
      </c>
      <c r="CN58" s="2230" t="e">
        <f t="shared" ca="1" si="342"/>
        <v>#N/A</v>
      </c>
      <c r="CO58" s="2230" t="e">
        <f t="shared" si="342"/>
        <v>#N/A</v>
      </c>
      <c r="CP58" s="2230" t="e">
        <f t="shared" ca="1" si="342"/>
        <v>#N/A</v>
      </c>
      <c r="CQ58" s="2230" t="e">
        <f t="shared" ca="1" si="342"/>
        <v>#N/A</v>
      </c>
      <c r="CR58" s="2230" t="e">
        <f t="shared" ca="1" si="342"/>
        <v>#N/A</v>
      </c>
      <c r="CS58" s="2230" t="e">
        <f t="shared" si="342"/>
        <v>#N/A</v>
      </c>
      <c r="CT58" s="2230" t="e">
        <f t="shared" ca="1" si="342"/>
        <v>#N/A</v>
      </c>
      <c r="CU58" s="2230" t="e">
        <f t="shared" ca="1" si="342"/>
        <v>#N/A</v>
      </c>
      <c r="CV58" s="2230" t="e">
        <f t="shared" ca="1" si="342"/>
        <v>#N/A</v>
      </c>
      <c r="CW58" s="2230" t="e">
        <f t="shared" si="342"/>
        <v>#N/A</v>
      </c>
      <c r="CX58" s="2230" t="e">
        <f t="shared" ca="1" si="342"/>
        <v>#N/A</v>
      </c>
      <c r="CY58" s="2230" t="e">
        <f t="shared" ca="1" si="342"/>
        <v>#N/A</v>
      </c>
      <c r="CZ58" s="2230" t="e">
        <f t="shared" ca="1" si="342"/>
        <v>#N/A</v>
      </c>
    </row>
    <row r="59" spans="1:104" s="2435" customFormat="1">
      <c r="A59" s="2421" t="str">
        <f t="shared" ref="A59:Q59" si="343">A8</f>
        <v>Mobile (TGDĐ)</v>
      </c>
      <c r="B59" s="2422">
        <f t="shared" si="343"/>
        <v>20769</v>
      </c>
      <c r="C59" s="2423">
        <f t="shared" si="343"/>
        <v>30655.33</v>
      </c>
      <c r="D59" s="2423">
        <f t="shared" si="343"/>
        <v>34708</v>
      </c>
      <c r="E59" s="2423">
        <f t="shared" si="343"/>
        <v>34606.516000000003</v>
      </c>
      <c r="F59" s="2423">
        <f t="shared" si="343"/>
        <v>33206.629292434976</v>
      </c>
      <c r="G59" s="2423">
        <f t="shared" si="343"/>
        <v>29524.512000000002</v>
      </c>
      <c r="H59" s="2423">
        <f t="shared" si="343"/>
        <v>31600.206000000002</v>
      </c>
      <c r="I59" s="2423">
        <f t="shared" ca="1" si="343"/>
        <v>34685.242020000005</v>
      </c>
      <c r="J59" s="2423">
        <f t="shared" ca="1" si="343"/>
        <v>28268.92</v>
      </c>
      <c r="K59" s="2424">
        <f t="shared" ca="1" si="343"/>
        <v>30894.166293521557</v>
      </c>
      <c r="L59" s="2425">
        <f t="shared" ca="1" si="343"/>
        <v>38280.546214507878</v>
      </c>
      <c r="M59" s="2425">
        <f t="shared" ca="1" si="343"/>
        <v>41780.461519368851</v>
      </c>
      <c r="N59" s="2425">
        <f t="shared" ca="1" si="343"/>
        <v>45762.244011003888</v>
      </c>
      <c r="O59" s="2425">
        <f t="shared" ca="1" si="343"/>
        <v>50132.391568787338</v>
      </c>
      <c r="P59" s="2425">
        <f t="shared" ca="1" si="343"/>
        <v>51859.170119422386</v>
      </c>
      <c r="Q59" s="2425">
        <f t="shared" ca="1" si="343"/>
        <v>53414.945223005059</v>
      </c>
      <c r="R59" s="2426"/>
      <c r="S59" s="2426"/>
      <c r="T59" s="2427">
        <v>56</v>
      </c>
      <c r="U59" s="2428"/>
      <c r="V59" s="2428"/>
      <c r="W59" s="2428"/>
      <c r="X59" s="2428"/>
      <c r="Y59" s="2429">
        <f t="shared" ref="Y59:AJ59" si="344">Y57/Y20</f>
        <v>0</v>
      </c>
      <c r="Z59" s="2429">
        <f t="shared" si="344"/>
        <v>0</v>
      </c>
      <c r="AA59" s="2429">
        <f t="shared" si="344"/>
        <v>0</v>
      </c>
      <c r="AB59" s="2429">
        <f t="shared" si="344"/>
        <v>0</v>
      </c>
      <c r="AC59" s="2429">
        <f t="shared" si="344"/>
        <v>0</v>
      </c>
      <c r="AD59" s="2429">
        <f t="shared" si="344"/>
        <v>0</v>
      </c>
      <c r="AE59" s="2429">
        <f t="shared" si="344"/>
        <v>5.7617681991379482E-2</v>
      </c>
      <c r="AF59" s="2429">
        <f t="shared" si="344"/>
        <v>5.8520855045182875E-2</v>
      </c>
      <c r="AG59" s="2429">
        <f t="shared" si="344"/>
        <v>9.3503587967933455E-2</v>
      </c>
      <c r="AH59" s="2429">
        <f t="shared" si="344"/>
        <v>7.9717112803104839E-2</v>
      </c>
      <c r="AI59" s="2429">
        <f t="shared" si="344"/>
        <v>5.2104929629041112E-2</v>
      </c>
      <c r="AJ59" s="2429">
        <f t="shared" si="344"/>
        <v>6.8026958373674659E-2</v>
      </c>
      <c r="AK59" s="2429">
        <f>AK57/AK20</f>
        <v>8.6131952165900943E-2</v>
      </c>
      <c r="AL59" s="2429">
        <f>AL57/AL20</f>
        <v>0.17504649154507079</v>
      </c>
      <c r="AM59" s="2429">
        <f ca="1">AM57/AM20</f>
        <v>0.11980207314269734</v>
      </c>
      <c r="AN59" s="2429">
        <f ca="1">AN57/AN20</f>
        <v>7.2553755595462469E-2</v>
      </c>
      <c r="AO59" s="2430">
        <f ca="1">(AO93*(1-AO71))+AO49+(AO54+AO55)*0.8+AO56</f>
        <v>158.9350372489647</v>
      </c>
      <c r="AP59" s="2430" t="e" cm="1">
        <f t="array" aca="1" ref="AP59" ca="1">(AP93*(1-AP71))+AN53AN49+(AP54+AP55)*0.8+AP56</f>
        <v>#NAME?</v>
      </c>
      <c r="AQ59" s="2430">
        <f ca="1">(AQ93*(1-AQ71))+AQ49+(AQ54+AQ55)*0.8+AQ56</f>
        <v>167.17642558943245</v>
      </c>
      <c r="AR59" s="2431">
        <f ca="1">(AR93*(1-AR71))+AR49+(AR54+AR55)*0.8+AR56</f>
        <v>-8.7220034510993685</v>
      </c>
      <c r="AS59" s="2432"/>
      <c r="AT59" s="2428"/>
      <c r="AU59" s="2428"/>
      <c r="AV59" s="2428"/>
      <c r="AW59" s="2433"/>
      <c r="AX59" s="2434"/>
      <c r="AY59" s="2434"/>
      <c r="AZ59" s="2434"/>
      <c r="BA59" s="2421"/>
      <c r="BB59" s="2421"/>
      <c r="BC59" s="2421"/>
      <c r="BD59" s="2421"/>
      <c r="BE59" s="2421"/>
      <c r="BF59" s="2421"/>
      <c r="BG59" s="2421"/>
      <c r="BH59" s="2421"/>
      <c r="BI59" s="2421"/>
      <c r="BJ59" s="2421"/>
      <c r="BK59" s="2421"/>
      <c r="BL59" s="2421"/>
      <c r="BM59" s="2421"/>
      <c r="BN59" s="2421"/>
      <c r="BO59" s="2421"/>
      <c r="BP59" s="2421"/>
      <c r="BQ59" s="2421"/>
      <c r="BR59" s="2421"/>
      <c r="BS59" s="2421"/>
      <c r="BT59" s="2421"/>
      <c r="BU59" s="2421"/>
      <c r="BV59" s="2421"/>
      <c r="BW59" s="2421"/>
      <c r="BX59" s="2421"/>
      <c r="BY59" s="2421"/>
      <c r="BZ59" s="2421"/>
      <c r="CA59" s="2421"/>
      <c r="CB59" s="2421"/>
      <c r="CC59" s="2421"/>
      <c r="CD59" s="2421"/>
      <c r="CE59" s="2421"/>
      <c r="CF59" s="2421"/>
      <c r="CG59" s="2421"/>
      <c r="CH59" s="2421"/>
      <c r="CI59" s="2421"/>
      <c r="CJ59" s="2421"/>
      <c r="CK59" s="2421"/>
      <c r="CL59" s="2421"/>
      <c r="CM59" s="2421"/>
      <c r="CN59" s="2421"/>
      <c r="CO59" s="2421"/>
      <c r="CP59" s="2421"/>
      <c r="CQ59" s="2421"/>
      <c r="CR59" s="2421"/>
      <c r="CS59" s="2421"/>
      <c r="CT59" s="2421"/>
      <c r="CU59" s="2421"/>
      <c r="CV59" s="2421"/>
      <c r="CW59" s="2421"/>
      <c r="CX59" s="2421"/>
      <c r="CY59" s="2421"/>
      <c r="CZ59" s="2421"/>
    </row>
    <row r="60" spans="1:104" hidden="1" outlineLevel="1">
      <c r="A60" s="2174" t="str">
        <f>A10</f>
        <v>%YoY</v>
      </c>
      <c r="B60" s="2240"/>
      <c r="C60" s="2256"/>
      <c r="D60" s="2256"/>
      <c r="E60" s="2256"/>
      <c r="F60" s="2256"/>
      <c r="G60" s="2256"/>
      <c r="H60" s="2256"/>
      <c r="I60" s="2207">
        <f t="shared" ref="I60:Q60" ca="1" si="345">I59/H59-1</f>
        <v>9.7627085722162832E-2</v>
      </c>
      <c r="J60" s="2207">
        <f t="shared" ca="1" si="345"/>
        <v>-0.1849870909449115</v>
      </c>
      <c r="K60" s="2208">
        <f t="shared" ca="1" si="345"/>
        <v>9.2866876184925395E-2</v>
      </c>
      <c r="L60" s="2436">
        <f t="shared" ca="1" si="345"/>
        <v>0.23908655928142752</v>
      </c>
      <c r="M60" s="2436">
        <f t="shared" ca="1" si="345"/>
        <v>9.1428039852120557E-2</v>
      </c>
      <c r="N60" s="2436">
        <f t="shared" ca="1" si="345"/>
        <v>9.5302501380678528E-2</v>
      </c>
      <c r="O60" s="2436">
        <f t="shared" ca="1" si="345"/>
        <v>9.5496793311372841E-2</v>
      </c>
      <c r="P60" s="2436">
        <f t="shared" ca="1" si="345"/>
        <v>3.4444368134037839E-2</v>
      </c>
      <c r="Q60" s="2436">
        <f t="shared" ca="1" si="345"/>
        <v>3.0000000000000027E-2</v>
      </c>
      <c r="R60" s="2436"/>
      <c r="S60" s="2436"/>
      <c r="T60" s="2175">
        <v>57</v>
      </c>
      <c r="U60" s="2175"/>
      <c r="V60" s="2175"/>
      <c r="W60" s="2175"/>
      <c r="X60" s="2175"/>
      <c r="Y60" s="2175"/>
      <c r="Z60" s="2175"/>
      <c r="AA60" s="2175"/>
      <c r="AB60" s="2175"/>
      <c r="AC60" s="2175"/>
      <c r="AD60" s="2175"/>
      <c r="AE60" s="2175"/>
      <c r="AF60" s="2175"/>
      <c r="AG60" s="2175"/>
      <c r="AH60" s="2175"/>
      <c r="AI60" s="2175"/>
      <c r="AJ60" s="2175"/>
      <c r="AK60" s="2175"/>
      <c r="AL60" s="2175"/>
      <c r="AM60" s="2175"/>
      <c r="AN60" s="2175"/>
      <c r="AO60" s="2375"/>
      <c r="AP60" s="2175"/>
      <c r="AQ60" s="2175"/>
      <c r="AR60" s="2175"/>
      <c r="AS60" s="2375"/>
      <c r="AT60" s="2175"/>
      <c r="AU60" s="2175"/>
      <c r="AV60" s="2175"/>
      <c r="AW60" s="2376"/>
      <c r="AX60" s="2177"/>
      <c r="AY60" s="2177"/>
      <c r="AZ60" s="2177"/>
      <c r="BA60" s="2174"/>
      <c r="BB60" s="2174"/>
      <c r="BC60" s="2174"/>
      <c r="BD60" s="2174"/>
      <c r="BE60" s="2174"/>
      <c r="BF60" s="2174"/>
      <c r="BG60" s="2174"/>
      <c r="BH60" s="2174"/>
      <c r="BI60" s="2174"/>
      <c r="BJ60" s="2174"/>
      <c r="BK60" s="2174"/>
      <c r="BL60" s="2174"/>
      <c r="BM60" s="2174"/>
      <c r="BN60" s="2174"/>
      <c r="BO60" s="2174"/>
      <c r="BP60" s="2174"/>
      <c r="BQ60" s="2174"/>
      <c r="BR60" s="2174"/>
      <c r="BS60" s="2174"/>
      <c r="BT60" s="2174"/>
      <c r="BU60" s="2174"/>
      <c r="BV60" s="2174"/>
      <c r="BW60" s="2174"/>
      <c r="BX60" s="2174"/>
      <c r="BY60" s="2174"/>
      <c r="BZ60" s="2174"/>
      <c r="CA60" s="2174"/>
      <c r="CB60" s="2174"/>
      <c r="CC60" s="2174"/>
      <c r="CD60" s="2174"/>
      <c r="CE60" s="2174"/>
      <c r="CF60" s="2174"/>
      <c r="CG60" s="2174"/>
      <c r="CH60" s="2174"/>
      <c r="CI60" s="2174"/>
      <c r="CJ60" s="2174"/>
      <c r="CK60" s="2174"/>
      <c r="CL60" s="2174"/>
      <c r="CM60" s="2174"/>
      <c r="CN60" s="2174"/>
      <c r="CO60" s="2174"/>
      <c r="CP60" s="2174"/>
      <c r="CQ60" s="2174"/>
      <c r="CR60" s="2174"/>
      <c r="CS60" s="2174"/>
      <c r="CT60" s="2174"/>
      <c r="CU60" s="2174"/>
      <c r="CV60" s="2174"/>
      <c r="CW60" s="2174"/>
      <c r="CX60" s="2174"/>
      <c r="CY60" s="2174"/>
      <c r="CZ60" s="2174"/>
    </row>
    <row r="61" spans="1:104" s="2185" customFormat="1" hidden="1" outlineLevel="1">
      <c r="A61" s="2437" t="s">
        <v>173</v>
      </c>
      <c r="B61" s="2300"/>
      <c r="C61" s="2384">
        <f t="shared" ref="C61:K61" si="346">C59/AVERAGE(B64:C64)</f>
        <v>40.495812417437257</v>
      </c>
      <c r="D61" s="2384">
        <f t="shared" si="346"/>
        <v>34.330365974282891</v>
      </c>
      <c r="E61" s="2384">
        <f t="shared" si="346"/>
        <v>32.895927756653997</v>
      </c>
      <c r="F61" s="2384">
        <f t="shared" si="346"/>
        <v>32.748155120744549</v>
      </c>
      <c r="G61" s="2384">
        <f t="shared" si="346"/>
        <v>30.931914091147199</v>
      </c>
      <c r="H61" s="2384">
        <f t="shared" si="346"/>
        <v>33.563681359532666</v>
      </c>
      <c r="I61" s="2384">
        <f t="shared" ca="1" si="346"/>
        <v>32.115964833333337</v>
      </c>
      <c r="J61" s="2384">
        <f t="shared" ca="1" si="346"/>
        <v>24.678236577913573</v>
      </c>
      <c r="K61" s="2438">
        <f t="shared" ca="1" si="346"/>
        <v>27.958521532598695</v>
      </c>
      <c r="L61" s="2439">
        <f t="shared" ref="L61:Q61" ca="1" si="347">L63*12</f>
        <v>27.958521532598695</v>
      </c>
      <c r="M61" s="2439">
        <f t="shared" ca="1" si="347"/>
        <v>27.958521532598695</v>
      </c>
      <c r="N61" s="2439">
        <f t="shared" ca="1" si="347"/>
        <v>27.958521532598695</v>
      </c>
      <c r="O61" s="2439">
        <f t="shared" ca="1" si="347"/>
        <v>27.958521532598695</v>
      </c>
      <c r="P61" s="2439">
        <f t="shared" ca="1" si="347"/>
        <v>27.958521532598695</v>
      </c>
      <c r="Q61" s="2439">
        <f t="shared" ca="1" si="347"/>
        <v>27.958521532598695</v>
      </c>
      <c r="R61" s="2439"/>
      <c r="S61" s="2439"/>
      <c r="T61" s="2175">
        <v>58</v>
      </c>
      <c r="U61" s="2181"/>
      <c r="V61" s="2181"/>
      <c r="W61" s="2181"/>
      <c r="X61" s="2181"/>
      <c r="Y61" s="2181"/>
      <c r="Z61" s="2181"/>
      <c r="AA61" s="2181"/>
      <c r="AB61" s="2181"/>
      <c r="AC61" s="2181"/>
      <c r="AD61" s="2181"/>
      <c r="AE61" s="2181"/>
      <c r="AF61" s="2181"/>
      <c r="AG61" s="2181"/>
      <c r="AH61" s="2181"/>
      <c r="AI61" s="2181"/>
      <c r="AJ61" s="2181"/>
      <c r="AK61" s="2181"/>
      <c r="AL61" s="2181"/>
      <c r="AM61" s="2181"/>
      <c r="AN61" s="2181"/>
      <c r="AO61" s="2366"/>
      <c r="AP61" s="2181"/>
      <c r="AQ61" s="2181"/>
      <c r="AR61" s="2181"/>
      <c r="AS61" s="2366"/>
      <c r="AT61" s="2181"/>
      <c r="AU61" s="2181"/>
      <c r="AV61" s="2181"/>
      <c r="AW61" s="2367"/>
      <c r="AX61" s="2368"/>
      <c r="AY61" s="2368"/>
      <c r="AZ61" s="2368"/>
      <c r="BA61" s="2180"/>
      <c r="BB61" s="2180"/>
      <c r="BC61" s="2180"/>
      <c r="BD61" s="2180"/>
      <c r="BE61" s="2180"/>
      <c r="BF61" s="2180"/>
      <c r="BG61" s="2180"/>
      <c r="BH61" s="2180"/>
      <c r="BI61" s="2180"/>
      <c r="BJ61" s="2180"/>
      <c r="BK61" s="2180"/>
      <c r="BL61" s="2180"/>
      <c r="BM61" s="2180"/>
      <c r="BN61" s="2180"/>
      <c r="BO61" s="2180"/>
      <c r="BP61" s="2180"/>
      <c r="BQ61" s="2180"/>
      <c r="BR61" s="2180"/>
      <c r="BS61" s="2180"/>
      <c r="BT61" s="2180"/>
      <c r="BU61" s="2180"/>
      <c r="BV61" s="2180"/>
      <c r="BW61" s="2180"/>
      <c r="BX61" s="2180"/>
      <c r="BY61" s="2180"/>
      <c r="BZ61" s="2180"/>
      <c r="CA61" s="2180"/>
      <c r="CB61" s="2180"/>
      <c r="CC61" s="2180"/>
      <c r="CD61" s="2180"/>
      <c r="CE61" s="2180"/>
      <c r="CF61" s="2180"/>
      <c r="CG61" s="2180"/>
      <c r="CH61" s="2180"/>
      <c r="CI61" s="2180"/>
      <c r="CJ61" s="2180"/>
      <c r="CK61" s="2180"/>
      <c r="CL61" s="2180"/>
      <c r="CM61" s="2180"/>
      <c r="CN61" s="2180"/>
      <c r="CO61" s="2180"/>
      <c r="CP61" s="2180"/>
      <c r="CQ61" s="2180"/>
      <c r="CR61" s="2180"/>
      <c r="CS61" s="2180"/>
      <c r="CT61" s="2180"/>
      <c r="CU61" s="2180"/>
      <c r="CV61" s="2180"/>
      <c r="CW61" s="2180"/>
      <c r="CX61" s="2180"/>
      <c r="CY61" s="2180"/>
      <c r="CZ61" s="2180"/>
    </row>
    <row r="62" spans="1:104" s="2239" customFormat="1" hidden="1" outlineLevel="1">
      <c r="A62" s="2440" t="s">
        <v>174</v>
      </c>
      <c r="B62" s="2240"/>
      <c r="C62" s="2256"/>
      <c r="D62" s="2206">
        <f>D61/C61-1</f>
        <v>-0.15224898761382943</v>
      </c>
      <c r="E62" s="2207">
        <f>E61/D61-1</f>
        <v>-4.1783365161427111E-2</v>
      </c>
      <c r="F62" s="2207">
        <f>F61/E61-1</f>
        <v>-4.4921254996237447E-3</v>
      </c>
      <c r="G62" s="2207">
        <f>G61/F61-1</f>
        <v>-5.5460865593825126E-2</v>
      </c>
      <c r="H62" s="2207">
        <f>H61/G61-1</f>
        <v>8.508258689166226E-2</v>
      </c>
      <c r="I62" s="2256"/>
      <c r="J62" s="2256"/>
      <c r="K62" s="2296"/>
      <c r="L62" s="2325"/>
      <c r="M62" s="2325"/>
      <c r="N62" s="2325"/>
      <c r="O62" s="2325"/>
      <c r="P62" s="2325"/>
      <c r="Q62" s="2325"/>
      <c r="R62" s="2325"/>
      <c r="S62" s="2325"/>
      <c r="T62" s="2175">
        <v>59</v>
      </c>
      <c r="U62" s="2325"/>
      <c r="V62" s="2325"/>
      <c r="W62" s="2325"/>
      <c r="X62" s="2325"/>
      <c r="Y62" s="2325"/>
      <c r="Z62" s="2325"/>
      <c r="AA62" s="2325"/>
      <c r="AB62" s="2325"/>
      <c r="AC62" s="2325"/>
      <c r="AD62" s="2325"/>
      <c r="AE62" s="2325"/>
      <c r="AF62" s="2325"/>
      <c r="AG62" s="2325"/>
      <c r="AH62" s="2325"/>
      <c r="AI62" s="2325"/>
      <c r="AJ62" s="2325"/>
      <c r="AK62" s="2325"/>
      <c r="AL62" s="2325"/>
      <c r="AM62" s="2325"/>
      <c r="AN62" s="2325"/>
      <c r="AO62" s="2327"/>
      <c r="AP62" s="2325"/>
      <c r="AQ62" s="2325"/>
      <c r="AR62" s="2325"/>
      <c r="AS62" s="2327"/>
      <c r="AT62" s="2325"/>
      <c r="AU62" s="2325"/>
      <c r="AV62" s="2325"/>
      <c r="AW62" s="2328"/>
      <c r="AX62" s="2329"/>
      <c r="AY62" s="2329"/>
      <c r="AZ62" s="2329"/>
      <c r="BA62" s="2232"/>
      <c r="BB62" s="2232"/>
      <c r="BC62" s="2232"/>
      <c r="BD62" s="2232"/>
      <c r="BE62" s="2232"/>
      <c r="BF62" s="2232"/>
      <c r="BG62" s="2232"/>
      <c r="BH62" s="2232"/>
      <c r="BI62" s="2232"/>
      <c r="BJ62" s="2232"/>
      <c r="BK62" s="2232"/>
      <c r="BL62" s="2232"/>
      <c r="BM62" s="2232"/>
      <c r="BN62" s="2232"/>
      <c r="BO62" s="2232"/>
      <c r="BP62" s="2232"/>
      <c r="BQ62" s="2232"/>
      <c r="BR62" s="2232"/>
      <c r="BS62" s="2232"/>
      <c r="BT62" s="2232"/>
      <c r="BU62" s="2232"/>
      <c r="BV62" s="2232"/>
      <c r="BW62" s="2232"/>
      <c r="BX62" s="2232"/>
      <c r="BY62" s="2232"/>
      <c r="BZ62" s="2232"/>
      <c r="CA62" s="2232"/>
      <c r="CB62" s="2232"/>
      <c r="CC62" s="2232"/>
      <c r="CD62" s="2232"/>
      <c r="CE62" s="2232"/>
      <c r="CF62" s="2232"/>
      <c r="CG62" s="2232"/>
      <c r="CH62" s="2232"/>
      <c r="CI62" s="2232"/>
      <c r="CJ62" s="2232"/>
      <c r="CK62" s="2232"/>
      <c r="CL62" s="2232"/>
      <c r="CM62" s="2232"/>
      <c r="CN62" s="2232"/>
      <c r="CO62" s="2232"/>
      <c r="CP62" s="2232"/>
      <c r="CQ62" s="2232"/>
      <c r="CR62" s="2232"/>
      <c r="CS62" s="2232"/>
      <c r="CT62" s="2232"/>
      <c r="CU62" s="2232"/>
      <c r="CV62" s="2232"/>
      <c r="CW62" s="2232"/>
      <c r="CX62" s="2232"/>
      <c r="CY62" s="2232"/>
      <c r="CZ62" s="2232"/>
    </row>
    <row r="63" spans="1:104" hidden="1" outlineLevel="1">
      <c r="A63" s="2441" t="s">
        <v>175</v>
      </c>
      <c r="B63" s="2240"/>
      <c r="C63" s="2372">
        <f t="shared" ref="C63:H63" si="348">C61/12</f>
        <v>3.3746510347864382</v>
      </c>
      <c r="D63" s="2372">
        <f t="shared" si="348"/>
        <v>2.8608638311902408</v>
      </c>
      <c r="E63" s="2372">
        <f t="shared" si="348"/>
        <v>2.7413273130544997</v>
      </c>
      <c r="F63" s="2372">
        <f t="shared" si="348"/>
        <v>2.7290129267287124</v>
      </c>
      <c r="G63" s="2372">
        <f t="shared" si="348"/>
        <v>2.5776595075955999</v>
      </c>
      <c r="H63" s="2372">
        <f t="shared" si="348"/>
        <v>2.7969734466277223</v>
      </c>
      <c r="I63" s="2442">
        <f ca="1">I59/AVERAGE(H64:I64)/12</f>
        <v>2.6763304027777779</v>
      </c>
      <c r="J63" s="2442">
        <f ca="1">J59/AVERAGE(I64:J64)/12</f>
        <v>2.0565197148261309</v>
      </c>
      <c r="K63" s="2443">
        <f ca="1">K59/AVERAGE(J64:K64)/12</f>
        <v>2.3298767943832246</v>
      </c>
      <c r="L63" s="2444">
        <f t="shared" ref="L63:Q63" ca="1" si="349">K63</f>
        <v>2.3298767943832246</v>
      </c>
      <c r="M63" s="2444">
        <f t="shared" ca="1" si="349"/>
        <v>2.3298767943832246</v>
      </c>
      <c r="N63" s="2444">
        <f t="shared" ca="1" si="349"/>
        <v>2.3298767943832246</v>
      </c>
      <c r="O63" s="2444">
        <f t="shared" ca="1" si="349"/>
        <v>2.3298767943832246</v>
      </c>
      <c r="P63" s="2444">
        <f t="shared" ca="1" si="349"/>
        <v>2.3298767943832246</v>
      </c>
      <c r="Q63" s="2444">
        <f t="shared" ca="1" si="349"/>
        <v>2.3298767943832246</v>
      </c>
      <c r="R63" s="2444"/>
      <c r="S63" s="2444"/>
      <c r="T63" s="2340">
        <v>60</v>
      </c>
      <c r="U63" s="2179">
        <f t="shared" ref="U63:BF63" si="350">U8/AVERAGE(T64:U64)/3</f>
        <v>5.6266195524146054</v>
      </c>
      <c r="V63" s="2179">
        <f t="shared" si="350"/>
        <v>2.6569594488805386</v>
      </c>
      <c r="W63" s="2179">
        <f t="shared" si="350"/>
        <v>2.7258269720101782</v>
      </c>
      <c r="X63" s="2179">
        <f t="shared" si="350"/>
        <v>2.5756895330112735</v>
      </c>
      <c r="Y63" s="2179">
        <f t="shared" si="350"/>
        <v>2.8648827250608271</v>
      </c>
      <c r="Z63" s="2179">
        <f t="shared" si="350"/>
        <v>2.7682127171419206</v>
      </c>
      <c r="AA63" s="2179">
        <f t="shared" si="350"/>
        <v>2.7466471075750039</v>
      </c>
      <c r="AB63" s="2179">
        <f t="shared" si="350"/>
        <v>2.55326352705411</v>
      </c>
      <c r="AC63" s="2179">
        <f t="shared" si="350"/>
        <v>2.7815810473815463</v>
      </c>
      <c r="AD63" s="2179">
        <f t="shared" si="350"/>
        <v>2.054052188552189</v>
      </c>
      <c r="AE63" s="2179">
        <f t="shared" si="350"/>
        <v>2.5862734954302464</v>
      </c>
      <c r="AF63" s="2179">
        <f t="shared" si="350"/>
        <v>2.6878122666666671</v>
      </c>
      <c r="AG63" s="2179">
        <f t="shared" si="350"/>
        <v>3.022918404683498</v>
      </c>
      <c r="AH63" s="2179">
        <f t="shared" si="350"/>
        <v>2.6594811201445347</v>
      </c>
      <c r="AI63" s="2179">
        <f t="shared" si="350"/>
        <v>1.7206680805938497</v>
      </c>
      <c r="AJ63" s="2179">
        <f t="shared" si="350"/>
        <v>3.8578770833333338</v>
      </c>
      <c r="AK63" s="2179">
        <f t="shared" si="350"/>
        <v>3.2175440536013404</v>
      </c>
      <c r="AL63" s="2179">
        <f t="shared" si="350"/>
        <v>2.6818818080178883</v>
      </c>
      <c r="AM63" s="2179">
        <f t="shared" ref="AM63:AW63" ca="1" si="351">AM8/AVERAGE(AL64:AM64)/3</f>
        <v>2.2994585045318572</v>
      </c>
      <c r="AN63" s="2179">
        <f t="shared" ca="1" si="351"/>
        <v>1.8943239183434528</v>
      </c>
      <c r="AO63" s="2445">
        <f t="shared" ca="1" si="351"/>
        <v>1.5998864490095093</v>
      </c>
      <c r="AP63" s="2179">
        <f t="shared" ca="1" si="351"/>
        <v>1.6102873827052833</v>
      </c>
      <c r="AQ63" s="2179">
        <f t="shared" ca="1" si="351"/>
        <v>1.8119542044324859</v>
      </c>
      <c r="AR63" s="2179">
        <f t="shared" ca="1" si="351"/>
        <v>1.9353523820731153</v>
      </c>
      <c r="AS63" s="2445">
        <f t="shared" ca="1" si="351"/>
        <v>1.8033271360196688</v>
      </c>
      <c r="AT63" s="2179">
        <f t="shared" ca="1" si="351"/>
        <v>1.7965496707937154</v>
      </c>
      <c r="AU63" s="2179">
        <f t="shared" ca="1" si="351"/>
        <v>2.3369344795283906</v>
      </c>
      <c r="AV63" s="2179">
        <f t="shared" ca="1" si="351"/>
        <v>2.6848834236923991</v>
      </c>
      <c r="AW63" s="2446">
        <f t="shared" ca="1" si="351"/>
        <v>2.4203396239858974</v>
      </c>
      <c r="AX63" s="2447">
        <f t="shared" si="350"/>
        <v>2.374129590899968</v>
      </c>
      <c r="AY63" s="2447">
        <f ca="1">AY8/AVERAGE(AX64:AY64)/3</f>
        <v>2.8673726065018035</v>
      </c>
      <c r="AZ63" s="2447">
        <f ca="1">AZ8/AVERAGE(AY64:AZ64)/3</f>
        <v>3.6750630693258297</v>
      </c>
      <c r="BA63" s="2448">
        <f ca="1">BA8/AVERAGE(AZ64:BA64)/3</f>
        <v>2.66400951612014</v>
      </c>
      <c r="BB63" s="2448">
        <f t="shared" si="350"/>
        <v>2.608760559882378</v>
      </c>
      <c r="BC63" s="2448">
        <f ca="1">BC8/AVERAGE(BB64:BC64)/3</f>
        <v>3.1536166839590032</v>
      </c>
      <c r="BD63" s="2448">
        <f ca="1">BD8/AVERAGE(BC64:BD64)/3</f>
        <v>4.0423840942321076</v>
      </c>
      <c r="BE63" s="2448">
        <f ca="1">BE8/AVERAGE(BD64:BE64)/3</f>
        <v>2.9304104677321541</v>
      </c>
      <c r="BF63" s="2448">
        <f t="shared" si="350"/>
        <v>2.8696366158706152</v>
      </c>
      <c r="BG63" s="2448">
        <f ca="1">BG8/AVERAGE(BF64:BG64)/3</f>
        <v>3.4689783523549038</v>
      </c>
      <c r="BH63" s="2448">
        <f ca="1">BH8/AVERAGE(BG64:BH64)/3</f>
        <v>4.4466225036553189</v>
      </c>
      <c r="BI63" s="2448">
        <f ca="1">BI8/AVERAGE(BH64:BI64)/3</f>
        <v>3.2234515145053702</v>
      </c>
      <c r="BJ63" s="2448">
        <f t="shared" ref="BJ63" si="352">BJ8/AVERAGE(BI64:BJ64)/3</f>
        <v>3.1566002774576774</v>
      </c>
      <c r="BK63" s="2448">
        <f ca="1">BK8/AVERAGE(BJ64:BK64)/3</f>
        <v>3.8158761875903946</v>
      </c>
      <c r="BL63" s="2448">
        <f ca="1">BL8/AVERAGE(BK64:BL64)/3</f>
        <v>4.8912847540208508</v>
      </c>
      <c r="BM63" s="2448">
        <f ca="1">BM8/AVERAGE(BL64:BM64)/3</f>
        <v>3.3912406791809211</v>
      </c>
      <c r="BN63" s="2448">
        <f t="shared" ref="BN63" si="353">BN8/AVERAGE(BM64:BN64)/3</f>
        <v>3.2512982857814081</v>
      </c>
      <c r="BO63" s="2448">
        <f ca="1">BO8/AVERAGE(BN64:BO64)/3</f>
        <v>3.9303524732181061</v>
      </c>
      <c r="BP63" s="2448">
        <f ca="1">BP8/AVERAGE(BO64:BP64)/3</f>
        <v>5.0380232966414766</v>
      </c>
      <c r="BQ63" s="2448">
        <f ca="1">BQ8/AVERAGE(BP64:BQ64)/3</f>
        <v>3.4929778995563487</v>
      </c>
      <c r="BR63" s="2448">
        <f t="shared" ref="BR63" si="354">BR8/AVERAGE(BQ64:BR64)/3</f>
        <v>3.3488372343548511</v>
      </c>
      <c r="BS63" s="2448">
        <f ca="1">BS8/AVERAGE(BR64:BS64)/3</f>
        <v>4.0482630474146504</v>
      </c>
      <c r="BT63" s="2448">
        <f ca="1">BT8/AVERAGE(BS64:BT64)/3</f>
        <v>5.1891639955407216</v>
      </c>
      <c r="BU63" s="2448">
        <f ca="1">BU8/AVERAGE(BT64:BU64)/3</f>
        <v>3.5977672365430391</v>
      </c>
      <c r="BV63" s="2448">
        <f t="shared" ref="BV63" si="355">BV8/AVERAGE(BU64:BV64)/3</f>
        <v>3.4493023513854961</v>
      </c>
      <c r="BW63" s="2448">
        <f ca="1">BW8/AVERAGE(BV64:BW64)/3</f>
        <v>4.1697109388370892</v>
      </c>
      <c r="BX63" s="2448">
        <f ca="1">BX8/AVERAGE(BW64:BX64)/3</f>
        <v>5.3448389154069424</v>
      </c>
      <c r="BY63" s="2448">
        <f ca="1">BY8/AVERAGE(BX64:BY64)/3</f>
        <v>3.7057002536393315</v>
      </c>
      <c r="BZ63" s="2448">
        <f t="shared" ref="BZ63" si="356">BZ8/AVERAGE(BY64:BZ64)/3</f>
        <v>3.5527814219270613</v>
      </c>
      <c r="CA63" s="2448">
        <f ca="1">CA8/AVERAGE(BZ64:CA64)/3</f>
        <v>4.2948022670022024</v>
      </c>
      <c r="CB63" s="2448">
        <f ca="1">CB8/AVERAGE(CA64:CB64)/3</f>
        <v>5.5051840828691523</v>
      </c>
      <c r="CC63" s="2448">
        <f t="shared" ref="CC63" si="357">CC8/AVERAGE(CB64:CC64)/3</f>
        <v>0</v>
      </c>
      <c r="CD63" s="2448" t="e">
        <f t="shared" ref="CD63" si="358">CD8/AVERAGE(CC64:CD64)/3</f>
        <v>#DIV/0!</v>
      </c>
      <c r="CE63" s="2448" t="e">
        <f t="shared" ref="CE63" si="359">CE8/AVERAGE(CD64:CE64)/3</f>
        <v>#DIV/0!</v>
      </c>
      <c r="CF63" s="2448" t="e">
        <f t="shared" ref="CF63" si="360">CF8/AVERAGE(CE64:CF64)/3</f>
        <v>#DIV/0!</v>
      </c>
      <c r="CG63" s="2448" t="e">
        <f t="shared" ref="CG63" si="361">CG8/AVERAGE(CF64:CG64)/3</f>
        <v>#DIV/0!</v>
      </c>
      <c r="CH63" s="2448" t="e">
        <f t="shared" ref="CH63" si="362">CH8/AVERAGE(CG64:CH64)/3</f>
        <v>#DIV/0!</v>
      </c>
      <c r="CI63" s="2448" t="e">
        <f t="shared" ref="CI63" si="363">CI8/AVERAGE(CH64:CI64)/3</f>
        <v>#DIV/0!</v>
      </c>
      <c r="CJ63" s="2448" t="e">
        <f t="shared" ref="CJ63" si="364">CJ8/AVERAGE(CI64:CJ64)/3</f>
        <v>#DIV/0!</v>
      </c>
      <c r="CK63" s="2448" t="e">
        <f t="shared" ref="CK63" si="365">CK8/AVERAGE(CJ64:CK64)/3</f>
        <v>#DIV/0!</v>
      </c>
      <c r="CL63" s="2448" t="e">
        <f t="shared" ref="CL63" si="366">CL8/AVERAGE(CK64:CL64)/3</f>
        <v>#DIV/0!</v>
      </c>
      <c r="CM63" s="2448" t="e">
        <f t="shared" ref="CM63" si="367">CM8/AVERAGE(CL64:CM64)/3</f>
        <v>#DIV/0!</v>
      </c>
      <c r="CN63" s="2448" t="e">
        <f t="shared" ref="CN63" si="368">CN8/AVERAGE(CM64:CN64)/3</f>
        <v>#N/A</v>
      </c>
      <c r="CO63" s="2448" t="e">
        <f t="shared" ref="CO63" si="369">CO8/AVERAGE(CN64:CO64)/3</f>
        <v>#N/A</v>
      </c>
      <c r="CP63" s="2448" t="e">
        <f t="shared" ref="CP63" si="370">CP8/AVERAGE(CO64:CP64)/3</f>
        <v>#N/A</v>
      </c>
      <c r="CQ63" s="2448" t="e">
        <f t="shared" ref="CQ63" si="371">CQ8/AVERAGE(CP64:CQ64)/3</f>
        <v>#N/A</v>
      </c>
      <c r="CR63" s="2448" t="e">
        <f t="shared" ref="CR63" si="372">CR8/AVERAGE(CQ64:CR64)/3</f>
        <v>#N/A</v>
      </c>
      <c r="CS63" s="2448" t="e">
        <f t="shared" ref="CS63" si="373">CS8/AVERAGE(CR64:CS64)/3</f>
        <v>#N/A</v>
      </c>
      <c r="CT63" s="2448" t="e">
        <f t="shared" ref="CT63" si="374">CT8/AVERAGE(CS64:CT64)/3</f>
        <v>#N/A</v>
      </c>
      <c r="CU63" s="2448" t="e">
        <f t="shared" ref="CU63" si="375">CU8/AVERAGE(CT64:CU64)/3</f>
        <v>#N/A</v>
      </c>
      <c r="CV63" s="2448" t="e">
        <f t="shared" ref="CV63" si="376">CV8/AVERAGE(CU64:CV64)/3</f>
        <v>#N/A</v>
      </c>
      <c r="CW63" s="2448" t="e">
        <f t="shared" ref="CW63" si="377">CW8/AVERAGE(CV64:CW64)/3</f>
        <v>#N/A</v>
      </c>
      <c r="CX63" s="2448" t="e">
        <f t="shared" ref="CX63" si="378">CX8/AVERAGE(CW64:CX64)/3</f>
        <v>#N/A</v>
      </c>
      <c r="CY63" s="2448" t="e">
        <f t="shared" ref="CY63" si="379">CY8/AVERAGE(CX64:CY64)/3</f>
        <v>#N/A</v>
      </c>
      <c r="CZ63" s="2448" t="e">
        <f t="shared" ref="CZ63" si="380">CZ8/AVERAGE(CY64:CZ64)/3</f>
        <v>#N/A</v>
      </c>
    </row>
    <row r="64" spans="1:104" s="2451" customFormat="1" ht="17" hidden="1" outlineLevel="1">
      <c r="A64" s="2449" t="s">
        <v>176</v>
      </c>
      <c r="B64" s="2307">
        <v>564</v>
      </c>
      <c r="C64" s="2308">
        <v>950</v>
      </c>
      <c r="D64" s="2308">
        <v>1072</v>
      </c>
      <c r="E64" s="2309">
        <v>1032</v>
      </c>
      <c r="F64" s="2309">
        <v>996</v>
      </c>
      <c r="G64" s="2309">
        <v>913</v>
      </c>
      <c r="H64" s="2309">
        <v>970</v>
      </c>
      <c r="I64" s="2309">
        <f>Rev_Month!BI10+Rev_Month!BI16</f>
        <v>1190</v>
      </c>
      <c r="J64" s="2309">
        <f>I64+J65</f>
        <v>1101</v>
      </c>
      <c r="K64" s="2310">
        <f>AV64+AV65</f>
        <v>1109</v>
      </c>
      <c r="L64" s="2450">
        <f>AZ64+AZ65</f>
        <v>1097</v>
      </c>
      <c r="M64" s="2450">
        <f>L64+M65</f>
        <v>1097</v>
      </c>
      <c r="N64" s="2450">
        <f>M64+N65</f>
        <v>1097</v>
      </c>
      <c r="O64" s="2450">
        <f>N64+O65</f>
        <v>1097</v>
      </c>
      <c r="P64" s="2450">
        <f>O64+P65</f>
        <v>1097</v>
      </c>
      <c r="Q64" s="2450">
        <f>P64+Q65</f>
        <v>1097</v>
      </c>
      <c r="R64" s="2450"/>
      <c r="S64" s="2450"/>
      <c r="T64" s="2175">
        <v>61</v>
      </c>
      <c r="U64" s="2450">
        <f>HLOOKUP(U$4,Rev_Month!$B$3:$HG$41,8,FALSE)+HLOOKUP(U$4,Rev_Month!$B$3:$HG$41,14,FALSE)</f>
        <v>1071</v>
      </c>
      <c r="V64" s="2450">
        <f>HLOOKUP(V$4,Rev_Month!$B$3:$HG$41,8,FALSE)+HLOOKUP(V$4,Rev_Month!$B$3:$HG$41,14,FALSE)</f>
        <v>1058</v>
      </c>
      <c r="W64" s="2450">
        <f>HLOOKUP(W$4,Rev_Month!$B$3:$HG$41,8,FALSE)+HLOOKUP(W$4,Rev_Month!$B$3:$HG$41,14,FALSE)</f>
        <v>1038</v>
      </c>
      <c r="X64" s="2450">
        <f>HLOOKUP(X$4,Rev_Month!$B$3:$HG$41,8,FALSE)+HLOOKUP(X$4,Rev_Month!$B$3:$HG$41,14,FALSE)</f>
        <v>1032</v>
      </c>
      <c r="Y64" s="2450">
        <f>HLOOKUP(Y$4,Rev_Month!$B$3:$HG$41,8,FALSE)+HLOOKUP(Y$4,Rev_Month!$B$3:$HG$41,14,FALSE)</f>
        <v>1023</v>
      </c>
      <c r="Z64" s="2450">
        <f>HLOOKUP(Z$4,Rev_Month!$B$3:$HG$41,8,FALSE)+HLOOKUP(Z$4,Rev_Month!$B$3:$HG$41,14,FALSE)</f>
        <v>1011</v>
      </c>
      <c r="AA64" s="2450">
        <f>HLOOKUP(AA$4,Rev_Month!$B$3:$HG$41,8,FALSE)+HLOOKUP(AA$4,Rev_Month!$B$3:$HG$41,14,FALSE)</f>
        <v>1000</v>
      </c>
      <c r="AB64" s="2450">
        <f>HLOOKUP(AB$4,Rev_Month!$B$3:$HG$41,8,FALSE)+HLOOKUP(AB$4,Rev_Month!$B$3:$HG$41,14,FALSE)</f>
        <v>996</v>
      </c>
      <c r="AC64" s="2450">
        <f>HLOOKUP(AC$4,Rev_Month!$B$3:$HG$41,8,FALSE)+HLOOKUP(AC$4,Rev_Month!$B$3:$HG$41,14,FALSE)</f>
        <v>1009</v>
      </c>
      <c r="AD64" s="2450">
        <f>HLOOKUP(AD$4,Rev_Month!$B$3:$HG$41,8,FALSE)+HLOOKUP(AD$4,Rev_Month!$B$3:$HG$41,14,FALSE)</f>
        <v>971</v>
      </c>
      <c r="AE64" s="2450">
        <f>HLOOKUP(AE$4,Rev_Month!$B$3:$HG$41,8,FALSE)+HLOOKUP(AE$4,Rev_Month!$B$3:$HG$41,14,FALSE)</f>
        <v>962</v>
      </c>
      <c r="AF64" s="2450">
        <f>HLOOKUP(AF$4,Rev_Month!$B$3:$HG$41,8,FALSE)+HLOOKUP(AF$4,Rev_Month!$B$3:$HG$41,14,FALSE)</f>
        <v>913</v>
      </c>
      <c r="AG64" s="2450">
        <f>HLOOKUP(AG$4,Rev_Month!$B$3:$HG$41,8,FALSE)+HLOOKUP(AG$4,Rev_Month!$B$3:$HG$41,14,FALSE)</f>
        <v>909</v>
      </c>
      <c r="AH64" s="2450">
        <f>HLOOKUP(AH$4,Rev_Month!$B$3:$HG$41,8,FALSE)+HLOOKUP(AH$4,Rev_Month!$B$3:$HG$41,14,FALSE)</f>
        <v>936</v>
      </c>
      <c r="AI64" s="2450">
        <f>HLOOKUP(AI$4,Rev_Month!$B$3:$HG$41,8,FALSE)+HLOOKUP(AI$4,Rev_Month!$B$3:$HG$41,14,FALSE)</f>
        <v>950</v>
      </c>
      <c r="AJ64" s="2450">
        <f>HLOOKUP(AJ$4,Rev_Month!$B$3:$HG$41,8,FALSE)+HLOOKUP(AJ$4,Rev_Month!$B$3:$HG$41,14,FALSE)</f>
        <v>970</v>
      </c>
      <c r="AK64" s="2450">
        <f>HLOOKUP(AK$4,Rev_Month!$B$3:$HG$41,8,FALSE)+HLOOKUP(AK$4,Rev_Month!$B$3:$HG$41,14,FALSE)</f>
        <v>1020</v>
      </c>
      <c r="AL64" s="2450">
        <f>HLOOKUP(AL$4,Rev_Month!$B$3:$HG$41,8,FALSE)+HLOOKUP(AL$4,Rev_Month!$B$3:$HG$41,14,FALSE)</f>
        <v>1067</v>
      </c>
      <c r="AM64" s="2450">
        <f>HLOOKUP(AM$4,Rev_Month!$B$3:$HG$41,8,FALSE)+HLOOKUP(AM$4,Rev_Month!$B$3:$HG$41,14,FALSE)</f>
        <v>1116</v>
      </c>
      <c r="AN64" s="2450">
        <f>HLOOKUP(AN$4,Rev_Month!$B$3:$HG$41,8,FALSE)+HLOOKUP(AN$4,Rev_Month!$B$3:$HG$41,14,FALSE)</f>
        <v>1190</v>
      </c>
      <c r="AO64" s="2450">
        <f>HLOOKUP(AO$4,Rev_Month!$B$3:$HG$41,8,FALSE)+HLOOKUP(AO$4,Rev_Month!$B$3:$HG$41,14,FALSE)</f>
        <v>1188</v>
      </c>
      <c r="AP64" s="2450">
        <f>HLOOKUP(AP$4,Rev_Month!$B$3:$HG$41,8,FALSE)+HLOOKUP(AP$4,Rev_Month!$B$3:$HG$41,14,FALSE)</f>
        <v>1180</v>
      </c>
      <c r="AQ64" s="2450">
        <f>HLOOKUP(AQ$4,Rev_Month!$B$3:$HG$41,8,FALSE)+HLOOKUP(AQ$4,Rev_Month!$B$3:$HG$41,14,FALSE)</f>
        <v>1165</v>
      </c>
      <c r="AR64" s="2450">
        <f>HLOOKUP(AR$4,Rev_Month!$B$3:$HG$41,8,FALSE)+HLOOKUP(AR$4,Rev_Month!$B$3:$HG$41,14,FALSE)</f>
        <v>1078</v>
      </c>
      <c r="AS64" s="2450">
        <f>HLOOKUP(AS$4,Rev_Month!$B$3:$HG$41,8,FALSE)+HLOOKUP(AS$4,Rev_Month!$B$3:$HG$41,14,FALSE)</f>
        <v>1071</v>
      </c>
      <c r="AT64" s="2450">
        <f>HLOOKUP(AT$4,Rev_Month!$B$3:$HG$41,8,FALSE)+HLOOKUP(AT$4,Rev_Month!$B$3:$HG$41,14,FALSE)</f>
        <v>1043</v>
      </c>
      <c r="AU64" s="2450">
        <f>HLOOKUP(AU$4,Rev_Month!$B$3:$HG$41,8,FALSE)+HLOOKUP(AU$4,Rev_Month!$B$3:$HG$41,14,FALSE)</f>
        <v>1023</v>
      </c>
      <c r="AV64" s="2450">
        <f>HLOOKUP(AV$4,Rev_Month!$B$3:$HG$41,8,FALSE)+HLOOKUP(AV$4,Rev_Month!$B$3:$HG$41,14,FALSE)</f>
        <v>1021</v>
      </c>
      <c r="AW64" s="2450">
        <f>HLOOKUP(AW$4,Rev_Month!$B$3:$HG$41,8,FALSE)+HLOOKUP(AW$4,Rev_Month!$B$3:$HG$41,14,FALSE)</f>
        <v>1017</v>
      </c>
      <c r="AX64" s="2450">
        <f>HLOOKUP(AX$4,Rev_Month!$B$3:$HG$41,8,FALSE)+HLOOKUP(AX$4,Rev_Month!$B$3:$HG$41,14,FALSE)</f>
        <v>1015</v>
      </c>
      <c r="AY64" s="2450">
        <f>HLOOKUP(AY$4,Rev_Month!$B$3:$HG$41,8,FALSE)+HLOOKUP(AY$4,Rev_Month!$B$3:$HG$41,14,FALSE)</f>
        <v>1013</v>
      </c>
      <c r="AZ64" s="2450">
        <f>HLOOKUP(AZ$4,Rev_Month!$B$3:$HG$41,8,FALSE)+HLOOKUP(AZ$4,Rev_Month!$B$3:$HG$41,14,FALSE)</f>
        <v>1012</v>
      </c>
      <c r="BA64" s="2450">
        <f>HLOOKUP(BA$4,Rev_Month!$B$3:$HG$41,8,FALSE)+HLOOKUP(BA$4,Rev_Month!$B$3:$HG$41,14,FALSE)</f>
        <v>1012</v>
      </c>
      <c r="BB64" s="2450">
        <f>HLOOKUP(BB$4,Rev_Month!$B$3:$HG$41,8,FALSE)+HLOOKUP(BB$4,Rev_Month!$B$3:$HG$41,14,FALSE)</f>
        <v>1012</v>
      </c>
      <c r="BC64" s="2450">
        <f>HLOOKUP(BC$4,Rev_Month!$B$3:$HG$41,8,FALSE)+HLOOKUP(BC$4,Rev_Month!$B$3:$HG$41,14,FALSE)</f>
        <v>1012</v>
      </c>
      <c r="BD64" s="2450">
        <f>HLOOKUP(BD$4,Rev_Month!$B$3:$HG$41,8,FALSE)+HLOOKUP(BD$4,Rev_Month!$B$3:$HG$41,14,FALSE)</f>
        <v>1012</v>
      </c>
      <c r="BE64" s="2450">
        <f>HLOOKUP(BE$4,Rev_Month!$B$3:$HG$41,8,FALSE)+HLOOKUP(BE$4,Rev_Month!$B$3:$HG$41,14,FALSE)</f>
        <v>1012</v>
      </c>
      <c r="BF64" s="2450">
        <f>HLOOKUP(BF$4,Rev_Month!$B$3:$HG$41,8,FALSE)+HLOOKUP(BF$4,Rev_Month!$B$3:$HG$41,14,FALSE)</f>
        <v>1012</v>
      </c>
      <c r="BG64" s="2450">
        <f>HLOOKUP(BG$4,Rev_Month!$B$3:$HG$41,8,FALSE)+HLOOKUP(BG$4,Rev_Month!$B$3:$HG$41,14,FALSE)</f>
        <v>1012</v>
      </c>
      <c r="BH64" s="2450">
        <f>HLOOKUP(BH$4,Rev_Month!$B$3:$HG$41,8,FALSE)+HLOOKUP(BH$4,Rev_Month!$B$3:$HG$41,14,FALSE)</f>
        <v>1012</v>
      </c>
      <c r="BI64" s="2450">
        <f>HLOOKUP(BI$4,Rev_Month!$B$3:$HG$41,8,FALSE)+HLOOKUP(BI$4,Rev_Month!$B$3:$HG$41,14,FALSE)</f>
        <v>1012</v>
      </c>
      <c r="BJ64" s="2450">
        <f>HLOOKUP(BJ$4,Rev_Month!$B$3:$HG$41,8,FALSE)+HLOOKUP(BJ$4,Rev_Month!$B$3:$HG$41,14,FALSE)</f>
        <v>1012</v>
      </c>
      <c r="BK64" s="2450">
        <f>HLOOKUP(BK$4,Rev_Month!$B$3:$HG$41,8,FALSE)+HLOOKUP(BK$4,Rev_Month!$B$3:$HG$41,14,FALSE)</f>
        <v>1012</v>
      </c>
      <c r="BL64" s="2450">
        <f>HLOOKUP(BL$4,Rev_Month!$B$3:$HG$41,8,FALSE)+HLOOKUP(BL$4,Rev_Month!$B$3:$HG$41,14,FALSE)</f>
        <v>1012</v>
      </c>
      <c r="BM64" s="2450">
        <f>HLOOKUP(BM$4,Rev_Month!$B$3:$HG$41,8,FALSE)+HLOOKUP(BM$4,Rev_Month!$B$3:$HG$41,14,FALSE)</f>
        <v>1012</v>
      </c>
      <c r="BN64" s="2450">
        <f>HLOOKUP(BN$4,Rev_Month!$B$3:$HG$41,8,FALSE)+HLOOKUP(BN$4,Rev_Month!$B$3:$HG$41,14,FALSE)</f>
        <v>1012</v>
      </c>
      <c r="BO64" s="2450">
        <f>HLOOKUP(BO$4,Rev_Month!$B$3:$HG$41,8,FALSE)+HLOOKUP(BO$4,Rev_Month!$B$3:$HG$41,14,FALSE)</f>
        <v>1012</v>
      </c>
      <c r="BP64" s="2450">
        <f>HLOOKUP(BP$4,Rev_Month!$B$3:$HG$41,8,FALSE)+HLOOKUP(BP$4,Rev_Month!$B$3:$HG$41,14,FALSE)</f>
        <v>1012</v>
      </c>
      <c r="BQ64" s="2450">
        <f>HLOOKUP(BQ$4,Rev_Month!$B$3:$HG$41,8,FALSE)+HLOOKUP(BQ$4,Rev_Month!$B$3:$HG$41,14,FALSE)</f>
        <v>1012</v>
      </c>
      <c r="BR64" s="2450">
        <f>HLOOKUP(BR$4,Rev_Month!$B$3:$HG$41,8,FALSE)+HLOOKUP(BR$4,Rev_Month!$B$3:$HG$41,14,FALSE)</f>
        <v>1012</v>
      </c>
      <c r="BS64" s="2450">
        <f>HLOOKUP(BS$4,Rev_Month!$B$3:$HG$41,8,FALSE)+HLOOKUP(BS$4,Rev_Month!$B$3:$HG$41,14,FALSE)</f>
        <v>1012</v>
      </c>
      <c r="BT64" s="2450">
        <f>HLOOKUP(BT$4,Rev_Month!$B$3:$HG$41,8,FALSE)+HLOOKUP(BT$4,Rev_Month!$B$3:$HG$41,14,FALSE)</f>
        <v>1012</v>
      </c>
      <c r="BU64" s="2450">
        <f>HLOOKUP(BU$4,Rev_Month!$B$3:$HG$41,8,FALSE)+HLOOKUP(BU$4,Rev_Month!$B$3:$HG$41,14,FALSE)</f>
        <v>1012</v>
      </c>
      <c r="BV64" s="2450">
        <f>HLOOKUP(BV$4,Rev_Month!$B$3:$HG$41,8,FALSE)+HLOOKUP(BV$4,Rev_Month!$B$3:$HG$41,14,FALSE)</f>
        <v>1012</v>
      </c>
      <c r="BW64" s="2450">
        <f>HLOOKUP(BW$4,Rev_Month!$B$3:$HG$41,8,FALSE)+HLOOKUP(BW$4,Rev_Month!$B$3:$HG$41,14,FALSE)</f>
        <v>1012</v>
      </c>
      <c r="BX64" s="2450">
        <f>HLOOKUP(BX$4,Rev_Month!$B$3:$HG$41,8,FALSE)+HLOOKUP(BX$4,Rev_Month!$B$3:$HG$41,14,FALSE)</f>
        <v>1012</v>
      </c>
      <c r="BY64" s="2450">
        <f>HLOOKUP(BY$4,Rev_Month!$B$3:$HG$41,8,FALSE)+HLOOKUP(BY$4,Rev_Month!$B$3:$HG$41,14,FALSE)</f>
        <v>1012</v>
      </c>
      <c r="BZ64" s="2450">
        <f>HLOOKUP(BZ$4,Rev_Month!$B$3:$HG$41,8,FALSE)+HLOOKUP(BZ$4,Rev_Month!$B$3:$HG$41,14,FALSE)</f>
        <v>1012</v>
      </c>
      <c r="CA64" s="2450">
        <f>HLOOKUP(CA$4,Rev_Month!$B$3:$HG$41,8,FALSE)+HLOOKUP(CA$4,Rev_Month!$B$3:$HG$41,14,FALSE)</f>
        <v>1012</v>
      </c>
      <c r="CB64" s="2450">
        <f>HLOOKUP(CB$4,Rev_Month!$B$3:$HG$41,8,FALSE)+HLOOKUP(CB$4,Rev_Month!$B$3:$HG$41,14,FALSE)</f>
        <v>1012</v>
      </c>
      <c r="CC64" s="2450">
        <f>HLOOKUP(CC$4,Rev_Month!$B$3:$HG$41,8,FALSE)+HLOOKUP(CC$4,Rev_Month!$B$3:$HG$41,14,FALSE)</f>
        <v>0</v>
      </c>
      <c r="CD64" s="2450">
        <f>HLOOKUP(CD$4,Rev_Month!$B$3:$HG$41,8,FALSE)+HLOOKUP(CD$4,Rev_Month!$B$3:$HG$41,14,FALSE)</f>
        <v>0</v>
      </c>
      <c r="CE64" s="2450">
        <f>HLOOKUP(CE$4,Rev_Month!$B$3:$HG$41,8,FALSE)+HLOOKUP(CE$4,Rev_Month!$B$3:$HG$41,14,FALSE)</f>
        <v>0</v>
      </c>
      <c r="CF64" s="2450">
        <f>HLOOKUP(CF$4,Rev_Month!$B$3:$HG$41,8,FALSE)+HLOOKUP(CF$4,Rev_Month!$B$3:$HG$41,14,FALSE)</f>
        <v>0</v>
      </c>
      <c r="CG64" s="2450">
        <f>HLOOKUP(CG$4,Rev_Month!$B$3:$HG$41,8,FALSE)+HLOOKUP(CG$4,Rev_Month!$B$3:$HG$41,14,FALSE)</f>
        <v>0</v>
      </c>
      <c r="CH64" s="2450">
        <f>HLOOKUP(CH$4,Rev_Month!$B$3:$HG$41,8,FALSE)+HLOOKUP(CH$4,Rev_Month!$B$3:$HG$41,14,FALSE)</f>
        <v>0</v>
      </c>
      <c r="CI64" s="2450">
        <f>HLOOKUP(CI$4,Rev_Month!$B$3:$HG$41,8,FALSE)+HLOOKUP(CI$4,Rev_Month!$B$3:$HG$41,14,FALSE)</f>
        <v>0</v>
      </c>
      <c r="CJ64" s="2450">
        <f>HLOOKUP(CJ$4,Rev_Month!$B$3:$HG$41,8,FALSE)+HLOOKUP(CJ$4,Rev_Month!$B$3:$HG$41,14,FALSE)</f>
        <v>0</v>
      </c>
      <c r="CK64" s="2450">
        <f>HLOOKUP(CK$4,Rev_Month!$B$3:$HG$41,8,FALSE)+HLOOKUP(CK$4,Rev_Month!$B$3:$HG$41,14,FALSE)</f>
        <v>0</v>
      </c>
      <c r="CL64" s="2450">
        <f>HLOOKUP(CL$4,Rev_Month!$B$3:$HG$41,8,FALSE)+HLOOKUP(CL$4,Rev_Month!$B$3:$HG$41,14,FALSE)</f>
        <v>0</v>
      </c>
      <c r="CM64" s="2450">
        <f>HLOOKUP(CM$4,Rev_Month!$B$3:$HG$41,8,FALSE)+HLOOKUP(CM$4,Rev_Month!$B$3:$HG$41,14,FALSE)</f>
        <v>0</v>
      </c>
      <c r="CN64" s="2450" t="e">
        <f>HLOOKUP(CN$4,Rev_Month!$B$3:$HG$41,8,FALSE)+HLOOKUP(CN$4,Rev_Month!$B$3:$HG$41,14,FALSE)</f>
        <v>#N/A</v>
      </c>
      <c r="CO64" s="2450" t="e">
        <f>HLOOKUP(CO$4,Rev_Month!$B$3:$HG$41,8,FALSE)+HLOOKUP(CO$4,Rev_Month!$B$3:$HG$41,14,FALSE)</f>
        <v>#N/A</v>
      </c>
      <c r="CP64" s="2450" t="e">
        <f>HLOOKUP(CP$4,Rev_Month!$B$3:$HG$41,8,FALSE)+HLOOKUP(CP$4,Rev_Month!$B$3:$HG$41,14,FALSE)</f>
        <v>#N/A</v>
      </c>
      <c r="CQ64" s="2450" t="e">
        <f>HLOOKUP(CQ$4,Rev_Month!$B$3:$HG$41,8,FALSE)+HLOOKUP(CQ$4,Rev_Month!$B$3:$HG$41,14,FALSE)</f>
        <v>#N/A</v>
      </c>
      <c r="CR64" s="2450" t="e">
        <f>HLOOKUP(CR$4,Rev_Month!$B$3:$HG$41,8,FALSE)+HLOOKUP(CR$4,Rev_Month!$B$3:$HG$41,14,FALSE)</f>
        <v>#N/A</v>
      </c>
      <c r="CS64" s="2450" t="e">
        <f>HLOOKUP(CS$4,Rev_Month!$B$3:$HG$41,8,FALSE)+HLOOKUP(CS$4,Rev_Month!$B$3:$HG$41,14,FALSE)</f>
        <v>#N/A</v>
      </c>
      <c r="CT64" s="2450" t="e">
        <f>HLOOKUP(CT$4,Rev_Month!$B$3:$HG$41,8,FALSE)+HLOOKUP(CT$4,Rev_Month!$B$3:$HG$41,14,FALSE)</f>
        <v>#N/A</v>
      </c>
      <c r="CU64" s="2450" t="e">
        <f>HLOOKUP(CU$4,Rev_Month!$B$3:$HG$41,8,FALSE)+HLOOKUP(CU$4,Rev_Month!$B$3:$HG$41,14,FALSE)</f>
        <v>#N/A</v>
      </c>
      <c r="CV64" s="2450" t="e">
        <f>HLOOKUP(CV$4,Rev_Month!$B$3:$HG$41,8,FALSE)+HLOOKUP(CV$4,Rev_Month!$B$3:$HG$41,14,FALSE)</f>
        <v>#N/A</v>
      </c>
      <c r="CW64" s="2450" t="e">
        <f>HLOOKUP(CW$4,Rev_Month!$B$3:$HG$41,8,FALSE)+HLOOKUP(CW$4,Rev_Month!$B$3:$HG$41,14,FALSE)</f>
        <v>#N/A</v>
      </c>
      <c r="CX64" s="2450" t="e">
        <f>HLOOKUP(CX$4,Rev_Month!$B$3:$HG$41,8,FALSE)+HLOOKUP(CX$4,Rev_Month!$B$3:$HG$41,14,FALSE)</f>
        <v>#N/A</v>
      </c>
      <c r="CY64" s="2450" t="e">
        <f>HLOOKUP(CY$4,Rev_Month!$B$3:$HG$41,8,FALSE)+HLOOKUP(CY$4,Rev_Month!$B$3:$HG$41,14,FALSE)</f>
        <v>#N/A</v>
      </c>
      <c r="CZ64" s="2450" t="e">
        <f>HLOOKUP(CZ$4,Rev_Month!$B$3:$HG$41,8,FALSE)+HLOOKUP(CZ$4,Rev_Month!$B$3:$HG$41,14,FALSE)</f>
        <v>#N/A</v>
      </c>
    </row>
    <row r="65" spans="1:104" hidden="1" outlineLevel="1">
      <c r="A65" s="2452" t="s">
        <v>177</v>
      </c>
      <c r="B65" s="2240"/>
      <c r="C65" s="2256">
        <f t="shared" ref="C65:I65" si="381">C64-B64</f>
        <v>386</v>
      </c>
      <c r="D65" s="2256">
        <f t="shared" si="381"/>
        <v>122</v>
      </c>
      <c r="E65" s="2256">
        <f t="shared" si="381"/>
        <v>-40</v>
      </c>
      <c r="F65" s="2256">
        <f t="shared" si="381"/>
        <v>-36</v>
      </c>
      <c r="G65" s="2256">
        <f t="shared" si="381"/>
        <v>-83</v>
      </c>
      <c r="H65" s="2256">
        <f t="shared" si="381"/>
        <v>57</v>
      </c>
      <c r="I65" s="2371">
        <f t="shared" si="381"/>
        <v>220</v>
      </c>
      <c r="J65" s="2371">
        <f>SUMIF(Rev_Month!$BJ$64:$DR$64,Rev_Year!J5,Rev_Month!$BJ$11:$DR$11)+SUMIF(Rev_Month!$BJ$64:$DR$64,Rev_Year!J5,Rev_Month!$BJ$17:$DR$17)</f>
        <v>-89</v>
      </c>
      <c r="K65" s="2370">
        <f>SUMIF(Rev_Month!$BJ$64:$DR$64,Rev_Year!K5,Rev_Month!$BJ$11:$DR$11)+SUMIF(Rev_Month!$BJ$64:$DR$64,Rev_Year!K5,Rev_Month!$BJ$17:$DR$17)</f>
        <v>-46</v>
      </c>
      <c r="L65" s="2453">
        <f>SUMIF(Rev_Month!$BJ$64:$DR$64,Rev_Year!L5,Rev_Month!$BJ$11:$DR$11)+SUMIF(Rev_Month!$BJ$64:$DR$64,Rev_Year!L5,Rev_Month!$BJ$17:$DR$17)</f>
        <v>-8</v>
      </c>
      <c r="M65" s="2453">
        <f>SUMIF(Rev_Month!$BJ$64:$DR$64,Rev_Year!M5,Rev_Month!$BJ$11:$DR$11)+SUMIF(Rev_Month!$BJ$64:$DR$64,Rev_Year!M5,Rev_Month!$BJ$17:$DR$17)</f>
        <v>0</v>
      </c>
      <c r="N65" s="2453">
        <f>SUMIF(Rev_Month!$BJ$64:$DR$64,Rev_Year!N5,Rev_Month!$BJ$11:$DR$11)+SUMIF(Rev_Month!$BJ$64:$DR$64,Rev_Year!N5,Rev_Month!$BJ$17:$DR$17)</f>
        <v>0</v>
      </c>
      <c r="O65" s="2453">
        <f>SUMIF(Rev_Month!$BJ$64:$DR$64,Rev_Year!O5,Rev_Month!$BJ$11:$DR$11)+SUMIF(Rev_Month!$BJ$64:$DR$64,Rev_Year!O5,Rev_Month!$BJ$17:$DR$17)</f>
        <v>0</v>
      </c>
      <c r="P65" s="2453">
        <f>SUMIF(Rev_Month!$BJ$64:$DR$64,Rev_Year!P5,Rev_Month!$BJ$11:$DR$11)+SUMIF(Rev_Month!$BJ$64:$DR$64,Rev_Year!P5,Rev_Month!$BJ$17:$DR$17)</f>
        <v>0</v>
      </c>
      <c r="Q65" s="2453">
        <f>SUMIF(Rev_Month!$BJ$64:$DR$64,Rev_Year!Q5,Rev_Month!$BJ$11:$DR$11)+SUMIF(Rev_Month!$BJ$64:$DR$64,Rev_Year!Q5,Rev_Month!$BJ$17:$DR$17)</f>
        <v>0</v>
      </c>
      <c r="R65" s="2175"/>
      <c r="S65" s="2175"/>
      <c r="T65" s="2175">
        <v>62</v>
      </c>
      <c r="U65" s="2175"/>
      <c r="V65" s="2175"/>
      <c r="W65" s="2175"/>
      <c r="X65" s="2175"/>
      <c r="Y65" s="2175"/>
      <c r="Z65" s="2175"/>
      <c r="AA65" s="2175"/>
      <c r="AB65" s="2175"/>
      <c r="AC65" s="2175"/>
      <c r="AD65" s="2175"/>
      <c r="AE65" s="2175"/>
      <c r="AF65" s="2175"/>
      <c r="AG65" s="2453">
        <f>AG64-AF64</f>
        <v>-4</v>
      </c>
      <c r="AH65" s="2175">
        <f>IF(ISNUMBER(AVERAGEIF(Rev_Month!$B$1:$QQ$1,AH$4,Rev_Month!$B$16:$QQ$16)),AVERAGEIF(Rev_Month!$B$1:$QQ$1,AH$4,Rev_Month!$B$16:$QQ$16),0)</f>
        <v>0</v>
      </c>
      <c r="AI65" s="2175">
        <f>IF(ISNUMBER(AVERAGEIF(Rev_Month!$B$1:$QQ$1,AI$4,Rev_Month!$B$16:$QQ$16)),AVERAGEIF(Rev_Month!$B$1:$QQ$1,AI$4,Rev_Month!$B$16:$QQ$16),0)</f>
        <v>0</v>
      </c>
      <c r="AJ65" s="2175">
        <f>IF(ISNUMBER(AVERAGEIF(Rev_Month!$B$1:$QQ$1,AJ$4,Rev_Month!$B$16:$QQ$16)),AVERAGEIF(Rev_Month!$B$1:$QQ$1,AJ$4,Rev_Month!$B$16:$QQ$16),0)</f>
        <v>0</v>
      </c>
      <c r="AK65" s="2175">
        <f>IF(ISNUMBER(AVERAGEIF(Rev_Month!$B$1:$QQ$1,AK$4,Rev_Month!$B$16:$QQ$16)),AVERAGEIF(Rev_Month!$B$1:$QQ$1,AK$4,Rev_Month!$B$16:$QQ$16),0)</f>
        <v>25.5</v>
      </c>
      <c r="AL65" s="2175">
        <f>IF(ISNUMBER(AVERAGEIF(Rev_Month!$B$1:$QQ$1,AL$4,Rev_Month!$B$16:$QQ$16)),AVERAGEIF(Rev_Month!$B$1:$QQ$1,AL$4,Rev_Month!$B$16:$QQ$16),0)</f>
        <v>42.5</v>
      </c>
      <c r="AM65" s="2454">
        <f>IF(ISNUMBER(AVERAGEIF(Rev_Month!$B$1:$QQ$1,AM$4,Rev_Month!$B$16:$QQ$16)),AVERAGEIF(Rev_Month!$B$1:$QQ$1,AM$4,Rev_Month!$B$16:$QQ$16),0)</f>
        <v>58.333333333333336</v>
      </c>
      <c r="AN65" s="2175">
        <f>IF(ISNUMBER(AVERAGEIF(Rev_Month!$B$1:$QQ$1,AN$4,Rev_Month!$B$16:$QQ$16)),AVERAGEIF(Rev_Month!$B$1:$QQ$1,AN$4,Rev_Month!$B$16:$QQ$16),0)</f>
        <v>97</v>
      </c>
      <c r="AO65" s="2375">
        <f>IF(ISNUMBER(AVERAGEIF(Rev_Month!$B$1:$QQ$1,AO$4,Rev_Month!$B$16:$QQ$16)),AVERAGEIF(Rev_Month!$B$1:$QQ$1,AO$4,Rev_Month!$B$16:$QQ$16),0)</f>
        <v>100</v>
      </c>
      <c r="AP65" s="2175">
        <f>IF(ISNUMBER(AVERAGEIF(Rev_Month!$B$1:$QQ$1,AP$4,Rev_Month!$B$16:$QQ$16)),AVERAGEIF(Rev_Month!$B$1:$QQ$1,AP$4,Rev_Month!$B$16:$QQ$16),0)</f>
        <v>100</v>
      </c>
      <c r="AQ65" s="2175">
        <f>IF(ISNUMBER(AVERAGEIF(Rev_Month!$B$1:$QQ$1,AQ$4,Rev_Month!$B$16:$QQ$16)),AVERAGEIF(Rev_Month!$B$1:$QQ$1,AQ$4,Rev_Month!$B$16:$QQ$16),0)</f>
        <v>99.666666666666671</v>
      </c>
      <c r="AR65" s="2175">
        <f>IF(ISNUMBER(AVERAGEIF(Rev_Month!$B$1:$QQ$1,AR$4,Rev_Month!$B$16:$QQ$16)),AVERAGEIF(Rev_Month!$B$1:$QQ$1,AR$4,Rev_Month!$B$16:$QQ$16),0)</f>
        <v>99</v>
      </c>
      <c r="AS65" s="2375">
        <f>IF(ISNUMBER(AVERAGEIF(Rev_Month!$B$1:$QQ$1,AS$4,Rev_Month!$B$16:$QQ$16)),AVERAGEIF(Rev_Month!$B$1:$QQ$1,AS$4,Rev_Month!$B$16:$QQ$16),0)</f>
        <v>99</v>
      </c>
      <c r="AT65" s="2175">
        <f>IF(ISNUMBER(AVERAGEIF(Rev_Month!$B$1:$QQ$1,AT$4,Rev_Month!$B$16:$QQ$16)),AVERAGEIF(Rev_Month!$B$1:$QQ$1,AT$4,Rev_Month!$B$16:$QQ$16),0)</f>
        <v>98</v>
      </c>
      <c r="AU65" s="2175">
        <f>IF(ISNUMBER(AVERAGEIF(Rev_Month!$B$1:$QQ$1,AU$4,Rev_Month!$B$16:$QQ$16)),AVERAGEIF(Rev_Month!$B$1:$QQ$1,AU$4,Rev_Month!$B$16:$QQ$16),0)</f>
        <v>89</v>
      </c>
      <c r="AV65" s="2175">
        <f>IF(ISNUMBER(AVERAGEIF(Rev_Month!$B$1:$QQ$1,AV$4,Rev_Month!$B$16:$QQ$16)),AVERAGEIF(Rev_Month!$B$1:$QQ$1,AV$4,Rev_Month!$B$16:$QQ$16),0)</f>
        <v>88</v>
      </c>
      <c r="AW65" s="2376">
        <f>IF(ISNUMBER(AVERAGEIF(Rev_Month!$B$1:$QQ$1,AW$4,Rev_Month!$B$16:$QQ$16)),AVERAGEIF(Rev_Month!$B$1:$QQ$1,AW$4,Rev_Month!$B$16:$QQ$16),0)</f>
        <v>87</v>
      </c>
      <c r="AX65" s="2177">
        <f>IF(ISNUMBER(AVERAGEIF(Rev_Month!$B$1:$QQ$1,AX$4,Rev_Month!$B$16:$QQ$16)),AVERAGEIF(Rev_Month!$B$1:$QQ$1,AX$4,Rev_Month!$B$16:$QQ$16),0)</f>
        <v>85</v>
      </c>
      <c r="AY65" s="2177">
        <f>IF(ISNUMBER(AVERAGEIF(Rev_Month!$B$1:$QQ$1,AY$4,Rev_Month!$B$16:$QQ$16)),AVERAGEIF(Rev_Month!$B$1:$QQ$1,AY$4,Rev_Month!$B$16:$QQ$16),0)</f>
        <v>85</v>
      </c>
      <c r="AZ65" s="2177">
        <f>IF(ISNUMBER(AVERAGEIF(Rev_Month!$B$1:$QQ$1,AZ$4,Rev_Month!$B$16:$QQ$16)),AVERAGEIF(Rev_Month!$B$1:$QQ$1,AZ$4,Rev_Month!$B$16:$QQ$16),0)</f>
        <v>85</v>
      </c>
      <c r="BA65" s="2174">
        <f>IF(ISNUMBER(AVERAGEIF(Rev_Month!$B$1:$QQ$1,BA$4,Rev_Month!$B$16:$QQ$16)),AVERAGEIF(Rev_Month!$B$1:$QQ$1,BA$4,Rev_Month!$B$16:$QQ$16),0)</f>
        <v>85</v>
      </c>
      <c r="BB65" s="2174">
        <f>IF(ISNUMBER(AVERAGEIF(Rev_Month!$B$1:$QQ$1,BB$4,Rev_Month!$B$16:$QQ$16)),AVERAGEIF(Rev_Month!$B$1:$QQ$1,BB$4,Rev_Month!$B$16:$QQ$16),0)</f>
        <v>85</v>
      </c>
      <c r="BC65" s="2174">
        <f>IF(ISNUMBER(AVERAGEIF(Rev_Month!$B$1:$QQ$1,BC$4,Rev_Month!$B$16:$QQ$16)),AVERAGEIF(Rev_Month!$B$1:$QQ$1,BC$4,Rev_Month!$B$16:$QQ$16),0)</f>
        <v>85</v>
      </c>
      <c r="BD65" s="2174">
        <f>IF(ISNUMBER(AVERAGEIF(Rev_Month!$B$1:$QQ$1,BD$4,Rev_Month!$B$16:$QQ$16)),AVERAGEIF(Rev_Month!$B$1:$QQ$1,BD$4,Rev_Month!$B$16:$QQ$16),0)</f>
        <v>85</v>
      </c>
      <c r="BE65" s="2174">
        <f>IF(ISNUMBER(AVERAGEIF(Rev_Month!$B$1:$QQ$1,BE$4,Rev_Month!$B$16:$QQ$16)),AVERAGEIF(Rev_Month!$B$1:$QQ$1,BE$4,Rev_Month!$B$16:$QQ$16),0)</f>
        <v>85</v>
      </c>
      <c r="BF65" s="2174">
        <f>IF(ISNUMBER(AVERAGEIF(Rev_Month!$B$1:$QQ$1,BF$4,Rev_Month!$B$16:$QQ$16)),AVERAGEIF(Rev_Month!$B$1:$QQ$1,BF$4,Rev_Month!$B$16:$QQ$16),0)</f>
        <v>85</v>
      </c>
      <c r="BG65" s="2174">
        <f>IF(ISNUMBER(AVERAGEIF(Rev_Month!$B$1:$QQ$1,BG$4,Rev_Month!$B$16:$QQ$16)),AVERAGEIF(Rev_Month!$B$1:$QQ$1,BG$4,Rev_Month!$B$16:$QQ$16),0)</f>
        <v>85</v>
      </c>
      <c r="BH65" s="2174">
        <f>IF(ISNUMBER(AVERAGEIF(Rev_Month!$B$1:$QQ$1,BH$4,Rev_Month!$B$16:$QQ$16)),AVERAGEIF(Rev_Month!$B$1:$QQ$1,BH$4,Rev_Month!$B$16:$QQ$16),0)</f>
        <v>85</v>
      </c>
      <c r="BI65" s="2174">
        <f>IF(ISNUMBER(AVERAGEIF(Rev_Month!$B$1:$QQ$1,BI$4,Rev_Month!$B$16:$QQ$16)),AVERAGEIF(Rev_Month!$B$1:$QQ$1,BI$4,Rev_Month!$B$16:$QQ$16),0)</f>
        <v>85</v>
      </c>
      <c r="BJ65" s="2174">
        <f>IF(ISNUMBER(AVERAGEIF(Rev_Month!$B$1:$QQ$1,BJ$4,Rev_Month!$B$16:$QQ$16)),AVERAGEIF(Rev_Month!$B$1:$QQ$1,BJ$4,Rev_Month!$B$16:$QQ$16),0)</f>
        <v>85</v>
      </c>
      <c r="BK65" s="2174">
        <f>IF(ISNUMBER(AVERAGEIF(Rev_Month!$B$1:$QQ$1,BK$4,Rev_Month!$B$16:$QQ$16)),AVERAGEIF(Rev_Month!$B$1:$QQ$1,BK$4,Rev_Month!$B$16:$QQ$16),0)</f>
        <v>85</v>
      </c>
      <c r="BL65" s="2174">
        <f>IF(ISNUMBER(AVERAGEIF(Rev_Month!$B$1:$QQ$1,BL$4,Rev_Month!$B$16:$QQ$16)),AVERAGEIF(Rev_Month!$B$1:$QQ$1,BL$4,Rev_Month!$B$16:$QQ$16),0)</f>
        <v>85</v>
      </c>
      <c r="BM65" s="2174">
        <f>IF(ISNUMBER(AVERAGEIF(Rev_Month!$B$1:$QQ$1,BM$4,Rev_Month!$B$16:$QQ$16)),AVERAGEIF(Rev_Month!$B$1:$QQ$1,BM$4,Rev_Month!$B$16:$QQ$16),0)</f>
        <v>85</v>
      </c>
      <c r="BN65" s="2174">
        <f>IF(ISNUMBER(AVERAGEIF(Rev_Month!$B$1:$QQ$1,BN$4,Rev_Month!$B$16:$QQ$16)),AVERAGEIF(Rev_Month!$B$1:$QQ$1,BN$4,Rev_Month!$B$16:$QQ$16),0)</f>
        <v>85</v>
      </c>
      <c r="BO65" s="2174">
        <f>IF(ISNUMBER(AVERAGEIF(Rev_Month!$B$1:$QQ$1,BO$4,Rev_Month!$B$16:$QQ$16)),AVERAGEIF(Rev_Month!$B$1:$QQ$1,BO$4,Rev_Month!$B$16:$QQ$16),0)</f>
        <v>85</v>
      </c>
      <c r="BP65" s="2174">
        <f>IF(ISNUMBER(AVERAGEIF(Rev_Month!$B$1:$QQ$1,BP$4,Rev_Month!$B$16:$QQ$16)),AVERAGEIF(Rev_Month!$B$1:$QQ$1,BP$4,Rev_Month!$B$16:$QQ$16),0)</f>
        <v>85</v>
      </c>
      <c r="BQ65" s="2174">
        <f>IF(ISNUMBER(AVERAGEIF(Rev_Month!$B$1:$QQ$1,BQ$4,Rev_Month!$B$16:$QQ$16)),AVERAGEIF(Rev_Month!$B$1:$QQ$1,BQ$4,Rev_Month!$B$16:$QQ$16),0)</f>
        <v>85</v>
      </c>
      <c r="BR65" s="2174">
        <f>IF(ISNUMBER(AVERAGEIF(Rev_Month!$B$1:$QQ$1,BR$4,Rev_Month!$B$16:$QQ$16)),AVERAGEIF(Rev_Month!$B$1:$QQ$1,BR$4,Rev_Month!$B$16:$QQ$16),0)</f>
        <v>85</v>
      </c>
      <c r="BS65" s="2174">
        <f>IF(ISNUMBER(AVERAGEIF(Rev_Month!$B$1:$QQ$1,BS$4,Rev_Month!$B$16:$QQ$16)),AVERAGEIF(Rev_Month!$B$1:$QQ$1,BS$4,Rev_Month!$B$16:$QQ$16),0)</f>
        <v>85</v>
      </c>
      <c r="BT65" s="2174">
        <f>IF(ISNUMBER(AVERAGEIF(Rev_Month!$B$1:$QQ$1,BT$4,Rev_Month!$B$16:$QQ$16)),AVERAGEIF(Rev_Month!$B$1:$QQ$1,BT$4,Rev_Month!$B$16:$QQ$16),0)</f>
        <v>85</v>
      </c>
      <c r="BU65" s="2174">
        <f>IF(ISNUMBER(AVERAGEIF(Rev_Month!$B$1:$QQ$1,BU$4,Rev_Month!$B$16:$QQ$16)),AVERAGEIF(Rev_Month!$B$1:$QQ$1,BU$4,Rev_Month!$B$16:$QQ$16),0)</f>
        <v>85</v>
      </c>
      <c r="BV65" s="2174">
        <f>IF(ISNUMBER(AVERAGEIF(Rev_Month!$B$1:$QQ$1,BV$4,Rev_Month!$B$16:$QQ$16)),AVERAGEIF(Rev_Month!$B$1:$QQ$1,BV$4,Rev_Month!$B$16:$QQ$16),0)</f>
        <v>85</v>
      </c>
      <c r="BW65" s="2174">
        <f>IF(ISNUMBER(AVERAGEIF(Rev_Month!$B$1:$QQ$1,BW$4,Rev_Month!$B$16:$QQ$16)),AVERAGEIF(Rev_Month!$B$1:$QQ$1,BW$4,Rev_Month!$B$16:$QQ$16),0)</f>
        <v>85</v>
      </c>
      <c r="BX65" s="2174">
        <f>IF(ISNUMBER(AVERAGEIF(Rev_Month!$B$1:$QQ$1,BX$4,Rev_Month!$B$16:$QQ$16)),AVERAGEIF(Rev_Month!$B$1:$QQ$1,BX$4,Rev_Month!$B$16:$QQ$16),0)</f>
        <v>85</v>
      </c>
      <c r="BY65" s="2174">
        <f>IF(ISNUMBER(AVERAGEIF(Rev_Month!$B$1:$QQ$1,BY$4,Rev_Month!$B$16:$QQ$16)),AVERAGEIF(Rev_Month!$B$1:$QQ$1,BY$4,Rev_Month!$B$16:$QQ$16),0)</f>
        <v>85</v>
      </c>
      <c r="BZ65" s="2174">
        <f>IF(ISNUMBER(AVERAGEIF(Rev_Month!$B$1:$QQ$1,BZ$4,Rev_Month!$B$16:$QQ$16)),AVERAGEIF(Rev_Month!$B$1:$QQ$1,BZ$4,Rev_Month!$B$16:$QQ$16),0)</f>
        <v>85</v>
      </c>
      <c r="CA65" s="2174">
        <f>IF(ISNUMBER(AVERAGEIF(Rev_Month!$B$1:$QQ$1,CA$4,Rev_Month!$B$16:$QQ$16)),AVERAGEIF(Rev_Month!$B$1:$QQ$1,CA$4,Rev_Month!$B$16:$QQ$16),0)</f>
        <v>85</v>
      </c>
      <c r="CB65" s="2174">
        <f>IF(ISNUMBER(AVERAGEIF(Rev_Month!$B$1:$QQ$1,CB$4,Rev_Month!$B$16:$QQ$16)),AVERAGEIF(Rev_Month!$B$1:$QQ$1,CB$4,Rev_Month!$B$16:$QQ$16),0)</f>
        <v>85</v>
      </c>
      <c r="CC65" s="2174">
        <f>IF(ISNUMBER(AVERAGEIF(Rev_Month!$B$1:$QQ$1,CC$4,Rev_Month!$B$16:$QQ$16)),AVERAGEIF(Rev_Month!$B$1:$QQ$1,CC$4,Rev_Month!$B$16:$QQ$16),0)</f>
        <v>0</v>
      </c>
      <c r="CD65" s="2174">
        <f>IF(ISNUMBER(AVERAGEIF(Rev_Month!$B$1:$QQ$1,CD$4,Rev_Month!$B$16:$QQ$16)),AVERAGEIF(Rev_Month!$B$1:$QQ$1,CD$4,Rev_Month!$B$16:$QQ$16),0)</f>
        <v>0</v>
      </c>
      <c r="CE65" s="2174">
        <f>IF(ISNUMBER(AVERAGEIF(Rev_Month!$B$1:$QQ$1,CE$4,Rev_Month!$B$16:$QQ$16)),AVERAGEIF(Rev_Month!$B$1:$QQ$1,CE$4,Rev_Month!$B$16:$QQ$16),0)</f>
        <v>0</v>
      </c>
      <c r="CF65" s="2174">
        <f>IF(ISNUMBER(AVERAGEIF(Rev_Month!$B$1:$QQ$1,CF$4,Rev_Month!$B$16:$QQ$16)),AVERAGEIF(Rev_Month!$B$1:$QQ$1,CF$4,Rev_Month!$B$16:$QQ$16),0)</f>
        <v>0</v>
      </c>
      <c r="CG65" s="2174">
        <f>IF(ISNUMBER(AVERAGEIF(Rev_Month!$B$1:$QQ$1,CG$4,Rev_Month!$B$16:$QQ$16)),AVERAGEIF(Rev_Month!$B$1:$QQ$1,CG$4,Rev_Month!$B$16:$QQ$16),0)</f>
        <v>0</v>
      </c>
      <c r="CH65" s="2174">
        <f>IF(ISNUMBER(AVERAGEIF(Rev_Month!$B$1:$QQ$1,CH$4,Rev_Month!$B$16:$QQ$16)),AVERAGEIF(Rev_Month!$B$1:$QQ$1,CH$4,Rev_Month!$B$16:$QQ$16),0)</f>
        <v>0</v>
      </c>
      <c r="CI65" s="2174">
        <f>IF(ISNUMBER(AVERAGEIF(Rev_Month!$B$1:$QQ$1,CI$4,Rev_Month!$B$16:$QQ$16)),AVERAGEIF(Rev_Month!$B$1:$QQ$1,CI$4,Rev_Month!$B$16:$QQ$16),0)</f>
        <v>0</v>
      </c>
      <c r="CJ65" s="2174">
        <f>IF(ISNUMBER(AVERAGEIF(Rev_Month!$B$1:$QQ$1,CJ$4,Rev_Month!$B$16:$QQ$16)),AVERAGEIF(Rev_Month!$B$1:$QQ$1,CJ$4,Rev_Month!$B$16:$QQ$16),0)</f>
        <v>0</v>
      </c>
      <c r="CK65" s="2174">
        <f>IF(ISNUMBER(AVERAGEIF(Rev_Month!$B$1:$QQ$1,CK$4,Rev_Month!$B$16:$QQ$16)),AVERAGEIF(Rev_Month!$B$1:$QQ$1,CK$4,Rev_Month!$B$16:$QQ$16),0)</f>
        <v>0</v>
      </c>
      <c r="CL65" s="2174">
        <f>IF(ISNUMBER(AVERAGEIF(Rev_Month!$B$1:$QQ$1,CL$4,Rev_Month!$B$16:$QQ$16)),AVERAGEIF(Rev_Month!$B$1:$QQ$1,CL$4,Rev_Month!$B$16:$QQ$16),0)</f>
        <v>0</v>
      </c>
      <c r="CM65" s="2174">
        <f>IF(ISNUMBER(AVERAGEIF(Rev_Month!$B$1:$QQ$1,CM$4,Rev_Month!$B$16:$QQ$16)),AVERAGEIF(Rev_Month!$B$1:$QQ$1,CM$4,Rev_Month!$B$16:$QQ$16),0)</f>
        <v>0</v>
      </c>
      <c r="CN65" s="2174">
        <f>IF(ISNUMBER(AVERAGEIF(Rev_Month!$B$1:$QQ$1,CN$4,Rev_Month!$B$16:$QQ$16)),AVERAGEIF(Rev_Month!$B$1:$QQ$1,CN$4,Rev_Month!$B$16:$QQ$16),0)</f>
        <v>0</v>
      </c>
      <c r="CO65" s="2174">
        <f>IF(ISNUMBER(AVERAGEIF(Rev_Month!$B$1:$QQ$1,CO$4,Rev_Month!$B$16:$QQ$16)),AVERAGEIF(Rev_Month!$B$1:$QQ$1,CO$4,Rev_Month!$B$16:$QQ$16),0)</f>
        <v>0</v>
      </c>
      <c r="CP65" s="2174">
        <f>IF(ISNUMBER(AVERAGEIF(Rev_Month!$B$1:$QQ$1,CP$4,Rev_Month!$B$16:$QQ$16)),AVERAGEIF(Rev_Month!$B$1:$QQ$1,CP$4,Rev_Month!$B$16:$QQ$16),0)</f>
        <v>0</v>
      </c>
      <c r="CQ65" s="2174">
        <f>IF(ISNUMBER(AVERAGEIF(Rev_Month!$B$1:$QQ$1,CQ$4,Rev_Month!$B$16:$QQ$16)),AVERAGEIF(Rev_Month!$B$1:$QQ$1,CQ$4,Rev_Month!$B$16:$QQ$16),0)</f>
        <v>0</v>
      </c>
      <c r="CR65" s="2174">
        <f>IF(ISNUMBER(AVERAGEIF(Rev_Month!$B$1:$QQ$1,CR$4,Rev_Month!$B$16:$QQ$16)),AVERAGEIF(Rev_Month!$B$1:$QQ$1,CR$4,Rev_Month!$B$16:$QQ$16),0)</f>
        <v>0</v>
      </c>
      <c r="CS65" s="2174">
        <f>IF(ISNUMBER(AVERAGEIF(Rev_Month!$B$1:$QQ$1,CS$4,Rev_Month!$B$16:$QQ$16)),AVERAGEIF(Rev_Month!$B$1:$QQ$1,CS$4,Rev_Month!$B$16:$QQ$16),0)</f>
        <v>0</v>
      </c>
      <c r="CT65" s="2174">
        <f>IF(ISNUMBER(AVERAGEIF(Rev_Month!$B$1:$QQ$1,CT$4,Rev_Month!$B$16:$QQ$16)),AVERAGEIF(Rev_Month!$B$1:$QQ$1,CT$4,Rev_Month!$B$16:$QQ$16),0)</f>
        <v>0</v>
      </c>
      <c r="CU65" s="2174">
        <f>IF(ISNUMBER(AVERAGEIF(Rev_Month!$B$1:$QQ$1,CU$4,Rev_Month!$B$16:$QQ$16)),AVERAGEIF(Rev_Month!$B$1:$QQ$1,CU$4,Rev_Month!$B$16:$QQ$16),0)</f>
        <v>0</v>
      </c>
      <c r="CV65" s="2174">
        <f>IF(ISNUMBER(AVERAGEIF(Rev_Month!$B$1:$QQ$1,CV$4,Rev_Month!$B$16:$QQ$16)),AVERAGEIF(Rev_Month!$B$1:$QQ$1,CV$4,Rev_Month!$B$16:$QQ$16),0)</f>
        <v>0</v>
      </c>
      <c r="CW65" s="2174">
        <f>IF(ISNUMBER(AVERAGEIF(Rev_Month!$B$1:$QQ$1,CW$4,Rev_Month!$B$16:$QQ$16)),AVERAGEIF(Rev_Month!$B$1:$QQ$1,CW$4,Rev_Month!$B$16:$QQ$16),0)</f>
        <v>0</v>
      </c>
      <c r="CX65" s="2174">
        <f>IF(ISNUMBER(AVERAGEIF(Rev_Month!$B$1:$QQ$1,CX$4,Rev_Month!$B$16:$QQ$16)),AVERAGEIF(Rev_Month!$B$1:$QQ$1,CX$4,Rev_Month!$B$16:$QQ$16),0)</f>
        <v>0</v>
      </c>
      <c r="CY65" s="2174">
        <f>IF(ISNUMBER(AVERAGEIF(Rev_Month!$B$1:$QQ$1,CY$4,Rev_Month!$B$16:$QQ$16)),AVERAGEIF(Rev_Month!$B$1:$QQ$1,CY$4,Rev_Month!$B$16:$QQ$16),0)</f>
        <v>0</v>
      </c>
      <c r="CZ65" s="2174">
        <f>IF(ISNUMBER(AVERAGEIF(Rev_Month!$B$1:$QQ$1,CZ$4,Rev_Month!$B$16:$QQ$16)),AVERAGEIF(Rev_Month!$B$1:$QQ$1,CZ$4,Rev_Month!$B$16:$QQ$16),0)</f>
        <v>0</v>
      </c>
    </row>
    <row r="66" spans="1:104" hidden="1" outlineLevel="1">
      <c r="A66" s="2452" t="s">
        <v>178</v>
      </c>
      <c r="B66" s="2240"/>
      <c r="C66" s="2256"/>
      <c r="D66" s="2256"/>
      <c r="E66" s="2256"/>
      <c r="F66" s="2256"/>
      <c r="G66" s="2256"/>
      <c r="H66" s="2256"/>
      <c r="I66" s="2256"/>
      <c r="J66" s="2256"/>
      <c r="K66" s="2296"/>
      <c r="L66" s="2175"/>
      <c r="M66" s="2175"/>
      <c r="N66" s="2175"/>
      <c r="O66" s="2175"/>
      <c r="P66" s="2175"/>
      <c r="Q66" s="2175"/>
      <c r="R66" s="2175"/>
      <c r="S66" s="2175"/>
      <c r="T66" s="2175">
        <v>63</v>
      </c>
      <c r="U66" s="2175"/>
      <c r="V66" s="2175"/>
      <c r="W66" s="2175"/>
      <c r="X66" s="2175"/>
      <c r="Y66" s="2175"/>
      <c r="Z66" s="2175"/>
      <c r="AA66" s="2175"/>
      <c r="AB66" s="2175"/>
      <c r="AC66" s="2175"/>
      <c r="AD66" s="2175"/>
      <c r="AE66" s="2175"/>
      <c r="AF66" s="2175"/>
      <c r="AG66" s="2175"/>
      <c r="AH66" s="2175"/>
      <c r="AI66" s="2175"/>
      <c r="AJ66" s="2175"/>
      <c r="AK66" s="2175"/>
      <c r="AL66" s="2175"/>
      <c r="AM66" s="2175"/>
      <c r="AN66" s="2175"/>
      <c r="AO66" s="2375"/>
      <c r="AP66" s="2175"/>
      <c r="AQ66" s="2175"/>
      <c r="AR66" s="2175"/>
      <c r="AS66" s="2375"/>
      <c r="AT66" s="2175"/>
      <c r="AU66" s="2175"/>
      <c r="AV66" s="2175"/>
      <c r="AW66" s="2376"/>
      <c r="AX66" s="2177"/>
      <c r="AY66" s="2177"/>
      <c r="AZ66" s="2177"/>
      <c r="BA66" s="2174"/>
      <c r="BB66" s="2174"/>
      <c r="BC66" s="2174"/>
      <c r="BD66" s="2174"/>
      <c r="BE66" s="2174"/>
      <c r="BF66" s="2174"/>
      <c r="BG66" s="2174"/>
      <c r="BH66" s="2174"/>
      <c r="BI66" s="2174"/>
      <c r="BJ66" s="2174"/>
      <c r="BK66" s="2174"/>
      <c r="BL66" s="2174"/>
      <c r="BM66" s="2174"/>
      <c r="BN66" s="2174"/>
      <c r="BO66" s="2174"/>
      <c r="BP66" s="2174"/>
      <c r="BQ66" s="2174"/>
      <c r="BR66" s="2174"/>
      <c r="BS66" s="2174"/>
      <c r="BT66" s="2174"/>
      <c r="BU66" s="2174"/>
      <c r="BV66" s="2174"/>
      <c r="BW66" s="2174"/>
      <c r="BX66" s="2174"/>
      <c r="BY66" s="2174"/>
      <c r="BZ66" s="2174"/>
      <c r="CA66" s="2174"/>
      <c r="CB66" s="2174"/>
      <c r="CC66" s="2174"/>
      <c r="CD66" s="2174"/>
      <c r="CE66" s="2174"/>
      <c r="CF66" s="2174"/>
      <c r="CG66" s="2174"/>
      <c r="CH66" s="2174"/>
      <c r="CI66" s="2174"/>
      <c r="CJ66" s="2174"/>
      <c r="CK66" s="2174"/>
      <c r="CL66" s="2174"/>
      <c r="CM66" s="2174"/>
      <c r="CN66" s="2174"/>
      <c r="CO66" s="2174"/>
      <c r="CP66" s="2174"/>
      <c r="CQ66" s="2174"/>
      <c r="CR66" s="2174"/>
      <c r="CS66" s="2174"/>
      <c r="CT66" s="2174"/>
      <c r="CU66" s="2174"/>
      <c r="CV66" s="2174"/>
      <c r="CW66" s="2174"/>
      <c r="CX66" s="2174"/>
      <c r="CY66" s="2174"/>
      <c r="CZ66" s="2174"/>
    </row>
    <row r="67" spans="1:104" s="2185" customFormat="1" hidden="1" outlineLevel="1">
      <c r="A67" s="2180" t="s">
        <v>179</v>
      </c>
      <c r="B67" s="2300"/>
      <c r="C67" s="2301"/>
      <c r="D67" s="2301"/>
      <c r="E67" s="2195">
        <f>E68*E59</f>
        <v>6090.7468159999999</v>
      </c>
      <c r="F67" s="2195">
        <f>F68*F59</f>
        <v>6309.2595655626455</v>
      </c>
      <c r="G67" s="2195">
        <f>G68*G59</f>
        <v>5904.9024000000009</v>
      </c>
      <c r="H67" s="2195">
        <f>H68*H59</f>
        <v>6794.0442900000007</v>
      </c>
      <c r="I67" s="2301"/>
      <c r="J67" s="2301"/>
      <c r="K67" s="2364"/>
      <c r="L67" s="2181"/>
      <c r="M67" s="2181"/>
      <c r="N67" s="2181"/>
      <c r="O67" s="2181"/>
      <c r="P67" s="2181"/>
      <c r="Q67" s="2181"/>
      <c r="R67" s="2181"/>
      <c r="S67" s="2181"/>
      <c r="T67" s="2175">
        <v>64</v>
      </c>
      <c r="U67" s="2181"/>
      <c r="V67" s="2181"/>
      <c r="W67" s="2181"/>
      <c r="X67" s="2181"/>
      <c r="Y67" s="2181"/>
      <c r="Z67" s="2181"/>
      <c r="AA67" s="2181"/>
      <c r="AB67" s="2181"/>
      <c r="AC67" s="2181"/>
      <c r="AD67" s="2181"/>
      <c r="AE67" s="2181"/>
      <c r="AF67" s="2181"/>
      <c r="AG67" s="2181"/>
      <c r="AH67" s="2181"/>
      <c r="AI67" s="2181"/>
      <c r="AJ67" s="2181"/>
      <c r="AK67" s="2181"/>
      <c r="AL67" s="2181"/>
      <c r="AM67" s="2181"/>
      <c r="AN67" s="2181"/>
      <c r="AO67" s="2366"/>
      <c r="AP67" s="2181"/>
      <c r="AQ67" s="2181"/>
      <c r="AR67" s="2181"/>
      <c r="AS67" s="2366"/>
      <c r="AT67" s="2181"/>
      <c r="AU67" s="2181"/>
      <c r="AV67" s="2181"/>
      <c r="AW67" s="2367"/>
      <c r="AX67" s="2368"/>
      <c r="AY67" s="2368"/>
      <c r="AZ67" s="2368"/>
      <c r="BA67" s="2180"/>
      <c r="BB67" s="2180"/>
      <c r="BC67" s="2180"/>
      <c r="BD67" s="2180"/>
      <c r="BE67" s="2180"/>
      <c r="BF67" s="2180"/>
      <c r="BG67" s="2180"/>
      <c r="BH67" s="2180"/>
      <c r="BI67" s="2180"/>
      <c r="BJ67" s="2180"/>
      <c r="BK67" s="2180"/>
      <c r="BL67" s="2180"/>
      <c r="BM67" s="2180"/>
      <c r="BN67" s="2180"/>
      <c r="BO67" s="2180"/>
      <c r="BP67" s="2180"/>
      <c r="BQ67" s="2180"/>
      <c r="BR67" s="2180"/>
      <c r="BS67" s="2180"/>
      <c r="BT67" s="2180"/>
      <c r="BU67" s="2180"/>
      <c r="BV67" s="2180"/>
      <c r="BW67" s="2180"/>
      <c r="BX67" s="2180"/>
      <c r="BY67" s="2180"/>
      <c r="BZ67" s="2180"/>
      <c r="CA67" s="2180"/>
      <c r="CB67" s="2180"/>
      <c r="CC67" s="2180"/>
      <c r="CD67" s="2180"/>
      <c r="CE67" s="2180"/>
      <c r="CF67" s="2180"/>
      <c r="CG67" s="2180"/>
      <c r="CH67" s="2180"/>
      <c r="CI67" s="2180"/>
      <c r="CJ67" s="2180"/>
      <c r="CK67" s="2180"/>
      <c r="CL67" s="2180"/>
      <c r="CM67" s="2180"/>
      <c r="CN67" s="2180"/>
      <c r="CO67" s="2180"/>
      <c r="CP67" s="2180"/>
      <c r="CQ67" s="2180"/>
      <c r="CR67" s="2180"/>
      <c r="CS67" s="2180"/>
      <c r="CT67" s="2180"/>
      <c r="CU67" s="2180"/>
      <c r="CV67" s="2180"/>
      <c r="CW67" s="2180"/>
      <c r="CX67" s="2180"/>
      <c r="CY67" s="2180"/>
      <c r="CZ67" s="2180"/>
    </row>
    <row r="68" spans="1:104" s="2461" customFormat="1" hidden="1" outlineLevel="1">
      <c r="A68" s="2320" t="s">
        <v>180</v>
      </c>
      <c r="B68" s="2455"/>
      <c r="C68" s="2456"/>
      <c r="D68" s="2456"/>
      <c r="E68" s="2457">
        <v>0.17599999999999999</v>
      </c>
      <c r="F68" s="2457">
        <v>0.19</v>
      </c>
      <c r="G68" s="2457">
        <v>0.2</v>
      </c>
      <c r="H68" s="2457">
        <v>0.215</v>
      </c>
      <c r="I68" s="2456"/>
      <c r="J68" s="2456"/>
      <c r="K68" s="2458"/>
      <c r="L68" s="2459"/>
      <c r="M68" s="2459"/>
      <c r="N68" s="2459"/>
      <c r="O68" s="2459"/>
      <c r="P68" s="2459"/>
      <c r="Q68" s="2459"/>
      <c r="R68" s="2459"/>
      <c r="S68" s="2459"/>
      <c r="T68" s="2175">
        <v>65</v>
      </c>
      <c r="U68" s="2459"/>
      <c r="V68" s="2459"/>
      <c r="W68" s="2459"/>
      <c r="X68" s="2459"/>
      <c r="Y68" s="2459"/>
      <c r="Z68" s="2459"/>
      <c r="AA68" s="2459"/>
      <c r="AB68" s="2459"/>
      <c r="AC68" s="2459"/>
      <c r="AD68" s="2459"/>
      <c r="AE68" s="2459"/>
      <c r="AF68" s="2459"/>
      <c r="AG68" s="2459"/>
      <c r="AH68" s="2459"/>
      <c r="AI68" s="2459"/>
      <c r="AJ68" s="2459"/>
      <c r="AK68" s="2459"/>
      <c r="AL68" s="2459"/>
      <c r="AM68" s="2459"/>
      <c r="AN68" s="2459"/>
      <c r="AO68" s="2460"/>
      <c r="AP68" s="2459"/>
      <c r="AQ68" s="2459"/>
      <c r="AR68" s="2459"/>
      <c r="AS68" s="2460"/>
      <c r="AT68" s="2459"/>
      <c r="AU68" s="2459"/>
      <c r="AV68" s="2459"/>
      <c r="AW68" s="2328"/>
      <c r="AX68" s="2329"/>
      <c r="AY68" s="2329"/>
      <c r="AZ68" s="2329"/>
      <c r="BA68" s="2320"/>
      <c r="BB68" s="2320"/>
      <c r="BC68" s="2320"/>
      <c r="BD68" s="2320"/>
      <c r="BE68" s="2320"/>
      <c r="BF68" s="2320"/>
      <c r="BG68" s="2320"/>
      <c r="BH68" s="2320"/>
      <c r="BI68" s="2320"/>
      <c r="BJ68" s="2320"/>
      <c r="BK68" s="2320"/>
      <c r="BL68" s="2320"/>
      <c r="BM68" s="2320"/>
      <c r="BN68" s="2320"/>
      <c r="BO68" s="2320"/>
      <c r="BP68" s="2320"/>
      <c r="BQ68" s="2320"/>
      <c r="BR68" s="2320"/>
      <c r="BS68" s="2320"/>
      <c r="BT68" s="2320"/>
      <c r="BU68" s="2320"/>
      <c r="BV68" s="2320"/>
      <c r="BW68" s="2320"/>
      <c r="BX68" s="2320"/>
      <c r="BY68" s="2320"/>
      <c r="BZ68" s="2320"/>
      <c r="CA68" s="2320"/>
      <c r="CB68" s="2320"/>
      <c r="CC68" s="2320"/>
      <c r="CD68" s="2320"/>
      <c r="CE68" s="2320"/>
      <c r="CF68" s="2320"/>
      <c r="CG68" s="2320"/>
      <c r="CH68" s="2320"/>
      <c r="CI68" s="2320"/>
      <c r="CJ68" s="2320"/>
      <c r="CK68" s="2320"/>
      <c r="CL68" s="2320"/>
      <c r="CM68" s="2320"/>
      <c r="CN68" s="2320"/>
      <c r="CO68" s="2320"/>
      <c r="CP68" s="2320"/>
      <c r="CQ68" s="2320"/>
      <c r="CR68" s="2320"/>
      <c r="CS68" s="2320"/>
      <c r="CT68" s="2320"/>
      <c r="CU68" s="2320"/>
      <c r="CV68" s="2320"/>
      <c r="CW68" s="2320"/>
      <c r="CX68" s="2320"/>
      <c r="CY68" s="2320"/>
      <c r="CZ68" s="2320"/>
    </row>
    <row r="69" spans="1:104" s="2472" customFormat="1" hidden="1" outlineLevel="1">
      <c r="A69" s="2462" t="str">
        <f>A43</f>
        <v>SG&amp;A cost</v>
      </c>
      <c r="B69" s="2463">
        <f t="shared" ref="B69:H69" si="382">B70*B59</f>
        <v>-2138.6958659707961</v>
      </c>
      <c r="C69" s="2464">
        <f t="shared" si="382"/>
        <v>-3156.7445491343119</v>
      </c>
      <c r="D69" s="2464">
        <f t="shared" si="382"/>
        <v>-3574.0698211812983</v>
      </c>
      <c r="E69" s="2465">
        <f t="shared" si="382"/>
        <v>-3563.6194667462187</v>
      </c>
      <c r="F69" s="2465">
        <f t="shared" si="382"/>
        <v>-4316.861808016547</v>
      </c>
      <c r="G69" s="2465">
        <f t="shared" si="382"/>
        <v>-3838.1865600000006</v>
      </c>
      <c r="H69" s="2465">
        <f t="shared" si="382"/>
        <v>-4108.0267800000001</v>
      </c>
      <c r="I69" s="2466"/>
      <c r="J69" s="2466"/>
      <c r="K69" s="2467"/>
      <c r="L69" s="2468"/>
      <c r="M69" s="2468"/>
      <c r="N69" s="2468"/>
      <c r="O69" s="2468"/>
      <c r="P69" s="2468"/>
      <c r="Q69" s="2468"/>
      <c r="R69" s="2468"/>
      <c r="S69" s="2468"/>
      <c r="T69" s="2175">
        <v>66</v>
      </c>
      <c r="U69" s="2468"/>
      <c r="V69" s="2468"/>
      <c r="W69" s="2468"/>
      <c r="X69" s="2468"/>
      <c r="Y69" s="2468"/>
      <c r="Z69" s="2468"/>
      <c r="AA69" s="2468"/>
      <c r="AB69" s="2468"/>
      <c r="AC69" s="2468"/>
      <c r="AD69" s="2468"/>
      <c r="AE69" s="2468"/>
      <c r="AF69" s="2468"/>
      <c r="AG69" s="2468"/>
      <c r="AH69" s="2468"/>
      <c r="AI69" s="2468"/>
      <c r="AJ69" s="2468"/>
      <c r="AK69" s="2468"/>
      <c r="AL69" s="2468"/>
      <c r="AM69" s="2468"/>
      <c r="AN69" s="2468"/>
      <c r="AO69" s="2469"/>
      <c r="AP69" s="2468"/>
      <c r="AQ69" s="2468"/>
      <c r="AR69" s="2468"/>
      <c r="AS69" s="2469"/>
      <c r="AT69" s="2468"/>
      <c r="AU69" s="2468"/>
      <c r="AV69" s="2468"/>
      <c r="AW69" s="2470"/>
      <c r="AX69" s="2471"/>
      <c r="AY69" s="2471"/>
      <c r="AZ69" s="2471"/>
      <c r="BA69" s="2462"/>
      <c r="BB69" s="2462"/>
      <c r="BC69" s="2462"/>
      <c r="BD69" s="2462"/>
      <c r="BE69" s="2462"/>
      <c r="BF69" s="2462"/>
      <c r="BG69" s="2462"/>
      <c r="BH69" s="2462"/>
      <c r="BI69" s="2462"/>
      <c r="BJ69" s="2462"/>
      <c r="BK69" s="2462"/>
      <c r="BL69" s="2462"/>
      <c r="BM69" s="2462"/>
      <c r="BN69" s="2462"/>
      <c r="BO69" s="2462"/>
      <c r="BP69" s="2462"/>
      <c r="BQ69" s="2462"/>
      <c r="BR69" s="2462"/>
      <c r="BS69" s="2462"/>
      <c r="BT69" s="2462"/>
      <c r="BU69" s="2462"/>
      <c r="BV69" s="2462"/>
      <c r="BW69" s="2462"/>
      <c r="BX69" s="2462"/>
      <c r="BY69" s="2462"/>
      <c r="BZ69" s="2462"/>
      <c r="CA69" s="2462"/>
      <c r="CB69" s="2462"/>
      <c r="CC69" s="2462"/>
      <c r="CD69" s="2462"/>
      <c r="CE69" s="2462"/>
      <c r="CF69" s="2462"/>
      <c r="CG69" s="2462"/>
      <c r="CH69" s="2462"/>
      <c r="CI69" s="2462"/>
      <c r="CJ69" s="2462"/>
      <c r="CK69" s="2462"/>
      <c r="CL69" s="2462"/>
      <c r="CM69" s="2462"/>
      <c r="CN69" s="2462"/>
      <c r="CO69" s="2462"/>
      <c r="CP69" s="2462"/>
      <c r="CQ69" s="2462"/>
      <c r="CR69" s="2462"/>
      <c r="CS69" s="2462"/>
      <c r="CT69" s="2462"/>
      <c r="CU69" s="2462"/>
      <c r="CV69" s="2462"/>
      <c r="CW69" s="2462"/>
      <c r="CX69" s="2462"/>
      <c r="CY69" s="2462"/>
      <c r="CZ69" s="2462"/>
    </row>
    <row r="70" spans="1:104" s="2461" customFormat="1" hidden="1" outlineLevel="1">
      <c r="A70" s="2320" t="str">
        <f>A44</f>
        <v>SG&amp;A/REV (%)</v>
      </c>
      <c r="B70" s="2473">
        <f>B44</f>
        <v>-0.1029753895695891</v>
      </c>
      <c r="C70" s="2474">
        <f>B70</f>
        <v>-0.1029753895695891</v>
      </c>
      <c r="D70" s="2474">
        <f>C70</f>
        <v>-0.1029753895695891</v>
      </c>
      <c r="E70" s="2474">
        <f>D70</f>
        <v>-0.1029753895695891</v>
      </c>
      <c r="F70" s="2474">
        <v>-0.13</v>
      </c>
      <c r="G70" s="2474">
        <f>F70</f>
        <v>-0.13</v>
      </c>
      <c r="H70" s="2474">
        <f>G70</f>
        <v>-0.13</v>
      </c>
      <c r="I70" s="2456"/>
      <c r="J70" s="2456"/>
      <c r="K70" s="2458"/>
      <c r="L70" s="2459"/>
      <c r="M70" s="2459"/>
      <c r="N70" s="2459"/>
      <c r="O70" s="2459"/>
      <c r="P70" s="2459"/>
      <c r="Q70" s="2459"/>
      <c r="R70" s="2459"/>
      <c r="S70" s="2459"/>
      <c r="T70" s="2175">
        <v>67</v>
      </c>
      <c r="U70" s="2459"/>
      <c r="V70" s="2459"/>
      <c r="W70" s="2459"/>
      <c r="X70" s="2459"/>
      <c r="Y70" s="2459"/>
      <c r="Z70" s="2459"/>
      <c r="AA70" s="2459"/>
      <c r="AB70" s="2459"/>
      <c r="AC70" s="2459"/>
      <c r="AD70" s="2459"/>
      <c r="AE70" s="2459"/>
      <c r="AF70" s="2459"/>
      <c r="AG70" s="2459"/>
      <c r="AH70" s="2459"/>
      <c r="AI70" s="2459"/>
      <c r="AJ70" s="2459"/>
      <c r="AK70" s="2459"/>
      <c r="AL70" s="2459"/>
      <c r="AM70" s="2459"/>
      <c r="AN70" s="2459"/>
      <c r="AO70" s="2460"/>
      <c r="AP70" s="2459"/>
      <c r="AQ70" s="2459"/>
      <c r="AR70" s="2459"/>
      <c r="AS70" s="2460"/>
      <c r="AT70" s="2459"/>
      <c r="AU70" s="2459"/>
      <c r="AV70" s="2459"/>
      <c r="AW70" s="2328"/>
      <c r="AX70" s="2329"/>
      <c r="AY70" s="2329"/>
      <c r="AZ70" s="2329"/>
      <c r="BA70" s="2320"/>
      <c r="BB70" s="2320"/>
      <c r="BC70" s="2320"/>
      <c r="BD70" s="2320"/>
      <c r="BE70" s="2320"/>
      <c r="BF70" s="2320"/>
      <c r="BG70" s="2320"/>
      <c r="BH70" s="2320"/>
      <c r="BI70" s="2320"/>
      <c r="BJ70" s="2320"/>
      <c r="BK70" s="2320"/>
      <c r="BL70" s="2320"/>
      <c r="BM70" s="2320"/>
      <c r="BN70" s="2320"/>
      <c r="BO70" s="2320"/>
      <c r="BP70" s="2320"/>
      <c r="BQ70" s="2320"/>
      <c r="BR70" s="2320"/>
      <c r="BS70" s="2320"/>
      <c r="BT70" s="2320"/>
      <c r="BU70" s="2320"/>
      <c r="BV70" s="2320"/>
      <c r="BW70" s="2320"/>
      <c r="BX70" s="2320"/>
      <c r="BY70" s="2320"/>
      <c r="BZ70" s="2320"/>
      <c r="CA70" s="2320"/>
      <c r="CB70" s="2320"/>
      <c r="CC70" s="2320"/>
      <c r="CD70" s="2320"/>
      <c r="CE70" s="2320"/>
      <c r="CF70" s="2320"/>
      <c r="CG70" s="2320"/>
      <c r="CH70" s="2320"/>
      <c r="CI70" s="2320"/>
      <c r="CJ70" s="2320"/>
      <c r="CK70" s="2320"/>
      <c r="CL70" s="2320"/>
      <c r="CM70" s="2320"/>
      <c r="CN70" s="2320"/>
      <c r="CO70" s="2320"/>
      <c r="CP70" s="2320"/>
      <c r="CQ70" s="2320"/>
      <c r="CR70" s="2320"/>
      <c r="CS70" s="2320"/>
      <c r="CT70" s="2320"/>
      <c r="CU70" s="2320"/>
      <c r="CV70" s="2320"/>
      <c r="CW70" s="2320"/>
      <c r="CX70" s="2320"/>
      <c r="CY70" s="2320"/>
      <c r="CZ70" s="2320"/>
    </row>
    <row r="71" spans="1:104" s="2490" customFormat="1" collapsed="1">
      <c r="A71" s="2475" t="str">
        <f t="shared" ref="A71:Q71" si="383">A15</f>
        <v>CE (ĐMX)</v>
      </c>
      <c r="B71" s="2476">
        <f t="shared" si="383"/>
        <v>4482</v>
      </c>
      <c r="C71" s="2477">
        <f t="shared" si="383"/>
        <v>13709</v>
      </c>
      <c r="D71" s="2477">
        <f t="shared" si="383"/>
        <v>30493.103999999999</v>
      </c>
      <c r="E71" s="2478">
        <f t="shared" si="383"/>
        <v>47583.959500000012</v>
      </c>
      <c r="F71" s="2478">
        <f t="shared" si="383"/>
        <v>58239.319066732103</v>
      </c>
      <c r="G71" s="2478">
        <f t="shared" si="383"/>
        <v>57746.472000000002</v>
      </c>
      <c r="H71" s="2478">
        <f t="shared" si="383"/>
        <v>62708.58</v>
      </c>
      <c r="I71" s="2478">
        <f t="shared" si="383"/>
        <v>68970.269709</v>
      </c>
      <c r="J71" s="2478">
        <f t="shared" ca="1" si="383"/>
        <v>55236.76</v>
      </c>
      <c r="K71" s="2479">
        <f t="shared" ca="1" si="383"/>
        <v>59904.719875453447</v>
      </c>
      <c r="L71" s="2480">
        <f t="shared" ca="1" si="383"/>
        <v>69377.272192794378</v>
      </c>
      <c r="M71" s="2480">
        <f t="shared" ca="1" si="383"/>
        <v>79051.085425608238</v>
      </c>
      <c r="N71" s="2480">
        <f t="shared" ca="1" si="383"/>
        <v>88537.215676681226</v>
      </c>
      <c r="O71" s="2480">
        <f t="shared" ca="1" si="383"/>
        <v>99161.681557882985</v>
      </c>
      <c r="P71" s="2480">
        <f t="shared" ca="1" si="383"/>
        <v>109077.84971367128</v>
      </c>
      <c r="Q71" s="2480">
        <f t="shared" ca="1" si="383"/>
        <v>119985.63468503841</v>
      </c>
      <c r="R71" s="2480"/>
      <c r="S71" s="2480"/>
      <c r="T71" s="2481">
        <v>68</v>
      </c>
      <c r="U71" s="2482"/>
      <c r="V71" s="2482"/>
      <c r="W71" s="2482"/>
      <c r="X71" s="2482"/>
      <c r="Y71" s="2482"/>
      <c r="Z71" s="2482"/>
      <c r="AA71" s="2482"/>
      <c r="AB71" s="2482"/>
      <c r="AC71" s="2482"/>
      <c r="AD71" s="2482"/>
      <c r="AE71" s="2482"/>
      <c r="AF71" s="2482"/>
      <c r="AG71" s="2482"/>
      <c r="AH71" s="2482"/>
      <c r="AI71" s="2482"/>
      <c r="AJ71" s="2482"/>
      <c r="AK71" s="2482"/>
      <c r="AL71" s="2482"/>
      <c r="AM71" s="2482"/>
      <c r="AN71" s="2483">
        <f ca="1">AN82+I40</f>
        <v>22959.73683075243</v>
      </c>
      <c r="AO71" s="2484">
        <f ca="1">(AO101-SUM(AO54:AO55)*0.2)/AO93</f>
        <v>-2.0075841824175107E-2</v>
      </c>
      <c r="AP71" s="2484">
        <f ca="1">(AP101-SUM(AP54:AP55)*0.2)/AP93</f>
        <v>-0.110497999533337</v>
      </c>
      <c r="AQ71" s="2484">
        <f ca="1">(AQ101-SUM(AQ54:AQ55)*0.2)/AQ93</f>
        <v>-7.9143343179239073E-2</v>
      </c>
      <c r="AR71" s="2485">
        <f ca="1">AQ71</f>
        <v>-7.9143343179239073E-2</v>
      </c>
      <c r="AS71" s="2486"/>
      <c r="AT71" s="2482"/>
      <c r="AU71" s="2482"/>
      <c r="AV71" s="2482"/>
      <c r="AW71" s="2487"/>
      <c r="AX71" s="2488"/>
      <c r="AY71" s="2488"/>
      <c r="AZ71" s="2488"/>
      <c r="BA71" s="2489"/>
      <c r="BB71" s="2489"/>
      <c r="BC71" s="2489"/>
      <c r="BD71" s="2489"/>
      <c r="BE71" s="2489"/>
      <c r="BF71" s="2489"/>
      <c r="BG71" s="2489"/>
      <c r="BH71" s="2489"/>
      <c r="BI71" s="2489"/>
      <c r="BJ71" s="2489"/>
      <c r="BK71" s="2489"/>
      <c r="BL71" s="2489"/>
      <c r="BM71" s="2489"/>
      <c r="BN71" s="2489"/>
      <c r="BO71" s="2489"/>
      <c r="BP71" s="2489"/>
      <c r="BQ71" s="2489"/>
      <c r="BR71" s="2489"/>
      <c r="BS71" s="2489"/>
      <c r="BT71" s="2489"/>
      <c r="BU71" s="2489"/>
      <c r="BV71" s="2489"/>
      <c r="BW71" s="2489"/>
      <c r="BX71" s="2489"/>
      <c r="BY71" s="2489"/>
      <c r="BZ71" s="2489"/>
      <c r="CA71" s="2489"/>
      <c r="CB71" s="2489"/>
      <c r="CC71" s="2489"/>
      <c r="CD71" s="2489"/>
      <c r="CE71" s="2489"/>
      <c r="CF71" s="2489"/>
      <c r="CG71" s="2489"/>
      <c r="CH71" s="2489"/>
      <c r="CI71" s="2489"/>
      <c r="CJ71" s="2489"/>
      <c r="CK71" s="2489"/>
      <c r="CL71" s="2489"/>
      <c r="CM71" s="2489"/>
      <c r="CN71" s="2489"/>
      <c r="CO71" s="2489"/>
      <c r="CP71" s="2489"/>
      <c r="CQ71" s="2489"/>
      <c r="CR71" s="2489"/>
      <c r="CS71" s="2489"/>
      <c r="CT71" s="2489"/>
      <c r="CU71" s="2489"/>
      <c r="CV71" s="2489"/>
      <c r="CW71" s="2489"/>
      <c r="CX71" s="2489"/>
      <c r="CY71" s="2489"/>
      <c r="CZ71" s="2489"/>
    </row>
    <row r="72" spans="1:104" hidden="1" outlineLevel="1">
      <c r="A72" s="2174" t="s">
        <v>31</v>
      </c>
      <c r="B72" s="2240"/>
      <c r="C72" s="2256"/>
      <c r="D72" s="2256"/>
      <c r="E72" s="2256"/>
      <c r="F72" s="2256"/>
      <c r="G72" s="2256"/>
      <c r="H72" s="2256"/>
      <c r="I72" s="2256"/>
      <c r="J72" s="2207">
        <f t="shared" ref="J72:Q72" ca="1" si="384">J71/I71-1</f>
        <v>-0.19912216911641134</v>
      </c>
      <c r="K72" s="2323">
        <f t="shared" ca="1" si="384"/>
        <v>8.4508212926562853E-2</v>
      </c>
      <c r="L72" s="2491">
        <f t="shared" ca="1" si="384"/>
        <v>0.15812697792486308</v>
      </c>
      <c r="M72" s="2491">
        <f t="shared" ca="1" si="384"/>
        <v>0.13943778599324341</v>
      </c>
      <c r="N72" s="2491">
        <f t="shared" ca="1" si="384"/>
        <v>0.11999999999999988</v>
      </c>
      <c r="O72" s="2491">
        <f t="shared" ca="1" si="384"/>
        <v>0.12000000000000011</v>
      </c>
      <c r="P72" s="2491">
        <f t="shared" ca="1" si="384"/>
        <v>0.10000000000000009</v>
      </c>
      <c r="Q72" s="2491">
        <f t="shared" ca="1" si="384"/>
        <v>0.10000000000000009</v>
      </c>
      <c r="R72" s="2175"/>
      <c r="S72" s="2175"/>
      <c r="T72" s="2175">
        <v>69</v>
      </c>
      <c r="U72" s="2175"/>
      <c r="V72" s="2175"/>
      <c r="W72" s="2175"/>
      <c r="X72" s="2175"/>
      <c r="Y72" s="2175"/>
      <c r="Z72" s="2175"/>
      <c r="AA72" s="2175"/>
      <c r="AB72" s="2175"/>
      <c r="AC72" s="2175"/>
      <c r="AD72" s="2175"/>
      <c r="AE72" s="2175"/>
      <c r="AF72" s="2175"/>
      <c r="AG72" s="2175"/>
      <c r="AH72" s="2175"/>
      <c r="AI72" s="2175"/>
      <c r="AJ72" s="2175"/>
      <c r="AK72" s="2175"/>
      <c r="AL72" s="2175"/>
      <c r="AM72" s="2175"/>
      <c r="AN72" s="2175"/>
      <c r="AO72" s="2375"/>
      <c r="AP72" s="2175"/>
      <c r="AQ72" s="2175"/>
      <c r="AR72" s="2175"/>
      <c r="AS72" s="2375"/>
      <c r="AT72" s="2175"/>
      <c r="AU72" s="2175"/>
      <c r="AV72" s="2175"/>
      <c r="AW72" s="2376"/>
      <c r="AX72" s="2177"/>
      <c r="AY72" s="2177"/>
      <c r="AZ72" s="2177"/>
      <c r="BA72" s="2174"/>
      <c r="BB72" s="2174"/>
      <c r="BC72" s="2174"/>
      <c r="BD72" s="2174"/>
      <c r="BE72" s="2174"/>
      <c r="BF72" s="2174"/>
      <c r="BG72" s="2174"/>
      <c r="BH72" s="2174"/>
      <c r="BI72" s="2174"/>
      <c r="BJ72" s="2174"/>
      <c r="BK72" s="2174"/>
      <c r="BL72" s="2174"/>
      <c r="BM72" s="2174"/>
      <c r="BN72" s="2174"/>
      <c r="BO72" s="2174"/>
      <c r="BP72" s="2174"/>
      <c r="BQ72" s="2174"/>
      <c r="BR72" s="2174"/>
      <c r="BS72" s="2174"/>
      <c r="BT72" s="2174"/>
      <c r="BU72" s="2174"/>
      <c r="BV72" s="2174"/>
      <c r="BW72" s="2174"/>
      <c r="BX72" s="2174"/>
      <c r="BY72" s="2174"/>
      <c r="BZ72" s="2174"/>
      <c r="CA72" s="2174"/>
      <c r="CB72" s="2174"/>
      <c r="CC72" s="2174"/>
      <c r="CD72" s="2174"/>
      <c r="CE72" s="2174"/>
      <c r="CF72" s="2174"/>
      <c r="CG72" s="2174"/>
      <c r="CH72" s="2174"/>
      <c r="CI72" s="2174"/>
      <c r="CJ72" s="2174"/>
      <c r="CK72" s="2174"/>
      <c r="CL72" s="2174"/>
      <c r="CM72" s="2174"/>
      <c r="CN72" s="2174"/>
      <c r="CO72" s="2174"/>
      <c r="CP72" s="2174"/>
      <c r="CQ72" s="2174"/>
      <c r="CR72" s="2174"/>
      <c r="CS72" s="2174"/>
      <c r="CT72" s="2174"/>
      <c r="CU72" s="2174"/>
      <c r="CV72" s="2174"/>
      <c r="CW72" s="2174"/>
      <c r="CX72" s="2174"/>
      <c r="CY72" s="2174"/>
      <c r="CZ72" s="2174"/>
    </row>
    <row r="73" spans="1:104" hidden="1" outlineLevel="1">
      <c r="A73" s="2437" t="s">
        <v>173</v>
      </c>
      <c r="B73" s="2240"/>
      <c r="C73" s="2372">
        <f t="shared" ref="C73:K73" si="385">C71/AVERAGE(B76:C76)</f>
        <v>85.949843260188089</v>
      </c>
      <c r="D73" s="2372">
        <f t="shared" si="385"/>
        <v>68.370188340807175</v>
      </c>
      <c r="E73" s="2372">
        <f t="shared" si="385"/>
        <v>68.367757902298862</v>
      </c>
      <c r="F73" s="2372">
        <f t="shared" si="385"/>
        <v>65.881582654674318</v>
      </c>
      <c r="G73" s="2372">
        <f t="shared" si="385"/>
        <v>47.236377914110427</v>
      </c>
      <c r="H73" s="2372">
        <f t="shared" si="385"/>
        <v>36.682410061421471</v>
      </c>
      <c r="I73" s="2372">
        <f t="shared" si="385"/>
        <v>32.259246823666977</v>
      </c>
      <c r="J73" s="2372">
        <f t="shared" ca="1" si="385"/>
        <v>24.926335740072204</v>
      </c>
      <c r="K73" s="2492">
        <f t="shared" ca="1" si="385"/>
        <v>28.953465382046133</v>
      </c>
      <c r="L73" s="2179">
        <f t="shared" ref="L73:Q73" ca="1" si="386">L75*12</f>
        <v>26.424790875582786</v>
      </c>
      <c r="M73" s="2179">
        <f t="shared" ca="1" si="386"/>
        <v>26.424790875582786</v>
      </c>
      <c r="N73" s="2179">
        <f t="shared" ca="1" si="386"/>
        <v>26.424790875582786</v>
      </c>
      <c r="O73" s="2179">
        <f t="shared" ca="1" si="386"/>
        <v>26.424790875582786</v>
      </c>
      <c r="P73" s="2179">
        <f t="shared" ca="1" si="386"/>
        <v>26.424790875582786</v>
      </c>
      <c r="Q73" s="2179">
        <f t="shared" ca="1" si="386"/>
        <v>26.424790875582786</v>
      </c>
      <c r="R73" s="2179"/>
      <c r="S73" s="2179"/>
      <c r="T73" s="2175">
        <v>70</v>
      </c>
      <c r="U73" s="2175"/>
      <c r="V73" s="2175"/>
      <c r="W73" s="2175"/>
      <c r="X73" s="2175"/>
      <c r="Y73" s="2175"/>
      <c r="Z73" s="2175"/>
      <c r="AA73" s="2175"/>
      <c r="AB73" s="2175"/>
      <c r="AC73" s="2175"/>
      <c r="AD73" s="2175"/>
      <c r="AE73" s="2175"/>
      <c r="AF73" s="2175"/>
      <c r="AG73" s="2175"/>
      <c r="AH73" s="2175"/>
      <c r="AI73" s="2175"/>
      <c r="AJ73" s="2175"/>
      <c r="AK73" s="2175"/>
      <c r="AL73" s="2175"/>
      <c r="AM73" s="2175"/>
      <c r="AN73" s="2175"/>
      <c r="AO73" s="2375"/>
      <c r="AP73" s="2175"/>
      <c r="AQ73" s="2175"/>
      <c r="AR73" s="2175"/>
      <c r="AS73" s="2375"/>
      <c r="AT73" s="2175"/>
      <c r="AU73" s="2175"/>
      <c r="AV73" s="2175"/>
      <c r="AW73" s="2376"/>
      <c r="AX73" s="2177"/>
      <c r="AY73" s="2177"/>
      <c r="AZ73" s="2177"/>
      <c r="BA73" s="2174"/>
      <c r="BB73" s="2174"/>
      <c r="BC73" s="2174"/>
      <c r="BD73" s="2174"/>
      <c r="BE73" s="2174"/>
      <c r="BF73" s="2174"/>
      <c r="BG73" s="2174"/>
      <c r="BH73" s="2174"/>
      <c r="BI73" s="2174"/>
      <c r="BJ73" s="2174"/>
      <c r="BK73" s="2174"/>
      <c r="BL73" s="2174"/>
      <c r="BM73" s="2174"/>
      <c r="BN73" s="2174"/>
      <c r="BO73" s="2174"/>
      <c r="BP73" s="2174"/>
      <c r="BQ73" s="2174"/>
      <c r="BR73" s="2174"/>
      <c r="BS73" s="2174"/>
      <c r="BT73" s="2174"/>
      <c r="BU73" s="2174"/>
      <c r="BV73" s="2174"/>
      <c r="BW73" s="2174"/>
      <c r="BX73" s="2174"/>
      <c r="BY73" s="2174"/>
      <c r="BZ73" s="2174"/>
      <c r="CA73" s="2174"/>
      <c r="CB73" s="2174"/>
      <c r="CC73" s="2174"/>
      <c r="CD73" s="2174"/>
      <c r="CE73" s="2174"/>
      <c r="CF73" s="2174"/>
      <c r="CG73" s="2174"/>
      <c r="CH73" s="2174"/>
      <c r="CI73" s="2174"/>
      <c r="CJ73" s="2174"/>
      <c r="CK73" s="2174"/>
      <c r="CL73" s="2174"/>
      <c r="CM73" s="2174"/>
      <c r="CN73" s="2174"/>
      <c r="CO73" s="2174"/>
      <c r="CP73" s="2174"/>
      <c r="CQ73" s="2174"/>
      <c r="CR73" s="2174"/>
      <c r="CS73" s="2174"/>
      <c r="CT73" s="2174"/>
      <c r="CU73" s="2174"/>
      <c r="CV73" s="2174"/>
      <c r="CW73" s="2174"/>
      <c r="CX73" s="2174"/>
      <c r="CY73" s="2174"/>
      <c r="CZ73" s="2174"/>
    </row>
    <row r="74" spans="1:104" s="2239" customFormat="1" hidden="1" outlineLevel="1">
      <c r="A74" s="2440" t="s">
        <v>174</v>
      </c>
      <c r="B74" s="2240"/>
      <c r="C74" s="2256"/>
      <c r="D74" s="2206">
        <f>D73/C73-1</f>
        <v>-0.20453387990672223</v>
      </c>
      <c r="E74" s="2207">
        <f>E73/D73-1</f>
        <v>-3.5548220171599532E-5</v>
      </c>
      <c r="F74" s="2207">
        <f>F73/E73-1</f>
        <v>-3.6364732790819643E-2</v>
      </c>
      <c r="G74" s="2207">
        <f>G73/F73-1</f>
        <v>-0.2830108808753854</v>
      </c>
      <c r="H74" s="2207">
        <f>H73/G73-1</f>
        <v>-0.22342881310415375</v>
      </c>
      <c r="I74" s="2256"/>
      <c r="J74" s="2207">
        <f ca="1">J73/I73-1</f>
        <v>-0.22731191226123071</v>
      </c>
      <c r="K74" s="2296"/>
      <c r="L74" s="2325"/>
      <c r="M74" s="2325"/>
      <c r="N74" s="2325"/>
      <c r="O74" s="2325"/>
      <c r="P74" s="2325"/>
      <c r="Q74" s="2325"/>
      <c r="R74" s="2325"/>
      <c r="S74" s="2325"/>
      <c r="T74" s="2175">
        <v>71</v>
      </c>
      <c r="U74" s="2325"/>
      <c r="V74" s="2325"/>
      <c r="W74" s="2325"/>
      <c r="X74" s="2325"/>
      <c r="Y74" s="2325"/>
      <c r="Z74" s="2325"/>
      <c r="AA74" s="2325"/>
      <c r="AB74" s="2325"/>
      <c r="AC74" s="2325"/>
      <c r="AD74" s="2325"/>
      <c r="AE74" s="2325"/>
      <c r="AF74" s="2325"/>
      <c r="AG74" s="2325"/>
      <c r="AH74" s="2325"/>
      <c r="AI74" s="2325"/>
      <c r="AJ74" s="2325"/>
      <c r="AK74" s="2325"/>
      <c r="AL74" s="2325"/>
      <c r="AM74" s="2325"/>
      <c r="AN74" s="2325"/>
      <c r="AO74" s="2327"/>
      <c r="AP74" s="2325"/>
      <c r="AQ74" s="2325"/>
      <c r="AR74" s="2325"/>
      <c r="AS74" s="2327"/>
      <c r="AT74" s="2325"/>
      <c r="AU74" s="2325"/>
      <c r="AV74" s="2325"/>
      <c r="AW74" s="2328"/>
      <c r="AX74" s="2329"/>
      <c r="AY74" s="2329"/>
      <c r="AZ74" s="2329"/>
      <c r="BA74" s="2232"/>
      <c r="BB74" s="2232"/>
      <c r="BC74" s="2232"/>
      <c r="BD74" s="2232"/>
      <c r="BE74" s="2232"/>
      <c r="BF74" s="2232"/>
      <c r="BG74" s="2232"/>
      <c r="BH74" s="2232"/>
      <c r="BI74" s="2232"/>
      <c r="BJ74" s="2232"/>
      <c r="BK74" s="2232"/>
      <c r="BL74" s="2232"/>
      <c r="BM74" s="2232"/>
      <c r="BN74" s="2232"/>
      <c r="BO74" s="2232"/>
      <c r="BP74" s="2232"/>
      <c r="BQ74" s="2232"/>
      <c r="BR74" s="2232"/>
      <c r="BS74" s="2232"/>
      <c r="BT74" s="2232"/>
      <c r="BU74" s="2232"/>
      <c r="BV74" s="2232"/>
      <c r="BW74" s="2232"/>
      <c r="BX74" s="2232"/>
      <c r="BY74" s="2232"/>
      <c r="BZ74" s="2232"/>
      <c r="CA74" s="2232"/>
      <c r="CB74" s="2232"/>
      <c r="CC74" s="2232"/>
      <c r="CD74" s="2232"/>
      <c r="CE74" s="2232"/>
      <c r="CF74" s="2232"/>
      <c r="CG74" s="2232"/>
      <c r="CH74" s="2232"/>
      <c r="CI74" s="2232"/>
      <c r="CJ74" s="2232"/>
      <c r="CK74" s="2232"/>
      <c r="CL74" s="2232"/>
      <c r="CM74" s="2232"/>
      <c r="CN74" s="2232"/>
      <c r="CO74" s="2232"/>
      <c r="CP74" s="2232"/>
      <c r="CQ74" s="2232"/>
      <c r="CR74" s="2232"/>
      <c r="CS74" s="2232"/>
      <c r="CT74" s="2232"/>
      <c r="CU74" s="2232"/>
      <c r="CV74" s="2232"/>
      <c r="CW74" s="2232"/>
      <c r="CX74" s="2232"/>
      <c r="CY74" s="2232"/>
      <c r="CZ74" s="2232"/>
    </row>
    <row r="75" spans="1:104" hidden="1" outlineLevel="1">
      <c r="A75" s="2441" t="s">
        <v>175</v>
      </c>
      <c r="B75" s="2493">
        <f t="shared" ref="B75:Q75" si="387">B73/12</f>
        <v>0</v>
      </c>
      <c r="C75" s="2372">
        <f t="shared" si="387"/>
        <v>7.1624869383490077</v>
      </c>
      <c r="D75" s="2372">
        <f t="shared" si="387"/>
        <v>5.6975156950672643</v>
      </c>
      <c r="E75" s="2372">
        <f t="shared" si="387"/>
        <v>5.6973131585249055</v>
      </c>
      <c r="F75" s="2372">
        <f t="shared" si="387"/>
        <v>5.4901318878895262</v>
      </c>
      <c r="G75" s="2372">
        <f t="shared" si="387"/>
        <v>3.9363648261758688</v>
      </c>
      <c r="H75" s="2372">
        <f t="shared" si="387"/>
        <v>3.056867505118456</v>
      </c>
      <c r="I75" s="2372">
        <f t="shared" si="387"/>
        <v>2.6882705686389148</v>
      </c>
      <c r="J75" s="2372">
        <f t="shared" ca="1" si="387"/>
        <v>2.077194645006017</v>
      </c>
      <c r="K75" s="2492">
        <f t="shared" ca="1" si="387"/>
        <v>2.4127887818371776</v>
      </c>
      <c r="L75" s="2179">
        <f t="shared" ca="1" si="387"/>
        <v>2.2020659062985657</v>
      </c>
      <c r="M75" s="2179">
        <f t="shared" ca="1" si="387"/>
        <v>2.2020659062985657</v>
      </c>
      <c r="N75" s="2179">
        <f t="shared" ca="1" si="387"/>
        <v>2.2020659062985657</v>
      </c>
      <c r="O75" s="2179">
        <f t="shared" ca="1" si="387"/>
        <v>2.2020659062985657</v>
      </c>
      <c r="P75" s="2179">
        <f t="shared" ca="1" si="387"/>
        <v>2.2020659062985657</v>
      </c>
      <c r="Q75" s="2179">
        <f t="shared" ca="1" si="387"/>
        <v>2.2020659062985657</v>
      </c>
      <c r="R75" s="2179"/>
      <c r="S75" s="2179"/>
      <c r="T75" s="2175">
        <v>72</v>
      </c>
      <c r="U75" s="2179">
        <f t="shared" ref="U75:BF75" si="388">U15/AVERAGE(T76:U76)/3</f>
        <v>10.014455782312925</v>
      </c>
      <c r="V75" s="2179">
        <f t="shared" si="388"/>
        <v>6.1193960511033687</v>
      </c>
      <c r="W75" s="2179">
        <f t="shared" si="388"/>
        <v>5.0504220853296831</v>
      </c>
      <c r="X75" s="2179">
        <f t="shared" si="388"/>
        <v>5.1858146155570557</v>
      </c>
      <c r="Y75" s="2179">
        <f t="shared" si="388"/>
        <v>6.3691574803149615</v>
      </c>
      <c r="Z75" s="2179">
        <f t="shared" si="388"/>
        <v>6.5359201819685699</v>
      </c>
      <c r="AA75" s="2179">
        <f t="shared" si="388"/>
        <v>5.2333191977077353</v>
      </c>
      <c r="AB75" s="2179">
        <f t="shared" si="388"/>
        <v>4.9098590476190456</v>
      </c>
      <c r="AC75" s="2179">
        <f t="shared" si="388"/>
        <v>5.3699173177083344</v>
      </c>
      <c r="AD75" s="2179">
        <f t="shared" si="388"/>
        <v>4.8916245580199273</v>
      </c>
      <c r="AE75" s="2179">
        <f t="shared" si="388"/>
        <v>3.8564753997540002</v>
      </c>
      <c r="AF75" s="2179">
        <f t="shared" si="388"/>
        <v>3.5256720240428581</v>
      </c>
      <c r="AG75" s="2179">
        <f t="shared" si="388"/>
        <v>3.7171706935123043</v>
      </c>
      <c r="AH75" s="2179">
        <f t="shared" si="388"/>
        <v>3.3881075923670312</v>
      </c>
      <c r="AI75" s="2179">
        <f t="shared" si="388"/>
        <v>1.9180768792710712</v>
      </c>
      <c r="AJ75" s="2179">
        <f t="shared" si="388"/>
        <v>3.4099443413729134</v>
      </c>
      <c r="AK75" s="2179">
        <f t="shared" si="388"/>
        <v>3.31182542200456</v>
      </c>
      <c r="AL75" s="2179">
        <f t="shared" si="388"/>
        <v>2.8937131164882053</v>
      </c>
      <c r="AM75" s="2179">
        <f t="shared" si="388"/>
        <v>2.3640478783826997</v>
      </c>
      <c r="AN75" s="2179">
        <f t="shared" si="388"/>
        <v>2.2031301999999999</v>
      </c>
      <c r="AO75" s="2445">
        <f t="shared" si="388"/>
        <v>1.9389537340619307</v>
      </c>
      <c r="AP75" s="2179">
        <f t="shared" ref="AP75:AW75" ca="1" si="389">AP15/AVERAGE(AO76:AP76)/3</f>
        <v>2.17210480349345</v>
      </c>
      <c r="AQ75" s="2179">
        <f t="shared" ca="1" si="389"/>
        <v>1.9618812386156643</v>
      </c>
      <c r="AR75" s="2179">
        <f t="shared" ca="1" si="389"/>
        <v>2.0174143580577906</v>
      </c>
      <c r="AS75" s="2445">
        <f t="shared" ca="1" si="389"/>
        <v>2.2171556744398724</v>
      </c>
      <c r="AT75" s="2179">
        <f t="shared" ca="1" si="389"/>
        <v>2.5297312165848331</v>
      </c>
      <c r="AU75" s="2179">
        <f t="shared" ca="1" si="389"/>
        <v>2.3152130325814539</v>
      </c>
      <c r="AV75" s="2179">
        <f t="shared" ca="1" si="389"/>
        <v>2.4342596770962275</v>
      </c>
      <c r="AW75" s="2446">
        <f t="shared" ca="1" si="389"/>
        <v>2.6271324320829637</v>
      </c>
      <c r="AX75" s="2447">
        <f t="shared" si="388"/>
        <v>2.7894472887300878</v>
      </c>
      <c r="AY75" s="2447">
        <f ca="1">AY15/AVERAGE(AX76:AY76)/3</f>
        <v>2.8785020374686696</v>
      </c>
      <c r="AZ75" s="2447">
        <f ca="1">AZ15/AVERAGE(AY76:AZ76)/3</f>
        <v>3.141129812935874</v>
      </c>
      <c r="BA75" s="2448">
        <f ca="1">BA15/AVERAGE(AZ76:BA76)/3</f>
        <v>2.8477626958161619</v>
      </c>
      <c r="BB75" s="2448">
        <f t="shared" si="388"/>
        <v>3.2357547879008517</v>
      </c>
      <c r="BC75" s="2448">
        <f ca="1">BC15/AVERAGE(BB76:BC76)/3</f>
        <v>3.3368683389171729</v>
      </c>
      <c r="BD75" s="2448">
        <f ca="1">BD15/AVERAGE(BC76:BD76)/3</f>
        <v>3.6437499277555392</v>
      </c>
      <c r="BE75" s="2448">
        <f ca="1">BE15/AVERAGE(BD76:BE76)/3</f>
        <v>3.1894942193141014</v>
      </c>
      <c r="BF75" s="2448">
        <f t="shared" si="388"/>
        <v>3.6240453624489537</v>
      </c>
      <c r="BG75" s="2448">
        <f ca="1">BG15/AVERAGE(BF76:BG76)/3</f>
        <v>3.7372925395872332</v>
      </c>
      <c r="BH75" s="2448">
        <f ca="1">BH15/AVERAGE(BG76:BH76)/3</f>
        <v>4.0809999190862039</v>
      </c>
      <c r="BI75" s="2448">
        <f ca="1">BI15/AVERAGE(BH76:BI76)/3</f>
        <v>3.5722335256317943</v>
      </c>
      <c r="BJ75" s="2448">
        <f t="shared" ref="BJ75" si="390">BJ15/AVERAGE(BI76:BJ76)/3</f>
        <v>4.0589308059428282</v>
      </c>
      <c r="BK75" s="2448">
        <f ca="1">BK15/AVERAGE(BJ76:BK76)/3</f>
        <v>4.1857676443377025</v>
      </c>
      <c r="BL75" s="2448">
        <f ca="1">BL15/AVERAGE(BK76:BL76)/3</f>
        <v>4.5707199093765487</v>
      </c>
      <c r="BM75" s="2448">
        <f ca="1">BM15/AVERAGE(BL76:BM76)/3</f>
        <v>3.9294568781949741</v>
      </c>
      <c r="BN75" s="2448">
        <f t="shared" ref="BN75" si="391">BN15/AVERAGE(BM76:BN76)/3</f>
        <v>4.4648238865371122</v>
      </c>
      <c r="BO75" s="2448">
        <f ca="1">BO15/AVERAGE(BN76:BO76)/3</f>
        <v>4.604344408771472</v>
      </c>
      <c r="BP75" s="2448">
        <f ca="1">BP15/AVERAGE(BO76:BP76)/3</f>
        <v>5.0277919003142033</v>
      </c>
      <c r="BQ75" s="2448">
        <f ca="1">BQ15/AVERAGE(BP76:BQ76)/3</f>
        <v>4.322402566014472</v>
      </c>
      <c r="BR75" s="2448">
        <f t="shared" ref="BR75" si="392">BR15/AVERAGE(BQ76:BR76)/3</f>
        <v>4.9113062751908236</v>
      </c>
      <c r="BS75" s="2448">
        <f ca="1">BS15/AVERAGE(BR76:BS76)/3</f>
        <v>5.0647788496486204</v>
      </c>
      <c r="BT75" s="2448">
        <f ca="1">BT15/AVERAGE(BS76:BT76)/3</f>
        <v>5.5305710903456244</v>
      </c>
      <c r="BU75" s="2448">
        <f ca="1">BU15/AVERAGE(BT76:BU76)/3</f>
        <v>4.7546428226159199</v>
      </c>
      <c r="BV75" s="2448">
        <f t="shared" ref="BV75" si="393">BV15/AVERAGE(BU76:BV76)/3</f>
        <v>5.4024369027099075</v>
      </c>
      <c r="BW75" s="2448">
        <f ca="1">BW15/AVERAGE(BV76:BW76)/3</f>
        <v>5.5712567346134838</v>
      </c>
      <c r="BX75" s="2448">
        <f ca="1">BX15/AVERAGE(BW76:BX76)/3</f>
        <v>6.0836281993801871</v>
      </c>
      <c r="BY75" s="2448">
        <f ca="1">BY15/AVERAGE(BX76:BY76)/3</f>
        <v>5.2301071048775114</v>
      </c>
      <c r="BZ75" s="2448">
        <f t="shared" ref="BZ75" si="394">BZ15/AVERAGE(BY76:BZ76)/3</f>
        <v>5.9426805929808983</v>
      </c>
      <c r="CA75" s="2448">
        <f ca="1">CA15/AVERAGE(BZ76:CA76)/3</f>
        <v>6.1283824080748319</v>
      </c>
      <c r="CB75" s="2448">
        <f ca="1">CB15/AVERAGE(CA76:CB76)/3</f>
        <v>6.6919910193182064</v>
      </c>
      <c r="CC75" s="2448" t="e">
        <f t="shared" ref="CC75" si="395">CC15/AVERAGE(CB76:CC76)/3</f>
        <v>#N/A</v>
      </c>
      <c r="CD75" s="2448" t="e">
        <f t="shared" ref="CD75" si="396">CD15/AVERAGE(CC76:CD76)/3</f>
        <v>#N/A</v>
      </c>
      <c r="CE75" s="2448" t="e">
        <f t="shared" ref="CE75" si="397">CE15/AVERAGE(CD76:CE76)/3</f>
        <v>#N/A</v>
      </c>
      <c r="CF75" s="2448" t="e">
        <f t="shared" ref="CF75" si="398">CF15/AVERAGE(CE76:CF76)/3</f>
        <v>#N/A</v>
      </c>
      <c r="CG75" s="2448" t="e">
        <f t="shared" ref="CG75" si="399">CG15/AVERAGE(CF76:CG76)/3</f>
        <v>#N/A</v>
      </c>
      <c r="CH75" s="2448" t="e">
        <f t="shared" ref="CH75" si="400">CH15/AVERAGE(CG76:CH76)/3</f>
        <v>#N/A</v>
      </c>
      <c r="CI75" s="2448" t="e">
        <f t="shared" ref="CI75" si="401">CI15/AVERAGE(CH76:CI76)/3</f>
        <v>#N/A</v>
      </c>
      <c r="CJ75" s="2448" t="e">
        <f t="shared" ref="CJ75" si="402">CJ15/AVERAGE(CI76:CJ76)/3</f>
        <v>#N/A</v>
      </c>
      <c r="CK75" s="2448" t="e">
        <f t="shared" ref="CK75" si="403">CK15/AVERAGE(CJ76:CK76)/3</f>
        <v>#N/A</v>
      </c>
      <c r="CL75" s="2448" t="e">
        <f t="shared" ref="CL75" si="404">CL15/AVERAGE(CK76:CL76)/3</f>
        <v>#N/A</v>
      </c>
      <c r="CM75" s="2448" t="e">
        <f t="shared" ref="CM75" si="405">CM15/AVERAGE(CL76:CM76)/3</f>
        <v>#N/A</v>
      </c>
      <c r="CN75" s="2448" t="e">
        <f t="shared" ref="CN75" si="406">CN15/AVERAGE(CM76:CN76)/3</f>
        <v>#N/A</v>
      </c>
      <c r="CO75" s="2448" t="e">
        <f t="shared" ref="CO75" si="407">CO15/AVERAGE(CN76:CO76)/3</f>
        <v>#N/A</v>
      </c>
      <c r="CP75" s="2448" t="e">
        <f t="shared" ref="CP75" si="408">CP15/AVERAGE(CO76:CP76)/3</f>
        <v>#N/A</v>
      </c>
      <c r="CQ75" s="2448" t="e">
        <f t="shared" ref="CQ75" si="409">CQ15/AVERAGE(CP76:CQ76)/3</f>
        <v>#N/A</v>
      </c>
      <c r="CR75" s="2448" t="e">
        <f t="shared" ref="CR75" si="410">CR15/AVERAGE(CQ76:CR76)/3</f>
        <v>#N/A</v>
      </c>
      <c r="CS75" s="2448" t="e">
        <f t="shared" ref="CS75" si="411">CS15/AVERAGE(CR76:CS76)/3</f>
        <v>#N/A</v>
      </c>
      <c r="CT75" s="2448" t="e">
        <f t="shared" ref="CT75" si="412">CT15/AVERAGE(CS76:CT76)/3</f>
        <v>#N/A</v>
      </c>
      <c r="CU75" s="2448" t="e">
        <f t="shared" ref="CU75" si="413">CU15/AVERAGE(CT76:CU76)/3</f>
        <v>#N/A</v>
      </c>
      <c r="CV75" s="2448" t="e">
        <f t="shared" ref="CV75" si="414">CV15/AVERAGE(CU76:CV76)/3</f>
        <v>#N/A</v>
      </c>
      <c r="CW75" s="2448" t="e">
        <f t="shared" ref="CW75" si="415">CW15/AVERAGE(CV76:CW76)/3</f>
        <v>#N/A</v>
      </c>
      <c r="CX75" s="2448" t="e">
        <f t="shared" ref="CX75" si="416">CX15/AVERAGE(CW76:CX76)/3</f>
        <v>#N/A</v>
      </c>
      <c r="CY75" s="2448" t="e">
        <f t="shared" ref="CY75" si="417">CY15/AVERAGE(CX76:CY76)/3</f>
        <v>#N/A</v>
      </c>
      <c r="CZ75" s="2448" t="e">
        <f t="shared" ref="CZ75" si="418">CZ15/AVERAGE(CY76:CZ76)/3</f>
        <v>#N/A</v>
      </c>
    </row>
    <row r="76" spans="1:104" s="2501" customFormat="1" hidden="1" outlineLevel="1">
      <c r="A76" s="2494" t="s">
        <v>176</v>
      </c>
      <c r="B76" s="2495">
        <v>69</v>
      </c>
      <c r="C76" s="2496">
        <v>250</v>
      </c>
      <c r="D76" s="2496">
        <v>642</v>
      </c>
      <c r="E76" s="2496">
        <v>750</v>
      </c>
      <c r="F76" s="2496">
        <v>1018</v>
      </c>
      <c r="G76" s="2496">
        <v>1427</v>
      </c>
      <c r="H76" s="2496">
        <v>1992</v>
      </c>
      <c r="I76" s="2497">
        <f>Rev_Month!BI23</f>
        <v>2284</v>
      </c>
      <c r="J76" s="2497">
        <f t="shared" ref="J76:Q76" si="419">I76+J77</f>
        <v>2148</v>
      </c>
      <c r="K76" s="2498">
        <f t="shared" si="419"/>
        <v>1990</v>
      </c>
      <c r="L76" s="2499">
        <f t="shared" si="419"/>
        <v>1981</v>
      </c>
      <c r="M76" s="2499">
        <f t="shared" si="419"/>
        <v>1981</v>
      </c>
      <c r="N76" s="2499">
        <f t="shared" si="419"/>
        <v>1981</v>
      </c>
      <c r="O76" s="2499">
        <f t="shared" si="419"/>
        <v>1981</v>
      </c>
      <c r="P76" s="2499">
        <f t="shared" si="419"/>
        <v>1981</v>
      </c>
      <c r="Q76" s="2499">
        <f t="shared" si="419"/>
        <v>1981</v>
      </c>
      <c r="R76" s="2499">
        <f>O76+R77</f>
        <v>1981</v>
      </c>
      <c r="S76" s="2499">
        <f>R76+S77</f>
        <v>1981</v>
      </c>
      <c r="T76" s="2175">
        <v>73</v>
      </c>
      <c r="U76" s="2500">
        <f>HLOOKUP(U$4,Rev_Month!$B$3:$HG$41,21,FALSE)</f>
        <v>711</v>
      </c>
      <c r="V76" s="2500">
        <f>HLOOKUP(V$4,Rev_Month!$B$3:$HG$41,21,FALSE)</f>
        <v>724</v>
      </c>
      <c r="W76" s="2500">
        <f>HLOOKUP(W$4,Rev_Month!$B$3:$HG$41,21,FALSE)</f>
        <v>737</v>
      </c>
      <c r="X76" s="2500">
        <f>HLOOKUP(X$4,Rev_Month!$B$3:$HG$41,21,FALSE)</f>
        <v>750</v>
      </c>
      <c r="Y76" s="2500">
        <f>HLOOKUP(Y$4,Rev_Month!$B$3:$HG$41,21,FALSE)</f>
        <v>774</v>
      </c>
      <c r="Z76" s="2500">
        <f>HLOOKUP(Z$4,Rev_Month!$B$3:$HG$41,21,FALSE)</f>
        <v>838</v>
      </c>
      <c r="AA76" s="2500">
        <f>HLOOKUP(AA$4,Rev_Month!$B$3:$HG$41,21,FALSE)</f>
        <v>907</v>
      </c>
      <c r="AB76" s="2500">
        <f>HLOOKUP(AB$4,Rev_Month!$B$3:$HG$41,21,FALSE)</f>
        <v>1018</v>
      </c>
      <c r="AC76" s="2500">
        <f>HLOOKUP(AC$4,Rev_Month!$B$3:$HG$41,21,FALSE)</f>
        <v>1030</v>
      </c>
      <c r="AD76" s="2500">
        <f>HLOOKUP(AD$4,Rev_Month!$B$3:$HG$41,21,FALSE)</f>
        <v>1044</v>
      </c>
      <c r="AE76" s="2500">
        <f>HLOOKUP(AE$4,Rev_Month!$B$3:$HG$41,21,FALSE)</f>
        <v>1124</v>
      </c>
      <c r="AF76" s="2500">
        <f>HLOOKUP(AF$4,Rev_Month!$B$3:$HG$41,21,FALSE)</f>
        <v>1427</v>
      </c>
      <c r="AG76" s="2500">
        <f>HLOOKUP(AG$4,Rev_Month!$B$3:$HG$41,21,FALSE)</f>
        <v>1553</v>
      </c>
      <c r="AH76" s="2500">
        <f>HLOOKUP(AH$4,Rev_Month!$B$3:$HG$41,21,FALSE)</f>
        <v>1731</v>
      </c>
      <c r="AI76" s="2500">
        <f>HLOOKUP(AI$4,Rev_Month!$B$3:$HG$41,21,FALSE)</f>
        <v>1781</v>
      </c>
      <c r="AJ76" s="2500">
        <f>HLOOKUP(AJ$4,Rev_Month!$B$3:$HG$41,21,FALSE)</f>
        <v>1992</v>
      </c>
      <c r="AK76" s="2500">
        <f>HLOOKUP(AK$4,Rev_Month!$B$3:$HG$41,21,FALSE)</f>
        <v>2077</v>
      </c>
      <c r="AL76" s="2500">
        <f>HLOOKUP(AL$4,Rev_Month!$B$3:$HG$41,21,FALSE)</f>
        <v>2131</v>
      </c>
      <c r="AM76" s="2500">
        <f>HLOOKUP(AM$4,Rev_Month!$B$3:$HG$41,21,FALSE)</f>
        <v>2246</v>
      </c>
      <c r="AN76" s="2500">
        <f>HLOOKUP(AN$4,Rev_Month!$B$3:$HG$41,21,FALSE)</f>
        <v>2284</v>
      </c>
      <c r="AO76" s="2500">
        <f>HLOOKUP(AO$4,Rev_Month!$B$3:$HG$41,21,FALSE)</f>
        <v>2291</v>
      </c>
      <c r="AP76" s="2500">
        <f>HLOOKUP(AP$4,Rev_Month!$B$3:$HG$41,21,FALSE)</f>
        <v>2289</v>
      </c>
      <c r="AQ76" s="2500">
        <f>HLOOKUP(AQ$4,Rev_Month!$B$3:$HG$41,21,FALSE)</f>
        <v>2286</v>
      </c>
      <c r="AR76" s="2500">
        <f>HLOOKUP(AR$4,Rev_Month!$B$3:$HG$41,21,FALSE)</f>
        <v>2190</v>
      </c>
      <c r="AS76" s="2500">
        <f>HLOOKUP(AS$4,Rev_Month!$B$3:$HG$41,21,FALSE)</f>
        <v>2184</v>
      </c>
      <c r="AT76" s="2500">
        <f>HLOOKUP(AT$4,Rev_Month!$B$3:$HG$41,21,FALSE)</f>
        <v>2093</v>
      </c>
      <c r="AU76" s="2500">
        <f>HLOOKUP(AU$4,Rev_Month!$B$3:$HG$41,21,FALSE)</f>
        <v>2030</v>
      </c>
      <c r="AV76" s="2500">
        <f>HLOOKUP(AV$4,Rev_Month!$B$3:$HG$41,21,FALSE)</f>
        <v>2026</v>
      </c>
      <c r="AW76" s="2500">
        <f>HLOOKUP(AW$4,Rev_Month!$B$3:$HG$41,21,FALSE)</f>
        <v>2027</v>
      </c>
      <c r="AX76" s="2500">
        <f>HLOOKUP(AX$4,Rev_Month!$B$3:$HG$41,21,FALSE)</f>
        <v>2023</v>
      </c>
      <c r="AY76" s="2500">
        <f>HLOOKUP(AY$4,Rev_Month!$B$3:$HG$41,21,FALSE)</f>
        <v>2018</v>
      </c>
      <c r="AZ76" s="2500">
        <f>HLOOKUP(AZ$4,Rev_Month!$B$3:$HG$41,21,FALSE)</f>
        <v>2017</v>
      </c>
      <c r="BA76" s="2500">
        <f>HLOOKUP(BA$4,Rev_Month!$B$3:$HG$41,21,FALSE)</f>
        <v>2017</v>
      </c>
      <c r="BB76" s="2500">
        <f>HLOOKUP(BB$4,Rev_Month!$B$3:$HG$41,21,FALSE)</f>
        <v>2017</v>
      </c>
      <c r="BC76" s="2500">
        <f>HLOOKUP(BC$4,Rev_Month!$B$3:$HG$41,21,FALSE)</f>
        <v>2017</v>
      </c>
      <c r="BD76" s="2500">
        <f>HLOOKUP(BD$4,Rev_Month!$B$3:$HG$41,21,FALSE)</f>
        <v>2017</v>
      </c>
      <c r="BE76" s="2500">
        <f>HLOOKUP(BE$4,Rev_Month!$B$3:$HG$41,21,FALSE)</f>
        <v>2017</v>
      </c>
      <c r="BF76" s="2500">
        <f>HLOOKUP(BF$4,Rev_Month!$B$3:$HG$41,21,FALSE)</f>
        <v>2017</v>
      </c>
      <c r="BG76" s="2500">
        <f>HLOOKUP(BG$4,Rev_Month!$B$3:$HG$41,21,FALSE)</f>
        <v>2017</v>
      </c>
      <c r="BH76" s="2500">
        <f>HLOOKUP(BH$4,Rev_Month!$B$3:$HG$41,21,FALSE)</f>
        <v>2017</v>
      </c>
      <c r="BI76" s="2500">
        <f>HLOOKUP(BI$4,Rev_Month!$B$3:$HG$41,21,FALSE)</f>
        <v>2017</v>
      </c>
      <c r="BJ76" s="2500">
        <f>HLOOKUP(BJ$4,Rev_Month!$B$3:$HG$41,21,FALSE)</f>
        <v>2017</v>
      </c>
      <c r="BK76" s="2500">
        <f>HLOOKUP(BK$4,Rev_Month!$B$3:$HG$41,21,FALSE)</f>
        <v>2017</v>
      </c>
      <c r="BL76" s="2500">
        <f>HLOOKUP(BL$4,Rev_Month!$B$3:$HG$41,21,FALSE)</f>
        <v>2017</v>
      </c>
      <c r="BM76" s="2500">
        <f>HLOOKUP(BM$4,Rev_Month!$B$3:$HG$41,21,FALSE)</f>
        <v>2017</v>
      </c>
      <c r="BN76" s="2500">
        <f>HLOOKUP(BN$4,Rev_Month!$B$3:$HG$41,21,FALSE)</f>
        <v>2017</v>
      </c>
      <c r="BO76" s="2500">
        <f>HLOOKUP(BO$4,Rev_Month!$B$3:$HG$41,21,FALSE)</f>
        <v>2017</v>
      </c>
      <c r="BP76" s="2500">
        <f>HLOOKUP(BP$4,Rev_Month!$B$3:$HG$41,21,FALSE)</f>
        <v>2017</v>
      </c>
      <c r="BQ76" s="2500">
        <f>HLOOKUP(BQ$4,Rev_Month!$B$3:$HG$41,21,FALSE)</f>
        <v>2017</v>
      </c>
      <c r="BR76" s="2500">
        <f>HLOOKUP(BR$4,Rev_Month!$B$3:$HG$41,21,FALSE)</f>
        <v>2017</v>
      </c>
      <c r="BS76" s="2500">
        <f>HLOOKUP(BS$4,Rev_Month!$B$3:$HG$41,21,FALSE)</f>
        <v>2017</v>
      </c>
      <c r="BT76" s="2500">
        <f>HLOOKUP(BT$4,Rev_Month!$B$3:$HG$41,21,FALSE)</f>
        <v>2017</v>
      </c>
      <c r="BU76" s="2500">
        <f>HLOOKUP(BU$4,Rev_Month!$B$3:$HG$41,21,FALSE)</f>
        <v>2017</v>
      </c>
      <c r="BV76" s="2500">
        <f>HLOOKUP(BV$4,Rev_Month!$B$3:$HG$41,21,FALSE)</f>
        <v>2017</v>
      </c>
      <c r="BW76" s="2500">
        <f>HLOOKUP(BW$4,Rev_Month!$B$3:$HG$41,21,FALSE)</f>
        <v>2017</v>
      </c>
      <c r="BX76" s="2500">
        <f>HLOOKUP(BX$4,Rev_Month!$B$3:$HG$41,21,FALSE)</f>
        <v>2017</v>
      </c>
      <c r="BY76" s="2500">
        <f>HLOOKUP(BY$4,Rev_Month!$B$3:$HG$41,21,FALSE)</f>
        <v>2017</v>
      </c>
      <c r="BZ76" s="2500">
        <f>HLOOKUP(BZ$4,Rev_Month!$B$3:$HG$41,21,FALSE)</f>
        <v>2017</v>
      </c>
      <c r="CA76" s="2500">
        <f>HLOOKUP(CA$4,Rev_Month!$B$3:$HG$41,21,FALSE)</f>
        <v>2017</v>
      </c>
      <c r="CB76" s="2500">
        <f>HLOOKUP(CB$4,Rev_Month!$B$3:$HG$41,21,FALSE)</f>
        <v>2017</v>
      </c>
      <c r="CC76" s="2500" t="e">
        <f>HLOOKUP(CC$4,Rev_Month!$B$3:$FY$41,21,FALSE)</f>
        <v>#N/A</v>
      </c>
      <c r="CD76" s="2500" t="e">
        <f>HLOOKUP(CD$4,Rev_Month!$B$3:$FY$41,21,FALSE)</f>
        <v>#N/A</v>
      </c>
      <c r="CE76" s="2500" t="e">
        <f>HLOOKUP(CE$4,Rev_Month!$B$3:$FY$41,21,FALSE)</f>
        <v>#N/A</v>
      </c>
      <c r="CF76" s="2500" t="e">
        <f>HLOOKUP(CF$4,Rev_Month!$B$3:$FY$41,21,FALSE)</f>
        <v>#N/A</v>
      </c>
      <c r="CG76" s="2500" t="e">
        <f>HLOOKUP(CG$4,Rev_Month!$B$3:$FY$41,21,FALSE)</f>
        <v>#N/A</v>
      </c>
      <c r="CH76" s="2500" t="e">
        <f>HLOOKUP(CH$4,Rev_Month!$B$3:$FY$41,21,FALSE)</f>
        <v>#N/A</v>
      </c>
      <c r="CI76" s="2500" t="e">
        <f>HLOOKUP(CI$4,Rev_Month!$B$3:$FY$41,21,FALSE)</f>
        <v>#N/A</v>
      </c>
      <c r="CJ76" s="2500" t="e">
        <f>HLOOKUP(CJ$4,Rev_Month!$B$3:$FY$41,21,FALSE)</f>
        <v>#N/A</v>
      </c>
      <c r="CK76" s="2500" t="e">
        <f>HLOOKUP(CK$4,Rev_Month!$B$3:$FY$41,21,FALSE)</f>
        <v>#N/A</v>
      </c>
      <c r="CL76" s="2500" t="e">
        <f>HLOOKUP(CL$4,Rev_Month!$B$3:$FY$41,21,FALSE)</f>
        <v>#N/A</v>
      </c>
      <c r="CM76" s="2500" t="e">
        <f>HLOOKUP(CM$4,Rev_Month!$B$3:$FY$41,21,FALSE)</f>
        <v>#N/A</v>
      </c>
      <c r="CN76" s="2500" t="e">
        <f>HLOOKUP(CN$4,Rev_Month!$B$3:$FY$41,21,FALSE)</f>
        <v>#N/A</v>
      </c>
      <c r="CO76" s="2500" t="e">
        <f>HLOOKUP(CO$4,Rev_Month!$B$3:$FY$41,21,FALSE)</f>
        <v>#N/A</v>
      </c>
      <c r="CP76" s="2500" t="e">
        <f>HLOOKUP(CP$4,Rev_Month!$B$3:$FY$41,21,FALSE)</f>
        <v>#N/A</v>
      </c>
      <c r="CQ76" s="2500" t="e">
        <f>HLOOKUP(CQ$4,Rev_Month!$B$3:$FY$41,21,FALSE)</f>
        <v>#N/A</v>
      </c>
      <c r="CR76" s="2500" t="e">
        <f>HLOOKUP(CR$4,Rev_Month!$B$3:$FY$41,21,FALSE)</f>
        <v>#N/A</v>
      </c>
      <c r="CS76" s="2500" t="e">
        <f>HLOOKUP(CS$4,Rev_Month!$B$3:$FY$41,21,FALSE)</f>
        <v>#N/A</v>
      </c>
      <c r="CT76" s="2500" t="e">
        <f>HLOOKUP(CT$4,Rev_Month!$B$3:$FY$41,21,FALSE)</f>
        <v>#N/A</v>
      </c>
      <c r="CU76" s="2500" t="e">
        <f>HLOOKUP(CU$4,Rev_Month!$B$3:$FY$41,21,FALSE)</f>
        <v>#N/A</v>
      </c>
      <c r="CV76" s="2500" t="e">
        <f>HLOOKUP(CV$4,Rev_Month!$B$3:$FY$41,21,FALSE)</f>
        <v>#N/A</v>
      </c>
      <c r="CW76" s="2500" t="e">
        <f>HLOOKUP(CW$4,Rev_Month!$B$3:$FY$41,21,FALSE)</f>
        <v>#N/A</v>
      </c>
      <c r="CX76" s="2500" t="e">
        <f>HLOOKUP(CX$4,Rev_Month!$B$3:$FY$41,21,FALSE)</f>
        <v>#N/A</v>
      </c>
      <c r="CY76" s="2500" t="e">
        <f>HLOOKUP(CY$4,Rev_Month!$B$3:$FY$41,21,FALSE)</f>
        <v>#N/A</v>
      </c>
      <c r="CZ76" s="2500" t="e">
        <f>HLOOKUP(CZ$4,Rev_Month!$B$3:$FY$41,21,FALSE)</f>
        <v>#N/A</v>
      </c>
    </row>
    <row r="77" spans="1:104" s="2216" customFormat="1" hidden="1" outlineLevel="1">
      <c r="A77" s="2502" t="s">
        <v>31</v>
      </c>
      <c r="B77" s="2240"/>
      <c r="C77" s="2206">
        <f t="shared" ref="C77:H77" si="420">C76/B76-1</f>
        <v>2.6231884057971016</v>
      </c>
      <c r="D77" s="2206">
        <f t="shared" si="420"/>
        <v>1.5680000000000001</v>
      </c>
      <c r="E77" s="2207">
        <f t="shared" si="420"/>
        <v>0.16822429906542058</v>
      </c>
      <c r="F77" s="2207">
        <f t="shared" si="420"/>
        <v>0.35733333333333328</v>
      </c>
      <c r="G77" s="2207">
        <f t="shared" si="420"/>
        <v>0.40176817288801581</v>
      </c>
      <c r="H77" s="2207">
        <f t="shared" si="420"/>
        <v>0.39593552908199015</v>
      </c>
      <c r="I77" s="2371">
        <f>I76-H76</f>
        <v>292</v>
      </c>
      <c r="J77" s="2371">
        <f>SUMIF(Rev_Month!$BJ$64:$DR$64,Rev_Year!J5,Rev_Month!$BJ$24:$DR$24)</f>
        <v>-136</v>
      </c>
      <c r="K77" s="2370">
        <f>SUMIF(Rev_Month!$BJ$64:$DR$64,Rev_Year!K5,Rev_Month!$BJ$24:$DR$24)</f>
        <v>-158</v>
      </c>
      <c r="L77" s="2257">
        <f>SUMIF(Rev_Month!$BJ$64:$DR$64,Rev_Year!L5,Rev_Month!$BJ$24:$DR$24)</f>
        <v>-9</v>
      </c>
      <c r="M77" s="2257">
        <f>SUMIF(Rev_Month!$BJ$64:$DR$64,Rev_Year!M5,Rev_Month!$BJ$24:$DR$24)</f>
        <v>0</v>
      </c>
      <c r="N77" s="2257">
        <f>SUMIF(Rev_Month!$BJ$64:$DR$64,Rev_Year!N5,Rev_Month!$BJ$24:$DR$24)</f>
        <v>0</v>
      </c>
      <c r="O77" s="2257">
        <f>SUMIF(Rev_Month!$BJ$64:$DR$64,Rev_Year!O5,Rev_Month!$BJ$24:$DR$24)</f>
        <v>0</v>
      </c>
      <c r="P77" s="2257">
        <f>SUMIF(Rev_Month!$BJ$64:$DR$64,Rev_Year!P5,Rev_Month!$BJ$24:$DR$24)</f>
        <v>0</v>
      </c>
      <c r="Q77" s="2257">
        <f>SUMIF(Rev_Month!$BJ$64:$DR$64,Rev_Year!Q5,Rev_Month!$BJ$24:$DR$24)</f>
        <v>0</v>
      </c>
      <c r="R77" s="2210"/>
      <c r="S77" s="2210"/>
      <c r="T77" s="2175">
        <v>74</v>
      </c>
      <c r="U77" s="2210"/>
      <c r="V77" s="2210"/>
      <c r="W77" s="2210"/>
      <c r="X77" s="2210"/>
      <c r="Y77" s="2210"/>
      <c r="Z77" s="2210"/>
      <c r="AA77" s="2210"/>
      <c r="AB77" s="2210"/>
      <c r="AC77" s="2210"/>
      <c r="AD77" s="2210"/>
      <c r="AE77" s="2210"/>
      <c r="AF77" s="2210"/>
      <c r="AG77" s="2257">
        <f>AG76-AF76</f>
        <v>126</v>
      </c>
      <c r="AH77" s="2210"/>
      <c r="AI77" s="2210"/>
      <c r="AJ77" s="2210"/>
      <c r="AK77" s="2210"/>
      <c r="AL77" s="2210"/>
      <c r="AM77" s="2210"/>
      <c r="AN77" s="2210"/>
      <c r="AO77" s="2258"/>
      <c r="AP77" s="2210"/>
      <c r="AQ77" s="2210"/>
      <c r="AR77" s="2210"/>
      <c r="AS77" s="2258"/>
      <c r="AT77" s="2210"/>
      <c r="AU77" s="2210"/>
      <c r="AV77" s="2210"/>
      <c r="AW77" s="2259"/>
      <c r="AX77" s="2242"/>
      <c r="AY77" s="2242"/>
      <c r="AZ77" s="2242"/>
      <c r="BA77" s="2204"/>
      <c r="BB77" s="2204"/>
      <c r="BC77" s="2204"/>
      <c r="BD77" s="2204"/>
      <c r="BE77" s="2204"/>
      <c r="BF77" s="2204"/>
      <c r="BG77" s="2204"/>
      <c r="BH77" s="2204"/>
      <c r="BI77" s="2204"/>
      <c r="BJ77" s="2204"/>
      <c r="BK77" s="2204"/>
      <c r="BL77" s="2204"/>
      <c r="BM77" s="2204"/>
      <c r="BN77" s="2204"/>
      <c r="BO77" s="2204"/>
      <c r="BP77" s="2204"/>
      <c r="BQ77" s="2204"/>
      <c r="BR77" s="2204"/>
      <c r="BS77" s="2204"/>
      <c r="BT77" s="2204"/>
      <c r="BU77" s="2204"/>
      <c r="BV77" s="2204"/>
      <c r="BW77" s="2204"/>
      <c r="BX77" s="2204"/>
      <c r="BY77" s="2204"/>
      <c r="BZ77" s="2204"/>
      <c r="CA77" s="2204"/>
      <c r="CB77" s="2204"/>
      <c r="CC77" s="2204"/>
      <c r="CD77" s="2204"/>
      <c r="CE77" s="2204"/>
      <c r="CF77" s="2204"/>
      <c r="CG77" s="2204"/>
      <c r="CH77" s="2204"/>
      <c r="CI77" s="2204"/>
      <c r="CJ77" s="2204"/>
      <c r="CK77" s="2204"/>
      <c r="CL77" s="2204"/>
      <c r="CM77" s="2204"/>
      <c r="CN77" s="2204"/>
      <c r="CO77" s="2204"/>
      <c r="CP77" s="2204"/>
      <c r="CQ77" s="2204"/>
      <c r="CR77" s="2204"/>
      <c r="CS77" s="2204"/>
      <c r="CT77" s="2204"/>
      <c r="CU77" s="2204"/>
      <c r="CV77" s="2204"/>
      <c r="CW77" s="2204"/>
      <c r="CX77" s="2204"/>
      <c r="CY77" s="2204"/>
      <c r="CZ77" s="2204"/>
    </row>
    <row r="78" spans="1:104" s="2185" customFormat="1" hidden="1" outlineLevel="1">
      <c r="A78" s="2180" t="s">
        <v>179</v>
      </c>
      <c r="B78" s="2300"/>
      <c r="C78" s="2301"/>
      <c r="D78" s="2301"/>
      <c r="E78" s="2195">
        <f>E79*E71</f>
        <v>8398.5688517500021</v>
      </c>
      <c r="F78" s="2195">
        <f>F79*F71</f>
        <v>11065.4706226791</v>
      </c>
      <c r="G78" s="2195">
        <f>G79*G71</f>
        <v>12415.491480000001</v>
      </c>
      <c r="H78" s="2195">
        <f>H79*H71</f>
        <v>13482.3447</v>
      </c>
      <c r="I78" s="2301"/>
      <c r="J78" s="2301"/>
      <c r="K78" s="2364"/>
      <c r="L78" s="2181"/>
      <c r="M78" s="2181"/>
      <c r="N78" s="2181"/>
      <c r="O78" s="2181"/>
      <c r="P78" s="2181"/>
      <c r="Q78" s="2181"/>
      <c r="R78" s="2181"/>
      <c r="S78" s="2181"/>
      <c r="T78" s="2175">
        <v>75</v>
      </c>
      <c r="U78" s="2181"/>
      <c r="V78" s="2181"/>
      <c r="W78" s="2181"/>
      <c r="X78" s="2181"/>
      <c r="Y78" s="2181"/>
      <c r="Z78" s="2181"/>
      <c r="AA78" s="2181"/>
      <c r="AB78" s="2181"/>
      <c r="AC78" s="2181"/>
      <c r="AD78" s="2181"/>
      <c r="AE78" s="2181"/>
      <c r="AF78" s="2181"/>
      <c r="AG78" s="2181"/>
      <c r="AH78" s="2181"/>
      <c r="AI78" s="2181"/>
      <c r="AJ78" s="2181"/>
      <c r="AK78" s="2181"/>
      <c r="AL78" s="2181"/>
      <c r="AM78" s="2181"/>
      <c r="AN78" s="2181"/>
      <c r="AO78" s="2366"/>
      <c r="AP78" s="2181"/>
      <c r="AQ78" s="2181"/>
      <c r="AR78" s="2181"/>
      <c r="AS78" s="2366"/>
      <c r="AT78" s="2181"/>
      <c r="AU78" s="2181"/>
      <c r="AV78" s="2181"/>
      <c r="AW78" s="2367"/>
      <c r="AX78" s="2368"/>
      <c r="AY78" s="2368"/>
      <c r="AZ78" s="2368"/>
      <c r="BA78" s="2180"/>
      <c r="BB78" s="2180"/>
      <c r="BC78" s="2180"/>
      <c r="BD78" s="2180"/>
      <c r="BE78" s="2180"/>
      <c r="BF78" s="2180"/>
      <c r="BG78" s="2180"/>
      <c r="BH78" s="2180"/>
      <c r="BI78" s="2180"/>
      <c r="BJ78" s="2180"/>
      <c r="BK78" s="2180"/>
      <c r="BL78" s="2180"/>
      <c r="BM78" s="2180"/>
      <c r="BN78" s="2180"/>
      <c r="BO78" s="2180"/>
      <c r="BP78" s="2180"/>
      <c r="BQ78" s="2180"/>
      <c r="BR78" s="2180"/>
      <c r="BS78" s="2180"/>
      <c r="BT78" s="2180"/>
      <c r="BU78" s="2180"/>
      <c r="BV78" s="2180"/>
      <c r="BW78" s="2180"/>
      <c r="BX78" s="2180"/>
      <c r="BY78" s="2180"/>
      <c r="BZ78" s="2180"/>
      <c r="CA78" s="2180"/>
      <c r="CB78" s="2180"/>
      <c r="CC78" s="2180"/>
      <c r="CD78" s="2180"/>
      <c r="CE78" s="2180"/>
      <c r="CF78" s="2180"/>
      <c r="CG78" s="2180"/>
      <c r="CH78" s="2180"/>
      <c r="CI78" s="2180"/>
      <c r="CJ78" s="2180"/>
      <c r="CK78" s="2180"/>
      <c r="CL78" s="2180"/>
      <c r="CM78" s="2180"/>
      <c r="CN78" s="2180"/>
      <c r="CO78" s="2180"/>
      <c r="CP78" s="2180"/>
      <c r="CQ78" s="2180"/>
      <c r="CR78" s="2180"/>
      <c r="CS78" s="2180"/>
      <c r="CT78" s="2180"/>
      <c r="CU78" s="2180"/>
      <c r="CV78" s="2180"/>
      <c r="CW78" s="2180"/>
      <c r="CX78" s="2180"/>
      <c r="CY78" s="2180"/>
      <c r="CZ78" s="2180"/>
    </row>
    <row r="79" spans="1:104" hidden="1" outlineLevel="1">
      <c r="A79" s="2320" t="s">
        <v>180</v>
      </c>
      <c r="B79" s="2240"/>
      <c r="C79" s="2256"/>
      <c r="D79" s="2256"/>
      <c r="E79" s="2241">
        <v>0.17649999999999999</v>
      </c>
      <c r="F79" s="2241">
        <v>0.19</v>
      </c>
      <c r="G79" s="2241">
        <v>0.215</v>
      </c>
      <c r="H79" s="2241">
        <v>0.215</v>
      </c>
      <c r="I79" s="2256"/>
      <c r="J79" s="2256"/>
      <c r="K79" s="2296"/>
      <c r="L79" s="2175"/>
      <c r="M79" s="2175"/>
      <c r="N79" s="2175"/>
      <c r="O79" s="2175"/>
      <c r="P79" s="2175"/>
      <c r="Q79" s="2175"/>
      <c r="R79" s="2175"/>
      <c r="S79" s="2175"/>
      <c r="T79" s="2175">
        <v>76</v>
      </c>
      <c r="U79" s="2175"/>
      <c r="V79" s="2175"/>
      <c r="W79" s="2175"/>
      <c r="X79" s="2175"/>
      <c r="Y79" s="2175"/>
      <c r="Z79" s="2175"/>
      <c r="AA79" s="2175"/>
      <c r="AB79" s="2175"/>
      <c r="AC79" s="2175"/>
      <c r="AD79" s="2175"/>
      <c r="AE79" s="2175"/>
      <c r="AF79" s="2175"/>
      <c r="AG79" s="2175"/>
      <c r="AH79" s="2175"/>
      <c r="AI79" s="2175"/>
      <c r="AJ79" s="2175"/>
      <c r="AK79" s="2175"/>
      <c r="AL79" s="2175"/>
      <c r="AM79" s="2175"/>
      <c r="AN79" s="2175"/>
      <c r="AO79" s="2375"/>
      <c r="AP79" s="2175"/>
      <c r="AQ79" s="2175"/>
      <c r="AR79" s="2175"/>
      <c r="AS79" s="2375"/>
      <c r="AT79" s="2175"/>
      <c r="AU79" s="2175"/>
      <c r="AV79" s="2175"/>
      <c r="AW79" s="2376"/>
      <c r="AX79" s="2177"/>
      <c r="AY79" s="2177"/>
      <c r="AZ79" s="2177"/>
      <c r="BA79" s="2174"/>
      <c r="BB79" s="2174"/>
      <c r="BC79" s="2174"/>
      <c r="BD79" s="2174"/>
      <c r="BE79" s="2174"/>
      <c r="BF79" s="2174"/>
      <c r="BG79" s="2174"/>
      <c r="BH79" s="2174"/>
      <c r="BI79" s="2174"/>
      <c r="BJ79" s="2174"/>
      <c r="BK79" s="2174"/>
      <c r="BL79" s="2174"/>
      <c r="BM79" s="2174"/>
      <c r="BN79" s="2174"/>
      <c r="BO79" s="2174"/>
      <c r="BP79" s="2174"/>
      <c r="BQ79" s="2174"/>
      <c r="BR79" s="2174"/>
      <c r="BS79" s="2174"/>
      <c r="BT79" s="2174"/>
      <c r="BU79" s="2174"/>
      <c r="BV79" s="2174"/>
      <c r="BW79" s="2174"/>
      <c r="BX79" s="2174"/>
      <c r="BY79" s="2174"/>
      <c r="BZ79" s="2174"/>
      <c r="CA79" s="2174"/>
      <c r="CB79" s="2174"/>
      <c r="CC79" s="2174"/>
      <c r="CD79" s="2174"/>
      <c r="CE79" s="2174"/>
      <c r="CF79" s="2174"/>
      <c r="CG79" s="2174"/>
      <c r="CH79" s="2174"/>
      <c r="CI79" s="2174"/>
      <c r="CJ79" s="2174"/>
      <c r="CK79" s="2174"/>
      <c r="CL79" s="2174"/>
      <c r="CM79" s="2174"/>
      <c r="CN79" s="2174"/>
      <c r="CO79" s="2174"/>
      <c r="CP79" s="2174"/>
      <c r="CQ79" s="2174"/>
      <c r="CR79" s="2174"/>
      <c r="CS79" s="2174"/>
      <c r="CT79" s="2174"/>
      <c r="CU79" s="2174"/>
      <c r="CV79" s="2174"/>
      <c r="CW79" s="2174"/>
      <c r="CX79" s="2174"/>
      <c r="CY79" s="2174"/>
      <c r="CZ79" s="2174"/>
    </row>
    <row r="80" spans="1:104" s="2512" customFormat="1" hidden="1" outlineLevel="1">
      <c r="A80" s="2503" t="str">
        <f>A69</f>
        <v>SG&amp;A cost</v>
      </c>
      <c r="B80" s="2193">
        <f>B43-B69</f>
        <v>-461.71416056120415</v>
      </c>
      <c r="C80" s="2194">
        <f>C43-C69</f>
        <v>-2065.7286522156878</v>
      </c>
      <c r="D80" s="2194">
        <f>D81*D71</f>
        <v>-4594.8266560502434</v>
      </c>
      <c r="E80" s="2195">
        <f>E43-E69-E112</f>
        <v>-6631.6570344387801</v>
      </c>
      <c r="F80" s="2195">
        <f>F43-F69-F112</f>
        <v>-7127.6506758778305</v>
      </c>
      <c r="G80" s="2195">
        <f>G43-G69-G112</f>
        <v>-8060.7887111319988</v>
      </c>
      <c r="H80" s="2195">
        <f>H43-H69-H112</f>
        <v>-9190.6340449799991</v>
      </c>
      <c r="I80" s="2504"/>
      <c r="J80" s="2504"/>
      <c r="K80" s="2505"/>
      <c r="L80" s="2506"/>
      <c r="M80" s="2506"/>
      <c r="N80" s="2506"/>
      <c r="O80" s="2506"/>
      <c r="P80" s="2506"/>
      <c r="Q80" s="2506"/>
      <c r="R80" s="2506"/>
      <c r="S80" s="2506"/>
      <c r="T80" s="2175">
        <v>77</v>
      </c>
      <c r="U80" s="2506"/>
      <c r="V80" s="2506"/>
      <c r="W80" s="2506"/>
      <c r="X80" s="2506"/>
      <c r="Y80" s="2506"/>
      <c r="Z80" s="2506"/>
      <c r="AA80" s="2506"/>
      <c r="AB80" s="2506"/>
      <c r="AC80" s="2506"/>
      <c r="AD80" s="2506"/>
      <c r="AE80" s="2506"/>
      <c r="AF80" s="2506"/>
      <c r="AG80" s="2506"/>
      <c r="AH80" s="2506"/>
      <c r="AI80" s="2506"/>
      <c r="AJ80" s="2506"/>
      <c r="AK80" s="2506"/>
      <c r="AL80" s="2506"/>
      <c r="AM80" s="2506"/>
      <c r="AN80" s="2506"/>
      <c r="AO80" s="2507"/>
      <c r="AP80" s="2508"/>
      <c r="AQ80" s="2508"/>
      <c r="AR80" s="2508"/>
      <c r="AS80" s="2507"/>
      <c r="AT80" s="2506"/>
      <c r="AU80" s="2506"/>
      <c r="AV80" s="2506"/>
      <c r="AW80" s="2509"/>
      <c r="AX80" s="2510"/>
      <c r="AY80" s="2510"/>
      <c r="AZ80" s="2510"/>
      <c r="BA80" s="2511"/>
      <c r="BB80" s="2511"/>
      <c r="BC80" s="2511"/>
      <c r="BD80" s="2511"/>
      <c r="BE80" s="2511"/>
      <c r="BF80" s="2511"/>
      <c r="BG80" s="2511"/>
      <c r="BH80" s="2511"/>
      <c r="BI80" s="2511"/>
      <c r="BJ80" s="2511"/>
      <c r="BK80" s="2511"/>
      <c r="BL80" s="2511"/>
      <c r="BM80" s="2511"/>
      <c r="BN80" s="2511"/>
      <c r="BO80" s="2511"/>
      <c r="BP80" s="2511"/>
      <c r="BQ80" s="2511"/>
      <c r="BR80" s="2511"/>
      <c r="BS80" s="2511"/>
      <c r="BT80" s="2511"/>
      <c r="BU80" s="2511"/>
      <c r="BV80" s="2511"/>
      <c r="BW80" s="2511"/>
      <c r="BX80" s="2511"/>
      <c r="BY80" s="2511"/>
      <c r="BZ80" s="2511"/>
      <c r="CA80" s="2511"/>
      <c r="CB80" s="2511"/>
      <c r="CC80" s="2511"/>
      <c r="CD80" s="2511"/>
      <c r="CE80" s="2511"/>
      <c r="CF80" s="2511"/>
      <c r="CG80" s="2511"/>
      <c r="CH80" s="2511"/>
      <c r="CI80" s="2511"/>
      <c r="CJ80" s="2511"/>
      <c r="CK80" s="2511"/>
      <c r="CL80" s="2511"/>
      <c r="CM80" s="2511"/>
      <c r="CN80" s="2511"/>
      <c r="CO80" s="2511"/>
      <c r="CP80" s="2511"/>
      <c r="CQ80" s="2511"/>
      <c r="CR80" s="2511"/>
      <c r="CS80" s="2511"/>
      <c r="CT80" s="2511"/>
      <c r="CU80" s="2511"/>
      <c r="CV80" s="2511"/>
      <c r="CW80" s="2511"/>
      <c r="CX80" s="2511"/>
      <c r="CY80" s="2511"/>
      <c r="CZ80" s="2511"/>
    </row>
    <row r="81" spans="1:104" hidden="1" outlineLevel="1">
      <c r="A81" s="2320" t="str">
        <f>A70</f>
        <v>SG&amp;A/REV (%)</v>
      </c>
      <c r="B81" s="2321">
        <f>B80/B71</f>
        <v>-0.10301520762186617</v>
      </c>
      <c r="C81" s="2322">
        <f>C80/C71</f>
        <v>-0.15068412373008153</v>
      </c>
      <c r="D81" s="2322">
        <f>C81</f>
        <v>-0.15068412373008153</v>
      </c>
      <c r="E81" s="2241">
        <f>E80/E71</f>
        <v>-0.13936749072844135</v>
      </c>
      <c r="F81" s="2241">
        <f>F80/F71</f>
        <v>-0.12238554279301903</v>
      </c>
      <c r="G81" s="2241">
        <f>G80/G71</f>
        <v>-0.13958928453901043</v>
      </c>
      <c r="H81" s="2241">
        <f>H80/H71</f>
        <v>-0.14656102952705991</v>
      </c>
      <c r="I81" s="2256"/>
      <c r="J81" s="2256"/>
      <c r="K81" s="2296"/>
      <c r="L81" s="2175"/>
      <c r="M81" s="2175"/>
      <c r="N81" s="2175"/>
      <c r="O81" s="2175"/>
      <c r="P81" s="2175"/>
      <c r="Q81" s="2175"/>
      <c r="R81" s="2175"/>
      <c r="S81" s="2175"/>
      <c r="T81" s="2175">
        <v>78</v>
      </c>
      <c r="U81" s="2175"/>
      <c r="V81" s="2175"/>
      <c r="W81" s="2175"/>
      <c r="X81" s="2175"/>
      <c r="Y81" s="2175"/>
      <c r="Z81" s="2175"/>
      <c r="AA81" s="2175"/>
      <c r="AB81" s="2175"/>
      <c r="AC81" s="2436">
        <f>AQ84/AC84-1</f>
        <v>0.69249632172633646</v>
      </c>
      <c r="AD81" s="2175"/>
      <c r="AE81" s="2175"/>
      <c r="AF81" s="2175"/>
      <c r="AG81" s="2175"/>
      <c r="AH81" s="2175"/>
      <c r="AI81" s="2175"/>
      <c r="AJ81" s="2175"/>
      <c r="AK81" s="2175">
        <f>AK82/AK6</f>
        <v>0.80985237626016693</v>
      </c>
      <c r="AL81" s="2175"/>
      <c r="AM81" s="2175"/>
      <c r="AN81" s="2175"/>
      <c r="AO81" s="2375">
        <f ca="1">AO82/AO6</f>
        <v>0.73653495825029902</v>
      </c>
      <c r="AP81" s="2175"/>
      <c r="AQ81" s="2175"/>
      <c r="AR81" s="2175">
        <f>AR84/AK84-1</f>
        <v>5.5214723926380271E-2</v>
      </c>
      <c r="AS81" s="2375"/>
      <c r="AT81" s="2175"/>
      <c r="AU81" s="2175"/>
      <c r="AV81" s="2175"/>
      <c r="AW81" s="2376"/>
      <c r="AX81" s="2177"/>
      <c r="AY81" s="2177"/>
      <c r="AZ81" s="2177"/>
      <c r="BA81" s="2174"/>
      <c r="BB81" s="2174"/>
      <c r="BC81" s="2174"/>
      <c r="BD81" s="2174"/>
      <c r="BE81" s="2174"/>
      <c r="BF81" s="2174"/>
      <c r="BG81" s="2174"/>
      <c r="BH81" s="2174"/>
      <c r="BI81" s="2174"/>
      <c r="BJ81" s="2174"/>
      <c r="BK81" s="2174"/>
      <c r="BL81" s="2174"/>
      <c r="BM81" s="2174"/>
      <c r="BN81" s="2174"/>
      <c r="BO81" s="2174"/>
      <c r="BP81" s="2174"/>
      <c r="BQ81" s="2174"/>
      <c r="BR81" s="2174"/>
      <c r="BS81" s="2174"/>
      <c r="BT81" s="2174"/>
      <c r="BU81" s="2174"/>
      <c r="BV81" s="2174"/>
      <c r="BW81" s="2174"/>
      <c r="BX81" s="2174"/>
      <c r="BY81" s="2174"/>
      <c r="BZ81" s="2174"/>
      <c r="CA81" s="2174"/>
      <c r="CB81" s="2174"/>
      <c r="CC81" s="2174"/>
      <c r="CD81" s="2174"/>
      <c r="CE81" s="2174"/>
      <c r="CF81" s="2174"/>
      <c r="CG81" s="2174"/>
      <c r="CH81" s="2174"/>
      <c r="CI81" s="2174"/>
      <c r="CJ81" s="2174"/>
      <c r="CK81" s="2174"/>
      <c r="CL81" s="2174"/>
      <c r="CM81" s="2174"/>
      <c r="CN81" s="2174"/>
      <c r="CO81" s="2174"/>
      <c r="CP81" s="2174"/>
      <c r="CQ81" s="2174"/>
      <c r="CR81" s="2174"/>
      <c r="CS81" s="2174"/>
      <c r="CT81" s="2174"/>
      <c r="CU81" s="2174"/>
      <c r="CV81" s="2174"/>
      <c r="CW81" s="2174"/>
      <c r="CX81" s="2174"/>
      <c r="CY81" s="2174"/>
      <c r="CZ81" s="2174"/>
    </row>
    <row r="82" spans="1:104" s="2231" customFormat="1" collapsed="1">
      <c r="A82" s="2217" t="s">
        <v>181</v>
      </c>
      <c r="B82" s="2218">
        <f t="shared" ref="B82:H82" si="421">B71+B59</f>
        <v>25251</v>
      </c>
      <c r="C82" s="2219">
        <f t="shared" si="421"/>
        <v>44364.33</v>
      </c>
      <c r="D82" s="2219">
        <f t="shared" si="421"/>
        <v>65201.103999999999</v>
      </c>
      <c r="E82" s="2220">
        <f t="shared" si="421"/>
        <v>82190.475500000015</v>
      </c>
      <c r="F82" s="2220">
        <f t="shared" si="421"/>
        <v>91445.948359167087</v>
      </c>
      <c r="G82" s="2220">
        <f t="shared" si="421"/>
        <v>87270.983999999997</v>
      </c>
      <c r="H82" s="2220">
        <f t="shared" si="421"/>
        <v>94308.786000000007</v>
      </c>
      <c r="I82" s="2221">
        <f ca="1">I59+I71</f>
        <v>103655.51172900001</v>
      </c>
      <c r="J82" s="2221">
        <f ca="1">J59+J71</f>
        <v>83505.679999999993</v>
      </c>
      <c r="K82" s="2222">
        <f ca="1">K59+K71</f>
        <v>90798.886168975005</v>
      </c>
      <c r="L82" s="2223">
        <f ca="1">SUMIF($AG$1:BH$1,L$5,$AG82:BH82)</f>
        <v>107657.81840730226</v>
      </c>
      <c r="M82" s="2223">
        <f ca="1">SUMIF($AG$1:BI$1,M$5,$AG82:BI82)</f>
        <v>120831.54694497708</v>
      </c>
      <c r="N82" s="2223">
        <f ca="1">SUMIF($AG$1:CJ$1,N$5,$AG82:CJ82)</f>
        <v>134299.45968768513</v>
      </c>
      <c r="O82" s="2223">
        <f ca="1">SUMIF($AG$1:CK$1,O$5,$AG82:CK82)</f>
        <v>149294.07312667032</v>
      </c>
      <c r="P82" s="2223">
        <f ca="1">SUMIF($AG$1:CL$1,P$5,$AG82:CL82)</f>
        <v>160937.01983309365</v>
      </c>
      <c r="Q82" s="2223">
        <f ca="1">SUMIF($AG$1:CM$1,Q$5,$AG82:CM82)</f>
        <v>173400.57990804347</v>
      </c>
      <c r="R82" s="2223"/>
      <c r="S82" s="2223">
        <f>S6*0.6</f>
        <v>90000</v>
      </c>
      <c r="T82" s="2224">
        <v>79</v>
      </c>
      <c r="U82" s="2225"/>
      <c r="V82" s="2225"/>
      <c r="W82" s="2225"/>
      <c r="X82" s="2225">
        <f>SUM(X8,X15)</f>
        <v>19564.475500000015</v>
      </c>
      <c r="Y82" s="2225">
        <f>SUM(Y8,Y15)</f>
        <v>23390.895000000004</v>
      </c>
      <c r="Z82" s="2225">
        <f>SUM(Z8,Z15)</f>
        <v>24249.671999999999</v>
      </c>
      <c r="AA82" s="2225">
        <f t="shared" ref="AA82:AK82" si="422">SUM(AA8,AA15)</f>
        <v>21983.473999999995</v>
      </c>
      <c r="AB82" s="2225">
        <f t="shared" si="422"/>
        <v>21821.688999999998</v>
      </c>
      <c r="AC82" s="2225">
        <f t="shared" si="422"/>
        <v>24861.991000000002</v>
      </c>
      <c r="AD82" s="2225">
        <f t="shared" si="422"/>
        <v>21318.378999999994</v>
      </c>
      <c r="AE82" s="2225">
        <f t="shared" si="422"/>
        <v>20040.15800000001</v>
      </c>
      <c r="AF82" s="2225">
        <f t="shared" si="422"/>
        <v>21050.455999999998</v>
      </c>
      <c r="AG82" s="2225">
        <f t="shared" si="422"/>
        <v>24877.389000000003</v>
      </c>
      <c r="AH82" s="2225">
        <f t="shared" si="422"/>
        <v>24049.931999999993</v>
      </c>
      <c r="AI82" s="2225">
        <f>SUM(AI8,AI15)</f>
        <v>14972.199000000004</v>
      </c>
      <c r="AJ82" s="2225">
        <f t="shared" si="422"/>
        <v>30409.266000000003</v>
      </c>
      <c r="AK82" s="2225">
        <f t="shared" si="422"/>
        <v>29818.095463204831</v>
      </c>
      <c r="AL82" s="2225">
        <f>SUM(AL8,AL15)</f>
        <v>26660.748191273553</v>
      </c>
      <c r="AM82" s="2225">
        <f ca="1">SUM(AM8,AM15)</f>
        <v>23050.733218611182</v>
      </c>
      <c r="AN82" s="2225">
        <f ca="1">SUM(AN8,AN15)</f>
        <v>21522.736142550006</v>
      </c>
      <c r="AO82" s="2226">
        <f t="shared" ref="AO82:AW82" ca="1" si="423">AO20</f>
        <v>19945.61</v>
      </c>
      <c r="AP82" s="2227">
        <f t="shared" ca="1" si="423"/>
        <v>21633.34</v>
      </c>
      <c r="AQ82" s="2227">
        <f t="shared" ca="1" si="423"/>
        <v>20644.035045759207</v>
      </c>
      <c r="AR82" s="2227">
        <f t="shared" ca="1" si="423"/>
        <v>21141.636000000002</v>
      </c>
      <c r="AS82" s="2226">
        <f t="shared" ca="1" si="423"/>
        <v>21347.840220000002</v>
      </c>
      <c r="AT82" s="2225">
        <f t="shared" ca="1" si="423"/>
        <v>22946.334779999997</v>
      </c>
      <c r="AU82" s="2225">
        <f t="shared" ca="1" si="423"/>
        <v>22449.947999999997</v>
      </c>
      <c r="AV82" s="2225">
        <f t="shared" ca="1" si="423"/>
        <v>24054.763168975012</v>
      </c>
      <c r="AW82" s="2228">
        <f t="shared" ca="1" si="423"/>
        <v>24282.692057036445</v>
      </c>
      <c r="AX82" s="2229">
        <f t="shared" ref="AX82" si="424">AX20</f>
        <v>25111.154322983559</v>
      </c>
      <c r="AY82" s="2229">
        <f ca="1">AY20</f>
        <v>27062.017619979997</v>
      </c>
      <c r="AZ82" s="2229">
        <f ca="1">AZ20</f>
        <v>31201.954407302259</v>
      </c>
      <c r="BA82" s="2230">
        <f ca="1">BA20</f>
        <v>26255.03056400027</v>
      </c>
      <c r="BB82" s="2230">
        <f t="shared" ref="BB82" si="425">BB20</f>
        <v>28475.110084820379</v>
      </c>
      <c r="BC82" s="2230">
        <f ca="1">BC20</f>
        <v>30701.772124716772</v>
      </c>
      <c r="BD82" s="2230">
        <f ca="1">BD20</f>
        <v>35399.634171439655</v>
      </c>
      <c r="BE82" s="2230">
        <f ca="1">BE20</f>
        <v>29178.405581814179</v>
      </c>
      <c r="BF82" s="2230">
        <f t="shared" ref="BF82" si="426">BF20</f>
        <v>31665.444097562715</v>
      </c>
      <c r="BG82" s="2230">
        <f ca="1">BG20</f>
        <v>34128.977065892745</v>
      </c>
      <c r="BH82" s="2230">
        <f ca="1">BH20</f>
        <v>39326.632942415483</v>
      </c>
      <c r="BI82" s="2230">
        <f ca="1">BI20</f>
        <v>32433.136236381506</v>
      </c>
      <c r="BJ82" s="2230">
        <f t="shared" ref="BJ82:CN82" si="427">BJ20</f>
        <v>35219.364034902508</v>
      </c>
      <c r="BK82" s="2230">
        <f ca="1">BK20</f>
        <v>37945.021834067818</v>
      </c>
      <c r="BL82" s="2230">
        <f ca="1">BL20</f>
        <v>43696.55102131849</v>
      </c>
      <c r="BM82" s="2230">
        <f ca="1">BM20</f>
        <v>35142.028081496232</v>
      </c>
      <c r="BN82" s="2230">
        <f t="shared" si="427"/>
        <v>37995.186277422792</v>
      </c>
      <c r="BO82" s="2230">
        <f ca="1">BO20</f>
        <v>40856.338090201971</v>
      </c>
      <c r="BP82" s="2230">
        <f ca="1">BP20</f>
        <v>46943.467383972667</v>
      </c>
      <c r="BQ82" s="2230">
        <f ca="1">BQ20</f>
        <v>37860.688973838165</v>
      </c>
      <c r="BR82" s="2230">
        <f t="shared" si="427"/>
        <v>41026.207319366004</v>
      </c>
      <c r="BS82" s="2230">
        <f ca="1">BS20</f>
        <v>44032.290394131371</v>
      </c>
      <c r="BT82" s="2230">
        <f ca="1">BT20</f>
        <v>50481.393220707942</v>
      </c>
      <c r="BU82" s="2230">
        <f ca="1">BU20</f>
        <v>40827.349697940059</v>
      </c>
      <c r="BV82" s="2230">
        <f t="shared" si="427"/>
        <v>44337.275537929563</v>
      </c>
      <c r="BW82" s="2230">
        <f ca="1">BW20</f>
        <v>47498.547483300979</v>
      </c>
      <c r="BX82" s="2230">
        <f ca="1">BX20</f>
        <v>54338.419014066872</v>
      </c>
      <c r="BY82" s="2230">
        <f ca="1">BY20</f>
        <v>44066.094249253685</v>
      </c>
      <c r="BZ82" s="2230">
        <f t="shared" si="427"/>
        <v>47955.704002948296</v>
      </c>
      <c r="CA82" s="2230">
        <f ca="1">CA20</f>
        <v>51283.321122880254</v>
      </c>
      <c r="CB82" s="2230">
        <f ca="1">CB20</f>
        <v>58545.413980900354</v>
      </c>
      <c r="CC82" s="2230">
        <f t="shared" si="427"/>
        <v>0</v>
      </c>
      <c r="CD82" s="2230">
        <f t="shared" si="427"/>
        <v>0</v>
      </c>
      <c r="CE82" s="2230">
        <f t="shared" si="427"/>
        <v>0</v>
      </c>
      <c r="CF82" s="2230">
        <f t="shared" si="427"/>
        <v>0</v>
      </c>
      <c r="CG82" s="2230">
        <f t="shared" si="427"/>
        <v>0</v>
      </c>
      <c r="CH82" s="2230">
        <f t="shared" si="427"/>
        <v>0</v>
      </c>
      <c r="CI82" s="2230">
        <f t="shared" si="427"/>
        <v>0</v>
      </c>
      <c r="CJ82" s="2230">
        <f t="shared" si="427"/>
        <v>0</v>
      </c>
      <c r="CK82" s="2230">
        <f t="shared" si="427"/>
        <v>0</v>
      </c>
      <c r="CL82" s="2230">
        <f t="shared" si="427"/>
        <v>0</v>
      </c>
      <c r="CM82" s="2230">
        <f t="shared" si="427"/>
        <v>0</v>
      </c>
      <c r="CN82" s="2230">
        <f t="shared" si="427"/>
        <v>0</v>
      </c>
      <c r="CO82" s="2230">
        <f t="shared" ref="CO82:CZ82" si="428">CO20</f>
        <v>0</v>
      </c>
      <c r="CP82" s="2230">
        <f t="shared" si="428"/>
        <v>0</v>
      </c>
      <c r="CQ82" s="2230">
        <f t="shared" si="428"/>
        <v>0</v>
      </c>
      <c r="CR82" s="2230">
        <f t="shared" si="428"/>
        <v>0</v>
      </c>
      <c r="CS82" s="2230">
        <f t="shared" si="428"/>
        <v>0</v>
      </c>
      <c r="CT82" s="2230">
        <f t="shared" si="428"/>
        <v>0</v>
      </c>
      <c r="CU82" s="2230">
        <f t="shared" si="428"/>
        <v>0</v>
      </c>
      <c r="CV82" s="2230">
        <f t="shared" si="428"/>
        <v>0</v>
      </c>
      <c r="CW82" s="2230">
        <f t="shared" si="428"/>
        <v>0</v>
      </c>
      <c r="CX82" s="2230">
        <f t="shared" si="428"/>
        <v>0</v>
      </c>
      <c r="CY82" s="2230">
        <f t="shared" si="428"/>
        <v>0</v>
      </c>
      <c r="CZ82" s="2230">
        <f t="shared" si="428"/>
        <v>0</v>
      </c>
    </row>
    <row r="83" spans="1:104" s="2255" customFormat="1">
      <c r="A83" s="2513" t="s">
        <v>31</v>
      </c>
      <c r="B83" s="2205">
        <f t="shared" ref="B83:I83" si="429">B22</f>
        <v>0</v>
      </c>
      <c r="C83" s="2206">
        <f t="shared" si="429"/>
        <v>0.7569335867886422</v>
      </c>
      <c r="D83" s="2206">
        <f t="shared" si="429"/>
        <v>0.46967403767846827</v>
      </c>
      <c r="E83" s="2207">
        <f t="shared" si="429"/>
        <v>0.26056877043063587</v>
      </c>
      <c r="F83" s="2207">
        <f t="shared" si="429"/>
        <v>0.11261004152685627</v>
      </c>
      <c r="G83" s="2207">
        <f t="shared" si="429"/>
        <v>-4.5654995481804406E-2</v>
      </c>
      <c r="H83" s="2207">
        <f t="shared" si="429"/>
        <v>8.0643092095764812E-2</v>
      </c>
      <c r="I83" s="2207">
        <f t="shared" ca="1" si="429"/>
        <v>9.9107687898771113E-2</v>
      </c>
      <c r="J83" s="2207">
        <f t="shared" ref="J83:Q83" ca="1" si="430">J82/I82-1</f>
        <v>-0.19439228452877955</v>
      </c>
      <c r="K83" s="2208">
        <f t="shared" ca="1" si="430"/>
        <v>8.7337845389379609E-2</v>
      </c>
      <c r="L83" s="2514">
        <f t="shared" ca="1" si="430"/>
        <v>0.18567333752258919</v>
      </c>
      <c r="M83" s="2514">
        <f t="shared" ca="1" si="430"/>
        <v>0.12236666813955499</v>
      </c>
      <c r="N83" s="2514">
        <f t="shared" ca="1" si="430"/>
        <v>0.111460236032904</v>
      </c>
      <c r="O83" s="2514">
        <f t="shared" ca="1" si="430"/>
        <v>0.11165058648676118</v>
      </c>
      <c r="P83" s="2514">
        <f t="shared" ca="1" si="430"/>
        <v>7.7986663921646437E-2</v>
      </c>
      <c r="Q83" s="2514">
        <f t="shared" ca="1" si="430"/>
        <v>7.7443711135422255E-2</v>
      </c>
      <c r="R83" s="2250"/>
      <c r="S83" s="2250"/>
      <c r="T83" s="2175">
        <v>80</v>
      </c>
      <c r="U83" s="2250"/>
      <c r="V83" s="2250"/>
      <c r="W83" s="2250"/>
      <c r="X83" s="2250"/>
      <c r="Y83" s="2250"/>
      <c r="Z83" s="2514" t="e">
        <f t="shared" ref="Z83:AJ83" si="431">Z82/V82-1</f>
        <v>#DIV/0!</v>
      </c>
      <c r="AA83" s="2514" t="e">
        <f t="shared" si="431"/>
        <v>#DIV/0!</v>
      </c>
      <c r="AB83" s="2514">
        <f t="shared" si="431"/>
        <v>0.1153730648184248</v>
      </c>
      <c r="AC83" s="2514">
        <f t="shared" si="431"/>
        <v>6.2891821796472458E-2</v>
      </c>
      <c r="AD83" s="2514">
        <f t="shared" si="431"/>
        <v>-0.12087969684703381</v>
      </c>
      <c r="AE83" s="2514">
        <f t="shared" si="431"/>
        <v>-8.8398949137883487E-2</v>
      </c>
      <c r="AF83" s="2514">
        <f t="shared" si="431"/>
        <v>-3.5342498007372436E-2</v>
      </c>
      <c r="AG83" s="2514">
        <f t="shared" si="431"/>
        <v>6.193389740991595E-4</v>
      </c>
      <c r="AH83" s="2514">
        <f t="shared" si="431"/>
        <v>0.12813136495978417</v>
      </c>
      <c r="AI83" s="2514">
        <f t="shared" si="431"/>
        <v>-0.25289017182399476</v>
      </c>
      <c r="AJ83" s="2514">
        <f t="shared" si="431"/>
        <v>0.44458941887054637</v>
      </c>
      <c r="AK83" s="2514">
        <f t="shared" ref="AK83:AL83" si="432">AK82/AG82-1</f>
        <v>0.19860229155096731</v>
      </c>
      <c r="AL83" s="2514">
        <f t="shared" si="432"/>
        <v>0.10855815273297065</v>
      </c>
      <c r="AM83" s="2514">
        <f t="shared" ref="AM83:BA83" ca="1" si="433">AM82/AI82-1</f>
        <v>0.53956898506432993</v>
      </c>
      <c r="AN83" s="2514">
        <f t="shared" ca="1" si="433"/>
        <v>-0.29223098832605809</v>
      </c>
      <c r="AO83" s="2515">
        <f t="shared" ca="1" si="433"/>
        <v>-0.33109041036465114</v>
      </c>
      <c r="AP83" s="2516">
        <f t="shared" ca="1" si="433"/>
        <v>-0.18856965885597676</v>
      </c>
      <c r="AQ83" s="2516">
        <f t="shared" ca="1" si="433"/>
        <v>-0.10440874700284175</v>
      </c>
      <c r="AR83" s="2516">
        <f t="shared" ca="1" si="433"/>
        <v>-1.7706863106339732E-2</v>
      </c>
      <c r="AS83" s="2515">
        <f t="shared" ca="1" si="433"/>
        <v>7.0302699190448514E-2</v>
      </c>
      <c r="AT83" s="2514">
        <f t="shared" ca="1" si="433"/>
        <v>6.0693114424309691E-2</v>
      </c>
      <c r="AU83" s="2514">
        <f t="shared" ca="1" si="433"/>
        <v>8.7478680899244488E-2</v>
      </c>
      <c r="AV83" s="2514">
        <f t="shared" ca="1" si="433"/>
        <v>0.1377910001371232</v>
      </c>
      <c r="AW83" s="2517">
        <f t="shared" ca="1" si="433"/>
        <v>0.1374776936116886</v>
      </c>
      <c r="AX83" s="2518">
        <f t="shared" ca="1" si="433"/>
        <v>9.4342715895107343E-2</v>
      </c>
      <c r="AY83" s="2518">
        <f t="shared" ca="1" si="433"/>
        <v>0.20543787540086966</v>
      </c>
      <c r="AZ83" s="2518">
        <f t="shared" ca="1" si="433"/>
        <v>0.29712166310352384</v>
      </c>
      <c r="BA83" s="2519">
        <f t="shared" ca="1" si="433"/>
        <v>8.1224046424963614E-2</v>
      </c>
      <c r="BB83" s="2519">
        <f t="shared" ref="BB83" si="434">BB82/AX82-1</f>
        <v>0.13396260954670192</v>
      </c>
      <c r="BC83" s="2519">
        <f ca="1">BC82/AY82-1</f>
        <v>0.1344967901450751</v>
      </c>
      <c r="BD83" s="2519">
        <f ca="1">BD82/AZ82-1</f>
        <v>0.13453259079037072</v>
      </c>
      <c r="BE83" s="2519">
        <f ca="1">BE82/BA82-1</f>
        <v>0.11134532906704409</v>
      </c>
      <c r="BF83" s="2519">
        <f t="shared" ref="BF83" si="435">BF82/BB82-1</f>
        <v>0.1120393917087279</v>
      </c>
      <c r="BG83" s="2519">
        <f ca="1">BG82/BC82-1</f>
        <v>0.11162889644460838</v>
      </c>
      <c r="BH83" s="2519">
        <f ca="1">BH82/BD82-1</f>
        <v>0.11093331507205573</v>
      </c>
      <c r="BI83" s="2519">
        <f ca="1">BI82/BE82-1</f>
        <v>0.11154587064194765</v>
      </c>
      <c r="BJ83" s="2519">
        <f t="shared" ref="BJ83" si="436">BJ82/BF82-1</f>
        <v>0.11223338369706726</v>
      </c>
      <c r="BK83" s="2519">
        <f ca="1">BK82/BG82-1</f>
        <v>0.11181245663494233</v>
      </c>
      <c r="BL83" s="2519">
        <f ca="1">BL82/BH82-1</f>
        <v>0.11111854109915065</v>
      </c>
      <c r="BM83" s="2519">
        <f ca="1">BM82/BI82-1</f>
        <v>8.3522352737385175E-2</v>
      </c>
      <c r="BN83" s="2519">
        <f t="shared" ref="BN83" si="437">BN82/BJ82-1</f>
        <v>7.88152290248465E-2</v>
      </c>
      <c r="BO83" s="2519">
        <f ca="1">BO82/BK82-1</f>
        <v>7.6724590352463817E-2</v>
      </c>
      <c r="BP83" s="2519">
        <f ca="1">BP82/BL82-1</f>
        <v>7.4306010125835487E-2</v>
      </c>
      <c r="BQ83" s="2519">
        <f ca="1">BQ82/BM82-1</f>
        <v>7.7362094357138922E-2</v>
      </c>
      <c r="BR83" s="2519">
        <f t="shared" ref="BR83" si="438">BR82/BN82-1</f>
        <v>7.9773817130731617E-2</v>
      </c>
      <c r="BS83" s="2519">
        <f ca="1">BS82/BO82-1</f>
        <v>7.7734629494145668E-2</v>
      </c>
      <c r="BT83" s="2519">
        <f ca="1">BT82/BP82-1</f>
        <v>7.5365669259088053E-2</v>
      </c>
      <c r="BU83" s="2519">
        <f ca="1">BU82/BQ82-1</f>
        <v>7.8357283095187746E-2</v>
      </c>
      <c r="BV83" s="2519">
        <f t="shared" ref="BV83" si="439">BV82/BR82-1</f>
        <v>8.0706173807116866E-2</v>
      </c>
      <c r="BW83" s="2519">
        <f ca="1">BW82/BS82-1</f>
        <v>7.87207991713188E-2</v>
      </c>
      <c r="BX83" s="2519">
        <f ca="1">BX82/BT82-1</f>
        <v>7.6404899850837316E-2</v>
      </c>
      <c r="BY83" s="2519">
        <f ca="1">BY82/BU82-1</f>
        <v>7.93278176338994E-2</v>
      </c>
      <c r="BZ83" s="2519">
        <f t="shared" ref="BZ83" si="440">BZ82/BV82-1</f>
        <v>8.1611430136776075E-2</v>
      </c>
      <c r="CA83" s="2519">
        <f ca="1">CA82/BW82-1</f>
        <v>7.9681881659852571E-2</v>
      </c>
      <c r="CB83" s="2519">
        <f ca="1">CB82/BX82-1</f>
        <v>7.7422108393407463E-2</v>
      </c>
      <c r="CC83" s="2519">
        <f ca="1">CC82/BY82-1</f>
        <v>-1</v>
      </c>
      <c r="CD83" s="2519">
        <f t="shared" ref="CD83" si="441">CD82/BZ82-1</f>
        <v>-1</v>
      </c>
      <c r="CE83" s="2519">
        <f ca="1">CE82/CA82-1</f>
        <v>-1</v>
      </c>
      <c r="CF83" s="2519">
        <f ca="1">CF82/CB82-1</f>
        <v>-1</v>
      </c>
      <c r="CG83" s="2519" t="e">
        <f t="shared" ref="CG83" si="442">CG82/CC82-1</f>
        <v>#DIV/0!</v>
      </c>
      <c r="CH83" s="2519" t="e">
        <f t="shared" ref="CH83" si="443">CH82/CD82-1</f>
        <v>#DIV/0!</v>
      </c>
      <c r="CI83" s="2519" t="e">
        <f t="shared" ref="CI83" si="444">CI82/CE82-1</f>
        <v>#DIV/0!</v>
      </c>
      <c r="CJ83" s="2519" t="e">
        <f t="shared" ref="CJ83" si="445">CJ82/CF82-1</f>
        <v>#DIV/0!</v>
      </c>
      <c r="CK83" s="2519" t="e">
        <f t="shared" ref="CK83" si="446">CK82/CG82-1</f>
        <v>#DIV/0!</v>
      </c>
      <c r="CL83" s="2519" t="e">
        <f t="shared" ref="CL83" si="447">CL82/CH82-1</f>
        <v>#DIV/0!</v>
      </c>
      <c r="CM83" s="2519" t="e">
        <f t="shared" ref="CM83" si="448">CM82/CI82-1</f>
        <v>#DIV/0!</v>
      </c>
      <c r="CN83" s="2519" t="e">
        <f t="shared" ref="CN83" si="449">CN82/CJ82-1</f>
        <v>#DIV/0!</v>
      </c>
      <c r="CO83" s="2519" t="e">
        <f t="shared" ref="CO83" si="450">CO82/CK82-1</f>
        <v>#DIV/0!</v>
      </c>
      <c r="CP83" s="2519" t="e">
        <f t="shared" ref="CP83" si="451">CP82/CL82-1</f>
        <v>#DIV/0!</v>
      </c>
      <c r="CQ83" s="2519" t="e">
        <f t="shared" ref="CQ83" si="452">CQ82/CM82-1</f>
        <v>#DIV/0!</v>
      </c>
      <c r="CR83" s="2519" t="e">
        <f t="shared" ref="CR83" si="453">CR82/CN82-1</f>
        <v>#DIV/0!</v>
      </c>
      <c r="CS83" s="2519" t="e">
        <f t="shared" ref="CS83" si="454">CS82/CO82-1</f>
        <v>#DIV/0!</v>
      </c>
      <c r="CT83" s="2519" t="e">
        <f t="shared" ref="CT83" si="455">CT82/CP82-1</f>
        <v>#DIV/0!</v>
      </c>
      <c r="CU83" s="2519" t="e">
        <f t="shared" ref="CU83" si="456">CU82/CQ82-1</f>
        <v>#DIV/0!</v>
      </c>
      <c r="CV83" s="2519" t="e">
        <f t="shared" ref="CV83" si="457">CV82/CR82-1</f>
        <v>#DIV/0!</v>
      </c>
      <c r="CW83" s="2519" t="e">
        <f t="shared" ref="CW83" si="458">CW82/CS82-1</f>
        <v>#DIV/0!</v>
      </c>
      <c r="CX83" s="2519" t="e">
        <f t="shared" ref="CX83" si="459">CX82/CT82-1</f>
        <v>#DIV/0!</v>
      </c>
      <c r="CY83" s="2519" t="e">
        <f t="shared" ref="CY83" si="460">CY82/CU82-1</f>
        <v>#DIV/0!</v>
      </c>
      <c r="CZ83" s="2519" t="e">
        <f t="shared" ref="CZ83" si="461">CZ82/CV82-1</f>
        <v>#DIV/0!</v>
      </c>
    </row>
    <row r="84" spans="1:104" s="2255" customFormat="1">
      <c r="A84" s="2513"/>
      <c r="B84" s="2205"/>
      <c r="C84" s="2206"/>
      <c r="D84" s="2206"/>
      <c r="E84" s="2369">
        <f>E76+E64</f>
        <v>1782</v>
      </c>
      <c r="F84" s="2369">
        <f>F76+F64</f>
        <v>2014</v>
      </c>
      <c r="G84" s="2369">
        <f t="shared" ref="G84:Q84" si="462">HLOOKUP(("Q4/"&amp;G5),$S$5:$CA$84,80,FALSE)</f>
        <v>2340</v>
      </c>
      <c r="H84" s="2369">
        <f t="shared" si="462"/>
        <v>2962</v>
      </c>
      <c r="I84" s="2369">
        <f t="shared" si="462"/>
        <v>3474</v>
      </c>
      <c r="J84" s="2369">
        <f t="shared" si="462"/>
        <v>3268</v>
      </c>
      <c r="K84" s="2520">
        <f t="shared" si="462"/>
        <v>3047</v>
      </c>
      <c r="L84" s="2521">
        <f t="shared" si="462"/>
        <v>3029</v>
      </c>
      <c r="M84" s="2521">
        <f t="shared" si="462"/>
        <v>3029</v>
      </c>
      <c r="N84" s="2521">
        <f t="shared" si="462"/>
        <v>3029</v>
      </c>
      <c r="O84" s="2369">
        <f t="shared" si="462"/>
        <v>3029</v>
      </c>
      <c r="P84" s="2369">
        <f t="shared" si="462"/>
        <v>3029</v>
      </c>
      <c r="Q84" s="2369">
        <f t="shared" si="462"/>
        <v>3029</v>
      </c>
      <c r="R84" s="2250"/>
      <c r="S84" s="2250"/>
      <c r="T84" s="2175">
        <v>81</v>
      </c>
      <c r="U84" s="2250"/>
      <c r="V84" s="2250"/>
      <c r="W84" s="2250"/>
      <c r="X84" s="2250"/>
      <c r="Y84" s="2250"/>
      <c r="Z84" s="2250"/>
      <c r="AA84" s="2250"/>
      <c r="AB84" s="2250"/>
      <c r="AC84" s="2250">
        <f>AC64+AC76</f>
        <v>2039</v>
      </c>
      <c r="AD84" s="2250">
        <f>AD64+AD76</f>
        <v>2015</v>
      </c>
      <c r="AE84" s="2250">
        <f t="shared" ref="AE84:AT84" si="463">AE64+AE76</f>
        <v>2086</v>
      </c>
      <c r="AF84" s="2250">
        <f t="shared" si="463"/>
        <v>2340</v>
      </c>
      <c r="AG84" s="2250">
        <f t="shared" si="463"/>
        <v>2462</v>
      </c>
      <c r="AH84" s="2250">
        <f t="shared" si="463"/>
        <v>2667</v>
      </c>
      <c r="AI84" s="2250">
        <f t="shared" si="463"/>
        <v>2731</v>
      </c>
      <c r="AJ84" s="2250">
        <f t="shared" si="463"/>
        <v>2962</v>
      </c>
      <c r="AK84" s="2250">
        <f t="shared" si="463"/>
        <v>3097</v>
      </c>
      <c r="AL84" s="2250">
        <f t="shared" si="463"/>
        <v>3198</v>
      </c>
      <c r="AM84" s="2250">
        <f t="shared" si="463"/>
        <v>3362</v>
      </c>
      <c r="AN84" s="2250">
        <f t="shared" si="463"/>
        <v>3474</v>
      </c>
      <c r="AO84" s="2250">
        <f>AO64+AO76</f>
        <v>3479</v>
      </c>
      <c r="AP84" s="2250">
        <f t="shared" si="463"/>
        <v>3469</v>
      </c>
      <c r="AQ84" s="2250">
        <f t="shared" si="463"/>
        <v>3451</v>
      </c>
      <c r="AR84" s="2250">
        <f>AR64+AR76</f>
        <v>3268</v>
      </c>
      <c r="AS84" s="2251">
        <f t="shared" si="463"/>
        <v>3255</v>
      </c>
      <c r="AT84" s="2250">
        <f t="shared" si="463"/>
        <v>3136</v>
      </c>
      <c r="AU84" s="2250">
        <f t="shared" ref="AU84:BA84" si="464">AU64+AU76</f>
        <v>3053</v>
      </c>
      <c r="AV84" s="2250">
        <f t="shared" si="464"/>
        <v>3047</v>
      </c>
      <c r="AW84" s="2252">
        <f t="shared" si="464"/>
        <v>3044</v>
      </c>
      <c r="AX84" s="2253">
        <f t="shared" si="464"/>
        <v>3038</v>
      </c>
      <c r="AY84" s="2253">
        <f t="shared" si="464"/>
        <v>3031</v>
      </c>
      <c r="AZ84" s="2253">
        <f t="shared" si="464"/>
        <v>3029</v>
      </c>
      <c r="BA84" s="2254">
        <f t="shared" si="464"/>
        <v>3029</v>
      </c>
      <c r="BB84" s="2254">
        <f t="shared" ref="BB84" si="465">BB64+BB76</f>
        <v>3029</v>
      </c>
      <c r="BC84" s="2254">
        <f t="shared" ref="BC84:BH84" si="466">BC64+BC76</f>
        <v>3029</v>
      </c>
      <c r="BD84" s="2254">
        <f t="shared" si="466"/>
        <v>3029</v>
      </c>
      <c r="BE84" s="2254">
        <f t="shared" si="466"/>
        <v>3029</v>
      </c>
      <c r="BF84" s="2254">
        <f t="shared" si="466"/>
        <v>3029</v>
      </c>
      <c r="BG84" s="2254">
        <f t="shared" si="466"/>
        <v>3029</v>
      </c>
      <c r="BH84" s="2254">
        <f t="shared" si="466"/>
        <v>3029</v>
      </c>
      <c r="BI84" s="2254">
        <f t="shared" ref="BI84:CN84" si="467">BI64+BI76</f>
        <v>3029</v>
      </c>
      <c r="BJ84" s="2254">
        <f t="shared" si="467"/>
        <v>3029</v>
      </c>
      <c r="BK84" s="2254">
        <f t="shared" si="467"/>
        <v>3029</v>
      </c>
      <c r="BL84" s="2254">
        <f t="shared" si="467"/>
        <v>3029</v>
      </c>
      <c r="BM84" s="2254">
        <f t="shared" si="467"/>
        <v>3029</v>
      </c>
      <c r="BN84" s="2254">
        <f t="shared" si="467"/>
        <v>3029</v>
      </c>
      <c r="BO84" s="2254">
        <f t="shared" si="467"/>
        <v>3029</v>
      </c>
      <c r="BP84" s="2254">
        <f t="shared" si="467"/>
        <v>3029</v>
      </c>
      <c r="BQ84" s="2254">
        <f t="shared" si="467"/>
        <v>3029</v>
      </c>
      <c r="BR84" s="2254">
        <f t="shared" si="467"/>
        <v>3029</v>
      </c>
      <c r="BS84" s="2254">
        <f t="shared" si="467"/>
        <v>3029</v>
      </c>
      <c r="BT84" s="2254">
        <f t="shared" si="467"/>
        <v>3029</v>
      </c>
      <c r="BU84" s="2254">
        <f t="shared" si="467"/>
        <v>3029</v>
      </c>
      <c r="BV84" s="2254">
        <f t="shared" si="467"/>
        <v>3029</v>
      </c>
      <c r="BW84" s="2254">
        <f t="shared" si="467"/>
        <v>3029</v>
      </c>
      <c r="BX84" s="2254">
        <f t="shared" si="467"/>
        <v>3029</v>
      </c>
      <c r="BY84" s="2254">
        <f t="shared" si="467"/>
        <v>3029</v>
      </c>
      <c r="BZ84" s="2254">
        <f t="shared" si="467"/>
        <v>3029</v>
      </c>
      <c r="CA84" s="2254">
        <f t="shared" si="467"/>
        <v>3029</v>
      </c>
      <c r="CB84" s="2254">
        <f t="shared" si="467"/>
        <v>3029</v>
      </c>
      <c r="CC84" s="2254" t="e">
        <f t="shared" si="467"/>
        <v>#N/A</v>
      </c>
      <c r="CD84" s="2254" t="e">
        <f t="shared" si="467"/>
        <v>#N/A</v>
      </c>
      <c r="CE84" s="2254" t="e">
        <f t="shared" si="467"/>
        <v>#N/A</v>
      </c>
      <c r="CF84" s="2254" t="e">
        <f t="shared" si="467"/>
        <v>#N/A</v>
      </c>
      <c r="CG84" s="2254" t="e">
        <f t="shared" si="467"/>
        <v>#N/A</v>
      </c>
      <c r="CH84" s="2254" t="e">
        <f t="shared" si="467"/>
        <v>#N/A</v>
      </c>
      <c r="CI84" s="2254" t="e">
        <f t="shared" si="467"/>
        <v>#N/A</v>
      </c>
      <c r="CJ84" s="2254" t="e">
        <f t="shared" si="467"/>
        <v>#N/A</v>
      </c>
      <c r="CK84" s="2254" t="e">
        <f t="shared" si="467"/>
        <v>#N/A</v>
      </c>
      <c r="CL84" s="2254" t="e">
        <f t="shared" si="467"/>
        <v>#N/A</v>
      </c>
      <c r="CM84" s="2254" t="e">
        <f t="shared" si="467"/>
        <v>#N/A</v>
      </c>
      <c r="CN84" s="2254" t="e">
        <f t="shared" si="467"/>
        <v>#N/A</v>
      </c>
      <c r="CO84" s="2254" t="e">
        <f t="shared" ref="CO84:CZ84" si="468">CO64+CO76</f>
        <v>#N/A</v>
      </c>
      <c r="CP84" s="2254" t="e">
        <f t="shared" si="468"/>
        <v>#N/A</v>
      </c>
      <c r="CQ84" s="2254" t="e">
        <f t="shared" si="468"/>
        <v>#N/A</v>
      </c>
      <c r="CR84" s="2254" t="e">
        <f t="shared" si="468"/>
        <v>#N/A</v>
      </c>
      <c r="CS84" s="2254" t="e">
        <f t="shared" si="468"/>
        <v>#N/A</v>
      </c>
      <c r="CT84" s="2254" t="e">
        <f t="shared" si="468"/>
        <v>#N/A</v>
      </c>
      <c r="CU84" s="2254" t="e">
        <f t="shared" si="468"/>
        <v>#N/A</v>
      </c>
      <c r="CV84" s="2254" t="e">
        <f t="shared" si="468"/>
        <v>#N/A</v>
      </c>
      <c r="CW84" s="2254" t="e">
        <f t="shared" si="468"/>
        <v>#N/A</v>
      </c>
      <c r="CX84" s="2254" t="e">
        <f t="shared" si="468"/>
        <v>#N/A</v>
      </c>
      <c r="CY84" s="2254" t="e">
        <f t="shared" si="468"/>
        <v>#N/A</v>
      </c>
      <c r="CZ84" s="2254" t="e">
        <f t="shared" si="468"/>
        <v>#N/A</v>
      </c>
    </row>
    <row r="85" spans="1:104" s="2255" customFormat="1">
      <c r="A85" s="2513"/>
      <c r="B85" s="2205"/>
      <c r="C85" s="2206"/>
      <c r="D85" s="2206"/>
      <c r="E85" s="2369"/>
      <c r="F85" s="2522">
        <f t="shared" ref="F85:Q85" si="469">F82/AVERAGE(E84:F84)/12</f>
        <v>4.0150135387762154</v>
      </c>
      <c r="G85" s="2522">
        <f t="shared" si="469"/>
        <v>3.3406440055121727</v>
      </c>
      <c r="H85" s="2522">
        <f t="shared" si="469"/>
        <v>2.9645663900414938</v>
      </c>
      <c r="I85" s="2522">
        <f t="shared" ca="1" si="469"/>
        <v>2.6842633035270356</v>
      </c>
      <c r="J85" s="2522">
        <f t="shared" ca="1" si="469"/>
        <v>2.0643152378127163</v>
      </c>
      <c r="K85" s="2523">
        <f t="shared" ca="1" si="469"/>
        <v>2.3963812660062023</v>
      </c>
      <c r="L85" s="2524">
        <f t="shared" ca="1" si="469"/>
        <v>2.9530891597350846</v>
      </c>
      <c r="M85" s="2524">
        <f t="shared" ca="1" si="469"/>
        <v>3.3242969886920068</v>
      </c>
      <c r="N85" s="2524">
        <f t="shared" ca="1" si="469"/>
        <v>3.6948239156950895</v>
      </c>
      <c r="O85" s="2524">
        <f t="shared" ca="1" si="469"/>
        <v>4.1073531728477581</v>
      </c>
      <c r="P85" s="2524">
        <f t="shared" ca="1" si="469"/>
        <v>4.4276719443461445</v>
      </c>
      <c r="Q85" s="2524">
        <f t="shared" ca="1" si="469"/>
        <v>4.7705672914064996</v>
      </c>
      <c r="R85" s="2250"/>
      <c r="S85" s="2250"/>
      <c r="T85" s="2175">
        <v>82</v>
      </c>
      <c r="U85" s="2250"/>
      <c r="V85" s="2250"/>
      <c r="W85" s="2250"/>
      <c r="X85" s="2250"/>
      <c r="Y85" s="2250"/>
      <c r="Z85" s="2250"/>
      <c r="AA85" s="2250"/>
      <c r="AB85" s="2250"/>
      <c r="AC85" s="2525">
        <f>AC82/AVERAGE(AB84:AC84)/3</f>
        <v>4.0644091875102175</v>
      </c>
      <c r="AD85" s="2525">
        <f>AD82/AVERAGE(AC84:AD84)/3</f>
        <v>3.5057357342542335</v>
      </c>
      <c r="AE85" s="2525">
        <f t="shared" ref="AE85:AL85" si="470">AE82/AVERAGE(AD84:AE84)/3</f>
        <v>3.2577676989352207</v>
      </c>
      <c r="AF85" s="2525">
        <f t="shared" si="470"/>
        <v>3.1707269167043228</v>
      </c>
      <c r="AG85" s="2525">
        <f t="shared" si="470"/>
        <v>3.4537538525614333</v>
      </c>
      <c r="AH85" s="2525">
        <f t="shared" si="470"/>
        <v>3.1260066289725081</v>
      </c>
      <c r="AI85" s="2525">
        <f t="shared" si="470"/>
        <v>1.8491044831419048</v>
      </c>
      <c r="AJ85" s="2525">
        <f t="shared" si="470"/>
        <v>3.5610124714561748</v>
      </c>
      <c r="AK85" s="2525">
        <f t="shared" si="470"/>
        <v>3.2808599288336722</v>
      </c>
      <c r="AL85" s="2525">
        <f t="shared" si="470"/>
        <v>2.8234840552050362</v>
      </c>
      <c r="AM85" s="2525">
        <f t="shared" ref="AM85:AW85" ca="1" si="471">AM82/AVERAGE(AL84:AM84)/3</f>
        <v>2.3425541888832502</v>
      </c>
      <c r="AN85" s="2525">
        <f t="shared" ca="1" si="471"/>
        <v>2.0989600295055593</v>
      </c>
      <c r="AO85" s="2525">
        <f t="shared" ca="1" si="471"/>
        <v>1.9124224555347811</v>
      </c>
      <c r="AP85" s="2525">
        <f t="shared" ca="1" si="471"/>
        <v>2.0757378622145461</v>
      </c>
      <c r="AQ85" s="2525">
        <f t="shared" ca="1" si="471"/>
        <v>1.9888280390904824</v>
      </c>
      <c r="AR85" s="2525">
        <f t="shared" ca="1" si="471"/>
        <v>2.0976966810537285</v>
      </c>
      <c r="AS85" s="2526">
        <f t="shared" ca="1" si="471"/>
        <v>2.1818018519086313</v>
      </c>
      <c r="AT85" s="2527">
        <f t="shared" ca="1" si="471"/>
        <v>2.3936092192145204</v>
      </c>
      <c r="AU85" s="2527">
        <f t="shared" ca="1" si="471"/>
        <v>2.418263370496041</v>
      </c>
      <c r="AV85" s="2525">
        <f t="shared" ca="1" si="471"/>
        <v>2.6289358654617501</v>
      </c>
      <c r="AW85" s="2528">
        <f t="shared" ca="1" si="471"/>
        <v>2.6577674226494223</v>
      </c>
      <c r="AX85" s="2529">
        <f t="shared" ref="AX85" si="472">AX82/AVERAGE(AW84:AX84)/3</f>
        <v>2.7525106130640751</v>
      </c>
      <c r="AY85" s="2529">
        <f ca="1">AY82/AVERAGE(AX84:AY84)/3</f>
        <v>2.9727047421299493</v>
      </c>
      <c r="AZ85" s="2529">
        <f ca="1">AZ82/AVERAGE(AY84:AZ84)/3</f>
        <v>3.4325582406273116</v>
      </c>
      <c r="BA85" s="2530">
        <f ca="1">BA82/AVERAGE(AZ84:BA84)/3</f>
        <v>2.889295759216493</v>
      </c>
      <c r="BB85" s="2530">
        <f t="shared" ref="BB85" si="473">BB82/AVERAGE(BA84:BB84)/3</f>
        <v>3.1336095614416615</v>
      </c>
      <c r="BC85" s="2530">
        <f ca="1">BC82/AVERAGE(BB84:BC84)/3</f>
        <v>3.3786477522523133</v>
      </c>
      <c r="BD85" s="2530">
        <f ca="1">BD82/AVERAGE(BC84:BD84)/3</f>
        <v>3.8956348818575606</v>
      </c>
      <c r="BE85" s="2530">
        <f ca="1">BE82/AVERAGE(BD84:BE84)/3</f>
        <v>3.2110053462984678</v>
      </c>
      <c r="BF85" s="2530">
        <f t="shared" ref="BF85" si="474">BF82/AVERAGE(BE84:BF84)/3</f>
        <v>3.4846972705582391</v>
      </c>
      <c r="BG85" s="2530">
        <f ca="1">BG82/AVERAGE(BF84:BG84)/3</f>
        <v>3.7558024723112955</v>
      </c>
      <c r="BH85" s="2530">
        <f ca="1">BH82/AVERAGE(BG84:BH84)/3</f>
        <v>4.327790573612357</v>
      </c>
      <c r="BI85" s="2530">
        <f ca="1">BI82/AVERAGE(BH84:BI84)/3</f>
        <v>3.5691797332872794</v>
      </c>
      <c r="BJ85" s="2530">
        <f t="shared" ref="BJ85" si="475">BJ82/AVERAGE(BI84:BJ84)/3</f>
        <v>3.8757966363929248</v>
      </c>
      <c r="BK85" s="2530">
        <f ca="1">BK82/AVERAGE(BJ84:BK84)/3</f>
        <v>4.1757479733760112</v>
      </c>
      <c r="BL85" s="2530">
        <f ca="1">BL82/AVERAGE(BK84:BL84)/3</f>
        <v>4.808688348334818</v>
      </c>
      <c r="BM85" s="2530">
        <f ca="1">BM82/AVERAGE(BL84:BM84)/3</f>
        <v>3.8672860219540257</v>
      </c>
      <c r="BN85" s="2530">
        <f t="shared" ref="BN85" si="476">BN82/AVERAGE(BM84:BN84)/3</f>
        <v>4.1812684359439629</v>
      </c>
      <c r="BO85" s="2530">
        <f ca="1">BO82/AVERAGE(BN84:BO84)/3</f>
        <v>4.4961305260484172</v>
      </c>
      <c r="BP85" s="2530">
        <f ca="1">BP82/AVERAGE(BO84:BP84)/3</f>
        <v>5.1660027934381718</v>
      </c>
      <c r="BQ85" s="2530">
        <f ca="1">BQ82/AVERAGE(BP84:BQ84)/3</f>
        <v>4.1664673680904771</v>
      </c>
      <c r="BR85" s="2530">
        <f t="shared" ref="BR85" si="477">BR82/AVERAGE(BQ84:BR84)/3</f>
        <v>4.5148241795274577</v>
      </c>
      <c r="BS85" s="2530">
        <f ca="1">BS82/AVERAGE(BR84:BS84)/3</f>
        <v>4.8456355666481095</v>
      </c>
      <c r="BT85" s="2530">
        <f ca="1">BT82/AVERAGE(BS84:BT84)/3</f>
        <v>5.5553420513599585</v>
      </c>
      <c r="BU85" s="2530">
        <f ca="1">BU82/AVERAGE(BT84:BU84)/3</f>
        <v>4.4929404311588046</v>
      </c>
      <c r="BV85" s="2530">
        <f t="shared" ref="BV85" si="478">BV82/AVERAGE(BU84:BV84)/3</f>
        <v>4.8791983644689738</v>
      </c>
      <c r="BW85" s="2530">
        <f ca="1">BW82/AVERAGE(BV84:BW84)/3</f>
        <v>5.2270878709476154</v>
      </c>
      <c r="BX85" s="2530">
        <f ca="1">BX82/AVERAGE(BW84:BX84)/3</f>
        <v>5.9797974044312623</v>
      </c>
      <c r="BY85" s="2530">
        <f ca="1">BY82/AVERAGE(BX84:BY84)/3</f>
        <v>4.8493555903217436</v>
      </c>
      <c r="BZ85" s="2530">
        <f t="shared" ref="BZ85" si="479">BZ82/AVERAGE(BY84:BZ84)/3</f>
        <v>5.2773967209143056</v>
      </c>
      <c r="CA85" s="2530">
        <f ca="1">CA82/AVERAGE(BZ84:CA84)/3</f>
        <v>5.6435920681061136</v>
      </c>
      <c r="CB85" s="2530">
        <f ca="1">CB82/AVERAGE(CA84:CB84)/3</f>
        <v>6.4427659272477555</v>
      </c>
      <c r="CC85" s="2530" t="e">
        <f t="shared" ref="CC85" si="480">CC82/AVERAGE(CB84:CC84)/3</f>
        <v>#N/A</v>
      </c>
      <c r="CD85" s="2530" t="e">
        <f t="shared" ref="CD85" si="481">CD82/AVERAGE(CC84:CD84)/3</f>
        <v>#N/A</v>
      </c>
      <c r="CE85" s="2530" t="e">
        <f t="shared" ref="CE85" si="482">CE82/AVERAGE(CD84:CE84)/3</f>
        <v>#N/A</v>
      </c>
      <c r="CF85" s="2530" t="e">
        <f t="shared" ref="CF85" si="483">CF82/AVERAGE(CE84:CF84)/3</f>
        <v>#N/A</v>
      </c>
      <c r="CG85" s="2530" t="e">
        <f t="shared" ref="CG85" si="484">CG82/AVERAGE(CF84:CG84)/3</f>
        <v>#N/A</v>
      </c>
      <c r="CH85" s="2530" t="e">
        <f t="shared" ref="CH85" si="485">CH82/AVERAGE(CG84:CH84)/3</f>
        <v>#N/A</v>
      </c>
      <c r="CI85" s="2530" t="e">
        <f t="shared" ref="CI85" si="486">CI82/AVERAGE(CH84:CI84)/3</f>
        <v>#N/A</v>
      </c>
      <c r="CJ85" s="2530" t="e">
        <f t="shared" ref="CJ85" si="487">CJ82/AVERAGE(CI84:CJ84)/3</f>
        <v>#N/A</v>
      </c>
      <c r="CK85" s="2530" t="e">
        <f t="shared" ref="CK85" si="488">CK82/AVERAGE(CJ84:CK84)/3</f>
        <v>#N/A</v>
      </c>
      <c r="CL85" s="2530" t="e">
        <f t="shared" ref="CL85" si="489">CL82/AVERAGE(CK84:CL84)/3</f>
        <v>#N/A</v>
      </c>
      <c r="CM85" s="2530" t="e">
        <f t="shared" ref="CM85" si="490">CM82/AVERAGE(CL84:CM84)/3</f>
        <v>#N/A</v>
      </c>
      <c r="CN85" s="2530" t="e">
        <f t="shared" ref="CN85" si="491">CN82/AVERAGE(CM84:CN84)/3</f>
        <v>#N/A</v>
      </c>
      <c r="CO85" s="2530" t="e">
        <f t="shared" ref="CO85" si="492">CO82/AVERAGE(CN84:CO84)/3</f>
        <v>#N/A</v>
      </c>
      <c r="CP85" s="2530" t="e">
        <f t="shared" ref="CP85" si="493">CP82/AVERAGE(CO84:CP84)/3</f>
        <v>#N/A</v>
      </c>
      <c r="CQ85" s="2530" t="e">
        <f t="shared" ref="CQ85" si="494">CQ82/AVERAGE(CP84:CQ84)/3</f>
        <v>#N/A</v>
      </c>
      <c r="CR85" s="2530" t="e">
        <f t="shared" ref="CR85" si="495">CR82/AVERAGE(CQ84:CR84)/3</f>
        <v>#N/A</v>
      </c>
      <c r="CS85" s="2530" t="e">
        <f t="shared" ref="CS85" si="496">CS82/AVERAGE(CR84:CS84)/3</f>
        <v>#N/A</v>
      </c>
      <c r="CT85" s="2530" t="e">
        <f t="shared" ref="CT85" si="497">CT82/AVERAGE(CS84:CT84)/3</f>
        <v>#N/A</v>
      </c>
      <c r="CU85" s="2530" t="e">
        <f t="shared" ref="CU85" si="498">CU82/AVERAGE(CT84:CU84)/3</f>
        <v>#N/A</v>
      </c>
      <c r="CV85" s="2530" t="e">
        <f t="shared" ref="CV85" si="499">CV82/AVERAGE(CU84:CV84)/3</f>
        <v>#N/A</v>
      </c>
      <c r="CW85" s="2530" t="e">
        <f t="shared" ref="CW85" si="500">CW82/AVERAGE(CV84:CW84)/3</f>
        <v>#N/A</v>
      </c>
      <c r="CX85" s="2530" t="e">
        <f t="shared" ref="CX85" si="501">CX82/AVERAGE(CW84:CX84)/3</f>
        <v>#N/A</v>
      </c>
      <c r="CY85" s="2530" t="e">
        <f t="shared" ref="CY85" si="502">CY82/AVERAGE(CX84:CY84)/3</f>
        <v>#N/A</v>
      </c>
      <c r="CZ85" s="2530" t="e">
        <f t="shared" ref="CZ85" si="503">CZ82/AVERAGE(CY84:CZ84)/3</f>
        <v>#N/A</v>
      </c>
    </row>
    <row r="86" spans="1:104" s="2319" customFormat="1" ht="17">
      <c r="A86" s="2531" t="s">
        <v>158</v>
      </c>
      <c r="B86" s="2307">
        <f t="shared" ref="B86:G86" si="504">B34-B110</f>
        <v>3922.430893874</v>
      </c>
      <c r="C86" s="2308">
        <f t="shared" si="504"/>
        <v>7214.1063125620003</v>
      </c>
      <c r="D86" s="2308">
        <f t="shared" si="504"/>
        <v>10977.806466943</v>
      </c>
      <c r="E86" s="2309">
        <f t="shared" si="504"/>
        <v>14621.626515563999</v>
      </c>
      <c r="F86" s="2309">
        <f t="shared" si="504"/>
        <v>17449.423136375375</v>
      </c>
      <c r="G86" s="2309">
        <f t="shared" si="504"/>
        <v>18954.868512462999</v>
      </c>
      <c r="H86" s="2309">
        <f>H34-H110-H28*H186</f>
        <v>20136.751158589639</v>
      </c>
      <c r="I86" s="2309">
        <f ca="1">SUM(AK86:AN86)</f>
        <v>21980.181352288579</v>
      </c>
      <c r="J86" s="2309">
        <f ca="1">SUM(AO86:AR86)</f>
        <v>13955.652177779066</v>
      </c>
      <c r="K86" s="2310">
        <f ca="1">SUM(AS86:AV86)</f>
        <v>16634.170192351001</v>
      </c>
      <c r="L86" s="2311">
        <f ca="1">SUMIF($AG$1:BH$1,L$5,$AG86:BH86)</f>
        <v>19083.766002562406</v>
      </c>
      <c r="M86" s="2311">
        <f ca="1">SUMIF($AG$1:BI$1,M$5,$AG86:BI86)</f>
        <v>21713.030983256496</v>
      </c>
      <c r="N86" s="2311">
        <f ca="1">SUMIF($AG$1:CJ$1,N$5,$AG86:CJ86)</f>
        <v>24201.442340715614</v>
      </c>
      <c r="O86" s="2311">
        <f ca="1">SUMIF($AG$1:CK$1,O$5,$AG86:CK86)</f>
        <v>27351.463917206682</v>
      </c>
      <c r="P86" s="2311">
        <f ca="1">SUMIF($AG$1:CL$1,P$5,$AG86:CL86)</f>
        <v>29486.922885377448</v>
      </c>
      <c r="Q86" s="2311">
        <f ca="1">SUMIF($AG$1:CM$1,Q$5,$AG86:CM86)</f>
        <v>31771.002874486483</v>
      </c>
      <c r="R86" s="2311"/>
      <c r="S86" s="2311"/>
      <c r="T86" s="2175">
        <v>83</v>
      </c>
      <c r="U86" s="2311"/>
      <c r="V86" s="2311"/>
      <c r="W86" s="2311"/>
      <c r="X86" s="2311"/>
      <c r="Y86" s="2311"/>
      <c r="Z86" s="2311"/>
      <c r="AA86" s="2311"/>
      <c r="AB86" s="2311"/>
      <c r="AC86" s="2311">
        <f>SUM('FS Quarter'!AW6)-AC110-SUM(AC28)*14%</f>
        <v>4309.6600944059992</v>
      </c>
      <c r="AD86" s="2311">
        <f>SUM('FS Quarter'!AX6)-AD110-SUM(AD28)*14%</f>
        <v>4992.5794812639997</v>
      </c>
      <c r="AE86" s="2311">
        <f>SUM('FS Quarter'!AY6)-AE110-SUM(AE28)*14%</f>
        <v>4437.0239148860001</v>
      </c>
      <c r="AF86" s="2311">
        <f>SUM('FS Quarter'!AZ6)-AF110-SUM(AF28)*14%</f>
        <v>4305.987169774</v>
      </c>
      <c r="AG86" s="2311">
        <f>'FS Quarter'!BB6-AG110-SUM(AG28)*14%</f>
        <v>5431.9243265375198</v>
      </c>
      <c r="AH86" s="2311">
        <f>'FS Quarter'!BC6-AH110-SUM(AH28)*14%</f>
        <v>5142.2447765992993</v>
      </c>
      <c r="AI86" s="2311">
        <f>'FS Quarter'!BD6-AI110-SUM(AI28)*14%</f>
        <v>3512.01298594638</v>
      </c>
      <c r="AJ86" s="2311">
        <f>'FS Quarter'!BE6-AJ110-SUM(AJ28)*14%</f>
        <v>5852.4657798580802</v>
      </c>
      <c r="AK86" s="2311">
        <f t="shared" ref="AK86:AL86" si="505">AK87*AK82</f>
        <v>6559.9810019050628</v>
      </c>
      <c r="AL86" s="2311">
        <f t="shared" si="505"/>
        <v>5598.7571201674455</v>
      </c>
      <c r="AM86" s="2311">
        <f t="shared" ref="AM86:AS86" ca="1" si="506">AM87*AM82</f>
        <v>5301.6686402805717</v>
      </c>
      <c r="AN86" s="2311">
        <f t="shared" ca="1" si="506"/>
        <v>4519.7745899355014</v>
      </c>
      <c r="AO86" s="2312">
        <f t="shared" ca="1" si="506"/>
        <v>3390.7537000000002</v>
      </c>
      <c r="AP86" s="2314">
        <f t="shared" ca="1" si="506"/>
        <v>3461.3344000000002</v>
      </c>
      <c r="AQ86" s="2314">
        <f t="shared" ca="1" si="506"/>
        <v>3509.4859577790653</v>
      </c>
      <c r="AR86" s="2314">
        <f t="shared" ca="1" si="506"/>
        <v>3594.0781200000006</v>
      </c>
      <c r="AS86" s="2312">
        <f t="shared" ca="1" si="506"/>
        <v>4183.6112396000008</v>
      </c>
      <c r="AT86" s="2311">
        <f ca="1">8824.134537137-AS86</f>
        <v>4640.523297537</v>
      </c>
      <c r="AU86" s="2311">
        <f ca="1">18%*AU82</f>
        <v>4040.9906399999991</v>
      </c>
      <c r="AV86" s="2311">
        <f ca="1">16634.170192351-SUM(AS86:AU86)</f>
        <v>3769.0450152140002</v>
      </c>
      <c r="AW86" s="2315">
        <v>4413.634976888</v>
      </c>
      <c r="AX86" s="2317">
        <f t="shared" ref="AX86:CB86" ca="1" si="507">AX87*AX82</f>
        <v>4701.6555537564063</v>
      </c>
      <c r="AY86" s="2317">
        <f ca="1">13467.414209248-SUM(AW86:AX86)</f>
        <v>4352.1236786035934</v>
      </c>
      <c r="AZ86" s="2317">
        <f t="shared" ca="1" si="507"/>
        <v>5616.3517933144067</v>
      </c>
      <c r="BA86" s="2318">
        <f t="shared" ca="1" si="507"/>
        <v>4949.0732613140508</v>
      </c>
      <c r="BB86" s="2318">
        <f t="shared" ca="1" si="507"/>
        <v>5388.4518210969991</v>
      </c>
      <c r="BC86" s="2318">
        <f t="shared" ca="1" si="507"/>
        <v>4968.1721158148703</v>
      </c>
      <c r="BD86" s="2318">
        <f t="shared" ca="1" si="507"/>
        <v>6407.333785030577</v>
      </c>
      <c r="BE86" s="2318">
        <f t="shared" ca="1" si="507"/>
        <v>5500.1294521719728</v>
      </c>
      <c r="BF86" s="2318">
        <f t="shared" ca="1" si="507"/>
        <v>5992.1706853844935</v>
      </c>
      <c r="BG86" s="2318">
        <f t="shared" ca="1" si="507"/>
        <v>5591.0216405819447</v>
      </c>
      <c r="BH86" s="2318">
        <f t="shared" ca="1" si="507"/>
        <v>7118.1205625772018</v>
      </c>
      <c r="BI86" s="2318">
        <f t="shared" ca="1" si="507"/>
        <v>6210.9455892670585</v>
      </c>
      <c r="BJ86" s="2318">
        <f t="shared" ca="1" si="507"/>
        <v>6770.3503692002778</v>
      </c>
      <c r="BK86" s="2318">
        <f t="shared" ca="1" si="507"/>
        <v>6330.0025708167404</v>
      </c>
      <c r="BL86" s="2318">
        <f t="shared" ca="1" si="507"/>
        <v>8040.1653879226023</v>
      </c>
      <c r="BM86" s="2318">
        <f t="shared" ca="1" si="507"/>
        <v>6729.6983776065281</v>
      </c>
      <c r="BN86" s="2318">
        <f t="shared" ca="1" si="507"/>
        <v>7303.9570841272516</v>
      </c>
      <c r="BO86" s="2318">
        <f t="shared" ca="1" si="507"/>
        <v>6815.6694249926986</v>
      </c>
      <c r="BP86" s="2318">
        <f t="shared" ca="1" si="507"/>
        <v>8637.5979986509701</v>
      </c>
      <c r="BQ86" s="2318">
        <f t="shared" ca="1" si="507"/>
        <v>7250.3219384900085</v>
      </c>
      <c r="BR86" s="2318">
        <f t="shared" ca="1" si="507"/>
        <v>7886.621620887131</v>
      </c>
      <c r="BS86" s="2318">
        <f t="shared" ca="1" si="507"/>
        <v>7345.4829624990825</v>
      </c>
      <c r="BT86" s="2318">
        <f t="shared" ca="1" si="507"/>
        <v>9288.5763526102619</v>
      </c>
      <c r="BU86" s="2318">
        <f t="shared" ca="1" si="507"/>
        <v>7818.4374671555215</v>
      </c>
      <c r="BV86" s="2318">
        <f t="shared" ca="1" si="507"/>
        <v>8523.1206761734138</v>
      </c>
      <c r="BW86" s="2318">
        <f t="shared" ca="1" si="507"/>
        <v>7923.7252516063172</v>
      </c>
      <c r="BX86" s="2318">
        <f t="shared" ca="1" si="507"/>
        <v>9998.2690985883037</v>
      </c>
      <c r="BY86" s="2318">
        <f t="shared" ca="1" si="507"/>
        <v>8438.6570487320805</v>
      </c>
      <c r="BZ86" s="2318">
        <f t="shared" ca="1" si="507"/>
        <v>9218.7047437842521</v>
      </c>
      <c r="CA86" s="2318">
        <f t="shared" ca="1" si="507"/>
        <v>8555.1025894099967</v>
      </c>
      <c r="CB86" s="2318">
        <f t="shared" ca="1" si="507"/>
        <v>10772.356172485665</v>
      </c>
      <c r="CC86" s="2318">
        <f t="shared" ref="CC86:CM86" si="508">CC87*CC82</f>
        <v>0</v>
      </c>
      <c r="CD86" s="2318">
        <f ca="1">CD87*CD82</f>
        <v>0</v>
      </c>
      <c r="CE86" s="2318">
        <f t="shared" ca="1" si="508"/>
        <v>0</v>
      </c>
      <c r="CF86" s="2318">
        <f>CF87*CF82</f>
        <v>0</v>
      </c>
      <c r="CG86" s="2318">
        <f t="shared" si="508"/>
        <v>0</v>
      </c>
      <c r="CH86" s="2318">
        <f ca="1">CH87*CH82</f>
        <v>0</v>
      </c>
      <c r="CI86" s="2318">
        <f t="shared" ca="1" si="508"/>
        <v>0</v>
      </c>
      <c r="CJ86" s="2318">
        <f>CJ87*CJ82</f>
        <v>0</v>
      </c>
      <c r="CK86" s="2318">
        <f t="shared" si="508"/>
        <v>0</v>
      </c>
      <c r="CL86" s="2318">
        <f ca="1">CL87*CL82</f>
        <v>0</v>
      </c>
      <c r="CM86" s="2318">
        <f t="shared" ca="1" si="508"/>
        <v>0</v>
      </c>
      <c r="CN86" s="2318">
        <f>CN87*CN82</f>
        <v>0</v>
      </c>
      <c r="CO86" s="2318">
        <f t="shared" ref="CO86:CY86" si="509">CO87*CO82</f>
        <v>0</v>
      </c>
      <c r="CP86" s="2318">
        <f ca="1">CP87*CP82</f>
        <v>0</v>
      </c>
      <c r="CQ86" s="2318">
        <f t="shared" ca="1" si="509"/>
        <v>0</v>
      </c>
      <c r="CR86" s="2318">
        <f>CR87*CR82</f>
        <v>0</v>
      </c>
      <c r="CS86" s="2318">
        <f t="shared" si="509"/>
        <v>0</v>
      </c>
      <c r="CT86" s="2318">
        <f ca="1">CT87*CT82</f>
        <v>0</v>
      </c>
      <c r="CU86" s="2318">
        <f t="shared" ca="1" si="509"/>
        <v>0</v>
      </c>
      <c r="CV86" s="2318">
        <f>CV87*CV82</f>
        <v>0</v>
      </c>
      <c r="CW86" s="2318">
        <f t="shared" si="509"/>
        <v>0</v>
      </c>
      <c r="CX86" s="2318">
        <f ca="1">CX87*CX82</f>
        <v>0</v>
      </c>
      <c r="CY86" s="2318">
        <f t="shared" ca="1" si="509"/>
        <v>0</v>
      </c>
      <c r="CZ86" s="2318">
        <f>CZ87*CZ82</f>
        <v>0</v>
      </c>
    </row>
    <row r="87" spans="1:104" s="2545" customFormat="1">
      <c r="A87" s="2532" t="s">
        <v>180</v>
      </c>
      <c r="B87" s="2321">
        <f t="shared" ref="B87:Q87" si="510">B86/B82</f>
        <v>0.1553376457912162</v>
      </c>
      <c r="C87" s="2322">
        <f t="shared" si="510"/>
        <v>0.16261050967211721</v>
      </c>
      <c r="D87" s="2322">
        <f t="shared" si="510"/>
        <v>0.16836841392966292</v>
      </c>
      <c r="E87" s="2533">
        <f t="shared" si="510"/>
        <v>0.17789928123197191</v>
      </c>
      <c r="F87" s="2241">
        <f t="shared" si="510"/>
        <v>0.19081679887927086</v>
      </c>
      <c r="G87" s="2241">
        <f t="shared" si="510"/>
        <v>0.21719554018622042</v>
      </c>
      <c r="H87" s="2534">
        <f t="shared" si="510"/>
        <v>0.21351935501099165</v>
      </c>
      <c r="I87" s="2534">
        <f t="shared" ca="1" si="510"/>
        <v>0.21205029028995781</v>
      </c>
      <c r="J87" s="2535">
        <f t="shared" ca="1" si="510"/>
        <v>0.1671221907034236</v>
      </c>
      <c r="K87" s="2536">
        <f t="shared" ca="1" si="510"/>
        <v>0.18319795422815127</v>
      </c>
      <c r="L87" s="2537">
        <f t="shared" ca="1" si="510"/>
        <v>0.17726316848036727</v>
      </c>
      <c r="M87" s="2537">
        <f t="shared" ca="1" si="510"/>
        <v>0.17969670613539307</v>
      </c>
      <c r="N87" s="2537">
        <f t="shared" ca="1" si="510"/>
        <v>0.1802050611148871</v>
      </c>
      <c r="O87" s="2537">
        <f t="shared" ca="1" si="510"/>
        <v>0.18320528969693264</v>
      </c>
      <c r="P87" s="2537">
        <f t="shared" ca="1" si="510"/>
        <v>0.18322026166483057</v>
      </c>
      <c r="Q87" s="2537">
        <f t="shared" ca="1" si="510"/>
        <v>0.18322316390945781</v>
      </c>
      <c r="R87" s="2362"/>
      <c r="S87" s="2362"/>
      <c r="T87" s="2175">
        <v>84</v>
      </c>
      <c r="U87" s="2362"/>
      <c r="V87" s="2362"/>
      <c r="W87" s="2362"/>
      <c r="X87" s="2362"/>
      <c r="Y87" s="2362"/>
      <c r="Z87" s="2362"/>
      <c r="AA87" s="2362"/>
      <c r="AB87" s="2362"/>
      <c r="AC87" s="2324">
        <f t="shared" ref="AC87:AJ87" si="511">AC86/AC82</f>
        <v>0.17334332131348607</v>
      </c>
      <c r="AD87" s="2324">
        <f t="shared" si="511"/>
        <v>0.2341913276456902</v>
      </c>
      <c r="AE87" s="2324">
        <f t="shared" si="511"/>
        <v>0.22140663336516597</v>
      </c>
      <c r="AF87" s="2324">
        <f t="shared" si="511"/>
        <v>0.20455552933266624</v>
      </c>
      <c r="AG87" s="2324">
        <f t="shared" si="511"/>
        <v>0.21834784697612436</v>
      </c>
      <c r="AH87" s="2324">
        <f t="shared" si="511"/>
        <v>0.21381535617644576</v>
      </c>
      <c r="AI87" s="2324">
        <f t="shared" si="511"/>
        <v>0.23456894915345294</v>
      </c>
      <c r="AJ87" s="2324">
        <f t="shared" si="511"/>
        <v>0.19245666040930023</v>
      </c>
      <c r="AK87" s="2538">
        <v>0.22</v>
      </c>
      <c r="AL87" s="2538">
        <v>0.21</v>
      </c>
      <c r="AM87" s="2538">
        <v>0.23</v>
      </c>
      <c r="AN87" s="2538">
        <v>0.21</v>
      </c>
      <c r="AO87" s="2539">
        <v>0.17</v>
      </c>
      <c r="AP87" s="2540">
        <f>16%</f>
        <v>0.16</v>
      </c>
      <c r="AQ87" s="2540">
        <v>0.17</v>
      </c>
      <c r="AR87" s="2540">
        <v>0.17</v>
      </c>
      <c r="AS87" s="2539">
        <f ca="1">AO87+341/AS82+1%</f>
        <v>0.19597351284653752</v>
      </c>
      <c r="AT87" s="2541">
        <f ca="1">AT86/AT82</f>
        <v>0.20223374852796427</v>
      </c>
      <c r="AU87" s="2541">
        <f ca="1">AU86/AU82</f>
        <v>0.18</v>
      </c>
      <c r="AV87" s="2541">
        <f ca="1">AV86/AV82</f>
        <v>0.15668601635102281</v>
      </c>
      <c r="AW87" s="2542">
        <f ca="1">AW86/AW82</f>
        <v>0.1817605299495223</v>
      </c>
      <c r="AX87" s="2542">
        <f ca="1">AT87-1.5%</f>
        <v>0.18723374852796426</v>
      </c>
      <c r="AY87" s="2543">
        <f ca="1">AY86/AY82</f>
        <v>0.16082036970482211</v>
      </c>
      <c r="AZ87" s="2543">
        <v>0.18</v>
      </c>
      <c r="BA87" s="2544">
        <v>0.1885</v>
      </c>
      <c r="BB87" s="2544">
        <f ca="1">AX87+0.2%</f>
        <v>0.18923374852796426</v>
      </c>
      <c r="BC87" s="2544">
        <f ca="1">AY87+0.1%</f>
        <v>0.16182036970482211</v>
      </c>
      <c r="BD87" s="2544">
        <f>AZ87+0.1%</f>
        <v>0.18099999999999999</v>
      </c>
      <c r="BE87" s="2544">
        <f t="shared" ref="BE87" si="512">BA87</f>
        <v>0.1885</v>
      </c>
      <c r="BF87" s="2544">
        <f ca="1">BB87</f>
        <v>0.18923374852796426</v>
      </c>
      <c r="BG87" s="2544">
        <f ca="1">BC87+0.2%</f>
        <v>0.16382036970482211</v>
      </c>
      <c r="BH87" s="2544">
        <f>BD87</f>
        <v>0.18099999999999999</v>
      </c>
      <c r="BI87" s="2544">
        <f>BE87+0.3%</f>
        <v>0.1915</v>
      </c>
      <c r="BJ87" s="2544">
        <f t="shared" ref="BJ87:BL87" ca="1" si="513">BF87+0.3%</f>
        <v>0.19223374852796427</v>
      </c>
      <c r="BK87" s="2544">
        <f t="shared" ca="1" si="513"/>
        <v>0.16682036970482211</v>
      </c>
      <c r="BL87" s="2544">
        <f t="shared" si="513"/>
        <v>0.184</v>
      </c>
      <c r="BM87" s="2544">
        <f>BI87</f>
        <v>0.1915</v>
      </c>
      <c r="BN87" s="2544">
        <f ca="1">BJ87</f>
        <v>0.19223374852796427</v>
      </c>
      <c r="BO87" s="2544">
        <f t="shared" ref="BO87:CA87" ca="1" si="514">BK87</f>
        <v>0.16682036970482211</v>
      </c>
      <c r="BP87" s="2544">
        <f>BL87</f>
        <v>0.184</v>
      </c>
      <c r="BQ87" s="2544">
        <f t="shared" si="514"/>
        <v>0.1915</v>
      </c>
      <c r="BR87" s="2544">
        <f ca="1">BN87</f>
        <v>0.19223374852796427</v>
      </c>
      <c r="BS87" s="2544">
        <f t="shared" ca="1" si="514"/>
        <v>0.16682036970482211</v>
      </c>
      <c r="BT87" s="2544">
        <f>BP87</f>
        <v>0.184</v>
      </c>
      <c r="BU87" s="2544">
        <f t="shared" si="514"/>
        <v>0.1915</v>
      </c>
      <c r="BV87" s="2544">
        <f ca="1">BR87</f>
        <v>0.19223374852796427</v>
      </c>
      <c r="BW87" s="2544">
        <f t="shared" ca="1" si="514"/>
        <v>0.16682036970482211</v>
      </c>
      <c r="BX87" s="2544">
        <f>BT87</f>
        <v>0.184</v>
      </c>
      <c r="BY87" s="2544">
        <f t="shared" si="514"/>
        <v>0.1915</v>
      </c>
      <c r="BZ87" s="2544">
        <f ca="1">BV87</f>
        <v>0.19223374852796427</v>
      </c>
      <c r="CA87" s="2544">
        <f t="shared" ca="1" si="514"/>
        <v>0.16682036970482211</v>
      </c>
      <c r="CB87" s="2544">
        <f>BX87</f>
        <v>0.184</v>
      </c>
      <c r="CC87" s="2544">
        <f t="shared" ref="CC87" si="515">BY87</f>
        <v>0.1915</v>
      </c>
      <c r="CD87" s="2544">
        <f ca="1">BZ87</f>
        <v>0.19223374852796427</v>
      </c>
      <c r="CE87" s="2544">
        <f t="shared" ref="CE87" ca="1" si="516">CA87</f>
        <v>0.16682036970482211</v>
      </c>
      <c r="CF87" s="2544">
        <f>CB87</f>
        <v>0.184</v>
      </c>
      <c r="CG87" s="2544">
        <f t="shared" ref="CG87" si="517">CC87</f>
        <v>0.1915</v>
      </c>
      <c r="CH87" s="2544">
        <f ca="1">CD87</f>
        <v>0.19223374852796427</v>
      </c>
      <c r="CI87" s="2544">
        <f t="shared" ref="CI87" ca="1" si="518">CE87</f>
        <v>0.16682036970482211</v>
      </c>
      <c r="CJ87" s="2544">
        <f>CF87</f>
        <v>0.184</v>
      </c>
      <c r="CK87" s="2544">
        <f t="shared" ref="CK87" si="519">CG87</f>
        <v>0.1915</v>
      </c>
      <c r="CL87" s="2544">
        <f ca="1">CH87</f>
        <v>0.19223374852796427</v>
      </c>
      <c r="CM87" s="2544">
        <f t="shared" ref="CM87" ca="1" si="520">CI87</f>
        <v>0.16682036970482211</v>
      </c>
      <c r="CN87" s="2544">
        <f>CJ87</f>
        <v>0.184</v>
      </c>
      <c r="CO87" s="2544">
        <f t="shared" ref="CO87" si="521">CK87</f>
        <v>0.1915</v>
      </c>
      <c r="CP87" s="2544">
        <f ca="1">CL87</f>
        <v>0.19223374852796427</v>
      </c>
      <c r="CQ87" s="2544">
        <f t="shared" ref="CQ87" ca="1" si="522">CM87</f>
        <v>0.16682036970482211</v>
      </c>
      <c r="CR87" s="2544">
        <f>CN87</f>
        <v>0.184</v>
      </c>
      <c r="CS87" s="2544">
        <f t="shared" ref="CS87" si="523">CO87</f>
        <v>0.1915</v>
      </c>
      <c r="CT87" s="2544">
        <f ca="1">CP87</f>
        <v>0.19223374852796427</v>
      </c>
      <c r="CU87" s="2544">
        <f t="shared" ref="CU87" ca="1" si="524">CQ87</f>
        <v>0.16682036970482211</v>
      </c>
      <c r="CV87" s="2544">
        <f>CR87</f>
        <v>0.184</v>
      </c>
      <c r="CW87" s="2544">
        <f t="shared" ref="CW87" si="525">CS87</f>
        <v>0.1915</v>
      </c>
      <c r="CX87" s="2544">
        <f ca="1">CT87</f>
        <v>0.19223374852796427</v>
      </c>
      <c r="CY87" s="2544">
        <f t="shared" ref="CY87" ca="1" si="526">CU87</f>
        <v>0.16682036970482211</v>
      </c>
      <c r="CZ87" s="2544">
        <f>CV87</f>
        <v>0.184</v>
      </c>
    </row>
    <row r="88" spans="1:104" s="2255" customFormat="1">
      <c r="A88" s="2513" t="s">
        <v>182</v>
      </c>
      <c r="B88" s="2244">
        <f>B43-B112</f>
        <v>-2600.4100265320003</v>
      </c>
      <c r="C88" s="2245">
        <f>C43-C112</f>
        <v>-5222.4732013499997</v>
      </c>
      <c r="D88" s="2245">
        <f>D43-D112-D187</f>
        <v>-8362.558702925</v>
      </c>
      <c r="E88" s="2246">
        <f>E43-E112-E187</f>
        <v>-10139.603316184999</v>
      </c>
      <c r="F88" s="2246">
        <f>F43-F112-F187</f>
        <v>-11441.074328305378</v>
      </c>
      <c r="G88" s="2246">
        <f>G43-G112-G187</f>
        <v>-11833.505917222999</v>
      </c>
      <c r="H88" s="2246">
        <f>H43-H112-H187</f>
        <v>-13042.449136626641</v>
      </c>
      <c r="I88" s="2246">
        <f ca="1">SUM(AK88:AN88)</f>
        <v>-11758.713785690583</v>
      </c>
      <c r="J88" s="2246">
        <f ca="1">SUM(AO88:AR88)</f>
        <v>-11868.206163253068</v>
      </c>
      <c r="K88" s="2247">
        <f ca="1">SUM(AS88:AV88)</f>
        <v>-12165.547211669998</v>
      </c>
      <c r="L88" s="2250">
        <f ca="1">SUMIF($AG$1:BH$1,L$5,$AG88:BH88)</f>
        <v>-12467.05712223829</v>
      </c>
      <c r="M88" s="2250">
        <f ca="1">SUMIF($AG$1:BI$1,M$5,$AG88:BI88)</f>
        <v>-14046.192842139928</v>
      </c>
      <c r="N88" s="2250">
        <f ca="1">SUMIF($AG$1:CJ$1,N$5,$AG88:CJ88)</f>
        <v>-15612.045571100076</v>
      </c>
      <c r="O88" s="2250">
        <f ca="1">SUMIF($AG$1:CK$1,O$5,$AG88:CK88)</f>
        <v>-17355.438280643702</v>
      </c>
      <c r="P88" s="2250">
        <f ca="1">SUMIF($AG$1:CL$1,P$5,$AG88:CL88)</f>
        <v>-18713.049076550546</v>
      </c>
      <c r="Q88" s="2250">
        <f ca="1">SUMIF($AG$1:CM$1,Q$5,$AG88:CM88)</f>
        <v>-20163.956850624421</v>
      </c>
      <c r="R88" s="2250"/>
      <c r="S88" s="2250"/>
      <c r="T88" s="2175">
        <v>85</v>
      </c>
      <c r="U88" s="2250"/>
      <c r="V88" s="2250"/>
      <c r="W88" s="2250"/>
      <c r="X88" s="2250"/>
      <c r="Y88" s="2250"/>
      <c r="Z88" s="2250"/>
      <c r="AA88" s="2250"/>
      <c r="AB88" s="2250"/>
      <c r="AC88" s="2250">
        <f>AC89*AC82</f>
        <v>-3188.7475280954295</v>
      </c>
      <c r="AD88" s="2250">
        <f>AD89*AD82</f>
        <v>-2629.987295840484</v>
      </c>
      <c r="AE88" s="2250">
        <f>AE89*AE82</f>
        <v>-2507.2837161516436</v>
      </c>
      <c r="AF88" s="2250">
        <f>AF89*AF82</f>
        <v>-2854.3358195232722</v>
      </c>
      <c r="AG88" s="2250">
        <f>(SUM('FS Quarter'!BB11:BB12)-Rev_Year!AG112-SUM(Rev_Year!AG28)*-52%)</f>
        <v>-2977.6510073403615</v>
      </c>
      <c r="AH88" s="2250">
        <f>(SUM('FS Quarter'!BC11:BC12)-Rev_Year!AH112-SUM(Rev_Year!AH28)*-52%)</f>
        <v>-3027.6737020333981</v>
      </c>
      <c r="AI88" s="2250">
        <f>(SUM('FS Quarter'!BD11:BD12)-Rev_Year!AI112-SUM(Rev_Year!AI28)*-52%)</f>
        <v>-2604.6242825558434</v>
      </c>
      <c r="AJ88" s="2250">
        <f>(SUM('FS Quarter'!BE11:BE12)-Rev_Year!AJ112-SUM(Rev_Year!AJ28)*-52%)</f>
        <v>-3791.4709564024397</v>
      </c>
      <c r="AK88" s="2250">
        <f>-(AK86-AK93)</f>
        <v>-3951.2082122720631</v>
      </c>
      <c r="AL88" s="2250">
        <f>-(AL86-AL93)</f>
        <v>-2447.6880969854456</v>
      </c>
      <c r="AM88" s="2250">
        <f ca="1">-(AM86-AM93)</f>
        <v>-2483.7853473735713</v>
      </c>
      <c r="AN88" s="2250">
        <f ca="1">-(AN86-AN93)</f>
        <v>-2876.0321290595016</v>
      </c>
      <c r="AO88" s="2251">
        <f t="shared" ref="AO88:AY88" ca="1" si="527">AO95-AO86</f>
        <v>-2761.6596458440004</v>
      </c>
      <c r="AP88" s="2251">
        <f t="shared" ca="1" si="527"/>
        <v>-3120.3059569480001</v>
      </c>
      <c r="AQ88" s="2248">
        <f t="shared" ca="1" si="527"/>
        <v>-3069.5298293580654</v>
      </c>
      <c r="AR88" s="2248">
        <f t="shared" ca="1" si="527"/>
        <v>-2916.7107311030004</v>
      </c>
      <c r="AS88" s="2251">
        <f t="shared" ca="1" si="527"/>
        <v>-2880.5491104550006</v>
      </c>
      <c r="AT88" s="2248">
        <f t="shared" ca="1" si="527"/>
        <v>-3188.2640937519373</v>
      </c>
      <c r="AU88" s="2248">
        <f t="shared" ca="1" si="527"/>
        <v>-2700.8787962260617</v>
      </c>
      <c r="AV88" s="2250">
        <f t="shared" ca="1" si="527"/>
        <v>-3395.8552112370003</v>
      </c>
      <c r="AW88" s="2252">
        <f t="shared" si="527"/>
        <v>-2867.7368903440001</v>
      </c>
      <c r="AX88" s="2252">
        <f t="shared" ca="1" si="527"/>
        <v>-3224.1491209587898</v>
      </c>
      <c r="AY88" s="2252">
        <f t="shared" ca="1" si="527"/>
        <v>-2843.9884750814585</v>
      </c>
      <c r="AZ88" s="2253">
        <f ca="1">AZ89*AZ82</f>
        <v>-3531.1826358540425</v>
      </c>
      <c r="BA88" s="2254">
        <f ca="1">BA89*BA82</f>
        <v>-3334.3888816280341</v>
      </c>
      <c r="BB88" s="2254">
        <f t="shared" ref="BB88" ca="1" si="528">BB89*BB82</f>
        <v>-3656.0645507701342</v>
      </c>
      <c r="BC88" s="2254">
        <f ca="1">BC89*BC82</f>
        <v>-3226.495796189502</v>
      </c>
      <c r="BD88" s="2254">
        <f ca="1">BD89*BD82</f>
        <v>-3829.243613552258</v>
      </c>
      <c r="BE88" s="2254">
        <f ca="1">BE89*BE82</f>
        <v>-3705.6575088904005</v>
      </c>
      <c r="BF88" s="2254">
        <f t="shared" ref="BF88" ca="1" si="529">BF89*BF82</f>
        <v>-4065.6877990862631</v>
      </c>
      <c r="BG88" s="2254">
        <f ca="1">BG89*BG82</f>
        <v>-3586.6659613013039</v>
      </c>
      <c r="BH88" s="2254">
        <f ca="1">BH89*BH82</f>
        <v>-4254.0343018221083</v>
      </c>
      <c r="BI88" s="2254">
        <f ca="1">BI89*BI82</f>
        <v>-4119.0083020204511</v>
      </c>
      <c r="BJ88" s="2254">
        <f t="shared" ref="BJ88:CL88" ca="1" si="530">BJ89*BJ82</f>
        <v>-4521.9936978335973</v>
      </c>
      <c r="BK88" s="2254">
        <f ca="1">BK89*BK82</f>
        <v>-3987.6998935633296</v>
      </c>
      <c r="BL88" s="2254">
        <f ca="1">BL89*BL82</f>
        <v>-4726.736387226325</v>
      </c>
      <c r="BM88" s="2254">
        <f ca="1">BM89*BM82</f>
        <v>-4463.0375663500217</v>
      </c>
      <c r="BN88" s="2254">
        <f t="shared" ca="1" si="530"/>
        <v>-4878.3956667772645</v>
      </c>
      <c r="BO88" s="2254">
        <f ca="1">BO89*BO82</f>
        <v>-4293.65453434554</v>
      </c>
      <c r="BP88" s="2254">
        <f ca="1">BP89*BP82</f>
        <v>-5077.9613090777193</v>
      </c>
      <c r="BQ88" s="2254">
        <f ca="1">BQ89*BQ82</f>
        <v>-4808.3074996774467</v>
      </c>
      <c r="BR88" s="2254">
        <f t="shared" ca="1" si="530"/>
        <v>-5267.5639105901082</v>
      </c>
      <c r="BS88" s="2254">
        <f ca="1">BS89*BS82</f>
        <v>-4627.4201787487491</v>
      </c>
      <c r="BT88" s="2254">
        <f ca="1">BT89*BT82</f>
        <v>-5460.6652616081165</v>
      </c>
      <c r="BU88" s="2254">
        <f ca="1">BU89*BU82</f>
        <v>-5185.0734116383874</v>
      </c>
      <c r="BV88" s="2254">
        <f t="shared" ca="1" si="530"/>
        <v>-5692.6888390982886</v>
      </c>
      <c r="BW88" s="2254">
        <f ca="1">BW89*BW82</f>
        <v>-4991.6943933213379</v>
      </c>
      <c r="BX88" s="2254">
        <f ca="1">BX89*BX82</f>
        <v>-5877.8868440402312</v>
      </c>
      <c r="BY88" s="2254">
        <f ca="1">BY89*BY82</f>
        <v>-5596.3939696552179</v>
      </c>
      <c r="BZ88" s="2254">
        <f t="shared" ca="1" si="530"/>
        <v>-6157.2773165807639</v>
      </c>
      <c r="CA88" s="2254">
        <f ca="1">CA89*CA82</f>
        <v>-5389.4419952521184</v>
      </c>
      <c r="CB88" s="2254">
        <f ca="1">CB89*CB82</f>
        <v>-6332.9652364036983</v>
      </c>
      <c r="CC88" s="2254">
        <f t="shared" si="530"/>
        <v>0</v>
      </c>
      <c r="CD88" s="2254">
        <f t="shared" ca="1" si="530"/>
        <v>0</v>
      </c>
      <c r="CE88" s="2254">
        <f ca="1">CE89*CE82</f>
        <v>0</v>
      </c>
      <c r="CF88" s="2254">
        <f ca="1">CF89*CF82</f>
        <v>0</v>
      </c>
      <c r="CG88" s="2254">
        <f t="shared" si="530"/>
        <v>0</v>
      </c>
      <c r="CH88" s="2254">
        <f t="shared" ca="1" si="530"/>
        <v>0</v>
      </c>
      <c r="CI88" s="2254">
        <f ca="1">CI89*CI82</f>
        <v>0</v>
      </c>
      <c r="CJ88" s="2254">
        <f ca="1">CJ89*CJ82</f>
        <v>0</v>
      </c>
      <c r="CK88" s="2254">
        <f t="shared" si="530"/>
        <v>0</v>
      </c>
      <c r="CL88" s="2254">
        <f t="shared" ca="1" si="530"/>
        <v>0</v>
      </c>
      <c r="CM88" s="2254">
        <f ca="1">CM89*CM82</f>
        <v>0</v>
      </c>
      <c r="CN88" s="2254">
        <f ca="1">CN89*CN82</f>
        <v>0</v>
      </c>
      <c r="CO88" s="2254">
        <f t="shared" ref="CO88:CX88" si="531">CO89*CO82</f>
        <v>0</v>
      </c>
      <c r="CP88" s="2254">
        <f t="shared" ca="1" si="531"/>
        <v>0</v>
      </c>
      <c r="CQ88" s="2254">
        <f ca="1">CQ89*CQ82</f>
        <v>0</v>
      </c>
      <c r="CR88" s="2254">
        <f ca="1">CR89*CR82</f>
        <v>0</v>
      </c>
      <c r="CS88" s="2254">
        <f t="shared" si="531"/>
        <v>0</v>
      </c>
      <c r="CT88" s="2254">
        <f t="shared" ca="1" si="531"/>
        <v>0</v>
      </c>
      <c r="CU88" s="2254">
        <f ca="1">CU89*CU82</f>
        <v>0</v>
      </c>
      <c r="CV88" s="2254">
        <f ca="1">CV89*CV82</f>
        <v>0</v>
      </c>
      <c r="CW88" s="2254">
        <f t="shared" si="531"/>
        <v>0</v>
      </c>
      <c r="CX88" s="2254">
        <f t="shared" ca="1" si="531"/>
        <v>0</v>
      </c>
      <c r="CY88" s="2254">
        <f ca="1">CY89*CY82</f>
        <v>0</v>
      </c>
      <c r="CZ88" s="2254">
        <f ca="1">CZ89*CZ82</f>
        <v>0</v>
      </c>
    </row>
    <row r="89" spans="1:104" s="2545" customFormat="1">
      <c r="A89" s="2532" t="str">
        <f>A81</f>
        <v>SG&amp;A/REV (%)</v>
      </c>
      <c r="B89" s="2205">
        <f t="shared" ref="B89:Q89" si="532">B88/B82</f>
        <v>-0.10298245719108155</v>
      </c>
      <c r="C89" s="2206">
        <f t="shared" si="532"/>
        <v>-0.11771784226990466</v>
      </c>
      <c r="D89" s="2206">
        <f t="shared" si="532"/>
        <v>-0.12825793107621306</v>
      </c>
      <c r="E89" s="2241">
        <f t="shared" si="532"/>
        <v>-0.12336713292509176</v>
      </c>
      <c r="F89" s="2241">
        <f t="shared" si="532"/>
        <v>-0.12511297147216316</v>
      </c>
      <c r="G89" s="2241">
        <f t="shared" si="532"/>
        <v>-0.13559496381091565</v>
      </c>
      <c r="H89" s="2241">
        <f t="shared" si="532"/>
        <v>-0.13829516516760845</v>
      </c>
      <c r="I89" s="2241">
        <f t="shared" ca="1" si="532"/>
        <v>-0.11344031387769236</v>
      </c>
      <c r="J89" s="2241">
        <f t="shared" ca="1" si="532"/>
        <v>-0.14212453767519848</v>
      </c>
      <c r="K89" s="2323">
        <f t="shared" ca="1" si="532"/>
        <v>-0.13398344104166812</v>
      </c>
      <c r="L89" s="2546">
        <f t="shared" ca="1" si="532"/>
        <v>-0.11580261709439088</v>
      </c>
      <c r="M89" s="2546">
        <f t="shared" ca="1" si="532"/>
        <v>-0.11624607312638417</v>
      </c>
      <c r="N89" s="2546">
        <f t="shared" ca="1" si="532"/>
        <v>-0.11624801475304562</v>
      </c>
      <c r="O89" s="2546">
        <f t="shared" ca="1" si="532"/>
        <v>-0.11625001526965023</v>
      </c>
      <c r="P89" s="2546">
        <f t="shared" ca="1" si="532"/>
        <v>-0.1162756033133811</v>
      </c>
      <c r="Q89" s="2546">
        <f t="shared" ca="1" si="532"/>
        <v>-0.11628540608870873</v>
      </c>
      <c r="R89" s="2362"/>
      <c r="S89" s="2362"/>
      <c r="T89" s="2340">
        <v>86</v>
      </c>
      <c r="U89" s="2362"/>
      <c r="V89" s="2362"/>
      <c r="W89" s="2362"/>
      <c r="X89" s="2362"/>
      <c r="Y89" s="2362"/>
      <c r="Z89" s="2362"/>
      <c r="AA89" s="2362"/>
      <c r="AB89" s="2362"/>
      <c r="AC89" s="2324">
        <f>D89</f>
        <v>-0.12825793107621306</v>
      </c>
      <c r="AD89" s="2324">
        <f>E89</f>
        <v>-0.12336713292509176</v>
      </c>
      <c r="AE89" s="2324">
        <f>F89</f>
        <v>-0.12511297147216316</v>
      </c>
      <c r="AF89" s="2324">
        <f>G89</f>
        <v>-0.13559496381091565</v>
      </c>
      <c r="AG89" s="2324">
        <f t="shared" ref="AG89:AL89" si="533">AG88/AG82</f>
        <v>-0.11969306776287339</v>
      </c>
      <c r="AH89" s="2324">
        <f t="shared" si="533"/>
        <v>-0.12589115437138862</v>
      </c>
      <c r="AI89" s="2324">
        <f t="shared" si="533"/>
        <v>-0.17396404379582736</v>
      </c>
      <c r="AJ89" s="2324">
        <f t="shared" si="533"/>
        <v>-0.12468143612550331</v>
      </c>
      <c r="AK89" s="2324">
        <f t="shared" si="533"/>
        <v>-0.13251041526605234</v>
      </c>
      <c r="AL89" s="2324">
        <f t="shared" si="533"/>
        <v>-9.1808679914939864E-2</v>
      </c>
      <c r="AM89" s="2324">
        <f t="shared" ref="AM89:AY89" ca="1" si="534">AM88/AM82</f>
        <v>-0.10775298658908433</v>
      </c>
      <c r="AN89" s="2324">
        <f t="shared" ca="1" si="534"/>
        <v>-0.1336276256889869</v>
      </c>
      <c r="AO89" s="2326">
        <f t="shared" ca="1" si="534"/>
        <v>-0.13845952296490308</v>
      </c>
      <c r="AP89" s="2326">
        <f t="shared" ca="1" si="534"/>
        <v>-0.14423597821455217</v>
      </c>
      <c r="AQ89" s="2326">
        <f t="shared" ca="1" si="534"/>
        <v>-0.14868846243257189</v>
      </c>
      <c r="AR89" s="2326">
        <f t="shared" ca="1" si="534"/>
        <v>-0.1379605027303942</v>
      </c>
      <c r="AS89" s="2326">
        <f t="shared" ca="1" si="534"/>
        <v>-0.13493398305259569</v>
      </c>
      <c r="AT89" s="2326">
        <f t="shared" ca="1" si="534"/>
        <v>-0.13894437278631641</v>
      </c>
      <c r="AU89" s="2326">
        <f t="shared" ca="1" si="534"/>
        <v>-0.12030668383846867</v>
      </c>
      <c r="AV89" s="2326">
        <f t="shared" ca="1" si="534"/>
        <v>-0.14117184140964043</v>
      </c>
      <c r="AW89" s="2547">
        <f t="shared" ca="1" si="534"/>
        <v>-0.11809798038899934</v>
      </c>
      <c r="AX89" s="2547">
        <f t="shared" ca="1" si="534"/>
        <v>-0.12839509803051202</v>
      </c>
      <c r="AY89" s="2547">
        <f t="shared" ca="1" si="534"/>
        <v>-0.10509151664219339</v>
      </c>
      <c r="AZ89" s="2548">
        <f ca="1">AV89+2.8%</f>
        <v>-0.11317184140964043</v>
      </c>
      <c r="BA89" s="2549">
        <v>-0.127</v>
      </c>
      <c r="BB89" s="2549">
        <f ca="1">AX89</f>
        <v>-0.12839509803051202</v>
      </c>
      <c r="BC89" s="2549">
        <f ca="1">AY89</f>
        <v>-0.10509151664219339</v>
      </c>
      <c r="BD89" s="2549">
        <f ca="1">AZ89+0.5%</f>
        <v>-0.10817184140964042</v>
      </c>
      <c r="BE89" s="2549">
        <f>BA89</f>
        <v>-0.127</v>
      </c>
      <c r="BF89" s="2549">
        <f t="shared" ref="BF89" ca="1" si="535">BB89</f>
        <v>-0.12839509803051202</v>
      </c>
      <c r="BG89" s="2549">
        <f ca="1">BC89</f>
        <v>-0.10509151664219339</v>
      </c>
      <c r="BH89" s="2549">
        <f ca="1">BD89</f>
        <v>-0.10817184140964042</v>
      </c>
      <c r="BI89" s="2549">
        <f t="shared" ref="BI89" si="536">BE89</f>
        <v>-0.127</v>
      </c>
      <c r="BJ89" s="2549">
        <f t="shared" ref="BJ89" ca="1" si="537">BF89</f>
        <v>-0.12839509803051202</v>
      </c>
      <c r="BK89" s="2549">
        <f ca="1">BG89</f>
        <v>-0.10509151664219339</v>
      </c>
      <c r="BL89" s="2549">
        <f ca="1">BH89</f>
        <v>-0.10817184140964042</v>
      </c>
      <c r="BM89" s="2549">
        <f t="shared" ref="BM89" si="538">BI89</f>
        <v>-0.127</v>
      </c>
      <c r="BN89" s="2549">
        <f t="shared" ref="BN89" ca="1" si="539">BJ89</f>
        <v>-0.12839509803051202</v>
      </c>
      <c r="BO89" s="2549">
        <f ca="1">BK89</f>
        <v>-0.10509151664219339</v>
      </c>
      <c r="BP89" s="2549">
        <f ca="1">BL89</f>
        <v>-0.10817184140964042</v>
      </c>
      <c r="BQ89" s="2549">
        <f t="shared" ref="BQ89" si="540">BM89</f>
        <v>-0.127</v>
      </c>
      <c r="BR89" s="2549">
        <f t="shared" ref="BR89" ca="1" si="541">BN89</f>
        <v>-0.12839509803051202</v>
      </c>
      <c r="BS89" s="2549">
        <f ca="1">BO89</f>
        <v>-0.10509151664219339</v>
      </c>
      <c r="BT89" s="2549">
        <f ca="1">BP89</f>
        <v>-0.10817184140964042</v>
      </c>
      <c r="BU89" s="2549">
        <f t="shared" ref="BU89" si="542">BQ89</f>
        <v>-0.127</v>
      </c>
      <c r="BV89" s="2549">
        <f t="shared" ref="BV89" ca="1" si="543">BR89</f>
        <v>-0.12839509803051202</v>
      </c>
      <c r="BW89" s="2549">
        <f ca="1">BS89</f>
        <v>-0.10509151664219339</v>
      </c>
      <c r="BX89" s="2549">
        <f ca="1">BT89</f>
        <v>-0.10817184140964042</v>
      </c>
      <c r="BY89" s="2549">
        <f t="shared" ref="BY89" si="544">BU89</f>
        <v>-0.127</v>
      </c>
      <c r="BZ89" s="2549">
        <f t="shared" ref="BZ89" ca="1" si="545">BV89</f>
        <v>-0.12839509803051202</v>
      </c>
      <c r="CA89" s="2549">
        <f ca="1">BW89</f>
        <v>-0.10509151664219339</v>
      </c>
      <c r="CB89" s="2549">
        <f ca="1">BX89</f>
        <v>-0.10817184140964042</v>
      </c>
      <c r="CC89" s="2549">
        <f t="shared" ref="CC89" si="546">BY89</f>
        <v>-0.127</v>
      </c>
      <c r="CD89" s="2549">
        <f t="shared" ref="CD89" ca="1" si="547">BZ89</f>
        <v>-0.12839509803051202</v>
      </c>
      <c r="CE89" s="2549">
        <f ca="1">CA89</f>
        <v>-0.10509151664219339</v>
      </c>
      <c r="CF89" s="2549">
        <f ca="1">CB89</f>
        <v>-0.10817184140964042</v>
      </c>
      <c r="CG89" s="2549">
        <f t="shared" ref="CG89" si="548">CC89</f>
        <v>-0.127</v>
      </c>
      <c r="CH89" s="2549">
        <f t="shared" ref="CH89" ca="1" si="549">CD89</f>
        <v>-0.12839509803051202</v>
      </c>
      <c r="CI89" s="2549">
        <f ca="1">CE89</f>
        <v>-0.10509151664219339</v>
      </c>
      <c r="CJ89" s="2549">
        <f ca="1">CF89</f>
        <v>-0.10817184140964042</v>
      </c>
      <c r="CK89" s="2549">
        <f t="shared" ref="CK89" si="550">CG89</f>
        <v>-0.127</v>
      </c>
      <c r="CL89" s="2549">
        <f t="shared" ref="CL89" ca="1" si="551">CH89</f>
        <v>-0.12839509803051202</v>
      </c>
      <c r="CM89" s="2549">
        <f ca="1">CI89</f>
        <v>-0.10509151664219339</v>
      </c>
      <c r="CN89" s="2549">
        <f ca="1">CJ89</f>
        <v>-0.10817184140964042</v>
      </c>
      <c r="CO89" s="2549">
        <f t="shared" ref="CO89" si="552">CK89+0.5%</f>
        <v>-0.122</v>
      </c>
      <c r="CP89" s="2549">
        <f t="shared" ref="CP89" ca="1" si="553">CL89+0.5%</f>
        <v>-0.12339509803051202</v>
      </c>
      <c r="CQ89" s="2549">
        <f ca="1">CM89+0.5%</f>
        <v>-0.10009151664219339</v>
      </c>
      <c r="CR89" s="2549">
        <f ca="1">CN89+0.5%</f>
        <v>-0.10317184140964042</v>
      </c>
      <c r="CS89" s="2549">
        <f t="shared" ref="CS89" si="554">CO89+0.5%</f>
        <v>-0.11699999999999999</v>
      </c>
      <c r="CT89" s="2549">
        <f t="shared" ref="CT89" ca="1" si="555">CP89+0.5%</f>
        <v>-0.11839509803051201</v>
      </c>
      <c r="CU89" s="2549">
        <f ca="1">CQ89+0.5%</f>
        <v>-9.5091516642193383E-2</v>
      </c>
      <c r="CV89" s="2549">
        <f ca="1">CR89+0.5%</f>
        <v>-9.8171841409640415E-2</v>
      </c>
      <c r="CW89" s="2549">
        <f t="shared" ref="CW89" si="556">CS89+0.5%</f>
        <v>-0.11199999999999999</v>
      </c>
      <c r="CX89" s="2549">
        <f t="shared" ref="CX89" ca="1" si="557">CT89+0.5%</f>
        <v>-0.11339509803051201</v>
      </c>
      <c r="CY89" s="2549">
        <f ca="1">CU89+0.5%</f>
        <v>-9.0091516642193378E-2</v>
      </c>
      <c r="CZ89" s="2549">
        <f ca="1">CV89+0.5%</f>
        <v>-9.317184140964041E-2</v>
      </c>
    </row>
    <row r="90" spans="1:104" s="2255" customFormat="1">
      <c r="A90" s="2243" t="s">
        <v>183</v>
      </c>
      <c r="B90" s="2205"/>
      <c r="C90" s="2206"/>
      <c r="D90" s="2206"/>
      <c r="E90" s="2241"/>
      <c r="F90" s="2241"/>
      <c r="G90" s="2241"/>
      <c r="H90" s="2241"/>
      <c r="I90" s="2246">
        <f>SUM(AK90:AN90)</f>
        <v>-6607.1253033395678</v>
      </c>
      <c r="J90" s="2241"/>
      <c r="K90" s="2208"/>
      <c r="L90" s="2514"/>
      <c r="M90" s="2514"/>
      <c r="N90" s="2514"/>
      <c r="O90" s="2514"/>
      <c r="P90" s="2514"/>
      <c r="Q90" s="2514"/>
      <c r="R90" s="2250"/>
      <c r="S90" s="2250"/>
      <c r="T90" s="2175">
        <v>87</v>
      </c>
      <c r="U90" s="2250"/>
      <c r="V90" s="2250"/>
      <c r="W90" s="2250"/>
      <c r="X90" s="2250"/>
      <c r="Y90" s="2250"/>
      <c r="Z90" s="2250"/>
      <c r="AA90" s="2250"/>
      <c r="AB90" s="2250"/>
      <c r="AC90" s="2250" t="e">
        <f t="shared" ref="AC90:AV90" si="558">SUM(AVERAGE(AC64,AB64),AVERAGE(AB76:AC76))*$H$259*HLOOKUP(VALUE(RIGHT(AC4,4)),$H$254:$M$261,5,FALSE)*3</f>
        <v>#N/A</v>
      </c>
      <c r="AD90" s="2250" t="e">
        <f t="shared" si="558"/>
        <v>#N/A</v>
      </c>
      <c r="AE90" s="2250" t="e">
        <f t="shared" si="558"/>
        <v>#N/A</v>
      </c>
      <c r="AF90" s="2250" t="e">
        <f t="shared" si="558"/>
        <v>#N/A</v>
      </c>
      <c r="AG90" s="2250">
        <f t="shared" si="558"/>
        <v>-1379.5736159146004</v>
      </c>
      <c r="AH90" s="2250">
        <f t="shared" si="558"/>
        <v>-1473.5179250366482</v>
      </c>
      <c r="AI90" s="2250">
        <f t="shared" si="558"/>
        <v>-1550.7993291768039</v>
      </c>
      <c r="AJ90" s="2250">
        <f t="shared" si="558"/>
        <v>-1635.5503114122907</v>
      </c>
      <c r="AK90" s="2250">
        <f t="shared" si="558"/>
        <v>-1554.6629985605605</v>
      </c>
      <c r="AL90" s="2250">
        <f t="shared" si="558"/>
        <v>-1615.2176226999059</v>
      </c>
      <c r="AM90" s="2250">
        <f t="shared" si="558"/>
        <v>-1683.2132811614588</v>
      </c>
      <c r="AN90" s="2250">
        <f t="shared" si="558"/>
        <v>-1754.0314009176423</v>
      </c>
      <c r="AO90" s="2251">
        <f t="shared" si="558"/>
        <v>-1801.8926468528625</v>
      </c>
      <c r="AP90" s="2248">
        <f t="shared" si="558"/>
        <v>-1800.596880531237</v>
      </c>
      <c r="AQ90" s="2248">
        <f t="shared" si="558"/>
        <v>-1793.3405891301325</v>
      </c>
      <c r="AR90" s="2248">
        <f t="shared" si="558"/>
        <v>-1741.2507830007744</v>
      </c>
      <c r="AS90" s="2251">
        <f t="shared" si="558"/>
        <v>-1786.8127775550458</v>
      </c>
      <c r="AT90" s="2250">
        <f>SUM(AVERAGE(AT64,AS64),AVERAGE(AS76:AT76))*$H$259*HLOOKUP(VALUE(RIGHT(AT4,4)),$H$254:$M$261,5,FALSE)*3</f>
        <v>-1750.6546775033416</v>
      </c>
      <c r="AU90" s="2250">
        <f t="shared" si="558"/>
        <v>-1695.3218274242186</v>
      </c>
      <c r="AV90" s="2250">
        <f t="shared" si="558"/>
        <v>-1670.9425023893577</v>
      </c>
      <c r="AW90" s="2252">
        <f>SUM(AVERAGE(AW64,AV64),AVERAGE(AV76:AW76))*$H$259*HLOOKUP(VALUE(RIGHT(AW4,4)),$H$254:$M$261,5,FALSE)*3</f>
        <v>-1785.2705798028408</v>
      </c>
      <c r="AX90" s="2253">
        <f>SUM(AVERAGE(AX64,AW64),AVERAGE(AW76:AX76))*$H$259*HLOOKUP(VALUE(RIGHT(AX4,4)),$H$254:$M$261,5,FALSE)*3</f>
        <v>-1782.632682049069</v>
      </c>
      <c r="AY90" s="2253">
        <f>SUM(AVERAGE(AY64,AX64),AVERAGE(AX76:AY76))*$H$259*HLOOKUP(VALUE(RIGHT(AY4,4)),$H$254:$M$261,5,FALSE)*3</f>
        <v>-1778.8223852936203</v>
      </c>
      <c r="AZ90" s="2253">
        <f>SUM(AVERAGE(AZ64,AY64),AVERAGE(AY76:AZ76))*$H$259*HLOOKUP(VALUE(RIGHT(AZ4,4)),$H$254:$M$261,5,FALSE)*3</f>
        <v>-1776.1844875398481</v>
      </c>
      <c r="BA90" s="2254">
        <f>SUM(AVERAGE(BA64,AZ64),AVERAGE(AZ76:BA76))*$H$259*HLOOKUP(VALUE(RIGHT(BA4,4)),$H$254:$M$261,5,FALSE)*3</f>
        <v>-1828.86623668018</v>
      </c>
      <c r="BB90" s="2254">
        <f t="shared" ref="BB90" si="559">SUM(AVERAGE(BB64,BA64),AVERAGE(BA76:BB76))*$H$259*HLOOKUP(VALUE(RIGHT(BB4,4)),$H$254:$M$261,5,FALSE)*3</f>
        <v>-1828.86623668018</v>
      </c>
      <c r="BC90" s="2254">
        <f t="shared" ref="BC90:BD90" si="560">SUM(AVERAGE(BC64,BB64),AVERAGE(BB76:BC76))*$H$259*HLOOKUP(VALUE(RIGHT(BC4,4)),$H$254:$M$261,5,FALSE)*3</f>
        <v>-1828.86623668018</v>
      </c>
      <c r="BD90" s="2254">
        <f t="shared" si="560"/>
        <v>-1828.86623668018</v>
      </c>
      <c r="BE90" s="2254">
        <f t="shared" ref="BE90:CZ90" si="561">SUM(AVERAGE(BE64,BD64),AVERAGE(BD76:BE76))*$H$259*HLOOKUP(VALUE(RIGHT(BE4,4)),$H$254:$S$261,5,FALSE)*3</f>
        <v>-1883.7322237805856</v>
      </c>
      <c r="BF90" s="2254">
        <f t="shared" si="561"/>
        <v>-1883.7322237805856</v>
      </c>
      <c r="BG90" s="2254">
        <f t="shared" si="561"/>
        <v>-1883.7322237805856</v>
      </c>
      <c r="BH90" s="2254">
        <f t="shared" si="561"/>
        <v>-1883.7322237805856</v>
      </c>
      <c r="BI90" s="2254">
        <f t="shared" si="561"/>
        <v>-1949.6628516129063</v>
      </c>
      <c r="BJ90" s="2254">
        <f t="shared" si="561"/>
        <v>-1949.6628516129063</v>
      </c>
      <c r="BK90" s="2254">
        <f t="shared" si="561"/>
        <v>-1949.6628516129063</v>
      </c>
      <c r="BL90" s="2254">
        <f t="shared" si="561"/>
        <v>-1949.6628516129063</v>
      </c>
      <c r="BM90" s="2254">
        <f t="shared" si="561"/>
        <v>-2017.9010514193574</v>
      </c>
      <c r="BN90" s="2254">
        <f t="shared" si="561"/>
        <v>-2017.9010514193574</v>
      </c>
      <c r="BO90" s="2254">
        <f t="shared" si="561"/>
        <v>-2017.9010514193574</v>
      </c>
      <c r="BP90" s="2254">
        <f t="shared" si="561"/>
        <v>-2017.9010514193574</v>
      </c>
      <c r="BQ90" s="2254">
        <f t="shared" si="561"/>
        <v>-2088.5275882190349</v>
      </c>
      <c r="BR90" s="2254">
        <f t="shared" si="561"/>
        <v>-2088.5275882190349</v>
      </c>
      <c r="BS90" s="2254">
        <f t="shared" si="561"/>
        <v>-2088.5275882190349</v>
      </c>
      <c r="BT90" s="2254">
        <f t="shared" si="561"/>
        <v>-2088.5275882190349</v>
      </c>
      <c r="BU90" s="2254" t="e">
        <f t="shared" si="561"/>
        <v>#N/A</v>
      </c>
      <c r="BV90" s="2254" t="e">
        <f t="shared" si="561"/>
        <v>#N/A</v>
      </c>
      <c r="BW90" s="2254" t="e">
        <f t="shared" si="561"/>
        <v>#N/A</v>
      </c>
      <c r="BX90" s="2254" t="e">
        <f t="shared" si="561"/>
        <v>#N/A</v>
      </c>
      <c r="BY90" s="2254" t="e">
        <f t="shared" si="561"/>
        <v>#N/A</v>
      </c>
      <c r="BZ90" s="2254" t="e">
        <f t="shared" si="561"/>
        <v>#N/A</v>
      </c>
      <c r="CA90" s="2254" t="e">
        <f t="shared" si="561"/>
        <v>#N/A</v>
      </c>
      <c r="CB90" s="2254" t="e">
        <f t="shared" si="561"/>
        <v>#N/A</v>
      </c>
      <c r="CC90" s="2254" t="e">
        <f t="shared" si="561"/>
        <v>#N/A</v>
      </c>
      <c r="CD90" s="2254" t="e">
        <f t="shared" si="561"/>
        <v>#N/A</v>
      </c>
      <c r="CE90" s="2254" t="e">
        <f t="shared" si="561"/>
        <v>#N/A</v>
      </c>
      <c r="CF90" s="2254" t="e">
        <f t="shared" si="561"/>
        <v>#N/A</v>
      </c>
      <c r="CG90" s="2254" t="e">
        <f t="shared" si="561"/>
        <v>#N/A</v>
      </c>
      <c r="CH90" s="2254" t="e">
        <f t="shared" si="561"/>
        <v>#N/A</v>
      </c>
      <c r="CI90" s="2254" t="e">
        <f t="shared" si="561"/>
        <v>#N/A</v>
      </c>
      <c r="CJ90" s="2254" t="e">
        <f t="shared" si="561"/>
        <v>#N/A</v>
      </c>
      <c r="CK90" s="2254" t="e">
        <f t="shared" si="561"/>
        <v>#N/A</v>
      </c>
      <c r="CL90" s="2254" t="e">
        <f t="shared" si="561"/>
        <v>#N/A</v>
      </c>
      <c r="CM90" s="2254" t="e">
        <f t="shared" si="561"/>
        <v>#N/A</v>
      </c>
      <c r="CN90" s="2254" t="e">
        <f t="shared" si="561"/>
        <v>#N/A</v>
      </c>
      <c r="CO90" s="2254" t="e">
        <f t="shared" si="561"/>
        <v>#N/A</v>
      </c>
      <c r="CP90" s="2254" t="e">
        <f t="shared" si="561"/>
        <v>#N/A</v>
      </c>
      <c r="CQ90" s="2254" t="e">
        <f t="shared" si="561"/>
        <v>#N/A</v>
      </c>
      <c r="CR90" s="2254" t="e">
        <f t="shared" si="561"/>
        <v>#N/A</v>
      </c>
      <c r="CS90" s="2254" t="e">
        <f t="shared" si="561"/>
        <v>#N/A</v>
      </c>
      <c r="CT90" s="2254" t="e">
        <f t="shared" si="561"/>
        <v>#N/A</v>
      </c>
      <c r="CU90" s="2254" t="e">
        <f t="shared" si="561"/>
        <v>#N/A</v>
      </c>
      <c r="CV90" s="2254" t="e">
        <f t="shared" si="561"/>
        <v>#N/A</v>
      </c>
      <c r="CW90" s="2254" t="e">
        <f t="shared" si="561"/>
        <v>#N/A</v>
      </c>
      <c r="CX90" s="2254" t="e">
        <f t="shared" si="561"/>
        <v>#N/A</v>
      </c>
      <c r="CY90" s="2254" t="e">
        <f t="shared" si="561"/>
        <v>#N/A</v>
      </c>
      <c r="CZ90" s="2254" t="e">
        <f t="shared" si="561"/>
        <v>#N/A</v>
      </c>
    </row>
    <row r="91" spans="1:104" s="2255" customFormat="1">
      <c r="A91" s="2243" t="s">
        <v>184</v>
      </c>
      <c r="B91" s="2205"/>
      <c r="C91" s="2206"/>
      <c r="D91" s="2206"/>
      <c r="E91" s="2241"/>
      <c r="F91" s="2241"/>
      <c r="G91" s="2241"/>
      <c r="H91" s="2246">
        <f>'Fixed Asset &amp; Interest'!D63</f>
        <v>-1520.5790053701658</v>
      </c>
      <c r="I91" s="2246">
        <f>'Fixed Asset &amp; Interest'!E63</f>
        <v>-2025.6653907196587</v>
      </c>
      <c r="J91" s="2241"/>
      <c r="K91" s="2208"/>
      <c r="L91" s="2514"/>
      <c r="M91" s="2514"/>
      <c r="N91" s="2514"/>
      <c r="O91" s="2514"/>
      <c r="P91" s="2514"/>
      <c r="Q91" s="2514"/>
      <c r="R91" s="2250"/>
      <c r="S91" s="2250">
        <f ca="1">L95/FS!P96</f>
        <v>0.76238733276983672</v>
      </c>
      <c r="T91" s="2175">
        <v>88</v>
      </c>
      <c r="U91" s="2250"/>
      <c r="V91" s="2250"/>
      <c r="W91" s="2250"/>
      <c r="X91" s="2250"/>
      <c r="Y91" s="2250"/>
      <c r="Z91" s="2250"/>
      <c r="AA91" s="2250"/>
      <c r="AB91" s="2250"/>
      <c r="AC91" s="2550"/>
      <c r="AD91" s="2550"/>
      <c r="AE91" s="2550"/>
      <c r="AF91" s="2550"/>
      <c r="AG91" s="2550"/>
      <c r="AH91" s="2550"/>
      <c r="AI91" s="2550"/>
      <c r="AJ91" s="2550"/>
      <c r="AK91" s="2550"/>
      <c r="AL91" s="2550"/>
      <c r="AM91" s="2550"/>
      <c r="AN91" s="2550"/>
      <c r="AO91" s="2551"/>
      <c r="AP91" s="2552"/>
      <c r="AQ91" s="2552"/>
      <c r="AR91" s="2552"/>
      <c r="AS91" s="2551"/>
      <c r="AT91" s="2550"/>
      <c r="AU91" s="2550"/>
      <c r="AV91" s="2550"/>
      <c r="AW91" s="2553"/>
      <c r="AX91" s="2554"/>
      <c r="AY91" s="2554"/>
      <c r="AZ91" s="2554"/>
      <c r="BA91" s="2555"/>
      <c r="BB91" s="2555"/>
      <c r="BC91" s="2555"/>
      <c r="BD91" s="2555"/>
      <c r="BE91" s="2555"/>
      <c r="BF91" s="2555"/>
      <c r="BG91" s="2555"/>
      <c r="BH91" s="2555"/>
      <c r="BI91" s="2555"/>
      <c r="BJ91" s="2555"/>
      <c r="BK91" s="2555"/>
      <c r="BL91" s="2555"/>
      <c r="BM91" s="2555"/>
      <c r="BN91" s="2555"/>
      <c r="BO91" s="2555"/>
      <c r="BP91" s="2555"/>
      <c r="BQ91" s="2555"/>
      <c r="BR91" s="2555"/>
      <c r="BS91" s="2555"/>
      <c r="BT91" s="2555"/>
      <c r="BU91" s="2555"/>
      <c r="BV91" s="2555"/>
      <c r="BW91" s="2555"/>
      <c r="BX91" s="2555"/>
      <c r="BY91" s="2555"/>
      <c r="BZ91" s="2555"/>
      <c r="CA91" s="2555"/>
      <c r="CB91" s="2555"/>
      <c r="CC91" s="2555"/>
      <c r="CD91" s="2555"/>
      <c r="CE91" s="2555"/>
      <c r="CF91" s="2555"/>
      <c r="CG91" s="2555"/>
      <c r="CH91" s="2555"/>
      <c r="CI91" s="2555"/>
      <c r="CJ91" s="2555"/>
      <c r="CK91" s="2555"/>
      <c r="CL91" s="2555"/>
      <c r="CM91" s="2555"/>
      <c r="CN91" s="2555"/>
      <c r="CO91" s="2555"/>
      <c r="CP91" s="2555"/>
      <c r="CQ91" s="2555"/>
      <c r="CR91" s="2555"/>
      <c r="CS91" s="2555"/>
      <c r="CT91" s="2555"/>
      <c r="CU91" s="2555"/>
      <c r="CV91" s="2555"/>
      <c r="CW91" s="2555"/>
      <c r="CX91" s="2555"/>
      <c r="CY91" s="2555"/>
      <c r="CZ91" s="2555"/>
    </row>
    <row r="92" spans="1:104" s="2255" customFormat="1">
      <c r="A92" s="2243" t="s">
        <v>185</v>
      </c>
      <c r="B92" s="2205"/>
      <c r="C92" s="2206"/>
      <c r="D92" s="2206"/>
      <c r="E92" s="2241"/>
      <c r="F92" s="2241"/>
      <c r="G92" s="2241"/>
      <c r="H92" s="2241"/>
      <c r="I92" s="2241"/>
      <c r="J92" s="2241"/>
      <c r="K92" s="2208"/>
      <c r="L92" s="2514"/>
      <c r="M92" s="2514"/>
      <c r="N92" s="2514"/>
      <c r="O92" s="2514"/>
      <c r="P92" s="2514"/>
      <c r="Q92" s="2514"/>
      <c r="R92" s="2250"/>
      <c r="S92" s="2250"/>
      <c r="T92" s="2175">
        <v>89</v>
      </c>
      <c r="U92" s="2250"/>
      <c r="V92" s="2250"/>
      <c r="W92" s="2250"/>
      <c r="X92" s="2250"/>
      <c r="Y92" s="2250"/>
      <c r="Z92" s="2250"/>
      <c r="AA92" s="2250"/>
      <c r="AB92" s="2250"/>
      <c r="AC92" s="2550"/>
      <c r="AD92" s="2550"/>
      <c r="AE92" s="2550"/>
      <c r="AF92" s="2550"/>
      <c r="AG92" s="2550"/>
      <c r="AH92" s="2550"/>
      <c r="AI92" s="2550"/>
      <c r="AJ92" s="2550"/>
      <c r="AK92" s="2550"/>
      <c r="AL92" s="2550"/>
      <c r="AM92" s="2550"/>
      <c r="AN92" s="2550"/>
      <c r="AO92" s="2551">
        <f t="shared" ref="AO92:BE92" ca="1" si="562">AO88/AK88-1</f>
        <v>-0.30105944878668811</v>
      </c>
      <c r="AP92" s="2552">
        <f t="shared" ca="1" si="562"/>
        <v>0.2747972099839624</v>
      </c>
      <c r="AQ92" s="2552">
        <f t="shared" ca="1" si="562"/>
        <v>0.23582733612784934</v>
      </c>
      <c r="AR92" s="2552">
        <f t="shared" ca="1" si="562"/>
        <v>1.4144001255229854E-2</v>
      </c>
      <c r="AS92" s="2551">
        <f t="shared" ca="1" si="562"/>
        <v>4.3050006104088823E-2</v>
      </c>
      <c r="AT92" s="2550">
        <f t="shared" ca="1" si="562"/>
        <v>2.1779318355821697E-2</v>
      </c>
      <c r="AU92" s="2550">
        <f t="shared" ca="1" si="562"/>
        <v>-0.12010016309536897</v>
      </c>
      <c r="AV92" s="2550">
        <f t="shared" ca="1" si="562"/>
        <v>0.16427562563010967</v>
      </c>
      <c r="AW92" s="2553">
        <f t="shared" ca="1" si="562"/>
        <v>-4.4478394985519865E-3</v>
      </c>
      <c r="AX92" s="2554">
        <f t="shared" ca="1" si="562"/>
        <v>1.1255349667292913E-2</v>
      </c>
      <c r="AY92" s="2554">
        <f t="shared" ca="1" si="562"/>
        <v>5.298633876328096E-2</v>
      </c>
      <c r="AZ92" s="2554">
        <f t="shared" ca="1" si="562"/>
        <v>3.9850764004672357E-2</v>
      </c>
      <c r="BA92" s="2555">
        <f t="shared" ca="1" si="562"/>
        <v>0.16272482766996688</v>
      </c>
      <c r="BB92" s="2555">
        <f t="shared" ca="1" si="562"/>
        <v>0.13396260954670192</v>
      </c>
      <c r="BC92" s="2555">
        <f t="shared" ca="1" si="562"/>
        <v>0.13449679014507532</v>
      </c>
      <c r="BD92" s="2555">
        <f t="shared" ca="1" si="562"/>
        <v>8.4408258771958788E-2</v>
      </c>
      <c r="BE92" s="2555">
        <f t="shared" ca="1" si="562"/>
        <v>0.11134532906704409</v>
      </c>
      <c r="BF92" s="2555">
        <f t="shared" ref="BF92" ca="1" si="563">BF88/BB88-1</f>
        <v>0.11203939170872768</v>
      </c>
      <c r="BG92" s="2555">
        <f ca="1">BG88/BC88-1</f>
        <v>0.11162889644460838</v>
      </c>
      <c r="BH92" s="2555">
        <f ca="1">BH88/BD88-1</f>
        <v>0.11093331507205595</v>
      </c>
      <c r="BI92" s="2555">
        <f ca="1">BI88/BE88-1</f>
        <v>0.11154587064194765</v>
      </c>
      <c r="BJ92" s="2555">
        <f t="shared" ref="BJ92" ca="1" si="564">BJ88/BF88-1</f>
        <v>0.11223338369706748</v>
      </c>
      <c r="BK92" s="2555">
        <f ca="1">BK88/BG88-1</f>
        <v>0.11181245663494233</v>
      </c>
      <c r="BL92" s="2555">
        <f ca="1">BL88/BH88-1</f>
        <v>0.11111854109915065</v>
      </c>
      <c r="BM92" s="2555">
        <f ca="1">BM88/BI88-1</f>
        <v>8.3522352737385397E-2</v>
      </c>
      <c r="BN92" s="2555">
        <f t="shared" ref="BN92" ca="1" si="565">BN88/BJ88-1</f>
        <v>7.88152290248465E-2</v>
      </c>
      <c r="BO92" s="2555">
        <f ca="1">BO88/BK88-1</f>
        <v>7.6724590352463817E-2</v>
      </c>
      <c r="BP92" s="2555">
        <f ca="1">BP88/BL88-1</f>
        <v>7.4306010125835487E-2</v>
      </c>
      <c r="BQ92" s="2555">
        <f ca="1">BQ88/BM88-1</f>
        <v>7.73620943571387E-2</v>
      </c>
      <c r="BR92" s="2555">
        <f t="shared" ref="BR92" ca="1" si="566">BR88/BN88-1</f>
        <v>7.9773817130731839E-2</v>
      </c>
      <c r="BS92" s="2555">
        <f ca="1">BS88/BO88-1</f>
        <v>7.7734629494145668E-2</v>
      </c>
      <c r="BT92" s="2555">
        <f ca="1">BT88/BP88-1</f>
        <v>7.5365669259088053E-2</v>
      </c>
      <c r="BU92" s="2555">
        <f ca="1">BU88/BQ88-1</f>
        <v>7.8357283095187968E-2</v>
      </c>
      <c r="BV92" s="2555">
        <f t="shared" ref="BV92" ca="1" si="567">BV88/BR88-1</f>
        <v>8.0706173807116643E-2</v>
      </c>
      <c r="BW92" s="2555">
        <f ca="1">BW88/BS88-1</f>
        <v>7.87207991713188E-2</v>
      </c>
      <c r="BX92" s="2555">
        <f ca="1">BX88/BT88-1</f>
        <v>7.6404899850837316E-2</v>
      </c>
      <c r="BY92" s="2555">
        <f ca="1">BY88/BU88-1</f>
        <v>7.93278176338994E-2</v>
      </c>
      <c r="BZ92" s="2555">
        <f t="shared" ref="BZ92" ca="1" si="568">BZ88/BV88-1</f>
        <v>8.1611430136776075E-2</v>
      </c>
      <c r="CA92" s="2555">
        <f ca="1">CA88/BW88-1</f>
        <v>7.9681881659852571E-2</v>
      </c>
      <c r="CB92" s="2555">
        <f ca="1">CB88/BX88-1</f>
        <v>7.7422108393407685E-2</v>
      </c>
      <c r="CC92" s="2555">
        <f ca="1">CC88/BY88-1</f>
        <v>-1</v>
      </c>
      <c r="CD92" s="2555">
        <f t="shared" ref="CD92" ca="1" si="569">CD88/BZ88-1</f>
        <v>-1</v>
      </c>
      <c r="CE92" s="2555">
        <f ca="1">CE88/CA88-1</f>
        <v>-1</v>
      </c>
      <c r="CF92" s="2555">
        <f ca="1">CF88/CB88-1</f>
        <v>-1</v>
      </c>
      <c r="CG92" s="2555" t="e">
        <f t="shared" ref="CG92" si="570">CG88/CC88-1</f>
        <v>#DIV/0!</v>
      </c>
      <c r="CH92" s="2555" t="e">
        <f t="shared" ref="CH92" ca="1" si="571">CH88/CD88-1</f>
        <v>#DIV/0!</v>
      </c>
      <c r="CI92" s="2555" t="e">
        <f ca="1">CI88/CE88-1</f>
        <v>#DIV/0!</v>
      </c>
      <c r="CJ92" s="2555" t="e">
        <f ca="1">CJ88/CF88-1</f>
        <v>#DIV/0!</v>
      </c>
      <c r="CK92" s="2555" t="e">
        <f t="shared" ref="CK92" si="572">CK88/CG88-1</f>
        <v>#DIV/0!</v>
      </c>
      <c r="CL92" s="2555" t="e">
        <f t="shared" ref="CL92" ca="1" si="573">CL88/CH88-1</f>
        <v>#DIV/0!</v>
      </c>
      <c r="CM92" s="2555" t="e">
        <f ca="1">CM88/CI88-1</f>
        <v>#DIV/0!</v>
      </c>
      <c r="CN92" s="2555" t="e">
        <f ca="1">CN88/CJ88-1</f>
        <v>#DIV/0!</v>
      </c>
      <c r="CO92" s="2555" t="e">
        <f t="shared" ref="CO92" si="574">CO88/CK88-1</f>
        <v>#DIV/0!</v>
      </c>
      <c r="CP92" s="2555" t="e">
        <f t="shared" ref="CP92" ca="1" si="575">CP88/CL88-1</f>
        <v>#DIV/0!</v>
      </c>
      <c r="CQ92" s="2555" t="e">
        <f ca="1">CQ88/CM88-1</f>
        <v>#DIV/0!</v>
      </c>
      <c r="CR92" s="2555" t="e">
        <f ca="1">CR88/CN88-1</f>
        <v>#DIV/0!</v>
      </c>
      <c r="CS92" s="2555" t="e">
        <f t="shared" ref="CS92" si="576">CS88/CO88-1</f>
        <v>#DIV/0!</v>
      </c>
      <c r="CT92" s="2555" t="e">
        <f t="shared" ref="CT92" ca="1" si="577">CT88/CP88-1</f>
        <v>#DIV/0!</v>
      </c>
      <c r="CU92" s="2555" t="e">
        <f ca="1">CU88/CQ88-1</f>
        <v>#DIV/0!</v>
      </c>
      <c r="CV92" s="2555" t="e">
        <f ca="1">CV88/CR88-1</f>
        <v>#DIV/0!</v>
      </c>
      <c r="CW92" s="2555" t="e">
        <f t="shared" ref="CW92" si="578">CW88/CS88-1</f>
        <v>#DIV/0!</v>
      </c>
      <c r="CX92" s="2555" t="e">
        <f t="shared" ref="CX92" ca="1" si="579">CX88/CT88-1</f>
        <v>#DIV/0!</v>
      </c>
      <c r="CY92" s="2555" t="e">
        <f ca="1">CY88/CU88-1</f>
        <v>#DIV/0!</v>
      </c>
      <c r="CZ92" s="2555" t="e">
        <f ca="1">CZ88/CV88-1</f>
        <v>#DIV/0!</v>
      </c>
    </row>
    <row r="93" spans="1:104" s="2568" customFormat="1">
      <c r="A93" s="2556" t="s">
        <v>186</v>
      </c>
      <c r="B93" s="2557">
        <f t="shared" ref="B93:Q93" si="580">B86+B88</f>
        <v>1322.0208673419997</v>
      </c>
      <c r="C93" s="2558">
        <f t="shared" si="580"/>
        <v>1991.6331112120006</v>
      </c>
      <c r="D93" s="2558">
        <f t="shared" si="580"/>
        <v>2615.2477640180005</v>
      </c>
      <c r="E93" s="2559">
        <f t="shared" si="580"/>
        <v>4482.0231993790003</v>
      </c>
      <c r="F93" s="2559">
        <f t="shared" si="580"/>
        <v>6008.3488080699972</v>
      </c>
      <c r="G93" s="2559">
        <f t="shared" si="580"/>
        <v>7121.3625952399998</v>
      </c>
      <c r="H93" s="2559">
        <f t="shared" si="580"/>
        <v>7094.302021962998</v>
      </c>
      <c r="I93" s="2559">
        <f t="shared" ca="1" si="580"/>
        <v>10221.467566597996</v>
      </c>
      <c r="J93" s="2559">
        <f t="shared" ca="1" si="580"/>
        <v>2087.4460145259982</v>
      </c>
      <c r="K93" s="2560">
        <f t="shared" ca="1" si="580"/>
        <v>4468.6229806810024</v>
      </c>
      <c r="L93" s="2561">
        <f t="shared" ca="1" si="580"/>
        <v>6616.7088803241168</v>
      </c>
      <c r="M93" s="2561">
        <f t="shared" ca="1" si="580"/>
        <v>7666.8381411165683</v>
      </c>
      <c r="N93" s="2561">
        <f t="shared" ca="1" si="580"/>
        <v>8589.3967696155378</v>
      </c>
      <c r="O93" s="2561">
        <f t="shared" ca="1" si="580"/>
        <v>9996.0256365629793</v>
      </c>
      <c r="P93" s="2561">
        <f t="shared" ca="1" si="580"/>
        <v>10773.873808826902</v>
      </c>
      <c r="Q93" s="2561">
        <f t="shared" ca="1" si="580"/>
        <v>11607.046023862062</v>
      </c>
      <c r="R93" s="2561"/>
      <c r="S93" s="2561"/>
      <c r="T93" s="2562">
        <v>90</v>
      </c>
      <c r="U93" s="2561"/>
      <c r="V93" s="2561"/>
      <c r="W93" s="2561"/>
      <c r="X93" s="2561"/>
      <c r="Y93" s="2561"/>
      <c r="Z93" s="2561"/>
      <c r="AA93" s="2561"/>
      <c r="AB93" s="2561"/>
      <c r="AC93" s="2561">
        <f t="shared" ref="AC93:AJ93" si="581">AC86+AC88</f>
        <v>1120.9125663105697</v>
      </c>
      <c r="AD93" s="2561">
        <f t="shared" si="581"/>
        <v>2362.5921854235157</v>
      </c>
      <c r="AE93" s="2561">
        <f t="shared" si="581"/>
        <v>1929.7401987343565</v>
      </c>
      <c r="AF93" s="2561">
        <f t="shared" si="581"/>
        <v>1451.6513502507278</v>
      </c>
      <c r="AG93" s="2561">
        <f t="shared" si="581"/>
        <v>2454.2733191971583</v>
      </c>
      <c r="AH93" s="2561">
        <f t="shared" si="581"/>
        <v>2114.5710745659012</v>
      </c>
      <c r="AI93" s="2561">
        <f t="shared" si="581"/>
        <v>907.38870339053665</v>
      </c>
      <c r="AJ93" s="2561">
        <f t="shared" si="581"/>
        <v>2060.9948234556405</v>
      </c>
      <c r="AK93" s="2561">
        <f>AK57</f>
        <v>2608.7727896329998</v>
      </c>
      <c r="AL93" s="2561">
        <f>AL57</f>
        <v>3151.0690231819999</v>
      </c>
      <c r="AM93" s="2561">
        <f>AM57</f>
        <v>2817.8832929070004</v>
      </c>
      <c r="AN93" s="2561">
        <f>AN57</f>
        <v>1643.7424608759998</v>
      </c>
      <c r="AO93" s="2563">
        <f t="shared" ref="AO93:AV93" ca="1" si="582">AO86+AO88</f>
        <v>629.09405415599986</v>
      </c>
      <c r="AP93" s="2564">
        <f t="shared" ca="1" si="582"/>
        <v>341.02844305200006</v>
      </c>
      <c r="AQ93" s="2564">
        <f t="shared" ca="1" si="582"/>
        <v>439.9561284209999</v>
      </c>
      <c r="AR93" s="2564">
        <f t="shared" ca="1" si="582"/>
        <v>677.36738889700018</v>
      </c>
      <c r="AS93" s="2563">
        <f t="shared" ca="1" si="582"/>
        <v>1303.0621291450002</v>
      </c>
      <c r="AT93" s="2561">
        <f t="shared" ca="1" si="582"/>
        <v>1452.2592037850627</v>
      </c>
      <c r="AU93" s="2561">
        <f t="shared" ca="1" si="582"/>
        <v>1340.1118437739374</v>
      </c>
      <c r="AV93" s="2561">
        <f t="shared" ca="1" si="582"/>
        <v>373.18980397699988</v>
      </c>
      <c r="AW93" s="2565">
        <f t="shared" ref="AW93" si="583">AW86+AW88</f>
        <v>1545.8980865439999</v>
      </c>
      <c r="AX93" s="2566">
        <f t="shared" ref="AX93:CB93" ca="1" si="584">AX86+AX88</f>
        <v>1477.5064327976165</v>
      </c>
      <c r="AY93" s="2566">
        <f t="shared" ca="1" si="584"/>
        <v>1508.1352035221348</v>
      </c>
      <c r="AZ93" s="2566">
        <f t="shared" ca="1" si="584"/>
        <v>2085.1691574603642</v>
      </c>
      <c r="BA93" s="2567">
        <f t="shared" ca="1" si="584"/>
        <v>1614.6843796860167</v>
      </c>
      <c r="BB93" s="2567">
        <f t="shared" ca="1" si="584"/>
        <v>1732.3872703268648</v>
      </c>
      <c r="BC93" s="2567">
        <f t="shared" ca="1" si="584"/>
        <v>1741.6763196253683</v>
      </c>
      <c r="BD93" s="2567">
        <f t="shared" ca="1" si="584"/>
        <v>2578.090171478319</v>
      </c>
      <c r="BE93" s="2567">
        <f t="shared" ca="1" si="584"/>
        <v>1794.4719432815723</v>
      </c>
      <c r="BF93" s="2567">
        <f t="shared" ca="1" si="584"/>
        <v>1926.4828862982304</v>
      </c>
      <c r="BG93" s="2567">
        <f t="shared" ca="1" si="584"/>
        <v>2004.3556792806407</v>
      </c>
      <c r="BH93" s="2567">
        <f t="shared" ca="1" si="584"/>
        <v>2864.0862607550935</v>
      </c>
      <c r="BI93" s="2567">
        <f t="shared" ca="1" si="584"/>
        <v>2091.9372872466074</v>
      </c>
      <c r="BJ93" s="2567">
        <f t="shared" ca="1" si="584"/>
        <v>2248.3566713666805</v>
      </c>
      <c r="BK93" s="2567">
        <f t="shared" ca="1" si="584"/>
        <v>2342.3026772534108</v>
      </c>
      <c r="BL93" s="2567">
        <f t="shared" ca="1" si="584"/>
        <v>3313.4290006962774</v>
      </c>
      <c r="BM93" s="2567">
        <f t="shared" ca="1" si="584"/>
        <v>2266.6608112565063</v>
      </c>
      <c r="BN93" s="2567">
        <f t="shared" ca="1" si="584"/>
        <v>2425.5614173499871</v>
      </c>
      <c r="BO93" s="2567">
        <f t="shared" ca="1" si="584"/>
        <v>2522.0148906471586</v>
      </c>
      <c r="BP93" s="2567">
        <f t="shared" ca="1" si="584"/>
        <v>3559.6366895732508</v>
      </c>
      <c r="BQ93" s="2567">
        <f t="shared" ca="1" si="584"/>
        <v>2442.0144388125618</v>
      </c>
      <c r="BR93" s="2567">
        <f t="shared" ca="1" si="584"/>
        <v>2619.0577102970228</v>
      </c>
      <c r="BS93" s="2567">
        <f t="shared" ca="1" si="584"/>
        <v>2718.0627837503334</v>
      </c>
      <c r="BT93" s="2567">
        <f t="shared" ca="1" si="584"/>
        <v>3827.9110910021454</v>
      </c>
      <c r="BU93" s="2567">
        <f t="shared" ca="1" si="584"/>
        <v>2633.3640555171341</v>
      </c>
      <c r="BV93" s="2567">
        <f t="shared" ca="1" si="584"/>
        <v>2830.4318370751253</v>
      </c>
      <c r="BW93" s="2567">
        <f t="shared" ca="1" si="584"/>
        <v>2932.0308582849793</v>
      </c>
      <c r="BX93" s="2567">
        <f t="shared" ca="1" si="584"/>
        <v>4120.3822545480725</v>
      </c>
      <c r="BY93" s="2567">
        <f t="shared" ca="1" si="584"/>
        <v>2842.2630790768626</v>
      </c>
      <c r="BZ93" s="2567">
        <f t="shared" ca="1" si="584"/>
        <v>3061.4274272034882</v>
      </c>
      <c r="CA93" s="2567">
        <f t="shared" ca="1" si="584"/>
        <v>3165.6605941578782</v>
      </c>
      <c r="CB93" s="2567">
        <f t="shared" ca="1" si="584"/>
        <v>4439.3909360819662</v>
      </c>
      <c r="CC93" s="2567">
        <f t="shared" ref="CC93:CK93" si="585">CC86+CC88</f>
        <v>0</v>
      </c>
      <c r="CD93" s="2567">
        <f ca="1">CD86+CD88</f>
        <v>0</v>
      </c>
      <c r="CE93" s="2567">
        <f ca="1">CE86+CE88</f>
        <v>0</v>
      </c>
      <c r="CF93" s="2567">
        <f ca="1">CF86+CF88</f>
        <v>0</v>
      </c>
      <c r="CG93" s="2567">
        <f t="shared" si="585"/>
        <v>0</v>
      </c>
      <c r="CH93" s="2567">
        <f ca="1">CH86+CH88</f>
        <v>0</v>
      </c>
      <c r="CI93" s="2567">
        <f ca="1">CI86+CI88</f>
        <v>0</v>
      </c>
      <c r="CJ93" s="2567">
        <f ca="1">CJ86+CJ88</f>
        <v>0</v>
      </c>
      <c r="CK93" s="2567">
        <f t="shared" si="585"/>
        <v>0</v>
      </c>
      <c r="CL93" s="2567">
        <f ca="1">CL86+CL88</f>
        <v>0</v>
      </c>
      <c r="CM93" s="2567">
        <f ca="1">CM86+CM88</f>
        <v>0</v>
      </c>
      <c r="CN93" s="2567">
        <f ca="1">CN86+CN88</f>
        <v>0</v>
      </c>
      <c r="CO93" s="2567">
        <f t="shared" ref="CO93:CW93" si="586">CO86+CO88</f>
        <v>0</v>
      </c>
      <c r="CP93" s="2567">
        <f ca="1">CP86+CP88</f>
        <v>0</v>
      </c>
      <c r="CQ93" s="2567">
        <f ca="1">CQ86+CQ88</f>
        <v>0</v>
      </c>
      <c r="CR93" s="2567">
        <f ca="1">CR86+CR88</f>
        <v>0</v>
      </c>
      <c r="CS93" s="2567">
        <f t="shared" si="586"/>
        <v>0</v>
      </c>
      <c r="CT93" s="2567">
        <f ca="1">CT86+CT88</f>
        <v>0</v>
      </c>
      <c r="CU93" s="2567">
        <f ca="1">CU86+CU88</f>
        <v>0</v>
      </c>
      <c r="CV93" s="2567">
        <f ca="1">CV86+CV88</f>
        <v>0</v>
      </c>
      <c r="CW93" s="2567">
        <f t="shared" si="586"/>
        <v>0</v>
      </c>
      <c r="CX93" s="2567">
        <f ca="1">CX86+CX88</f>
        <v>0</v>
      </c>
      <c r="CY93" s="2567">
        <f ca="1">CY86+CY88</f>
        <v>0</v>
      </c>
      <c r="CZ93" s="2567">
        <f ca="1">CZ86+CZ88</f>
        <v>0</v>
      </c>
    </row>
    <row r="94" spans="1:104" s="2255" customFormat="1">
      <c r="A94" s="2513" t="s">
        <v>187</v>
      </c>
      <c r="B94" s="2244">
        <v>0</v>
      </c>
      <c r="C94" s="2245">
        <v>0</v>
      </c>
      <c r="D94" s="2245">
        <v>0</v>
      </c>
      <c r="E94" s="2246">
        <v>0</v>
      </c>
      <c r="F94" s="2246">
        <v>0</v>
      </c>
      <c r="G94" s="2246">
        <v>0</v>
      </c>
      <c r="H94" s="2246">
        <v>0</v>
      </c>
      <c r="I94" s="2569">
        <v>0</v>
      </c>
      <c r="J94" s="2569">
        <v>0</v>
      </c>
      <c r="K94" s="2570">
        <v>0</v>
      </c>
      <c r="L94" s="2571">
        <v>0</v>
      </c>
      <c r="M94" s="2572">
        <v>0</v>
      </c>
      <c r="N94" s="2572">
        <v>1</v>
      </c>
      <c r="O94" s="2572">
        <v>2</v>
      </c>
      <c r="P94" s="2572">
        <v>3</v>
      </c>
      <c r="Q94" s="2572">
        <v>4</v>
      </c>
      <c r="R94" s="2250"/>
      <c r="S94" s="2250"/>
      <c r="T94" s="2175">
        <v>91</v>
      </c>
      <c r="U94" s="2250"/>
      <c r="V94" s="2250"/>
      <c r="W94" s="2250"/>
      <c r="X94" s="2250"/>
      <c r="Y94" s="2250"/>
      <c r="Z94" s="2250"/>
      <c r="AA94" s="2250"/>
      <c r="AB94" s="2250"/>
      <c r="AC94" s="2250">
        <v>-5</v>
      </c>
      <c r="AD94" s="2250">
        <v>-4</v>
      </c>
      <c r="AE94" s="2250">
        <v>-3</v>
      </c>
      <c r="AF94" s="2250">
        <v>-2</v>
      </c>
      <c r="AG94" s="2250">
        <v>-1</v>
      </c>
      <c r="AH94" s="2250">
        <v>0</v>
      </c>
      <c r="AI94" s="2250">
        <v>0</v>
      </c>
      <c r="AJ94" s="2250">
        <v>0</v>
      </c>
      <c r="AK94" s="2250">
        <v>0</v>
      </c>
      <c r="AL94" s="2250">
        <v>0</v>
      </c>
      <c r="AM94" s="2250">
        <v>0</v>
      </c>
      <c r="AN94" s="2250">
        <v>0</v>
      </c>
      <c r="AO94" s="2251">
        <v>0</v>
      </c>
      <c r="AP94" s="2248">
        <v>0</v>
      </c>
      <c r="AQ94" s="2248">
        <v>0</v>
      </c>
      <c r="AR94" s="2248">
        <v>0</v>
      </c>
      <c r="AS94" s="2251">
        <v>0</v>
      </c>
      <c r="AT94" s="2250">
        <v>0</v>
      </c>
      <c r="AU94" s="2250">
        <v>0</v>
      </c>
      <c r="AV94" s="2250">
        <v>0</v>
      </c>
      <c r="AW94" s="2252">
        <v>0</v>
      </c>
      <c r="AX94" s="2253">
        <v>0</v>
      </c>
      <c r="AY94" s="2253">
        <v>0</v>
      </c>
      <c r="AZ94" s="2253">
        <v>0</v>
      </c>
      <c r="BA94" s="2254">
        <v>0</v>
      </c>
      <c r="BB94" s="2254">
        <v>1</v>
      </c>
      <c r="BC94" s="2254">
        <v>2</v>
      </c>
      <c r="BD94" s="2254">
        <v>3</v>
      </c>
      <c r="BE94" s="2254">
        <v>4</v>
      </c>
      <c r="BF94" s="2254">
        <v>5</v>
      </c>
      <c r="BG94" s="2254">
        <v>6</v>
      </c>
      <c r="BH94" s="2254">
        <v>7</v>
      </c>
      <c r="BI94" s="2254">
        <v>7</v>
      </c>
      <c r="BJ94" s="2254">
        <v>7</v>
      </c>
      <c r="BK94" s="2254">
        <v>7</v>
      </c>
      <c r="BL94" s="2254">
        <v>7</v>
      </c>
      <c r="BM94" s="2254">
        <v>7</v>
      </c>
      <c r="BN94" s="2254">
        <v>7</v>
      </c>
      <c r="BO94" s="2254">
        <v>7</v>
      </c>
      <c r="BP94" s="2254">
        <v>7</v>
      </c>
      <c r="BQ94" s="2254">
        <v>7</v>
      </c>
      <c r="BR94" s="2254">
        <v>7</v>
      </c>
      <c r="BS94" s="2254">
        <v>7</v>
      </c>
      <c r="BT94" s="2254">
        <v>7</v>
      </c>
      <c r="BU94" s="2254">
        <v>7</v>
      </c>
      <c r="BV94" s="2254">
        <v>7</v>
      </c>
      <c r="BW94" s="2254">
        <v>7</v>
      </c>
      <c r="BX94" s="2254">
        <v>7</v>
      </c>
      <c r="BY94" s="2254">
        <v>7</v>
      </c>
      <c r="BZ94" s="2254">
        <v>7</v>
      </c>
      <c r="CA94" s="2254">
        <v>7</v>
      </c>
      <c r="CB94" s="2254">
        <v>7</v>
      </c>
      <c r="CC94" s="2254">
        <v>7</v>
      </c>
      <c r="CD94" s="2254">
        <v>7</v>
      </c>
      <c r="CE94" s="2254">
        <v>7</v>
      </c>
      <c r="CF94" s="2254">
        <v>7</v>
      </c>
      <c r="CG94" s="2254">
        <v>7</v>
      </c>
      <c r="CH94" s="2254">
        <v>7</v>
      </c>
      <c r="CI94" s="2254">
        <v>7</v>
      </c>
      <c r="CJ94" s="2254">
        <v>7</v>
      </c>
      <c r="CK94" s="2254">
        <v>7</v>
      </c>
      <c r="CL94" s="2254">
        <v>7</v>
      </c>
      <c r="CM94" s="2254">
        <v>7</v>
      </c>
      <c r="CN94" s="2254">
        <v>7</v>
      </c>
      <c r="CO94" s="2254">
        <v>40</v>
      </c>
      <c r="CP94" s="2254">
        <v>41</v>
      </c>
      <c r="CQ94" s="2254">
        <v>42</v>
      </c>
      <c r="CR94" s="2254">
        <v>43</v>
      </c>
      <c r="CS94" s="2254">
        <v>44</v>
      </c>
      <c r="CT94" s="2254">
        <v>45</v>
      </c>
      <c r="CU94" s="2254">
        <v>46</v>
      </c>
      <c r="CV94" s="2254">
        <v>47</v>
      </c>
      <c r="CW94" s="2254">
        <v>48</v>
      </c>
      <c r="CX94" s="2254">
        <v>49</v>
      </c>
      <c r="CY94" s="2254">
        <v>50</v>
      </c>
      <c r="CZ94" s="2254">
        <v>51</v>
      </c>
    </row>
    <row r="95" spans="1:104" s="2319" customFormat="1" ht="17">
      <c r="A95" s="2531" t="s">
        <v>188</v>
      </c>
      <c r="B95" s="2307">
        <f t="shared" ref="B95:Q95" si="587">B93+B94</f>
        <v>1322.0208673419997</v>
      </c>
      <c r="C95" s="2308">
        <f t="shared" si="587"/>
        <v>1991.6331112120006</v>
      </c>
      <c r="D95" s="2308">
        <f t="shared" si="587"/>
        <v>2615.2477640180005</v>
      </c>
      <c r="E95" s="2309">
        <f t="shared" si="587"/>
        <v>4482.0231993790003</v>
      </c>
      <c r="F95" s="2309">
        <f t="shared" si="587"/>
        <v>6008.3488080699972</v>
      </c>
      <c r="G95" s="2309">
        <f t="shared" si="587"/>
        <v>7121.3625952399998</v>
      </c>
      <c r="H95" s="2309">
        <f t="shared" si="587"/>
        <v>7094.302021962998</v>
      </c>
      <c r="I95" s="2309">
        <f t="shared" ca="1" si="587"/>
        <v>10221.467566597996</v>
      </c>
      <c r="J95" s="2309">
        <f t="shared" ca="1" si="587"/>
        <v>2087.4460145259982</v>
      </c>
      <c r="K95" s="2310">
        <f t="shared" ca="1" si="587"/>
        <v>4468.6229806810024</v>
      </c>
      <c r="L95" s="2311">
        <f t="shared" ca="1" si="587"/>
        <v>6616.7088803241168</v>
      </c>
      <c r="M95" s="2311">
        <f t="shared" ca="1" si="587"/>
        <v>7666.8381411165683</v>
      </c>
      <c r="N95" s="2311">
        <f t="shared" ca="1" si="587"/>
        <v>8590.3967696155378</v>
      </c>
      <c r="O95" s="2311">
        <f t="shared" ca="1" si="587"/>
        <v>9998.0256365629793</v>
      </c>
      <c r="P95" s="2311">
        <f t="shared" ca="1" si="587"/>
        <v>10776.873808826902</v>
      </c>
      <c r="Q95" s="2311">
        <f t="shared" ca="1" si="587"/>
        <v>11611.046023862062</v>
      </c>
      <c r="R95" s="2311"/>
      <c r="S95" s="2573">
        <f ca="1">M95/FS!Q101</f>
        <v>0.88257398592850023</v>
      </c>
      <c r="T95" s="2175">
        <v>92</v>
      </c>
      <c r="U95" s="2311"/>
      <c r="V95" s="2311"/>
      <c r="W95" s="2311"/>
      <c r="X95" s="2311"/>
      <c r="Y95" s="2311"/>
      <c r="Z95" s="2311"/>
      <c r="AA95" s="2311"/>
      <c r="AB95" s="2311"/>
      <c r="AC95" s="2311">
        <f t="shared" ref="AC95:AJ95" si="588">AC93+AC94</f>
        <v>1115.9125663105697</v>
      </c>
      <c r="AD95" s="2311">
        <f t="shared" si="588"/>
        <v>2358.5921854235157</v>
      </c>
      <c r="AE95" s="2311">
        <f t="shared" si="588"/>
        <v>1926.7401987343565</v>
      </c>
      <c r="AF95" s="2311">
        <f t="shared" si="588"/>
        <v>1449.6513502507278</v>
      </c>
      <c r="AG95" s="2311">
        <f t="shared" si="588"/>
        <v>2453.2733191971583</v>
      </c>
      <c r="AH95" s="2311">
        <f t="shared" si="588"/>
        <v>2114.5710745659012</v>
      </c>
      <c r="AI95" s="2311">
        <f t="shared" si="588"/>
        <v>907.38870339053665</v>
      </c>
      <c r="AJ95" s="2311">
        <f t="shared" si="588"/>
        <v>2060.9948234556405</v>
      </c>
      <c r="AK95" s="2311">
        <f>AK93+AK94</f>
        <v>2608.7727896329998</v>
      </c>
      <c r="AL95" s="2311">
        <f>AL93+AL94</f>
        <v>3151.0690231819999</v>
      </c>
      <c r="AM95" s="2311">
        <f>AM93+AM94</f>
        <v>2817.8832929070004</v>
      </c>
      <c r="AN95" s="2311">
        <f>AN93+AN94</f>
        <v>1643.7424608759998</v>
      </c>
      <c r="AO95" s="2312">
        <f>'quý 1.22'!AP28+104.794481/0.2-('quý 1.22'!AP17+'quý 1.22'!AP18+'quý 1.22'!AP26)</f>
        <v>629.09405415599997</v>
      </c>
      <c r="AP95" s="2314">
        <f t="shared" ref="AP95:AT95" si="589">AP57</f>
        <v>341.02844305199994</v>
      </c>
      <c r="AQ95" s="2314">
        <f t="shared" si="589"/>
        <v>439.95612842099996</v>
      </c>
      <c r="AR95" s="2314">
        <f t="shared" si="589"/>
        <v>677.36738889699996</v>
      </c>
      <c r="AS95" s="2312">
        <f t="shared" si="589"/>
        <v>1303.0621291450002</v>
      </c>
      <c r="AT95" s="2314">
        <f t="shared" si="589"/>
        <v>1452.2592037850625</v>
      </c>
      <c r="AU95" s="2314">
        <f>AU57</f>
        <v>1340.1118437739374</v>
      </c>
      <c r="AV95" s="2314">
        <f>AV57</f>
        <v>373.189803977</v>
      </c>
      <c r="AW95" s="2315">
        <f>AW57</f>
        <v>1545.8980865440001</v>
      </c>
      <c r="AX95" s="2315">
        <f ca="1">AX57</f>
        <v>1477.5064327976165</v>
      </c>
      <c r="AY95" s="2315">
        <f ca="1">AY57</f>
        <v>1508.1352035221348</v>
      </c>
      <c r="AZ95" s="2317">
        <f ca="1">AZ93+AZ94</f>
        <v>2085.1691574603642</v>
      </c>
      <c r="BA95" s="2318">
        <f t="shared" ref="BA95:CB95" ca="1" si="590">BA93</f>
        <v>1614.6843796860167</v>
      </c>
      <c r="BB95" s="2318">
        <f t="shared" ca="1" si="590"/>
        <v>1732.3872703268648</v>
      </c>
      <c r="BC95" s="2318">
        <f t="shared" ca="1" si="590"/>
        <v>1741.6763196253683</v>
      </c>
      <c r="BD95" s="2318">
        <f t="shared" ca="1" si="590"/>
        <v>2578.090171478319</v>
      </c>
      <c r="BE95" s="2318">
        <f t="shared" ca="1" si="590"/>
        <v>1794.4719432815723</v>
      </c>
      <c r="BF95" s="2318">
        <f t="shared" ca="1" si="590"/>
        <v>1926.4828862982304</v>
      </c>
      <c r="BG95" s="2318">
        <f t="shared" ca="1" si="590"/>
        <v>2004.3556792806407</v>
      </c>
      <c r="BH95" s="2318">
        <f t="shared" ca="1" si="590"/>
        <v>2864.0862607550935</v>
      </c>
      <c r="BI95" s="2318">
        <f t="shared" ca="1" si="590"/>
        <v>2091.9372872466074</v>
      </c>
      <c r="BJ95" s="2318">
        <f t="shared" ca="1" si="590"/>
        <v>2248.3566713666805</v>
      </c>
      <c r="BK95" s="2318">
        <f t="shared" ca="1" si="590"/>
        <v>2342.3026772534108</v>
      </c>
      <c r="BL95" s="2318">
        <f t="shared" ca="1" si="590"/>
        <v>3313.4290006962774</v>
      </c>
      <c r="BM95" s="2318">
        <f t="shared" ca="1" si="590"/>
        <v>2266.6608112565063</v>
      </c>
      <c r="BN95" s="2318">
        <f t="shared" ca="1" si="590"/>
        <v>2425.5614173499871</v>
      </c>
      <c r="BO95" s="2318">
        <f t="shared" ca="1" si="590"/>
        <v>2522.0148906471586</v>
      </c>
      <c r="BP95" s="2318">
        <f t="shared" ca="1" si="590"/>
        <v>3559.6366895732508</v>
      </c>
      <c r="BQ95" s="2318">
        <f t="shared" ca="1" si="590"/>
        <v>2442.0144388125618</v>
      </c>
      <c r="BR95" s="2318">
        <f t="shared" ca="1" si="590"/>
        <v>2619.0577102970228</v>
      </c>
      <c r="BS95" s="2318">
        <f t="shared" ca="1" si="590"/>
        <v>2718.0627837503334</v>
      </c>
      <c r="BT95" s="2318">
        <f t="shared" ca="1" si="590"/>
        <v>3827.9110910021454</v>
      </c>
      <c r="BU95" s="2318">
        <f t="shared" ca="1" si="590"/>
        <v>2633.3640555171341</v>
      </c>
      <c r="BV95" s="2318">
        <f t="shared" ca="1" si="590"/>
        <v>2830.4318370751253</v>
      </c>
      <c r="BW95" s="2318">
        <f t="shared" ca="1" si="590"/>
        <v>2932.0308582849793</v>
      </c>
      <c r="BX95" s="2318">
        <f t="shared" ca="1" si="590"/>
        <v>4120.3822545480725</v>
      </c>
      <c r="BY95" s="2318">
        <f t="shared" ca="1" si="590"/>
        <v>2842.2630790768626</v>
      </c>
      <c r="BZ95" s="2318">
        <f t="shared" ca="1" si="590"/>
        <v>3061.4274272034882</v>
      </c>
      <c r="CA95" s="2318">
        <f t="shared" ca="1" si="590"/>
        <v>3165.6605941578782</v>
      </c>
      <c r="CB95" s="2318">
        <f t="shared" ca="1" si="590"/>
        <v>4439.3909360819662</v>
      </c>
      <c r="CC95" s="2318">
        <f t="shared" ref="CC95:CK95" si="591">CC93</f>
        <v>0</v>
      </c>
      <c r="CD95" s="2318">
        <f ca="1">CD93</f>
        <v>0</v>
      </c>
      <c r="CE95" s="2318">
        <f ca="1">CE93</f>
        <v>0</v>
      </c>
      <c r="CF95" s="2318">
        <f ca="1">CF93</f>
        <v>0</v>
      </c>
      <c r="CG95" s="2318">
        <f t="shared" si="591"/>
        <v>0</v>
      </c>
      <c r="CH95" s="2318">
        <f ca="1">CH93</f>
        <v>0</v>
      </c>
      <c r="CI95" s="2318">
        <f ca="1">CI93</f>
        <v>0</v>
      </c>
      <c r="CJ95" s="2318">
        <f ca="1">CJ93</f>
        <v>0</v>
      </c>
      <c r="CK95" s="2318">
        <f t="shared" si="591"/>
        <v>0</v>
      </c>
      <c r="CL95" s="2318">
        <f ca="1">CL93</f>
        <v>0</v>
      </c>
      <c r="CM95" s="2318">
        <f ca="1">CM93</f>
        <v>0</v>
      </c>
      <c r="CN95" s="2318">
        <f ca="1">CN93</f>
        <v>0</v>
      </c>
      <c r="CO95" s="2318">
        <f t="shared" ref="CO95:CW95" si="592">CO93</f>
        <v>0</v>
      </c>
      <c r="CP95" s="2318">
        <f ca="1">CP93</f>
        <v>0</v>
      </c>
      <c r="CQ95" s="2318">
        <f ca="1">CQ93</f>
        <v>0</v>
      </c>
      <c r="CR95" s="2318">
        <f ca="1">CR93</f>
        <v>0</v>
      </c>
      <c r="CS95" s="2318">
        <f t="shared" si="592"/>
        <v>0</v>
      </c>
      <c r="CT95" s="2318">
        <f ca="1">CT93</f>
        <v>0</v>
      </c>
      <c r="CU95" s="2318">
        <f ca="1">CU93</f>
        <v>0</v>
      </c>
      <c r="CV95" s="2318">
        <f ca="1">CV93</f>
        <v>0</v>
      </c>
      <c r="CW95" s="2318">
        <f t="shared" si="592"/>
        <v>0</v>
      </c>
      <c r="CX95" s="2318">
        <f ca="1">CX93</f>
        <v>0</v>
      </c>
      <c r="CY95" s="2318">
        <f ca="1">CY93</f>
        <v>0</v>
      </c>
      <c r="CZ95" s="2318">
        <f ca="1">CZ93</f>
        <v>0</v>
      </c>
    </row>
    <row r="96" spans="1:104" s="2255" customFormat="1">
      <c r="A96" s="2513" t="s">
        <v>189</v>
      </c>
      <c r="B96" s="2244">
        <f>B95*B97</f>
        <v>-264.40417346839996</v>
      </c>
      <c r="C96" s="2245">
        <f>C95*C97</f>
        <v>-398.32662224240016</v>
      </c>
      <c r="D96" s="2245">
        <f>D95*D97</f>
        <v>-523.04955280360014</v>
      </c>
      <c r="E96" s="2246">
        <f>E95*E97</f>
        <v>-837.59273373920007</v>
      </c>
      <c r="F96" s="2246">
        <f>F95*F97</f>
        <v>-1090.9715467988001</v>
      </c>
      <c r="G96" s="2246">
        <f>'FS Year'!S19</f>
        <v>-1598.4138212190001</v>
      </c>
      <c r="H96" s="2246">
        <f>'FS Year'!T19+IF(H195&gt;0,H195*0.2,0)</f>
        <v>-1517.1305691729999</v>
      </c>
      <c r="I96" s="2246">
        <f>'FS Year'!U19+IF(I195&gt;0,I195*0.2,0)</f>
        <v>-1792.9988101020001</v>
      </c>
      <c r="J96" s="2246">
        <f t="shared" ref="J96:Q96" ca="1" si="593">J95*J97</f>
        <v>-426.75551777145694</v>
      </c>
      <c r="K96" s="2247">
        <f t="shared" ca="1" si="593"/>
        <v>-913.56111754534743</v>
      </c>
      <c r="L96" s="2250">
        <f t="shared" ca="1" si="593"/>
        <v>-1352.7137969155597</v>
      </c>
      <c r="M96" s="2250">
        <f t="shared" ca="1" si="593"/>
        <v>-1567.4012443024096</v>
      </c>
      <c r="N96" s="2250">
        <f t="shared" ca="1" si="593"/>
        <v>-1756.2127095832839</v>
      </c>
      <c r="O96" s="2250">
        <f t="shared" ca="1" si="593"/>
        <v>-2043.9870432733505</v>
      </c>
      <c r="P96" s="2250">
        <f t="shared" ca="1" si="593"/>
        <v>-2203.214037747417</v>
      </c>
      <c r="Q96" s="2250">
        <f t="shared" ca="1" si="593"/>
        <v>-2373.751427965256</v>
      </c>
      <c r="R96" s="2250"/>
      <c r="S96" s="2514">
        <f ca="1">M98/FS!Q101</f>
        <v>0.70214138277825255</v>
      </c>
      <c r="T96" s="2175">
        <v>93</v>
      </c>
      <c r="U96" s="2250"/>
      <c r="V96" s="2250"/>
      <c r="W96" s="2250"/>
      <c r="X96" s="2250"/>
      <c r="Y96" s="2250"/>
      <c r="Z96" s="2250"/>
      <c r="AA96" s="2250"/>
      <c r="AB96" s="2250"/>
      <c r="AC96" s="2250">
        <f t="shared" ref="AC96:AJ96" si="594">-AC95*0.2</f>
        <v>-223.18251326211396</v>
      </c>
      <c r="AD96" s="2250">
        <f t="shared" si="594"/>
        <v>-471.71843708470317</v>
      </c>
      <c r="AE96" s="2250">
        <f t="shared" si="594"/>
        <v>-385.34803974687134</v>
      </c>
      <c r="AF96" s="2250">
        <f t="shared" si="594"/>
        <v>-289.93027005014557</v>
      </c>
      <c r="AG96" s="2250">
        <f t="shared" si="594"/>
        <v>-490.65466383943169</v>
      </c>
      <c r="AH96" s="2250">
        <f t="shared" si="594"/>
        <v>-422.91421491318027</v>
      </c>
      <c r="AI96" s="2250">
        <f t="shared" si="594"/>
        <v>-181.47774067810735</v>
      </c>
      <c r="AJ96" s="2250">
        <f t="shared" si="594"/>
        <v>-412.19896469112814</v>
      </c>
      <c r="AK96" s="2250">
        <f>-AK95*0.2</f>
        <v>-521.7545579266</v>
      </c>
      <c r="AL96" s="2250">
        <f>-AL95*0.2</f>
        <v>-630.21380463640003</v>
      </c>
      <c r="AM96" s="2250">
        <f>-AM95*0.2</f>
        <v>-563.57665858140012</v>
      </c>
      <c r="AN96" s="2250">
        <f>-AN95*0.2</f>
        <v>-328.7484921752</v>
      </c>
      <c r="AO96" s="2251">
        <f>AO95*$AO$97</f>
        <v>-128.61140213451259</v>
      </c>
      <c r="AP96" s="2251">
        <f t="shared" ref="AP96:AV96" si="595">AP95*$AO$97</f>
        <v>-69.719537069080673</v>
      </c>
      <c r="AQ96" s="2251">
        <f t="shared" si="595"/>
        <v>-89.944220868228371</v>
      </c>
      <c r="AR96" s="2251">
        <f t="shared" si="595"/>
        <v>-138.48035769963565</v>
      </c>
      <c r="AS96" s="2251">
        <f>AS95*$AO$97</f>
        <v>-266.39680726685725</v>
      </c>
      <c r="AT96" s="2251">
        <f t="shared" si="595"/>
        <v>-296.89851815898987</v>
      </c>
      <c r="AU96" s="2251">
        <f t="shared" si="595"/>
        <v>-273.97121639635378</v>
      </c>
      <c r="AV96" s="2251">
        <f t="shared" si="595"/>
        <v>-76.294575723146025</v>
      </c>
      <c r="AW96" s="2252">
        <f t="shared" ref="AW96:CB96" si="596">AW95*$AO$97</f>
        <v>-316.04196408154479</v>
      </c>
      <c r="AX96" s="2252">
        <f t="shared" ca="1" si="596"/>
        <v>-302.06003812864219</v>
      </c>
      <c r="AY96" s="2252">
        <f t="shared" ca="1" si="596"/>
        <v>-308.32175547045</v>
      </c>
      <c r="AZ96" s="2252">
        <f t="shared" ca="1" si="596"/>
        <v>-426.29003923492252</v>
      </c>
      <c r="BA96" s="2574">
        <f t="shared" ca="1" si="596"/>
        <v>-330.10456974469827</v>
      </c>
      <c r="BB96" s="2574">
        <f t="shared" ca="1" si="596"/>
        <v>-354.167639011684</v>
      </c>
      <c r="BC96" s="2574">
        <f t="shared" ca="1" si="596"/>
        <v>-356.06668359314949</v>
      </c>
      <c r="BD96" s="2574">
        <f t="shared" ca="1" si="596"/>
        <v>-527.06235195287809</v>
      </c>
      <c r="BE96" s="2574">
        <f t="shared" ca="1" si="596"/>
        <v>-366.86017168945676</v>
      </c>
      <c r="BF96" s="2574">
        <f t="shared" ca="1" si="596"/>
        <v>-393.84836584946936</v>
      </c>
      <c r="BG96" s="2574">
        <f t="shared" ca="1" si="596"/>
        <v>-409.76860707164263</v>
      </c>
      <c r="BH96" s="2574">
        <f t="shared" ca="1" si="596"/>
        <v>-585.53112590468538</v>
      </c>
      <c r="BI96" s="2574">
        <f t="shared" ca="1" si="596"/>
        <v>-427.67370938072435</v>
      </c>
      <c r="BJ96" s="2574">
        <f t="shared" ca="1" si="596"/>
        <v>-459.65194249197054</v>
      </c>
      <c r="BK96" s="2574">
        <f t="shared" ca="1" si="596"/>
        <v>-478.85817638054164</v>
      </c>
      <c r="BL96" s="2574">
        <f t="shared" ca="1" si="596"/>
        <v>-677.3943368840545</v>
      </c>
      <c r="BM96" s="2574">
        <f t="shared" ca="1" si="596"/>
        <v>-463.39402379212697</v>
      </c>
      <c r="BN96" s="2574">
        <f t="shared" ca="1" si="596"/>
        <v>-495.87951561119081</v>
      </c>
      <c r="BO96" s="2574">
        <f t="shared" ca="1" si="596"/>
        <v>-515.5983738002667</v>
      </c>
      <c r="BP96" s="2574">
        <f t="shared" ca="1" si="596"/>
        <v>-727.72880733974444</v>
      </c>
      <c r="BQ96" s="2574">
        <f t="shared" ca="1" si="596"/>
        <v>-499.24315598526789</v>
      </c>
      <c r="BR96" s="2574">
        <f t="shared" ca="1" si="596"/>
        <v>-535.43771740843363</v>
      </c>
      <c r="BS96" s="2574">
        <f t="shared" ca="1" si="596"/>
        <v>-555.67822235541439</v>
      </c>
      <c r="BT96" s="2574">
        <f t="shared" ca="1" si="596"/>
        <v>-782.57457594402263</v>
      </c>
      <c r="BU96" s="2574">
        <f t="shared" ca="1" si="596"/>
        <v>-538.36249329214058</v>
      </c>
      <c r="BV96" s="2574">
        <f t="shared" ca="1" si="596"/>
        <v>-578.65084689248488</v>
      </c>
      <c r="BW96" s="2574">
        <f t="shared" ca="1" si="596"/>
        <v>-599.42165610133043</v>
      </c>
      <c r="BX96" s="2574">
        <f t="shared" ca="1" si="596"/>
        <v>-842.36710804483698</v>
      </c>
      <c r="BY96" s="2574">
        <f t="shared" ca="1" si="596"/>
        <v>-581.06961498095075</v>
      </c>
      <c r="BZ96" s="2574">
        <f t="shared" ca="1" si="596"/>
        <v>-625.87537005723709</v>
      </c>
      <c r="CA96" s="2574">
        <f t="shared" ca="1" si="596"/>
        <v>-647.18470156714932</v>
      </c>
      <c r="CB96" s="2574">
        <f t="shared" ca="1" si="596"/>
        <v>-907.58494559092549</v>
      </c>
      <c r="CC96" s="2574">
        <f t="shared" ref="CC96:CK96" si="597">CC95*$AO$97</f>
        <v>0</v>
      </c>
      <c r="CD96" s="2574">
        <f ca="1">CD95*$AO$97</f>
        <v>0</v>
      </c>
      <c r="CE96" s="2574">
        <f ca="1">CE95*$AO$97</f>
        <v>0</v>
      </c>
      <c r="CF96" s="2574">
        <f ca="1">CF95*$AO$97</f>
        <v>0</v>
      </c>
      <c r="CG96" s="2574">
        <f t="shared" si="597"/>
        <v>0</v>
      </c>
      <c r="CH96" s="2574">
        <f ca="1">CH95*$AO$97</f>
        <v>0</v>
      </c>
      <c r="CI96" s="2574">
        <f ca="1">CI95*$AO$97</f>
        <v>0</v>
      </c>
      <c r="CJ96" s="2574">
        <f ca="1">CJ95*$AO$97</f>
        <v>0</v>
      </c>
      <c r="CK96" s="2574">
        <f t="shared" si="597"/>
        <v>0</v>
      </c>
      <c r="CL96" s="2574">
        <f ca="1">CL95*$AO$97</f>
        <v>0</v>
      </c>
      <c r="CM96" s="2574">
        <f ca="1">CM95*$AO$97</f>
        <v>0</v>
      </c>
      <c r="CN96" s="2574">
        <f ca="1">CN95*$AO$97</f>
        <v>0</v>
      </c>
      <c r="CO96" s="2574">
        <f t="shared" ref="CO96:CW96" si="598">CO95*$AO$97</f>
        <v>0</v>
      </c>
      <c r="CP96" s="2574">
        <f ca="1">CP95*$AO$97</f>
        <v>0</v>
      </c>
      <c r="CQ96" s="2574">
        <f ca="1">CQ95*$AO$97</f>
        <v>0</v>
      </c>
      <c r="CR96" s="2574">
        <f ca="1">CR95*$AO$97</f>
        <v>0</v>
      </c>
      <c r="CS96" s="2574">
        <f t="shared" si="598"/>
        <v>0</v>
      </c>
      <c r="CT96" s="2574">
        <f ca="1">CT95*$AO$97</f>
        <v>0</v>
      </c>
      <c r="CU96" s="2574">
        <f ca="1">CU95*$AO$97</f>
        <v>0</v>
      </c>
      <c r="CV96" s="2574">
        <f ca="1">CV95*$AO$97</f>
        <v>0</v>
      </c>
      <c r="CW96" s="2574">
        <f t="shared" si="598"/>
        <v>0</v>
      </c>
      <c r="CX96" s="2574">
        <f ca="1">CX95*$AO$97</f>
        <v>0</v>
      </c>
      <c r="CY96" s="2574">
        <f ca="1">CY95*$AO$97</f>
        <v>0</v>
      </c>
      <c r="CZ96" s="2574">
        <f ca="1">CZ95*$AO$97</f>
        <v>0</v>
      </c>
    </row>
    <row r="97" spans="1:104" s="2576" customFormat="1">
      <c r="A97" s="2575" t="s">
        <v>190</v>
      </c>
      <c r="B97" s="2205">
        <v>-0.2</v>
      </c>
      <c r="C97" s="2206">
        <f>B97</f>
        <v>-0.2</v>
      </c>
      <c r="D97" s="2206">
        <f>C97</f>
        <v>-0.2</v>
      </c>
      <c r="E97" s="2207">
        <f>(FS!I98+FS!I80*0.2)/E95</f>
        <v>-0.186878268246191</v>
      </c>
      <c r="F97" s="2207">
        <f>(FS!J98+FS!J80*0.2)/F95</f>
        <v>-0.18157593402924324</v>
      </c>
      <c r="G97" s="2207">
        <f>(FS!K98+FS!K80*0.2)/G95</f>
        <v>-0.18690781764184866</v>
      </c>
      <c r="H97" s="2207">
        <f>H96/H95</f>
        <v>-0.21385198494174187</v>
      </c>
      <c r="I97" s="2207">
        <f ca="1">I96/I95</f>
        <v>-0.17541500752408715</v>
      </c>
      <c r="J97" s="2207">
        <f>$AO$97</f>
        <v>-0.20443906802943665</v>
      </c>
      <c r="K97" s="2208">
        <f>J97</f>
        <v>-0.20443906802943665</v>
      </c>
      <c r="L97" s="2209">
        <f>K97</f>
        <v>-0.20443906802943665</v>
      </c>
      <c r="M97" s="2209">
        <f>L97</f>
        <v>-0.20443906802943665</v>
      </c>
      <c r="N97" s="2209">
        <f>M97</f>
        <v>-0.20443906802943665</v>
      </c>
      <c r="O97" s="2209">
        <f t="shared" ref="O97:Q97" si="599">N97</f>
        <v>-0.20443906802943665</v>
      </c>
      <c r="P97" s="2209">
        <f t="shared" si="599"/>
        <v>-0.20443906802943665</v>
      </c>
      <c r="Q97" s="2209">
        <f t="shared" si="599"/>
        <v>-0.20443906802943665</v>
      </c>
      <c r="R97" s="2283"/>
      <c r="S97" s="2283"/>
      <c r="T97" s="2175">
        <v>94</v>
      </c>
      <c r="U97" s="2283"/>
      <c r="V97" s="2283"/>
      <c r="W97" s="2283"/>
      <c r="X97" s="2283"/>
      <c r="Y97" s="2283"/>
      <c r="Z97" s="2283"/>
      <c r="AA97" s="2283"/>
      <c r="AB97" s="2283"/>
      <c r="AC97" s="2209">
        <f t="shared" ref="AC97:AJ97" si="600">AC96/AC95</f>
        <v>-0.2</v>
      </c>
      <c r="AD97" s="2209">
        <f t="shared" si="600"/>
        <v>-0.2</v>
      </c>
      <c r="AE97" s="2209">
        <f t="shared" si="600"/>
        <v>-0.2</v>
      </c>
      <c r="AF97" s="2209">
        <f t="shared" si="600"/>
        <v>-0.2</v>
      </c>
      <c r="AG97" s="2209">
        <f t="shared" si="600"/>
        <v>-0.2</v>
      </c>
      <c r="AH97" s="2209">
        <f t="shared" si="600"/>
        <v>-0.2</v>
      </c>
      <c r="AI97" s="2209">
        <f t="shared" si="600"/>
        <v>-0.20000000000000004</v>
      </c>
      <c r="AJ97" s="2209">
        <f t="shared" si="600"/>
        <v>-0.2</v>
      </c>
      <c r="AK97" s="2209">
        <f t="shared" ref="AK97:AV97" si="601">AK96/AK95</f>
        <v>-0.2</v>
      </c>
      <c r="AL97" s="2209">
        <f t="shared" si="601"/>
        <v>-0.2</v>
      </c>
      <c r="AM97" s="2209">
        <f t="shared" si="601"/>
        <v>-0.2</v>
      </c>
      <c r="AN97" s="2209">
        <f t="shared" si="601"/>
        <v>-0.20000000000000004</v>
      </c>
      <c r="AO97" s="2211">
        <f>(AO58-AO48)/(AO57+SUM(AO54:AO56))</f>
        <v>-0.20443906802943665</v>
      </c>
      <c r="AP97" s="2212">
        <f t="shared" si="601"/>
        <v>-0.20443906802943662</v>
      </c>
      <c r="AQ97" s="2212">
        <f t="shared" si="601"/>
        <v>-0.20443906802943662</v>
      </c>
      <c r="AR97" s="2212">
        <f t="shared" si="601"/>
        <v>-0.20443906802943665</v>
      </c>
      <c r="AS97" s="2211">
        <f t="shared" si="601"/>
        <v>-0.20443906802943665</v>
      </c>
      <c r="AT97" s="2209">
        <f t="shared" si="601"/>
        <v>-0.20443906802943665</v>
      </c>
      <c r="AU97" s="2209">
        <f t="shared" si="601"/>
        <v>-0.20443906802943668</v>
      </c>
      <c r="AV97" s="2209">
        <f t="shared" si="601"/>
        <v>-0.20443906802943662</v>
      </c>
      <c r="AW97" s="2213">
        <f t="shared" ref="AW97:CB97" si="602">AW96/AW95</f>
        <v>-0.20443906802943665</v>
      </c>
      <c r="AX97" s="2214">
        <f t="shared" ca="1" si="602"/>
        <v>-0.20443906802943665</v>
      </c>
      <c r="AY97" s="2214">
        <f t="shared" ca="1" si="602"/>
        <v>-0.20443906802943665</v>
      </c>
      <c r="AZ97" s="2214">
        <f t="shared" ca="1" si="602"/>
        <v>-0.20443906802943665</v>
      </c>
      <c r="BA97" s="2215">
        <f t="shared" ca="1" si="602"/>
        <v>-0.20443906802943665</v>
      </c>
      <c r="BB97" s="2215">
        <f t="shared" ca="1" si="602"/>
        <v>-0.20443906802943665</v>
      </c>
      <c r="BC97" s="2215">
        <f t="shared" ca="1" si="602"/>
        <v>-0.20443906802943665</v>
      </c>
      <c r="BD97" s="2215">
        <f t="shared" ca="1" si="602"/>
        <v>-0.20443906802943665</v>
      </c>
      <c r="BE97" s="2215">
        <f t="shared" ca="1" si="602"/>
        <v>-0.20443906802943665</v>
      </c>
      <c r="BF97" s="2215">
        <f t="shared" ca="1" si="602"/>
        <v>-0.20443906802943662</v>
      </c>
      <c r="BG97" s="2215">
        <f t="shared" ca="1" si="602"/>
        <v>-0.20443906802943665</v>
      </c>
      <c r="BH97" s="2215">
        <f t="shared" ca="1" si="602"/>
        <v>-0.20443906802943665</v>
      </c>
      <c r="BI97" s="2215">
        <f t="shared" ca="1" si="602"/>
        <v>-0.20443906802943665</v>
      </c>
      <c r="BJ97" s="2215">
        <f t="shared" ca="1" si="602"/>
        <v>-0.20443906802943665</v>
      </c>
      <c r="BK97" s="2215">
        <f t="shared" ca="1" si="602"/>
        <v>-0.20443906802943665</v>
      </c>
      <c r="BL97" s="2215">
        <f t="shared" ca="1" si="602"/>
        <v>-0.20443906802943662</v>
      </c>
      <c r="BM97" s="2215">
        <f t="shared" ca="1" si="602"/>
        <v>-0.20443906802943665</v>
      </c>
      <c r="BN97" s="2215">
        <f t="shared" ca="1" si="602"/>
        <v>-0.20443906802943665</v>
      </c>
      <c r="BO97" s="2215">
        <f t="shared" ca="1" si="602"/>
        <v>-0.20443906802943665</v>
      </c>
      <c r="BP97" s="2215">
        <f t="shared" ca="1" si="602"/>
        <v>-0.20443906802943662</v>
      </c>
      <c r="BQ97" s="2215">
        <f t="shared" ca="1" si="602"/>
        <v>-0.20443906802943665</v>
      </c>
      <c r="BR97" s="2215">
        <f t="shared" ca="1" si="602"/>
        <v>-0.20443906802943665</v>
      </c>
      <c r="BS97" s="2215">
        <f t="shared" ca="1" si="602"/>
        <v>-0.20443906802943665</v>
      </c>
      <c r="BT97" s="2215">
        <f t="shared" ca="1" si="602"/>
        <v>-0.20443906802943665</v>
      </c>
      <c r="BU97" s="2215">
        <f t="shared" ca="1" si="602"/>
        <v>-0.20443906802943665</v>
      </c>
      <c r="BV97" s="2215">
        <f t="shared" ca="1" si="602"/>
        <v>-0.20443906802943665</v>
      </c>
      <c r="BW97" s="2215">
        <f t="shared" ca="1" si="602"/>
        <v>-0.20443906802943665</v>
      </c>
      <c r="BX97" s="2215">
        <f t="shared" ca="1" si="602"/>
        <v>-0.20443906802943665</v>
      </c>
      <c r="BY97" s="2215">
        <f t="shared" ca="1" si="602"/>
        <v>-0.20443906802943662</v>
      </c>
      <c r="BZ97" s="2215">
        <f t="shared" ca="1" si="602"/>
        <v>-0.20443906802943665</v>
      </c>
      <c r="CA97" s="2215">
        <f t="shared" ca="1" si="602"/>
        <v>-0.20443906802943665</v>
      </c>
      <c r="CB97" s="2215">
        <f t="shared" ca="1" si="602"/>
        <v>-0.20443906802943665</v>
      </c>
      <c r="CC97" s="2215" t="e">
        <f t="shared" ref="CC97:CK97" si="603">CC96/CC95</f>
        <v>#DIV/0!</v>
      </c>
      <c r="CD97" s="2215" t="e">
        <f ca="1">CD96/CD95</f>
        <v>#DIV/0!</v>
      </c>
      <c r="CE97" s="2215" t="e">
        <f ca="1">CE96/CE95</f>
        <v>#DIV/0!</v>
      </c>
      <c r="CF97" s="2215" t="e">
        <f ca="1">CF96/CF95</f>
        <v>#DIV/0!</v>
      </c>
      <c r="CG97" s="2215" t="e">
        <f t="shared" si="603"/>
        <v>#DIV/0!</v>
      </c>
      <c r="CH97" s="2215" t="e">
        <f ca="1">CH96/CH95</f>
        <v>#DIV/0!</v>
      </c>
      <c r="CI97" s="2215" t="e">
        <f ca="1">CI96/CI95</f>
        <v>#DIV/0!</v>
      </c>
      <c r="CJ97" s="2215" t="e">
        <f ca="1">CJ96/CJ95</f>
        <v>#DIV/0!</v>
      </c>
      <c r="CK97" s="2215" t="e">
        <f t="shared" si="603"/>
        <v>#DIV/0!</v>
      </c>
      <c r="CL97" s="2215" t="e">
        <f ca="1">CL96/CL95</f>
        <v>#DIV/0!</v>
      </c>
      <c r="CM97" s="2215" t="e">
        <f ca="1">CM96/CM95</f>
        <v>#DIV/0!</v>
      </c>
      <c r="CN97" s="2215" t="e">
        <f ca="1">CN96/CN95</f>
        <v>#DIV/0!</v>
      </c>
      <c r="CO97" s="2215" t="e">
        <f t="shared" ref="CO97:CW97" si="604">CO96/CO95</f>
        <v>#DIV/0!</v>
      </c>
      <c r="CP97" s="2215" t="e">
        <f ca="1">CP96/CP95</f>
        <v>#DIV/0!</v>
      </c>
      <c r="CQ97" s="2215" t="e">
        <f ca="1">CQ96/CQ95</f>
        <v>#DIV/0!</v>
      </c>
      <c r="CR97" s="2215" t="e">
        <f ca="1">CR96/CR95</f>
        <v>#DIV/0!</v>
      </c>
      <c r="CS97" s="2215" t="e">
        <f t="shared" si="604"/>
        <v>#DIV/0!</v>
      </c>
      <c r="CT97" s="2215" t="e">
        <f ca="1">CT96/CT95</f>
        <v>#DIV/0!</v>
      </c>
      <c r="CU97" s="2215" t="e">
        <f ca="1">CU96/CU95</f>
        <v>#DIV/0!</v>
      </c>
      <c r="CV97" s="2215" t="e">
        <f ca="1">CV96/CV95</f>
        <v>#DIV/0!</v>
      </c>
      <c r="CW97" s="2215" t="e">
        <f t="shared" si="604"/>
        <v>#DIV/0!</v>
      </c>
      <c r="CX97" s="2215" t="e">
        <f ca="1">CX96/CX95</f>
        <v>#DIV/0!</v>
      </c>
      <c r="CY97" s="2215" t="e">
        <f ca="1">CY96/CY95</f>
        <v>#DIV/0!</v>
      </c>
      <c r="CZ97" s="2215" t="e">
        <f ca="1">CZ96/CZ95</f>
        <v>#DIV/0!</v>
      </c>
    </row>
    <row r="98" spans="1:104" s="2589" customFormat="1">
      <c r="A98" s="2577" t="s">
        <v>50</v>
      </c>
      <c r="B98" s="2578">
        <f>B95+B96</f>
        <v>1057.6166938735998</v>
      </c>
      <c r="C98" s="2579">
        <f>C95+C96</f>
        <v>1593.3064889696004</v>
      </c>
      <c r="D98" s="2579">
        <f>D95+D96</f>
        <v>2092.1982112144005</v>
      </c>
      <c r="E98" s="2579">
        <f t="shared" ref="E98:K98" si="605">E95+E96</f>
        <v>3644.4304656398003</v>
      </c>
      <c r="F98" s="2579">
        <f t="shared" si="605"/>
        <v>4917.3772612711973</v>
      </c>
      <c r="G98" s="2579">
        <f t="shared" si="605"/>
        <v>5522.9487740209997</v>
      </c>
      <c r="H98" s="2579">
        <f t="shared" si="605"/>
        <v>5577.1714527899985</v>
      </c>
      <c r="I98" s="2579">
        <f t="shared" ca="1" si="605"/>
        <v>8428.468756495995</v>
      </c>
      <c r="J98" s="2579">
        <f t="shared" ca="1" si="605"/>
        <v>1660.6904967545413</v>
      </c>
      <c r="K98" s="2579">
        <f t="shared" ca="1" si="605"/>
        <v>3555.0618631356551</v>
      </c>
      <c r="L98" s="2580">
        <f t="shared" ref="L98:Q98" ca="1" si="606">L95+L96</f>
        <v>5263.9950834085575</v>
      </c>
      <c r="M98" s="2580">
        <f t="shared" ca="1" si="606"/>
        <v>6099.4368968141589</v>
      </c>
      <c r="N98" s="2580">
        <f t="shared" ca="1" si="606"/>
        <v>6834.1840600322539</v>
      </c>
      <c r="O98" s="2580">
        <f t="shared" ca="1" si="606"/>
        <v>7954.0385932896288</v>
      </c>
      <c r="P98" s="2580">
        <f t="shared" ca="1" si="606"/>
        <v>8573.6597710794849</v>
      </c>
      <c r="Q98" s="2580">
        <f t="shared" ca="1" si="606"/>
        <v>9237.2945958968048</v>
      </c>
      <c r="R98" s="2581"/>
      <c r="S98" s="2580"/>
      <c r="T98" s="2175">
        <v>95</v>
      </c>
      <c r="U98" s="2582"/>
      <c r="V98" s="2582"/>
      <c r="W98" s="2582"/>
      <c r="X98" s="2582"/>
      <c r="Y98" s="2582"/>
      <c r="Z98" s="2582"/>
      <c r="AA98" s="2582"/>
      <c r="AB98" s="2582"/>
      <c r="AC98" s="2583">
        <f t="shared" ref="AC98:AJ98" si="607">AC95+AC96</f>
        <v>892.73005304845572</v>
      </c>
      <c r="AD98" s="2583">
        <f t="shared" si="607"/>
        <v>1886.8737483388127</v>
      </c>
      <c r="AE98" s="2583">
        <f t="shared" si="607"/>
        <v>1541.3921589874851</v>
      </c>
      <c r="AF98" s="2583">
        <f t="shared" si="607"/>
        <v>1159.7210802005823</v>
      </c>
      <c r="AG98" s="2583">
        <f t="shared" si="607"/>
        <v>1962.6186553577268</v>
      </c>
      <c r="AH98" s="2583">
        <f t="shared" si="607"/>
        <v>1691.6568596527209</v>
      </c>
      <c r="AI98" s="2583">
        <f t="shared" si="607"/>
        <v>725.9109627124293</v>
      </c>
      <c r="AJ98" s="2583">
        <f t="shared" si="607"/>
        <v>1648.7958587645123</v>
      </c>
      <c r="AK98" s="2583">
        <f t="shared" ref="AK98:AT98" si="608">AK95+AK96</f>
        <v>2087.0182317064</v>
      </c>
      <c r="AL98" s="2583">
        <f t="shared" si="608"/>
        <v>2520.8552185456001</v>
      </c>
      <c r="AM98" s="2583">
        <f t="shared" si="608"/>
        <v>2254.3066343256005</v>
      </c>
      <c r="AN98" s="2583">
        <f t="shared" si="608"/>
        <v>1314.9939687007998</v>
      </c>
      <c r="AO98" s="2584">
        <f>AO95+AO96</f>
        <v>500.48265202148741</v>
      </c>
      <c r="AP98" s="2585">
        <f>AP95+AP96</f>
        <v>271.30890598291927</v>
      </c>
      <c r="AQ98" s="2585">
        <f>AQ95+AQ96</f>
        <v>350.01190755277162</v>
      </c>
      <c r="AR98" s="2585">
        <f>AR95+AR96</f>
        <v>538.88703119736431</v>
      </c>
      <c r="AS98" s="2584">
        <f>AS95+AS96</f>
        <v>1036.665321878143</v>
      </c>
      <c r="AT98" s="2583">
        <f t="shared" si="608"/>
        <v>1155.3606856260726</v>
      </c>
      <c r="AU98" s="2583">
        <f t="shared" ref="AU98" si="609">AU95+AU96</f>
        <v>1066.1406273775835</v>
      </c>
      <c r="AV98" s="2583">
        <f t="shared" ref="AV98:CB98" si="610">AV95+AV96</f>
        <v>296.89522825385399</v>
      </c>
      <c r="AW98" s="2586">
        <f t="shared" si="610"/>
        <v>1229.8561224624552</v>
      </c>
      <c r="AX98" s="2587">
        <f t="shared" ca="1" si="610"/>
        <v>1175.4463946689743</v>
      </c>
      <c r="AY98" s="2587">
        <f t="shared" ca="1" si="610"/>
        <v>1199.8134480516849</v>
      </c>
      <c r="AZ98" s="2587">
        <f t="shared" ca="1" si="610"/>
        <v>1658.8791182254417</v>
      </c>
      <c r="BA98" s="2588">
        <f t="shared" ca="1" si="610"/>
        <v>1284.5798099413184</v>
      </c>
      <c r="BB98" s="2588">
        <f t="shared" ca="1" si="610"/>
        <v>1378.2196313151808</v>
      </c>
      <c r="BC98" s="2588">
        <f t="shared" ca="1" si="610"/>
        <v>1385.6096360322188</v>
      </c>
      <c r="BD98" s="2588">
        <f t="shared" ca="1" si="610"/>
        <v>2051.0278195254409</v>
      </c>
      <c r="BE98" s="2588">
        <f t="shared" ca="1" si="610"/>
        <v>1427.6117715921155</v>
      </c>
      <c r="BF98" s="2588">
        <f t="shared" ca="1" si="610"/>
        <v>1532.6345204487611</v>
      </c>
      <c r="BG98" s="2588">
        <f t="shared" ca="1" si="610"/>
        <v>1594.5870722089981</v>
      </c>
      <c r="BH98" s="2588">
        <f t="shared" ca="1" si="610"/>
        <v>2278.5551348504082</v>
      </c>
      <c r="BI98" s="2588">
        <f t="shared" ca="1" si="610"/>
        <v>1664.263577865883</v>
      </c>
      <c r="BJ98" s="2588">
        <f t="shared" ca="1" si="610"/>
        <v>1788.7047288747099</v>
      </c>
      <c r="BK98" s="2588">
        <f t="shared" ca="1" si="610"/>
        <v>1863.4445008728692</v>
      </c>
      <c r="BL98" s="2588">
        <f t="shared" ca="1" si="610"/>
        <v>2636.0346638122228</v>
      </c>
      <c r="BM98" s="2588">
        <f t="shared" ca="1" si="610"/>
        <v>1803.2667874643794</v>
      </c>
      <c r="BN98" s="2588">
        <f t="shared" ca="1" si="610"/>
        <v>1929.6819017387963</v>
      </c>
      <c r="BO98" s="2588">
        <f t="shared" ca="1" si="610"/>
        <v>2006.4165168468919</v>
      </c>
      <c r="BP98" s="2588">
        <f t="shared" ca="1" si="610"/>
        <v>2831.9078822335064</v>
      </c>
      <c r="BQ98" s="2588">
        <f t="shared" ca="1" si="610"/>
        <v>1942.7712828272938</v>
      </c>
      <c r="BR98" s="2588">
        <f t="shared" ca="1" si="610"/>
        <v>2083.619992888589</v>
      </c>
      <c r="BS98" s="2588">
        <f t="shared" ca="1" si="610"/>
        <v>2162.3845613949188</v>
      </c>
      <c r="BT98" s="2588">
        <f t="shared" ca="1" si="610"/>
        <v>3045.336515058123</v>
      </c>
      <c r="BU98" s="2588">
        <f t="shared" ca="1" si="610"/>
        <v>2095.0015622249934</v>
      </c>
      <c r="BV98" s="2588">
        <f t="shared" ca="1" si="610"/>
        <v>2251.7809901826404</v>
      </c>
      <c r="BW98" s="2588">
        <f t="shared" ca="1" si="610"/>
        <v>2332.6092021836489</v>
      </c>
      <c r="BX98" s="2588">
        <f t="shared" ca="1" si="610"/>
        <v>3278.0151465032354</v>
      </c>
      <c r="BY98" s="2588">
        <f t="shared" ca="1" si="610"/>
        <v>2261.1934640959116</v>
      </c>
      <c r="BZ98" s="2588">
        <f t="shared" ca="1" si="610"/>
        <v>2435.5520571462512</v>
      </c>
      <c r="CA98" s="2588">
        <f t="shared" ca="1" si="610"/>
        <v>2518.475892590729</v>
      </c>
      <c r="CB98" s="2588">
        <f t="shared" ca="1" si="610"/>
        <v>3531.8059904910406</v>
      </c>
      <c r="CC98" s="2588">
        <f t="shared" ref="CC98:CK98" si="611">CC95+CC96</f>
        <v>0</v>
      </c>
      <c r="CD98" s="2588">
        <f ca="1">CD95+CD96</f>
        <v>0</v>
      </c>
      <c r="CE98" s="2588">
        <f ca="1">CE95+CE96</f>
        <v>0</v>
      </c>
      <c r="CF98" s="2588">
        <f ca="1">CF95+CF96</f>
        <v>0</v>
      </c>
      <c r="CG98" s="2588">
        <f t="shared" si="611"/>
        <v>0</v>
      </c>
      <c r="CH98" s="2588">
        <f ca="1">CH95+CH96</f>
        <v>0</v>
      </c>
      <c r="CI98" s="2588">
        <f ca="1">CI95+CI96</f>
        <v>0</v>
      </c>
      <c r="CJ98" s="2588">
        <f ca="1">CJ95+CJ96</f>
        <v>0</v>
      </c>
      <c r="CK98" s="2588">
        <f t="shared" si="611"/>
        <v>0</v>
      </c>
      <c r="CL98" s="2588">
        <f ca="1">CL95+CL96</f>
        <v>0</v>
      </c>
      <c r="CM98" s="2588">
        <f ca="1">CM95+CM96</f>
        <v>0</v>
      </c>
      <c r="CN98" s="2588">
        <f ca="1">CN95+CN96</f>
        <v>0</v>
      </c>
      <c r="CO98" s="2588">
        <f t="shared" ref="CO98:CW98" si="612">CO95+CO96</f>
        <v>0</v>
      </c>
      <c r="CP98" s="2588">
        <f ca="1">CP95+CP96</f>
        <v>0</v>
      </c>
      <c r="CQ98" s="2588">
        <f ca="1">CQ95+CQ96</f>
        <v>0</v>
      </c>
      <c r="CR98" s="2588">
        <f ca="1">CR95+CR96</f>
        <v>0</v>
      </c>
      <c r="CS98" s="2588">
        <f t="shared" si="612"/>
        <v>0</v>
      </c>
      <c r="CT98" s="2588">
        <f ca="1">CT95+CT96</f>
        <v>0</v>
      </c>
      <c r="CU98" s="2588">
        <f ca="1">CU95+CU96</f>
        <v>0</v>
      </c>
      <c r="CV98" s="2588">
        <f ca="1">CV95+CV96</f>
        <v>0</v>
      </c>
      <c r="CW98" s="2588">
        <f t="shared" si="612"/>
        <v>0</v>
      </c>
      <c r="CX98" s="2588">
        <f ca="1">CX95+CX96</f>
        <v>0</v>
      </c>
      <c r="CY98" s="2588">
        <f ca="1">CY95+CY96</f>
        <v>0</v>
      </c>
      <c r="CZ98" s="2588">
        <f ca="1">CZ95+CZ96</f>
        <v>0</v>
      </c>
    </row>
    <row r="99" spans="1:104" s="2576" customFormat="1">
      <c r="A99" s="2266" t="s">
        <v>191</v>
      </c>
      <c r="B99" s="2590">
        <f t="shared" ref="B99:Q99" si="613">B95/B82</f>
        <v>5.235518860013464E-2</v>
      </c>
      <c r="C99" s="2241">
        <f t="shared" si="613"/>
        <v>4.4892667402212552E-2</v>
      </c>
      <c r="D99" s="2241">
        <f t="shared" si="613"/>
        <v>4.0110482853449848E-2</v>
      </c>
      <c r="E99" s="2241">
        <f t="shared" si="613"/>
        <v>5.4532148306880149E-2</v>
      </c>
      <c r="F99" s="2241">
        <f t="shared" si="613"/>
        <v>6.5703827407107687E-2</v>
      </c>
      <c r="G99" s="2241">
        <f t="shared" si="613"/>
        <v>8.1600576375304767E-2</v>
      </c>
      <c r="H99" s="2241">
        <f t="shared" si="613"/>
        <v>7.522418984338318E-2</v>
      </c>
      <c r="I99" s="2241">
        <f t="shared" ca="1" si="613"/>
        <v>9.860997641226546E-2</v>
      </c>
      <c r="J99" s="2241">
        <f t="shared" ca="1" si="613"/>
        <v>2.4997653028225125E-2</v>
      </c>
      <c r="K99" s="2536">
        <f t="shared" ca="1" si="613"/>
        <v>4.9214513186483143E-2</v>
      </c>
      <c r="L99" s="2591">
        <f t="shared" ca="1" si="613"/>
        <v>6.1460551385976406E-2</v>
      </c>
      <c r="M99" s="2592">
        <f t="shared" ca="1" si="613"/>
        <v>6.3450633009008883E-2</v>
      </c>
      <c r="N99" s="2593">
        <f t="shared" ca="1" si="613"/>
        <v>6.3964492408179446E-2</v>
      </c>
      <c r="O99" s="2593">
        <f t="shared" ca="1" si="613"/>
        <v>6.6968670806375794E-2</v>
      </c>
      <c r="P99" s="2593">
        <f t="shared" ca="1" si="613"/>
        <v>6.6963299183764563E-2</v>
      </c>
      <c r="Q99" s="2593">
        <f t="shared" ca="1" si="613"/>
        <v>6.6960825794351711E-2</v>
      </c>
      <c r="R99" s="2593"/>
      <c r="S99" s="2593">
        <f t="shared" ref="S99" ca="1" si="614">S95/S82</f>
        <v>9.8063776214277803E-6</v>
      </c>
      <c r="T99" s="2175">
        <v>96</v>
      </c>
      <c r="U99" s="2283"/>
      <c r="V99" s="2283"/>
      <c r="W99" s="2283"/>
      <c r="X99" s="2283"/>
      <c r="Y99" s="2283"/>
      <c r="Z99" s="2283"/>
      <c r="AA99" s="2283"/>
      <c r="AB99" s="2283"/>
      <c r="AC99" s="2594">
        <f t="shared" ref="AC99:AL99" si="615">AC98/AC82</f>
        <v>3.5907424029252351E-2</v>
      </c>
      <c r="AD99" s="2594">
        <f t="shared" si="615"/>
        <v>8.8509250555063937E-2</v>
      </c>
      <c r="AE99" s="2594">
        <f t="shared" si="615"/>
        <v>7.6915169979572234E-2</v>
      </c>
      <c r="AF99" s="2594">
        <f t="shared" si="615"/>
        <v>5.5092444562748775E-2</v>
      </c>
      <c r="AG99" s="2594">
        <f t="shared" si="615"/>
        <v>7.889166565501414E-2</v>
      </c>
      <c r="AH99" s="2594">
        <f t="shared" si="615"/>
        <v>7.033936144404572E-2</v>
      </c>
      <c r="AI99" s="2594">
        <f t="shared" si="615"/>
        <v>4.8483924286100467E-2</v>
      </c>
      <c r="AJ99" s="2594">
        <f t="shared" si="615"/>
        <v>5.4220179427037538E-2</v>
      </c>
      <c r="AK99" s="2594">
        <f t="shared" si="615"/>
        <v>6.9991667787158152E-2</v>
      </c>
      <c r="AL99" s="2594">
        <f t="shared" si="615"/>
        <v>9.4553056068048091E-2</v>
      </c>
      <c r="AM99" s="2594">
        <f t="shared" ref="AM99:CB99" ca="1" si="616">AM98/AM82</f>
        <v>9.779761072873254E-2</v>
      </c>
      <c r="AN99" s="2594">
        <f t="shared" ca="1" si="616"/>
        <v>6.10978994488105E-2</v>
      </c>
      <c r="AO99" s="2595">
        <f t="shared" ca="1" si="616"/>
        <v>2.5092371304837876E-2</v>
      </c>
      <c r="AP99" s="2593">
        <f t="shared" ca="1" si="616"/>
        <v>1.2541239863235139E-2</v>
      </c>
      <c r="AQ99" s="2591">
        <f t="shared" ca="1" si="616"/>
        <v>1.6954626688868785E-2</v>
      </c>
      <c r="AR99" s="2591">
        <f t="shared" ca="1" si="616"/>
        <v>2.5489372307675916E-2</v>
      </c>
      <c r="AS99" s="2595">
        <f t="shared" ca="1" si="616"/>
        <v>4.8560665209913347E-2</v>
      </c>
      <c r="AT99" s="2594">
        <f t="shared" ca="1" si="616"/>
        <v>5.0350554748860542E-2</v>
      </c>
      <c r="AU99" s="2594">
        <f t="shared" ca="1" si="616"/>
        <v>4.7489670237881337E-2</v>
      </c>
      <c r="AV99" s="2594">
        <f t="shared" ca="1" si="616"/>
        <v>1.2342471475120529E-2</v>
      </c>
      <c r="AW99" s="2596">
        <f t="shared" ca="1" si="616"/>
        <v>5.0647437259991823E-2</v>
      </c>
      <c r="AX99" s="2597">
        <f t="shared" ca="1" si="616"/>
        <v>4.6809731625643357E-2</v>
      </c>
      <c r="AY99" s="2597">
        <f t="shared" ca="1" si="616"/>
        <v>4.4335698280155496E-2</v>
      </c>
      <c r="AZ99" s="2597">
        <f t="shared" ca="1" si="616"/>
        <v>5.3165872130023072E-2</v>
      </c>
      <c r="BA99" s="2598">
        <f t="shared" ca="1" si="616"/>
        <v>4.8926997316189651E-2</v>
      </c>
      <c r="BB99" s="2598">
        <f t="shared" ca="1" si="616"/>
        <v>4.8400853489584485E-2</v>
      </c>
      <c r="BC99" s="2598">
        <f t="shared" ca="1" si="616"/>
        <v>4.5131259212126053E-2</v>
      </c>
      <c r="BD99" s="2598">
        <f t="shared" ca="1" si="616"/>
        <v>5.7939237721846448E-2</v>
      </c>
      <c r="BE99" s="2598">
        <f t="shared" ca="1" si="616"/>
        <v>4.8926997316189651E-2</v>
      </c>
      <c r="BF99" s="2598">
        <f t="shared" ca="1" si="616"/>
        <v>4.8400853489584499E-2</v>
      </c>
      <c r="BG99" s="2598">
        <f t="shared" ca="1" si="616"/>
        <v>4.6722381076067181E-2</v>
      </c>
      <c r="BH99" s="2598">
        <f t="shared" ca="1" si="616"/>
        <v>5.7939237721846448E-2</v>
      </c>
      <c r="BI99" s="2598">
        <f t="shared" ca="1" si="616"/>
        <v>5.1313680112101343E-2</v>
      </c>
      <c r="BJ99" s="2598">
        <f t="shared" ca="1" si="616"/>
        <v>5.078753628549617E-2</v>
      </c>
      <c r="BK99" s="2598">
        <f t="shared" ca="1" si="616"/>
        <v>4.9109063871978866E-2</v>
      </c>
      <c r="BL99" s="2598">
        <f t="shared" ca="1" si="616"/>
        <v>6.0325920517758147E-2</v>
      </c>
      <c r="BM99" s="2598">
        <f t="shared" ca="1" si="616"/>
        <v>5.1313680112101322E-2</v>
      </c>
      <c r="BN99" s="2598">
        <f t="shared" ca="1" si="616"/>
        <v>5.0787536285496176E-2</v>
      </c>
      <c r="BO99" s="2598">
        <f t="shared" ca="1" si="616"/>
        <v>4.9109063871978872E-2</v>
      </c>
      <c r="BP99" s="2598">
        <f t="shared" ca="1" si="616"/>
        <v>6.0325920517758133E-2</v>
      </c>
      <c r="BQ99" s="2598">
        <f t="shared" ca="1" si="616"/>
        <v>5.1313680112101336E-2</v>
      </c>
      <c r="BR99" s="2598">
        <f t="shared" ca="1" si="616"/>
        <v>5.0787536285496156E-2</v>
      </c>
      <c r="BS99" s="2598">
        <f t="shared" ca="1" si="616"/>
        <v>4.9109063871978866E-2</v>
      </c>
      <c r="BT99" s="2598">
        <f t="shared" ca="1" si="616"/>
        <v>6.0325920517758161E-2</v>
      </c>
      <c r="BU99" s="2598">
        <f t="shared" ca="1" si="616"/>
        <v>5.1313680112101343E-2</v>
      </c>
      <c r="BV99" s="2598">
        <f t="shared" ca="1" si="616"/>
        <v>5.078753628549619E-2</v>
      </c>
      <c r="BW99" s="2598">
        <f t="shared" ca="1" si="616"/>
        <v>4.9109063871978866E-2</v>
      </c>
      <c r="BX99" s="2598">
        <f t="shared" ca="1" si="616"/>
        <v>6.0325920517758133E-2</v>
      </c>
      <c r="BY99" s="2598">
        <f t="shared" ca="1" si="616"/>
        <v>5.1313680112101329E-2</v>
      </c>
      <c r="BZ99" s="2598">
        <f t="shared" ca="1" si="616"/>
        <v>5.0787536285496183E-2</v>
      </c>
      <c r="CA99" s="2598">
        <f t="shared" ca="1" si="616"/>
        <v>4.9109063871978859E-2</v>
      </c>
      <c r="CB99" s="2598">
        <f t="shared" ca="1" si="616"/>
        <v>6.0325920517758133E-2</v>
      </c>
      <c r="CC99" s="2598" t="e">
        <f t="shared" ref="CC99:CK99" si="617">CC98/CC82</f>
        <v>#DIV/0!</v>
      </c>
      <c r="CD99" s="2598" t="e">
        <f ca="1">CD98/CD82</f>
        <v>#DIV/0!</v>
      </c>
      <c r="CE99" s="2598" t="e">
        <f ca="1">CE98/CE82</f>
        <v>#DIV/0!</v>
      </c>
      <c r="CF99" s="2598" t="e">
        <f ca="1">CF98/CF82</f>
        <v>#DIV/0!</v>
      </c>
      <c r="CG99" s="2598" t="e">
        <f t="shared" si="617"/>
        <v>#DIV/0!</v>
      </c>
      <c r="CH99" s="2598" t="e">
        <f ca="1">CH98/CH82</f>
        <v>#DIV/0!</v>
      </c>
      <c r="CI99" s="2598" t="e">
        <f ca="1">CI98/CI82</f>
        <v>#DIV/0!</v>
      </c>
      <c r="CJ99" s="2598" t="e">
        <f ca="1">CJ98/CJ82</f>
        <v>#DIV/0!</v>
      </c>
      <c r="CK99" s="2598" t="e">
        <f t="shared" si="617"/>
        <v>#DIV/0!</v>
      </c>
      <c r="CL99" s="2598" t="e">
        <f ca="1">CL98/CL82</f>
        <v>#DIV/0!</v>
      </c>
      <c r="CM99" s="2598" t="e">
        <f ca="1">CM98/CM82</f>
        <v>#DIV/0!</v>
      </c>
      <c r="CN99" s="2598" t="e">
        <f ca="1">CN98/CN82</f>
        <v>#DIV/0!</v>
      </c>
      <c r="CO99" s="2598" t="e">
        <f t="shared" ref="CO99:CW99" si="618">CO98/CO82</f>
        <v>#DIV/0!</v>
      </c>
      <c r="CP99" s="2598" t="e">
        <f ca="1">CP98/CP82</f>
        <v>#DIV/0!</v>
      </c>
      <c r="CQ99" s="2598" t="e">
        <f ca="1">CQ98/CQ82</f>
        <v>#DIV/0!</v>
      </c>
      <c r="CR99" s="2598" t="e">
        <f ca="1">CR98/CR82</f>
        <v>#DIV/0!</v>
      </c>
      <c r="CS99" s="2598" t="e">
        <f t="shared" si="618"/>
        <v>#DIV/0!</v>
      </c>
      <c r="CT99" s="2598" t="e">
        <f ca="1">CT98/CT82</f>
        <v>#DIV/0!</v>
      </c>
      <c r="CU99" s="2598" t="e">
        <f ca="1">CU98/CU82</f>
        <v>#DIV/0!</v>
      </c>
      <c r="CV99" s="2598" t="e">
        <f ca="1">CV98/CV82</f>
        <v>#DIV/0!</v>
      </c>
      <c r="CW99" s="2598" t="e">
        <f t="shared" si="618"/>
        <v>#DIV/0!</v>
      </c>
      <c r="CX99" s="2598" t="e">
        <f ca="1">CX98/CX82</f>
        <v>#DIV/0!</v>
      </c>
      <c r="CY99" s="2598" t="e">
        <f ca="1">CY98/CY82</f>
        <v>#DIV/0!</v>
      </c>
      <c r="CZ99" s="2598" t="e">
        <f ca="1">CZ98/CZ82</f>
        <v>#DIV/0!</v>
      </c>
    </row>
    <row r="100" spans="1:104" s="2255" customFormat="1">
      <c r="A100" s="2254"/>
      <c r="B100" s="2244"/>
      <c r="C100" s="2245"/>
      <c r="D100" s="2245"/>
      <c r="E100" s="2246"/>
      <c r="F100" s="2246"/>
      <c r="G100" s="2246"/>
      <c r="H100" s="2241"/>
      <c r="I100" s="2241">
        <f>[1]Milestones!P80/[1]Milestones!O80-1</f>
        <v>0.44079960719937161</v>
      </c>
      <c r="J100" s="2241">
        <f>[1]Milestones!Q80/[1]Milestones!P80-1</f>
        <v>-0.79577824799372121</v>
      </c>
      <c r="K100" s="2323">
        <f>[1]Milestones!R80/[1]Milestones!Q80-1</f>
        <v>1.1407130769298983</v>
      </c>
      <c r="L100" s="2552">
        <f ca="1">L98/[1]Milestones!R80-1</f>
        <v>0.17799042482799554</v>
      </c>
      <c r="M100" s="2552">
        <f ca="1">M98/L98-1</f>
        <v>0.15870869941326649</v>
      </c>
      <c r="N100" s="2552">
        <f ca="1">N98/M98-1</f>
        <v>0.120461474665287</v>
      </c>
      <c r="O100" s="2552">
        <f ca="1">O98/N98-1</f>
        <v>0.16386075110363496</v>
      </c>
      <c r="P100" s="2552">
        <f ca="1">P98/O98-1</f>
        <v>7.7900197556571404E-2</v>
      </c>
      <c r="Q100" s="2552">
        <f ca="1">Q98/P98-1</f>
        <v>7.7403914143628683E-2</v>
      </c>
      <c r="R100" s="2552"/>
      <c r="S100" s="2552"/>
      <c r="T100" s="2175">
        <v>97</v>
      </c>
      <c r="U100" s="2250"/>
      <c r="V100" s="2250"/>
      <c r="W100" s="2250"/>
      <c r="X100" s="2250"/>
      <c r="Y100" s="2250"/>
      <c r="Z100" s="2250"/>
      <c r="AA100" s="2250"/>
      <c r="AB100" s="2250"/>
      <c r="AC100" s="2250"/>
      <c r="AD100" s="2250"/>
      <c r="AE100" s="2250"/>
      <c r="AF100" s="2250"/>
      <c r="AG100" s="2250"/>
      <c r="AH100" s="2599"/>
      <c r="AI100" s="2599"/>
      <c r="AJ100" s="2599"/>
      <c r="AK100" s="2250"/>
      <c r="AL100" s="2550"/>
      <c r="AM100" s="2550"/>
      <c r="AN100" s="2250"/>
      <c r="AO100" s="2600">
        <f t="shared" ref="AO100:AV100" si="619">AO98/AK98-1</f>
        <v>-0.76019248686089347</v>
      </c>
      <c r="AP100" s="2601">
        <f t="shared" si="619"/>
        <v>-0.8923742609306019</v>
      </c>
      <c r="AQ100" s="2601">
        <f t="shared" si="619"/>
        <v>-0.8447363361207153</v>
      </c>
      <c r="AR100" s="2601">
        <f t="shared" si="619"/>
        <v>-0.59019809670322743</v>
      </c>
      <c r="AS100" s="2600">
        <f t="shared" si="619"/>
        <v>1.0713311793944769</v>
      </c>
      <c r="AT100" s="2602">
        <f t="shared" si="619"/>
        <v>3.2584694425726308</v>
      </c>
      <c r="AU100" s="2602">
        <f t="shared" si="619"/>
        <v>2.0460124480674717</v>
      </c>
      <c r="AV100" s="2602">
        <f t="shared" si="619"/>
        <v>-0.44905850193838159</v>
      </c>
      <c r="AW100" s="2603">
        <f t="shared" ref="AW100:CF100" si="620">AW98/AS98-1</f>
        <v>0.18635792719901678</v>
      </c>
      <c r="AX100" s="2604">
        <f t="shared" ca="1" si="620"/>
        <v>1.738479532217907E-2</v>
      </c>
      <c r="AY100" s="2604">
        <f t="shared" ca="1" si="620"/>
        <v>0.12538010206298966</v>
      </c>
      <c r="AZ100" s="2604">
        <f t="shared" ca="1" si="620"/>
        <v>4.5874226338425768</v>
      </c>
      <c r="BA100" s="2605">
        <f t="shared" ca="1" si="620"/>
        <v>4.4496007686894101E-2</v>
      </c>
      <c r="BB100" s="2605">
        <f t="shared" ca="1" si="620"/>
        <v>0.17250742999923085</v>
      </c>
      <c r="BC100" s="2605">
        <f t="shared" ca="1" si="620"/>
        <v>0.15485423028241496</v>
      </c>
      <c r="BD100" s="2605">
        <f t="shared" ca="1" si="620"/>
        <v>0.23639377757644797</v>
      </c>
      <c r="BE100" s="2605">
        <f t="shared" ca="1" si="620"/>
        <v>0.11134532906704409</v>
      </c>
      <c r="BF100" s="2605">
        <f t="shared" ca="1" si="620"/>
        <v>0.11203939170872812</v>
      </c>
      <c r="BG100" s="2605">
        <f t="shared" ca="1" si="620"/>
        <v>0.15081984907033363</v>
      </c>
      <c r="BH100" s="2605">
        <f t="shared" ca="1" si="620"/>
        <v>0.11093331507205573</v>
      </c>
      <c r="BI100" s="2605">
        <f t="shared" ca="1" si="620"/>
        <v>0.16576762042935966</v>
      </c>
      <c r="BJ100" s="2605">
        <f t="shared" ca="1" si="620"/>
        <v>0.16707845543696243</v>
      </c>
      <c r="BK100" s="2605">
        <f t="shared" ca="1" si="620"/>
        <v>0.16860630149937195</v>
      </c>
      <c r="BL100" s="2605">
        <f t="shared" ca="1" si="620"/>
        <v>0.15688868945683154</v>
      </c>
      <c r="BM100" s="2605">
        <f t="shared" ca="1" si="620"/>
        <v>8.3522352737384731E-2</v>
      </c>
      <c r="BN100" s="2605">
        <f t="shared" ca="1" si="620"/>
        <v>7.8815229024846722E-2</v>
      </c>
      <c r="BO100" s="2605">
        <f t="shared" ca="1" si="620"/>
        <v>7.6724590352464039E-2</v>
      </c>
      <c r="BP100" s="2605">
        <f t="shared" ca="1" si="620"/>
        <v>7.4306010125835265E-2</v>
      </c>
      <c r="BQ100" s="2605">
        <f t="shared" ca="1" si="620"/>
        <v>7.7362094357139144E-2</v>
      </c>
      <c r="BR100" s="2605">
        <f t="shared" ca="1" si="620"/>
        <v>7.9773817130731395E-2</v>
      </c>
      <c r="BS100" s="2605">
        <f t="shared" ca="1" si="620"/>
        <v>7.7734629494145446E-2</v>
      </c>
      <c r="BT100" s="2605">
        <f t="shared" ca="1" si="620"/>
        <v>7.5365669259088719E-2</v>
      </c>
      <c r="BU100" s="2605">
        <f t="shared" ca="1" si="620"/>
        <v>7.8357283095187968E-2</v>
      </c>
      <c r="BV100" s="2605">
        <f t="shared" ca="1" si="620"/>
        <v>8.0706173807117532E-2</v>
      </c>
      <c r="BW100" s="2605">
        <f t="shared" ca="1" si="620"/>
        <v>7.8720799171319022E-2</v>
      </c>
      <c r="BX100" s="2605">
        <f t="shared" ca="1" si="620"/>
        <v>7.6404899850836872E-2</v>
      </c>
      <c r="BY100" s="2605">
        <f t="shared" ca="1" si="620"/>
        <v>7.9327817633899178E-2</v>
      </c>
      <c r="BZ100" s="2605">
        <f t="shared" ca="1" si="620"/>
        <v>8.1611430136776075E-2</v>
      </c>
      <c r="CA100" s="2605">
        <f t="shared" ca="1" si="620"/>
        <v>7.9681881659852349E-2</v>
      </c>
      <c r="CB100" s="2605">
        <f t="shared" ca="1" si="620"/>
        <v>7.7422108393407463E-2</v>
      </c>
      <c r="CC100" s="2605">
        <f t="shared" ca="1" si="620"/>
        <v>-1</v>
      </c>
      <c r="CD100" s="2605">
        <f t="shared" ca="1" si="620"/>
        <v>-1</v>
      </c>
      <c r="CE100" s="2605">
        <f t="shared" ca="1" si="620"/>
        <v>-1</v>
      </c>
      <c r="CF100" s="2605">
        <f t="shared" ca="1" si="620"/>
        <v>-1</v>
      </c>
      <c r="CG100" s="2605" t="e">
        <f t="shared" ref="CG100" si="621">CG98/CC98-1</f>
        <v>#DIV/0!</v>
      </c>
      <c r="CH100" s="2605" t="e">
        <f ca="1">CH98/CD98-1</f>
        <v>#DIV/0!</v>
      </c>
      <c r="CI100" s="2605" t="e">
        <f ca="1">CI98/CE98-1</f>
        <v>#DIV/0!</v>
      </c>
      <c r="CJ100" s="2605" t="e">
        <f ca="1">CJ98/CF98-1</f>
        <v>#DIV/0!</v>
      </c>
      <c r="CK100" s="2605" t="e">
        <f t="shared" ref="CK100" si="622">CK98/CG98-1</f>
        <v>#DIV/0!</v>
      </c>
      <c r="CL100" s="2605" t="e">
        <f ca="1">CL98/CH98-1</f>
        <v>#DIV/0!</v>
      </c>
      <c r="CM100" s="2605" t="e">
        <f ca="1">CM98/CI98-1</f>
        <v>#DIV/0!</v>
      </c>
      <c r="CN100" s="2605" t="e">
        <f ca="1">CN98/CJ98-1</f>
        <v>#DIV/0!</v>
      </c>
      <c r="CO100" s="2605" t="e">
        <f t="shared" ref="CO100" si="623">CO98/CK98-1</f>
        <v>#DIV/0!</v>
      </c>
      <c r="CP100" s="2605" t="e">
        <f ca="1">CP98/CL98-1</f>
        <v>#DIV/0!</v>
      </c>
      <c r="CQ100" s="2605" t="e">
        <f ca="1">CQ98/CM98-1</f>
        <v>#DIV/0!</v>
      </c>
      <c r="CR100" s="2605" t="e">
        <f ca="1">CR98/CN98-1</f>
        <v>#DIV/0!</v>
      </c>
      <c r="CS100" s="2605" t="e">
        <f t="shared" ref="CS100" si="624">CS98/CO98-1</f>
        <v>#DIV/0!</v>
      </c>
      <c r="CT100" s="2605" t="e">
        <f ca="1">CT98/CP98-1</f>
        <v>#DIV/0!</v>
      </c>
      <c r="CU100" s="2605" t="e">
        <f ca="1">CU98/CQ98-1</f>
        <v>#DIV/0!</v>
      </c>
      <c r="CV100" s="2605" t="e">
        <f ca="1">CV98/CR98-1</f>
        <v>#DIV/0!</v>
      </c>
      <c r="CW100" s="2605" t="e">
        <f t="shared" ref="CW100" si="625">CW98/CS98-1</f>
        <v>#DIV/0!</v>
      </c>
      <c r="CX100" s="2605" t="e">
        <f ca="1">CX98/CT98-1</f>
        <v>#DIV/0!</v>
      </c>
      <c r="CY100" s="2605" t="e">
        <f ca="1">CY98/CU98-1</f>
        <v>#DIV/0!</v>
      </c>
      <c r="CZ100" s="2605" t="e">
        <f ca="1">CZ98/CV98-1</f>
        <v>#DIV/0!</v>
      </c>
    </row>
    <row r="101" spans="1:104" s="2255" customFormat="1">
      <c r="A101" s="2254"/>
      <c r="B101" s="2244"/>
      <c r="C101" s="2206">
        <f>(H107/C107)^(1/5)-1</f>
        <v>1.2094270924032609</v>
      </c>
      <c r="D101" s="2322"/>
      <c r="E101" s="2246"/>
      <c r="F101" s="2207"/>
      <c r="G101" s="2246"/>
      <c r="H101" s="2606">
        <f t="shared" ref="H101:Q101" si="626">H5</f>
        <v>2021</v>
      </c>
      <c r="I101" s="2606">
        <f t="shared" si="626"/>
        <v>2022</v>
      </c>
      <c r="J101" s="2606">
        <f t="shared" si="626"/>
        <v>2023</v>
      </c>
      <c r="K101" s="2607">
        <f t="shared" si="626"/>
        <v>2024</v>
      </c>
      <c r="L101" s="2608">
        <f t="shared" si="626"/>
        <v>2025</v>
      </c>
      <c r="M101" s="2608">
        <f t="shared" si="626"/>
        <v>2026</v>
      </c>
      <c r="N101" s="2608">
        <f t="shared" si="626"/>
        <v>2027</v>
      </c>
      <c r="O101" s="2608">
        <f t="shared" si="626"/>
        <v>2028</v>
      </c>
      <c r="P101" s="2608">
        <f t="shared" si="626"/>
        <v>2029</v>
      </c>
      <c r="Q101" s="2608">
        <f t="shared" si="626"/>
        <v>2030</v>
      </c>
      <c r="R101" s="2552"/>
      <c r="S101" s="2552"/>
      <c r="T101" s="2175">
        <v>98</v>
      </c>
      <c r="U101" s="2250"/>
      <c r="V101" s="2250"/>
      <c r="W101" s="2250"/>
      <c r="X101" s="2250"/>
      <c r="Y101" s="2250"/>
      <c r="Z101" s="2250"/>
      <c r="AA101" s="2250"/>
      <c r="AB101" s="2250"/>
      <c r="AC101" s="2250"/>
      <c r="AD101" s="2250"/>
      <c r="AE101" s="2250"/>
      <c r="AF101" s="2250"/>
      <c r="AG101" s="2599">
        <f t="shared" ref="AG101:AL101" si="627">AG95/AG82</f>
        <v>9.8614582068767664E-2</v>
      </c>
      <c r="AH101" s="2599">
        <f t="shared" si="627"/>
        <v>8.7924201805057153E-2</v>
      </c>
      <c r="AI101" s="2599">
        <f t="shared" si="627"/>
        <v>6.0604905357625583E-2</v>
      </c>
      <c r="AJ101" s="2599">
        <f t="shared" si="627"/>
        <v>6.7775224283796925E-2</v>
      </c>
      <c r="AK101" s="2599">
        <f t="shared" si="627"/>
        <v>8.7489584733947676E-2</v>
      </c>
      <c r="AL101" s="2599">
        <f t="shared" si="627"/>
        <v>0.11819132008506011</v>
      </c>
      <c r="AM101" s="2599">
        <f t="shared" ref="AM101:CB101" ca="1" si="628">AM95/AM82</f>
        <v>0.12224701341091566</v>
      </c>
      <c r="AN101" s="2599">
        <f t="shared" ca="1" si="628"/>
        <v>7.6372374311013125E-2</v>
      </c>
      <c r="AO101" s="2599">
        <f t="shared" ca="1" si="628"/>
        <v>3.1540477035096944E-2</v>
      </c>
      <c r="AP101" s="2599">
        <f t="shared" ca="1" si="628"/>
        <v>1.5764021785447828E-2</v>
      </c>
      <c r="AQ101" s="2599">
        <f t="shared" ca="1" si="628"/>
        <v>2.1311537567428117E-2</v>
      </c>
      <c r="AR101" s="2599">
        <f t="shared" ca="1" si="628"/>
        <v>3.203949726960581E-2</v>
      </c>
      <c r="AS101" s="2609">
        <f t="shared" ca="1" si="628"/>
        <v>6.1039529793941845E-2</v>
      </c>
      <c r="AT101" s="2599">
        <f t="shared" ca="1" si="628"/>
        <v>6.3289375741647863E-2</v>
      </c>
      <c r="AU101" s="2599">
        <f t="shared" ca="1" si="628"/>
        <v>5.9693316161531312E-2</v>
      </c>
      <c r="AV101" s="2599">
        <f t="shared" ca="1" si="628"/>
        <v>1.5514174941382382E-2</v>
      </c>
      <c r="AW101" s="2610">
        <f t="shared" ca="1" si="628"/>
        <v>6.366254956052296E-2</v>
      </c>
      <c r="AX101" s="2611">
        <f t="shared" ca="1" si="628"/>
        <v>5.8838650497452238E-2</v>
      </c>
      <c r="AY101" s="2611">
        <f t="shared" ca="1" si="628"/>
        <v>5.5728853062628723E-2</v>
      </c>
      <c r="AZ101" s="2611">
        <f t="shared" ca="1" si="628"/>
        <v>6.6828158590359579E-2</v>
      </c>
      <c r="BA101" s="2612">
        <f t="shared" ca="1" si="628"/>
        <v>6.1499999999999999E-2</v>
      </c>
      <c r="BB101" s="2612">
        <f t="shared" ca="1" si="628"/>
        <v>6.0838650497452247E-2</v>
      </c>
      <c r="BC101" s="2612">
        <f t="shared" ca="1" si="628"/>
        <v>5.6728853062628724E-2</v>
      </c>
      <c r="BD101" s="2612">
        <f t="shared" ca="1" si="628"/>
        <v>7.2828158590359571E-2</v>
      </c>
      <c r="BE101" s="2612">
        <f t="shared" ca="1" si="628"/>
        <v>6.1500000000000013E-2</v>
      </c>
      <c r="BF101" s="2612">
        <f t="shared" ca="1" si="628"/>
        <v>6.0838650497452254E-2</v>
      </c>
      <c r="BG101" s="2612">
        <f t="shared" ca="1" si="628"/>
        <v>5.8728853062628726E-2</v>
      </c>
      <c r="BH101" s="2612">
        <f t="shared" ca="1" si="628"/>
        <v>7.2828158590359557E-2</v>
      </c>
      <c r="BI101" s="2612">
        <f t="shared" ca="1" si="628"/>
        <v>6.4500000000000002E-2</v>
      </c>
      <c r="BJ101" s="2612">
        <f t="shared" ca="1" si="628"/>
        <v>6.3838650497452243E-2</v>
      </c>
      <c r="BK101" s="2612">
        <f t="shared" ca="1" si="628"/>
        <v>6.1728853062628715E-2</v>
      </c>
      <c r="BL101" s="2612">
        <f t="shared" ca="1" si="628"/>
        <v>7.5828158590359587E-2</v>
      </c>
      <c r="BM101" s="2612">
        <f t="shared" ca="1" si="628"/>
        <v>6.4499999999999988E-2</v>
      </c>
      <c r="BN101" s="2612">
        <f t="shared" ca="1" si="628"/>
        <v>6.3838650497452243E-2</v>
      </c>
      <c r="BO101" s="2612">
        <f t="shared" ca="1" si="628"/>
        <v>6.1728853062628729E-2</v>
      </c>
      <c r="BP101" s="2612">
        <f t="shared" ca="1" si="628"/>
        <v>7.582815859035956E-2</v>
      </c>
      <c r="BQ101" s="2612">
        <f t="shared" ca="1" si="628"/>
        <v>6.4500000000000002E-2</v>
      </c>
      <c r="BR101" s="2612">
        <f t="shared" ca="1" si="628"/>
        <v>6.3838650497452229E-2</v>
      </c>
      <c r="BS101" s="2612">
        <f t="shared" ca="1" si="628"/>
        <v>6.1728853062628722E-2</v>
      </c>
      <c r="BT101" s="2612">
        <f t="shared" ca="1" si="628"/>
        <v>7.5828158590359587E-2</v>
      </c>
      <c r="BU101" s="2612">
        <f t="shared" ca="1" si="628"/>
        <v>6.4500000000000002E-2</v>
      </c>
      <c r="BV101" s="2612">
        <f t="shared" ca="1" si="628"/>
        <v>6.3838650497452271E-2</v>
      </c>
      <c r="BW101" s="2612">
        <f t="shared" ca="1" si="628"/>
        <v>6.1728853062628722E-2</v>
      </c>
      <c r="BX101" s="2612">
        <f t="shared" ca="1" si="628"/>
        <v>7.5828158590359573E-2</v>
      </c>
      <c r="BY101" s="2612">
        <f t="shared" ca="1" si="628"/>
        <v>6.4500000000000002E-2</v>
      </c>
      <c r="BZ101" s="2612">
        <f t="shared" ca="1" si="628"/>
        <v>6.3838650497452257E-2</v>
      </c>
      <c r="CA101" s="2612">
        <f t="shared" ca="1" si="628"/>
        <v>6.1728853062628708E-2</v>
      </c>
      <c r="CB101" s="2612">
        <f t="shared" ca="1" si="628"/>
        <v>7.582815859035956E-2</v>
      </c>
      <c r="CC101" s="2612" t="e">
        <f t="shared" ref="CC101:CK101" si="629">CC95/CC82</f>
        <v>#DIV/0!</v>
      </c>
      <c r="CD101" s="2612" t="e">
        <f ca="1">CD95/CD82</f>
        <v>#DIV/0!</v>
      </c>
      <c r="CE101" s="2612" t="e">
        <f ca="1">CE95/CE82</f>
        <v>#DIV/0!</v>
      </c>
      <c r="CF101" s="2612" t="e">
        <f ca="1">CF95/CF82</f>
        <v>#DIV/0!</v>
      </c>
      <c r="CG101" s="2612" t="e">
        <f t="shared" si="629"/>
        <v>#DIV/0!</v>
      </c>
      <c r="CH101" s="2612" t="e">
        <f ca="1">CH95/CH82</f>
        <v>#DIV/0!</v>
      </c>
      <c r="CI101" s="2612" t="e">
        <f ca="1">CI95/CI82</f>
        <v>#DIV/0!</v>
      </c>
      <c r="CJ101" s="2612" t="e">
        <f ca="1">CJ95/CJ82</f>
        <v>#DIV/0!</v>
      </c>
      <c r="CK101" s="2612" t="e">
        <f t="shared" si="629"/>
        <v>#DIV/0!</v>
      </c>
      <c r="CL101" s="2612" t="e">
        <f ca="1">CL95/CL82</f>
        <v>#DIV/0!</v>
      </c>
      <c r="CM101" s="2612" t="e">
        <f ca="1">CM95/CM82</f>
        <v>#DIV/0!</v>
      </c>
      <c r="CN101" s="2612" t="e">
        <f ca="1">CN95/CN82</f>
        <v>#DIV/0!</v>
      </c>
      <c r="CO101" s="2612" t="e">
        <f t="shared" ref="CO101:CW101" si="630">CO95/CO82</f>
        <v>#DIV/0!</v>
      </c>
      <c r="CP101" s="2612" t="e">
        <f ca="1">CP95/CP82</f>
        <v>#DIV/0!</v>
      </c>
      <c r="CQ101" s="2612" t="e">
        <f ca="1">CQ95/CQ82</f>
        <v>#DIV/0!</v>
      </c>
      <c r="CR101" s="2612" t="e">
        <f ca="1">CR95/CR82</f>
        <v>#DIV/0!</v>
      </c>
      <c r="CS101" s="2612" t="e">
        <f t="shared" si="630"/>
        <v>#DIV/0!</v>
      </c>
      <c r="CT101" s="2612" t="e">
        <f ca="1">CT95/CT82</f>
        <v>#DIV/0!</v>
      </c>
      <c r="CU101" s="2612" t="e">
        <f ca="1">CU95/CU82</f>
        <v>#DIV/0!</v>
      </c>
      <c r="CV101" s="2612" t="e">
        <f ca="1">CV95/CV82</f>
        <v>#DIV/0!</v>
      </c>
      <c r="CW101" s="2612" t="e">
        <f t="shared" si="630"/>
        <v>#DIV/0!</v>
      </c>
      <c r="CX101" s="2612" t="e">
        <f ca="1">CX95/CX82</f>
        <v>#DIV/0!</v>
      </c>
      <c r="CY101" s="2612" t="e">
        <f ca="1">CY95/CY82</f>
        <v>#DIV/0!</v>
      </c>
      <c r="CZ101" s="2612" t="e">
        <f ca="1">CZ95/CZ82</f>
        <v>#DIV/0!</v>
      </c>
    </row>
    <row r="102" spans="1:104" s="2231" customFormat="1" collapsed="1">
      <c r="A102" s="2217" t="str">
        <f t="shared" ref="A102:Q102" si="631">A23</f>
        <v>Grocery (BHX)</v>
      </c>
      <c r="B102" s="2218">
        <f t="shared" si="631"/>
        <v>0</v>
      </c>
      <c r="C102" s="2219">
        <f t="shared" si="631"/>
        <v>249</v>
      </c>
      <c r="D102" s="2219">
        <f t="shared" si="631"/>
        <v>1138.7</v>
      </c>
      <c r="E102" s="2220">
        <f t="shared" si="631"/>
        <v>4325.8145000000004</v>
      </c>
      <c r="F102" s="2220">
        <f t="shared" si="631"/>
        <v>10728.295617555914</v>
      </c>
      <c r="G102" s="2220">
        <f t="shared" si="631"/>
        <v>21275.016</v>
      </c>
      <c r="H102" s="2220">
        <f t="shared" si="631"/>
        <v>28157.381999999998</v>
      </c>
      <c r="I102" s="2221">
        <f t="shared" si="631"/>
        <v>27081.169731000002</v>
      </c>
      <c r="J102" s="2221">
        <f t="shared" ca="1" si="631"/>
        <v>31580.760000000002</v>
      </c>
      <c r="K102" s="2222">
        <f t="shared" ca="1" si="631"/>
        <v>41083.417042057001</v>
      </c>
      <c r="L102" s="2223">
        <f t="shared" ca="1" si="631"/>
        <v>47646.751647932077</v>
      </c>
      <c r="M102" s="2223">
        <f t="shared" ca="1" si="631"/>
        <v>68350.825336556707</v>
      </c>
      <c r="N102" s="2223">
        <f t="shared" ca="1" si="631"/>
        <v>86871.088414002705</v>
      </c>
      <c r="O102" s="2223">
        <f t="shared" ca="1" si="631"/>
        <v>105764.68070607298</v>
      </c>
      <c r="P102" s="2223">
        <f t="shared" ca="1" si="631"/>
        <v>123040.75740074375</v>
      </c>
      <c r="Q102" s="2223">
        <f t="shared" ca="1" si="631"/>
        <v>137239.26854457241</v>
      </c>
      <c r="R102" s="2223">
        <f ca="1">K102/(50*25000)</f>
        <v>3.2866733633645603E-2</v>
      </c>
      <c r="S102" s="2223">
        <f>30%*S6</f>
        <v>45000</v>
      </c>
      <c r="T102" s="2224">
        <v>99</v>
      </c>
      <c r="U102" s="2225"/>
      <c r="V102" s="2225"/>
      <c r="W102" s="2225"/>
      <c r="X102" s="2225"/>
      <c r="Y102" s="2225"/>
      <c r="Z102" s="2225"/>
      <c r="AA102" s="2225">
        <f t="shared" ref="AA102:AF102" si="632">AA23</f>
        <v>3052.5260000000007</v>
      </c>
      <c r="AB102" s="2225">
        <f t="shared" si="632"/>
        <v>3589.3109999999997</v>
      </c>
      <c r="AC102" s="2225">
        <f t="shared" si="632"/>
        <v>4491.009</v>
      </c>
      <c r="AD102" s="2225">
        <f t="shared" si="632"/>
        <v>4967.621000000001</v>
      </c>
      <c r="AE102" s="2225">
        <f t="shared" si="632"/>
        <v>5672.8420000000006</v>
      </c>
      <c r="AF102" s="2225">
        <f t="shared" si="632"/>
        <v>6143.5439999999981</v>
      </c>
      <c r="AG102" s="2225">
        <f>AG23</f>
        <v>5949.6109999999999</v>
      </c>
      <c r="AH102" s="2225">
        <f t="shared" ref="AH102:AX102" si="633">AH23</f>
        <v>7422.6069999999991</v>
      </c>
      <c r="AI102" s="2225">
        <f t="shared" si="633"/>
        <v>9200.9820000000018</v>
      </c>
      <c r="AJ102" s="2225">
        <f t="shared" si="633"/>
        <v>5584.1819999999971</v>
      </c>
      <c r="AK102" s="2225">
        <f t="shared" si="633"/>
        <v>6040</v>
      </c>
      <c r="AL102" s="2225">
        <f t="shared" si="633"/>
        <v>6775.5240000000013</v>
      </c>
      <c r="AM102" s="2225">
        <f t="shared" si="633"/>
        <v>7121.2509999999984</v>
      </c>
      <c r="AN102" s="2225">
        <f t="shared" si="633"/>
        <v>7144.3947310000003</v>
      </c>
      <c r="AO102" s="2226">
        <f t="shared" si="633"/>
        <v>6369.64</v>
      </c>
      <c r="AP102" s="2227">
        <f t="shared" ref="AP102:AW102" ca="1" si="634">AP23</f>
        <v>7320.2999999999984</v>
      </c>
      <c r="AQ102" s="2227">
        <f t="shared" ca="1" si="634"/>
        <v>8632.5660000000025</v>
      </c>
      <c r="AR102" s="2227">
        <f t="shared" ca="1" si="634"/>
        <v>9258.2540000000008</v>
      </c>
      <c r="AS102" s="2226">
        <f t="shared" ca="1" si="634"/>
        <v>9162.5685900000008</v>
      </c>
      <c r="AT102" s="2225">
        <f t="shared" ca="1" si="634"/>
        <v>10326.868409999997</v>
      </c>
      <c r="AU102" s="2225">
        <f t="shared" ca="1" si="634"/>
        <v>10839.731</v>
      </c>
      <c r="AV102" s="2225">
        <f t="shared" ca="1" si="634"/>
        <v>10754.249042057003</v>
      </c>
      <c r="AW102" s="2228">
        <f t="shared" ca="1" si="634"/>
        <v>11021.162317553744</v>
      </c>
      <c r="AX102" s="2229">
        <f t="shared" si="633"/>
        <v>11568.193252734864</v>
      </c>
      <c r="AY102" s="2229">
        <f t="shared" ref="AY102:CB102" ca="1" si="635">AY23</f>
        <v>11781.752429711392</v>
      </c>
      <c r="AZ102" s="2229">
        <f t="shared" ca="1" si="635"/>
        <v>13275.643647932076</v>
      </c>
      <c r="BA102" s="2230">
        <f t="shared" ca="1" si="635"/>
        <v>15764.999040601415</v>
      </c>
      <c r="BB102" s="2230">
        <f t="shared" si="635"/>
        <v>16198.657466719262</v>
      </c>
      <c r="BC102" s="2230">
        <f t="shared" ca="1" si="635"/>
        <v>17312.123260092812</v>
      </c>
      <c r="BD102" s="2230">
        <f t="shared" ca="1" si="635"/>
        <v>19075.045569143207</v>
      </c>
      <c r="BE102" s="2230">
        <f t="shared" ca="1" si="635"/>
        <v>20847.188467672462</v>
      </c>
      <c r="BF102" s="2230">
        <f t="shared" si="635"/>
        <v>20475.566938467062</v>
      </c>
      <c r="BG102" s="2230">
        <f t="shared" ca="1" si="635"/>
        <v>21632.833453106974</v>
      </c>
      <c r="BH102" s="2230">
        <f t="shared" ca="1" si="635"/>
        <v>23915.499554756221</v>
      </c>
      <c r="BI102" s="2230">
        <f t="shared" ca="1" si="635"/>
        <v>25235.546645715141</v>
      </c>
      <c r="BJ102" s="2230">
        <f t="shared" si="635"/>
        <v>25329.052445278357</v>
      </c>
      <c r="BK102" s="2230">
        <f t="shared" ca="1" si="635"/>
        <v>26548.19574374715</v>
      </c>
      <c r="BL102" s="2230">
        <f t="shared" ca="1" si="635"/>
        <v>28651.885871332335</v>
      </c>
      <c r="BM102" s="2230">
        <f t="shared" ca="1" si="635"/>
        <v>29785.891692707894</v>
      </c>
      <c r="BN102" s="2230">
        <f t="shared" si="635"/>
        <v>29638.585091013159</v>
      </c>
      <c r="BO102" s="2230">
        <f t="shared" ca="1" si="635"/>
        <v>30771.624985957485</v>
      </c>
      <c r="BP102" s="2230">
        <f t="shared" ca="1" si="635"/>
        <v>32844.655631065201</v>
      </c>
      <c r="BQ102" s="2230">
        <f t="shared" ca="1" si="635"/>
        <v>33795.73179434827</v>
      </c>
      <c r="BR102" s="2230">
        <f t="shared" si="635"/>
        <v>33282.363747192961</v>
      </c>
      <c r="BS102" s="2230">
        <f t="shared" ca="1" si="635"/>
        <v>34165.637208735985</v>
      </c>
      <c r="BT102" s="2230">
        <f t="shared" ca="1" si="635"/>
        <v>35995.535794295196</v>
      </c>
      <c r="BU102" s="2230">
        <f t="shared" ca="1" si="635"/>
        <v>36853.148600290646</v>
      </c>
      <c r="BV102" s="2230">
        <f t="shared" si="635"/>
        <v>36310.895549036424</v>
      </c>
      <c r="BW102" s="2230">
        <f t="shared" ca="1" si="635"/>
        <v>37240.302923721945</v>
      </c>
      <c r="BX102" s="2230">
        <f t="shared" ca="1" si="635"/>
        <v>39199.664593528636</v>
      </c>
      <c r="BY102" s="2230">
        <f t="shared" ca="1" si="635"/>
        <v>40100.149128358171</v>
      </c>
      <c r="BZ102" s="2230">
        <f t="shared" si="635"/>
        <v>39477.679544660648</v>
      </c>
      <c r="CA102" s="2230">
        <f t="shared" ca="1" si="635"/>
        <v>40455.273665216962</v>
      </c>
      <c r="CB102" s="2230">
        <f t="shared" ca="1" si="635"/>
        <v>42549.944137498518</v>
      </c>
      <c r="CC102" s="2230">
        <f t="shared" ref="CC102:CN102" si="636">CC23</f>
        <v>0</v>
      </c>
      <c r="CD102" s="2230">
        <f t="shared" si="636"/>
        <v>0</v>
      </c>
      <c r="CE102" s="2230">
        <f t="shared" si="636"/>
        <v>0</v>
      </c>
      <c r="CF102" s="2230">
        <f t="shared" si="636"/>
        <v>0</v>
      </c>
      <c r="CG102" s="2230">
        <f t="shared" si="636"/>
        <v>0</v>
      </c>
      <c r="CH102" s="2230">
        <f t="shared" si="636"/>
        <v>0</v>
      </c>
      <c r="CI102" s="2230">
        <f t="shared" si="636"/>
        <v>0</v>
      </c>
      <c r="CJ102" s="2230">
        <f t="shared" si="636"/>
        <v>0</v>
      </c>
      <c r="CK102" s="2230">
        <f t="shared" si="636"/>
        <v>0</v>
      </c>
      <c r="CL102" s="2230">
        <f t="shared" si="636"/>
        <v>0</v>
      </c>
      <c r="CM102" s="2230">
        <f t="shared" si="636"/>
        <v>0</v>
      </c>
      <c r="CN102" s="2230">
        <f t="shared" si="636"/>
        <v>0</v>
      </c>
      <c r="CO102" s="2230">
        <f t="shared" ref="CO102:CZ102" si="637">CO23</f>
        <v>0</v>
      </c>
      <c r="CP102" s="2230">
        <f t="shared" si="637"/>
        <v>0</v>
      </c>
      <c r="CQ102" s="2230">
        <f t="shared" si="637"/>
        <v>0</v>
      </c>
      <c r="CR102" s="2230">
        <f t="shared" si="637"/>
        <v>0</v>
      </c>
      <c r="CS102" s="2230">
        <f t="shared" si="637"/>
        <v>0</v>
      </c>
      <c r="CT102" s="2230">
        <f t="shared" si="637"/>
        <v>0</v>
      </c>
      <c r="CU102" s="2230">
        <f t="shared" si="637"/>
        <v>0</v>
      </c>
      <c r="CV102" s="2230">
        <f t="shared" si="637"/>
        <v>0</v>
      </c>
      <c r="CW102" s="2230">
        <f t="shared" si="637"/>
        <v>0</v>
      </c>
      <c r="CX102" s="2230">
        <f t="shared" si="637"/>
        <v>0</v>
      </c>
      <c r="CY102" s="2230">
        <f t="shared" si="637"/>
        <v>0</v>
      </c>
      <c r="CZ102" s="2230">
        <f t="shared" si="637"/>
        <v>0</v>
      </c>
    </row>
    <row r="103" spans="1:104">
      <c r="A103" s="2174" t="s">
        <v>31</v>
      </c>
      <c r="B103" s="2240"/>
      <c r="C103" s="2256"/>
      <c r="D103" s="2322">
        <f>D102/C102-1</f>
        <v>3.5730923694779122</v>
      </c>
      <c r="E103" s="2241">
        <f t="shared" ref="E103:I103" si="638">E102/D102-1</f>
        <v>2.7989062088346364</v>
      </c>
      <c r="F103" s="2241">
        <f t="shared" si="638"/>
        <v>1.4800637238503667</v>
      </c>
      <c r="G103" s="2241">
        <f t="shared" si="638"/>
        <v>0.98307510889104366</v>
      </c>
      <c r="H103" s="2241">
        <f t="shared" si="638"/>
        <v>0.32349522087315941</v>
      </c>
      <c r="I103" s="2241">
        <f t="shared" si="638"/>
        <v>-3.8221318622590594E-2</v>
      </c>
      <c r="J103" s="2241">
        <f t="shared" ref="J103:Q103" ca="1" si="639">J102/I102-1</f>
        <v>0.16615199098469113</v>
      </c>
      <c r="K103" s="2323">
        <f t="shared" ca="1" si="639"/>
        <v>0.30090020132691553</v>
      </c>
      <c r="L103" s="2491">
        <f t="shared" ca="1" si="639"/>
        <v>0.15975629775771094</v>
      </c>
      <c r="M103" s="2491">
        <f t="shared" ca="1" si="639"/>
        <v>0.43453274300018752</v>
      </c>
      <c r="N103" s="2491">
        <f t="shared" ca="1" si="639"/>
        <v>0.27095887995869794</v>
      </c>
      <c r="O103" s="2491">
        <f t="shared" ca="1" si="639"/>
        <v>0.21748999163022842</v>
      </c>
      <c r="P103" s="2491">
        <f t="shared" ca="1" si="639"/>
        <v>0.16334447926602391</v>
      </c>
      <c r="Q103" s="2491">
        <f t="shared" ca="1" si="639"/>
        <v>0.11539681194893903</v>
      </c>
      <c r="R103" s="2491"/>
      <c r="S103" s="2491"/>
      <c r="T103" s="2175">
        <v>100</v>
      </c>
      <c r="U103" s="2175"/>
      <c r="V103" s="2175"/>
      <c r="W103" s="2175"/>
      <c r="X103" s="2175"/>
      <c r="Y103" s="2175"/>
      <c r="Z103" s="2175"/>
      <c r="AA103" s="2175"/>
      <c r="AB103" s="2175"/>
      <c r="AC103" s="2175"/>
      <c r="AD103" s="2175"/>
      <c r="AE103" s="2175"/>
      <c r="AF103" s="2175"/>
      <c r="AG103" s="2175"/>
      <c r="AH103" s="2175"/>
      <c r="AI103" s="2175"/>
      <c r="AJ103" s="2175"/>
      <c r="AK103" s="2175"/>
      <c r="AL103" s="2175"/>
      <c r="AM103" s="2175"/>
      <c r="AN103" s="2175"/>
      <c r="AO103" s="2375"/>
      <c r="AP103" s="2175"/>
      <c r="AQ103" s="2175"/>
      <c r="AR103" s="2175"/>
      <c r="AS103" s="2613">
        <f t="shared" ref="AS103:CF103" ca="1" si="640">AS102/AO102-1</f>
        <v>0.43847510848336801</v>
      </c>
      <c r="AT103" s="2436">
        <f t="shared" ca="1" si="640"/>
        <v>0.41071655669849583</v>
      </c>
      <c r="AU103" s="2436">
        <f t="shared" ca="1" si="640"/>
        <v>0.25567890242599911</v>
      </c>
      <c r="AV103" s="2436">
        <f t="shared" ca="1" si="640"/>
        <v>0.16158500750325078</v>
      </c>
      <c r="AW103" s="2614">
        <f t="shared" ca="1" si="640"/>
        <v>0.20284636445529114</v>
      </c>
      <c r="AX103" s="2615">
        <f t="shared" ca="1" si="640"/>
        <v>0.12020341437999083</v>
      </c>
      <c r="AY103" s="2615">
        <f t="shared" ca="1" si="640"/>
        <v>8.6904502492856306E-2</v>
      </c>
      <c r="AZ103" s="2615">
        <f t="shared" ca="1" si="640"/>
        <v>0.23445566454845612</v>
      </c>
      <c r="BA103" s="2616">
        <f t="shared" ca="1" si="640"/>
        <v>0.43042980280691601</v>
      </c>
      <c r="BB103" s="2616">
        <f t="shared" si="640"/>
        <v>0.40027548925063994</v>
      </c>
      <c r="BC103" s="2616">
        <f t="shared" ca="1" si="640"/>
        <v>0.46940137839213558</v>
      </c>
      <c r="BD103" s="2616">
        <f t="shared" ca="1" si="640"/>
        <v>0.43684525398619689</v>
      </c>
      <c r="BE103" s="2616">
        <f t="shared" ca="1" si="640"/>
        <v>0.32237169275953015</v>
      </c>
      <c r="BF103" s="2616">
        <f t="shared" si="640"/>
        <v>0.26402863820874467</v>
      </c>
      <c r="BG103" s="2616">
        <f t="shared" ca="1" si="640"/>
        <v>0.24957713898526146</v>
      </c>
      <c r="BH103" s="2616">
        <f t="shared" ca="1" si="640"/>
        <v>0.2537584493870455</v>
      </c>
      <c r="BI103" s="2616">
        <f t="shared" ca="1" si="640"/>
        <v>0.21050119947098223</v>
      </c>
      <c r="BJ103" s="2616">
        <f t="shared" si="640"/>
        <v>0.23703790578287443</v>
      </c>
      <c r="BK103" s="2616">
        <f t="shared" ca="1" si="640"/>
        <v>0.22721768284746902</v>
      </c>
      <c r="BL103" s="2616">
        <f t="shared" ca="1" si="640"/>
        <v>0.19804672303548676</v>
      </c>
      <c r="BM103" s="2616">
        <f t="shared" ca="1" si="640"/>
        <v>0.18031489909355214</v>
      </c>
      <c r="BN103" s="2616">
        <f t="shared" si="640"/>
        <v>0.17014188174015765</v>
      </c>
      <c r="BO103" s="2616">
        <f t="shared" ca="1" si="640"/>
        <v>0.15908535868035667</v>
      </c>
      <c r="BP103" s="2616">
        <f t="shared" ca="1" si="640"/>
        <v>0.14633486181542921</v>
      </c>
      <c r="BQ103" s="2616">
        <f t="shared" ca="1" si="640"/>
        <v>0.13462212724764777</v>
      </c>
      <c r="BR103" s="2616">
        <f t="shared" si="640"/>
        <v>0.12294037130958202</v>
      </c>
      <c r="BS103" s="2616">
        <f t="shared" ca="1" si="640"/>
        <v>0.11029681481973563</v>
      </c>
      <c r="BT103" s="2616">
        <f t="shared" ca="1" si="640"/>
        <v>9.5932811676363583E-2</v>
      </c>
      <c r="BU103" s="2616">
        <f t="shared" ca="1" si="640"/>
        <v>9.0467542604112827E-2</v>
      </c>
      <c r="BV103" s="2616">
        <f t="shared" si="640"/>
        <v>9.0995093523034143E-2</v>
      </c>
      <c r="BW103" s="2616">
        <f t="shared" ca="1" si="640"/>
        <v>8.9992927578115944E-2</v>
      </c>
      <c r="BX103" s="2616">
        <f t="shared" ca="1" si="640"/>
        <v>8.9014616077509601E-2</v>
      </c>
      <c r="BY103" s="2616">
        <f t="shared" ca="1" si="640"/>
        <v>8.8106461764895672E-2</v>
      </c>
      <c r="BZ103" s="2616">
        <f t="shared" si="640"/>
        <v>8.7213051282296394E-2</v>
      </c>
      <c r="CA103" s="2616">
        <f t="shared" ca="1" si="640"/>
        <v>8.6330413264363859E-2</v>
      </c>
      <c r="CB103" s="2616">
        <f t="shared" ca="1" si="640"/>
        <v>8.5467046177812644E-2</v>
      </c>
      <c r="CC103" s="2616">
        <f t="shared" ca="1" si="640"/>
        <v>-1</v>
      </c>
      <c r="CD103" s="2616">
        <f t="shared" si="640"/>
        <v>-1</v>
      </c>
      <c r="CE103" s="2616">
        <f t="shared" ca="1" si="640"/>
        <v>-1</v>
      </c>
      <c r="CF103" s="2616">
        <f t="shared" ca="1" si="640"/>
        <v>-1</v>
      </c>
      <c r="CG103" s="2616" t="e">
        <f t="shared" ref="CG103" si="641">CG102/CC102-1</f>
        <v>#DIV/0!</v>
      </c>
      <c r="CH103" s="2616" t="e">
        <f t="shared" ref="CH103" si="642">CH102/CD102-1</f>
        <v>#DIV/0!</v>
      </c>
      <c r="CI103" s="2616" t="e">
        <f t="shared" ref="CI103" si="643">CI102/CE102-1</f>
        <v>#DIV/0!</v>
      </c>
      <c r="CJ103" s="2616" t="e">
        <f t="shared" ref="CJ103" si="644">CJ102/CF102-1</f>
        <v>#DIV/0!</v>
      </c>
      <c r="CK103" s="2616" t="e">
        <f t="shared" ref="CK103" si="645">CK102/CG102-1</f>
        <v>#DIV/0!</v>
      </c>
      <c r="CL103" s="2616" t="e">
        <f t="shared" ref="CL103" si="646">CL102/CH102-1</f>
        <v>#DIV/0!</v>
      </c>
      <c r="CM103" s="2616" t="e">
        <f t="shared" ref="CM103" si="647">CM102/CI102-1</f>
        <v>#DIV/0!</v>
      </c>
      <c r="CN103" s="2616" t="e">
        <f t="shared" ref="CN103" si="648">CN102/CJ102-1</f>
        <v>#DIV/0!</v>
      </c>
      <c r="CO103" s="2616" t="e">
        <f t="shared" ref="CO103" si="649">CO102/CK102-1</f>
        <v>#DIV/0!</v>
      </c>
      <c r="CP103" s="2616" t="e">
        <f t="shared" ref="CP103" si="650">CP102/CL102-1</f>
        <v>#DIV/0!</v>
      </c>
      <c r="CQ103" s="2616" t="e">
        <f t="shared" ref="CQ103" si="651">CQ102/CM102-1</f>
        <v>#DIV/0!</v>
      </c>
      <c r="CR103" s="2616" t="e">
        <f t="shared" ref="CR103" si="652">CR102/CN102-1</f>
        <v>#DIV/0!</v>
      </c>
      <c r="CS103" s="2616" t="e">
        <f t="shared" ref="CS103" si="653">CS102/CO102-1</f>
        <v>#DIV/0!</v>
      </c>
      <c r="CT103" s="2616" t="e">
        <f t="shared" ref="CT103" si="654">CT102/CP102-1</f>
        <v>#DIV/0!</v>
      </c>
      <c r="CU103" s="2616" t="e">
        <f t="shared" ref="CU103" si="655">CU102/CQ102-1</f>
        <v>#DIV/0!</v>
      </c>
      <c r="CV103" s="2616" t="e">
        <f t="shared" ref="CV103" si="656">CV102/CR102-1</f>
        <v>#DIV/0!</v>
      </c>
      <c r="CW103" s="2616" t="e">
        <f t="shared" ref="CW103" si="657">CW102/CS102-1</f>
        <v>#DIV/0!</v>
      </c>
      <c r="CX103" s="2616" t="e">
        <f t="shared" ref="CX103" si="658">CX102/CT102-1</f>
        <v>#DIV/0!</v>
      </c>
      <c r="CY103" s="2616" t="e">
        <f t="shared" ref="CY103" si="659">CY102/CU102-1</f>
        <v>#DIV/0!</v>
      </c>
      <c r="CZ103" s="2616" t="e">
        <f t="shared" ref="CZ103" si="660">CZ102/CV102-1</f>
        <v>#DIV/0!</v>
      </c>
    </row>
    <row r="104" spans="1:104">
      <c r="A104" s="2437" t="s">
        <v>173</v>
      </c>
      <c r="B104" s="2240"/>
      <c r="C104" s="2372">
        <f t="shared" ref="C104:H104" si="661">C102/AVERAGE(C107,B107)</f>
        <v>6.2249999999999996</v>
      </c>
      <c r="D104" s="2372">
        <f t="shared" si="661"/>
        <v>7.0507739938080496</v>
      </c>
      <c r="E104" s="2372">
        <f t="shared" si="661"/>
        <v>12.575042151162792</v>
      </c>
      <c r="F104" s="2372">
        <f t="shared" si="661"/>
        <v>15.185131801211485</v>
      </c>
      <c r="G104" s="2372">
        <f>G102/AVERAGE(G107,F107)</f>
        <v>15.603238723872387</v>
      </c>
      <c r="H104" s="2372">
        <f t="shared" si="661"/>
        <v>14.722814117647058</v>
      </c>
      <c r="I104" s="2372">
        <f t="shared" ref="I104" si="662">I102/AVERAGE(I107,H107)</f>
        <v>14.126849103286386</v>
      </c>
      <c r="J104" s="2372">
        <f t="shared" ref="J104:Q104" ca="1" si="663">J102/AVERAGE(J107,I107)</f>
        <v>18.435936952714538</v>
      </c>
      <c r="K104" s="2492">
        <f t="shared" ca="1" si="663"/>
        <v>23.692858732443483</v>
      </c>
      <c r="L104" s="2179">
        <f t="shared" ca="1" si="663"/>
        <v>22.125261967927596</v>
      </c>
      <c r="M104" s="2179">
        <f t="shared" ca="1" si="663"/>
        <v>23.232775437306834</v>
      </c>
      <c r="N104" s="2179">
        <f t="shared" ca="1" si="663"/>
        <v>23.450152089081577</v>
      </c>
      <c r="O104" s="2179">
        <f t="shared" ca="1" si="663"/>
        <v>23.999246813268204</v>
      </c>
      <c r="P104" s="2179">
        <f t="shared" ca="1" si="663"/>
        <v>24.415270840508732</v>
      </c>
      <c r="Q104" s="2179">
        <f t="shared" ca="1" si="663"/>
        <v>24.954862904731776</v>
      </c>
      <c r="R104" s="2179"/>
      <c r="S104" s="2179">
        <f>M108/M107</f>
        <v>0.24200776815058261</v>
      </c>
      <c r="T104" s="2175">
        <v>101</v>
      </c>
      <c r="U104" s="2175"/>
      <c r="V104" s="2175"/>
      <c r="W104" s="2175"/>
      <c r="X104" s="2175"/>
      <c r="Y104" s="2175"/>
      <c r="Z104" s="2175"/>
      <c r="AA104" s="2175"/>
      <c r="AB104" s="2175"/>
      <c r="AC104" s="2175"/>
      <c r="AD104" s="2175"/>
      <c r="AE104" s="2175"/>
      <c r="AF104" s="2175"/>
      <c r="AG104" s="2175"/>
      <c r="AH104" s="2175"/>
      <c r="AI104" s="2175"/>
      <c r="AJ104" s="2175"/>
      <c r="AK104" s="2175"/>
      <c r="AL104" s="2175"/>
      <c r="AM104" s="2175"/>
      <c r="AN104" s="2175"/>
      <c r="AO104" s="2375"/>
      <c r="AP104" s="2175"/>
      <c r="AQ104" s="2175"/>
      <c r="AR104" s="2175"/>
      <c r="AS104" s="2375"/>
      <c r="AT104" s="2175"/>
      <c r="AU104" s="2175"/>
      <c r="AV104" s="2175"/>
      <c r="AW104" s="2376"/>
      <c r="AX104" s="2177"/>
      <c r="AY104" s="2177"/>
      <c r="AZ104" s="2177"/>
      <c r="BA104" s="2174"/>
      <c r="BB104" s="2174"/>
      <c r="BC104" s="2174"/>
      <c r="BD104" s="2174"/>
      <c r="BE104" s="2174"/>
      <c r="BF104" s="2174"/>
      <c r="BG104" s="2174"/>
      <c r="BH104" s="2174"/>
      <c r="BI104" s="2174"/>
      <c r="BJ104" s="2174"/>
      <c r="BK104" s="2174"/>
      <c r="BL104" s="2174"/>
      <c r="BM104" s="2174"/>
      <c r="BN104" s="2174"/>
      <c r="BO104" s="2174"/>
      <c r="BP104" s="2174"/>
      <c r="BQ104" s="2174"/>
      <c r="BR104" s="2174"/>
      <c r="BS104" s="2174"/>
      <c r="BT104" s="2174"/>
      <c r="BU104" s="2174"/>
      <c r="BV104" s="2174"/>
      <c r="BW104" s="2174"/>
      <c r="BX104" s="2174"/>
      <c r="BY104" s="2174"/>
      <c r="BZ104" s="2174"/>
      <c r="CA104" s="2174"/>
      <c r="CB104" s="2174"/>
      <c r="CC104" s="2174"/>
      <c r="CD104" s="2174"/>
      <c r="CE104" s="2174"/>
      <c r="CF104" s="2174"/>
      <c r="CG104" s="2174"/>
      <c r="CH104" s="2174"/>
      <c r="CI104" s="2174"/>
      <c r="CJ104" s="2174"/>
      <c r="CK104" s="2174"/>
      <c r="CL104" s="2174"/>
      <c r="CM104" s="2174"/>
      <c r="CN104" s="2174"/>
      <c r="CO104" s="2174"/>
      <c r="CP104" s="2174"/>
      <c r="CQ104" s="2174"/>
      <c r="CR104" s="2174"/>
      <c r="CS104" s="2174"/>
      <c r="CT104" s="2174"/>
      <c r="CU104" s="2174"/>
      <c r="CV104" s="2174"/>
      <c r="CW104" s="2174"/>
      <c r="CX104" s="2174"/>
      <c r="CY104" s="2174"/>
      <c r="CZ104" s="2174"/>
    </row>
    <row r="105" spans="1:104" s="2239" customFormat="1">
      <c r="A105" s="2440" t="s">
        <v>174</v>
      </c>
      <c r="B105" s="2240"/>
      <c r="C105" s="2256"/>
      <c r="D105" s="2256"/>
      <c r="E105" s="2256"/>
      <c r="F105" s="2256"/>
      <c r="G105" s="2256"/>
      <c r="H105" s="2292">
        <f>H106/G106-1</f>
        <v>-5.6425760177488682E-2</v>
      </c>
      <c r="I105" s="2292">
        <f t="shared" ref="I105" si="664">I106/H106-1</f>
        <v>-4.0479015057748757E-2</v>
      </c>
      <c r="J105" s="2292">
        <f t="shared" ref="J105:Q105" ca="1" si="665">J106/I106-1</f>
        <v>0.30502823509495203</v>
      </c>
      <c r="K105" s="2292">
        <f t="shared" ca="1" si="665"/>
        <v>0.28514535459804269</v>
      </c>
      <c r="L105" s="2233">
        <f t="shared" ca="1" si="665"/>
        <v>-6.6163259664791751E-2</v>
      </c>
      <c r="M105" s="2233">
        <f t="shared" ca="1" si="665"/>
        <v>5.0056513273590619E-2</v>
      </c>
      <c r="N105" s="2233">
        <f t="shared" ca="1" si="665"/>
        <v>9.3564650664028637E-3</v>
      </c>
      <c r="O105" s="2233">
        <f t="shared" ca="1" si="665"/>
        <v>2.3415401405532332E-2</v>
      </c>
      <c r="P105" s="2233">
        <f t="shared" ca="1" si="665"/>
        <v>1.733487848504156E-2</v>
      </c>
      <c r="Q105" s="2233">
        <f t="shared" ca="1" si="665"/>
        <v>2.2100597111860631E-2</v>
      </c>
      <c r="R105" s="2617">
        <f>K107+620</f>
        <v>2390</v>
      </c>
      <c r="S105" s="2618">
        <f>1000/R105</f>
        <v>0.41841004184100417</v>
      </c>
      <c r="T105" s="2175">
        <v>102</v>
      </c>
      <c r="U105" s="2325"/>
      <c r="V105" s="2325"/>
      <c r="W105" s="2325"/>
      <c r="X105" s="2325"/>
      <c r="Y105" s="2325"/>
      <c r="Z105" s="2325"/>
      <c r="AA105" s="2325"/>
      <c r="AB105" s="2325"/>
      <c r="AC105" s="2325"/>
      <c r="AD105" s="2325"/>
      <c r="AE105" s="2325"/>
      <c r="AF105" s="2325"/>
      <c r="AG105" s="2325"/>
      <c r="AH105" s="2325"/>
      <c r="AI105" s="2325"/>
      <c r="AJ105" s="2325"/>
      <c r="AK105" s="2325"/>
      <c r="AL105" s="2325"/>
      <c r="AM105" s="2325"/>
      <c r="AN105" s="2325"/>
      <c r="AO105" s="2327"/>
      <c r="AP105" s="2325"/>
      <c r="AQ105" s="2325"/>
      <c r="AR105" s="2325"/>
      <c r="AS105" s="2327"/>
      <c r="AT105" s="2325"/>
      <c r="AU105" s="2325"/>
      <c r="AV105" s="2325">
        <f ca="1">AV106/AR106-1</f>
        <v>0.13101698099000747</v>
      </c>
      <c r="AW105" s="2328"/>
      <c r="AX105" s="2329"/>
      <c r="AY105" s="2329"/>
      <c r="AZ105" s="2329"/>
      <c r="BA105" s="2232"/>
      <c r="BB105" s="2232"/>
      <c r="BC105" s="2232"/>
      <c r="BD105" s="2232"/>
      <c r="BE105" s="2232"/>
      <c r="BF105" s="2232"/>
      <c r="BG105" s="2232"/>
      <c r="BH105" s="2232"/>
      <c r="BI105" s="2232"/>
      <c r="BJ105" s="2232"/>
      <c r="BK105" s="2232"/>
      <c r="BL105" s="2232"/>
      <c r="BM105" s="2232"/>
      <c r="BN105" s="2232"/>
      <c r="BO105" s="2232"/>
      <c r="BP105" s="2232"/>
      <c r="BQ105" s="2232"/>
      <c r="BR105" s="2232"/>
      <c r="BS105" s="2232"/>
      <c r="BT105" s="2232"/>
      <c r="BU105" s="2232"/>
      <c r="BV105" s="2232"/>
      <c r="BW105" s="2232"/>
      <c r="BX105" s="2232"/>
      <c r="BY105" s="2232"/>
      <c r="BZ105" s="2232"/>
      <c r="CA105" s="2232"/>
      <c r="CB105" s="2232"/>
      <c r="CC105" s="2232"/>
      <c r="CD105" s="2232"/>
      <c r="CE105" s="2232"/>
      <c r="CF105" s="2232"/>
      <c r="CG105" s="2232"/>
      <c r="CH105" s="2232"/>
      <c r="CI105" s="2232"/>
      <c r="CJ105" s="2232"/>
      <c r="CK105" s="2232"/>
      <c r="CL105" s="2232"/>
      <c r="CM105" s="2232"/>
      <c r="CN105" s="2232"/>
      <c r="CO105" s="2232"/>
      <c r="CP105" s="2232"/>
      <c r="CQ105" s="2232"/>
      <c r="CR105" s="2232"/>
      <c r="CS105" s="2232"/>
      <c r="CT105" s="2232"/>
      <c r="CU105" s="2232"/>
      <c r="CV105" s="2232"/>
      <c r="CW105" s="2232"/>
      <c r="CX105" s="2232"/>
      <c r="CY105" s="2232"/>
      <c r="CZ105" s="2232"/>
    </row>
    <row r="106" spans="1:104" s="2630" customFormat="1">
      <c r="A106" s="2619" t="s">
        <v>175</v>
      </c>
      <c r="B106" s="2620"/>
      <c r="C106" s="2621">
        <f t="shared" ref="C106:I106" si="666">C104/12</f>
        <v>0.51874999999999993</v>
      </c>
      <c r="D106" s="2621">
        <f t="shared" si="666"/>
        <v>0.58756449948400413</v>
      </c>
      <c r="E106" s="2621">
        <f t="shared" si="666"/>
        <v>1.047920179263566</v>
      </c>
      <c r="F106" s="2621">
        <f t="shared" si="666"/>
        <v>1.2654276501009571</v>
      </c>
      <c r="G106" s="2621">
        <f>G104/12</f>
        <v>1.3002698936560322</v>
      </c>
      <c r="H106" s="2621">
        <f t="shared" si="666"/>
        <v>1.2269011764705882</v>
      </c>
      <c r="I106" s="2621">
        <f t="shared" si="666"/>
        <v>1.1772374252738655</v>
      </c>
      <c r="J106" s="2621">
        <f t="shared" ref="J106:Q106" ca="1" si="667">J104/12</f>
        <v>1.5363280793928782</v>
      </c>
      <c r="K106" s="2622">
        <f t="shared" ca="1" si="667"/>
        <v>1.9744048943702903</v>
      </c>
      <c r="L106" s="2623">
        <f t="shared" ca="1" si="667"/>
        <v>1.843771830660633</v>
      </c>
      <c r="M106" s="2623">
        <f t="shared" ca="1" si="667"/>
        <v>1.9360646197755695</v>
      </c>
      <c r="N106" s="2623">
        <f t="shared" ca="1" si="667"/>
        <v>1.954179340756798</v>
      </c>
      <c r="O106" s="2623">
        <f t="shared" ca="1" si="667"/>
        <v>1.9999372344390169</v>
      </c>
      <c r="P106" s="2623">
        <f t="shared" ca="1" si="667"/>
        <v>2.0346059033757276</v>
      </c>
      <c r="Q106" s="2623">
        <f t="shared" ca="1" si="667"/>
        <v>2.0795719087276479</v>
      </c>
      <c r="R106" s="2624"/>
      <c r="S106" s="2623"/>
      <c r="T106" s="2625">
        <v>103</v>
      </c>
      <c r="U106" s="2623">
        <f t="shared" ref="U106:AX106" si="668">U23/AVERAGE(T107:U107)/3</f>
        <v>0.88017429193899777</v>
      </c>
      <c r="V106" s="2623">
        <f t="shared" si="668"/>
        <v>0.85340550293188988</v>
      </c>
      <c r="W106" s="2623">
        <f t="shared" si="668"/>
        <v>1.0491803278688525</v>
      </c>
      <c r="X106" s="2623">
        <f t="shared" si="668"/>
        <v>1.2496433251433254</v>
      </c>
      <c r="Y106" s="2623">
        <f t="shared" si="668"/>
        <v>1.2678146453089245</v>
      </c>
      <c r="Z106" s="2623">
        <f t="shared" si="668"/>
        <v>1.5343486124103523</v>
      </c>
      <c r="AA106" s="2623">
        <f t="shared" si="668"/>
        <v>1.4661508165225747</v>
      </c>
      <c r="AB106" s="2623">
        <f t="shared" si="668"/>
        <v>1.3323351893095767</v>
      </c>
      <c r="AC106" s="2623">
        <f t="shared" si="668"/>
        <v>1.3822742382271469</v>
      </c>
      <c r="AD106" s="2623">
        <f t="shared" si="668"/>
        <v>1.2525519415027737</v>
      </c>
      <c r="AE106" s="2623">
        <f t="shared" si="668"/>
        <v>1.2164344376541225</v>
      </c>
      <c r="AF106" s="2623">
        <f t="shared" si="668"/>
        <v>1.2255224416517052</v>
      </c>
      <c r="AG106" s="2623">
        <f t="shared" si="668"/>
        <v>1.1378104800152993</v>
      </c>
      <c r="AH106" s="2623">
        <f t="shared" si="668"/>
        <v>1.3538726858185133</v>
      </c>
      <c r="AI106" s="2623">
        <f t="shared" si="668"/>
        <v>1.6049157509157512</v>
      </c>
      <c r="AJ106" s="2623">
        <f t="shared" si="668"/>
        <v>0.92148217821782119</v>
      </c>
      <c r="AK106" s="2623">
        <f t="shared" si="668"/>
        <v>0.9483435390171141</v>
      </c>
      <c r="AL106" s="2623">
        <f t="shared" si="668"/>
        <v>1.1211258376768432</v>
      </c>
      <c r="AM106" s="2623">
        <f t="shared" si="668"/>
        <v>1.312552022855036</v>
      </c>
      <c r="AN106" s="2623">
        <f t="shared" si="668"/>
        <v>1.3781625638503086</v>
      </c>
      <c r="AO106" s="2626">
        <f t="shared" ref="AO106:AW106" si="669">AO23/AVERAGE(AN107:AO107)/3</f>
        <v>1.2351444638355633</v>
      </c>
      <c r="AP106" s="2623">
        <f t="shared" ca="1" si="669"/>
        <v>1.4286299765807959</v>
      </c>
      <c r="AQ106" s="2623">
        <f t="shared" ca="1" si="669"/>
        <v>1.6867069167643616</v>
      </c>
      <c r="AR106" s="2623">
        <f t="shared" ca="1" si="669"/>
        <v>1.8132107324716022</v>
      </c>
      <c r="AS106" s="2626">
        <f t="shared" ca="1" si="669"/>
        <v>1.7997581202121393</v>
      </c>
      <c r="AT106" s="2623">
        <f t="shared" ca="1" si="669"/>
        <v>2.0266643921106855</v>
      </c>
      <c r="AU106" s="2623">
        <f t="shared" ca="1" si="669"/>
        <v>2.1086919560354049</v>
      </c>
      <c r="AV106" s="2623">
        <f t="shared" ca="1" si="669"/>
        <v>2.0507721285387115</v>
      </c>
      <c r="AW106" s="2627">
        <f t="shared" ca="1" si="669"/>
        <v>1.9478901232862749</v>
      </c>
      <c r="AX106" s="2628">
        <f t="shared" si="668"/>
        <v>1.8423623590913942</v>
      </c>
      <c r="AY106" s="2628">
        <f t="shared" ref="AY106:CC106" ca="1" si="670">AY23/AVERAGE(AX107:AY107)/3</f>
        <v>1.7555882029073748</v>
      </c>
      <c r="AZ106" s="2628">
        <f t="shared" ca="1" si="670"/>
        <v>1.833525812848847</v>
      </c>
      <c r="BA106" s="2629">
        <f t="shared" ca="1" si="670"/>
        <v>1.9965804256080819</v>
      </c>
      <c r="BB106" s="2629">
        <f t="shared" si="670"/>
        <v>1.8899378680106478</v>
      </c>
      <c r="BC106" s="2629">
        <f t="shared" ca="1" si="670"/>
        <v>1.8846204289236679</v>
      </c>
      <c r="BD106" s="2629">
        <f t="shared" ca="1" si="670"/>
        <v>1.961242604271356</v>
      </c>
      <c r="BE106" s="2629">
        <f t="shared" ca="1" si="670"/>
        <v>2.0336736384423433</v>
      </c>
      <c r="BF106" s="2629">
        <f t="shared" si="670"/>
        <v>1.9310196575156375</v>
      </c>
      <c r="BG106" s="2629">
        <f t="shared" ca="1" si="670"/>
        <v>1.9478510222498626</v>
      </c>
      <c r="BH106" s="2629">
        <f t="shared" ca="1" si="670"/>
        <v>2.0222813761843583</v>
      </c>
      <c r="BI106" s="2629">
        <f t="shared" ca="1" si="670"/>
        <v>2.0333209770135476</v>
      </c>
      <c r="BJ106" s="2629">
        <f t="shared" si="670"/>
        <v>1.9625796098929458</v>
      </c>
      <c r="BK106" s="2629">
        <f t="shared" ca="1" si="670"/>
        <v>1.974430741019422</v>
      </c>
      <c r="BL106" s="2629">
        <f t="shared" ca="1" si="670"/>
        <v>2.0486118884121503</v>
      </c>
      <c r="BM106" s="2629">
        <f t="shared" ca="1" si="670"/>
        <v>2.0622350325549825</v>
      </c>
      <c r="BN106" s="2629">
        <f t="shared" si="670"/>
        <v>1.9950582317590981</v>
      </c>
      <c r="BO106" s="2629">
        <f t="shared" ca="1" si="670"/>
        <v>2.0104289158472159</v>
      </c>
      <c r="BP106" s="2629">
        <f t="shared" ca="1" si="670"/>
        <v>2.0845808346702972</v>
      </c>
      <c r="BQ106" s="2629">
        <f t="shared" ca="1" si="670"/>
        <v>2.0999615866249273</v>
      </c>
      <c r="BR106" s="2629">
        <f t="shared" si="670"/>
        <v>2.0367397189396583</v>
      </c>
      <c r="BS106" s="2629">
        <f t="shared" ca="1" si="670"/>
        <v>2.0568079711477929</v>
      </c>
      <c r="BT106" s="2629">
        <f t="shared" ca="1" si="670"/>
        <v>2.1323106329183816</v>
      </c>
      <c r="BU106" s="2629">
        <f t="shared" ca="1" si="670"/>
        <v>2.1487463471687156</v>
      </c>
      <c r="BV106" s="2629">
        <f t="shared" si="670"/>
        <v>2.0843175219009487</v>
      </c>
      <c r="BW106" s="2629">
        <f t="shared" ca="1" si="670"/>
        <v>2.1050422770743284</v>
      </c>
      <c r="BX106" s="2629">
        <f t="shared" ca="1" si="670"/>
        <v>2.1824878677984878</v>
      </c>
      <c r="BY106" s="2629">
        <f t="shared" ca="1" si="670"/>
        <v>2.1995583965969048</v>
      </c>
      <c r="BZ106" s="2629">
        <f t="shared" si="670"/>
        <v>2.1338132827771825</v>
      </c>
      <c r="CA106" s="2629">
        <f t="shared" ca="1" si="670"/>
        <v>2.1552007706151488</v>
      </c>
      <c r="CB106" s="2629">
        <f t="shared" ca="1" si="670"/>
        <v>2.2346486076098167</v>
      </c>
      <c r="CC106" s="2629" t="e">
        <f t="shared" si="670"/>
        <v>#DIV/0!</v>
      </c>
      <c r="CD106" s="2629" t="e">
        <f t="shared" ref="CD106" si="671">CD23/AVERAGE(CC107:CD107)/3</f>
        <v>#DIV/0!</v>
      </c>
      <c r="CE106" s="2629" t="e">
        <f t="shared" ref="CE106" si="672">CE23/AVERAGE(CD107:CE107)/3</f>
        <v>#DIV/0!</v>
      </c>
      <c r="CF106" s="2629" t="e">
        <f t="shared" ref="CF106" si="673">CF23/AVERAGE(CE107:CF107)/3</f>
        <v>#DIV/0!</v>
      </c>
      <c r="CG106" s="2629" t="e">
        <f t="shared" ref="CG106" si="674">CG23/AVERAGE(CF107:CG107)/3</f>
        <v>#DIV/0!</v>
      </c>
      <c r="CH106" s="2629" t="e">
        <f t="shared" ref="CH106" si="675">CH23/AVERAGE(CG107:CH107)/3</f>
        <v>#DIV/0!</v>
      </c>
      <c r="CI106" s="2629" t="e">
        <f t="shared" ref="CI106" si="676">CI23/AVERAGE(CH107:CI107)/3</f>
        <v>#DIV/0!</v>
      </c>
      <c r="CJ106" s="2629" t="e">
        <f t="shared" ref="CJ106" si="677">CJ23/AVERAGE(CI107:CJ107)/3</f>
        <v>#DIV/0!</v>
      </c>
      <c r="CK106" s="2629" t="e">
        <f t="shared" ref="CK106" si="678">CK23/AVERAGE(CJ107:CK107)/3</f>
        <v>#DIV/0!</v>
      </c>
      <c r="CL106" s="2629" t="e">
        <f t="shared" ref="CL106" si="679">CL23/AVERAGE(CK107:CL107)/3</f>
        <v>#DIV/0!</v>
      </c>
      <c r="CM106" s="2629" t="e">
        <f t="shared" ref="CM106" si="680">CM23/AVERAGE(CL107:CM107)/3</f>
        <v>#DIV/0!</v>
      </c>
      <c r="CN106" s="2629" t="e">
        <f t="shared" ref="CN106" si="681">CN23/AVERAGE(CM107:CN107)/3</f>
        <v>#DIV/0!</v>
      </c>
      <c r="CO106" s="2629" t="e">
        <f t="shared" ref="CO106" si="682">CO23/AVERAGE(CN107:CO107)/3</f>
        <v>#DIV/0!</v>
      </c>
      <c r="CP106" s="2629" t="e">
        <f t="shared" ref="CP106" si="683">CP23/AVERAGE(CO107:CP107)/3</f>
        <v>#DIV/0!</v>
      </c>
      <c r="CQ106" s="2629" t="e">
        <f t="shared" ref="CQ106" si="684">CQ23/AVERAGE(CP107:CQ107)/3</f>
        <v>#DIV/0!</v>
      </c>
      <c r="CR106" s="2629" t="e">
        <f t="shared" ref="CR106" si="685">CR23/AVERAGE(CQ107:CR107)/3</f>
        <v>#DIV/0!</v>
      </c>
      <c r="CS106" s="2629" t="e">
        <f t="shared" ref="CS106" si="686">CS23/AVERAGE(CR107:CS107)/3</f>
        <v>#DIV/0!</v>
      </c>
      <c r="CT106" s="2629" t="e">
        <f t="shared" ref="CT106" si="687">CT23/AVERAGE(CS107:CT107)/3</f>
        <v>#DIV/0!</v>
      </c>
      <c r="CU106" s="2629" t="e">
        <f t="shared" ref="CU106" si="688">CU23/AVERAGE(CT107:CU107)/3</f>
        <v>#DIV/0!</v>
      </c>
      <c r="CV106" s="2629" t="e">
        <f t="shared" ref="CV106" si="689">CV23/AVERAGE(CU107:CV107)/3</f>
        <v>#DIV/0!</v>
      </c>
      <c r="CW106" s="2629" t="e">
        <f t="shared" ref="CW106" si="690">CW23/AVERAGE(CV107:CW107)/3</f>
        <v>#DIV/0!</v>
      </c>
      <c r="CX106" s="2629" t="e">
        <f t="shared" ref="CX106" si="691">CX23/AVERAGE(CW107:CX107)/3</f>
        <v>#DIV/0!</v>
      </c>
      <c r="CY106" s="2629" t="e">
        <f t="shared" ref="CY106" si="692">CY23/AVERAGE(CX107:CY107)/3</f>
        <v>#DIV/0!</v>
      </c>
      <c r="CZ106" s="2629" t="e">
        <f t="shared" ref="CZ106" si="693">CZ23/AVERAGE(CY107:CZ107)/3</f>
        <v>#DIV/0!</v>
      </c>
    </row>
    <row r="107" spans="1:104">
      <c r="A107" s="2437" t="s">
        <v>176</v>
      </c>
      <c r="B107" s="2240"/>
      <c r="C107" s="2256">
        <v>40</v>
      </c>
      <c r="D107" s="2256">
        <v>283</v>
      </c>
      <c r="E107" s="2256">
        <v>405</v>
      </c>
      <c r="F107" s="2256">
        <v>1008</v>
      </c>
      <c r="G107" s="2256">
        <f t="shared" ref="G107:Q107" si="694">HLOOKUP(("Q4/"&amp;G$5),$T$5:$CA$107,103,FALSE)</f>
        <v>1719</v>
      </c>
      <c r="H107" s="2256">
        <f t="shared" si="694"/>
        <v>2106</v>
      </c>
      <c r="I107" s="2256">
        <f t="shared" si="694"/>
        <v>1728</v>
      </c>
      <c r="J107" s="2256">
        <f t="shared" si="694"/>
        <v>1698</v>
      </c>
      <c r="K107" s="2256">
        <f t="shared" si="694"/>
        <v>1770</v>
      </c>
      <c r="L107" s="2256">
        <f t="shared" si="694"/>
        <v>2537</v>
      </c>
      <c r="M107" s="2256">
        <f t="shared" si="694"/>
        <v>3347</v>
      </c>
      <c r="N107" s="2256">
        <f t="shared" si="694"/>
        <v>4062</v>
      </c>
      <c r="O107" s="2256">
        <f t="shared" si="694"/>
        <v>4752</v>
      </c>
      <c r="P107" s="2256">
        <f t="shared" si="694"/>
        <v>5327</v>
      </c>
      <c r="Q107" s="2256">
        <f t="shared" si="694"/>
        <v>5672</v>
      </c>
      <c r="R107" s="2436">
        <f>J107/7800</f>
        <v>0.21769230769230768</v>
      </c>
      <c r="S107" s="2436">
        <f>L108/K107</f>
        <v>0.43333333333333335</v>
      </c>
      <c r="T107" s="2175">
        <v>104</v>
      </c>
      <c r="U107" s="2340">
        <f>HLOOKUP(U$4,Rev_Month!$B$3:$HG$41,39,FALSE)</f>
        <v>355</v>
      </c>
      <c r="V107" s="2340">
        <f>HLOOKUP(V$4,Rev_Month!$B$3:$HG$41,39,FALSE)</f>
        <v>384</v>
      </c>
      <c r="W107" s="2340">
        <f>HLOOKUP(W$4,Rev_Month!$B$3:$HG$41,39,FALSE)</f>
        <v>409</v>
      </c>
      <c r="X107" s="2340">
        <f>HLOOKUP(X$4,Rev_Month!$B$3:$HG$41,39,FALSE)</f>
        <v>405</v>
      </c>
      <c r="Y107" s="2340">
        <f>HLOOKUP(Y$4,Rev_Month!$B$3:$HG$41,39,FALSE)</f>
        <v>469</v>
      </c>
      <c r="Z107" s="2340">
        <f>HLOOKUP(Z$4,Rev_Month!$B$3:$HG$41,39,FALSE)</f>
        <v>600</v>
      </c>
      <c r="AA107" s="2340">
        <f>HLOOKUP(AA$4,Rev_Month!$B$3:$HG$41,39,FALSE)</f>
        <v>788</v>
      </c>
      <c r="AB107" s="2340">
        <f>HLOOKUP(AB$4,Rev_Month!$B$3:$HG$41,39,FALSE)</f>
        <v>1008</v>
      </c>
      <c r="AC107" s="2340">
        <f>HLOOKUP(AC$4,Rev_Month!$B$3:$HG$41,39,FALSE)</f>
        <v>1158</v>
      </c>
      <c r="AD107" s="2340">
        <f>HLOOKUP(AD$4,Rev_Month!$B$3:$HG$41,39,FALSE)</f>
        <v>1486</v>
      </c>
      <c r="AE107" s="2340">
        <f>HLOOKUP(AE$4,Rev_Month!$B$3:$HG$41,39,FALSE)</f>
        <v>1623</v>
      </c>
      <c r="AF107" s="2340">
        <f>HLOOKUP(AF$4,Rev_Month!$B$3:$HG$41,39,FALSE)</f>
        <v>1719</v>
      </c>
      <c r="AG107" s="2340">
        <f>HLOOKUP(AG$4,Rev_Month!$B$3:$HG$41,39,FALSE)</f>
        <v>1767</v>
      </c>
      <c r="AH107" s="2340">
        <f>HLOOKUP(AH$4,Rev_Month!$B$3:$HG$41,39,FALSE)</f>
        <v>1888</v>
      </c>
      <c r="AI107" s="2340">
        <f>HLOOKUP(AI$4,Rev_Month!$B$3:$HG$41,39,FALSE)</f>
        <v>1934</v>
      </c>
      <c r="AJ107" s="2340">
        <f>HLOOKUP(AJ$4,Rev_Month!$B$3:$HG$41,39,FALSE)</f>
        <v>2106</v>
      </c>
      <c r="AK107" s="2340">
        <f>HLOOKUP(AK$4,Rev_Month!$B$3:$HG$41,39,FALSE)</f>
        <v>2140</v>
      </c>
      <c r="AL107" s="2340">
        <f>HLOOKUP(AL$4,Rev_Month!$B$3:$HG$41,39,FALSE)</f>
        <v>1889</v>
      </c>
      <c r="AM107" s="2340">
        <f>HLOOKUP(AM$4,Rev_Month!$B$3:$HG$41,39,FALSE)</f>
        <v>1728</v>
      </c>
      <c r="AN107" s="2340">
        <f>HLOOKUP(AN$4,Rev_Month!$B$3:$HG$41,39,FALSE)</f>
        <v>1728</v>
      </c>
      <c r="AO107" s="2374">
        <f>HLOOKUP(AO$4,Rev_Month!$B$3:$HG$41,39,FALSE)</f>
        <v>1710</v>
      </c>
      <c r="AP107" s="2414">
        <f>HLOOKUP(AP$4,Rev_Month!$B$3:$HG$41,39,FALSE)</f>
        <v>1706</v>
      </c>
      <c r="AQ107" s="2414">
        <f>HLOOKUP(AQ$4,Rev_Month!$B$3:$HG$41,39,FALSE)</f>
        <v>1706</v>
      </c>
      <c r="AR107" s="2414">
        <f>HLOOKUP(AR$4,Rev_Month!$B$3:$HG$41,39,FALSE)</f>
        <v>1698</v>
      </c>
      <c r="AS107" s="2374">
        <f>HLOOKUP(AS$4,Rev_Month!$B$3:$HG$41,39,FALSE)</f>
        <v>1696</v>
      </c>
      <c r="AT107" s="2340">
        <f>HLOOKUP(AT$4,Rev_Month!$B$3:$HG$41,39,FALSE)</f>
        <v>1701</v>
      </c>
      <c r="AU107" s="2340">
        <f>HLOOKUP(AU$4,Rev_Month!$B$3:$HG$41,39,FALSE)</f>
        <v>1726</v>
      </c>
      <c r="AV107" s="2340">
        <f>HLOOKUP(AV$4,Rev_Month!$B$3:$HG$41,39,FALSE)</f>
        <v>1770</v>
      </c>
      <c r="AW107" s="2415">
        <f>HLOOKUP(AW$4,Rev_Month!$B$3:$HG$41,39,FALSE)</f>
        <v>2002</v>
      </c>
      <c r="AX107" s="2416">
        <f>HLOOKUP(AX$4,Rev_Month!$B$3:$HG$41,39,FALSE)</f>
        <v>2184</v>
      </c>
      <c r="AY107" s="2416">
        <f>HLOOKUP(AY$4,Rev_Month!$B$3:$HG$41,39,FALSE)</f>
        <v>2290</v>
      </c>
      <c r="AZ107" s="2416">
        <f>HLOOKUP(AZ$4,Rev_Month!$B$3:$HG$41,39,FALSE)</f>
        <v>2537</v>
      </c>
      <c r="BA107" s="2417">
        <f>HLOOKUP(BA$4,Rev_Month!$B$3:$HG$41,39,FALSE)</f>
        <v>2727</v>
      </c>
      <c r="BB107" s="2417">
        <f>HLOOKUP(BB$4,Rev_Month!$B$3:$HG$41,39,FALSE)</f>
        <v>2987</v>
      </c>
      <c r="BC107" s="2417">
        <f>HLOOKUP(BC$4,Rev_Month!$B$3:$HG$41,39,FALSE)</f>
        <v>3137</v>
      </c>
      <c r="BD107" s="2417">
        <f>HLOOKUP(BD$4,Rev_Month!$B$3:$HG$41,39,FALSE)</f>
        <v>3347</v>
      </c>
      <c r="BE107" s="2417">
        <f>HLOOKUP(BE$4,Rev_Month!$B$3:$HG$41,39,FALSE)</f>
        <v>3487</v>
      </c>
      <c r="BF107" s="2417">
        <f>HLOOKUP(BF$4,Rev_Month!$B$3:$HG$41,39,FALSE)</f>
        <v>3582</v>
      </c>
      <c r="BG107" s="2417">
        <f>HLOOKUP(BG$4,Rev_Month!$B$3:$HG$41,39,FALSE)</f>
        <v>3822</v>
      </c>
      <c r="BH107" s="2417">
        <f>HLOOKUP(BH$4,Rev_Month!$B$3:$HG$41,39,FALSE)</f>
        <v>4062</v>
      </c>
      <c r="BI107" s="2417">
        <f>HLOOKUP(BI$4,Rev_Month!$B$3:$HG$41,39,FALSE)</f>
        <v>4212</v>
      </c>
      <c r="BJ107" s="2417">
        <f>HLOOKUP(BJ$4,Rev_Month!$B$3:$HG$41,39,FALSE)</f>
        <v>4392</v>
      </c>
      <c r="BK107" s="2417">
        <f>HLOOKUP(BK$4,Rev_Month!$B$3:$HG$41,39,FALSE)</f>
        <v>4572</v>
      </c>
      <c r="BL107" s="2417">
        <f>HLOOKUP(BL$4,Rev_Month!$B$3:$HG$41,39,FALSE)</f>
        <v>4752</v>
      </c>
      <c r="BM107" s="2417">
        <f>HLOOKUP(BM$4,Rev_Month!$B$3:$HG$41,39,FALSE)</f>
        <v>4877</v>
      </c>
      <c r="BN107" s="2417">
        <f>HLOOKUP(BN$4,Rev_Month!$B$3:$HG$41,39,FALSE)</f>
        <v>5027</v>
      </c>
      <c r="BO107" s="2417">
        <f>HLOOKUP(BO$4,Rev_Month!$B$3:$HG$41,39,FALSE)</f>
        <v>5177</v>
      </c>
      <c r="BP107" s="2417">
        <f>HLOOKUP(BP$4,Rev_Month!$B$3:$HG$41,39,FALSE)</f>
        <v>5327</v>
      </c>
      <c r="BQ107" s="2417">
        <f>HLOOKUP(BQ$4,Rev_Month!$B$3:$HG$41,39,FALSE)</f>
        <v>5402</v>
      </c>
      <c r="BR107" s="2417">
        <f>HLOOKUP(BR$4,Rev_Month!$B$3:$HG$41,39,FALSE)</f>
        <v>5492</v>
      </c>
      <c r="BS107" s="2417">
        <f>HLOOKUP(BS$4,Rev_Month!$B$3:$HG$41,39,FALSE)</f>
        <v>5582</v>
      </c>
      <c r="BT107" s="2417">
        <f>HLOOKUP(BT$4,Rev_Month!$B$3:$HG$41,39,FALSE)</f>
        <v>5672</v>
      </c>
      <c r="BU107" s="2417">
        <f>HLOOKUP(BU$4,Rev_Month!$B$3:$HG$41,39,FALSE)</f>
        <v>5762</v>
      </c>
      <c r="BV107" s="2417">
        <f>HLOOKUP(BV$4,Rev_Month!$B$3:$HG$41,39,FALSE)</f>
        <v>5852</v>
      </c>
      <c r="BW107" s="2417">
        <f>HLOOKUP(BW$4,Rev_Month!$B$3:$HG$41,39,FALSE)</f>
        <v>5942</v>
      </c>
      <c r="BX107" s="2417">
        <f>HLOOKUP(BX$4,Rev_Month!$B$3:$HG$41,39,FALSE)</f>
        <v>6032</v>
      </c>
      <c r="BY107" s="2417">
        <f>HLOOKUP(BY$4,Rev_Month!$B$3:$HG$41,39,FALSE)</f>
        <v>6122</v>
      </c>
      <c r="BZ107" s="2417">
        <f>HLOOKUP(BZ$4,Rev_Month!$B$3:$HG$41,39,FALSE)</f>
        <v>6212</v>
      </c>
      <c r="CA107" s="2417">
        <f>HLOOKUP(CA$4,Rev_Month!$B$3:$HG$41,39,FALSE)</f>
        <v>6302</v>
      </c>
      <c r="CB107" s="2417">
        <f>HLOOKUP(CB$4,Rev_Month!$B$3:$HG$41,39,FALSE)</f>
        <v>6392</v>
      </c>
      <c r="CC107" s="2417" t="e">
        <f>AVERAGEIF(Rev_Month!$B$1:$QQ$1,CC$4,Rev_Month!$B$41:$QQ$41)</f>
        <v>#DIV/0!</v>
      </c>
      <c r="CD107" s="2417" t="e">
        <f>AVERAGEIF(Rev_Month!$B$1:$QQ$1,CD$4,Rev_Month!$B$41:$QQ$41)</f>
        <v>#DIV/0!</v>
      </c>
      <c r="CE107" s="2417" t="e">
        <f>AVERAGEIF(Rev_Month!$B$1:$QQ$1,CE$4,Rev_Month!$B$41:$QQ$41)</f>
        <v>#DIV/0!</v>
      </c>
      <c r="CF107" s="2417" t="e">
        <f>AVERAGEIF(Rev_Month!$B$1:$QQ$1,CF$4,Rev_Month!$B$41:$QQ$41)</f>
        <v>#DIV/0!</v>
      </c>
      <c r="CG107" s="2417" t="e">
        <f>AVERAGEIF(Rev_Month!$B$1:$QQ$1,CG$4,Rev_Month!$B$41:$QQ$41)</f>
        <v>#DIV/0!</v>
      </c>
      <c r="CH107" s="2417" t="e">
        <f>AVERAGEIF(Rev_Month!$B$1:$QQ$1,CH$4,Rev_Month!$B$41:$QQ$41)</f>
        <v>#DIV/0!</v>
      </c>
      <c r="CI107" s="2417" t="e">
        <f>AVERAGEIF(Rev_Month!$B$1:$QQ$1,CI$4,Rev_Month!$B$41:$QQ$41)</f>
        <v>#DIV/0!</v>
      </c>
      <c r="CJ107" s="2417" t="e">
        <f>AVERAGEIF(Rev_Month!$B$1:$QQ$1,CJ$4,Rev_Month!$B$41:$QQ$41)</f>
        <v>#DIV/0!</v>
      </c>
      <c r="CK107" s="2417" t="e">
        <f>AVERAGEIF(Rev_Month!$B$1:$QQ$1,CK$4,Rev_Month!$B$41:$QQ$41)</f>
        <v>#DIV/0!</v>
      </c>
      <c r="CL107" s="2417" t="e">
        <f>AVERAGEIF(Rev_Month!$B$1:$QQ$1,CL$4,Rev_Month!$B$41:$QQ$41)</f>
        <v>#DIV/0!</v>
      </c>
      <c r="CM107" s="2417" t="e">
        <f>AVERAGEIF(Rev_Month!$B$1:$QQ$1,CM$4,Rev_Month!$B$41:$QQ$41)</f>
        <v>#DIV/0!</v>
      </c>
      <c r="CN107" s="2417" t="e">
        <f>AVERAGEIF(Rev_Month!$B$1:$QQ$1,CN$4,Rev_Month!$B$41:$QQ$41)</f>
        <v>#DIV/0!</v>
      </c>
      <c r="CO107" s="2417" t="e">
        <f>AVERAGEIF(Rev_Month!$B$1:$QQ$1,CO$4,Rev_Month!$B$41:$QQ$41)</f>
        <v>#DIV/0!</v>
      </c>
      <c r="CP107" s="2417" t="e">
        <f>AVERAGEIF(Rev_Month!$B$1:$QQ$1,CP$4,Rev_Month!$B$41:$QQ$41)</f>
        <v>#DIV/0!</v>
      </c>
      <c r="CQ107" s="2417" t="e">
        <f>AVERAGEIF(Rev_Month!$B$1:$QQ$1,CQ$4,Rev_Month!$B$41:$QQ$41)</f>
        <v>#DIV/0!</v>
      </c>
      <c r="CR107" s="2417" t="e">
        <f>AVERAGEIF(Rev_Month!$B$1:$QQ$1,CR$4,Rev_Month!$B$41:$QQ$41)</f>
        <v>#DIV/0!</v>
      </c>
      <c r="CS107" s="2417" t="e">
        <f>AVERAGEIF(Rev_Month!$B$1:$QQ$1,CS$4,Rev_Month!$B$41:$QQ$41)</f>
        <v>#DIV/0!</v>
      </c>
      <c r="CT107" s="2417" t="e">
        <f>AVERAGEIF(Rev_Month!$B$1:$QQ$1,CT$4,Rev_Month!$B$41:$QQ$41)</f>
        <v>#DIV/0!</v>
      </c>
      <c r="CU107" s="2417" t="e">
        <f>AVERAGEIF(Rev_Month!$B$1:$QQ$1,CU$4,Rev_Month!$B$41:$QQ$41)</f>
        <v>#DIV/0!</v>
      </c>
      <c r="CV107" s="2417" t="e">
        <f>AVERAGEIF(Rev_Month!$B$1:$QQ$1,CV$4,Rev_Month!$B$41:$QQ$41)</f>
        <v>#DIV/0!</v>
      </c>
      <c r="CW107" s="2417" t="e">
        <f>AVERAGEIF(Rev_Month!$B$1:$QQ$1,CW$4,Rev_Month!$B$41:$QQ$41)</f>
        <v>#DIV/0!</v>
      </c>
      <c r="CX107" s="2417" t="e">
        <f>AVERAGEIF(Rev_Month!$B$1:$QQ$1,CX$4,Rev_Month!$B$41:$QQ$41)</f>
        <v>#DIV/0!</v>
      </c>
      <c r="CY107" s="2417" t="e">
        <f>AVERAGEIF(Rev_Month!$B$1:$QQ$1,CY$4,Rev_Month!$B$41:$QQ$41)</f>
        <v>#DIV/0!</v>
      </c>
      <c r="CZ107" s="2417" t="e">
        <f>AVERAGEIF(Rev_Month!$B$1:$QQ$1,CZ$4,Rev_Month!$B$41:$QQ$41)</f>
        <v>#DIV/0!</v>
      </c>
    </row>
    <row r="108" spans="1:104">
      <c r="A108" s="2502" t="s">
        <v>31</v>
      </c>
      <c r="B108" s="2240"/>
      <c r="C108" s="2256"/>
      <c r="D108" s="2256"/>
      <c r="E108" s="2256"/>
      <c r="F108" s="2256"/>
      <c r="G108" s="2256"/>
      <c r="H108" s="2256"/>
      <c r="I108" s="2371">
        <f t="shared" ref="I108:J108" si="695">I107-H107</f>
        <v>-378</v>
      </c>
      <c r="J108" s="2256">
        <f t="shared" si="695"/>
        <v>-30</v>
      </c>
      <c r="K108" s="2370">
        <f t="shared" ref="K108:Q108" si="696">K107-J107</f>
        <v>72</v>
      </c>
      <c r="L108" s="2453">
        <f t="shared" si="696"/>
        <v>767</v>
      </c>
      <c r="M108" s="2175">
        <f t="shared" si="696"/>
        <v>810</v>
      </c>
      <c r="N108" s="2453">
        <f t="shared" si="696"/>
        <v>715</v>
      </c>
      <c r="O108" s="2453">
        <f t="shared" si="696"/>
        <v>690</v>
      </c>
      <c r="P108" s="2453">
        <f t="shared" si="696"/>
        <v>575</v>
      </c>
      <c r="Q108" s="2453">
        <f t="shared" si="696"/>
        <v>345</v>
      </c>
      <c r="R108" s="2175">
        <f>L108/L107</f>
        <v>0.30232558139534882</v>
      </c>
      <c r="S108" s="2175">
        <f>M108/L107</f>
        <v>0.31927473393772171</v>
      </c>
      <c r="T108" s="2175">
        <v>105</v>
      </c>
      <c r="U108" s="2175"/>
      <c r="V108" s="2175"/>
      <c r="W108" s="2175"/>
      <c r="X108" s="2175"/>
      <c r="Y108" s="2175"/>
      <c r="Z108" s="2175"/>
      <c r="AA108" s="2175"/>
      <c r="AB108" s="2175"/>
      <c r="AC108" s="2175"/>
      <c r="AD108" s="2175"/>
      <c r="AE108" s="2175"/>
      <c r="AF108" s="2175"/>
      <c r="AG108" s="2453">
        <f>AG107-AF107</f>
        <v>48</v>
      </c>
      <c r="AH108" s="2175"/>
      <c r="AI108" s="2175"/>
      <c r="AJ108" s="2175"/>
      <c r="AK108" s="2175"/>
      <c r="AL108" s="2175"/>
      <c r="AM108" s="2175"/>
      <c r="AN108" s="2175"/>
      <c r="AO108" s="2375">
        <f>AO106/AK106-1</f>
        <v>0.30242302817362643</v>
      </c>
      <c r="AP108" s="2175"/>
      <c r="AQ108" s="2175"/>
      <c r="AR108" s="2175"/>
      <c r="AS108" s="2258"/>
      <c r="AT108" s="2210">
        <f ca="1">AT106/AP106-1</f>
        <v>0.41860693484900269</v>
      </c>
      <c r="AU108" s="2257"/>
      <c r="AV108" s="2210"/>
      <c r="AW108" s="2259"/>
      <c r="AX108" s="2242"/>
      <c r="AY108" s="2242">
        <f>AY107/AU107-1</f>
        <v>0.32676709154113559</v>
      </c>
      <c r="AZ108" s="2242"/>
      <c r="BA108" s="2174"/>
      <c r="BB108" s="2174"/>
      <c r="BC108" s="2174"/>
      <c r="BD108" s="2174"/>
      <c r="BE108" s="2174"/>
      <c r="BF108" s="2174"/>
      <c r="BG108" s="2174"/>
      <c r="BH108" s="2174"/>
      <c r="BI108" s="2174"/>
      <c r="BJ108" s="2174"/>
      <c r="BK108" s="2174"/>
      <c r="BL108" s="2174"/>
      <c r="BM108" s="2174"/>
      <c r="BN108" s="2174"/>
      <c r="BO108" s="2174"/>
      <c r="BP108" s="2174"/>
      <c r="BQ108" s="2174"/>
      <c r="BR108" s="2174"/>
      <c r="BS108" s="2174"/>
      <c r="BT108" s="2174"/>
      <c r="BU108" s="2174"/>
      <c r="BV108" s="2174"/>
      <c r="BW108" s="2174"/>
      <c r="BX108" s="2174"/>
      <c r="BY108" s="2174"/>
      <c r="BZ108" s="2174"/>
      <c r="CA108" s="2174"/>
      <c r="CB108" s="2174"/>
      <c r="CC108" s="2174"/>
      <c r="CD108" s="2174"/>
      <c r="CE108" s="2174"/>
      <c r="CF108" s="2174"/>
      <c r="CG108" s="2174"/>
      <c r="CH108" s="2174"/>
      <c r="CI108" s="2174"/>
      <c r="CJ108" s="2174"/>
      <c r="CK108" s="2174"/>
      <c r="CL108" s="2174"/>
      <c r="CM108" s="2174"/>
      <c r="CN108" s="2174"/>
      <c r="CO108" s="2174"/>
      <c r="CP108" s="2174"/>
      <c r="CQ108" s="2174"/>
      <c r="CR108" s="2174"/>
      <c r="CS108" s="2174"/>
      <c r="CT108" s="2174"/>
      <c r="CU108" s="2174"/>
      <c r="CV108" s="2174"/>
      <c r="CW108" s="2174"/>
      <c r="CX108" s="2174"/>
      <c r="CY108" s="2174"/>
      <c r="CZ108" s="2174"/>
    </row>
    <row r="109" spans="1:104" s="2639" customFormat="1">
      <c r="A109" s="2631" t="s">
        <v>192</v>
      </c>
      <c r="B109" s="2632"/>
      <c r="C109" s="2633"/>
      <c r="D109" s="2633">
        <f>D107-C107</f>
        <v>243</v>
      </c>
      <c r="E109" s="2634">
        <f>E107-D107</f>
        <v>122</v>
      </c>
      <c r="F109" s="2634">
        <f>F107-E107</f>
        <v>603</v>
      </c>
      <c r="G109" s="2634">
        <f>G107-F107</f>
        <v>711</v>
      </c>
      <c r="H109" s="2634">
        <f>H107-G107</f>
        <v>387</v>
      </c>
      <c r="I109" s="2635"/>
      <c r="J109" s="2634">
        <f t="shared" ref="J109" si="697">J108</f>
        <v>-30</v>
      </c>
      <c r="K109" s="2247">
        <f t="shared" ref="K109:Q109" si="698">K108</f>
        <v>72</v>
      </c>
      <c r="L109" s="2250">
        <f t="shared" si="698"/>
        <v>767</v>
      </c>
      <c r="M109" s="2250">
        <f t="shared" si="698"/>
        <v>810</v>
      </c>
      <c r="N109" s="2250">
        <f t="shared" si="698"/>
        <v>715</v>
      </c>
      <c r="O109" s="2250">
        <f t="shared" si="698"/>
        <v>690</v>
      </c>
      <c r="P109" s="2250">
        <f t="shared" si="698"/>
        <v>575</v>
      </c>
      <c r="Q109" s="2250">
        <f t="shared" si="698"/>
        <v>345</v>
      </c>
      <c r="R109" s="2250"/>
      <c r="S109" s="2527">
        <f>N108/N107</f>
        <v>0.17602166420482521</v>
      </c>
      <c r="T109" s="2175">
        <v>106</v>
      </c>
      <c r="U109" s="2527"/>
      <c r="V109" s="2527"/>
      <c r="W109" s="2527"/>
      <c r="X109" s="2527"/>
      <c r="Y109" s="2527"/>
      <c r="Z109" s="2527"/>
      <c r="AA109" s="2527"/>
      <c r="AB109" s="2527"/>
      <c r="AC109" s="2527"/>
      <c r="AD109" s="2527"/>
      <c r="AE109" s="2527"/>
      <c r="AF109" s="2527"/>
      <c r="AG109" s="2527"/>
      <c r="AH109" s="2527"/>
      <c r="AI109" s="2527"/>
      <c r="AJ109" s="2527"/>
      <c r="AK109" s="2527"/>
      <c r="AL109" s="2527"/>
      <c r="AM109" s="2527"/>
      <c r="AN109" s="2527"/>
      <c r="AO109" s="2526"/>
      <c r="AP109" s="2636"/>
      <c r="AQ109" s="2636"/>
      <c r="AR109" s="2636"/>
      <c r="AS109" s="2526"/>
      <c r="AT109" s="2527"/>
      <c r="AU109" s="2527">
        <f>AU107-AQ107</f>
        <v>20</v>
      </c>
      <c r="AV109" s="2527">
        <f>AV107-AR107</f>
        <v>72</v>
      </c>
      <c r="AW109" s="2528"/>
      <c r="AX109" s="2637"/>
      <c r="AY109" s="2637">
        <f>AY107-AU107</f>
        <v>564</v>
      </c>
      <c r="AZ109" s="2637"/>
      <c r="BA109" s="2638"/>
      <c r="BB109" s="2638"/>
      <c r="BC109" s="2638"/>
      <c r="BD109" s="2638"/>
      <c r="BE109" s="2638"/>
      <c r="BF109" s="2638"/>
      <c r="BG109" s="2638"/>
      <c r="BH109" s="2638"/>
      <c r="BI109" s="2638"/>
      <c r="BJ109" s="2638"/>
      <c r="BK109" s="2638"/>
      <c r="BL109" s="2638"/>
      <c r="BM109" s="2638"/>
      <c r="BN109" s="2638"/>
      <c r="BO109" s="2638"/>
      <c r="BP109" s="2638"/>
      <c r="BQ109" s="2638"/>
      <c r="BR109" s="2638"/>
      <c r="BS109" s="2638"/>
      <c r="BT109" s="2638"/>
      <c r="BU109" s="2638"/>
      <c r="BV109" s="2638"/>
      <c r="BW109" s="2638"/>
      <c r="BX109" s="2638"/>
      <c r="BY109" s="2638"/>
      <c r="BZ109" s="2638"/>
      <c r="CA109" s="2638"/>
      <c r="CB109" s="2638"/>
      <c r="CC109" s="2638"/>
      <c r="CD109" s="2638"/>
      <c r="CE109" s="2638"/>
      <c r="CF109" s="2638"/>
      <c r="CG109" s="2638"/>
      <c r="CH109" s="2638"/>
      <c r="CI109" s="2638"/>
      <c r="CJ109" s="2638"/>
      <c r="CK109" s="2638"/>
      <c r="CL109" s="2638"/>
      <c r="CM109" s="2638"/>
      <c r="CN109" s="2638"/>
      <c r="CO109" s="2638"/>
      <c r="CP109" s="2638"/>
      <c r="CQ109" s="2638"/>
      <c r="CR109" s="2638"/>
      <c r="CS109" s="2638"/>
      <c r="CT109" s="2638"/>
      <c r="CU109" s="2638"/>
      <c r="CV109" s="2638"/>
      <c r="CW109" s="2638"/>
      <c r="CX109" s="2638"/>
      <c r="CY109" s="2638"/>
      <c r="CZ109" s="2638"/>
    </row>
    <row r="110" spans="1:104" s="2653" customFormat="1">
      <c r="A110" s="2640" t="s">
        <v>193</v>
      </c>
      <c r="B110" s="2641"/>
      <c r="C110" s="2642"/>
      <c r="D110" s="2643">
        <f>D111*D102</f>
        <v>163.97280000000001</v>
      </c>
      <c r="E110" s="2644">
        <f>E111*E102</f>
        <v>670.50124750000009</v>
      </c>
      <c r="F110" s="2644">
        <f>F111*F102</f>
        <v>2038.3761673356237</v>
      </c>
      <c r="G110" s="2644">
        <f>G111*G102</f>
        <v>4999.6287599999996</v>
      </c>
      <c r="H110" s="2644">
        <f>H111*H102</f>
        <v>7426.509502500001</v>
      </c>
      <c r="I110" s="2644">
        <f>SUM(AK110:AN110)</f>
        <v>6913.1803273700007</v>
      </c>
      <c r="J110" s="2644">
        <f ca="1">J102*J111</f>
        <v>7974.1419000000005</v>
      </c>
      <c r="K110" s="2645">
        <f ca="1">SUM(AS110:AV110)</f>
        <v>10274.890976236</v>
      </c>
      <c r="L110" s="2646">
        <f ca="1">SUMIF($AG$1:BH$1,L$5,$AG110:BH110)</f>
        <v>11481.287167252562</v>
      </c>
      <c r="M110" s="2646">
        <f ca="1">SUMIF($AG$1:BI$1,M$5,$AG110:BI110)</f>
        <v>16315.026102694548</v>
      </c>
      <c r="N110" s="2646">
        <f ca="1">SUMIF($AG$1:CJ$1,N$5,$AG110:CJ110)</f>
        <v>20444.030013391752</v>
      </c>
      <c r="O110" s="2646">
        <f ca="1">SUMIF($AG$1:CK$1,O$5,$AG110:CK110)</f>
        <v>24889.871672244175</v>
      </c>
      <c r="P110" s="2646">
        <f ca="1">SUMIF($AG$1:CL$1,P$5,$AG110:CL110)</f>
        <v>29201.407566972855</v>
      </c>
      <c r="Q110" s="2646">
        <f ca="1">SUMIF($AG$1:CM$1,Q$5,$AG110:CM110)</f>
        <v>32845.423175135365</v>
      </c>
      <c r="R110" s="2646">
        <f>2128-K107</f>
        <v>358</v>
      </c>
      <c r="S110" s="2646"/>
      <c r="T110" s="2175">
        <v>107</v>
      </c>
      <c r="U110" s="2647"/>
      <c r="V110" s="2647"/>
      <c r="W110" s="2647"/>
      <c r="X110" s="2647"/>
      <c r="Y110" s="2647"/>
      <c r="Z110" s="2647"/>
      <c r="AA110" s="2647"/>
      <c r="AB110" s="2647"/>
      <c r="AC110" s="2646">
        <f t="shared" ref="AC110:AI110" si="699">AC111*AC23</f>
        <v>1055.387115</v>
      </c>
      <c r="AD110" s="2646">
        <f t="shared" si="699"/>
        <v>1167.3909350000001</v>
      </c>
      <c r="AE110" s="2646">
        <f t="shared" si="699"/>
        <v>1333.11787</v>
      </c>
      <c r="AF110" s="2646">
        <f t="shared" si="699"/>
        <v>1443.7328399999994</v>
      </c>
      <c r="AG110" s="2646">
        <f t="shared" si="699"/>
        <v>1546.89886</v>
      </c>
      <c r="AH110" s="2646">
        <f t="shared" si="699"/>
        <v>1929.8778199999999</v>
      </c>
      <c r="AI110" s="2646">
        <f t="shared" si="699"/>
        <v>2530.2700500000005</v>
      </c>
      <c r="AJ110" s="2646">
        <f>AJ111*AJ102</f>
        <v>1451.8873199999994</v>
      </c>
      <c r="AK110" s="2646">
        <f>AK102*AK111</f>
        <v>1510</v>
      </c>
      <c r="AL110" s="2646">
        <f>AL102*AL111</f>
        <v>1693.8810000000003</v>
      </c>
      <c r="AM110" s="2646">
        <f t="shared" ref="AM110:AO110" si="700">AM111*AM102</f>
        <v>1780.3127499999996</v>
      </c>
      <c r="AN110" s="2646">
        <f t="shared" si="700"/>
        <v>1928.9865773700003</v>
      </c>
      <c r="AO110" s="2648">
        <f t="shared" si="700"/>
        <v>1656.1064000000001</v>
      </c>
      <c r="AP110" s="2649">
        <f ca="1">AP111*AP102</f>
        <v>1903.2779999999996</v>
      </c>
      <c r="AQ110" s="2649">
        <f ca="1">AQ102*25%</f>
        <v>2158.1415000000006</v>
      </c>
      <c r="AR110" s="2649">
        <f ca="1">AR111*AR102</f>
        <v>2221.9809600000003</v>
      </c>
      <c r="AS110" s="2648">
        <f ca="1">AS111*AS102</f>
        <v>2199.0164616000002</v>
      </c>
      <c r="AT110" s="2646">
        <f ca="1">4867.606770081-AS110</f>
        <v>2668.5903084809997</v>
      </c>
      <c r="AU110" s="2646">
        <f ca="1">AU111*AU102</f>
        <v>2746.9216793241849</v>
      </c>
      <c r="AV110" s="2646">
        <f ca="1">10274.890976236-SUM(AS110:AU110)</f>
        <v>2660.3625268308151</v>
      </c>
      <c r="AW110" s="2650">
        <v>2620.6157171169998</v>
      </c>
      <c r="AX110" s="2651">
        <f t="shared" ref="AX110:CC110" ca="1" si="701">AX111*AX102</f>
        <v>2808.5298848434259</v>
      </c>
      <c r="AY110" s="2651">
        <f ca="1">8268.581404453-SUM(AW110:AX110)</f>
        <v>2839.4358024925741</v>
      </c>
      <c r="AZ110" s="2651">
        <f t="shared" ca="1" si="701"/>
        <v>3212.7057627995623</v>
      </c>
      <c r="BA110" s="2652">
        <f t="shared" ca="1" si="701"/>
        <v>3767.8347707037378</v>
      </c>
      <c r="BB110" s="2652">
        <f t="shared" ca="1" si="701"/>
        <v>3867.920928707294</v>
      </c>
      <c r="BC110" s="2652">
        <f t="shared" ca="1" si="701"/>
        <v>4120.3345122582896</v>
      </c>
      <c r="BD110" s="2652">
        <f t="shared" ca="1" si="701"/>
        <v>4558.9358910252267</v>
      </c>
      <c r="BE110" s="2652">
        <f t="shared" ca="1" si="701"/>
        <v>4909.5128841368642</v>
      </c>
      <c r="BF110" s="2652">
        <f t="shared" ca="1" si="701"/>
        <v>4817.4983399283492</v>
      </c>
      <c r="BG110" s="2652">
        <f t="shared" ca="1" si="701"/>
        <v>5072.960894404072</v>
      </c>
      <c r="BH110" s="2652">
        <f t="shared" ca="1" si="701"/>
        <v>5644.0578949224682</v>
      </c>
      <c r="BI110" s="2652">
        <f t="shared" ca="1" si="701"/>
        <v>5942.9712350659156</v>
      </c>
      <c r="BJ110" s="2652">
        <f t="shared" ca="1" si="701"/>
        <v>5959.4280575374396</v>
      </c>
      <c r="BK110" s="2652">
        <f t="shared" ca="1" si="701"/>
        <v>6225.6273140063886</v>
      </c>
      <c r="BL110" s="2652">
        <f t="shared" ca="1" si="701"/>
        <v>6761.8450656344312</v>
      </c>
      <c r="BM110" s="2652">
        <f t="shared" ca="1" si="701"/>
        <v>7074.1492770181239</v>
      </c>
      <c r="BN110" s="2652">
        <f t="shared" ca="1" si="701"/>
        <v>7032.653531523978</v>
      </c>
      <c r="BO110" s="2652">
        <f t="shared" ca="1" si="701"/>
        <v>7277.5767182372356</v>
      </c>
      <c r="BP110" s="2652">
        <f t="shared" ca="1" si="701"/>
        <v>7817.0280401935179</v>
      </c>
      <c r="BQ110" s="2652">
        <f t="shared" ca="1" si="701"/>
        <v>8094.0777647464101</v>
      </c>
      <c r="BR110" s="2652">
        <f t="shared" ca="1" si="701"/>
        <v>7963.815295475566</v>
      </c>
      <c r="BS110" s="2652">
        <f t="shared" ca="1" si="701"/>
        <v>8148.6015242825388</v>
      </c>
      <c r="BT110" s="2652">
        <f t="shared" ca="1" si="701"/>
        <v>8638.9285906308469</v>
      </c>
      <c r="BU110" s="2652">
        <f t="shared" ca="1" si="701"/>
        <v>8900.0353869701903</v>
      </c>
      <c r="BV110" s="2652">
        <f t="shared" ca="1" si="701"/>
        <v>8761.1052041856074</v>
      </c>
      <c r="BW110" s="2652">
        <f t="shared" ca="1" si="701"/>
        <v>8956.3986369676659</v>
      </c>
      <c r="BX110" s="2652">
        <f t="shared" ca="1" si="701"/>
        <v>9486.3188316339292</v>
      </c>
      <c r="BY110" s="2652">
        <f t="shared" ca="1" si="701"/>
        <v>9764.386312755214</v>
      </c>
      <c r="BZ110" s="2652">
        <f t="shared" ca="1" si="701"/>
        <v>9604.1432807371621</v>
      </c>
      <c r="CA110" s="2652">
        <f t="shared" ca="1" si="701"/>
        <v>9810.5187799879059</v>
      </c>
      <c r="CB110" s="2652">
        <f t="shared" ca="1" si="701"/>
        <v>10382.186369549638</v>
      </c>
      <c r="CC110" s="2652">
        <f t="shared" si="701"/>
        <v>0</v>
      </c>
      <c r="CD110" s="2652">
        <f t="shared" ref="CD110:CZ110" ca="1" si="702">CD111*CD102</f>
        <v>0</v>
      </c>
      <c r="CE110" s="2652">
        <f t="shared" ca="1" si="702"/>
        <v>0</v>
      </c>
      <c r="CF110" s="2652">
        <f t="shared" si="702"/>
        <v>0</v>
      </c>
      <c r="CG110" s="2652">
        <f t="shared" si="702"/>
        <v>0</v>
      </c>
      <c r="CH110" s="2652">
        <f t="shared" ca="1" si="702"/>
        <v>0</v>
      </c>
      <c r="CI110" s="2652">
        <f t="shared" ca="1" si="702"/>
        <v>0</v>
      </c>
      <c r="CJ110" s="2652">
        <f t="shared" si="702"/>
        <v>0</v>
      </c>
      <c r="CK110" s="2652">
        <f t="shared" si="702"/>
        <v>0</v>
      </c>
      <c r="CL110" s="2652">
        <f t="shared" ca="1" si="702"/>
        <v>0</v>
      </c>
      <c r="CM110" s="2652">
        <f t="shared" ca="1" si="702"/>
        <v>0</v>
      </c>
      <c r="CN110" s="2652">
        <f t="shared" si="702"/>
        <v>0</v>
      </c>
      <c r="CO110" s="2652">
        <f t="shared" si="702"/>
        <v>0</v>
      </c>
      <c r="CP110" s="2652">
        <f t="shared" ca="1" si="702"/>
        <v>0</v>
      </c>
      <c r="CQ110" s="2652">
        <f t="shared" ca="1" si="702"/>
        <v>0</v>
      </c>
      <c r="CR110" s="2652">
        <f t="shared" si="702"/>
        <v>0</v>
      </c>
      <c r="CS110" s="2652">
        <f t="shared" si="702"/>
        <v>0</v>
      </c>
      <c r="CT110" s="2652">
        <f t="shared" ca="1" si="702"/>
        <v>0</v>
      </c>
      <c r="CU110" s="2652">
        <f t="shared" ca="1" si="702"/>
        <v>0</v>
      </c>
      <c r="CV110" s="2652">
        <f t="shared" si="702"/>
        <v>0</v>
      </c>
      <c r="CW110" s="2652">
        <f t="shared" si="702"/>
        <v>0</v>
      </c>
      <c r="CX110" s="2652">
        <f t="shared" ca="1" si="702"/>
        <v>0</v>
      </c>
      <c r="CY110" s="2652">
        <f t="shared" ca="1" si="702"/>
        <v>0</v>
      </c>
      <c r="CZ110" s="2652">
        <f t="shared" si="702"/>
        <v>0</v>
      </c>
    </row>
    <row r="111" spans="1:104" s="2239" customFormat="1">
      <c r="A111" s="2320" t="s">
        <v>180</v>
      </c>
      <c r="B111" s="2240"/>
      <c r="C111" s="2256"/>
      <c r="D111" s="2206">
        <v>0.14399999999999999</v>
      </c>
      <c r="E111" s="2207">
        <v>0.155</v>
      </c>
      <c r="F111" s="2207">
        <v>0.19</v>
      </c>
      <c r="G111" s="2207">
        <v>0.23499999999999999</v>
      </c>
      <c r="H111" s="2207">
        <f>AVERAGE(AG111:AJ111)</f>
        <v>0.26375000000000004</v>
      </c>
      <c r="I111" s="2654">
        <f>I110/I102</f>
        <v>0.25527628223002624</v>
      </c>
      <c r="J111" s="2654">
        <f ca="1">AVERAGE(AO111:AR111)</f>
        <v>0.2525</v>
      </c>
      <c r="K111" s="2655">
        <f ca="1">AVERAGE(AS111:AV111)</f>
        <v>0.24980062511784351</v>
      </c>
      <c r="L111" s="2656">
        <f t="shared" ref="L111:Q111" ca="1" si="703">L110/L102</f>
        <v>0.24096683971426336</v>
      </c>
      <c r="M111" s="2656">
        <f t="shared" ca="1" si="703"/>
        <v>0.2386953781810244</v>
      </c>
      <c r="N111" s="2656">
        <f t="shared" ca="1" si="703"/>
        <v>0.2353375603625612</v>
      </c>
      <c r="O111" s="2656">
        <f t="shared" ca="1" si="703"/>
        <v>0.23533254680184559</v>
      </c>
      <c r="P111" s="2656">
        <f t="shared" ca="1" si="703"/>
        <v>0.23733117532643164</v>
      </c>
      <c r="Q111" s="2656">
        <f t="shared" ca="1" si="703"/>
        <v>0.23932962863663085</v>
      </c>
      <c r="R111" s="2656"/>
      <c r="S111" s="2656"/>
      <c r="T111" s="2175">
        <v>108</v>
      </c>
      <c r="U111" s="2325"/>
      <c r="V111" s="2325"/>
      <c r="W111" s="2325"/>
      <c r="X111" s="2325"/>
      <c r="Y111" s="2325"/>
      <c r="Z111" s="2325"/>
      <c r="AA111" s="2325"/>
      <c r="AB111" s="2325"/>
      <c r="AC111" s="2618">
        <f>AD111</f>
        <v>0.23499999999999999</v>
      </c>
      <c r="AD111" s="2618">
        <f>AE111</f>
        <v>0.23499999999999999</v>
      </c>
      <c r="AE111" s="2618">
        <f>AF111</f>
        <v>0.23499999999999999</v>
      </c>
      <c r="AF111" s="2618">
        <f>G111</f>
        <v>0.23499999999999999</v>
      </c>
      <c r="AG111" s="2233">
        <v>0.26</v>
      </c>
      <c r="AH111" s="2233">
        <v>0.26</v>
      </c>
      <c r="AI111" s="2233">
        <v>0.27500000000000002</v>
      </c>
      <c r="AJ111" s="2233">
        <v>0.26</v>
      </c>
      <c r="AK111" s="2657">
        <v>0.25</v>
      </c>
      <c r="AL111" s="2658">
        <v>0.25</v>
      </c>
      <c r="AM111" s="2657">
        <v>0.25</v>
      </c>
      <c r="AN111" s="2657">
        <v>0.27</v>
      </c>
      <c r="AO111" s="2659">
        <f>AN111-1%</f>
        <v>0.26</v>
      </c>
      <c r="AP111" s="2660">
        <f>AO111</f>
        <v>0.26</v>
      </c>
      <c r="AQ111" s="2660">
        <f ca="1">AQ110/AQ102</f>
        <v>0.25</v>
      </c>
      <c r="AR111" s="2660">
        <v>0.24</v>
      </c>
      <c r="AS111" s="2659">
        <f>AR111</f>
        <v>0.24</v>
      </c>
      <c r="AT111" s="2660">
        <f ca="1">AT110/AT102</f>
        <v>0.25841234753188846</v>
      </c>
      <c r="AU111" s="2660">
        <f ca="1">AT111-0.5%</f>
        <v>0.25341234753188846</v>
      </c>
      <c r="AV111" s="2660">
        <f ca="1">AV110/AV102</f>
        <v>0.24737780540759713</v>
      </c>
      <c r="AW111" s="2661">
        <f ca="1">AW110/AW102</f>
        <v>0.23778033946048183</v>
      </c>
      <c r="AX111" s="2662">
        <f ca="1">AW111+0.5%</f>
        <v>0.24278033946048183</v>
      </c>
      <c r="AY111" s="2662">
        <f ca="1">AY110/AY102</f>
        <v>0.24100284057336363</v>
      </c>
      <c r="AZ111" s="2662">
        <v>0.24199999999999999</v>
      </c>
      <c r="BA111" s="2663">
        <f>AZ111-0.3%</f>
        <v>0.23899999999999999</v>
      </c>
      <c r="BB111" s="2663">
        <f ca="1">AX111-0.4%</f>
        <v>0.23878033946048183</v>
      </c>
      <c r="BC111" s="2663">
        <f ca="1">AY111-0.3%</f>
        <v>0.23800284057336363</v>
      </c>
      <c r="BD111" s="2663">
        <f>AZ111-0.3%</f>
        <v>0.23899999999999999</v>
      </c>
      <c r="BE111" s="2663">
        <f>BA111-0.35%</f>
        <v>0.23549999999999999</v>
      </c>
      <c r="BF111" s="2663">
        <f ca="1">BB111-0.35%</f>
        <v>0.23528033946048182</v>
      </c>
      <c r="BG111" s="2663">
        <f ca="1">BC111-0.35%</f>
        <v>0.23450284057336362</v>
      </c>
      <c r="BH111" s="2663">
        <f>BD111-0.3%</f>
        <v>0.23599999999999999</v>
      </c>
      <c r="BI111" s="2663">
        <f>BE111</f>
        <v>0.23549999999999999</v>
      </c>
      <c r="BJ111" s="2663">
        <f ca="1">BF111</f>
        <v>0.23528033946048182</v>
      </c>
      <c r="BK111" s="2663">
        <f ca="1">BG111</f>
        <v>0.23450284057336362</v>
      </c>
      <c r="BL111" s="2663">
        <f>BH111</f>
        <v>0.23599999999999999</v>
      </c>
      <c r="BM111" s="2663">
        <f t="shared" ref="BM111:CN111" si="704">BI111+0.2%</f>
        <v>0.23749999999999999</v>
      </c>
      <c r="BN111" s="2663">
        <f t="shared" ca="1" si="704"/>
        <v>0.23728033946048183</v>
      </c>
      <c r="BO111" s="2663">
        <f t="shared" ca="1" si="704"/>
        <v>0.23650284057336363</v>
      </c>
      <c r="BP111" s="2663">
        <f t="shared" si="704"/>
        <v>0.23799999999999999</v>
      </c>
      <c r="BQ111" s="2663">
        <f t="shared" si="704"/>
        <v>0.23949999999999999</v>
      </c>
      <c r="BR111" s="2663">
        <f t="shared" ca="1" si="704"/>
        <v>0.23928033946048183</v>
      </c>
      <c r="BS111" s="2663">
        <f t="shared" ca="1" si="704"/>
        <v>0.23850284057336363</v>
      </c>
      <c r="BT111" s="2663">
        <f t="shared" si="704"/>
        <v>0.24</v>
      </c>
      <c r="BU111" s="2663">
        <f t="shared" si="704"/>
        <v>0.24149999999999999</v>
      </c>
      <c r="BV111" s="2663">
        <f t="shared" ca="1" si="704"/>
        <v>0.24128033946048183</v>
      </c>
      <c r="BW111" s="2663">
        <f t="shared" ca="1" si="704"/>
        <v>0.24050284057336363</v>
      </c>
      <c r="BX111" s="2663">
        <f t="shared" si="704"/>
        <v>0.24199999999999999</v>
      </c>
      <c r="BY111" s="2663">
        <f t="shared" si="704"/>
        <v>0.24349999999999999</v>
      </c>
      <c r="BZ111" s="2663">
        <f t="shared" ca="1" si="704"/>
        <v>0.24328033946048183</v>
      </c>
      <c r="CA111" s="2663">
        <f t="shared" ca="1" si="704"/>
        <v>0.24250284057336363</v>
      </c>
      <c r="CB111" s="2663">
        <f t="shared" si="704"/>
        <v>0.24399999999999999</v>
      </c>
      <c r="CC111" s="2663">
        <f t="shared" si="704"/>
        <v>0.2455</v>
      </c>
      <c r="CD111" s="2663">
        <f t="shared" ca="1" si="704"/>
        <v>0.24528033946048183</v>
      </c>
      <c r="CE111" s="2663">
        <f t="shared" ca="1" si="704"/>
        <v>0.24450284057336363</v>
      </c>
      <c r="CF111" s="2663">
        <f t="shared" si="704"/>
        <v>0.246</v>
      </c>
      <c r="CG111" s="2663">
        <f t="shared" si="704"/>
        <v>0.2475</v>
      </c>
      <c r="CH111" s="2663">
        <f t="shared" ca="1" si="704"/>
        <v>0.24728033946048184</v>
      </c>
      <c r="CI111" s="2663">
        <f t="shared" ca="1" si="704"/>
        <v>0.24650284057336364</v>
      </c>
      <c r="CJ111" s="2663">
        <f t="shared" si="704"/>
        <v>0.248</v>
      </c>
      <c r="CK111" s="2663">
        <f t="shared" si="704"/>
        <v>0.2495</v>
      </c>
      <c r="CL111" s="2663">
        <f t="shared" ca="1" si="704"/>
        <v>0.24928033946048184</v>
      </c>
      <c r="CM111" s="2663">
        <f t="shared" ca="1" si="704"/>
        <v>0.24850284057336364</v>
      </c>
      <c r="CN111" s="2663">
        <f t="shared" si="704"/>
        <v>0.25</v>
      </c>
      <c r="CO111" s="2663">
        <f t="shared" ref="CO111:CZ111" si="705">CK111-0.1%</f>
        <v>0.2485</v>
      </c>
      <c r="CP111" s="2663">
        <f t="shared" ca="1" si="705"/>
        <v>0.24828033946048184</v>
      </c>
      <c r="CQ111" s="2663">
        <f t="shared" ca="1" si="705"/>
        <v>0.24750284057336364</v>
      </c>
      <c r="CR111" s="2663">
        <f t="shared" si="705"/>
        <v>0.249</v>
      </c>
      <c r="CS111" s="2663">
        <f t="shared" si="705"/>
        <v>0.2475</v>
      </c>
      <c r="CT111" s="2663">
        <f t="shared" ca="1" si="705"/>
        <v>0.24728033946048184</v>
      </c>
      <c r="CU111" s="2663">
        <f t="shared" ca="1" si="705"/>
        <v>0.24650284057336364</v>
      </c>
      <c r="CV111" s="2663">
        <f t="shared" si="705"/>
        <v>0.248</v>
      </c>
      <c r="CW111" s="2663">
        <f t="shared" si="705"/>
        <v>0.2465</v>
      </c>
      <c r="CX111" s="2663">
        <f t="shared" ca="1" si="705"/>
        <v>0.24628033946048183</v>
      </c>
      <c r="CY111" s="2663">
        <f t="shared" ca="1" si="705"/>
        <v>0.24550284057336363</v>
      </c>
      <c r="CZ111" s="2663">
        <f t="shared" si="705"/>
        <v>0.247</v>
      </c>
    </row>
    <row r="112" spans="1:104" s="2675" customFormat="1">
      <c r="A112" s="2664" t="str">
        <f>A88</f>
        <v>SG&amp;A</v>
      </c>
      <c r="B112" s="2620"/>
      <c r="C112" s="2665"/>
      <c r="D112" s="2665"/>
      <c r="E112" s="2666">
        <f>E122-E110</f>
        <v>-1226.0785876510001</v>
      </c>
      <c r="F112" s="2666">
        <f>F122-F110</f>
        <v>-3066.5531143756234</v>
      </c>
      <c r="G112" s="2666">
        <f>G122-G110</f>
        <v>-6839.2553978219994</v>
      </c>
      <c r="H112" s="2666">
        <f>H122-H110</f>
        <v>-8438.9025521300009</v>
      </c>
      <c r="I112" s="2666">
        <f t="shared" ref="I112" si="706">SUM(I114:I120)</f>
        <v>-9853.6335451749983</v>
      </c>
      <c r="J112" s="2666">
        <f t="shared" ref="J112:Q112" ca="1" si="707">SUM(J114:J120)</f>
        <v>-8774.4162527749995</v>
      </c>
      <c r="K112" s="2667">
        <f t="shared" ca="1" si="707"/>
        <v>-9977.9548230206256</v>
      </c>
      <c r="L112" s="2668">
        <f ca="1">SUM(L114:L120)</f>
        <v>-10545.323807919087</v>
      </c>
      <c r="M112" s="2668">
        <f t="shared" ca="1" si="707"/>
        <v>-14368.044738856446</v>
      </c>
      <c r="N112" s="2668">
        <f t="shared" ca="1" si="707"/>
        <v>-17601.152321931924</v>
      </c>
      <c r="O112" s="2668">
        <f t="shared" ca="1" si="707"/>
        <v>-21654.416920827316</v>
      </c>
      <c r="P112" s="2668">
        <f t="shared" ca="1" si="707"/>
        <v>-25080.812970292111</v>
      </c>
      <c r="Q112" s="2668">
        <f t="shared" ca="1" si="707"/>
        <v>-27762.458598171248</v>
      </c>
      <c r="R112" s="2668"/>
      <c r="S112" s="2668"/>
      <c r="T112" s="2175">
        <v>109</v>
      </c>
      <c r="U112" s="2625"/>
      <c r="V112" s="2625"/>
      <c r="W112" s="2625"/>
      <c r="X112" s="2625"/>
      <c r="Y112" s="2625"/>
      <c r="Z112" s="2625"/>
      <c r="AA112" s="2625"/>
      <c r="AB112" s="2625"/>
      <c r="AC112" s="2625"/>
      <c r="AD112" s="2625"/>
      <c r="AE112" s="2625"/>
      <c r="AF112" s="2625"/>
      <c r="AG112" s="2669">
        <f t="shared" ref="AG112:AM112" si="708">AG122-AG110</f>
        <v>-2184.53386</v>
      </c>
      <c r="AH112" s="2669">
        <f t="shared" si="708"/>
        <v>-2352.7543206600003</v>
      </c>
      <c r="AI112" s="2669">
        <f t="shared" si="708"/>
        <v>-2468.5350425400002</v>
      </c>
      <c r="AJ112" s="2669">
        <f>AJ122-AJ110</f>
        <v>-1465.5038764299993</v>
      </c>
      <c r="AK112" s="2669">
        <f t="shared" si="708"/>
        <v>-2269.9916450000001</v>
      </c>
      <c r="AL112" s="2669">
        <f t="shared" si="708"/>
        <v>-2692.3170849400003</v>
      </c>
      <c r="AM112" s="2669">
        <f t="shared" si="708"/>
        <v>-2629.5357574749996</v>
      </c>
      <c r="AN112" s="2669">
        <f>AN122-AN110</f>
        <v>-2261.7890577600001</v>
      </c>
      <c r="AO112" s="2670">
        <f t="shared" ref="AO112" si="709">AO124-AO110-AO123</f>
        <v>-1963.3651945625002</v>
      </c>
      <c r="AP112" s="2670">
        <f t="shared" ref="AP112:AV112" ca="1" si="710">AP124-AP110-AP123</f>
        <v>-2208.2143623379998</v>
      </c>
      <c r="AQ112" s="2670">
        <f t="shared" ca="1" si="710"/>
        <v>-2313.9946139627505</v>
      </c>
      <c r="AR112" s="2670">
        <f t="shared" ca="1" si="710"/>
        <v>-2288.84208191175</v>
      </c>
      <c r="AS112" s="2671">
        <f t="shared" ca="1" si="710"/>
        <v>-2254.6279525635623</v>
      </c>
      <c r="AT112" s="2670">
        <f t="shared" ca="1" si="710"/>
        <v>-2612.7675501720623</v>
      </c>
      <c r="AU112" s="2670">
        <f t="shared" ca="1" si="710"/>
        <v>-2609.9464788391847</v>
      </c>
      <c r="AV112" s="2670">
        <f t="shared" ca="1" si="710"/>
        <v>-2500.6128414458149</v>
      </c>
      <c r="AW112" s="2672">
        <f ca="1">SUM(AW114:AW120)</f>
        <v>-2546.2357508669998</v>
      </c>
      <c r="AX112" s="2672">
        <f t="shared" ref="AX112:CC112" ca="1" si="711">SUM(AX114:AX120)</f>
        <v>-2573.9667794410425</v>
      </c>
      <c r="AY112" s="2673">
        <f t="shared" ca="1" si="711"/>
        <v>-2523.4094987537087</v>
      </c>
      <c r="AZ112" s="2673">
        <f t="shared" ca="1" si="711"/>
        <v>-2901.7117788573355</v>
      </c>
      <c r="BA112" s="2674">
        <f t="shared" ca="1" si="711"/>
        <v>-3339.0245912717292</v>
      </c>
      <c r="BB112" s="2674">
        <f t="shared" ca="1" si="711"/>
        <v>-3442.8167221468079</v>
      </c>
      <c r="BC112" s="2674">
        <f t="shared" ca="1" si="711"/>
        <v>-3646.8078217990869</v>
      </c>
      <c r="BD112" s="2674">
        <f t="shared" ca="1" si="711"/>
        <v>-3939.3956036388195</v>
      </c>
      <c r="BE112" s="2674">
        <f t="shared" ca="1" si="711"/>
        <v>-4152.8952642782115</v>
      </c>
      <c r="BF112" s="2674">
        <f t="shared" ca="1" si="711"/>
        <v>-4192.6336663609991</v>
      </c>
      <c r="BG112" s="2674">
        <f t="shared" ca="1" si="711"/>
        <v>-4393.6823059757453</v>
      </c>
      <c r="BH112" s="2674">
        <f t="shared" ca="1" si="711"/>
        <v>-4676.3733044918399</v>
      </c>
      <c r="BI112" s="2674">
        <f t="shared" ca="1" si="711"/>
        <v>-4937.8921533372459</v>
      </c>
      <c r="BJ112" s="2674">
        <f t="shared" ca="1" si="711"/>
        <v>-5066.8014229937762</v>
      </c>
      <c r="BK112" s="2674">
        <f t="shared" ca="1" si="711"/>
        <v>-5280.01995080912</v>
      </c>
      <c r="BL112" s="2674">
        <f t="shared" ca="1" si="711"/>
        <v>-5550.7152810428825</v>
      </c>
      <c r="BM112" s="2674">
        <f t="shared" ca="1" si="711"/>
        <v>-5806.2468217544792</v>
      </c>
      <c r="BN112" s="2674">
        <f t="shared" ca="1" si="711"/>
        <v>-5900.9872727233687</v>
      </c>
      <c r="BO112" s="2674">
        <f t="shared" ca="1" si="711"/>
        <v>-6088.406051068484</v>
      </c>
      <c r="BP112" s="2674">
        <f t="shared" ca="1" si="711"/>
        <v>-6336.9043119733315</v>
      </c>
      <c r="BQ112" s="2674">
        <f t="shared" ca="1" si="711"/>
        <v>-6562.2000673673228</v>
      </c>
      <c r="BR112" s="2674">
        <f t="shared" ca="1" si="711"/>
        <v>-6592.6312294787967</v>
      </c>
      <c r="BS112" s="2674">
        <f t="shared" ca="1" si="711"/>
        <v>-6719.6135170146499</v>
      </c>
      <c r="BT112" s="2674">
        <f t="shared" ca="1" si="711"/>
        <v>-6908.1063808438366</v>
      </c>
      <c r="BU112" s="2674" t="e">
        <f t="shared" si="711"/>
        <v>#N/A</v>
      </c>
      <c r="BV112" s="2674" t="e">
        <f t="shared" si="711"/>
        <v>#N/A</v>
      </c>
      <c r="BW112" s="2674" t="e">
        <f t="shared" si="711"/>
        <v>#N/A</v>
      </c>
      <c r="BX112" s="2674" t="e">
        <f t="shared" si="711"/>
        <v>#N/A</v>
      </c>
      <c r="BY112" s="2674" t="e">
        <f t="shared" si="711"/>
        <v>#N/A</v>
      </c>
      <c r="BZ112" s="2674" t="e">
        <f t="shared" si="711"/>
        <v>#N/A</v>
      </c>
      <c r="CA112" s="2674" t="e">
        <f t="shared" si="711"/>
        <v>#N/A</v>
      </c>
      <c r="CB112" s="2674" t="e">
        <f t="shared" si="711"/>
        <v>#N/A</v>
      </c>
      <c r="CC112" s="2674" t="e">
        <f t="shared" si="711"/>
        <v>#N/A</v>
      </c>
      <c r="CD112" s="2674" t="e">
        <f t="shared" ref="CD112:CN112" si="712">SUM(CD114:CD120)</f>
        <v>#N/A</v>
      </c>
      <c r="CE112" s="2674" t="e">
        <f t="shared" si="712"/>
        <v>#N/A</v>
      </c>
      <c r="CF112" s="2674" t="e">
        <f t="shared" si="712"/>
        <v>#N/A</v>
      </c>
      <c r="CG112" s="2674" t="e">
        <f t="shared" si="712"/>
        <v>#N/A</v>
      </c>
      <c r="CH112" s="2674" t="e">
        <f t="shared" si="712"/>
        <v>#N/A</v>
      </c>
      <c r="CI112" s="2674" t="e">
        <f t="shared" si="712"/>
        <v>#N/A</v>
      </c>
      <c r="CJ112" s="2674" t="e">
        <f t="shared" si="712"/>
        <v>#N/A</v>
      </c>
      <c r="CK112" s="2674" t="e">
        <f t="shared" si="712"/>
        <v>#N/A</v>
      </c>
      <c r="CL112" s="2674" t="e">
        <f t="shared" si="712"/>
        <v>#N/A</v>
      </c>
      <c r="CM112" s="2674" t="e">
        <f t="shared" si="712"/>
        <v>#N/A</v>
      </c>
      <c r="CN112" s="2674" t="e">
        <f t="shared" si="712"/>
        <v>#N/A</v>
      </c>
      <c r="CO112" s="2674" t="e">
        <f t="shared" ref="CO112:CZ112" si="713">SUM(CO114:CO120)</f>
        <v>#N/A</v>
      </c>
      <c r="CP112" s="2674" t="e">
        <f t="shared" si="713"/>
        <v>#N/A</v>
      </c>
      <c r="CQ112" s="2674" t="e">
        <f t="shared" si="713"/>
        <v>#N/A</v>
      </c>
      <c r="CR112" s="2674" t="e">
        <f t="shared" si="713"/>
        <v>#N/A</v>
      </c>
      <c r="CS112" s="2674" t="e">
        <f t="shared" si="713"/>
        <v>#N/A</v>
      </c>
      <c r="CT112" s="2674" t="e">
        <f t="shared" si="713"/>
        <v>#N/A</v>
      </c>
      <c r="CU112" s="2674" t="e">
        <f t="shared" si="713"/>
        <v>#N/A</v>
      </c>
      <c r="CV112" s="2674" t="e">
        <f t="shared" si="713"/>
        <v>#N/A</v>
      </c>
      <c r="CW112" s="2674" t="e">
        <f t="shared" si="713"/>
        <v>#N/A</v>
      </c>
      <c r="CX112" s="2674" t="e">
        <f t="shared" si="713"/>
        <v>#N/A</v>
      </c>
      <c r="CY112" s="2674" t="e">
        <f t="shared" si="713"/>
        <v>#N/A</v>
      </c>
      <c r="CZ112" s="2674" t="e">
        <f t="shared" si="713"/>
        <v>#N/A</v>
      </c>
    </row>
    <row r="113" spans="1:104" s="3135" customFormat="1" outlineLevel="1">
      <c r="A113" s="3121" t="str">
        <f>A89</f>
        <v>SG&amp;A/REV (%)</v>
      </c>
      <c r="B113" s="3122"/>
      <c r="C113" s="3123"/>
      <c r="D113" s="3123"/>
      <c r="E113" s="3124">
        <f>E112/E102</f>
        <v>-0.28343300149625</v>
      </c>
      <c r="F113" s="3124">
        <f>F112/F102</f>
        <v>-0.28583786499669889</v>
      </c>
      <c r="G113" s="3124">
        <f>G112/G102</f>
        <v>-0.32146887211845104</v>
      </c>
      <c r="H113" s="3125">
        <f>H112/H102</f>
        <v>-0.29970480040118791</v>
      </c>
      <c r="I113" s="3124">
        <f t="shared" ref="I113" si="714">I112/I102</f>
        <v>-0.36385553663494363</v>
      </c>
      <c r="J113" s="3125">
        <f t="shared" ref="J113:Q113" ca="1" si="715">J112/J102</f>
        <v>-0.27784056662268414</v>
      </c>
      <c r="K113" s="3126">
        <f t="shared" ca="1" si="715"/>
        <v>-0.24287061645350036</v>
      </c>
      <c r="L113" s="3127">
        <f ca="1">L112/L102</f>
        <v>-0.22132303762992761</v>
      </c>
      <c r="M113" s="3127">
        <f t="shared" ca="1" si="715"/>
        <v>-0.21021025961440515</v>
      </c>
      <c r="N113" s="3127">
        <f t="shared" ca="1" si="715"/>
        <v>-0.20261231490562059</v>
      </c>
      <c r="O113" s="3127">
        <f t="shared" ca="1" si="715"/>
        <v>-0.20474147679797161</v>
      </c>
      <c r="P113" s="3127">
        <f t="shared" ca="1" si="715"/>
        <v>-0.20384150341828522</v>
      </c>
      <c r="Q113" s="3127">
        <f t="shared" ca="1" si="715"/>
        <v>-0.2022923824397577</v>
      </c>
      <c r="R113" s="3127"/>
      <c r="S113" s="3127"/>
      <c r="T113" s="3128">
        <v>110</v>
      </c>
      <c r="U113" s="3129"/>
      <c r="V113" s="3129"/>
      <c r="W113" s="3129"/>
      <c r="X113" s="3129"/>
      <c r="Y113" s="3129"/>
      <c r="Z113" s="3129"/>
      <c r="AA113" s="3129"/>
      <c r="AB113" s="3129"/>
      <c r="AC113" s="3129"/>
      <c r="AD113" s="3129"/>
      <c r="AE113" s="3129"/>
      <c r="AF113" s="3129"/>
      <c r="AG113" s="3130">
        <f>AG112/SUM(AF102:AG102)</f>
        <v>-0.18064217815780911</v>
      </c>
      <c r="AH113" s="3130">
        <f>AH112/SUM(AG102:AH102)</f>
        <v>-0.1759434613360327</v>
      </c>
      <c r="AI113" s="3130">
        <f t="shared" ref="AI113:AO113" si="716">AI112/AI102</f>
        <v>-0.26829038928018767</v>
      </c>
      <c r="AJ113" s="3130">
        <f t="shared" si="716"/>
        <v>-0.26243841558709941</v>
      </c>
      <c r="AK113" s="3131">
        <f t="shared" si="716"/>
        <v>-0.37582643129139076</v>
      </c>
      <c r="AL113" s="3131">
        <f t="shared" si="716"/>
        <v>-0.39735924261208427</v>
      </c>
      <c r="AM113" s="3131">
        <f t="shared" si="716"/>
        <v>-0.36925194147418766</v>
      </c>
      <c r="AN113" s="3131">
        <f t="shared" si="716"/>
        <v>-0.31658231983542962</v>
      </c>
      <c r="AO113" s="3132">
        <f t="shared" si="716"/>
        <v>-0.30823801573754561</v>
      </c>
      <c r="AP113" s="3131">
        <f t="shared" ref="AP113:CC113" ca="1" si="717">AP112/AP102</f>
        <v>-0.30165626577298749</v>
      </c>
      <c r="AQ113" s="3131">
        <f t="shared" ca="1" si="717"/>
        <v>-0.26805408889578713</v>
      </c>
      <c r="AR113" s="3131">
        <f t="shared" ca="1" si="717"/>
        <v>-0.24722178522124688</v>
      </c>
      <c r="AS113" s="3132">
        <f t="shared" ca="1" si="717"/>
        <v>-0.24606942151835637</v>
      </c>
      <c r="AT113" s="3131">
        <f t="shared" ca="1" si="717"/>
        <v>-0.25300676317730508</v>
      </c>
      <c r="AU113" s="3131">
        <f t="shared" ca="1" si="717"/>
        <v>-0.24077594534764607</v>
      </c>
      <c r="AV113" s="3131">
        <f t="shared" ca="1" si="717"/>
        <v>-0.23252324096890301</v>
      </c>
      <c r="AW113" s="3133">
        <f t="shared" ca="1" si="717"/>
        <v>-0.23103150806621656</v>
      </c>
      <c r="AX113" s="1530">
        <f t="shared" ca="1" si="717"/>
        <v>-0.22250378457608538</v>
      </c>
      <c r="AY113" s="1530">
        <f t="shared" ca="1" si="717"/>
        <v>-0.21417947065244203</v>
      </c>
      <c r="AZ113" s="1530">
        <f t="shared" ca="1" si="717"/>
        <v>-0.2185740937170553</v>
      </c>
      <c r="BA113" s="3134">
        <f t="shared" ca="1" si="717"/>
        <v>-0.2117998600997282</v>
      </c>
      <c r="BB113" s="3134">
        <f t="shared" ca="1" si="717"/>
        <v>-0.21253716421994859</v>
      </c>
      <c r="BC113" s="3134">
        <f t="shared" ca="1" si="717"/>
        <v>-0.21065052316289573</v>
      </c>
      <c r="BD113" s="3134">
        <f t="shared" ca="1" si="717"/>
        <v>-0.2065209013189144</v>
      </c>
      <c r="BE113" s="3134">
        <f t="shared" ca="1" si="717"/>
        <v>-0.19920649111596353</v>
      </c>
      <c r="BF113" s="3134">
        <f t="shared" ca="1" si="717"/>
        <v>-0.20476276329542686</v>
      </c>
      <c r="BG113" s="3134">
        <f t="shared" ca="1" si="717"/>
        <v>-0.20310248842343448</v>
      </c>
      <c r="BH113" s="3134">
        <f t="shared" ca="1" si="717"/>
        <v>-0.19553734571945502</v>
      </c>
      <c r="BI113" s="3134">
        <f t="shared" ca="1" si="717"/>
        <v>-0.19567208995552601</v>
      </c>
      <c r="BJ113" s="3134">
        <f t="shared" ca="1" si="717"/>
        <v>-0.20003912242434832</v>
      </c>
      <c r="BK113" s="3134">
        <f t="shared" ca="1" si="717"/>
        <v>-0.19888432350634275</v>
      </c>
      <c r="BL113" s="3134">
        <f t="shared" ca="1" si="717"/>
        <v>-0.19372949152351102</v>
      </c>
      <c r="BM113" s="3134">
        <f t="shared" ca="1" si="717"/>
        <v>-0.19493278501297814</v>
      </c>
      <c r="BN113" s="3134">
        <f t="shared" ca="1" si="717"/>
        <v>-0.19909814367328324</v>
      </c>
      <c r="BO113" s="3134">
        <f t="shared" ca="1" si="717"/>
        <v>-0.19785780093988878</v>
      </c>
      <c r="BP113" s="3134">
        <f t="shared" ca="1" si="717"/>
        <v>-0.1929356295634212</v>
      </c>
      <c r="BQ113" s="3134">
        <f t="shared" ca="1" si="717"/>
        <v>-0.19417245074908343</v>
      </c>
      <c r="BR113" s="3134">
        <f t="shared" ca="1" si="717"/>
        <v>-0.19808182133802982</v>
      </c>
      <c r="BS113" s="3134">
        <f t="shared" ca="1" si="717"/>
        <v>-0.19667754112007246</v>
      </c>
      <c r="BT113" s="3134">
        <f t="shared" ca="1" si="717"/>
        <v>-0.1919156425486151</v>
      </c>
      <c r="BU113" s="3134" t="e">
        <f t="shared" ca="1" si="717"/>
        <v>#N/A</v>
      </c>
      <c r="BV113" s="3134" t="e">
        <f t="shared" si="717"/>
        <v>#N/A</v>
      </c>
      <c r="BW113" s="3134" t="e">
        <f t="shared" ca="1" si="717"/>
        <v>#N/A</v>
      </c>
      <c r="BX113" s="3134" t="e">
        <f t="shared" ca="1" si="717"/>
        <v>#N/A</v>
      </c>
      <c r="BY113" s="3134" t="e">
        <f t="shared" ca="1" si="717"/>
        <v>#N/A</v>
      </c>
      <c r="BZ113" s="3134" t="e">
        <f t="shared" si="717"/>
        <v>#N/A</v>
      </c>
      <c r="CA113" s="3134" t="e">
        <f t="shared" ca="1" si="717"/>
        <v>#N/A</v>
      </c>
      <c r="CB113" s="3134" t="e">
        <f t="shared" ca="1" si="717"/>
        <v>#N/A</v>
      </c>
      <c r="CC113" s="3134" t="e">
        <f t="shared" si="717"/>
        <v>#N/A</v>
      </c>
      <c r="CD113" s="3134" t="e">
        <f t="shared" ref="CD113:CN113" si="718">CD112/CD102</f>
        <v>#N/A</v>
      </c>
      <c r="CE113" s="3134" t="e">
        <f t="shared" si="718"/>
        <v>#N/A</v>
      </c>
      <c r="CF113" s="3134" t="e">
        <f t="shared" si="718"/>
        <v>#N/A</v>
      </c>
      <c r="CG113" s="3134" t="e">
        <f t="shared" si="718"/>
        <v>#N/A</v>
      </c>
      <c r="CH113" s="3134" t="e">
        <f t="shared" si="718"/>
        <v>#N/A</v>
      </c>
      <c r="CI113" s="3134" t="e">
        <f t="shared" si="718"/>
        <v>#N/A</v>
      </c>
      <c r="CJ113" s="3134" t="e">
        <f t="shared" si="718"/>
        <v>#N/A</v>
      </c>
      <c r="CK113" s="3134" t="e">
        <f t="shared" si="718"/>
        <v>#N/A</v>
      </c>
      <c r="CL113" s="3134" t="e">
        <f t="shared" si="718"/>
        <v>#N/A</v>
      </c>
      <c r="CM113" s="3134" t="e">
        <f t="shared" si="718"/>
        <v>#N/A</v>
      </c>
      <c r="CN113" s="3134" t="e">
        <f t="shared" si="718"/>
        <v>#N/A</v>
      </c>
      <c r="CO113" s="3134" t="e">
        <f t="shared" ref="CO113:CZ113" si="719">CO112/CO102</f>
        <v>#N/A</v>
      </c>
      <c r="CP113" s="3134" t="e">
        <f t="shared" si="719"/>
        <v>#N/A</v>
      </c>
      <c r="CQ113" s="3134" t="e">
        <f t="shared" si="719"/>
        <v>#N/A</v>
      </c>
      <c r="CR113" s="3134" t="e">
        <f t="shared" si="719"/>
        <v>#N/A</v>
      </c>
      <c r="CS113" s="3134" t="e">
        <f t="shared" si="719"/>
        <v>#N/A</v>
      </c>
      <c r="CT113" s="3134" t="e">
        <f t="shared" si="719"/>
        <v>#N/A</v>
      </c>
      <c r="CU113" s="3134" t="e">
        <f t="shared" si="719"/>
        <v>#N/A</v>
      </c>
      <c r="CV113" s="3134" t="e">
        <f t="shared" si="719"/>
        <v>#N/A</v>
      </c>
      <c r="CW113" s="3134" t="e">
        <f t="shared" si="719"/>
        <v>#N/A</v>
      </c>
      <c r="CX113" s="3134" t="e">
        <f t="shared" si="719"/>
        <v>#N/A</v>
      </c>
      <c r="CY113" s="3134" t="e">
        <f t="shared" si="719"/>
        <v>#N/A</v>
      </c>
      <c r="CZ113" s="3134" t="e">
        <f t="shared" si="719"/>
        <v>#N/A</v>
      </c>
    </row>
    <row r="114" spans="1:104" s="3150" customFormat="1" outlineLevel="1">
      <c r="A114" s="3136" t="s">
        <v>194</v>
      </c>
      <c r="B114" s="3137">
        <f>H114/$H$102</f>
        <v>-4.7870066783596017E-2</v>
      </c>
      <c r="C114" s="3123"/>
      <c r="D114" s="3138">
        <f>H114/$H$102</f>
        <v>-4.7870066783596017E-2</v>
      </c>
      <c r="E114" s="3139">
        <f t="shared" ref="E114:E119" si="720">D114*E$102</f>
        <v>-207.07702900844802</v>
      </c>
      <c r="F114" s="3139">
        <f t="shared" ref="F114:F119" si="721">D114*F$102</f>
        <v>-513.56422768656205</v>
      </c>
      <c r="G114" s="3139">
        <f t="shared" ref="G114:G119" si="722">D114*G$102</f>
        <v>-1018.4364367420737</v>
      </c>
      <c r="H114" s="3140">
        <f>SUM(AJ114:AM114)</f>
        <v>-1347.8957567912244</v>
      </c>
      <c r="I114" s="3140">
        <f>SUM(AK114:AN114)</f>
        <v>-1315.1531223658376</v>
      </c>
      <c r="J114" s="3140">
        <f>SUM(AO114:AR114)</f>
        <v>-1151.6084372085024</v>
      </c>
      <c r="K114" s="3141">
        <f>SUM(AS114:AV114)</f>
        <v>-3382.4905783893414</v>
      </c>
      <c r="L114" s="3142">
        <f>SUMIF($AG$1:BH$1,L$5,$AG114:BH114)</f>
        <v>-3898.1355800112119</v>
      </c>
      <c r="M114" s="3142">
        <f>SUMIF($AG$1:BI$1,M$5,$AG114:BI114)</f>
        <v>-5486.9730902050396</v>
      </c>
      <c r="N114" s="3142">
        <f>SUMIF($AG$1:CJ$1,N$5,$AG114:CJ114)</f>
        <v>-6858.8117438708159</v>
      </c>
      <c r="O114" s="3142">
        <f>SUMIF($AG$1:CK$1,O$5,$AG114:CK114)</f>
        <v>-8345.3442335929121</v>
      </c>
      <c r="P114" s="3142">
        <f>SUMIF($AG$1:CL$1,P$5,$AG114:CL114)</f>
        <v>-9645.2040970554663</v>
      </c>
      <c r="Q114" s="3142">
        <f>SUMIF($AG$1:CM$1,Q$5,$AG114:CM114)</f>
        <v>-10639.783527307514</v>
      </c>
      <c r="R114" s="3143">
        <f t="shared" ref="R114:S120" ca="1" si="723">K114/$K$102</f>
        <v>-8.2332260116696074E-2</v>
      </c>
      <c r="S114" s="3143">
        <f t="shared" ca="1" si="723"/>
        <v>-9.4883431337288701E-2</v>
      </c>
      <c r="T114" s="3128">
        <v>111</v>
      </c>
      <c r="U114" s="3144">
        <f>I114-J114</f>
        <v>-163.54468515733515</v>
      </c>
      <c r="V114" s="3128"/>
      <c r="W114" s="3128"/>
      <c r="X114" s="3128"/>
      <c r="Y114" s="3128"/>
      <c r="Z114" s="3128"/>
      <c r="AA114" s="3128"/>
      <c r="AB114" s="3128"/>
      <c r="AC114" s="3128"/>
      <c r="AD114" s="3128"/>
      <c r="AE114" s="3128"/>
      <c r="AF114" s="3128"/>
      <c r="AG114" s="3142">
        <f t="shared" ref="AG114:AN114" si="724">-$J$262*3*AVERAGE(AE107:AG107)</f>
        <v>-286.9333092269319</v>
      </c>
      <c r="AH114" s="3142">
        <f t="shared" si="724"/>
        <v>-301.816324874835</v>
      </c>
      <c r="AI114" s="3142">
        <f t="shared" si="724"/>
        <v>-313.89122436275636</v>
      </c>
      <c r="AJ114" s="3142">
        <f t="shared" si="724"/>
        <v>-332.93025192743244</v>
      </c>
      <c r="AK114" s="3142">
        <f t="shared" si="724"/>
        <v>-347.08315737374028</v>
      </c>
      <c r="AL114" s="3142">
        <f t="shared" si="724"/>
        <v>-344.55585282975676</v>
      </c>
      <c r="AM114" s="3142">
        <f t="shared" si="724"/>
        <v>-323.32649466029494</v>
      </c>
      <c r="AN114" s="3142">
        <f t="shared" si="724"/>
        <v>-300.18761750204561</v>
      </c>
      <c r="AO114" s="3145">
        <f t="shared" ref="AO114:AX114" si="725">-HLOOKUP(VALUE(RIGHT(AO4,4)),$H$254:$M$262,9,FALSE)*3*AVERAGE(AN107:AO107)</f>
        <v>-289.62910074051433</v>
      </c>
      <c r="AP114" s="3146">
        <f t="shared" si="725"/>
        <v>-287.77574407492642</v>
      </c>
      <c r="AQ114" s="3146">
        <f t="shared" si="725"/>
        <v>-287.43877013572859</v>
      </c>
      <c r="AR114" s="3146">
        <f t="shared" si="725"/>
        <v>-286.76482225733298</v>
      </c>
      <c r="AS114" s="3145">
        <f>-HLOOKUP(VALUE(RIGHT(AS4,4)),$H$254:$M$262,9,FALSE)*3*AVERAGE(AR107:AS107)</f>
        <v>-837.113389459926</v>
      </c>
      <c r="AT114" s="3142">
        <f t="shared" si="725"/>
        <v>-837.85332468926595</v>
      </c>
      <c r="AU114" s="3142">
        <f t="shared" si="725"/>
        <v>-845.25267698266543</v>
      </c>
      <c r="AV114" s="3142">
        <f t="shared" si="725"/>
        <v>-862.27118725748414</v>
      </c>
      <c r="AW114" s="3147">
        <f>-HLOOKUP(VALUE(RIGHT(AW4,4)),$H$254:$M$262,9,FALSE)*3*AVERAGE(AV107:AW107)</f>
        <v>-851.94781898153371</v>
      </c>
      <c r="AX114" s="3148">
        <f t="shared" si="725"/>
        <v>-945.45428691853135</v>
      </c>
      <c r="AY114" s="3148">
        <f>-HLOOKUP(VALUE(RIGHT(AY4,4)),$H$254:$M$262,9,FALSE)*3*AVERAGE(AX107:AY107)</f>
        <v>-1010.5022646138341</v>
      </c>
      <c r="AZ114" s="3148">
        <f t="shared" ref="AZ114:BD114" si="726">-HLOOKUP(VALUE(RIGHT(AZ4,4)),$H$254:$M$262,9,FALSE)*3*AVERAGE(AY107:AZ107)</f>
        <v>-1090.2312094973126</v>
      </c>
      <c r="BA114" s="3149">
        <f t="shared" si="726"/>
        <v>-1224.6004556448454</v>
      </c>
      <c r="BB114" s="3149">
        <f t="shared" si="726"/>
        <v>-1329.2870447482233</v>
      </c>
      <c r="BC114" s="3149">
        <f t="shared" si="726"/>
        <v>-1424.6681592646341</v>
      </c>
      <c r="BD114" s="3149">
        <f t="shared" si="726"/>
        <v>-1508.4174305473362</v>
      </c>
      <c r="BE114" s="3149">
        <f t="shared" ref="BE114:CC114" si="727">-HLOOKUP(VALUE(RIGHT(BE4,4)),$H$254:$T$262,9,FALSE)*3*AVERAGE(BD107:BE107)</f>
        <v>-1605.7387365151299</v>
      </c>
      <c r="BF114" s="3149">
        <f t="shared" si="727"/>
        <v>-1660.9550963455447</v>
      </c>
      <c r="BG114" s="3149">
        <f t="shared" si="727"/>
        <v>-1739.6677795080511</v>
      </c>
      <c r="BH114" s="3149">
        <f t="shared" si="727"/>
        <v>-1852.45013150209</v>
      </c>
      <c r="BI114" s="3149">
        <f t="shared" si="727"/>
        <v>-1963.5266504222191</v>
      </c>
      <c r="BJ114" s="3149">
        <f t="shared" si="727"/>
        <v>-2041.83989608808</v>
      </c>
      <c r="BK114" s="3149">
        <f t="shared" si="727"/>
        <v>-2127.2725277235645</v>
      </c>
      <c r="BL114" s="3149">
        <f t="shared" si="727"/>
        <v>-2212.705159359049</v>
      </c>
      <c r="BM114" s="3149">
        <f t="shared" si="727"/>
        <v>-2307.9364392173925</v>
      </c>
      <c r="BN114" s="3149">
        <f t="shared" si="727"/>
        <v>-2373.8500876528251</v>
      </c>
      <c r="BO114" s="3149">
        <f t="shared" si="727"/>
        <v>-2445.7558859460246</v>
      </c>
      <c r="BP114" s="3149">
        <f t="shared" si="727"/>
        <v>-2517.6616842392241</v>
      </c>
      <c r="BQ114" s="3149">
        <f t="shared" si="727"/>
        <v>-2597.306943288715</v>
      </c>
      <c r="BR114" s="3149">
        <f t="shared" si="727"/>
        <v>-2637.2506142405873</v>
      </c>
      <c r="BS114" s="3149">
        <f t="shared" si="727"/>
        <v>-2680.8255280062663</v>
      </c>
      <c r="BT114" s="3149">
        <f t="shared" si="727"/>
        <v>-2724.4004417719452</v>
      </c>
      <c r="BU114" s="3149" t="e">
        <f t="shared" si="727"/>
        <v>#N/A</v>
      </c>
      <c r="BV114" s="3149" t="e">
        <f t="shared" si="727"/>
        <v>#N/A</v>
      </c>
      <c r="BW114" s="3149" t="e">
        <f t="shared" si="727"/>
        <v>#N/A</v>
      </c>
      <c r="BX114" s="3149" t="e">
        <f t="shared" si="727"/>
        <v>#N/A</v>
      </c>
      <c r="BY114" s="3149" t="e">
        <f t="shared" si="727"/>
        <v>#N/A</v>
      </c>
      <c r="BZ114" s="3149" t="e">
        <f t="shared" si="727"/>
        <v>#N/A</v>
      </c>
      <c r="CA114" s="3149" t="e">
        <f t="shared" si="727"/>
        <v>#N/A</v>
      </c>
      <c r="CB114" s="3149" t="e">
        <f t="shared" si="727"/>
        <v>#N/A</v>
      </c>
      <c r="CC114" s="3149" t="e">
        <f t="shared" si="727"/>
        <v>#N/A</v>
      </c>
      <c r="CD114" s="3149" t="e">
        <f t="shared" ref="CD114:CN114" si="728">-HLOOKUP(VALUE(RIGHT(CD4,4)),$H$254:$T$262,9,FALSE)*3*AVERAGE(CC107:CD107)</f>
        <v>#N/A</v>
      </c>
      <c r="CE114" s="3149" t="e">
        <f t="shared" si="728"/>
        <v>#N/A</v>
      </c>
      <c r="CF114" s="3149" t="e">
        <f t="shared" si="728"/>
        <v>#N/A</v>
      </c>
      <c r="CG114" s="3149" t="e">
        <f t="shared" si="728"/>
        <v>#N/A</v>
      </c>
      <c r="CH114" s="3149" t="e">
        <f t="shared" si="728"/>
        <v>#N/A</v>
      </c>
      <c r="CI114" s="3149" t="e">
        <f t="shared" si="728"/>
        <v>#N/A</v>
      </c>
      <c r="CJ114" s="3149" t="e">
        <f t="shared" si="728"/>
        <v>#N/A</v>
      </c>
      <c r="CK114" s="3149" t="e">
        <f t="shared" si="728"/>
        <v>#N/A</v>
      </c>
      <c r="CL114" s="3149" t="e">
        <f t="shared" si="728"/>
        <v>#N/A</v>
      </c>
      <c r="CM114" s="3149" t="e">
        <f t="shared" si="728"/>
        <v>#N/A</v>
      </c>
      <c r="CN114" s="3149" t="e">
        <f t="shared" si="728"/>
        <v>#N/A</v>
      </c>
      <c r="CO114" s="3149" t="e">
        <f t="shared" ref="CO114" si="729">-HLOOKUP(VALUE(RIGHT(CO4,4)),$H$254:$M$262,9,FALSE)*3*AVERAGE(CN107:CO107)</f>
        <v>#N/A</v>
      </c>
      <c r="CP114" s="3149" t="e">
        <f t="shared" ref="CP114" si="730">-HLOOKUP(VALUE(RIGHT(CP4,4)),$H$254:$M$262,9,FALSE)*3*AVERAGE(CO107:CP107)</f>
        <v>#N/A</v>
      </c>
      <c r="CQ114" s="3149" t="e">
        <f t="shared" ref="CQ114" si="731">-HLOOKUP(VALUE(RIGHT(CQ4,4)),$H$254:$M$262,9,FALSE)*3*AVERAGE(CP107:CQ107)</f>
        <v>#N/A</v>
      </c>
      <c r="CR114" s="3149" t="e">
        <f t="shared" ref="CR114" si="732">-HLOOKUP(VALUE(RIGHT(CR4,4)),$H$254:$M$262,9,FALSE)*3*AVERAGE(CQ107:CR107)</f>
        <v>#N/A</v>
      </c>
      <c r="CS114" s="3149" t="e">
        <f t="shared" ref="CS114" si="733">-HLOOKUP(VALUE(RIGHT(CS4,4)),$H$254:$M$262,9,FALSE)*3*AVERAGE(CR107:CS107)</f>
        <v>#N/A</v>
      </c>
      <c r="CT114" s="3149" t="e">
        <f t="shared" ref="CT114" si="734">-HLOOKUP(VALUE(RIGHT(CT4,4)),$H$254:$M$262,9,FALSE)*3*AVERAGE(CS107:CT107)</f>
        <v>#N/A</v>
      </c>
      <c r="CU114" s="3149" t="e">
        <f t="shared" ref="CU114" si="735">-HLOOKUP(VALUE(RIGHT(CU4,4)),$H$254:$M$262,9,FALSE)*3*AVERAGE(CT107:CU107)</f>
        <v>#N/A</v>
      </c>
      <c r="CV114" s="3149" t="e">
        <f t="shared" ref="CV114" si="736">-HLOOKUP(VALUE(RIGHT(CV4,4)),$H$254:$M$262,9,FALSE)*3*AVERAGE(CU107:CV107)</f>
        <v>#N/A</v>
      </c>
      <c r="CW114" s="3149" t="e">
        <f t="shared" ref="CW114" si="737">-HLOOKUP(VALUE(RIGHT(CW4,4)),$H$254:$M$262,9,FALSE)*3*AVERAGE(CV107:CW107)</f>
        <v>#N/A</v>
      </c>
      <c r="CX114" s="3149" t="e">
        <f t="shared" ref="CX114" si="738">-HLOOKUP(VALUE(RIGHT(CX4,4)),$H$254:$M$262,9,FALSE)*3*AVERAGE(CW107:CX107)</f>
        <v>#N/A</v>
      </c>
      <c r="CY114" s="3149" t="e">
        <f t="shared" ref="CY114" si="739">-HLOOKUP(VALUE(RIGHT(CY4,4)),$H$254:$M$262,9,FALSE)*3*AVERAGE(CX107:CY107)</f>
        <v>#N/A</v>
      </c>
      <c r="CZ114" s="3149" t="e">
        <f t="shared" ref="CZ114" si="740">-HLOOKUP(VALUE(RIGHT(CZ4,4)),$H$254:$M$262,9,FALSE)*3*AVERAGE(CY107:CZ107)</f>
        <v>#N/A</v>
      </c>
    </row>
    <row r="115" spans="1:104" s="3150" customFormat="1" outlineLevel="1">
      <c r="A115" s="3151" t="s">
        <v>195</v>
      </c>
      <c r="B115" s="3137">
        <f t="shared" ref="B115:B120" si="741">H115/$H$102</f>
        <v>-8.6309648652544785E-2</v>
      </c>
      <c r="C115" s="3123"/>
      <c r="D115" s="3138">
        <f t="shared" ref="D115:D122" si="742">H115/$H$102</f>
        <v>-8.6309648652544785E-2</v>
      </c>
      <c r="E115" s="3139">
        <f t="shared" si="720"/>
        <v>-373.35952963108372</v>
      </c>
      <c r="F115" s="3139">
        <f t="shared" si="721"/>
        <v>-925.95542539188693</v>
      </c>
      <c r="G115" s="3139">
        <f t="shared" si="722"/>
        <v>-1836.2391560372687</v>
      </c>
      <c r="H115" s="3140">
        <f>SUM(AJ115:AM115)</f>
        <v>-2430.2537473954885</v>
      </c>
      <c r="I115" s="3140">
        <f>SUM(AK115:AN115)</f>
        <v>-2272.2227248875347</v>
      </c>
      <c r="J115" s="3140">
        <f>SUM(AO115:AR115)</f>
        <v>-2044.0381480130782</v>
      </c>
      <c r="K115" s="3141">
        <f>SUM(AS115:AV115)</f>
        <v>-2132.1517119723876</v>
      </c>
      <c r="L115" s="3142">
        <f>SUMIF($AG$1:BH$1,L$5,$AG115:BH115)</f>
        <v>-2550.8147750886365</v>
      </c>
      <c r="M115" s="3142">
        <f>SUMIF($AG$1:BI$1,M$5,$AG115:BI115)</f>
        <v>-3183.2949573759724</v>
      </c>
      <c r="N115" s="3142">
        <f>SUMIF($AG$1:CJ$1,N$5,$AG115:CJ115)</f>
        <v>-3804.9687071586441</v>
      </c>
      <c r="O115" s="3142">
        <f>SUMIF($AG$1:CK$1,O$5,$AG115:CK115)</f>
        <v>-4744.2267510670699</v>
      </c>
      <c r="P115" s="3142">
        <f>SUMIF($AG$1:CL$1,P$5,$AG115:CL115)</f>
        <v>-5618.9035913618009</v>
      </c>
      <c r="Q115" s="3142">
        <f>SUMIF($AG$1:CM$1,Q$5,$AG115:CM115)</f>
        <v>-6351.7285071191181</v>
      </c>
      <c r="R115" s="3143">
        <f t="shared" ca="1" si="723"/>
        <v>-5.1898110368709317E-2</v>
      </c>
      <c r="S115" s="3143">
        <f t="shared" ca="1" si="723"/>
        <v>-6.2088671263088292E-2</v>
      </c>
      <c r="T115" s="3142">
        <v>112</v>
      </c>
      <c r="U115" s="3144">
        <f t="shared" ref="U115:U118" si="743">I115-J115</f>
        <v>-228.18457687445652</v>
      </c>
      <c r="V115" s="3128"/>
      <c r="W115" s="3128"/>
      <c r="X115" s="3128"/>
      <c r="Y115" s="3128"/>
      <c r="Z115" s="3128"/>
      <c r="AA115" s="3128"/>
      <c r="AB115" s="3128"/>
      <c r="AC115" s="3128"/>
      <c r="AD115" s="3128"/>
      <c r="AE115" s="3128"/>
      <c r="AF115" s="3128"/>
      <c r="AG115" s="3142">
        <f t="shared" ref="AG115:AQ115" si="744">$H$260*AVERAGE(AF107:AG107)*3*HLOOKUP(VALUE(RIGHT(AG4,4)),$H$254:$M$261,5,FALSE)</f>
        <v>-577.84838739805173</v>
      </c>
      <c r="AH115" s="3142">
        <f t="shared" si="744"/>
        <v>-605.86226504299452</v>
      </c>
      <c r="AI115" s="3142">
        <f t="shared" si="744"/>
        <v>-633.54461750870735</v>
      </c>
      <c r="AJ115" s="3142">
        <f t="shared" si="744"/>
        <v>-669.68086204478743</v>
      </c>
      <c r="AK115" s="3142">
        <f t="shared" si="744"/>
        <v>-628.606834106885</v>
      </c>
      <c r="AL115" s="3142">
        <f t="shared" si="744"/>
        <v>-596.48067230726326</v>
      </c>
      <c r="AM115" s="3142">
        <f t="shared" si="744"/>
        <v>-535.48537893655282</v>
      </c>
      <c r="AN115" s="3142">
        <f t="shared" si="744"/>
        <v>-511.6498395368335</v>
      </c>
      <c r="AO115" s="3145">
        <f t="shared" si="744"/>
        <v>-514.07484658880492</v>
      </c>
      <c r="AP115" s="3146">
        <f t="shared" si="744"/>
        <v>-510.78524605798651</v>
      </c>
      <c r="AQ115" s="3146">
        <f t="shared" si="744"/>
        <v>-510.18713687056504</v>
      </c>
      <c r="AR115" s="3146">
        <f t="shared" ref="AR115:AV115" si="745">$H$260*AVERAGE(AQ107:AR107)*3*HLOOKUP(VALUE(RIGHT(AR4,4)),$H$254:$M$261,5,FALSE)</f>
        <v>-508.99091849572187</v>
      </c>
      <c r="AS115" s="3145">
        <f>L$260*AVERAGE(AR107:AS107)*3*HLOOKUP(VALUE(RIGHT(AS4,4)),$H$254:$M$261,5,FALSE)</f>
        <v>-501.07207132263028</v>
      </c>
      <c r="AT115" s="3146">
        <f>$H$260*AVERAGE(AS107:AT107)*3*HLOOKUP(VALUE(RIGHT(AT4,4)),$H$254:$M$261,5,FALSE)</f>
        <v>-536.89704838054513</v>
      </c>
      <c r="AU115" s="3146">
        <f t="shared" si="745"/>
        <v>-541.63855896382915</v>
      </c>
      <c r="AV115" s="3146">
        <f t="shared" si="745"/>
        <v>-552.54403330538287</v>
      </c>
      <c r="AW115" s="3147">
        <f>10*AVERAGE(AV107:AW107)*3*HLOOKUP(VALUE(RIGHT(AW4,4)),$H$254:$M$261,5,FALSE)</f>
        <v>-662.06603900379389</v>
      </c>
      <c r="AX115" s="3147">
        <f>9*AVERAGE(AW107:AX107)*3*HLOOKUP(VALUE(RIGHT(AX4,4)),$H$254:$M$261,5,FALSE)</f>
        <v>-661.25864139525277</v>
      </c>
      <c r="AY115" s="3147">
        <f>7*AVERAGE(AX107:AY107)*3*HLOOKUP(VALUE(RIGHT(AY4,4)),$H$254:$M$261,5,FALSE)</f>
        <v>-549.69735444116702</v>
      </c>
      <c r="AZ115" s="3147">
        <f>8*AVERAGE(AY107:AZ107)*3*HLOOKUP(VALUE(RIGHT(AZ4,4)),$H$254:$M$261,5,FALSE)</f>
        <v>-677.79274024842277</v>
      </c>
      <c r="BA115" s="3147">
        <f>8*AVERAGE(AZ107:BA107)*3*HLOOKUP(VALUE(RIGHT(BA4,4)),$H$254:$M$261,5,FALSE)</f>
        <v>-761.32960725248154</v>
      </c>
      <c r="BB115" s="3147">
        <f>8*AVERAGE(BA107:BB107)*3*HLOOKUP(VALUE(RIGHT(BB4,4)),$H$254:$M$261,5,FALSE)</f>
        <v>-826.41287534967319</v>
      </c>
      <c r="BC115" s="3147">
        <f>7*AVERAGE(BB107:BC107)*3*HLOOKUP(VALUE(RIGHT(BC4,4)),$H$254:$M$261,5,FALSE)</f>
        <v>-774.99709355289178</v>
      </c>
      <c r="BD115" s="3147">
        <f>7*AVERAGE(BC107:BD107)*3*HLOOKUP(VALUE(RIGHT(BD4,4)),$H$254:$M$261,5,FALSE)</f>
        <v>-820.55538122092594</v>
      </c>
      <c r="BE115" s="3147">
        <f>7*AVERAGE(BD107:BE107)*3*HLOOKUP(VALUE(RIGHT(BE4,4)),$H$254:$O$261,5,FALSE)</f>
        <v>-890.79360572512678</v>
      </c>
      <c r="BF115" s="3147">
        <f>7*AVERAGE(BE107:BF107)*3*HLOOKUP(VALUE(RIGHT(BF4,4)),$H$254:$O$261,5,FALSE)</f>
        <v>-921.42522664192586</v>
      </c>
      <c r="BG115" s="3147">
        <f>7*AVERAGE(BF107:BG107)*3*HLOOKUP(VALUE(RIGHT(BG4,4)),$H$254:$O$261,5,FALSE)</f>
        <v>-965.09157986374578</v>
      </c>
      <c r="BH115" s="3147">
        <f>7*AVERAGE(BG107:BH107)*3*HLOOKUP(VALUE(RIGHT(BH4,4)),$H$254:$O$261,5,FALSE)</f>
        <v>-1027.6582949278461</v>
      </c>
      <c r="BI115" s="3147">
        <f>7*AVERAGE(BH107:BI107)*3*HLOOKUP(VALUE(RIGHT(BI4,4)),$H$254:$Q$261,5,FALSE)</f>
        <v>-1116.2410321995374</v>
      </c>
      <c r="BJ115" s="3147">
        <f>7*AVERAGE(BI107:BJ107)*3*HLOOKUP(VALUE(RIGHT(BJ4,4)),$H$254:$O$261,5,FALSE)</f>
        <v>-1160.7611603873363</v>
      </c>
      <c r="BK115" s="3147">
        <f>7*AVERAGE(BJ107:BK107)*3*HLOOKUP(VALUE(RIGHT(BK4,4)),$H$254:$O$261,5,FALSE)</f>
        <v>-1209.328572955844</v>
      </c>
      <c r="BL115" s="3147">
        <f>7*AVERAGE(BK107:BL107)*3*HLOOKUP(VALUE(RIGHT(BL4,4)),$H$254:$O$261,5,FALSE)</f>
        <v>-1257.8959855243518</v>
      </c>
      <c r="BM115" s="3147">
        <f t="shared" ref="BM115:CC115" si="746">7*AVERAGE(BL107:BM107)*3*HLOOKUP(VALUE(RIGHT(BM4,4)),$H$254:$S$261,5,FALSE)</f>
        <v>-1344.5098949137143</v>
      </c>
      <c r="BN115" s="3147">
        <f t="shared" si="746"/>
        <v>-1382.9085054756908</v>
      </c>
      <c r="BO115" s="3147">
        <f t="shared" si="746"/>
        <v>-1424.7978988160287</v>
      </c>
      <c r="BP115" s="3147">
        <f t="shared" si="746"/>
        <v>-1466.6872921563668</v>
      </c>
      <c r="BQ115" s="3147">
        <f t="shared" si="746"/>
        <v>-1550.5379889622768</v>
      </c>
      <c r="BR115" s="3147">
        <f t="shared" si="746"/>
        <v>-1574.3835261212641</v>
      </c>
      <c r="BS115" s="3147">
        <f t="shared" si="746"/>
        <v>-1600.3968393856139</v>
      </c>
      <c r="BT115" s="3147">
        <f t="shared" si="746"/>
        <v>-1626.4101526499639</v>
      </c>
      <c r="BU115" s="3147" t="e">
        <f t="shared" si="746"/>
        <v>#N/A</v>
      </c>
      <c r="BV115" s="3147" t="e">
        <f t="shared" si="746"/>
        <v>#N/A</v>
      </c>
      <c r="BW115" s="3147" t="e">
        <f t="shared" si="746"/>
        <v>#N/A</v>
      </c>
      <c r="BX115" s="3147" t="e">
        <f t="shared" si="746"/>
        <v>#N/A</v>
      </c>
      <c r="BY115" s="3147" t="e">
        <f t="shared" si="746"/>
        <v>#N/A</v>
      </c>
      <c r="BZ115" s="3147" t="e">
        <f t="shared" si="746"/>
        <v>#N/A</v>
      </c>
      <c r="CA115" s="3147" t="e">
        <f t="shared" si="746"/>
        <v>#N/A</v>
      </c>
      <c r="CB115" s="3147" t="e">
        <f t="shared" si="746"/>
        <v>#N/A</v>
      </c>
      <c r="CC115" s="3147" t="e">
        <f t="shared" si="746"/>
        <v>#DIV/0!</v>
      </c>
      <c r="CD115" s="3147" t="e">
        <f t="shared" ref="CD115:CV115" si="747">7*AVERAGE(CC107:CD107)*3*HLOOKUP(VALUE(RIGHT(CD4,4)),$H$254:$S$261,5,FALSE)</f>
        <v>#DIV/0!</v>
      </c>
      <c r="CE115" s="3147" t="e">
        <f t="shared" si="747"/>
        <v>#DIV/0!</v>
      </c>
      <c r="CF115" s="3147" t="e">
        <f t="shared" si="747"/>
        <v>#DIV/0!</v>
      </c>
      <c r="CG115" s="3147" t="e">
        <f t="shared" si="747"/>
        <v>#DIV/0!</v>
      </c>
      <c r="CH115" s="3147" t="e">
        <f t="shared" si="747"/>
        <v>#DIV/0!</v>
      </c>
      <c r="CI115" s="3147" t="e">
        <f t="shared" si="747"/>
        <v>#DIV/0!</v>
      </c>
      <c r="CJ115" s="3147" t="e">
        <f t="shared" si="747"/>
        <v>#DIV/0!</v>
      </c>
      <c r="CK115" s="3147" t="e">
        <f t="shared" si="747"/>
        <v>#DIV/0!</v>
      </c>
      <c r="CL115" s="3147" t="e">
        <f t="shared" si="747"/>
        <v>#DIV/0!</v>
      </c>
      <c r="CM115" s="3147" t="e">
        <f t="shared" si="747"/>
        <v>#DIV/0!</v>
      </c>
      <c r="CN115" s="3147" t="e">
        <f t="shared" si="747"/>
        <v>#DIV/0!</v>
      </c>
      <c r="CO115" s="3147" t="e">
        <f t="shared" si="747"/>
        <v>#DIV/0!</v>
      </c>
      <c r="CP115" s="3147" t="e">
        <f t="shared" si="747"/>
        <v>#DIV/0!</v>
      </c>
      <c r="CQ115" s="3147" t="e">
        <f t="shared" si="747"/>
        <v>#DIV/0!</v>
      </c>
      <c r="CR115" s="3147" t="e">
        <f t="shared" si="747"/>
        <v>#DIV/0!</v>
      </c>
      <c r="CS115" s="3147" t="e">
        <f t="shared" si="747"/>
        <v>#DIV/0!</v>
      </c>
      <c r="CT115" s="3147" t="e">
        <f t="shared" si="747"/>
        <v>#DIV/0!</v>
      </c>
      <c r="CU115" s="3147" t="e">
        <f t="shared" si="747"/>
        <v>#DIV/0!</v>
      </c>
      <c r="CV115" s="3147" t="e">
        <f t="shared" si="747"/>
        <v>#DIV/0!</v>
      </c>
      <c r="CW115" s="3147" t="e">
        <f t="shared" ref="CW115" si="748">7*AVERAGE(CV107:CW107)*3*HLOOKUP(VALUE(RIGHT(CW4,4)),$H$254:$M$261,5,FALSE)</f>
        <v>#DIV/0!</v>
      </c>
      <c r="CX115" s="3147" t="e">
        <f t="shared" ref="CX115" si="749">7*AVERAGE(CW107:CX107)*3*HLOOKUP(VALUE(RIGHT(CX4,4)),$H$254:$M$261,5,FALSE)</f>
        <v>#DIV/0!</v>
      </c>
      <c r="CY115" s="3147" t="e">
        <f t="shared" ref="CY115" si="750">7*AVERAGE(CX107:CY107)*3*HLOOKUP(VALUE(RIGHT(CY4,4)),$H$254:$M$261,5,FALSE)</f>
        <v>#DIV/0!</v>
      </c>
      <c r="CZ115" s="3147" t="e">
        <f t="shared" ref="CZ115" si="751">7*AVERAGE(CY107:CZ107)*3*HLOOKUP(VALUE(RIGHT(CZ4,4)),$H$254:$M$261,5,FALSE)</f>
        <v>#DIV/0!</v>
      </c>
    </row>
    <row r="116" spans="1:104" s="3150" customFormat="1" outlineLevel="1">
      <c r="A116" s="3151" t="s">
        <v>196</v>
      </c>
      <c r="B116" s="3137">
        <f t="shared" si="741"/>
        <v>-2.6925798712394498E-2</v>
      </c>
      <c r="C116" s="3123" t="s">
        <v>197</v>
      </c>
      <c r="D116" s="3138">
        <f t="shared" si="742"/>
        <v>-2.6925798712394498E-2</v>
      </c>
      <c r="E116" s="3139">
        <f t="shared" si="720"/>
        <v>-116.47601049415746</v>
      </c>
      <c r="F116" s="3139">
        <f t="shared" si="721"/>
        <v>-288.86792832537458</v>
      </c>
      <c r="G116" s="3139">
        <f t="shared" si="722"/>
        <v>-572.8467984189723</v>
      </c>
      <c r="H116" s="3140">
        <f>-0.03*$H$107*12</f>
        <v>-758.16</v>
      </c>
      <c r="I116" s="3140">
        <f>SUM(AK116:AN116)</f>
        <v>-920.88</v>
      </c>
      <c r="J116" s="3140">
        <f>SUM(AO116:AR116)</f>
        <v>-943.23</v>
      </c>
      <c r="K116" s="3141">
        <f ca="1">SUM(AS116:AV116)</f>
        <v>-1293.3295525849035</v>
      </c>
      <c r="L116" s="3142">
        <f ca="1">SUMIF($AG$1:BH$1,L$5,$AG116:BH116)</f>
        <v>-1416.2329630850422</v>
      </c>
      <c r="M116" s="3142">
        <f ca="1">SUMIF($AG$1:BI$1,M$5,$AG116:BI116)</f>
        <v>-1980.7257409689478</v>
      </c>
      <c r="N116" s="3142">
        <f ca="1">SUMIF($AG$1:CJ$1,N$5,$AG116:CJ116)</f>
        <v>-2517.4209692472564</v>
      </c>
      <c r="O116" s="3142">
        <f ca="1">SUMIF($AG$1:CK$1,O$5,$AG116:CK116)</f>
        <v>-3064.9348347786031</v>
      </c>
      <c r="P116" s="3142">
        <f ca="1">SUMIF($AG$1:CL$1,P$5,$AG116:CL116)</f>
        <v>-3565.5750193498106</v>
      </c>
      <c r="Q116" s="3142">
        <f ca="1">SUMIF($AG$1:CM$1,Q$5,$AG116:CM116)</f>
        <v>-3977.0310093475564</v>
      </c>
      <c r="R116" s="3143">
        <f t="shared" ca="1" si="723"/>
        <v>-3.1480574054025857E-2</v>
      </c>
      <c r="S116" s="3143">
        <f t="shared" ca="1" si="723"/>
        <v>-3.4472131703048157E-2</v>
      </c>
      <c r="T116" s="3128">
        <v>113</v>
      </c>
      <c r="U116" s="3144">
        <f t="shared" si="743"/>
        <v>22.350000000000023</v>
      </c>
      <c r="V116" s="3128"/>
      <c r="W116" s="3128"/>
      <c r="X116" s="3128"/>
      <c r="Y116" s="3128"/>
      <c r="Z116" s="3128"/>
      <c r="AA116" s="3128"/>
      <c r="AB116" s="3128"/>
      <c r="AC116" s="3128"/>
      <c r="AD116" s="3128"/>
      <c r="AE116" s="3128"/>
      <c r="AF116" s="3128"/>
      <c r="AG116" s="3142">
        <f>-0.03*3*AVERAGE(AE107:AG107)</f>
        <v>-153.26999999999998</v>
      </c>
      <c r="AH116" s="3142">
        <f>-0.03*3*AVERAGE(AF107:AH107)</f>
        <v>-161.22</v>
      </c>
      <c r="AI116" s="3142">
        <f>-0.03*3*AVERAGE(AG107:AI107)</f>
        <v>-167.67</v>
      </c>
      <c r="AJ116" s="3142">
        <f>-0.03*3*AVERAGE(AH107:AJ107)</f>
        <v>-177.84</v>
      </c>
      <c r="AK116" s="3142">
        <f t="shared" ref="AK116:AR116" si="752">-HLOOKUP(VALUE(RIGHT(AK4,4)),$H$254:$M$264,11,FALSE)*3*AVERAGE(AJ107:AK107)</f>
        <v>-254.76</v>
      </c>
      <c r="AL116" s="3142">
        <f t="shared" si="752"/>
        <v>-241.73999999999998</v>
      </c>
      <c r="AM116" s="3142">
        <f t="shared" si="752"/>
        <v>-217.01999999999998</v>
      </c>
      <c r="AN116" s="3142">
        <f t="shared" si="752"/>
        <v>-207.35999999999999</v>
      </c>
      <c r="AO116" s="3145">
        <f t="shared" si="752"/>
        <v>-237.22200000000001</v>
      </c>
      <c r="AP116" s="3145">
        <f t="shared" si="752"/>
        <v>-235.70400000000001</v>
      </c>
      <c r="AQ116" s="3145">
        <f t="shared" si="752"/>
        <v>-235.42800000000003</v>
      </c>
      <c r="AR116" s="3145">
        <f t="shared" si="752"/>
        <v>-234.87600000000003</v>
      </c>
      <c r="AS116" s="3145">
        <f ca="1">$AP$140*AS102*0.9</f>
        <v>-265.52035575640679</v>
      </c>
      <c r="AT116" s="3146">
        <f ca="1">$AP$140*AT102</f>
        <v>-332.51153528006228</v>
      </c>
      <c r="AU116" s="3146">
        <f ca="1">$AP$140*AU102</f>
        <v>-349.02503389533223</v>
      </c>
      <c r="AV116" s="3146">
        <f ca="1">$AP$140*AV102</f>
        <v>-346.27262765310229</v>
      </c>
      <c r="AW116" s="3147">
        <f ca="1">$AP$140*AW102</f>
        <v>-354.8668829005216</v>
      </c>
      <c r="AX116" s="3152">
        <f t="shared" ref="AX116:CC116" ca="1" si="753">$AP$140*AX102*0.9</f>
        <v>-335.23250142731274</v>
      </c>
      <c r="AY116" s="3152">
        <f t="shared" ca="1" si="753"/>
        <v>-341.42119274120256</v>
      </c>
      <c r="AZ116" s="3152">
        <f t="shared" ca="1" si="753"/>
        <v>-384.71238601600544</v>
      </c>
      <c r="BA116" s="3153">
        <f t="shared" ca="1" si="753"/>
        <v>-456.85094879708828</v>
      </c>
      <c r="BB116" s="3153">
        <f t="shared" ca="1" si="753"/>
        <v>-469.41785494884613</v>
      </c>
      <c r="BC116" s="3153">
        <f t="shared" ca="1" si="753"/>
        <v>-501.68477122621005</v>
      </c>
      <c r="BD116" s="3153">
        <f t="shared" ca="1" si="753"/>
        <v>-552.77216599680321</v>
      </c>
      <c r="BE116" s="3153">
        <f t="shared" ca="1" si="753"/>
        <v>-604.12676249960305</v>
      </c>
      <c r="BF116" s="3153">
        <f t="shared" ca="1" si="753"/>
        <v>-593.35761194186</v>
      </c>
      <c r="BG116" s="3153">
        <f t="shared" ca="1" si="753"/>
        <v>-626.89382110132294</v>
      </c>
      <c r="BH116" s="3153">
        <f t="shared" ca="1" si="753"/>
        <v>-693.04277370447051</v>
      </c>
      <c r="BI116" s="3153">
        <f t="shared" ca="1" si="753"/>
        <v>-731.29617063829062</v>
      </c>
      <c r="BJ116" s="3153">
        <f t="shared" ca="1" si="753"/>
        <v>-734.00585765688606</v>
      </c>
      <c r="BK116" s="3153">
        <f t="shared" ca="1" si="753"/>
        <v>-769.33518252336137</v>
      </c>
      <c r="BL116" s="3153">
        <f t="shared" ca="1" si="753"/>
        <v>-830.29762396006538</v>
      </c>
      <c r="BM116" s="3153">
        <f t="shared" ca="1" si="753"/>
        <v>-863.15976585443502</v>
      </c>
      <c r="BN116" s="3153">
        <f t="shared" ca="1" si="753"/>
        <v>-858.89099548692684</v>
      </c>
      <c r="BO116" s="3153">
        <f t="shared" ca="1" si="753"/>
        <v>-891.72514598050805</v>
      </c>
      <c r="BP116" s="3153">
        <f t="shared" ca="1" si="753"/>
        <v>-951.79911202794074</v>
      </c>
      <c r="BQ116" s="3153">
        <f t="shared" ca="1" si="753"/>
        <v>-979.36016968834076</v>
      </c>
      <c r="BR116" s="3153">
        <f t="shared" ca="1" si="753"/>
        <v>-964.4833733865463</v>
      </c>
      <c r="BS116" s="3153">
        <f t="shared" ca="1" si="753"/>
        <v>-990.07958927682171</v>
      </c>
      <c r="BT116" s="3153">
        <f t="shared" ca="1" si="753"/>
        <v>-1043.1078769958474</v>
      </c>
      <c r="BU116" s="3153">
        <f t="shared" ca="1" si="753"/>
        <v>-1067.960477564392</v>
      </c>
      <c r="BV116" s="3153">
        <f t="shared" ca="1" si="753"/>
        <v>-1052.2466281492664</v>
      </c>
      <c r="BW116" s="3153">
        <f t="shared" ca="1" si="753"/>
        <v>-1079.1797500511816</v>
      </c>
      <c r="BX116" s="3153">
        <f t="shared" ca="1" si="753"/>
        <v>-1135.9597241940589</v>
      </c>
      <c r="BY116" s="3153">
        <f t="shared" ca="1" si="753"/>
        <v>-1162.0546965473388</v>
      </c>
      <c r="BZ116" s="3153">
        <f t="shared" ca="1" si="753"/>
        <v>-1144.016267291672</v>
      </c>
      <c r="CA116" s="3153">
        <f t="shared" ca="1" si="753"/>
        <v>-1172.345783859633</v>
      </c>
      <c r="CB116" s="3153">
        <f t="shared" ca="1" si="753"/>
        <v>-1233.0468463978877</v>
      </c>
      <c r="CC116" s="3153">
        <f t="shared" ca="1" si="753"/>
        <v>0</v>
      </c>
      <c r="CD116" s="3153">
        <f t="shared" ref="CD116:CZ116" ca="1" si="754">$AP$140*CD102*0.9</f>
        <v>0</v>
      </c>
      <c r="CE116" s="3153">
        <f t="shared" ca="1" si="754"/>
        <v>0</v>
      </c>
      <c r="CF116" s="3153">
        <f t="shared" ca="1" si="754"/>
        <v>0</v>
      </c>
      <c r="CG116" s="3153">
        <f t="shared" ca="1" si="754"/>
        <v>0</v>
      </c>
      <c r="CH116" s="3153">
        <f t="shared" ca="1" si="754"/>
        <v>0</v>
      </c>
      <c r="CI116" s="3153">
        <f t="shared" ca="1" si="754"/>
        <v>0</v>
      </c>
      <c r="CJ116" s="3153">
        <f t="shared" ca="1" si="754"/>
        <v>0</v>
      </c>
      <c r="CK116" s="3153">
        <f t="shared" ca="1" si="754"/>
        <v>0</v>
      </c>
      <c r="CL116" s="3153">
        <f t="shared" ca="1" si="754"/>
        <v>0</v>
      </c>
      <c r="CM116" s="3153">
        <f t="shared" ca="1" si="754"/>
        <v>0</v>
      </c>
      <c r="CN116" s="3153">
        <f t="shared" ca="1" si="754"/>
        <v>0</v>
      </c>
      <c r="CO116" s="3153">
        <f t="shared" ca="1" si="754"/>
        <v>0</v>
      </c>
      <c r="CP116" s="3153">
        <f t="shared" ca="1" si="754"/>
        <v>0</v>
      </c>
      <c r="CQ116" s="3153">
        <f t="shared" ca="1" si="754"/>
        <v>0</v>
      </c>
      <c r="CR116" s="3153">
        <f t="shared" ca="1" si="754"/>
        <v>0</v>
      </c>
      <c r="CS116" s="3153">
        <f t="shared" ca="1" si="754"/>
        <v>0</v>
      </c>
      <c r="CT116" s="3153">
        <f t="shared" ca="1" si="754"/>
        <v>0</v>
      </c>
      <c r="CU116" s="3153">
        <f t="shared" ca="1" si="754"/>
        <v>0</v>
      </c>
      <c r="CV116" s="3153">
        <f t="shared" ca="1" si="754"/>
        <v>0</v>
      </c>
      <c r="CW116" s="3153">
        <f t="shared" ca="1" si="754"/>
        <v>0</v>
      </c>
      <c r="CX116" s="3153">
        <f t="shared" ca="1" si="754"/>
        <v>0</v>
      </c>
      <c r="CY116" s="3153">
        <f t="shared" ca="1" si="754"/>
        <v>0</v>
      </c>
      <c r="CZ116" s="3153">
        <f t="shared" ca="1" si="754"/>
        <v>0</v>
      </c>
    </row>
    <row r="117" spans="1:104" s="3150" customFormat="1" outlineLevel="1">
      <c r="A117" s="3154" t="s">
        <v>198</v>
      </c>
      <c r="B117" s="3137">
        <f t="shared" si="741"/>
        <v>-4.1076398237007865E-2</v>
      </c>
      <c r="C117" s="3155">
        <f>994.9*10^9/4059</f>
        <v>245109632.91451097</v>
      </c>
      <c r="D117" s="3138">
        <f t="shared" si="742"/>
        <v>-4.1076398237007865E-2</v>
      </c>
      <c r="E117" s="3139">
        <f>D117*E$102</f>
        <v>-177.68887910142308</v>
      </c>
      <c r="F117" s="3139">
        <f>D117*F$102</f>
        <v>-440.67974319107293</v>
      </c>
      <c r="G117" s="3139">
        <f>D117*G$102</f>
        <v>-873.90102971471413</v>
      </c>
      <c r="H117" s="3140">
        <f>-H243</f>
        <v>-1156.6038363435568</v>
      </c>
      <c r="I117" s="3156">
        <f>'Fixed Asset &amp; Interest'!E69</f>
        <v>-1262.6620425931428</v>
      </c>
      <c r="J117" s="3156">
        <f>'Fixed Asset &amp; Interest'!F69</f>
        <v>-1455.2456007131429</v>
      </c>
      <c r="K117" s="3157">
        <f>'Fixed Asset &amp; Interest'!G69</f>
        <v>-1106.9484101770163</v>
      </c>
      <c r="L117" s="3158">
        <f>'Fixed Asset &amp; Interest'!H69</f>
        <v>-924.90136330497512</v>
      </c>
      <c r="M117" s="3158">
        <f>'Fixed Asset &amp; Interest'!I69</f>
        <v>-873.39448332581162</v>
      </c>
      <c r="N117" s="3158">
        <f>'Fixed Asset &amp; Interest'!J69</f>
        <v>-1058.9622641509436</v>
      </c>
      <c r="O117" s="3158">
        <f>'Fixed Asset &amp; Interest'!K69</f>
        <v>-1692.3825959701012</v>
      </c>
      <c r="P117" s="3158">
        <f>'Fixed Asset &amp; Interest'!L69</f>
        <v>-1821.6629960982582</v>
      </c>
      <c r="Q117" s="3158">
        <f>'Fixed Asset &amp; Interest'!M69</f>
        <v>-1853.3018867924529</v>
      </c>
      <c r="R117" s="3143">
        <f t="shared" ca="1" si="723"/>
        <v>-2.6943922630482165E-2</v>
      </c>
      <c r="S117" s="3143">
        <f t="shared" ca="1" si="723"/>
        <v>-2.2512766218013357E-2</v>
      </c>
      <c r="T117" s="3128">
        <v>114</v>
      </c>
      <c r="U117" s="3144">
        <f t="shared" si="743"/>
        <v>192.58355812000013</v>
      </c>
      <c r="V117" s="3128"/>
      <c r="W117" s="3128"/>
      <c r="X117" s="3128"/>
      <c r="Y117" s="3128"/>
      <c r="Z117" s="3128"/>
      <c r="AA117" s="3128"/>
      <c r="AB117" s="3128"/>
      <c r="AC117" s="3128"/>
      <c r="AD117" s="3128"/>
      <c r="AE117" s="3128"/>
      <c r="AF117" s="3128"/>
      <c r="AG117" s="3142">
        <f t="shared" ref="AG117:AV117" si="755">HLOOKUP(VALUE(RIGHT(AG4,4)),$H$101:$M$120,17,FALSE)*0.25</f>
        <v>-289.15095908588921</v>
      </c>
      <c r="AH117" s="3142">
        <f t="shared" si="755"/>
        <v>-289.15095908588921</v>
      </c>
      <c r="AI117" s="3142">
        <f t="shared" si="755"/>
        <v>-289.15095908588921</v>
      </c>
      <c r="AJ117" s="3142">
        <f t="shared" si="755"/>
        <v>-289.15095908588921</v>
      </c>
      <c r="AK117" s="3142">
        <f t="shared" si="755"/>
        <v>-315.6655106482857</v>
      </c>
      <c r="AL117" s="3142">
        <f t="shared" si="755"/>
        <v>-315.6655106482857</v>
      </c>
      <c r="AM117" s="3142">
        <f t="shared" si="755"/>
        <v>-315.6655106482857</v>
      </c>
      <c r="AN117" s="3142">
        <f t="shared" si="755"/>
        <v>-315.6655106482857</v>
      </c>
      <c r="AO117" s="3145">
        <f t="shared" si="755"/>
        <v>-363.81140017828574</v>
      </c>
      <c r="AP117" s="3146">
        <f>HLOOKUP(VALUE(RIGHT(AP4,4)),$H$101:$M$120,17,FALSE)*0.25</f>
        <v>-363.81140017828574</v>
      </c>
      <c r="AQ117" s="3146">
        <f t="shared" si="755"/>
        <v>-363.81140017828574</v>
      </c>
      <c r="AR117" s="3146">
        <f t="shared" si="755"/>
        <v>-363.81140017828574</v>
      </c>
      <c r="AS117" s="3145">
        <f>HLOOKUP(VALUE(RIGHT(AS4,4)),$H$101:$M$120,17,FALSE)*0.25</f>
        <v>-276.73710254425407</v>
      </c>
      <c r="AT117" s="3142">
        <f t="shared" si="755"/>
        <v>-276.73710254425407</v>
      </c>
      <c r="AU117" s="3142">
        <f t="shared" si="755"/>
        <v>-276.73710254425407</v>
      </c>
      <c r="AV117" s="3142">
        <f t="shared" si="755"/>
        <v>-276.73710254425407</v>
      </c>
      <c r="AW117" s="3147">
        <f t="shared" ref="AW117:BC117" si="756">HLOOKUP(VALUE(RIGHT(AW4,4)),$H$101:$M$120,17,FALSE)*0.25</f>
        <v>-231.22534082624378</v>
      </c>
      <c r="AX117" s="3148">
        <f t="shared" si="756"/>
        <v>-231.22534082624378</v>
      </c>
      <c r="AY117" s="3148">
        <f t="shared" si="756"/>
        <v>-231.22534082624378</v>
      </c>
      <c r="AZ117" s="3148">
        <f t="shared" si="756"/>
        <v>-231.22534082624378</v>
      </c>
      <c r="BA117" s="3149">
        <f t="shared" si="756"/>
        <v>-218.34862083145291</v>
      </c>
      <c r="BB117" s="3149">
        <f t="shared" si="756"/>
        <v>-218.34862083145291</v>
      </c>
      <c r="BC117" s="3149">
        <f t="shared" si="756"/>
        <v>-218.34862083145291</v>
      </c>
      <c r="BD117" s="3149">
        <f>HLOOKUP(VALUE(RIGHT(BD4,4)),$H$101:$S$120,17,FALSE)*0.25</f>
        <v>-218.34862083145291</v>
      </c>
      <c r="BE117" s="1107">
        <f t="shared" ref="BE117:CN117" si="757">BD117</f>
        <v>-218.34862083145291</v>
      </c>
      <c r="BF117" s="1107">
        <f t="shared" si="757"/>
        <v>-218.34862083145291</v>
      </c>
      <c r="BG117" s="1107">
        <f t="shared" si="757"/>
        <v>-218.34862083145291</v>
      </c>
      <c r="BH117" s="1107">
        <f t="shared" si="757"/>
        <v>-218.34862083145291</v>
      </c>
      <c r="BI117" s="1107">
        <f t="shared" si="757"/>
        <v>-218.34862083145291</v>
      </c>
      <c r="BJ117" s="1107">
        <f t="shared" si="757"/>
        <v>-218.34862083145291</v>
      </c>
      <c r="BK117" s="1107">
        <f t="shared" si="757"/>
        <v>-218.34862083145291</v>
      </c>
      <c r="BL117" s="1107">
        <f t="shared" si="757"/>
        <v>-218.34862083145291</v>
      </c>
      <c r="BM117" s="1107">
        <f t="shared" si="757"/>
        <v>-218.34862083145291</v>
      </c>
      <c r="BN117" s="1107">
        <f t="shared" si="757"/>
        <v>-218.34862083145291</v>
      </c>
      <c r="BO117" s="1107">
        <f t="shared" si="757"/>
        <v>-218.34862083145291</v>
      </c>
      <c r="BP117" s="1107">
        <f t="shared" si="757"/>
        <v>-218.34862083145291</v>
      </c>
      <c r="BQ117" s="1107">
        <f t="shared" si="757"/>
        <v>-218.34862083145291</v>
      </c>
      <c r="BR117" s="1107">
        <f t="shared" si="757"/>
        <v>-218.34862083145291</v>
      </c>
      <c r="BS117" s="1107">
        <f t="shared" si="757"/>
        <v>-218.34862083145291</v>
      </c>
      <c r="BT117" s="1107">
        <f t="shared" si="757"/>
        <v>-218.34862083145291</v>
      </c>
      <c r="BU117" s="1107">
        <f t="shared" si="757"/>
        <v>-218.34862083145291</v>
      </c>
      <c r="BV117" s="1107">
        <f t="shared" si="757"/>
        <v>-218.34862083145291</v>
      </c>
      <c r="BW117" s="1107">
        <f t="shared" si="757"/>
        <v>-218.34862083145291</v>
      </c>
      <c r="BX117" s="1107">
        <f t="shared" si="757"/>
        <v>-218.34862083145291</v>
      </c>
      <c r="BY117" s="1107">
        <f t="shared" si="757"/>
        <v>-218.34862083145291</v>
      </c>
      <c r="BZ117" s="1107">
        <f t="shared" si="757"/>
        <v>-218.34862083145291</v>
      </c>
      <c r="CA117" s="1107">
        <f t="shared" si="757"/>
        <v>-218.34862083145291</v>
      </c>
      <c r="CB117" s="1107">
        <f t="shared" si="757"/>
        <v>-218.34862083145291</v>
      </c>
      <c r="CC117" s="1107">
        <f t="shared" si="757"/>
        <v>-218.34862083145291</v>
      </c>
      <c r="CD117" s="1107">
        <f t="shared" si="757"/>
        <v>-218.34862083145291</v>
      </c>
      <c r="CE117" s="1107">
        <f t="shared" si="757"/>
        <v>-218.34862083145291</v>
      </c>
      <c r="CF117" s="1107">
        <f t="shared" si="757"/>
        <v>-218.34862083145291</v>
      </c>
      <c r="CG117" s="1107">
        <f t="shared" si="757"/>
        <v>-218.34862083145291</v>
      </c>
      <c r="CH117" s="1107">
        <f t="shared" si="757"/>
        <v>-218.34862083145291</v>
      </c>
      <c r="CI117" s="1107">
        <f t="shared" si="757"/>
        <v>-218.34862083145291</v>
      </c>
      <c r="CJ117" s="1107">
        <f t="shared" si="757"/>
        <v>-218.34862083145291</v>
      </c>
      <c r="CK117" s="1107">
        <f t="shared" si="757"/>
        <v>-218.34862083145291</v>
      </c>
      <c r="CL117" s="1107">
        <f t="shared" si="757"/>
        <v>-218.34862083145291</v>
      </c>
      <c r="CM117" s="1107">
        <f t="shared" si="757"/>
        <v>-218.34862083145291</v>
      </c>
      <c r="CN117" s="1107">
        <f t="shared" si="757"/>
        <v>-218.34862083145291</v>
      </c>
      <c r="CO117" s="3149" t="e">
        <f t="shared" ref="CO117:CZ117" si="758">HLOOKUP(VALUE(RIGHT(CO4,4)),$H$101:$S$120,17,FALSE)*0.25</f>
        <v>#N/A</v>
      </c>
      <c r="CP117" s="3149" t="e">
        <f t="shared" si="758"/>
        <v>#N/A</v>
      </c>
      <c r="CQ117" s="3149" t="e">
        <f t="shared" si="758"/>
        <v>#N/A</v>
      </c>
      <c r="CR117" s="3149" t="e">
        <f t="shared" si="758"/>
        <v>#N/A</v>
      </c>
      <c r="CS117" s="3149" t="e">
        <f t="shared" si="758"/>
        <v>#N/A</v>
      </c>
      <c r="CT117" s="3149" t="e">
        <f t="shared" si="758"/>
        <v>#N/A</v>
      </c>
      <c r="CU117" s="3149" t="e">
        <f t="shared" si="758"/>
        <v>#N/A</v>
      </c>
      <c r="CV117" s="3149" t="e">
        <f t="shared" si="758"/>
        <v>#N/A</v>
      </c>
      <c r="CW117" s="3149" t="e">
        <f t="shared" si="758"/>
        <v>#N/A</v>
      </c>
      <c r="CX117" s="3149" t="e">
        <f t="shared" si="758"/>
        <v>#N/A</v>
      </c>
      <c r="CY117" s="3149" t="e">
        <f t="shared" si="758"/>
        <v>#N/A</v>
      </c>
      <c r="CZ117" s="3149" t="e">
        <f t="shared" si="758"/>
        <v>#N/A</v>
      </c>
    </row>
    <row r="118" spans="1:104" s="3150" customFormat="1" outlineLevel="1">
      <c r="A118" s="3154" t="s">
        <v>199</v>
      </c>
      <c r="B118" s="3137">
        <f t="shared" si="741"/>
        <v>0</v>
      </c>
      <c r="C118" s="3155">
        <f>1275*10^9/5306</f>
        <v>240294006.78477195</v>
      </c>
      <c r="D118" s="3138">
        <f t="shared" si="742"/>
        <v>0</v>
      </c>
      <c r="E118" s="3139">
        <f t="shared" si="720"/>
        <v>0</v>
      </c>
      <c r="F118" s="3139">
        <f t="shared" si="721"/>
        <v>0</v>
      </c>
      <c r="G118" s="3139">
        <f t="shared" si="722"/>
        <v>0</v>
      </c>
      <c r="H118" s="3123"/>
      <c r="I118" s="3139">
        <f>SUM(AL118:AM118)</f>
        <v>-487.36586299999999</v>
      </c>
      <c r="J118" s="3139">
        <v>0</v>
      </c>
      <c r="K118" s="3159"/>
      <c r="L118" s="3128"/>
      <c r="M118" s="3128"/>
      <c r="N118" s="3128"/>
      <c r="O118" s="3128"/>
      <c r="P118" s="3128"/>
      <c r="Q118" s="3128"/>
      <c r="R118" s="3143">
        <f t="shared" ca="1" si="723"/>
        <v>0</v>
      </c>
      <c r="S118" s="3143">
        <f t="shared" ca="1" si="723"/>
        <v>0</v>
      </c>
      <c r="T118" s="3128">
        <v>115</v>
      </c>
      <c r="U118" s="3144">
        <f t="shared" si="743"/>
        <v>-487.36586299999999</v>
      </c>
      <c r="V118" s="3128"/>
      <c r="W118" s="3128"/>
      <c r="X118" s="3128"/>
      <c r="Y118" s="3128"/>
      <c r="Z118" s="3128"/>
      <c r="AA118" s="3128"/>
      <c r="AB118" s="3128"/>
      <c r="AC118" s="3128"/>
      <c r="AD118" s="3128"/>
      <c r="AE118" s="3128"/>
      <c r="AF118" s="3128"/>
      <c r="AG118" s="3128"/>
      <c r="AH118" s="3142">
        <f>AH141</f>
        <v>17225</v>
      </c>
      <c r="AI118" s="3160"/>
      <c r="AJ118" s="3128"/>
      <c r="AK118" s="3128"/>
      <c r="AL118" s="3161">
        <f>AL141</f>
        <v>-262.61539862299998</v>
      </c>
      <c r="AM118" s="3161">
        <f>AM142*(Rev_Month!BD42+Rev_Month!BE42)</f>
        <v>-224.75046437700001</v>
      </c>
      <c r="AN118" s="3160">
        <f>0*(Rev_Month!BE42+Rev_Month!BF42)</f>
        <v>0</v>
      </c>
      <c r="AO118" s="3162"/>
      <c r="AP118" s="3128"/>
      <c r="AQ118" s="3128"/>
      <c r="AR118" s="3128"/>
      <c r="AS118" s="3162"/>
      <c r="AT118" s="3128"/>
      <c r="AU118" s="3128"/>
      <c r="AV118" s="3128"/>
      <c r="AW118" s="3163"/>
      <c r="AX118" s="1170"/>
      <c r="AY118" s="1170"/>
      <c r="AZ118" s="1170"/>
      <c r="BA118" s="1047"/>
      <c r="BB118" s="1047"/>
      <c r="BC118" s="1047"/>
      <c r="BD118" s="1047"/>
      <c r="BE118" s="1047"/>
      <c r="BF118" s="1047"/>
      <c r="BG118" s="1047"/>
      <c r="BH118" s="1047"/>
      <c r="BI118" s="1047"/>
      <c r="BJ118" s="1047"/>
      <c r="BK118" s="1047"/>
      <c r="BL118" s="1047"/>
      <c r="BM118" s="1047"/>
      <c r="BN118" s="1047"/>
      <c r="BO118" s="1047"/>
      <c r="BP118" s="1047"/>
      <c r="BQ118" s="1047"/>
      <c r="BR118" s="1047"/>
      <c r="BS118" s="1047"/>
      <c r="BT118" s="1047"/>
      <c r="BU118" s="1047"/>
      <c r="BV118" s="1047"/>
      <c r="BW118" s="1047"/>
      <c r="BX118" s="1047"/>
      <c r="BY118" s="1047"/>
      <c r="BZ118" s="1047"/>
      <c r="CA118" s="1047"/>
      <c r="CB118" s="1047"/>
      <c r="CC118" s="1047"/>
      <c r="CD118" s="1047"/>
      <c r="CE118" s="1047"/>
      <c r="CF118" s="1047"/>
      <c r="CG118" s="1047"/>
      <c r="CH118" s="1047"/>
      <c r="CI118" s="1047"/>
      <c r="CJ118" s="1047"/>
      <c r="CK118" s="1047"/>
      <c r="CL118" s="1047"/>
      <c r="CM118" s="1047"/>
      <c r="CN118" s="1047"/>
      <c r="CO118" s="1047"/>
      <c r="CP118" s="1047"/>
      <c r="CQ118" s="1047"/>
      <c r="CR118" s="1047"/>
      <c r="CS118" s="1047"/>
      <c r="CT118" s="1047"/>
      <c r="CU118" s="1047"/>
      <c r="CV118" s="1047"/>
      <c r="CW118" s="1047"/>
      <c r="CX118" s="1047"/>
      <c r="CY118" s="1047"/>
      <c r="CZ118" s="1047"/>
    </row>
    <row r="119" spans="1:104" s="3150" customFormat="1" outlineLevel="1">
      <c r="A119" s="3164" t="s">
        <v>200</v>
      </c>
      <c r="B119" s="3137">
        <f t="shared" si="741"/>
        <v>-5.5E-2</v>
      </c>
      <c r="C119" s="3165">
        <f>I119/I102</f>
        <v>-5.368092944249344E-2</v>
      </c>
      <c r="D119" s="3165">
        <f>H119/$H$102</f>
        <v>-5.5E-2</v>
      </c>
      <c r="E119" s="3139">
        <f t="shared" si="720"/>
        <v>-237.91979750000002</v>
      </c>
      <c r="F119" s="3139">
        <f t="shared" si="721"/>
        <v>-590.05625896557524</v>
      </c>
      <c r="G119" s="3139">
        <f t="shared" si="722"/>
        <v>-1170.1258800000001</v>
      </c>
      <c r="H119" s="3139">
        <f>-5.5%*H102</f>
        <v>-1548.6560099999999</v>
      </c>
      <c r="I119" s="3140">
        <f>SUM(AK119:AN119)</f>
        <v>-1453.7423615500002</v>
      </c>
      <c r="J119" s="3140">
        <f ca="1">SUM(AO119:AR119)</f>
        <v>-1679.3359</v>
      </c>
      <c r="K119" s="3141">
        <f ca="1">SUM(AS119:AV119)</f>
        <v>-1773.474023598166</v>
      </c>
      <c r="L119" s="3142">
        <f ca="1">SUMIF($AG$1:BH$1,L$5,$AG119:BH119)</f>
        <v>-1630.2228392289921</v>
      </c>
      <c r="M119" s="3142">
        <f ca="1">SUMIF($AG$1:BI$1,M$5,$AG119:BI119)</f>
        <v>-2564.5003894295983</v>
      </c>
      <c r="N119" s="3142">
        <f ca="1">SUMIF($AG$1:CJ$1,N$5,$AG119:CJ119)</f>
        <v>-2992.6570953805831</v>
      </c>
      <c r="O119" s="3142">
        <f ca="1">SUMIF($AG$1:CK$1,O$5,$AG119:CK119)</f>
        <v>-3384.4697825943354</v>
      </c>
      <c r="P119" s="3142">
        <f ca="1">SUMIF($AG$1:CL$1,P$5,$AG119:CL119)</f>
        <v>-3937.3042368237993</v>
      </c>
      <c r="Q119" s="3142">
        <f ca="1">SUMIF($AG$1:CM$1,Q$5,$AG119:CM119)</f>
        <v>-4391.6565934263172</v>
      </c>
      <c r="R119" s="3143">
        <f t="shared" ca="1" si="723"/>
        <v>-4.3167636756764043E-2</v>
      </c>
      <c r="S119" s="3143">
        <f t="shared" ca="1" si="723"/>
        <v>-3.9680799617036154E-2</v>
      </c>
      <c r="T119" s="3128">
        <v>116</v>
      </c>
      <c r="U119" s="3144">
        <f ca="1">I119-J119</f>
        <v>225.59353844999987</v>
      </c>
      <c r="V119" s="3128"/>
      <c r="W119" s="3128"/>
      <c r="X119" s="3128"/>
      <c r="Y119" s="3128"/>
      <c r="Z119" s="3128"/>
      <c r="AA119" s="3128"/>
      <c r="AB119" s="3128"/>
      <c r="AC119" s="3128"/>
      <c r="AD119" s="3128"/>
      <c r="AE119" s="3128"/>
      <c r="AF119" s="3128"/>
      <c r="AG119" s="3128"/>
      <c r="AH119" s="3142">
        <f>-5.5%*SUM(AG102:AH102)</f>
        <v>-735.47198999999989</v>
      </c>
      <c r="AI119" s="3160"/>
      <c r="AJ119" s="3128"/>
      <c r="AK119" s="3146">
        <f>-5.5%*AK102</f>
        <v>-332.2</v>
      </c>
      <c r="AL119" s="3146">
        <f>-5.5%*AL102</f>
        <v>-372.65382000000005</v>
      </c>
      <c r="AM119" s="3146">
        <f>-5.5%*AM102</f>
        <v>-391.66880499999991</v>
      </c>
      <c r="AN119" s="3142">
        <f>-5%*AN102</f>
        <v>-357.21973655000005</v>
      </c>
      <c r="AO119" s="3145">
        <f>AO102*-6%</f>
        <v>-382.17840000000001</v>
      </c>
      <c r="AP119" s="3145">
        <f ca="1">AP102*-5.5%</f>
        <v>-402.61649999999992</v>
      </c>
      <c r="AQ119" s="3145">
        <f ca="1">AQ102*-5%</f>
        <v>-431.62830000000014</v>
      </c>
      <c r="AR119" s="3145">
        <f ca="1">AR102*-5%</f>
        <v>-462.91270000000009</v>
      </c>
      <c r="AS119" s="3145">
        <f ca="1">AS102*-4.5%</f>
        <v>-412.31558655000003</v>
      </c>
      <c r="AT119" s="3145">
        <f ca="1">AT102*-4.5%</f>
        <v>-464.70907844999988</v>
      </c>
      <c r="AU119" s="3145">
        <f ca="1">AU102*-4.5%</f>
        <v>-487.78789499999999</v>
      </c>
      <c r="AV119" s="3145">
        <f ca="1">AV102*-3.8%</f>
        <v>-408.66146359816611</v>
      </c>
      <c r="AW119" s="3147">
        <f ca="1">AW102*-3.8%</f>
        <v>-418.80416806704227</v>
      </c>
      <c r="AX119" s="3147">
        <f>AX102*-3.4%</f>
        <v>-393.3185705929854</v>
      </c>
      <c r="AY119" s="3147">
        <f ca="1">AY102*-3%</f>
        <v>-353.45257289134173</v>
      </c>
      <c r="AZ119" s="3147">
        <f ca="1">AZ102*-3.5%</f>
        <v>-464.64752767762269</v>
      </c>
      <c r="BA119" s="3147">
        <f ca="1">BA102*-3.9%</f>
        <v>-614.83496258345519</v>
      </c>
      <c r="BB119" s="3147">
        <f t="shared" ref="BB119" si="759">BB102*-3.5%</f>
        <v>-566.95301133517421</v>
      </c>
      <c r="BC119" s="3147">
        <f ca="1">BC102*-3.8%</f>
        <v>-657.8606838835268</v>
      </c>
      <c r="BD119" s="3147">
        <f ca="1">BD102*-3.8%</f>
        <v>-724.85173162744184</v>
      </c>
      <c r="BE119" s="3147">
        <f ca="1">BE102*-3.5%</f>
        <v>-729.65159636853627</v>
      </c>
      <c r="BF119" s="3147">
        <f t="shared" ref="BF119:BG119" si="760">BF102*-3.5%</f>
        <v>-716.64484284634727</v>
      </c>
      <c r="BG119" s="3147">
        <f t="shared" ca="1" si="760"/>
        <v>-757.14917085874413</v>
      </c>
      <c r="BH119" s="3147">
        <f ca="1">BH102*-3.3%</f>
        <v>-789.2114853069553</v>
      </c>
      <c r="BI119" s="3147">
        <f ca="1">BI102*-3.2%</f>
        <v>-807.53749266288457</v>
      </c>
      <c r="BJ119" s="3147">
        <f t="shared" ref="BJ119:CZ119" si="761">BJ102*-3.2%</f>
        <v>-810.52967824890743</v>
      </c>
      <c r="BK119" s="3147">
        <f t="shared" ca="1" si="761"/>
        <v>-849.54226379990882</v>
      </c>
      <c r="BL119" s="3147">
        <f t="shared" ca="1" si="761"/>
        <v>-916.86034788263476</v>
      </c>
      <c r="BM119" s="3147">
        <f t="shared" ca="1" si="761"/>
        <v>-953.14853416665267</v>
      </c>
      <c r="BN119" s="3147">
        <f t="shared" si="761"/>
        <v>-948.43472291242108</v>
      </c>
      <c r="BO119" s="3147">
        <f t="shared" ca="1" si="761"/>
        <v>-984.69199955063959</v>
      </c>
      <c r="BP119" s="3147">
        <f t="shared" ca="1" si="761"/>
        <v>-1051.0289801940864</v>
      </c>
      <c r="BQ119" s="3147">
        <f t="shared" ca="1" si="761"/>
        <v>-1081.4634174191447</v>
      </c>
      <c r="BR119" s="3147">
        <f t="shared" si="761"/>
        <v>-1065.0356399101747</v>
      </c>
      <c r="BS119" s="3147">
        <f t="shared" ca="1" si="761"/>
        <v>-1093.3003906795516</v>
      </c>
      <c r="BT119" s="3147">
        <f t="shared" ca="1" si="761"/>
        <v>-1151.8571454174462</v>
      </c>
      <c r="BU119" s="3147">
        <f t="shared" ca="1" si="761"/>
        <v>-1179.3007552093006</v>
      </c>
      <c r="BV119" s="3147">
        <f t="shared" si="761"/>
        <v>-1161.9486575691656</v>
      </c>
      <c r="BW119" s="3147">
        <f t="shared" ca="1" si="761"/>
        <v>-1191.6896935591024</v>
      </c>
      <c r="BX119" s="3147">
        <f t="shared" ca="1" si="761"/>
        <v>-1254.3892669929164</v>
      </c>
      <c r="BY119" s="3147">
        <f t="shared" ca="1" si="761"/>
        <v>-1283.2047721074614</v>
      </c>
      <c r="BZ119" s="3147">
        <f t="shared" si="761"/>
        <v>-1263.2857454291407</v>
      </c>
      <c r="CA119" s="3147">
        <f t="shared" ca="1" si="761"/>
        <v>-1294.5687572869429</v>
      </c>
      <c r="CB119" s="3147">
        <f t="shared" ca="1" si="761"/>
        <v>-1361.5982123999527</v>
      </c>
      <c r="CC119" s="3147">
        <f t="shared" si="761"/>
        <v>0</v>
      </c>
      <c r="CD119" s="3147">
        <f t="shared" si="761"/>
        <v>0</v>
      </c>
      <c r="CE119" s="3147">
        <f t="shared" si="761"/>
        <v>0</v>
      </c>
      <c r="CF119" s="3147">
        <f t="shared" si="761"/>
        <v>0</v>
      </c>
      <c r="CG119" s="3147">
        <f t="shared" si="761"/>
        <v>0</v>
      </c>
      <c r="CH119" s="3147">
        <f t="shared" si="761"/>
        <v>0</v>
      </c>
      <c r="CI119" s="3147">
        <f t="shared" si="761"/>
        <v>0</v>
      </c>
      <c r="CJ119" s="3147">
        <f t="shared" si="761"/>
        <v>0</v>
      </c>
      <c r="CK119" s="3147">
        <f t="shared" si="761"/>
        <v>0</v>
      </c>
      <c r="CL119" s="3147">
        <f t="shared" si="761"/>
        <v>0</v>
      </c>
      <c r="CM119" s="3147">
        <f t="shared" si="761"/>
        <v>0</v>
      </c>
      <c r="CN119" s="3147">
        <f t="shared" si="761"/>
        <v>0</v>
      </c>
      <c r="CO119" s="3147">
        <f t="shared" si="761"/>
        <v>0</v>
      </c>
      <c r="CP119" s="3147">
        <f t="shared" si="761"/>
        <v>0</v>
      </c>
      <c r="CQ119" s="3147">
        <f t="shared" si="761"/>
        <v>0</v>
      </c>
      <c r="CR119" s="3147">
        <f t="shared" si="761"/>
        <v>0</v>
      </c>
      <c r="CS119" s="3147">
        <f t="shared" si="761"/>
        <v>0</v>
      </c>
      <c r="CT119" s="3147">
        <f t="shared" si="761"/>
        <v>0</v>
      </c>
      <c r="CU119" s="3147">
        <f t="shared" si="761"/>
        <v>0</v>
      </c>
      <c r="CV119" s="3147">
        <f t="shared" si="761"/>
        <v>0</v>
      </c>
      <c r="CW119" s="3147">
        <f t="shared" si="761"/>
        <v>0</v>
      </c>
      <c r="CX119" s="3147">
        <f t="shared" si="761"/>
        <v>0</v>
      </c>
      <c r="CY119" s="3147">
        <f t="shared" si="761"/>
        <v>0</v>
      </c>
      <c r="CZ119" s="3147">
        <f t="shared" si="761"/>
        <v>0</v>
      </c>
    </row>
    <row r="120" spans="1:104" s="3180" customFormat="1" outlineLevel="1">
      <c r="A120" s="3166" t="s">
        <v>49</v>
      </c>
      <c r="B120" s="3167">
        <f t="shared" si="741"/>
        <v>-4.2522888015644786E-2</v>
      </c>
      <c r="C120" s="3168">
        <f>H120/H102</f>
        <v>-4.2522888015644786E-2</v>
      </c>
      <c r="D120" s="3169">
        <f>H120/H102</f>
        <v>-4.2522888015644786E-2</v>
      </c>
      <c r="E120" s="3170">
        <f>E112-SUM(E114:E119)</f>
        <v>-113.55734191588795</v>
      </c>
      <c r="F120" s="3170">
        <f>F112-SUM(F114:F119)</f>
        <v>-307.42953081515179</v>
      </c>
      <c r="G120" s="3170">
        <f>G112-SUM(G114:G119)</f>
        <v>-1367.7060969089698</v>
      </c>
      <c r="H120" s="3170">
        <f>H112-SUM(H114:H119)</f>
        <v>-1197.3332015997321</v>
      </c>
      <c r="I120" s="3171">
        <f>SUM(AK120:AN120)</f>
        <v>-2141.6074307784847</v>
      </c>
      <c r="J120" s="3171">
        <f ca="1">SUM(AO120:AR120)</f>
        <v>-1500.9581668402766</v>
      </c>
      <c r="K120" s="3172">
        <f ca="1">SUM(AS120:AV120)</f>
        <v>-289.56054629881032</v>
      </c>
      <c r="L120" s="3173">
        <f ca="1">SUMIF($AG$1:BH$1,L$5,$AG120:BH120)</f>
        <v>-125.01628720022899</v>
      </c>
      <c r="M120" s="3173">
        <f ca="1">SUMIF($AG$1:BI$1,M$5,$AG120:BI120)</f>
        <v>-279.15607755107465</v>
      </c>
      <c r="N120" s="3173">
        <f ca="1">SUMIF($AG$1:CJ$1,N$5,$AG120:CJ120)</f>
        <v>-368.33154212368333</v>
      </c>
      <c r="O120" s="3173">
        <f ca="1">SUMIF($AG$1:CK$1,O$5,$AG120:CK120)</f>
        <v>-423.05872282429192</v>
      </c>
      <c r="P120" s="3173">
        <f ca="1">SUMIF($AG$1:CL$1,P$5,$AG120:CL120)</f>
        <v>-492.16302960297492</v>
      </c>
      <c r="Q120" s="3173">
        <f ca="1">SUMIF($AG$1:CM$1,Q$5,$AG120:CM120)</f>
        <v>-548.95707417828964</v>
      </c>
      <c r="R120" s="3143">
        <f t="shared" ca="1" si="723"/>
        <v>-7.0481125268228749E-3</v>
      </c>
      <c r="S120" s="3143">
        <f t="shared" ca="1" si="723"/>
        <v>-3.0429865917007367E-3</v>
      </c>
      <c r="T120" s="1189">
        <v>117</v>
      </c>
      <c r="U120" s="3144">
        <f ca="1">I120-J120</f>
        <v>-640.64926393820815</v>
      </c>
      <c r="V120" s="3174"/>
      <c r="W120" s="3174"/>
      <c r="X120" s="3174"/>
      <c r="Y120" s="3174"/>
      <c r="Z120" s="3174"/>
      <c r="AA120" s="3174"/>
      <c r="AB120" s="3174"/>
      <c r="AC120" s="3174"/>
      <c r="AD120" s="3174"/>
      <c r="AE120" s="3174"/>
      <c r="AF120" s="3174"/>
      <c r="AG120" s="3174"/>
      <c r="AH120" s="3175">
        <f>$B$120*SUM(AG102:AH102)</f>
        <v>-568.62532853478945</v>
      </c>
      <c r="AI120" s="3176"/>
      <c r="AJ120" s="3174"/>
      <c r="AK120" s="3175">
        <f t="shared" ref="AK120:AM120" si="762">AK122-AK110-SUM(AK114:AK119)</f>
        <v>-391.67614287108904</v>
      </c>
      <c r="AL120" s="3175">
        <f t="shared" si="762"/>
        <v>-558.60583053169466</v>
      </c>
      <c r="AM120" s="3175">
        <f t="shared" si="762"/>
        <v>-621.61910385286592</v>
      </c>
      <c r="AN120" s="3175">
        <f>AN122-AN110-SUM(AN114:AN119)</f>
        <v>-569.70635352283512</v>
      </c>
      <c r="AO120" s="3175">
        <f t="shared" ref="AO120" si="763">-(AO110+SUM(AO114:AO119)-AO124+AO123)</f>
        <v>-176.44944705489496</v>
      </c>
      <c r="AP120" s="3175">
        <f t="shared" ref="AP120:AV120" ca="1" si="764">-(AP110+SUM(AP114:AP119)-AP124+AP123)</f>
        <v>-407.52147202680089</v>
      </c>
      <c r="AQ120" s="3175">
        <f t="shared" ca="1" si="764"/>
        <v>-485.50100677817113</v>
      </c>
      <c r="AR120" s="3175">
        <f t="shared" ca="1" si="764"/>
        <v>-431.48624098040955</v>
      </c>
      <c r="AS120" s="3177">
        <f t="shared" ca="1" si="764"/>
        <v>38.130553069654596</v>
      </c>
      <c r="AT120" s="3175">
        <f t="shared" ca="1" si="764"/>
        <v>-164.05946082793514</v>
      </c>
      <c r="AU120" s="3175">
        <f t="shared" ca="1" si="764"/>
        <v>-109.50521145310421</v>
      </c>
      <c r="AV120" s="3175">
        <f t="shared" ca="1" si="764"/>
        <v>-54.126427087425583</v>
      </c>
      <c r="AW120" s="3178">
        <f ca="1">-((AW110+SUM(AW114:AW119))-AW122)</f>
        <v>-27.325501087864765</v>
      </c>
      <c r="AX120" s="3178">
        <f ca="1">-((AX110+SUM(AX114:AX119))-AX122)</f>
        <v>-7.4774382807162283</v>
      </c>
      <c r="AY120" s="3178">
        <f ca="1">-((AY110+SUM(AY114:AY119))-AY122)</f>
        <v>-37.110773239919695</v>
      </c>
      <c r="AZ120" s="3179">
        <f ca="1">-0.4%*AZ102</f>
        <v>-53.102574591728306</v>
      </c>
      <c r="BA120" s="3179">
        <f ca="1">-0.4%*BA102</f>
        <v>-63.05999616240566</v>
      </c>
      <c r="BB120" s="3179">
        <f>-0.2%*BB102</f>
        <v>-32.397314933438523</v>
      </c>
      <c r="BC120" s="3179">
        <f ca="1">-0.4%*BC102</f>
        <v>-69.248493040371258</v>
      </c>
      <c r="BD120" s="3179">
        <f ca="1">-0.6%*BD102</f>
        <v>-114.45027341485924</v>
      </c>
      <c r="BE120" s="3179">
        <f ca="1">-0.5%*BE102</f>
        <v>-104.23594233836231</v>
      </c>
      <c r="BF120" s="3179">
        <f t="shared" ref="BF120:CB120" si="765">-0.4%*BF102</f>
        <v>-81.902267753868244</v>
      </c>
      <c r="BG120" s="3179">
        <f t="shared" ca="1" si="765"/>
        <v>-86.531333812427903</v>
      </c>
      <c r="BH120" s="3179">
        <f t="shared" ca="1" si="765"/>
        <v>-95.661998219024881</v>
      </c>
      <c r="BI120" s="3179">
        <f t="shared" ca="1" si="765"/>
        <v>-100.94218658286057</v>
      </c>
      <c r="BJ120" s="3179">
        <f t="shared" si="765"/>
        <v>-101.31620978111343</v>
      </c>
      <c r="BK120" s="3179">
        <f t="shared" ca="1" si="765"/>
        <v>-106.1927829749886</v>
      </c>
      <c r="BL120" s="3179">
        <f t="shared" ca="1" si="765"/>
        <v>-114.60754348532934</v>
      </c>
      <c r="BM120" s="3179">
        <f t="shared" ca="1" si="765"/>
        <v>-119.14356677083158</v>
      </c>
      <c r="BN120" s="3179">
        <f t="shared" si="765"/>
        <v>-118.55434036405263</v>
      </c>
      <c r="BO120" s="3179">
        <f t="shared" ca="1" si="765"/>
        <v>-123.08649994382995</v>
      </c>
      <c r="BP120" s="3179">
        <f t="shared" ca="1" si="765"/>
        <v>-131.37862252426081</v>
      </c>
      <c r="BQ120" s="3179">
        <f t="shared" ca="1" si="765"/>
        <v>-135.18292717739308</v>
      </c>
      <c r="BR120" s="3179">
        <f t="shared" si="765"/>
        <v>-133.12945498877184</v>
      </c>
      <c r="BS120" s="3179">
        <f t="shared" ca="1" si="765"/>
        <v>-136.66254883494395</v>
      </c>
      <c r="BT120" s="3179">
        <f t="shared" ca="1" si="765"/>
        <v>-143.98214317718077</v>
      </c>
      <c r="BU120" s="3179">
        <f t="shared" ca="1" si="765"/>
        <v>-147.41259440116258</v>
      </c>
      <c r="BV120" s="3179">
        <f t="shared" si="765"/>
        <v>-145.2435821961457</v>
      </c>
      <c r="BW120" s="3179">
        <f t="shared" ca="1" si="765"/>
        <v>-148.96121169488779</v>
      </c>
      <c r="BX120" s="3179">
        <f t="shared" ca="1" si="765"/>
        <v>-156.79865837411455</v>
      </c>
      <c r="BY120" s="3179">
        <f t="shared" ca="1" si="765"/>
        <v>-160.40059651343267</v>
      </c>
      <c r="BZ120" s="3179">
        <f t="shared" si="765"/>
        <v>-157.91071817864258</v>
      </c>
      <c r="CA120" s="3179">
        <f t="shared" ca="1" si="765"/>
        <v>-161.82109466086786</v>
      </c>
      <c r="CB120" s="3179">
        <f t="shared" ca="1" si="765"/>
        <v>-170.19977654999408</v>
      </c>
      <c r="CC120" s="3179">
        <f t="shared" ref="CC120:CZ120" si="766">-0.4%*CC102</f>
        <v>0</v>
      </c>
      <c r="CD120" s="3179">
        <f t="shared" si="766"/>
        <v>0</v>
      </c>
      <c r="CE120" s="3179">
        <f t="shared" si="766"/>
        <v>0</v>
      </c>
      <c r="CF120" s="3179">
        <f t="shared" si="766"/>
        <v>0</v>
      </c>
      <c r="CG120" s="3179">
        <f t="shared" si="766"/>
        <v>0</v>
      </c>
      <c r="CH120" s="3179">
        <f t="shared" si="766"/>
        <v>0</v>
      </c>
      <c r="CI120" s="3179">
        <f t="shared" si="766"/>
        <v>0</v>
      </c>
      <c r="CJ120" s="3179">
        <f t="shared" si="766"/>
        <v>0</v>
      </c>
      <c r="CK120" s="3179">
        <f t="shared" si="766"/>
        <v>0</v>
      </c>
      <c r="CL120" s="3179">
        <f t="shared" si="766"/>
        <v>0</v>
      </c>
      <c r="CM120" s="3179">
        <f t="shared" si="766"/>
        <v>0</v>
      </c>
      <c r="CN120" s="3179">
        <f t="shared" si="766"/>
        <v>0</v>
      </c>
      <c r="CO120" s="3179">
        <f t="shared" si="766"/>
        <v>0</v>
      </c>
      <c r="CP120" s="3179">
        <f t="shared" si="766"/>
        <v>0</v>
      </c>
      <c r="CQ120" s="3179">
        <f t="shared" si="766"/>
        <v>0</v>
      </c>
      <c r="CR120" s="3179">
        <f t="shared" si="766"/>
        <v>0</v>
      </c>
      <c r="CS120" s="3179">
        <f t="shared" si="766"/>
        <v>0</v>
      </c>
      <c r="CT120" s="3179">
        <f t="shared" si="766"/>
        <v>0</v>
      </c>
      <c r="CU120" s="3179">
        <f t="shared" si="766"/>
        <v>0</v>
      </c>
      <c r="CV120" s="3179">
        <f t="shared" si="766"/>
        <v>0</v>
      </c>
      <c r="CW120" s="3179">
        <f t="shared" si="766"/>
        <v>0</v>
      </c>
      <c r="CX120" s="3179">
        <f t="shared" si="766"/>
        <v>0</v>
      </c>
      <c r="CY120" s="3179">
        <f t="shared" si="766"/>
        <v>0</v>
      </c>
      <c r="CZ120" s="3179">
        <f t="shared" si="766"/>
        <v>0</v>
      </c>
    </row>
    <row r="121" spans="1:104" s="3150" customFormat="1" outlineLevel="1">
      <c r="A121" s="3181"/>
      <c r="B121" s="1192"/>
      <c r="C121" s="3182"/>
      <c r="D121" s="3183">
        <f t="shared" ref="D121:I121" si="767">(D114+D115+D116+D119+D120)/D102</f>
        <v>-2.2712602280159839E-4</v>
      </c>
      <c r="E121" s="3184">
        <f t="shared" si="767"/>
        <v>-0.24235660325924216</v>
      </c>
      <c r="F121" s="3184">
        <f t="shared" si="767"/>
        <v>-0.24476146675969102</v>
      </c>
      <c r="G121" s="3184">
        <f t="shared" si="767"/>
        <v>-0.28039247388144317</v>
      </c>
      <c r="H121" s="3184">
        <f t="shared" si="767"/>
        <v>-0.25862840216418009</v>
      </c>
      <c r="I121" s="3184">
        <f t="shared" si="767"/>
        <v>-0.29923395924458918</v>
      </c>
      <c r="J121" s="3184">
        <f t="shared" ref="J121:Q121" ca="1" si="768">(J114+J115+J116+J119+J120)/J102</f>
        <v>-0.23176043426636525</v>
      </c>
      <c r="K121" s="3185">
        <f t="shared" ca="1" si="768"/>
        <v>-0.21592669382301816</v>
      </c>
      <c r="L121" s="3186">
        <f t="shared" ca="1" si="768"/>
        <v>-0.20191140239109354</v>
      </c>
      <c r="M121" s="3186">
        <f t="shared" ca="1" si="768"/>
        <v>-0.19743214787946628</v>
      </c>
      <c r="N121" s="3186">
        <f t="shared" ca="1" si="768"/>
        <v>-0.19042227235539685</v>
      </c>
      <c r="O121" s="3186">
        <f t="shared" ca="1" si="768"/>
        <v>-0.18874008025735003</v>
      </c>
      <c r="P121" s="3186">
        <f t="shared" ca="1" si="768"/>
        <v>-0.18903614107672306</v>
      </c>
      <c r="Q121" s="3186">
        <f t="shared" ca="1" si="768"/>
        <v>-0.18878821627473225</v>
      </c>
      <c r="R121" s="3186"/>
      <c r="S121" s="3186"/>
      <c r="T121" s="1189">
        <v>118</v>
      </c>
      <c r="U121" s="3128"/>
      <c r="V121" s="3128"/>
      <c r="W121" s="3128"/>
      <c r="X121" s="3128"/>
      <c r="Y121" s="3128"/>
      <c r="Z121" s="3128"/>
      <c r="AA121" s="3128"/>
      <c r="AB121" s="3128"/>
      <c r="AC121" s="3128"/>
      <c r="AD121" s="3128"/>
      <c r="AE121" s="3128"/>
      <c r="AF121" s="3128"/>
      <c r="AG121" s="3128"/>
      <c r="AH121" s="3142">
        <f>SUM(AH114:AH120)</f>
        <v>14562.853132461491</v>
      </c>
      <c r="AI121" s="3142"/>
      <c r="AJ121" s="3128"/>
      <c r="AK121" s="3142">
        <f>SUM(AK114:AK120)</f>
        <v>-2269.9916450000001</v>
      </c>
      <c r="AL121" s="3142">
        <f>SUM(AL114:AL120)</f>
        <v>-2692.3170849400003</v>
      </c>
      <c r="AM121" s="3142">
        <f>SUM(AM114:AM120)</f>
        <v>-2629.5357574749996</v>
      </c>
      <c r="AN121" s="3142">
        <f>SUM(AN114:AN120)</f>
        <v>-2261.7890577600001</v>
      </c>
      <c r="AO121" s="3187"/>
      <c r="AP121" s="3146"/>
      <c r="AQ121" s="3146"/>
      <c r="AR121" s="3146"/>
      <c r="AS121" s="3145"/>
      <c r="AT121" s="3142"/>
      <c r="AU121" s="3142"/>
      <c r="AV121" s="3142"/>
      <c r="AW121" s="3147"/>
      <c r="AX121" s="3148"/>
      <c r="AY121" s="3148"/>
      <c r="AZ121" s="3148"/>
      <c r="BA121" s="3149"/>
      <c r="BB121" s="3149"/>
      <c r="BC121" s="3149"/>
      <c r="BD121" s="3149"/>
      <c r="BE121" s="3149"/>
      <c r="BF121" s="3149"/>
      <c r="BG121" s="3149"/>
      <c r="BH121" s="1047"/>
      <c r="BI121" s="1047"/>
      <c r="BJ121" s="1047"/>
      <c r="BK121" s="1047"/>
      <c r="BL121" s="1047"/>
      <c r="BM121" s="1047"/>
      <c r="BN121" s="1047"/>
      <c r="BO121" s="1047"/>
      <c r="BP121" s="1047"/>
      <c r="BQ121" s="1047"/>
      <c r="BR121" s="1047"/>
      <c r="BS121" s="1047"/>
      <c r="BT121" s="1047"/>
      <c r="BU121" s="1047"/>
      <c r="BV121" s="1047"/>
      <c r="BW121" s="1047"/>
      <c r="BX121" s="1047"/>
      <c r="BY121" s="1047"/>
      <c r="BZ121" s="1047"/>
      <c r="CA121" s="1047"/>
      <c r="CB121" s="1047"/>
      <c r="CC121" s="1047"/>
      <c r="CD121" s="1047"/>
      <c r="CE121" s="1047"/>
      <c r="CF121" s="1047"/>
      <c r="CG121" s="1047"/>
      <c r="CH121" s="1047"/>
      <c r="CI121" s="1047"/>
      <c r="CJ121" s="1047"/>
      <c r="CK121" s="1047"/>
      <c r="CL121" s="1047"/>
      <c r="CM121" s="1047"/>
      <c r="CN121" s="1047"/>
      <c r="CO121" s="3149"/>
      <c r="CP121" s="3149"/>
      <c r="CQ121" s="3149"/>
      <c r="CR121" s="3149"/>
      <c r="CS121" s="3149"/>
      <c r="CT121" s="3149"/>
      <c r="CU121" s="3149"/>
      <c r="CV121" s="3149"/>
      <c r="CW121" s="3149"/>
      <c r="CX121" s="3149"/>
      <c r="CY121" s="3149"/>
      <c r="CZ121" s="3149"/>
    </row>
    <row r="122" spans="1:104" s="3199" customFormat="1">
      <c r="A122" s="3188" t="s">
        <v>201</v>
      </c>
      <c r="B122" s="3189"/>
      <c r="C122" s="3168"/>
      <c r="D122" s="3183">
        <f t="shared" si="742"/>
        <v>-3.595480040118787E-2</v>
      </c>
      <c r="E122" s="3170">
        <f>E124-E123</f>
        <v>-555.57734015100004</v>
      </c>
      <c r="F122" s="3170">
        <f>F124-F123</f>
        <v>-1028.17694704</v>
      </c>
      <c r="G122" s="3170">
        <f>G124-G123</f>
        <v>-1839.626637822</v>
      </c>
      <c r="H122" s="3170">
        <f>H124-H123</f>
        <v>-1012.39304963</v>
      </c>
      <c r="I122" s="3170">
        <f t="shared" ref="I122" si="769">I110+I112</f>
        <v>-2940.4532178049976</v>
      </c>
      <c r="J122" s="3170">
        <f t="shared" ref="J122:Q122" ca="1" si="770">J110+J112</f>
        <v>-800.27435277499899</v>
      </c>
      <c r="K122" s="3190">
        <f t="shared" ca="1" si="770"/>
        <v>296.93615321537436</v>
      </c>
      <c r="L122" s="3191">
        <f ca="1">L110+L112</f>
        <v>935.96335933347473</v>
      </c>
      <c r="M122" s="3191">
        <f t="shared" ca="1" si="770"/>
        <v>1946.981363838102</v>
      </c>
      <c r="N122" s="3191">
        <f t="shared" ca="1" si="770"/>
        <v>2842.8776914598275</v>
      </c>
      <c r="O122" s="3191">
        <f t="shared" ca="1" si="770"/>
        <v>3235.4547514168589</v>
      </c>
      <c r="P122" s="3191">
        <f t="shared" ca="1" si="770"/>
        <v>4120.5945966807449</v>
      </c>
      <c r="Q122" s="3191">
        <f t="shared" ca="1" si="770"/>
        <v>5082.9645769641174</v>
      </c>
      <c r="R122" s="3191"/>
      <c r="S122" s="3191"/>
      <c r="T122" s="1189">
        <v>119</v>
      </c>
      <c r="U122" s="3192"/>
      <c r="V122" s="3192"/>
      <c r="W122" s="3192"/>
      <c r="X122" s="3192"/>
      <c r="Y122" s="3192"/>
      <c r="Z122" s="3192"/>
      <c r="AA122" s="3192"/>
      <c r="AB122" s="3192"/>
      <c r="AC122" s="3192"/>
      <c r="AD122" s="3192"/>
      <c r="AE122" s="3192"/>
      <c r="AF122" s="3192"/>
      <c r="AG122" s="3191">
        <f>AG124</f>
        <v>-637.63499999999999</v>
      </c>
      <c r="AH122" s="3193">
        <f>-212.102300132*5-AG122</f>
        <v>-422.87650066000015</v>
      </c>
      <c r="AI122" s="3191">
        <f>-199.75529864*5-AH122-AG122</f>
        <v>61.735007460000134</v>
      </c>
      <c r="AJ122" s="3191">
        <f>AJ124-AJ123</f>
        <v>-13.616556429999946</v>
      </c>
      <c r="AK122" s="3191">
        <f>AK124-AK123</f>
        <v>-759.99164500000006</v>
      </c>
      <c r="AL122" s="3191">
        <f>AL124-AL123</f>
        <v>-998.43608494</v>
      </c>
      <c r="AM122" s="3191">
        <f>-(593.505081838*5-186.570366897-173.304304878)-AL122-AK122</f>
        <v>-849.22300747500003</v>
      </c>
      <c r="AN122" s="3191">
        <f>I124-SUM(AK122:AM122)</f>
        <v>-332.8024803899998</v>
      </c>
      <c r="AO122" s="3194">
        <f t="shared" ref="AO122" si="771">AO124-AO123</f>
        <v>-307.25879456249999</v>
      </c>
      <c r="AP122" s="3194">
        <f ca="1">AP124-AP123</f>
        <v>-304.93636233799998</v>
      </c>
      <c r="AQ122" s="3194">
        <f ca="1">AQ124-AQ123</f>
        <v>-155.85311396275006</v>
      </c>
      <c r="AR122" s="3191">
        <f ca="1">AR124-AR123</f>
        <v>-66.861121911749933</v>
      </c>
      <c r="AS122" s="3195">
        <f t="shared" ref="AS122" si="772">AS124-AS123</f>
        <v>-55.611490963562503</v>
      </c>
      <c r="AT122" s="3194">
        <f t="shared" ref="AT122:AV122" si="773">AT124-AT123</f>
        <v>55.822758308937502</v>
      </c>
      <c r="AU122" s="3191">
        <f t="shared" si="773"/>
        <v>136.97520048500002</v>
      </c>
      <c r="AV122" s="3191">
        <f t="shared" si="773"/>
        <v>159.74968538499999</v>
      </c>
      <c r="AW122" s="3196">
        <f>AW124-AW123</f>
        <v>74.37996625000001</v>
      </c>
      <c r="AX122" s="3196">
        <f ca="1">AX124-AX123</f>
        <v>234.56310540238348</v>
      </c>
      <c r="AY122" s="3196">
        <f ca="1">AY124-AY123</f>
        <v>316.02630373886529</v>
      </c>
      <c r="AZ122" s="3197">
        <f ca="1">AZ110+AZ112</f>
        <v>310.99398394222681</v>
      </c>
      <c r="BA122" s="3198">
        <f t="shared" ref="BA122:CD122" ca="1" si="774">BA110+BA112</f>
        <v>428.81017943200868</v>
      </c>
      <c r="BB122" s="3198">
        <f t="shared" ca="1" si="774"/>
        <v>425.10420656048609</v>
      </c>
      <c r="BC122" s="3198">
        <f t="shared" ca="1" si="774"/>
        <v>473.52669045920265</v>
      </c>
      <c r="BD122" s="3198">
        <f t="shared" ca="1" si="774"/>
        <v>619.54028738640727</v>
      </c>
      <c r="BE122" s="3198">
        <f t="shared" ca="1" si="774"/>
        <v>756.61761985865269</v>
      </c>
      <c r="BF122" s="3198">
        <f t="shared" ca="1" si="774"/>
        <v>624.86467356735011</v>
      </c>
      <c r="BG122" s="3198">
        <f t="shared" ca="1" si="774"/>
        <v>679.27858842832666</v>
      </c>
      <c r="BH122" s="3198">
        <f t="shared" ca="1" si="774"/>
        <v>967.6845904306283</v>
      </c>
      <c r="BI122" s="3198">
        <f t="shared" ca="1" si="774"/>
        <v>1005.0790817286697</v>
      </c>
      <c r="BJ122" s="3198">
        <f t="shared" ca="1" si="774"/>
        <v>892.62663454366339</v>
      </c>
      <c r="BK122" s="3198">
        <f t="shared" ca="1" si="774"/>
        <v>945.60736319726857</v>
      </c>
      <c r="BL122" s="3198">
        <f t="shared" ca="1" si="774"/>
        <v>1211.1297845915487</v>
      </c>
      <c r="BM122" s="3198">
        <f t="shared" ca="1" si="774"/>
        <v>1267.9024552636447</v>
      </c>
      <c r="BN122" s="3198">
        <f t="shared" ca="1" si="774"/>
        <v>1131.6662588006093</v>
      </c>
      <c r="BO122" s="3198">
        <f t="shared" ca="1" si="774"/>
        <v>1189.1706671687516</v>
      </c>
      <c r="BP122" s="3198">
        <f t="shared" ca="1" si="774"/>
        <v>1480.1237282201864</v>
      </c>
      <c r="BQ122" s="3198">
        <f t="shared" ca="1" si="774"/>
        <v>1531.8776973790873</v>
      </c>
      <c r="BR122" s="3198">
        <f t="shared" ca="1" si="774"/>
        <v>1371.1840659967693</v>
      </c>
      <c r="BS122" s="3198">
        <f t="shared" ca="1" si="774"/>
        <v>1428.9880072678889</v>
      </c>
      <c r="BT122" s="3198">
        <f t="shared" ca="1" si="774"/>
        <v>1730.8222097870103</v>
      </c>
      <c r="BU122" s="3198" t="e">
        <f t="shared" ca="1" si="774"/>
        <v>#N/A</v>
      </c>
      <c r="BV122" s="3198" t="e">
        <f t="shared" ca="1" si="774"/>
        <v>#N/A</v>
      </c>
      <c r="BW122" s="3198" t="e">
        <f t="shared" ca="1" si="774"/>
        <v>#N/A</v>
      </c>
      <c r="BX122" s="3198" t="e">
        <f t="shared" ca="1" si="774"/>
        <v>#N/A</v>
      </c>
      <c r="BY122" s="3198" t="e">
        <f t="shared" ca="1" si="774"/>
        <v>#N/A</v>
      </c>
      <c r="BZ122" s="3198" t="e">
        <f t="shared" ca="1" si="774"/>
        <v>#N/A</v>
      </c>
      <c r="CA122" s="3198" t="e">
        <f t="shared" ca="1" si="774"/>
        <v>#N/A</v>
      </c>
      <c r="CB122" s="3198" t="e">
        <f t="shared" ca="1" si="774"/>
        <v>#N/A</v>
      </c>
      <c r="CC122" s="3198" t="e">
        <f t="shared" si="774"/>
        <v>#N/A</v>
      </c>
      <c r="CD122" s="3198" t="e">
        <f t="shared" ca="1" si="774"/>
        <v>#N/A</v>
      </c>
      <c r="CE122" s="3198" t="e">
        <f t="shared" ref="CE122:CZ122" ca="1" si="775">CE110+CE112</f>
        <v>#N/A</v>
      </c>
      <c r="CF122" s="3198" t="e">
        <f t="shared" si="775"/>
        <v>#N/A</v>
      </c>
      <c r="CG122" s="3198" t="e">
        <f t="shared" si="775"/>
        <v>#N/A</v>
      </c>
      <c r="CH122" s="3198" t="e">
        <f t="shared" ca="1" si="775"/>
        <v>#N/A</v>
      </c>
      <c r="CI122" s="3198" t="e">
        <f t="shared" ca="1" si="775"/>
        <v>#N/A</v>
      </c>
      <c r="CJ122" s="3198" t="e">
        <f t="shared" si="775"/>
        <v>#N/A</v>
      </c>
      <c r="CK122" s="3198" t="e">
        <f t="shared" si="775"/>
        <v>#N/A</v>
      </c>
      <c r="CL122" s="3198" t="e">
        <f t="shared" ca="1" si="775"/>
        <v>#N/A</v>
      </c>
      <c r="CM122" s="3198" t="e">
        <f t="shared" ca="1" si="775"/>
        <v>#N/A</v>
      </c>
      <c r="CN122" s="3198" t="e">
        <f t="shared" si="775"/>
        <v>#N/A</v>
      </c>
      <c r="CO122" s="3198" t="e">
        <f t="shared" si="775"/>
        <v>#N/A</v>
      </c>
      <c r="CP122" s="3198" t="e">
        <f t="shared" ca="1" si="775"/>
        <v>#N/A</v>
      </c>
      <c r="CQ122" s="3198" t="e">
        <f t="shared" ca="1" si="775"/>
        <v>#N/A</v>
      </c>
      <c r="CR122" s="3198" t="e">
        <f t="shared" si="775"/>
        <v>#N/A</v>
      </c>
      <c r="CS122" s="3198" t="e">
        <f t="shared" si="775"/>
        <v>#N/A</v>
      </c>
      <c r="CT122" s="3198" t="e">
        <f t="shared" ca="1" si="775"/>
        <v>#N/A</v>
      </c>
      <c r="CU122" s="3198" t="e">
        <f t="shared" ca="1" si="775"/>
        <v>#N/A</v>
      </c>
      <c r="CV122" s="3198" t="e">
        <f t="shared" si="775"/>
        <v>#N/A</v>
      </c>
      <c r="CW122" s="3198" t="e">
        <f t="shared" si="775"/>
        <v>#N/A</v>
      </c>
      <c r="CX122" s="3198" t="e">
        <f t="shared" ca="1" si="775"/>
        <v>#N/A</v>
      </c>
      <c r="CY122" s="3198" t="e">
        <f t="shared" ca="1" si="775"/>
        <v>#N/A</v>
      </c>
      <c r="CZ122" s="3198" t="e">
        <f t="shared" si="775"/>
        <v>#N/A</v>
      </c>
    </row>
    <row r="123" spans="1:104" s="3150" customFormat="1">
      <c r="A123" s="999" t="s">
        <v>202</v>
      </c>
      <c r="B123" s="1192"/>
      <c r="C123" s="3182"/>
      <c r="D123" s="3182"/>
      <c r="E123" s="3200">
        <v>0</v>
      </c>
      <c r="F123" s="3200">
        <v>0</v>
      </c>
      <c r="G123" s="3200">
        <v>0</v>
      </c>
      <c r="H123" s="3200">
        <v>0</v>
      </c>
      <c r="I123" s="3201">
        <v>0</v>
      </c>
      <c r="J123" s="3202">
        <f>SUM(AO123:AR123)</f>
        <v>-186.09060662500002</v>
      </c>
      <c r="K123" s="3172">
        <f>SUM(AS123:AV123)</f>
        <v>-194.19745460937503</v>
      </c>
      <c r="L123" s="3203">
        <f ca="1">SUM(AW123:AZ123)</f>
        <v>-215.45469294385038</v>
      </c>
      <c r="M123" s="3204">
        <f ca="1">SUM(BA123:BD123)</f>
        <v>-280.1207718648007</v>
      </c>
      <c r="N123" s="3204">
        <f ca="1">SUM(BE123:BH123)</f>
        <v>-380.13781228446771</v>
      </c>
      <c r="O123" s="3204">
        <f ca="1">SUM(BF123:BI123)</f>
        <v>-402.73366777072272</v>
      </c>
      <c r="P123" s="3204">
        <f ca="1">SUM(BG123:BJ123)</f>
        <v>-425.16813929036937</v>
      </c>
      <c r="Q123" s="3204">
        <f ca="1">SUM(BH123:BK123)</f>
        <v>-448.22673816652969</v>
      </c>
      <c r="R123" s="3205">
        <f ca="1">500/K124-1</f>
        <v>3.866715334963402</v>
      </c>
      <c r="S123" s="3205"/>
      <c r="T123" s="1189">
        <v>120</v>
      </c>
      <c r="U123" s="3128"/>
      <c r="V123" s="3128"/>
      <c r="W123" s="3128"/>
      <c r="X123" s="3128"/>
      <c r="Y123" s="3128"/>
      <c r="Z123" s="3128"/>
      <c r="AA123" s="3128"/>
      <c r="AB123" s="3128"/>
      <c r="AC123" s="3128"/>
      <c r="AD123" s="3128"/>
      <c r="AE123" s="3128"/>
      <c r="AF123" s="3128"/>
      <c r="AG123" s="3128"/>
      <c r="AH123" s="3142">
        <v>0</v>
      </c>
      <c r="AI123" s="3160"/>
      <c r="AJ123" s="3206">
        <f>H123-AH123</f>
        <v>0</v>
      </c>
      <c r="AK123" s="3128"/>
      <c r="AL123" s="3207">
        <v>0</v>
      </c>
      <c r="AM123" s="3208">
        <f>AL123/2</f>
        <v>0</v>
      </c>
      <c r="AN123" s="3208">
        <f>I123-AL123-AM123</f>
        <v>0</v>
      </c>
      <c r="AO123" s="3142">
        <f t="shared" ref="AO123:AR123" si="776">-AVERAGE(SUM(AN219:AN220),SUM(AO219:AO220))*5%/4</f>
        <v>-46.464512437500005</v>
      </c>
      <c r="AP123" s="3142">
        <f t="shared" si="776"/>
        <v>-44.597573000000004</v>
      </c>
      <c r="AQ123" s="3142">
        <f t="shared" si="776"/>
        <v>-45.799660656250005</v>
      </c>
      <c r="AR123" s="3142">
        <f t="shared" si="776"/>
        <v>-49.228860531250007</v>
      </c>
      <c r="AS123" s="3145">
        <f>-AVERAGE(SUM(AR219:AR220),SUM(AS219:AS220))*5%/4</f>
        <v>-49.7711477484375</v>
      </c>
      <c r="AT123" s="3142">
        <f t="shared" ref="AT123" si="777">-AVERAGE(SUM(AS219:AS220),SUM(AT219:AT220))*5%/4</f>
        <v>-48.842767085937503</v>
      </c>
      <c r="AU123" s="3142">
        <f t="shared" ref="AU123:BZ123" si="778">-AVERAGE(SUM(AT219:AT220),SUM(AU219:AU220))*5%/4</f>
        <v>-47.006017275000005</v>
      </c>
      <c r="AV123" s="3142">
        <f t="shared" si="778"/>
        <v>-48.577522500000001</v>
      </c>
      <c r="AW123" s="3147">
        <f t="shared" si="778"/>
        <v>-52.37996625000001</v>
      </c>
      <c r="AX123" s="3148">
        <f t="shared" ca="1" si="778"/>
        <v>-52.563105402383485</v>
      </c>
      <c r="AY123" s="3148">
        <f t="shared" ca="1" si="778"/>
        <v>-54.126471444128498</v>
      </c>
      <c r="AZ123" s="3148">
        <f t="shared" ca="1" si="778"/>
        <v>-56.385149847338361</v>
      </c>
      <c r="BA123" s="3149">
        <f t="shared" ca="1" si="778"/>
        <v>-60.845250878291203</v>
      </c>
      <c r="BB123" s="3149">
        <f t="shared" ca="1" si="778"/>
        <v>-66.589147088620436</v>
      </c>
      <c r="BC123" s="3149">
        <f t="shared" ca="1" si="778"/>
        <v>-72.85621433015217</v>
      </c>
      <c r="BD123" s="3149">
        <f t="shared" ca="1" si="778"/>
        <v>-79.830159567736885</v>
      </c>
      <c r="BE123" s="3149">
        <f t="shared" ca="1" si="778"/>
        <v>-86.556516167912719</v>
      </c>
      <c r="BF123" s="3149">
        <f t="shared" ca="1" si="778"/>
        <v>-92.380670550186338</v>
      </c>
      <c r="BG123" s="3149">
        <f t="shared" ca="1" si="778"/>
        <v>-97.746104789887795</v>
      </c>
      <c r="BH123" s="3149">
        <f t="shared" ca="1" si="778"/>
        <v>-103.45452077648086</v>
      </c>
      <c r="BI123" s="3149">
        <f t="shared" ca="1" si="778"/>
        <v>-109.15237165416775</v>
      </c>
      <c r="BJ123" s="3149">
        <f t="shared" ca="1" si="778"/>
        <v>-114.81514206983297</v>
      </c>
      <c r="BK123" s="3149">
        <f t="shared" ca="1" si="778"/>
        <v>-120.8047036660481</v>
      </c>
      <c r="BL123" s="3149">
        <f t="shared" ca="1" si="778"/>
        <v>-126.71977358518835</v>
      </c>
      <c r="BM123" s="3149">
        <f t="shared" ca="1" si="778"/>
        <v>-132.35955342894695</v>
      </c>
      <c r="BN123" s="3149">
        <f t="shared" ca="1" si="778"/>
        <v>-137.69298001745111</v>
      </c>
      <c r="BO123" s="3149">
        <f t="shared" ca="1" si="778"/>
        <v>-142.82792017398296</v>
      </c>
      <c r="BP123" s="3149">
        <f t="shared" ca="1" si="778"/>
        <v>-147.88374982379537</v>
      </c>
      <c r="BQ123" s="3149">
        <f t="shared" ca="1" si="778"/>
        <v>-152.79407807608968</v>
      </c>
      <c r="BR123" s="3149">
        <f t="shared" ca="1" si="778"/>
        <v>-157.36385272301436</v>
      </c>
      <c r="BS123" s="3149">
        <f t="shared" ca="1" si="778"/>
        <v>-161.55945328979089</v>
      </c>
      <c r="BT123" s="3149">
        <f t="shared" ca="1" si="778"/>
        <v>-165.44762252829048</v>
      </c>
      <c r="BU123" s="3149">
        <f t="shared" ca="1" si="778"/>
        <v>-169.11820007324252</v>
      </c>
      <c r="BV123" s="3149">
        <f t="shared" ca="1" si="778"/>
        <v>-172.71045458081448</v>
      </c>
      <c r="BW123" s="3149">
        <f t="shared" ca="1" si="778"/>
        <v>-176.31505757034239</v>
      </c>
      <c r="BX123" s="3149">
        <f t="shared" ca="1" si="778"/>
        <v>-180.02022848825789</v>
      </c>
      <c r="BY123" s="3149">
        <f t="shared" ca="1" si="778"/>
        <v>-183.81818159529212</v>
      </c>
      <c r="BZ123" s="3149">
        <f t="shared" ca="1" si="778"/>
        <v>-187.58969574182038</v>
      </c>
      <c r="CA123" s="3149">
        <f t="shared" ref="CA123:CZ123" ca="1" si="779">-AVERAGE(SUM(BZ219:BZ220),SUM(CA219:CA220))*5%/4</f>
        <v>-191.34374105240653</v>
      </c>
      <c r="CB123" s="3149">
        <f t="shared" ca="1" si="779"/>
        <v>-195.20249685604114</v>
      </c>
      <c r="CC123" s="3149">
        <f t="shared" ca="1" si="779"/>
        <v>-172.85951515690601</v>
      </c>
      <c r="CD123" s="3149">
        <f t="shared" ca="1" si="779"/>
        <v>-124.61022922234889</v>
      </c>
      <c r="CE123" s="3149">
        <f t="shared" ca="1" si="779"/>
        <v>-76.113329597766736</v>
      </c>
      <c r="CF123" s="3149">
        <f t="shared" ca="1" si="779"/>
        <v>-25.777934075753151</v>
      </c>
      <c r="CG123" s="3149">
        <f t="shared" ca="1" si="779"/>
        <v>0</v>
      </c>
      <c r="CH123" s="3149">
        <f t="shared" ca="1" si="779"/>
        <v>0</v>
      </c>
      <c r="CI123" s="3149">
        <f t="shared" ca="1" si="779"/>
        <v>0</v>
      </c>
      <c r="CJ123" s="3149">
        <f t="shared" ca="1" si="779"/>
        <v>0</v>
      </c>
      <c r="CK123" s="3149">
        <f t="shared" ca="1" si="779"/>
        <v>0</v>
      </c>
      <c r="CL123" s="3149">
        <f t="shared" ca="1" si="779"/>
        <v>0</v>
      </c>
      <c r="CM123" s="3149">
        <f t="shared" ca="1" si="779"/>
        <v>0</v>
      </c>
      <c r="CN123" s="3149">
        <f t="shared" ca="1" si="779"/>
        <v>0</v>
      </c>
      <c r="CO123" s="3149">
        <f t="shared" ca="1" si="779"/>
        <v>0</v>
      </c>
      <c r="CP123" s="3149">
        <f t="shared" ca="1" si="779"/>
        <v>0</v>
      </c>
      <c r="CQ123" s="3149">
        <f t="shared" ca="1" si="779"/>
        <v>0</v>
      </c>
      <c r="CR123" s="3149">
        <f t="shared" ca="1" si="779"/>
        <v>0</v>
      </c>
      <c r="CS123" s="3149">
        <f t="shared" ca="1" si="779"/>
        <v>0</v>
      </c>
      <c r="CT123" s="3149">
        <f t="shared" ca="1" si="779"/>
        <v>0</v>
      </c>
      <c r="CU123" s="3149">
        <f t="shared" ca="1" si="779"/>
        <v>0</v>
      </c>
      <c r="CV123" s="3149">
        <f t="shared" ca="1" si="779"/>
        <v>0</v>
      </c>
      <c r="CW123" s="3149">
        <f t="shared" ca="1" si="779"/>
        <v>0</v>
      </c>
      <c r="CX123" s="3149">
        <f t="shared" ca="1" si="779"/>
        <v>0</v>
      </c>
      <c r="CY123" s="3149">
        <f t="shared" ca="1" si="779"/>
        <v>0</v>
      </c>
      <c r="CZ123" s="3149">
        <f t="shared" ca="1" si="779"/>
        <v>0</v>
      </c>
    </row>
    <row r="124" spans="1:104" s="3227" customFormat="1">
      <c r="A124" s="3209" t="s">
        <v>188</v>
      </c>
      <c r="B124" s="3210"/>
      <c r="C124" s="3211">
        <v>-54.944366694999999</v>
      </c>
      <c r="D124" s="3211">
        <v>-144.608819275</v>
      </c>
      <c r="E124" s="3212">
        <v>-555.57734015100004</v>
      </c>
      <c r="F124" s="3212">
        <f>-(207.512389408*5-3.438-5.947)</f>
        <v>-1028.17694704</v>
      </c>
      <c r="G124" s="3212">
        <f>-(382.306850793*5-65.469770143-6.437846)</f>
        <v>-1839.626637822</v>
      </c>
      <c r="H124" s="3213">
        <f>-(239.946680526*5-187.340353)</f>
        <v>-1012.39304963</v>
      </c>
      <c r="I124" s="3214">
        <f>-(715.458143561*5-330.623-306.2145)</f>
        <v>-2940.4532178049999</v>
      </c>
      <c r="J124" s="3214">
        <f t="shared" ref="J124:Q124" ca="1" si="780">J122+J123</f>
        <v>-986.36495939999895</v>
      </c>
      <c r="K124" s="3215">
        <f t="shared" ca="1" si="780"/>
        <v>102.73869860599933</v>
      </c>
      <c r="L124" s="3216">
        <f ca="1">L122+L123</f>
        <v>720.5086663896243</v>
      </c>
      <c r="M124" s="3216">
        <f t="shared" ca="1" si="780"/>
        <v>1666.8605919733013</v>
      </c>
      <c r="N124" s="3216">
        <f t="shared" ca="1" si="780"/>
        <v>2462.7398791753599</v>
      </c>
      <c r="O124" s="3216">
        <f t="shared" ca="1" si="780"/>
        <v>2832.7210836461363</v>
      </c>
      <c r="P124" s="3216">
        <f t="shared" ca="1" si="780"/>
        <v>3695.4264573903756</v>
      </c>
      <c r="Q124" s="3216">
        <f t="shared" ca="1" si="780"/>
        <v>4634.7378387975878</v>
      </c>
      <c r="R124" s="3216"/>
      <c r="S124" s="3217">
        <f ca="1">(Q124/M124)^(1/4)-1</f>
        <v>0.29131285254923589</v>
      </c>
      <c r="T124" s="1189">
        <v>121</v>
      </c>
      <c r="U124" s="3218"/>
      <c r="V124" s="3218"/>
      <c r="W124" s="3218"/>
      <c r="X124" s="3218"/>
      <c r="Y124" s="3218"/>
      <c r="Z124" s="3218"/>
      <c r="AA124" s="3218"/>
      <c r="AB124" s="3218"/>
      <c r="AC124" s="3218"/>
      <c r="AD124" s="3218"/>
      <c r="AE124" s="3218"/>
      <c r="AF124" s="3218"/>
      <c r="AG124" s="3219">
        <f>-127.527*5</f>
        <v>-637.63499999999999</v>
      </c>
      <c r="AH124" s="3219">
        <f>AH123+AH122</f>
        <v>-422.87650066000015</v>
      </c>
      <c r="AI124" s="3220">
        <f>AI122</f>
        <v>61.735007460000134</v>
      </c>
      <c r="AJ124" s="3221">
        <f>H124-AH124-AI124-AG124</f>
        <v>-13.616556429999946</v>
      </c>
      <c r="AK124" s="3219">
        <f>-151.998329*5</f>
        <v>-759.99164500000006</v>
      </c>
      <c r="AL124" s="3219">
        <f>-(376.567885988*5-124.4117)-AK124</f>
        <v>-998.43608494</v>
      </c>
      <c r="AM124" s="3219">
        <f>AM123+AM122</f>
        <v>-849.22300747500003</v>
      </c>
      <c r="AN124" s="3219">
        <f>AN123+AN122</f>
        <v>-332.8024803899998</v>
      </c>
      <c r="AO124" s="3222">
        <f>AO50</f>
        <v>-353.72330699999998</v>
      </c>
      <c r="AP124" s="3223">
        <f ca="1">AP122+AP123</f>
        <v>-349.53393533799999</v>
      </c>
      <c r="AQ124" s="3223">
        <f ca="1">-904.910016957-SUM(AO124:AP124)</f>
        <v>-201.65277461900007</v>
      </c>
      <c r="AR124" s="3223">
        <f ca="1">-1210.9999994-SUM(AO124:AQ124)+90+100</f>
        <v>-116.08998244299994</v>
      </c>
      <c r="AS124" s="3222">
        <v>-105.382638712</v>
      </c>
      <c r="AT124" s="3219">
        <f>-98.402647489-AS124</f>
        <v>6.979991222999999</v>
      </c>
      <c r="AU124" s="3219">
        <f>-8.43341679--98.4026</f>
        <v>89.969183210000011</v>
      </c>
      <c r="AV124" s="3219">
        <f>102.738698606-SUM(AT124:AU124)-AS124</f>
        <v>111.17216288499999</v>
      </c>
      <c r="AW124" s="3224">
        <v>22</v>
      </c>
      <c r="AX124" s="3225">
        <v>182</v>
      </c>
      <c r="AY124" s="3225">
        <f>88.520968136/0.2/(1-5%)-SUM(AW124:AX124)</f>
        <v>261.89983229473683</v>
      </c>
      <c r="AZ124" s="3225">
        <f t="shared" ref="AZ124:CD124" ca="1" si="781">AZ122+AZ123</f>
        <v>254.60883409488844</v>
      </c>
      <c r="BA124" s="3226">
        <f t="shared" ca="1" si="781"/>
        <v>367.96492855371747</v>
      </c>
      <c r="BB124" s="3226">
        <f t="shared" ca="1" si="781"/>
        <v>358.51505947186564</v>
      </c>
      <c r="BC124" s="3226">
        <f t="shared" ca="1" si="781"/>
        <v>400.67047612905048</v>
      </c>
      <c r="BD124" s="3226">
        <f t="shared" ca="1" si="781"/>
        <v>539.71012781867034</v>
      </c>
      <c r="BE124" s="3226">
        <f t="shared" ca="1" si="781"/>
        <v>670.06110369073997</v>
      </c>
      <c r="BF124" s="3226">
        <f t="shared" ca="1" si="781"/>
        <v>532.48400301716379</v>
      </c>
      <c r="BG124" s="3226">
        <f t="shared" ca="1" si="781"/>
        <v>581.53248363843886</v>
      </c>
      <c r="BH124" s="3226">
        <f t="shared" ca="1" si="781"/>
        <v>864.23006965414743</v>
      </c>
      <c r="BI124" s="3226">
        <f t="shared" ca="1" si="781"/>
        <v>895.92671007450201</v>
      </c>
      <c r="BJ124" s="3226">
        <f t="shared" ca="1" si="781"/>
        <v>777.81149247383041</v>
      </c>
      <c r="BK124" s="3226">
        <f t="shared" ca="1" si="781"/>
        <v>824.80265953122046</v>
      </c>
      <c r="BL124" s="3226">
        <f t="shared" ca="1" si="781"/>
        <v>1084.4100110063605</v>
      </c>
      <c r="BM124" s="3226">
        <f t="shared" ca="1" si="781"/>
        <v>1135.5429018346977</v>
      </c>
      <c r="BN124" s="3226">
        <f t="shared" ca="1" si="781"/>
        <v>993.97327878315821</v>
      </c>
      <c r="BO124" s="3226">
        <f t="shared" ca="1" si="781"/>
        <v>1046.3427469947687</v>
      </c>
      <c r="BP124" s="3226">
        <f t="shared" ca="1" si="781"/>
        <v>1332.2399783963911</v>
      </c>
      <c r="BQ124" s="3226">
        <f t="shared" ca="1" si="781"/>
        <v>1379.0836193029977</v>
      </c>
      <c r="BR124" s="3226">
        <f t="shared" ca="1" si="781"/>
        <v>1213.8202132737549</v>
      </c>
      <c r="BS124" s="3226">
        <f t="shared" ca="1" si="781"/>
        <v>1267.4285539780981</v>
      </c>
      <c r="BT124" s="3226">
        <f t="shared" ca="1" si="781"/>
        <v>1565.3745872587197</v>
      </c>
      <c r="BU124" s="3226" t="e">
        <f t="shared" ca="1" si="781"/>
        <v>#N/A</v>
      </c>
      <c r="BV124" s="3226" t="e">
        <f t="shared" ca="1" si="781"/>
        <v>#N/A</v>
      </c>
      <c r="BW124" s="3226" t="e">
        <f t="shared" ca="1" si="781"/>
        <v>#N/A</v>
      </c>
      <c r="BX124" s="3226" t="e">
        <f t="shared" ca="1" si="781"/>
        <v>#N/A</v>
      </c>
      <c r="BY124" s="3226" t="e">
        <f t="shared" ca="1" si="781"/>
        <v>#N/A</v>
      </c>
      <c r="BZ124" s="3226" t="e">
        <f t="shared" ca="1" si="781"/>
        <v>#N/A</v>
      </c>
      <c r="CA124" s="3226" t="e">
        <f t="shared" ca="1" si="781"/>
        <v>#N/A</v>
      </c>
      <c r="CB124" s="3226" t="e">
        <f t="shared" ca="1" si="781"/>
        <v>#N/A</v>
      </c>
      <c r="CC124" s="3226" t="e">
        <f t="shared" ca="1" si="781"/>
        <v>#N/A</v>
      </c>
      <c r="CD124" s="3226" t="e">
        <f t="shared" ca="1" si="781"/>
        <v>#N/A</v>
      </c>
      <c r="CE124" s="3226" t="e">
        <f t="shared" ref="CE124:CZ124" ca="1" si="782">CE122+CE123</f>
        <v>#N/A</v>
      </c>
      <c r="CF124" s="3226" t="e">
        <f t="shared" ca="1" si="782"/>
        <v>#N/A</v>
      </c>
      <c r="CG124" s="3226" t="e">
        <f t="shared" ca="1" si="782"/>
        <v>#N/A</v>
      </c>
      <c r="CH124" s="3226" t="e">
        <f t="shared" ca="1" si="782"/>
        <v>#N/A</v>
      </c>
      <c r="CI124" s="3226" t="e">
        <f t="shared" ca="1" si="782"/>
        <v>#N/A</v>
      </c>
      <c r="CJ124" s="3226" t="e">
        <f t="shared" ca="1" si="782"/>
        <v>#N/A</v>
      </c>
      <c r="CK124" s="3226" t="e">
        <f t="shared" ca="1" si="782"/>
        <v>#N/A</v>
      </c>
      <c r="CL124" s="3226" t="e">
        <f t="shared" ca="1" si="782"/>
        <v>#N/A</v>
      </c>
      <c r="CM124" s="3226" t="e">
        <f t="shared" ca="1" si="782"/>
        <v>#N/A</v>
      </c>
      <c r="CN124" s="3226" t="e">
        <f t="shared" ca="1" si="782"/>
        <v>#N/A</v>
      </c>
      <c r="CO124" s="3226" t="e">
        <f t="shared" ca="1" si="782"/>
        <v>#N/A</v>
      </c>
      <c r="CP124" s="3226" t="e">
        <f t="shared" ca="1" si="782"/>
        <v>#N/A</v>
      </c>
      <c r="CQ124" s="3226" t="e">
        <f t="shared" ca="1" si="782"/>
        <v>#N/A</v>
      </c>
      <c r="CR124" s="3226" t="e">
        <f t="shared" ca="1" si="782"/>
        <v>#N/A</v>
      </c>
      <c r="CS124" s="3226" t="e">
        <f t="shared" ca="1" si="782"/>
        <v>#N/A</v>
      </c>
      <c r="CT124" s="3226" t="e">
        <f t="shared" ca="1" si="782"/>
        <v>#N/A</v>
      </c>
      <c r="CU124" s="3226" t="e">
        <f t="shared" ca="1" si="782"/>
        <v>#N/A</v>
      </c>
      <c r="CV124" s="3226" t="e">
        <f t="shared" ca="1" si="782"/>
        <v>#N/A</v>
      </c>
      <c r="CW124" s="3226" t="e">
        <f t="shared" ca="1" si="782"/>
        <v>#N/A</v>
      </c>
      <c r="CX124" s="3226" t="e">
        <f t="shared" ca="1" si="782"/>
        <v>#N/A</v>
      </c>
      <c r="CY124" s="3226" t="e">
        <f t="shared" ca="1" si="782"/>
        <v>#N/A</v>
      </c>
      <c r="CZ124" s="3226" t="e">
        <f t="shared" ca="1" si="782"/>
        <v>#N/A</v>
      </c>
    </row>
    <row r="125" spans="1:104" s="2716" customFormat="1">
      <c r="A125" s="2702" t="s">
        <v>203</v>
      </c>
      <c r="B125" s="2703"/>
      <c r="C125" s="2680">
        <f t="shared" ref="C125:I125" si="783">C124/C102</f>
        <v>-0.22066010720883533</v>
      </c>
      <c r="D125" s="2680">
        <f t="shared" si="783"/>
        <v>-0.12699465994116096</v>
      </c>
      <c r="E125" s="2704">
        <f t="shared" si="783"/>
        <v>-0.12843300149625</v>
      </c>
      <c r="F125" s="2704">
        <f t="shared" si="783"/>
        <v>-9.5837864996698885E-2</v>
      </c>
      <c r="G125" s="2704">
        <f t="shared" si="783"/>
        <v>-8.6468872118451057E-2</v>
      </c>
      <c r="H125" s="2704">
        <f t="shared" si="783"/>
        <v>-3.595480040118787E-2</v>
      </c>
      <c r="I125" s="2704">
        <f t="shared" si="783"/>
        <v>-0.10857925440491747</v>
      </c>
      <c r="J125" s="2704">
        <f t="shared" ref="J125:Q125" ca="1" si="784">J124/J102</f>
        <v>-3.1233097601197655E-2</v>
      </c>
      <c r="K125" s="2705">
        <f t="shared" ca="1" si="784"/>
        <v>2.5007340188092425E-3</v>
      </c>
      <c r="L125" s="2676">
        <f t="shared" ca="1" si="784"/>
        <v>1.512188431466545E-2</v>
      </c>
      <c r="M125" s="2676">
        <f t="shared" ca="1" si="784"/>
        <v>2.4386839277590971E-2</v>
      </c>
      <c r="N125" s="2676">
        <f t="shared" ca="1" si="784"/>
        <v>2.8349361382910821E-2</v>
      </c>
      <c r="O125" s="2676">
        <f t="shared" ca="1" si="784"/>
        <v>2.6783242427767119E-2</v>
      </c>
      <c r="P125" s="2676">
        <f t="shared" ca="1" si="784"/>
        <v>3.003416538923254E-2</v>
      </c>
      <c r="Q125" s="2676">
        <f t="shared" ca="1" si="784"/>
        <v>3.3771222245273944E-2</v>
      </c>
      <c r="R125" s="2706"/>
      <c r="S125" s="2706"/>
      <c r="T125" s="2562">
        <v>122</v>
      </c>
      <c r="U125" s="2707">
        <f>H107/20</f>
        <v>105.3</v>
      </c>
      <c r="V125" s="2707">
        <f>I107/20</f>
        <v>86.4</v>
      </c>
      <c r="W125" s="2708"/>
      <c r="X125" s="2708"/>
      <c r="Y125" s="2708"/>
      <c r="Z125" s="2708"/>
      <c r="AA125" s="2708"/>
      <c r="AB125" s="2708"/>
      <c r="AC125" s="2708"/>
      <c r="AD125" s="2708"/>
      <c r="AE125" s="2708"/>
      <c r="AF125" s="2708"/>
      <c r="AG125" s="2708"/>
      <c r="AH125" s="2709"/>
      <c r="AI125" s="2708"/>
      <c r="AJ125" s="2709"/>
      <c r="AK125" s="2710">
        <f>AK124/AK102</f>
        <v>-0.12582643129139073</v>
      </c>
      <c r="AL125" s="2709"/>
      <c r="AM125" s="2709">
        <f>AM124-AM117-AM118</f>
        <v>-308.80703244971431</v>
      </c>
      <c r="AN125" s="2710">
        <f t="shared" ref="AN125:AX125" si="785">AN124/AN102</f>
        <v>-4.658231983542957E-2</v>
      </c>
      <c r="AO125" s="2711">
        <f t="shared" si="785"/>
        <v>-5.5532699964205193E-2</v>
      </c>
      <c r="AP125" s="2712">
        <f t="shared" ref="AP125:AW125" ca="1" si="786">AP124/AP102</f>
        <v>-4.7748580705435577E-2</v>
      </c>
      <c r="AQ125" s="2712">
        <f t="shared" ca="1" si="786"/>
        <v>-2.3359540444753045E-2</v>
      </c>
      <c r="AR125" s="2710">
        <f t="shared" ca="1" si="786"/>
        <v>-1.2539079446621353E-2</v>
      </c>
      <c r="AS125" s="2711">
        <f t="shared" ca="1" si="786"/>
        <v>-1.1501429722121185E-2</v>
      </c>
      <c r="AT125" s="2710">
        <f t="shared" ca="1" si="786"/>
        <v>6.7590589381781433E-4</v>
      </c>
      <c r="AU125" s="2710">
        <f t="shared" ca="1" si="786"/>
        <v>8.2999461158215094E-3</v>
      </c>
      <c r="AV125" s="2710">
        <f t="shared" ca="1" si="786"/>
        <v>1.0337510545853577E-2</v>
      </c>
      <c r="AW125" s="2713">
        <f t="shared" ca="1" si="786"/>
        <v>1.9961596940605733E-3</v>
      </c>
      <c r="AX125" s="2714">
        <f t="shared" si="785"/>
        <v>1.5732793879197425E-2</v>
      </c>
      <c r="AY125" s="2714">
        <f t="shared" ref="AY125:CD125" ca="1" si="787">AY124/AY102</f>
        <v>2.2229276489826255E-2</v>
      </c>
      <c r="AZ125" s="2714">
        <f t="shared" ca="1" si="787"/>
        <v>1.9178643299494438E-2</v>
      </c>
      <c r="BA125" s="2715">
        <f t="shared" ca="1" si="787"/>
        <v>2.334062486182556E-2</v>
      </c>
      <c r="BB125" s="2715">
        <f t="shared" ca="1" si="787"/>
        <v>2.2132393391763979E-2</v>
      </c>
      <c r="BC125" s="2715">
        <f t="shared" ca="1" si="787"/>
        <v>2.3143924642256876E-2</v>
      </c>
      <c r="BD125" s="2715">
        <f t="shared" ca="1" si="787"/>
        <v>2.8294041335960619E-2</v>
      </c>
      <c r="BE125" s="2715">
        <f t="shared" ca="1" si="787"/>
        <v>3.2141557348598707E-2</v>
      </c>
      <c r="BF125" s="2715">
        <f t="shared" ca="1" si="787"/>
        <v>2.6005824630760094E-2</v>
      </c>
      <c r="BG125" s="2715">
        <f t="shared" ca="1" si="787"/>
        <v>2.6881937814526899E-2</v>
      </c>
      <c r="BH125" s="2715">
        <f t="shared" ca="1" si="787"/>
        <v>3.6136818621556779E-2</v>
      </c>
      <c r="BI125" s="2715">
        <f t="shared" ca="1" si="787"/>
        <v>3.5502567970986491E-2</v>
      </c>
      <c r="BJ125" s="2715">
        <f t="shared" ca="1" si="787"/>
        <v>3.0708274387849194E-2</v>
      </c>
      <c r="BK125" s="2715">
        <f t="shared" ca="1" si="787"/>
        <v>3.1068124835770986E-2</v>
      </c>
      <c r="BL125" s="2715">
        <f t="shared" ca="1" si="787"/>
        <v>3.7847770854461199E-2</v>
      </c>
      <c r="BM125" s="2715">
        <f t="shared" ca="1" si="787"/>
        <v>3.8123515439784483E-2</v>
      </c>
      <c r="BN125" s="2715">
        <f t="shared" ca="1" si="787"/>
        <v>3.3536461869920542E-2</v>
      </c>
      <c r="BO125" s="2715">
        <f t="shared" ca="1" si="787"/>
        <v>3.4003493396018679E-2</v>
      </c>
      <c r="BP125" s="2715">
        <f t="shared" ca="1" si="787"/>
        <v>4.0561849494209004E-2</v>
      </c>
      <c r="BQ125" s="2715">
        <f t="shared" ca="1" si="787"/>
        <v>4.0806443479162201E-2</v>
      </c>
      <c r="BR125" s="2715">
        <f t="shared" ca="1" si="787"/>
        <v>3.6470372792441121E-2</v>
      </c>
      <c r="BS125" s="2715">
        <f t="shared" ca="1" si="787"/>
        <v>3.7096587610373113E-2</v>
      </c>
      <c r="BT125" s="2715">
        <f t="shared" ca="1" si="787"/>
        <v>4.3488020186848012E-2</v>
      </c>
      <c r="BU125" s="2715" t="e">
        <f t="shared" ca="1" si="787"/>
        <v>#N/A</v>
      </c>
      <c r="BV125" s="2715" t="e">
        <f t="shared" ca="1" si="787"/>
        <v>#N/A</v>
      </c>
      <c r="BW125" s="2715" t="e">
        <f t="shared" ca="1" si="787"/>
        <v>#N/A</v>
      </c>
      <c r="BX125" s="2715" t="e">
        <f t="shared" ca="1" si="787"/>
        <v>#N/A</v>
      </c>
      <c r="BY125" s="2715" t="e">
        <f t="shared" ca="1" si="787"/>
        <v>#N/A</v>
      </c>
      <c r="BZ125" s="2715" t="e">
        <f t="shared" ca="1" si="787"/>
        <v>#N/A</v>
      </c>
      <c r="CA125" s="2715" t="e">
        <f t="shared" ca="1" si="787"/>
        <v>#N/A</v>
      </c>
      <c r="CB125" s="2715" t="e">
        <f t="shared" ca="1" si="787"/>
        <v>#N/A</v>
      </c>
      <c r="CC125" s="2715" t="e">
        <f t="shared" ca="1" si="787"/>
        <v>#N/A</v>
      </c>
      <c r="CD125" s="2715" t="e">
        <f t="shared" ca="1" si="787"/>
        <v>#N/A</v>
      </c>
      <c r="CE125" s="2715" t="e">
        <f t="shared" ref="CE125:CZ125" ca="1" si="788">CE124/CE102</f>
        <v>#N/A</v>
      </c>
      <c r="CF125" s="2715" t="e">
        <f t="shared" ca="1" si="788"/>
        <v>#N/A</v>
      </c>
      <c r="CG125" s="2715" t="e">
        <f t="shared" ca="1" si="788"/>
        <v>#N/A</v>
      </c>
      <c r="CH125" s="2715" t="e">
        <f t="shared" ca="1" si="788"/>
        <v>#N/A</v>
      </c>
      <c r="CI125" s="2715" t="e">
        <f t="shared" ca="1" si="788"/>
        <v>#N/A</v>
      </c>
      <c r="CJ125" s="2715" t="e">
        <f t="shared" ca="1" si="788"/>
        <v>#N/A</v>
      </c>
      <c r="CK125" s="2715" t="e">
        <f t="shared" ca="1" si="788"/>
        <v>#N/A</v>
      </c>
      <c r="CL125" s="2715" t="e">
        <f t="shared" ca="1" si="788"/>
        <v>#N/A</v>
      </c>
      <c r="CM125" s="2715" t="e">
        <f t="shared" ca="1" si="788"/>
        <v>#N/A</v>
      </c>
      <c r="CN125" s="2715" t="e">
        <f t="shared" ca="1" si="788"/>
        <v>#N/A</v>
      </c>
      <c r="CO125" s="2715" t="e">
        <f t="shared" ca="1" si="788"/>
        <v>#N/A</v>
      </c>
      <c r="CP125" s="2715" t="e">
        <f t="shared" ca="1" si="788"/>
        <v>#N/A</v>
      </c>
      <c r="CQ125" s="2715" t="e">
        <f t="shared" ca="1" si="788"/>
        <v>#N/A</v>
      </c>
      <c r="CR125" s="2715" t="e">
        <f t="shared" ca="1" si="788"/>
        <v>#N/A</v>
      </c>
      <c r="CS125" s="2715" t="e">
        <f t="shared" ca="1" si="788"/>
        <v>#N/A</v>
      </c>
      <c r="CT125" s="2715" t="e">
        <f t="shared" ca="1" si="788"/>
        <v>#N/A</v>
      </c>
      <c r="CU125" s="2715" t="e">
        <f t="shared" ca="1" si="788"/>
        <v>#N/A</v>
      </c>
      <c r="CV125" s="2715" t="e">
        <f t="shared" ca="1" si="788"/>
        <v>#N/A</v>
      </c>
      <c r="CW125" s="2715" t="e">
        <f t="shared" ca="1" si="788"/>
        <v>#N/A</v>
      </c>
      <c r="CX125" s="2715" t="e">
        <f t="shared" ca="1" si="788"/>
        <v>#N/A</v>
      </c>
      <c r="CY125" s="2715" t="e">
        <f t="shared" ca="1" si="788"/>
        <v>#N/A</v>
      </c>
      <c r="CZ125" s="2715" t="e">
        <f t="shared" ca="1" si="788"/>
        <v>#N/A</v>
      </c>
    </row>
    <row r="126" spans="1:104">
      <c r="A126" s="2689" t="s">
        <v>204</v>
      </c>
      <c r="B126" s="2684"/>
      <c r="C126" s="2685"/>
      <c r="D126" s="2690"/>
      <c r="E126" s="2685"/>
      <c r="F126" s="2685"/>
      <c r="G126" s="2685"/>
      <c r="H126" s="2685">
        <f>5920.259825989+AL124</f>
        <v>4921.8237410490001</v>
      </c>
      <c r="I126" s="2559">
        <f t="shared" ref="I126" si="789">IF(I124&lt;0,H126-I124,H126)</f>
        <v>7862.2769588539995</v>
      </c>
      <c r="J126" s="2559">
        <f ca="1">IF(J124&lt;0,I126-J124,I126)</f>
        <v>8848.6419182539976</v>
      </c>
      <c r="K126" s="2560">
        <f t="shared" ref="K126:Q126" ca="1" si="790">IF(K124&lt;0,J126+K124,J126-K124)</f>
        <v>8745.9032196479984</v>
      </c>
      <c r="L126" s="2692">
        <f t="shared" ca="1" si="790"/>
        <v>8025.3945532583739</v>
      </c>
      <c r="M126" s="2693">
        <f t="shared" ca="1" si="790"/>
        <v>6358.533961285073</v>
      </c>
      <c r="N126" s="2693">
        <f t="shared" ca="1" si="790"/>
        <v>3895.7940821097131</v>
      </c>
      <c r="O126" s="2693">
        <f t="shared" ca="1" si="790"/>
        <v>1063.0729984635768</v>
      </c>
      <c r="P126" s="2693">
        <f t="shared" ca="1" si="790"/>
        <v>-2632.3534589267988</v>
      </c>
      <c r="Q126" s="2693">
        <f t="shared" ca="1" si="790"/>
        <v>-7267.0912977243861</v>
      </c>
      <c r="R126" s="2562"/>
      <c r="S126" s="2717">
        <f ca="1">L124-400</f>
        <v>320.5086663896243</v>
      </c>
      <c r="T126" s="2562">
        <v>123</v>
      </c>
      <c r="U126" s="2175"/>
      <c r="V126" s="2175"/>
      <c r="W126" s="2175"/>
      <c r="X126" s="2175"/>
      <c r="Y126" s="2175"/>
      <c r="Z126" s="2175"/>
      <c r="AA126" s="2175"/>
      <c r="AB126" s="2175"/>
      <c r="AC126" s="2175"/>
      <c r="AD126" s="2175"/>
      <c r="AE126" s="2175"/>
      <c r="AF126" s="2175"/>
      <c r="AG126" s="2175"/>
      <c r="AH126" s="2175">
        <f>0.7*0.4*0.5</f>
        <v>0.13999999999999999</v>
      </c>
      <c r="AI126" s="2175"/>
      <c r="AJ126" s="2436">
        <f>AM120/AM102</f>
        <v>-8.729071673682981E-2</v>
      </c>
      <c r="AK126" s="2175"/>
      <c r="AL126" s="2453"/>
      <c r="AM126" s="2175">
        <f>AM125/AM102</f>
        <v>-4.3364155040977265E-2</v>
      </c>
      <c r="AN126" s="2175"/>
      <c r="AO126" s="2718"/>
      <c r="AP126" s="2175"/>
      <c r="AQ126" s="2175"/>
      <c r="AR126" s="2175"/>
      <c r="AS126" s="2375"/>
      <c r="AT126" s="2491">
        <f ca="1">AT122/AT102</f>
        <v>5.4055843545833962E-3</v>
      </c>
      <c r="AU126" s="2176"/>
      <c r="AV126" s="2175">
        <f>AV124/AU124-1</f>
        <v>0.23566935831249469</v>
      </c>
      <c r="AW126" s="2719">
        <f ca="1">AW110+SUM(AW114:AW119)</f>
        <v>101.70546733786477</v>
      </c>
      <c r="AX126" s="2177"/>
      <c r="AY126" s="2720">
        <f ca="1">AY125-AU125</f>
        <v>1.3929330374004746E-2</v>
      </c>
      <c r="AZ126" s="2177"/>
      <c r="BA126" s="2174"/>
      <c r="BB126" s="2174"/>
      <c r="BC126" s="2174"/>
      <c r="BD126" s="2174"/>
      <c r="BE126" s="2174"/>
      <c r="BF126" s="2174"/>
      <c r="BG126" s="2174"/>
      <c r="BH126" s="2174"/>
      <c r="BI126" s="2174"/>
      <c r="BJ126" s="2174"/>
      <c r="BK126" s="2174"/>
      <c r="BL126" s="2174"/>
      <c r="BM126" s="2174"/>
      <c r="BN126" s="2174"/>
      <c r="BO126" s="2174"/>
      <c r="BP126" s="2174"/>
      <c r="BQ126" s="2174"/>
      <c r="BR126" s="2174"/>
      <c r="BS126" s="2174"/>
      <c r="BT126" s="2174"/>
      <c r="BU126" s="2174"/>
      <c r="BV126" s="2174"/>
      <c r="BW126" s="2174"/>
      <c r="BX126" s="2174"/>
      <c r="BY126" s="2174"/>
      <c r="BZ126" s="2174"/>
      <c r="CA126" s="2174"/>
      <c r="CB126" s="2174"/>
      <c r="CC126" s="2174"/>
      <c r="CD126" s="2174"/>
      <c r="CE126" s="2174"/>
      <c r="CF126" s="2174"/>
      <c r="CG126" s="2174"/>
      <c r="CH126" s="2174"/>
      <c r="CI126" s="2174"/>
      <c r="CJ126" s="2174"/>
      <c r="CK126" s="2174"/>
      <c r="CL126" s="2174"/>
      <c r="CM126" s="2174"/>
      <c r="CN126" s="2174"/>
      <c r="CO126" s="2174"/>
      <c r="CP126" s="2174"/>
      <c r="CQ126" s="2174"/>
      <c r="CR126" s="2174"/>
      <c r="CS126" s="2174"/>
      <c r="CT126" s="2174"/>
      <c r="CU126" s="2174"/>
      <c r="CV126" s="2174"/>
      <c r="CW126" s="2174"/>
      <c r="CX126" s="2174"/>
      <c r="CY126" s="2174"/>
      <c r="CZ126" s="2174"/>
    </row>
    <row r="127" spans="1:104">
      <c r="A127" s="2689" t="s">
        <v>189</v>
      </c>
      <c r="B127" s="2684"/>
      <c r="C127" s="2685"/>
      <c r="D127" s="2685"/>
      <c r="E127" s="2685"/>
      <c r="F127" s="2685"/>
      <c r="G127" s="2685"/>
      <c r="H127" s="2685"/>
      <c r="I127" s="2721">
        <f t="shared" ref="I127" si="791">IF(I124&gt;0,I124*0.2,0)</f>
        <v>0</v>
      </c>
      <c r="J127" s="2721">
        <f t="shared" ref="J127:Q127" ca="1" si="792">IF(J124&gt;0,J124*0.2,0)</f>
        <v>0</v>
      </c>
      <c r="K127" s="2722">
        <f t="shared" ca="1" si="792"/>
        <v>20.547739721199868</v>
      </c>
      <c r="L127" s="2723">
        <f t="shared" ca="1" si="792"/>
        <v>144.10173327792486</v>
      </c>
      <c r="M127" s="2723">
        <f t="shared" ca="1" si="792"/>
        <v>333.37211839466028</v>
      </c>
      <c r="N127" s="2723">
        <f t="shared" ca="1" si="792"/>
        <v>492.54797583507201</v>
      </c>
      <c r="O127" s="2723">
        <f t="shared" ca="1" si="792"/>
        <v>566.54421672922729</v>
      </c>
      <c r="P127" s="2723">
        <f t="shared" ca="1" si="792"/>
        <v>739.08529147807519</v>
      </c>
      <c r="Q127" s="2723">
        <f t="shared" ca="1" si="792"/>
        <v>926.9475677595176</v>
      </c>
      <c r="R127" s="2562"/>
      <c r="S127" s="2562"/>
      <c r="T127" s="2562">
        <v>124</v>
      </c>
      <c r="U127" s="2175"/>
      <c r="V127" s="2175"/>
      <c r="W127" s="2175"/>
      <c r="X127" s="2175"/>
      <c r="Y127" s="2175"/>
      <c r="Z127" s="2175"/>
      <c r="AA127" s="2175"/>
      <c r="AB127" s="2175"/>
      <c r="AC127" s="2175"/>
      <c r="AD127" s="2175"/>
      <c r="AE127" s="2175"/>
      <c r="AF127" s="2175"/>
      <c r="AG127" s="2175"/>
      <c r="AH127" s="2175"/>
      <c r="AI127" s="2175"/>
      <c r="AJ127" s="2175"/>
      <c r="AK127" s="2175"/>
      <c r="AL127" s="2175">
        <f>AL126/AL107</f>
        <v>0</v>
      </c>
      <c r="AM127" s="2175"/>
      <c r="AN127" s="2175"/>
      <c r="AO127" s="2175"/>
      <c r="AP127" s="2175"/>
      <c r="AQ127" s="2175"/>
      <c r="AR127" s="2175"/>
      <c r="AS127" s="2375"/>
      <c r="AT127" s="2724"/>
      <c r="AU127" s="2175"/>
      <c r="AV127" s="2175"/>
      <c r="AW127" s="2376"/>
      <c r="AX127" s="2177"/>
      <c r="AY127" s="2725">
        <f>443/500</f>
        <v>0.88600000000000001</v>
      </c>
      <c r="AZ127" s="2177"/>
      <c r="BA127" s="2174"/>
      <c r="BB127" s="2174"/>
      <c r="BC127" s="2174"/>
      <c r="BD127" s="2174"/>
      <c r="BE127" s="2174"/>
      <c r="BF127" s="2174"/>
      <c r="BG127" s="2174"/>
      <c r="BH127" s="2174"/>
      <c r="BI127" s="2174"/>
      <c r="BJ127" s="2174"/>
      <c r="BK127" s="2174"/>
      <c r="BL127" s="2174"/>
      <c r="BM127" s="2174"/>
      <c r="BN127" s="2174"/>
      <c r="BO127" s="2174"/>
      <c r="BP127" s="2174"/>
      <c r="BQ127" s="2174"/>
      <c r="BR127" s="2174"/>
      <c r="BS127" s="2174"/>
      <c r="BT127" s="2174"/>
      <c r="BU127" s="2174"/>
      <c r="BV127" s="2174"/>
      <c r="BW127" s="2174"/>
      <c r="BX127" s="2174"/>
      <c r="BY127" s="2174"/>
      <c r="BZ127" s="2174"/>
      <c r="CA127" s="2174"/>
      <c r="CB127" s="2174"/>
      <c r="CC127" s="2174"/>
      <c r="CD127" s="2174"/>
      <c r="CE127" s="2174"/>
      <c r="CF127" s="2174"/>
      <c r="CG127" s="2174"/>
      <c r="CH127" s="2174"/>
      <c r="CI127" s="2174"/>
      <c r="CJ127" s="2174"/>
      <c r="CK127" s="2174"/>
      <c r="CL127" s="2174"/>
      <c r="CM127" s="2174"/>
      <c r="CN127" s="2174"/>
      <c r="CO127" s="2174"/>
      <c r="CP127" s="2174"/>
      <c r="CQ127" s="2174"/>
      <c r="CR127" s="2174"/>
      <c r="CS127" s="2174"/>
      <c r="CT127" s="2174"/>
      <c r="CU127" s="2174"/>
      <c r="CV127" s="2174"/>
      <c r="CW127" s="2174"/>
      <c r="CX127" s="2174"/>
      <c r="CY127" s="2174"/>
      <c r="CZ127" s="2174"/>
    </row>
    <row r="128" spans="1:104" s="2589" customFormat="1">
      <c r="A128" s="2695" t="s">
        <v>50</v>
      </c>
      <c r="B128" s="2696"/>
      <c r="C128" s="2697"/>
      <c r="D128" s="2697"/>
      <c r="E128" s="2698"/>
      <c r="F128" s="2698"/>
      <c r="G128" s="2698">
        <f>G124</f>
        <v>-1839.626637822</v>
      </c>
      <c r="H128" s="2698">
        <f>H124</f>
        <v>-1012.39304963</v>
      </c>
      <c r="I128" s="2699">
        <f>I110+I112</f>
        <v>-2940.4532178049976</v>
      </c>
      <c r="J128" s="2699">
        <f t="shared" ref="J128:Q128" ca="1" si="793">J124</f>
        <v>-986.36495939999895</v>
      </c>
      <c r="K128" s="2700">
        <f t="shared" ca="1" si="793"/>
        <v>102.73869860599933</v>
      </c>
      <c r="L128" s="2701">
        <f t="shared" ca="1" si="793"/>
        <v>720.5086663896243</v>
      </c>
      <c r="M128" s="2701">
        <f t="shared" ca="1" si="793"/>
        <v>1666.8605919733013</v>
      </c>
      <c r="N128" s="2701">
        <f t="shared" ca="1" si="793"/>
        <v>2462.7398791753599</v>
      </c>
      <c r="O128" s="2701">
        <f t="shared" ca="1" si="793"/>
        <v>2832.7210836461363</v>
      </c>
      <c r="P128" s="2701">
        <f t="shared" ca="1" si="793"/>
        <v>3695.4264573903756</v>
      </c>
      <c r="Q128" s="2701">
        <f t="shared" ca="1" si="793"/>
        <v>4634.7378387975878</v>
      </c>
      <c r="R128" s="2701">
        <f ca="1">L128-K128</f>
        <v>617.76996778362491</v>
      </c>
      <c r="S128" s="2726"/>
      <c r="T128" s="2562">
        <v>125</v>
      </c>
      <c r="U128" s="2582"/>
      <c r="V128" s="2582"/>
      <c r="W128" s="2582"/>
      <c r="X128" s="2582"/>
      <c r="Y128" s="2582"/>
      <c r="Z128" s="2582"/>
      <c r="AA128" s="2582"/>
      <c r="AB128" s="2582"/>
      <c r="AC128" s="2582"/>
      <c r="AD128" s="2582"/>
      <c r="AE128" s="2582"/>
      <c r="AF128" s="2582"/>
      <c r="AG128" s="2582"/>
      <c r="AH128" s="2583"/>
      <c r="AI128" s="2580"/>
      <c r="AJ128" s="2582">
        <f>((-(SUM(AJ102)*(1-AJ111))+AJ112)/AVERAGE(AI107:AJ107))/3</f>
        <v>-0.92372913472442209</v>
      </c>
      <c r="AK128" s="2582"/>
      <c r="AL128" s="2727">
        <f>((-(SUM(AK102:AL102)*(1-AL111))+AL112)/AVERAGE(AK107:AL107))/6</f>
        <v>-1.0179498705170846</v>
      </c>
      <c r="AM128" s="2727">
        <f t="shared" ref="AM128:AO128" si="794">((-(SUM(AM102)*(1-AM111))+AM112)/AVERAGE(AL107:AM107))/3</f>
        <v>-1.4690763998663716</v>
      </c>
      <c r="AN128" s="2727">
        <f t="shared" si="794"/>
        <v>-1.4423605731847993</v>
      </c>
      <c r="AO128" s="2728">
        <f t="shared" si="794"/>
        <v>-1.2947253819202056</v>
      </c>
      <c r="AP128" s="2729">
        <f ca="1">((-(SUM(AP102)*(1-AP111))+AP112)/AVERAGE(AO107:AP107))/3</f>
        <v>-1.4881413665765024</v>
      </c>
      <c r="AQ128" s="2729">
        <f ca="1">((-(SUM(AQ102)*(1-AQ111))+AQ112)/AVERAGE(AP107:AQ107))/3</f>
        <v>-1.7171588733807646</v>
      </c>
      <c r="AR128" s="2729">
        <f ca="1">((-(SUM(AR102)*(1-AR111))+AR112)/AVERAGE(AQ107:AR107))/3</f>
        <v>-1.8263053509423719</v>
      </c>
      <c r="AS128" s="2584"/>
      <c r="AT128" s="2583"/>
      <c r="AU128" s="2583"/>
      <c r="AV128" s="2583"/>
      <c r="AW128" s="2587"/>
      <c r="AX128" s="2587"/>
      <c r="AY128" s="2587"/>
      <c r="AZ128" s="2587"/>
      <c r="BA128" s="2588"/>
      <c r="BB128" s="2588"/>
      <c r="BC128" s="2588"/>
      <c r="BD128" s="2588"/>
      <c r="BE128" s="2588"/>
      <c r="BF128" s="2588"/>
      <c r="BG128" s="2588"/>
      <c r="BH128" s="2588"/>
      <c r="BI128" s="2588"/>
      <c r="BJ128" s="2588"/>
      <c r="BK128" s="2588"/>
      <c r="BL128" s="2588"/>
      <c r="BM128" s="2588"/>
      <c r="BN128" s="2588"/>
      <c r="BO128" s="2588"/>
      <c r="BP128" s="2588"/>
      <c r="BQ128" s="2588"/>
      <c r="BR128" s="2588"/>
      <c r="BS128" s="2588"/>
      <c r="BT128" s="2588"/>
      <c r="BU128" s="2588"/>
      <c r="BV128" s="2588"/>
      <c r="BW128" s="2588"/>
      <c r="BX128" s="2588"/>
      <c r="BY128" s="2588"/>
      <c r="BZ128" s="2588"/>
      <c r="CA128" s="2588"/>
      <c r="CB128" s="2588"/>
      <c r="CC128" s="2588"/>
      <c r="CD128" s="2588"/>
      <c r="CE128" s="2588"/>
      <c r="CF128" s="2588"/>
      <c r="CG128" s="2588"/>
      <c r="CH128" s="2588"/>
      <c r="CI128" s="2588"/>
      <c r="CJ128" s="2588"/>
      <c r="CK128" s="2588"/>
      <c r="CL128" s="2588"/>
      <c r="CM128" s="2588"/>
      <c r="CN128" s="2588"/>
      <c r="CO128" s="2588"/>
      <c r="CP128" s="2588"/>
      <c r="CQ128" s="2588"/>
      <c r="CR128" s="2588"/>
      <c r="CS128" s="2588"/>
      <c r="CT128" s="2588"/>
      <c r="CU128" s="2588"/>
      <c r="CV128" s="2588"/>
      <c r="CW128" s="2588"/>
      <c r="CX128" s="2588"/>
      <c r="CY128" s="2588"/>
      <c r="CZ128" s="2588"/>
    </row>
    <row r="129" spans="1:104" s="2589" customFormat="1">
      <c r="A129" s="2695"/>
      <c r="B129" s="2696"/>
      <c r="C129" s="2697"/>
      <c r="D129" s="2697"/>
      <c r="E129" s="2698"/>
      <c r="F129" s="2698"/>
      <c r="G129" s="2698"/>
      <c r="H129" s="2698"/>
      <c r="I129" s="2730">
        <f t="shared" ref="I129" si="795">I128/I102</f>
        <v>-0.10857925440491739</v>
      </c>
      <c r="J129" s="2730">
        <f t="shared" ref="J129:Q129" ca="1" si="796">J128/J102</f>
        <v>-3.1233097601197655E-2</v>
      </c>
      <c r="K129" s="2731">
        <f t="shared" ca="1" si="796"/>
        <v>2.5007340188092425E-3</v>
      </c>
      <c r="L129" s="2732">
        <f t="shared" ca="1" si="796"/>
        <v>1.512188431466545E-2</v>
      </c>
      <c r="M129" s="2733">
        <f t="shared" ca="1" si="796"/>
        <v>2.4386839277590971E-2</v>
      </c>
      <c r="N129" s="2733">
        <f t="shared" ca="1" si="796"/>
        <v>2.8349361382910821E-2</v>
      </c>
      <c r="O129" s="2733">
        <f t="shared" ca="1" si="796"/>
        <v>2.6783242427767119E-2</v>
      </c>
      <c r="P129" s="2733">
        <f t="shared" ca="1" si="796"/>
        <v>3.003416538923254E-2</v>
      </c>
      <c r="Q129" s="2733">
        <f t="shared" ca="1" si="796"/>
        <v>3.3771222245273944E-2</v>
      </c>
      <c r="R129" s="2701">
        <f ca="1">R128+585</f>
        <v>1202.7699677836249</v>
      </c>
      <c r="S129" s="2726"/>
      <c r="T129" s="2562">
        <v>126</v>
      </c>
      <c r="U129" s="2582"/>
      <c r="V129" s="2582"/>
      <c r="W129" s="2582"/>
      <c r="X129" s="2582"/>
      <c r="Y129" s="2582"/>
      <c r="Z129" s="2582"/>
      <c r="AA129" s="2582"/>
      <c r="AB129" s="2582"/>
      <c r="AC129" s="2582"/>
      <c r="AD129" s="2582"/>
      <c r="AE129" s="2582"/>
      <c r="AF129" s="2582"/>
      <c r="AG129" s="2582"/>
      <c r="AH129" s="2583"/>
      <c r="AI129" s="2580"/>
      <c r="AJ129" s="2582"/>
      <c r="AK129" s="2582"/>
      <c r="AL129" s="2727"/>
      <c r="AM129" s="2727"/>
      <c r="AN129" s="2727"/>
      <c r="AO129" s="2728"/>
      <c r="AP129" s="2729"/>
      <c r="AQ129" s="2729"/>
      <c r="AR129" s="2729"/>
      <c r="AS129" s="2734"/>
      <c r="AT129" s="2583">
        <f ca="1">AR124+251</f>
        <v>134.91001755700006</v>
      </c>
      <c r="AU129" s="2583"/>
      <c r="AV129" s="2583"/>
      <c r="AW129" s="2735"/>
      <c r="AX129" s="2587"/>
      <c r="AY129" s="2587"/>
      <c r="AZ129" s="2587"/>
      <c r="BA129" s="2588"/>
      <c r="BB129" s="2588"/>
      <c r="BC129" s="2588"/>
      <c r="BD129" s="2588"/>
      <c r="BE129" s="2588"/>
      <c r="BF129" s="2588"/>
      <c r="BG129" s="2588"/>
      <c r="BH129" s="2588"/>
      <c r="BI129" s="2588"/>
      <c r="BJ129" s="2588"/>
      <c r="BK129" s="2588"/>
      <c r="BL129" s="2588"/>
      <c r="BM129" s="2588"/>
      <c r="BN129" s="2588"/>
      <c r="BO129" s="2588"/>
      <c r="BP129" s="2588"/>
      <c r="BQ129" s="2588"/>
      <c r="BR129" s="2588"/>
      <c r="BS129" s="2588"/>
      <c r="BT129" s="2588"/>
      <c r="BU129" s="2588"/>
      <c r="BV129" s="2588"/>
      <c r="BW129" s="2588"/>
      <c r="BX129" s="2588"/>
      <c r="BY129" s="2588"/>
      <c r="BZ129" s="2588"/>
      <c r="CA129" s="2588"/>
      <c r="CB129" s="2588"/>
      <c r="CC129" s="2588"/>
      <c r="CD129" s="2588"/>
      <c r="CE129" s="2588"/>
      <c r="CF129" s="2588"/>
      <c r="CG129" s="2588"/>
      <c r="CH129" s="2588"/>
      <c r="CI129" s="2588"/>
      <c r="CJ129" s="2588"/>
      <c r="CK129" s="2588"/>
      <c r="CL129" s="2588"/>
      <c r="CM129" s="2588"/>
      <c r="CN129" s="2588"/>
      <c r="CO129" s="2588"/>
      <c r="CP129" s="2588"/>
      <c r="CQ129" s="2588"/>
      <c r="CR129" s="2588"/>
      <c r="CS129" s="2588"/>
      <c r="CT129" s="2588"/>
      <c r="CU129" s="2588"/>
      <c r="CV129" s="2588"/>
      <c r="CW129" s="2588"/>
      <c r="CX129" s="2588"/>
      <c r="CY129" s="2588"/>
      <c r="CZ129" s="2588"/>
    </row>
    <row r="130" spans="1:104" s="2749" customFormat="1">
      <c r="A130" s="2736" t="s">
        <v>205</v>
      </c>
      <c r="B130" s="2737"/>
      <c r="C130" s="2738"/>
      <c r="D130" s="2739"/>
      <c r="E130" s="2739">
        <f>E122-E117</f>
        <v>-377.88846104957696</v>
      </c>
      <c r="F130" s="2739">
        <f>F122-F117</f>
        <v>-587.49720384892703</v>
      </c>
      <c r="G130" s="2739">
        <f>G122-G117</f>
        <v>-965.72560810728589</v>
      </c>
      <c r="H130" s="2739">
        <f>H122-H117</f>
        <v>144.2107867135569</v>
      </c>
      <c r="I130" s="2739">
        <f t="shared" ref="I130" si="797">I122-I117-I118</f>
        <v>-1190.4253122118548</v>
      </c>
      <c r="J130" s="2739">
        <f t="shared" ref="J130:Q130" ca="1" si="798">J122-J117-J118</f>
        <v>654.97124793814396</v>
      </c>
      <c r="K130" s="2740">
        <f t="shared" ca="1" si="798"/>
        <v>1403.8845633923906</v>
      </c>
      <c r="L130" s="2741">
        <f t="shared" ca="1" si="798"/>
        <v>1860.8647226384498</v>
      </c>
      <c r="M130" s="2741">
        <f t="shared" ca="1" si="798"/>
        <v>2820.3758471639135</v>
      </c>
      <c r="N130" s="2741">
        <f t="shared" ca="1" si="798"/>
        <v>3901.8399556107711</v>
      </c>
      <c r="O130" s="2741">
        <f t="shared" ca="1" si="798"/>
        <v>4927.8373473869597</v>
      </c>
      <c r="P130" s="2741">
        <f t="shared" ca="1" si="798"/>
        <v>5942.2575927790031</v>
      </c>
      <c r="Q130" s="2741">
        <f t="shared" ca="1" si="798"/>
        <v>6936.2664637565704</v>
      </c>
      <c r="R130" s="2741">
        <f>+L177-K177</f>
        <v>260.04726466311706</v>
      </c>
      <c r="S130" s="2741"/>
      <c r="T130" s="2562">
        <v>127</v>
      </c>
      <c r="U130" s="2742"/>
      <c r="V130" s="2742"/>
      <c r="W130" s="2742"/>
      <c r="X130" s="2742"/>
      <c r="Y130" s="2742"/>
      <c r="Z130" s="2742"/>
      <c r="AA130" s="2742"/>
      <c r="AB130" s="2742"/>
      <c r="AC130" s="2742"/>
      <c r="AD130" s="2742"/>
      <c r="AE130" s="2742"/>
      <c r="AF130" s="2742"/>
      <c r="AG130" s="2743">
        <f t="shared" ref="AG130:AN130" si="799">AG122-AG117</f>
        <v>-348.48404091411078</v>
      </c>
      <c r="AH130" s="2743">
        <f t="shared" si="799"/>
        <v>-133.72554157411093</v>
      </c>
      <c r="AI130" s="2743">
        <f t="shared" si="799"/>
        <v>350.88596654588935</v>
      </c>
      <c r="AJ130" s="2743">
        <f t="shared" si="799"/>
        <v>275.53440265588927</v>
      </c>
      <c r="AK130" s="2743">
        <f t="shared" si="799"/>
        <v>-444.32613435171436</v>
      </c>
      <c r="AL130" s="2743">
        <f t="shared" si="799"/>
        <v>-682.7705742917143</v>
      </c>
      <c r="AM130" s="2743">
        <f t="shared" si="799"/>
        <v>-533.55749682671433</v>
      </c>
      <c r="AN130" s="2743">
        <f t="shared" si="799"/>
        <v>-17.136969741714097</v>
      </c>
      <c r="AO130" s="2744">
        <f>AO122-AO117</f>
        <v>56.552605615785751</v>
      </c>
      <c r="AP130" s="2743">
        <f ca="1">AP122-AP117</f>
        <v>58.875037840285756</v>
      </c>
      <c r="AQ130" s="2743">
        <f ca="1">AQ122-AQ117+90</f>
        <v>297.95828621553568</v>
      </c>
      <c r="AR130" s="2743">
        <f ca="1">AR122-AR117</f>
        <v>296.9502782665358</v>
      </c>
      <c r="AS130" s="2744">
        <f t="shared" ref="AS130:AV130" si="800">AS122-AS117</f>
        <v>221.12561158069155</v>
      </c>
      <c r="AT130" s="2743">
        <f t="shared" si="800"/>
        <v>332.55986085319159</v>
      </c>
      <c r="AU130" s="2743">
        <f t="shared" si="800"/>
        <v>413.71230302925409</v>
      </c>
      <c r="AV130" s="2743">
        <f t="shared" si="800"/>
        <v>436.48678792925409</v>
      </c>
      <c r="AW130" s="2745">
        <f t="shared" ref="AW130:BG130" si="801">AW122-AW117</f>
        <v>305.60530707624378</v>
      </c>
      <c r="AX130" s="2746">
        <f t="shared" ca="1" si="801"/>
        <v>465.78844622862727</v>
      </c>
      <c r="AY130" s="2746">
        <f t="shared" ca="1" si="801"/>
        <v>547.25164456510902</v>
      </c>
      <c r="AZ130" s="2746">
        <f t="shared" ca="1" si="801"/>
        <v>542.21932476847064</v>
      </c>
      <c r="BA130" s="2747">
        <f t="shared" ca="1" si="801"/>
        <v>647.15880026346156</v>
      </c>
      <c r="BB130" s="2747">
        <f t="shared" ca="1" si="801"/>
        <v>643.45282739193897</v>
      </c>
      <c r="BC130" s="2747">
        <f t="shared" ca="1" si="801"/>
        <v>691.87531129065553</v>
      </c>
      <c r="BD130" s="2747">
        <f t="shared" ca="1" si="801"/>
        <v>837.88890821786015</v>
      </c>
      <c r="BE130" s="2747">
        <f t="shared" ca="1" si="801"/>
        <v>974.96624069010556</v>
      </c>
      <c r="BF130" s="2747">
        <f t="shared" ca="1" si="801"/>
        <v>843.21329439880299</v>
      </c>
      <c r="BG130" s="2747">
        <f t="shared" ca="1" si="801"/>
        <v>897.62720925977953</v>
      </c>
      <c r="BH130" s="2748"/>
      <c r="BI130" s="2748"/>
      <c r="BJ130" s="2748"/>
      <c r="BK130" s="2748"/>
      <c r="BL130" s="2748"/>
      <c r="BM130" s="2748"/>
      <c r="BN130" s="2748"/>
      <c r="BO130" s="2748"/>
      <c r="BP130" s="2748"/>
      <c r="BQ130" s="2748"/>
      <c r="BR130" s="2748"/>
      <c r="BS130" s="2748"/>
      <c r="BT130" s="2748"/>
      <c r="BU130" s="2748"/>
      <c r="BV130" s="2748"/>
      <c r="BW130" s="2748"/>
      <c r="BX130" s="2748"/>
      <c r="BY130" s="2748"/>
      <c r="BZ130" s="2748"/>
      <c r="CA130" s="2748"/>
      <c r="CB130" s="2748"/>
      <c r="CC130" s="2748"/>
      <c r="CD130" s="2748"/>
      <c r="CE130" s="2748"/>
      <c r="CF130" s="2748"/>
      <c r="CG130" s="2748"/>
      <c r="CH130" s="2748"/>
      <c r="CI130" s="2748"/>
      <c r="CJ130" s="2748"/>
      <c r="CK130" s="2748"/>
      <c r="CL130" s="2748"/>
      <c r="CM130" s="2748"/>
      <c r="CN130" s="2748"/>
      <c r="CO130" s="2747" t="e">
        <f t="shared" ref="CO130:CZ130" si="802">CO122-CO117</f>
        <v>#N/A</v>
      </c>
      <c r="CP130" s="2747" t="e">
        <f t="shared" ca="1" si="802"/>
        <v>#N/A</v>
      </c>
      <c r="CQ130" s="2747" t="e">
        <f t="shared" ca="1" si="802"/>
        <v>#N/A</v>
      </c>
      <c r="CR130" s="2747" t="e">
        <f t="shared" si="802"/>
        <v>#N/A</v>
      </c>
      <c r="CS130" s="2747" t="e">
        <f t="shared" si="802"/>
        <v>#N/A</v>
      </c>
      <c r="CT130" s="2747" t="e">
        <f t="shared" ca="1" si="802"/>
        <v>#N/A</v>
      </c>
      <c r="CU130" s="2747" t="e">
        <f t="shared" ca="1" si="802"/>
        <v>#N/A</v>
      </c>
      <c r="CV130" s="2747" t="e">
        <f t="shared" si="802"/>
        <v>#N/A</v>
      </c>
      <c r="CW130" s="2747" t="e">
        <f t="shared" si="802"/>
        <v>#N/A</v>
      </c>
      <c r="CX130" s="2747" t="e">
        <f t="shared" ca="1" si="802"/>
        <v>#N/A</v>
      </c>
      <c r="CY130" s="2747" t="e">
        <f t="shared" ca="1" si="802"/>
        <v>#N/A</v>
      </c>
      <c r="CZ130" s="2747" t="e">
        <f t="shared" si="802"/>
        <v>#N/A</v>
      </c>
    </row>
    <row r="131" spans="1:104" s="2765" customFormat="1">
      <c r="A131" s="2750" t="s">
        <v>203</v>
      </c>
      <c r="B131" s="2751"/>
      <c r="C131" s="2752"/>
      <c r="D131" s="2753"/>
      <c r="E131" s="2754">
        <f>E130/E107</f>
        <v>-0.93305792851747393</v>
      </c>
      <c r="F131" s="2754">
        <f>F130/F107</f>
        <v>-0.58283452762790378</v>
      </c>
      <c r="G131" s="2754">
        <f>G130/G107</f>
        <v>-0.56179500180761255</v>
      </c>
      <c r="H131" s="2754">
        <f>H130/H107</f>
        <v>6.8476157033977636E-2</v>
      </c>
      <c r="I131" s="2754">
        <f>I130/I102</f>
        <v>-4.3957677014562879E-2</v>
      </c>
      <c r="J131" s="2754">
        <f ca="1">J130/J102</f>
        <v>2.0739565733634779E-2</v>
      </c>
      <c r="K131" s="2755">
        <f ca="1">K130/K102</f>
        <v>3.4171562748912469E-2</v>
      </c>
      <c r="L131" s="2756">
        <f t="shared" ref="L131:Q131" ca="1" si="803">L130/L107</f>
        <v>0.73349023359812771</v>
      </c>
      <c r="M131" s="2756">
        <f t="shared" ca="1" si="803"/>
        <v>0.84265785693573747</v>
      </c>
      <c r="N131" s="2756">
        <f t="shared" ca="1" si="803"/>
        <v>0.96057113629019475</v>
      </c>
      <c r="O131" s="2756">
        <f t="shared" ca="1" si="803"/>
        <v>1.0370028087935521</v>
      </c>
      <c r="P131" s="2756">
        <f t="shared" ca="1" si="803"/>
        <v>1.1154979524646147</v>
      </c>
      <c r="Q131" s="2756">
        <f t="shared" ca="1" si="803"/>
        <v>1.2228960620163205</v>
      </c>
      <c r="R131" s="2757">
        <f>FS!P92-FS!O92</f>
        <v>419.28241181300001</v>
      </c>
      <c r="S131" s="2757"/>
      <c r="T131" s="2562">
        <v>128</v>
      </c>
      <c r="U131" s="2758"/>
      <c r="V131" s="2758"/>
      <c r="W131" s="2758"/>
      <c r="X131" s="2758"/>
      <c r="Y131" s="2758"/>
      <c r="Z131" s="2758"/>
      <c r="AA131" s="2758"/>
      <c r="AB131" s="2758"/>
      <c r="AC131" s="2758"/>
      <c r="AD131" s="2758"/>
      <c r="AE131" s="2758"/>
      <c r="AF131" s="2758"/>
      <c r="AG131" s="2758">
        <f>AG130/AG102</f>
        <v>-5.8572575738835828E-2</v>
      </c>
      <c r="AH131" s="2758">
        <f t="shared" ref="AH131:AN131" si="804">AH130/AH102</f>
        <v>-1.8015980311784113E-2</v>
      </c>
      <c r="AI131" s="2758">
        <f t="shared" si="804"/>
        <v>3.8135708400026135E-2</v>
      </c>
      <c r="AJ131" s="2758">
        <f t="shared" si="804"/>
        <v>4.9341945276119119E-2</v>
      </c>
      <c r="AK131" s="2758">
        <f t="shared" si="804"/>
        <v>-7.3563929528429536E-2</v>
      </c>
      <c r="AL131" s="2758">
        <f>AL130/AL102</f>
        <v>-0.10077015066166309</v>
      </c>
      <c r="AM131" s="2758">
        <f t="shared" si="804"/>
        <v>-7.4924686242166499E-2</v>
      </c>
      <c r="AN131" s="2758">
        <f t="shared" si="804"/>
        <v>-2.3986594227997583E-3</v>
      </c>
      <c r="AO131" s="2759">
        <f t="shared" ref="AO131:AV131" si="805">AO130/AO102</f>
        <v>8.8784618307762679E-3</v>
      </c>
      <c r="AP131" s="2760">
        <f t="shared" ca="1" si="805"/>
        <v>8.0427083371290477E-3</v>
      </c>
      <c r="AQ131" s="2760">
        <f t="shared" ca="1" si="805"/>
        <v>3.4515610563016323E-2</v>
      </c>
      <c r="AR131" s="2760">
        <f t="shared" ca="1" si="805"/>
        <v>3.2074112275007338E-2</v>
      </c>
      <c r="AS131" s="2759">
        <f t="shared" ca="1" si="805"/>
        <v>2.4133583220542258E-2</v>
      </c>
      <c r="AT131" s="2761">
        <f t="shared" ca="1" si="805"/>
        <v>3.2203359978050856E-2</v>
      </c>
      <c r="AU131" s="2761">
        <f t="shared" ca="1" si="805"/>
        <v>3.8166288723332165E-2</v>
      </c>
      <c r="AV131" s="2761">
        <f t="shared" ca="1" si="805"/>
        <v>4.0587379576413986E-2</v>
      </c>
      <c r="AW131" s="2762"/>
      <c r="AX131" s="2763"/>
      <c r="AY131" s="2763"/>
      <c r="AZ131" s="2763"/>
      <c r="BA131" s="2764"/>
      <c r="BB131" s="2764"/>
      <c r="BC131" s="2764"/>
      <c r="BD131" s="2764"/>
      <c r="BE131" s="2764"/>
      <c r="BF131" s="2764"/>
      <c r="BG131" s="2764"/>
      <c r="BH131" s="2764"/>
      <c r="BI131" s="2764"/>
      <c r="BJ131" s="2764"/>
      <c r="BK131" s="2764"/>
      <c r="BL131" s="2764"/>
      <c r="BM131" s="2764"/>
      <c r="BN131" s="2764"/>
      <c r="BO131" s="2764"/>
      <c r="BP131" s="2764"/>
      <c r="BQ131" s="2764"/>
      <c r="BR131" s="2764"/>
      <c r="BS131" s="2764"/>
      <c r="BT131" s="2764"/>
      <c r="BU131" s="2764"/>
      <c r="BV131" s="2764"/>
      <c r="BW131" s="2764"/>
      <c r="BX131" s="2764"/>
      <c r="BY131" s="2764"/>
      <c r="BZ131" s="2764"/>
      <c r="CA131" s="2764"/>
      <c r="CB131" s="2764"/>
      <c r="CC131" s="2764"/>
      <c r="CD131" s="2764"/>
      <c r="CE131" s="2764"/>
      <c r="CF131" s="2764"/>
      <c r="CG131" s="2764"/>
      <c r="CH131" s="2764"/>
      <c r="CI131" s="2764"/>
      <c r="CJ131" s="2764"/>
      <c r="CK131" s="2764"/>
      <c r="CL131" s="2764"/>
      <c r="CM131" s="2764"/>
      <c r="CN131" s="2764"/>
      <c r="CO131" s="2764"/>
      <c r="CP131" s="2764"/>
      <c r="CQ131" s="2764"/>
      <c r="CR131" s="2764"/>
      <c r="CS131" s="2764"/>
      <c r="CT131" s="2764"/>
      <c r="CU131" s="2764"/>
      <c r="CV131" s="2764"/>
      <c r="CW131" s="2764"/>
      <c r="CX131" s="2764"/>
      <c r="CY131" s="2764"/>
      <c r="CZ131" s="2764"/>
    </row>
    <row r="132" spans="1:104" s="2779" customFormat="1" outlineLevel="1">
      <c r="A132" s="2766" t="s">
        <v>206</v>
      </c>
      <c r="B132" s="2737"/>
      <c r="C132" s="2738"/>
      <c r="D132" s="2738"/>
      <c r="E132" s="2739"/>
      <c r="F132" s="2767">
        <f>(-(F102-F110)+F112+F122)/F107/12</f>
        <v>-1.0569320032767784</v>
      </c>
      <c r="G132" s="2768">
        <f>(-(G102-G110)+G112+G122)/G107/12</f>
        <v>-1.209728004442699</v>
      </c>
      <c r="H132" s="2767">
        <f>(-(H102-H110)+H112+H122)/H107/12</f>
        <v>-1.1942928181093702</v>
      </c>
      <c r="I132" s="2767">
        <f t="shared" ref="I132" si="806">(-(I102-I110)+I112+I123)/I107/12</f>
        <v>-1.4478020326391301</v>
      </c>
      <c r="J132" s="2767">
        <f t="shared" ref="J132:Q132" ca="1" si="807">(-(J102-J110)+J112+J123)/J107/12</f>
        <v>-1.5983080565076559</v>
      </c>
      <c r="K132" s="2769">
        <f t="shared" ca="1" si="807"/>
        <v>-1.9294104681474107</v>
      </c>
      <c r="L132" s="2770">
        <f t="shared" ca="1" si="807"/>
        <v>-1.5413954467725148</v>
      </c>
      <c r="M132" s="2770">
        <f t="shared" ca="1" si="807"/>
        <v>-1.6602919217354699</v>
      </c>
      <c r="N132" s="2770">
        <f t="shared" ca="1" si="807"/>
        <v>-1.7316664314546886</v>
      </c>
      <c r="O132" s="2770">
        <f t="shared" ca="1" si="807"/>
        <v>-1.8050638261508631</v>
      </c>
      <c r="P132" s="2770">
        <f t="shared" ca="1" si="807"/>
        <v>-1.8669878440547114</v>
      </c>
      <c r="Q132" s="2770">
        <f t="shared" ca="1" si="807"/>
        <v>-1.9482329969701284</v>
      </c>
      <c r="R132" s="2771"/>
      <c r="S132" s="2771"/>
      <c r="T132" s="2562">
        <v>129</v>
      </c>
      <c r="U132" s="2772"/>
      <c r="V132" s="2772"/>
      <c r="W132" s="2772"/>
      <c r="X132" s="2772"/>
      <c r="Y132" s="2772"/>
      <c r="Z132" s="2772"/>
      <c r="AA132" s="2772"/>
      <c r="AB132" s="2772"/>
      <c r="AC132" s="2772"/>
      <c r="AD132" s="2772"/>
      <c r="AE132" s="2772"/>
      <c r="AF132" s="2772"/>
      <c r="AG132" s="2773"/>
      <c r="AH132" s="2772"/>
      <c r="AI132" s="2772"/>
      <c r="AJ132" s="2772"/>
      <c r="AK132" s="2772"/>
      <c r="AL132" s="2772"/>
      <c r="AM132" s="2772"/>
      <c r="AN132" s="2772"/>
      <c r="AO132" s="2774">
        <f>400-AO124-250/4</f>
        <v>691.22330699999998</v>
      </c>
      <c r="AP132" s="2772"/>
      <c r="AQ132" s="2772"/>
      <c r="AR132" s="2772"/>
      <c r="AS132" s="2775"/>
      <c r="AT132" s="2772"/>
      <c r="AU132" s="2772"/>
      <c r="AV132" s="2772"/>
      <c r="AW132" s="2776"/>
      <c r="AX132" s="2777"/>
      <c r="AY132" s="2777"/>
      <c r="AZ132" s="2777"/>
      <c r="BA132" s="2778"/>
      <c r="BB132" s="2778"/>
      <c r="BC132" s="2778"/>
      <c r="BD132" s="2778"/>
      <c r="BE132" s="2778"/>
      <c r="BF132" s="2778"/>
      <c r="BG132" s="2778"/>
      <c r="BH132" s="2778"/>
      <c r="BI132" s="2778"/>
      <c r="BJ132" s="2778"/>
      <c r="BK132" s="2778"/>
      <c r="BL132" s="2778"/>
      <c r="BM132" s="2778"/>
      <c r="BN132" s="2778"/>
      <c r="BO132" s="2778"/>
      <c r="BP132" s="2778"/>
      <c r="BQ132" s="2778"/>
      <c r="BR132" s="2778"/>
      <c r="BS132" s="2778"/>
      <c r="BT132" s="2778"/>
      <c r="BU132" s="2778"/>
      <c r="BV132" s="2778"/>
      <c r="BW132" s="2778"/>
      <c r="BX132" s="2778"/>
      <c r="BY132" s="2778"/>
      <c r="BZ132" s="2778"/>
      <c r="CA132" s="2778"/>
      <c r="CB132" s="2778"/>
      <c r="CC132" s="2778"/>
      <c r="CD132" s="2778"/>
      <c r="CE132" s="2778"/>
      <c r="CF132" s="2778"/>
      <c r="CG132" s="2778"/>
      <c r="CH132" s="2778"/>
      <c r="CI132" s="2778"/>
      <c r="CJ132" s="2778"/>
      <c r="CK132" s="2778"/>
      <c r="CL132" s="2778"/>
      <c r="CM132" s="2778"/>
      <c r="CN132" s="2778"/>
      <c r="CO132" s="2778"/>
      <c r="CP132" s="2778"/>
      <c r="CQ132" s="2778"/>
      <c r="CR132" s="2778"/>
      <c r="CS132" s="2778"/>
      <c r="CT132" s="2778"/>
      <c r="CU132" s="2778"/>
      <c r="CV132" s="2778"/>
      <c r="CW132" s="2778"/>
      <c r="CX132" s="2778"/>
      <c r="CY132" s="2778"/>
      <c r="CZ132" s="2778"/>
    </row>
    <row r="133" spans="1:104" s="2791" customFormat="1" outlineLevel="1">
      <c r="A133" s="2780" t="s">
        <v>207</v>
      </c>
      <c r="B133" s="2781"/>
      <c r="C133" s="2782"/>
      <c r="D133" s="2782"/>
      <c r="E133" s="2783">
        <f t="shared" ref="E133:I133" si="808">(-E112+(E102-E110)+E117)/AVERAGE(D107:E107)/12</f>
        <v>1.1394629266108469</v>
      </c>
      <c r="F133" s="2783">
        <f t="shared" si="808"/>
        <v>1.3347243242987545</v>
      </c>
      <c r="G133" s="2783">
        <f t="shared" si="808"/>
        <v>1.3592923608426404</v>
      </c>
      <c r="H133" s="2783">
        <f t="shared" si="808"/>
        <v>1.2206174820604114</v>
      </c>
      <c r="I133" s="2783">
        <f t="shared" si="808"/>
        <v>1.2501721833686255</v>
      </c>
      <c r="J133" s="2783">
        <f ca="1">(-J112+(J102-J110))/AVERAGE(I107:J107)/12</f>
        <v>1.5752595034430337</v>
      </c>
      <c r="K133" s="2784">
        <f ca="1">(-K112+(K102-K110))/AVERAGE(J107:K107)/12</f>
        <v>1.9601346063457148</v>
      </c>
      <c r="L133" s="2785">
        <f ca="1">(-L112+(L102-L110))/AVERAGE(K107:L107)/12</f>
        <v>1.8075531417304618</v>
      </c>
      <c r="M133" s="2785">
        <f ca="1">(-M112+(M102-M110)+M117)/AVERAGE(L107:M107)/12</f>
        <v>1.8561763394910715</v>
      </c>
      <c r="N133" s="2785">
        <f ca="1">(-N112+(N102-N110)+N117)/AVERAGE(M107:N107)/12</f>
        <v>1.8664068128490559</v>
      </c>
      <c r="O133" s="2785">
        <f ca="1">(-O112+(O102-O110)+O117)/AVERAGE(N107:O107)/12</f>
        <v>1.9067552257523259</v>
      </c>
      <c r="P133" s="2785">
        <f ca="1">(-P112+(P102-P110)+P117)/AVERAGE(O107:P107)/12</f>
        <v>1.9363445415875375</v>
      </c>
      <c r="Q133" s="2785">
        <f ca="1">(-Q112+(Q102-Q110)+Q117)/AVERAGE(P107:Q107)/12</f>
        <v>1.9744674073524235</v>
      </c>
      <c r="R133" s="2786"/>
      <c r="S133" s="2786"/>
      <c r="T133" s="2427">
        <v>130</v>
      </c>
      <c r="U133" s="2787"/>
      <c r="V133" s="2787"/>
      <c r="W133" s="2787"/>
      <c r="X133" s="2787"/>
      <c r="Y133" s="2787"/>
      <c r="Z133" s="2787"/>
      <c r="AA133" s="2787"/>
      <c r="AB133" s="2787"/>
      <c r="AC133" s="2787"/>
      <c r="AD133" s="2787"/>
      <c r="AE133" s="2787"/>
      <c r="AF133" s="2787"/>
      <c r="AG133" s="2786" t="s">
        <v>208</v>
      </c>
      <c r="AH133" s="2787"/>
      <c r="AI133" s="2787"/>
      <c r="AJ133" s="2787"/>
      <c r="AK133" s="2787"/>
      <c r="AL133" s="2787"/>
      <c r="AM133" s="2787"/>
      <c r="AN133" s="2787"/>
      <c r="AO133" s="2788">
        <f>AO106-AO124/AO111/AO107/3</f>
        <v>1.5003441242044342</v>
      </c>
      <c r="AP133" s="2788">
        <f ca="1">AP106-AP124/AP111/AP107/3</f>
        <v>1.6913031476948128</v>
      </c>
      <c r="AQ133" s="2788">
        <f ca="1">AQ106-(AQ124+90)/0.26/AQ107/3</f>
        <v>1.770613471773079</v>
      </c>
      <c r="AR133" s="2788">
        <f ca="1">AR106-(AR124+90)/AR111/AR107/3</f>
        <v>1.8345511840183566</v>
      </c>
      <c r="AS133" s="2788">
        <f ca="1">AS106-(AS124)/AS111/AS107/3</f>
        <v>1.8860581060546446</v>
      </c>
      <c r="AT133" s="2788">
        <f ca="1">AT106-(AT124)/AT111/AT107/3</f>
        <v>2.0213712196195108</v>
      </c>
      <c r="AU133" s="2788">
        <f ca="1">AU106-(AU124)/AU111/AU107/3</f>
        <v>2.0401267225037247</v>
      </c>
      <c r="AV133" s="2788">
        <f ca="1">AV106-(AV124)/AV111/AV107/3</f>
        <v>1.9661389208155993</v>
      </c>
      <c r="AW133" s="2789">
        <f ca="1">AW106-(AW124)/AW111/AW107/3</f>
        <v>1.9324851336588105</v>
      </c>
      <c r="AX133" s="2790"/>
      <c r="AY133" s="2790"/>
      <c r="AZ133" s="2790"/>
      <c r="BA133" s="2780"/>
      <c r="BB133" s="2780"/>
      <c r="BC133" s="2780"/>
      <c r="BD133" s="2780"/>
      <c r="BE133" s="2780"/>
      <c r="BF133" s="2780"/>
      <c r="BG133" s="2780"/>
      <c r="BH133" s="2780"/>
      <c r="BI133" s="2780"/>
      <c r="BJ133" s="2780"/>
      <c r="BK133" s="2780"/>
      <c r="BL133" s="2780"/>
      <c r="BM133" s="2780"/>
      <c r="BN133" s="2780"/>
      <c r="BO133" s="2780"/>
      <c r="BP133" s="2780"/>
      <c r="BQ133" s="2780"/>
      <c r="BR133" s="2780"/>
      <c r="BS133" s="2780"/>
      <c r="BT133" s="2780"/>
      <c r="BU133" s="2780"/>
      <c r="BV133" s="2780"/>
      <c r="BW133" s="2780"/>
      <c r="BX133" s="2780"/>
      <c r="BY133" s="2780"/>
      <c r="BZ133" s="2780"/>
      <c r="CA133" s="2780"/>
      <c r="CB133" s="2780"/>
      <c r="CC133" s="2780"/>
      <c r="CD133" s="2780"/>
      <c r="CE133" s="2780"/>
      <c r="CF133" s="2780"/>
      <c r="CG133" s="2780"/>
      <c r="CH133" s="2780"/>
      <c r="CI133" s="2780"/>
      <c r="CJ133" s="2780"/>
      <c r="CK133" s="2780"/>
      <c r="CL133" s="2780"/>
      <c r="CM133" s="2780"/>
      <c r="CN133" s="2780"/>
      <c r="CO133" s="2780"/>
      <c r="CP133" s="2780"/>
      <c r="CQ133" s="2780"/>
      <c r="CR133" s="2780"/>
      <c r="CS133" s="2780"/>
      <c r="CT133" s="2780"/>
      <c r="CU133" s="2780"/>
      <c r="CV133" s="2780"/>
      <c r="CW133" s="2780"/>
      <c r="CX133" s="2780"/>
      <c r="CY133" s="2780"/>
      <c r="CZ133" s="2780"/>
    </row>
    <row r="134" spans="1:104" s="2791" customFormat="1" outlineLevel="1">
      <c r="A134" s="2780" t="s">
        <v>209</v>
      </c>
      <c r="B134" s="2781"/>
      <c r="C134" s="2782"/>
      <c r="D134" s="2782"/>
      <c r="E134" s="2783">
        <f>(-E112+(E102-E110))/AVERAGE(D107:E107)/12</f>
        <v>1.182507713214874</v>
      </c>
      <c r="F134" s="2783">
        <f>(-F112+(F102-F110))/AVERAGE(E107:F107)/12</f>
        <v>1.3867035343944225</v>
      </c>
      <c r="G134" s="2783">
        <f t="shared" ref="G134:I134" si="809">-(G124+G112)/G111/AVERAGE(F107:G107)/12</f>
        <v>2.2571453928391421</v>
      </c>
      <c r="H134" s="2783">
        <f t="shared" si="809"/>
        <v>1.5614072383623991</v>
      </c>
      <c r="I134" s="2783">
        <f t="shared" si="809"/>
        <v>2.1786901319426408</v>
      </c>
      <c r="J134" s="2783">
        <f t="shared" ref="J134:Q134" ca="1" si="810">-(J124+J112)/J111/AVERAGE(I107:J107)/12</f>
        <v>1.8805487087049333</v>
      </c>
      <c r="K134" s="2784">
        <f t="shared" ca="1" si="810"/>
        <v>1.899865030819593</v>
      </c>
      <c r="L134" s="2785">
        <f t="shared" ca="1" si="810"/>
        <v>1.5777601531531837</v>
      </c>
      <c r="M134" s="2785">
        <f t="shared" ca="1" si="810"/>
        <v>1.5072187504483081</v>
      </c>
      <c r="N134" s="2785">
        <f t="shared" ca="1" si="810"/>
        <v>1.4470323526287248</v>
      </c>
      <c r="O134" s="2785">
        <f t="shared" ca="1" si="810"/>
        <v>1.5123505181443351</v>
      </c>
      <c r="P134" s="2785">
        <f t="shared" ca="1" si="810"/>
        <v>1.4900252169464876</v>
      </c>
      <c r="Q134" s="2785">
        <f t="shared" ca="1" si="810"/>
        <v>1.4643062489296883</v>
      </c>
      <c r="R134" s="2786"/>
      <c r="S134" s="2786"/>
      <c r="T134" s="2427">
        <v>131</v>
      </c>
      <c r="U134" s="2787"/>
      <c r="V134" s="2787"/>
      <c r="W134" s="2787"/>
      <c r="X134" s="2787"/>
      <c r="Y134" s="2787"/>
      <c r="Z134" s="2787"/>
      <c r="AA134" s="2787"/>
      <c r="AB134" s="2787"/>
      <c r="AC134" s="2787"/>
      <c r="AD134" s="2787"/>
      <c r="AE134" s="2787"/>
      <c r="AF134" s="2787"/>
      <c r="AG134" s="2786" t="s">
        <v>210</v>
      </c>
      <c r="AH134" s="2787"/>
      <c r="AI134" s="2787"/>
      <c r="AJ134" s="2787"/>
      <c r="AK134" s="2787"/>
      <c r="AL134" s="2787"/>
      <c r="AM134" s="2787"/>
      <c r="AN134" s="2787"/>
      <c r="AO134" s="2792">
        <f ca="1">AO133/AO6</f>
        <v>5.5403464565986921E-5</v>
      </c>
      <c r="AP134" s="2793">
        <f ca="1">AP133/AP6</f>
        <v>5.6856027511082888E-5</v>
      </c>
      <c r="AQ134" s="2793">
        <f ca="1">AQ133/AQ6</f>
        <v>5.8592036525022967E-5</v>
      </c>
      <c r="AR134" s="2793">
        <f ca="1">AR133/AR6</f>
        <v>5.8737235754525057E-5</v>
      </c>
      <c r="AS134" s="2794">
        <f ca="1">AT134+AQ106</f>
        <v>1.7739697339734277</v>
      </c>
      <c r="AT134" s="2785">
        <f ca="1">-(AQ124+90)/0.25/AQ107/3</f>
        <v>8.726281720906609E-2</v>
      </c>
      <c r="AU134" s="2787"/>
      <c r="AV134" s="2787"/>
      <c r="AW134" s="2795"/>
      <c r="AX134" s="2790"/>
      <c r="AY134" s="2790"/>
      <c r="AZ134" s="2790"/>
      <c r="BA134" s="2780"/>
      <c r="BB134" s="2780"/>
      <c r="BC134" s="2780"/>
      <c r="BD134" s="2780"/>
      <c r="BE134" s="2780"/>
      <c r="BF134" s="2780"/>
      <c r="BG134" s="2780"/>
      <c r="BH134" s="2780"/>
      <c r="BI134" s="2780"/>
      <c r="BJ134" s="2780"/>
      <c r="BK134" s="2780"/>
      <c r="BL134" s="2780"/>
      <c r="BM134" s="2780"/>
      <c r="BN134" s="2780"/>
      <c r="BO134" s="2780"/>
      <c r="BP134" s="2780"/>
      <c r="BQ134" s="2780"/>
      <c r="BR134" s="2780"/>
      <c r="BS134" s="2780"/>
      <c r="BT134" s="2780"/>
      <c r="BU134" s="2780"/>
      <c r="BV134" s="2780"/>
      <c r="BW134" s="2780"/>
      <c r="BX134" s="2780"/>
      <c r="BY134" s="2780"/>
      <c r="BZ134" s="2780"/>
      <c r="CA134" s="2780"/>
      <c r="CB134" s="2780"/>
      <c r="CC134" s="2780"/>
      <c r="CD134" s="2780"/>
      <c r="CE134" s="2780"/>
      <c r="CF134" s="2780"/>
      <c r="CG134" s="2780"/>
      <c r="CH134" s="2780"/>
      <c r="CI134" s="2780"/>
      <c r="CJ134" s="2780"/>
      <c r="CK134" s="2780"/>
      <c r="CL134" s="2780"/>
      <c r="CM134" s="2780"/>
      <c r="CN134" s="2780"/>
      <c r="CO134" s="2780"/>
      <c r="CP134" s="2780"/>
      <c r="CQ134" s="2780"/>
      <c r="CR134" s="2780"/>
      <c r="CS134" s="2780"/>
      <c r="CT134" s="2780"/>
      <c r="CU134" s="2780"/>
      <c r="CV134" s="2780"/>
      <c r="CW134" s="2780"/>
      <c r="CX134" s="2780"/>
      <c r="CY134" s="2780"/>
      <c r="CZ134" s="2780"/>
    </row>
    <row r="135" spans="1:104" s="2814" customFormat="1" outlineLevel="1">
      <c r="A135" s="2796" t="s">
        <v>211</v>
      </c>
      <c r="B135" s="2797"/>
      <c r="C135" s="2798"/>
      <c r="D135" s="2798"/>
      <c r="E135" s="2799"/>
      <c r="F135" s="2800"/>
      <c r="G135" s="2800"/>
      <c r="H135" s="2801"/>
      <c r="I135" s="2800"/>
      <c r="J135" s="2800"/>
      <c r="K135" s="2802"/>
      <c r="L135" s="2803"/>
      <c r="M135" s="2803"/>
      <c r="N135" s="2803"/>
      <c r="O135" s="2803"/>
      <c r="P135" s="2803"/>
      <c r="Q135" s="2803"/>
      <c r="R135" s="2804"/>
      <c r="S135" s="2804"/>
      <c r="T135" s="2175">
        <v>132</v>
      </c>
      <c r="U135" s="2805"/>
      <c r="V135" s="2805"/>
      <c r="W135" s="2805"/>
      <c r="X135" s="2805"/>
      <c r="Y135" s="2805"/>
      <c r="Z135" s="2805"/>
      <c r="AA135" s="2805"/>
      <c r="AB135" s="2805"/>
      <c r="AC135" s="2805"/>
      <c r="AD135" s="2805"/>
      <c r="AE135" s="2805"/>
      <c r="AF135" s="2805" t="s">
        <v>212</v>
      </c>
      <c r="AG135" s="2806">
        <v>10.7</v>
      </c>
      <c r="AH135" s="2807">
        <v>12.2</v>
      </c>
      <c r="AI135" s="2807">
        <v>9.3000000000000007</v>
      </c>
      <c r="AJ135" s="2807">
        <v>7</v>
      </c>
      <c r="AK135" s="2808">
        <v>7.6</v>
      </c>
      <c r="AL135" s="2808">
        <v>10</v>
      </c>
      <c r="AM135" s="2808">
        <v>11.5</v>
      </c>
      <c r="AN135" s="2808">
        <f>AM135*1.02</f>
        <v>11.73</v>
      </c>
      <c r="AO135" s="2809">
        <f>AG135*1.25</f>
        <v>13.375</v>
      </c>
      <c r="AP135" s="2810"/>
      <c r="AQ135" s="2810">
        <f ca="1">(AQ102*0.97)/AQ107/3</f>
        <v>1.6361057092614308</v>
      </c>
      <c r="AR135" s="2810">
        <f ca="1">(AR102*0.95)/AR107/3</f>
        <v>1.7266080290537886</v>
      </c>
      <c r="AS135" s="2811">
        <f ca="1">(AS102*0.95)/AS107/3</f>
        <v>1.7107783334316038</v>
      </c>
      <c r="AT135" s="2810">
        <f ca="1">(AT102*0.95)/AT107/3</f>
        <v>1.9225014676660779</v>
      </c>
      <c r="AU135" s="2810">
        <f ca="1">(AU102*0.95)/AU107/3</f>
        <v>1.9887494109694863</v>
      </c>
      <c r="AV135" s="2805"/>
      <c r="AW135" s="2812">
        <f>2.1</f>
        <v>2.1</v>
      </c>
      <c r="AX135" s="2813"/>
      <c r="AY135" s="2813"/>
      <c r="AZ135" s="2813"/>
      <c r="BA135" s="2796"/>
      <c r="BB135" s="2796"/>
      <c r="BC135" s="2796"/>
      <c r="BD135" s="2796"/>
      <c r="BE135" s="2796"/>
      <c r="BF135" s="2796"/>
      <c r="BG135" s="2796"/>
      <c r="BH135" s="2796"/>
      <c r="BI135" s="2796"/>
      <c r="BJ135" s="2796"/>
      <c r="BK135" s="2796"/>
      <c r="BL135" s="2796"/>
      <c r="BM135" s="2796"/>
      <c r="BN135" s="2796"/>
      <c r="BO135" s="2796"/>
      <c r="BP135" s="2796"/>
      <c r="BQ135" s="2796"/>
      <c r="BR135" s="2796"/>
      <c r="BS135" s="2796"/>
      <c r="BT135" s="2796"/>
      <c r="BU135" s="2796"/>
      <c r="BV135" s="2796"/>
      <c r="BW135" s="2796"/>
      <c r="BX135" s="2796"/>
      <c r="BY135" s="2796"/>
      <c r="BZ135" s="2796"/>
      <c r="CA135" s="2796"/>
      <c r="CB135" s="2796"/>
      <c r="CC135" s="2796"/>
      <c r="CD135" s="2796"/>
      <c r="CE135" s="2796"/>
      <c r="CF135" s="2796"/>
      <c r="CG135" s="2796"/>
      <c r="CH135" s="2796"/>
      <c r="CI135" s="2796"/>
      <c r="CJ135" s="2796"/>
      <c r="CK135" s="2796"/>
      <c r="CL135" s="2796"/>
      <c r="CM135" s="2796"/>
      <c r="CN135" s="2796"/>
      <c r="CO135" s="2796"/>
      <c r="CP135" s="2796"/>
      <c r="CQ135" s="2796"/>
      <c r="CR135" s="2796"/>
      <c r="CS135" s="2796"/>
      <c r="CT135" s="2796"/>
      <c r="CU135" s="2796"/>
      <c r="CV135" s="2796"/>
      <c r="CW135" s="2796"/>
      <c r="CX135" s="2796"/>
      <c r="CY135" s="2796"/>
      <c r="CZ135" s="2796"/>
    </row>
    <row r="136" spans="1:104" s="2828" customFormat="1" outlineLevel="1">
      <c r="A136" s="2815" t="s">
        <v>213</v>
      </c>
      <c r="B136" s="2816"/>
      <c r="C136" s="2817"/>
      <c r="D136" s="2817"/>
      <c r="E136" s="2801">
        <v>0.4</v>
      </c>
      <c r="F136" s="2801">
        <v>0.5</v>
      </c>
      <c r="G136" s="2801">
        <v>0.47</v>
      </c>
      <c r="H136" s="2801">
        <v>0.45</v>
      </c>
      <c r="I136" s="2801">
        <f>AVERAGE(0.35,0.4)</f>
        <v>0.375</v>
      </c>
      <c r="J136" s="2818"/>
      <c r="K136" s="2819">
        <f ca="1">K122/K102</f>
        <v>7.2276401184303025E-3</v>
      </c>
      <c r="L136" s="2820">
        <f ca="1">L122/L102</f>
        <v>1.9643802084335724E-2</v>
      </c>
      <c r="M136" s="2821"/>
      <c r="N136" s="2821"/>
      <c r="O136" s="2821"/>
      <c r="P136" s="2821"/>
      <c r="Q136" s="2821"/>
      <c r="R136" s="2821"/>
      <c r="S136" s="2821"/>
      <c r="T136" s="2175">
        <v>133</v>
      </c>
      <c r="U136" s="2821"/>
      <c r="V136" s="2821"/>
      <c r="W136" s="2821"/>
      <c r="X136" s="2821"/>
      <c r="Y136" s="2821"/>
      <c r="Z136" s="2821"/>
      <c r="AA136" s="2821"/>
      <c r="AB136" s="2821"/>
      <c r="AC136" s="2821"/>
      <c r="AD136" s="2821"/>
      <c r="AE136" s="2821"/>
      <c r="AF136" s="2821"/>
      <c r="AG136" s="2821"/>
      <c r="AH136" s="2821"/>
      <c r="AI136" s="2821"/>
      <c r="AJ136" s="2821"/>
      <c r="AK136" s="2821">
        <f>AK135/AG135-1</f>
        <v>-0.28971962616822433</v>
      </c>
      <c r="AL136" s="2821">
        <f>AL135/AH135-1</f>
        <v>-0.18032786885245899</v>
      </c>
      <c r="AM136" s="2821">
        <f>AM135/AI135-1</f>
        <v>0.23655913978494625</v>
      </c>
      <c r="AN136" s="2821">
        <f>AN135/AJ135-1</f>
        <v>0.67571428571428571</v>
      </c>
      <c r="AO136" s="2822">
        <f>AO135/AK135-1</f>
        <v>0.75986842105263164</v>
      </c>
      <c r="AP136" s="2823">
        <f ca="1">-AP124/0.26/AP107/3+AP106</f>
        <v>1.6913031476948128</v>
      </c>
      <c r="AQ136" s="2824">
        <f ca="1">AQ124+90</f>
        <v>-111.65277461900007</v>
      </c>
      <c r="AR136" s="2825">
        <f ca="1">AR120+90</f>
        <v>-341.48624098040955</v>
      </c>
      <c r="AS136" s="2822"/>
      <c r="AT136" s="2772"/>
      <c r="AU136" s="2821"/>
      <c r="AV136" s="2821"/>
      <c r="AW136" s="2826"/>
      <c r="AX136" s="2827"/>
      <c r="AY136" s="2827"/>
      <c r="AZ136" s="2827"/>
      <c r="BA136" s="2815"/>
      <c r="BB136" s="2815"/>
      <c r="BC136" s="2815"/>
      <c r="BD136" s="2815"/>
      <c r="BE136" s="2815"/>
      <c r="BF136" s="2815"/>
      <c r="BG136" s="2815"/>
      <c r="BH136" s="2815"/>
      <c r="BI136" s="2815"/>
      <c r="BJ136" s="2815"/>
      <c r="BK136" s="2815"/>
      <c r="BL136" s="2815"/>
      <c r="BM136" s="2815"/>
      <c r="BN136" s="2815"/>
      <c r="BO136" s="2815"/>
      <c r="BP136" s="2815"/>
      <c r="BQ136" s="2815"/>
      <c r="BR136" s="2815"/>
      <c r="BS136" s="2815"/>
      <c r="BT136" s="2815"/>
      <c r="BU136" s="2815"/>
      <c r="BV136" s="2815"/>
      <c r="BW136" s="2815"/>
      <c r="BX136" s="2815"/>
      <c r="BY136" s="2815"/>
      <c r="BZ136" s="2815"/>
      <c r="CA136" s="2815"/>
      <c r="CB136" s="2815"/>
      <c r="CC136" s="2815"/>
      <c r="CD136" s="2815"/>
      <c r="CE136" s="2815"/>
      <c r="CF136" s="2815"/>
      <c r="CG136" s="2815"/>
      <c r="CH136" s="2815"/>
      <c r="CI136" s="2815"/>
      <c r="CJ136" s="2815"/>
      <c r="CK136" s="2815"/>
      <c r="CL136" s="2815"/>
      <c r="CM136" s="2815"/>
      <c r="CN136" s="2815"/>
      <c r="CO136" s="2815"/>
      <c r="CP136" s="2815"/>
      <c r="CQ136" s="2815"/>
      <c r="CR136" s="2815"/>
      <c r="CS136" s="2815"/>
      <c r="CT136" s="2815"/>
      <c r="CU136" s="2815"/>
      <c r="CV136" s="2815"/>
      <c r="CW136" s="2815"/>
      <c r="CX136" s="2815"/>
      <c r="CY136" s="2815"/>
      <c r="CZ136" s="2815"/>
    </row>
    <row r="137" spans="1:104" s="2779" customFormat="1" outlineLevel="1">
      <c r="A137" s="2778" t="s">
        <v>214</v>
      </c>
      <c r="B137" s="2797"/>
      <c r="C137" s="2798"/>
      <c r="D137" s="2798"/>
      <c r="E137" s="2801">
        <f>1-E136</f>
        <v>0.6</v>
      </c>
      <c r="F137" s="2801">
        <f>1-F136</f>
        <v>0.5</v>
      </c>
      <c r="G137" s="2801">
        <f>1-G136</f>
        <v>0.53</v>
      </c>
      <c r="H137" s="2801">
        <f>1-H136</f>
        <v>0.55000000000000004</v>
      </c>
      <c r="I137" s="2801">
        <f>1-I136</f>
        <v>0.625</v>
      </c>
      <c r="J137" s="2800"/>
      <c r="K137" s="2802"/>
      <c r="L137" s="2829"/>
      <c r="M137" s="2829">
        <f>8459-1771.6</f>
        <v>6687.4</v>
      </c>
      <c r="N137" s="2829"/>
      <c r="O137" s="2829"/>
      <c r="P137" s="2829"/>
      <c r="Q137" s="2829"/>
      <c r="R137" s="2773"/>
      <c r="S137" s="2773"/>
      <c r="T137" s="2175">
        <v>134</v>
      </c>
      <c r="U137" s="2772"/>
      <c r="V137" s="2772"/>
      <c r="W137" s="2772"/>
      <c r="X137" s="2772"/>
      <c r="Y137" s="2772"/>
      <c r="Z137" s="2772"/>
      <c r="AA137" s="2772"/>
      <c r="AB137" s="2772"/>
      <c r="AC137" s="2772"/>
      <c r="AD137" s="2772"/>
      <c r="AE137" s="2772"/>
      <c r="AF137" s="2772"/>
      <c r="AG137" s="2773"/>
      <c r="AH137" s="2772"/>
      <c r="AI137" s="2772"/>
      <c r="AJ137" s="2772"/>
      <c r="AK137" s="2772"/>
      <c r="AL137" s="2772"/>
      <c r="AM137" s="2772"/>
      <c r="AN137" s="2772"/>
      <c r="AO137" s="2775"/>
      <c r="AP137" s="2773">
        <f ca="1">AQ112+90</f>
        <v>-2223.9946139627505</v>
      </c>
      <c r="AQ137" s="2830">
        <f ca="1">AQ136/AQ102</f>
        <v>-1.2933903386200585E-2</v>
      </c>
      <c r="AR137" s="2772">
        <f ca="1">AR136/AR102</f>
        <v>-3.6884518504289199E-2</v>
      </c>
      <c r="AS137" s="2775"/>
      <c r="AT137" s="2772"/>
      <c r="AU137" s="2772"/>
      <c r="AV137" s="2772"/>
      <c r="AW137" s="2776"/>
      <c r="AX137" s="2777"/>
      <c r="AY137" s="2777"/>
      <c r="AZ137" s="2777"/>
      <c r="BA137" s="2778"/>
      <c r="BB137" s="2778"/>
      <c r="BC137" s="2778"/>
      <c r="BD137" s="2778"/>
      <c r="BE137" s="2778"/>
      <c r="BF137" s="2778"/>
      <c r="BG137" s="2778"/>
      <c r="BH137" s="2778"/>
      <c r="BI137" s="2778"/>
      <c r="BJ137" s="2778"/>
      <c r="BK137" s="2778"/>
      <c r="BL137" s="2778"/>
      <c r="BM137" s="2778"/>
      <c r="BN137" s="2778"/>
      <c r="BO137" s="2778"/>
      <c r="BP137" s="2778"/>
      <c r="BQ137" s="2778"/>
      <c r="BR137" s="2778"/>
      <c r="BS137" s="2778"/>
      <c r="BT137" s="2778"/>
      <c r="BU137" s="2778"/>
      <c r="BV137" s="2778"/>
      <c r="BW137" s="2778"/>
      <c r="BX137" s="2778"/>
      <c r="BY137" s="2778"/>
      <c r="BZ137" s="2778"/>
      <c r="CA137" s="2778"/>
      <c r="CB137" s="2778"/>
      <c r="CC137" s="2778"/>
      <c r="CD137" s="2778"/>
      <c r="CE137" s="2778"/>
      <c r="CF137" s="2778"/>
      <c r="CG137" s="2778"/>
      <c r="CH137" s="2778"/>
      <c r="CI137" s="2778"/>
      <c r="CJ137" s="2778"/>
      <c r="CK137" s="2778"/>
      <c r="CL137" s="2778"/>
      <c r="CM137" s="2778"/>
      <c r="CN137" s="2778"/>
      <c r="CO137" s="2778"/>
      <c r="CP137" s="2778"/>
      <c r="CQ137" s="2778"/>
      <c r="CR137" s="2778"/>
      <c r="CS137" s="2778"/>
      <c r="CT137" s="2778"/>
      <c r="CU137" s="2778"/>
      <c r="CV137" s="2778"/>
      <c r="CW137" s="2778"/>
      <c r="CX137" s="2778"/>
      <c r="CY137" s="2778"/>
      <c r="CZ137" s="2778"/>
    </row>
    <row r="138" spans="1:104" s="2814" customFormat="1" outlineLevel="1">
      <c r="A138" s="2796" t="s">
        <v>215</v>
      </c>
      <c r="B138" s="2797"/>
      <c r="C138" s="2798"/>
      <c r="D138" s="2798"/>
      <c r="E138" s="2799"/>
      <c r="F138" s="2800"/>
      <c r="G138" s="2800"/>
      <c r="H138" s="2800"/>
      <c r="I138" s="2800"/>
      <c r="J138" s="2800"/>
      <c r="K138" s="2802"/>
      <c r="L138" s="2803"/>
      <c r="M138" s="2803"/>
      <c r="N138" s="2803"/>
      <c r="O138" s="2803"/>
      <c r="P138" s="2803"/>
      <c r="Q138" s="2803"/>
      <c r="R138" s="2804"/>
      <c r="S138" s="2804"/>
      <c r="T138" s="2175">
        <v>135</v>
      </c>
      <c r="U138" s="2805"/>
      <c r="V138" s="2805"/>
      <c r="W138" s="2805"/>
      <c r="X138" s="2805"/>
      <c r="Y138" s="2805"/>
      <c r="Z138" s="2805"/>
      <c r="AA138" s="2805"/>
      <c r="AB138" s="2805"/>
      <c r="AC138" s="2805"/>
      <c r="AD138" s="2805"/>
      <c r="AE138" s="2805"/>
      <c r="AF138" s="2805"/>
      <c r="AG138" s="2804"/>
      <c r="AH138" s="2805"/>
      <c r="AI138" s="2805"/>
      <c r="AJ138" s="2805"/>
      <c r="AK138" s="2805"/>
      <c r="AL138" s="2805"/>
      <c r="AM138" s="2805"/>
      <c r="AN138" s="2805" t="s">
        <v>194</v>
      </c>
      <c r="AO138" s="2831">
        <f t="shared" ref="AO138:AV138" si="811">AO$114/AO$102</f>
        <v>-4.5470246472408854E-2</v>
      </c>
      <c r="AP138" s="2831">
        <f t="shared" ca="1" si="811"/>
        <v>-3.9312015091584565E-2</v>
      </c>
      <c r="AQ138" s="2831">
        <f t="shared" ca="1" si="811"/>
        <v>-3.3297025488797712E-2</v>
      </c>
      <c r="AR138" s="2831">
        <f t="shared" ca="1" si="811"/>
        <v>-3.0973963585070464E-2</v>
      </c>
      <c r="AS138" s="2831">
        <f t="shared" ca="1" si="811"/>
        <v>-9.1362305366373894E-2</v>
      </c>
      <c r="AT138" s="2831">
        <f t="shared" ca="1" si="811"/>
        <v>-8.1133339888201997E-2</v>
      </c>
      <c r="AU138" s="2831">
        <f t="shared" ca="1" si="811"/>
        <v>-7.7977274249948214E-2</v>
      </c>
      <c r="AV138" s="2831">
        <f t="shared" ca="1" si="811"/>
        <v>-8.0179581473831529E-2</v>
      </c>
      <c r="AW138" s="2832"/>
      <c r="AX138" s="2813">
        <f>399.8221/0.2</f>
        <v>1999.1104999999998</v>
      </c>
      <c r="AY138" s="2813"/>
      <c r="AZ138" s="2813"/>
      <c r="BA138" s="2833">
        <f>904.91-658.659</f>
        <v>246.25099999999998</v>
      </c>
      <c r="BB138" s="2796"/>
      <c r="BC138" s="2796"/>
      <c r="BD138" s="2796"/>
      <c r="BE138" s="2796"/>
      <c r="BF138" s="2796"/>
      <c r="BG138" s="2796"/>
      <c r="BH138" s="2796"/>
      <c r="BI138" s="2796"/>
      <c r="BJ138" s="2796"/>
      <c r="BK138" s="2796"/>
      <c r="BL138" s="2796"/>
      <c r="BM138" s="2796"/>
      <c r="BN138" s="2796"/>
      <c r="BO138" s="2796"/>
      <c r="BP138" s="2796"/>
      <c r="BQ138" s="2796"/>
      <c r="BR138" s="2796"/>
      <c r="BS138" s="2796"/>
      <c r="BT138" s="2796"/>
      <c r="BU138" s="2796"/>
      <c r="BV138" s="2796"/>
      <c r="BW138" s="2796"/>
      <c r="BX138" s="2796"/>
      <c r="BY138" s="2796"/>
      <c r="BZ138" s="2796"/>
      <c r="CA138" s="2796"/>
      <c r="CB138" s="2796"/>
      <c r="CC138" s="2796"/>
      <c r="CD138" s="2796"/>
      <c r="CE138" s="2796"/>
      <c r="CF138" s="2796"/>
      <c r="CG138" s="2796"/>
      <c r="CH138" s="2796"/>
      <c r="CI138" s="2796"/>
      <c r="CJ138" s="2796"/>
      <c r="CK138" s="2796"/>
      <c r="CL138" s="2796"/>
      <c r="CM138" s="2796"/>
      <c r="CN138" s="2796"/>
      <c r="CO138" s="2796"/>
      <c r="CP138" s="2796"/>
      <c r="CQ138" s="2796"/>
      <c r="CR138" s="2796"/>
      <c r="CS138" s="2796"/>
      <c r="CT138" s="2796"/>
      <c r="CU138" s="2796"/>
      <c r="CV138" s="2796"/>
      <c r="CW138" s="2796"/>
      <c r="CX138" s="2796"/>
      <c r="CY138" s="2796"/>
      <c r="CZ138" s="2796"/>
    </row>
    <row r="139" spans="1:104" s="2779" customFormat="1" outlineLevel="1">
      <c r="A139" s="2778" t="s">
        <v>216</v>
      </c>
      <c r="B139" s="2797"/>
      <c r="C139" s="2798"/>
      <c r="D139" s="2798">
        <f>H107-G107</f>
        <v>387</v>
      </c>
      <c r="E139" s="2801">
        <v>0.08</v>
      </c>
      <c r="F139" s="2834">
        <v>0.19</v>
      </c>
      <c r="G139" s="2834">
        <v>0.25</v>
      </c>
      <c r="H139" s="2834">
        <f>bhx!E29</f>
        <v>0.34</v>
      </c>
      <c r="I139" s="2817">
        <f>I117/I102</f>
        <v>-4.6625092458534571E-2</v>
      </c>
      <c r="J139" s="2817">
        <f ca="1">J117/J102</f>
        <v>-4.6080132356318936E-2</v>
      </c>
      <c r="K139" s="2817">
        <f ca="1">K117/K102</f>
        <v>-2.6943922630482165E-2</v>
      </c>
      <c r="L139" s="2829"/>
      <c r="M139" s="2829"/>
      <c r="N139" s="2829"/>
      <c r="O139" s="2829"/>
      <c r="P139" s="2829"/>
      <c r="Q139" s="2829"/>
      <c r="R139" s="2773"/>
      <c r="S139" s="2773"/>
      <c r="T139" s="2175">
        <v>136</v>
      </c>
      <c r="U139" s="2772"/>
      <c r="V139" s="2772"/>
      <c r="W139" s="2772"/>
      <c r="X139" s="2772"/>
      <c r="Y139" s="2772"/>
      <c r="Z139" s="2772"/>
      <c r="AA139" s="2772"/>
      <c r="AB139" s="2772"/>
      <c r="AC139" s="2772"/>
      <c r="AD139" s="2772"/>
      <c r="AE139" s="2772"/>
      <c r="AF139" s="2772"/>
      <c r="AG139" s="2773"/>
      <c r="AH139" s="2772"/>
      <c r="AI139" s="2772"/>
      <c r="AJ139" s="2772"/>
      <c r="AK139" s="2772"/>
      <c r="AL139" s="2772"/>
      <c r="AM139" s="2772"/>
      <c r="AN139" s="2772" t="s">
        <v>195</v>
      </c>
      <c r="AO139" s="2831">
        <f t="shared" ref="AO139:AV139" si="812">AO$115/AO$102</f>
        <v>-8.0707048842447129E-2</v>
      </c>
      <c r="AP139" s="2831">
        <f t="shared" ca="1" si="812"/>
        <v>-6.9776545504690604E-2</v>
      </c>
      <c r="AQ139" s="2831">
        <f t="shared" ca="1" si="812"/>
        <v>-5.9100288010605989E-2</v>
      </c>
      <c r="AR139" s="2831">
        <f t="shared" ca="1" si="812"/>
        <v>-5.4976987939164536E-2</v>
      </c>
      <c r="AS139" s="2831">
        <f t="shared" ca="1" si="812"/>
        <v>-5.4686856245692805E-2</v>
      </c>
      <c r="AT139" s="2831">
        <f t="shared" ca="1" si="812"/>
        <v>-5.1990305973168227E-2</v>
      </c>
      <c r="AU139" s="2831">
        <f t="shared" ca="1" si="812"/>
        <v>-4.9967896709229145E-2</v>
      </c>
      <c r="AV139" s="2831">
        <f t="shared" ca="1" si="812"/>
        <v>-5.1379136855072852E-2</v>
      </c>
      <c r="AW139" s="2832">
        <f ca="1">AX139+SUM(AO124:AQ124)</f>
        <v>653.29848304299969</v>
      </c>
      <c r="AX139" s="2777">
        <f>AX138-97.96-342.942</f>
        <v>1558.2084999999997</v>
      </c>
      <c r="AY139" s="2777"/>
      <c r="AZ139" s="2777"/>
      <c r="BA139" s="2835">
        <f>BA138+90</f>
        <v>336.25099999999998</v>
      </c>
      <c r="BB139" s="2778"/>
      <c r="BC139" s="2778"/>
      <c r="BD139" s="2778"/>
      <c r="BE139" s="2778"/>
      <c r="BF139" s="2778"/>
      <c r="BG139" s="2778"/>
      <c r="BH139" s="2778"/>
      <c r="BI139" s="2778"/>
      <c r="BJ139" s="2778"/>
      <c r="BK139" s="2778"/>
      <c r="BL139" s="2778"/>
      <c r="BM139" s="2778"/>
      <c r="BN139" s="2778"/>
      <c r="BO139" s="2778"/>
      <c r="BP139" s="2778"/>
      <c r="BQ139" s="2778"/>
      <c r="BR139" s="2778"/>
      <c r="BS139" s="2778"/>
      <c r="BT139" s="2778"/>
      <c r="BU139" s="2778"/>
      <c r="BV139" s="2778"/>
      <c r="BW139" s="2778"/>
      <c r="BX139" s="2778"/>
      <c r="BY139" s="2778"/>
      <c r="BZ139" s="2778"/>
      <c r="CA139" s="2778"/>
      <c r="CB139" s="2778"/>
      <c r="CC139" s="2778"/>
      <c r="CD139" s="2778"/>
      <c r="CE139" s="2778"/>
      <c r="CF139" s="2778"/>
      <c r="CG139" s="2778"/>
      <c r="CH139" s="2778"/>
      <c r="CI139" s="2778"/>
      <c r="CJ139" s="2778"/>
      <c r="CK139" s="2778"/>
      <c r="CL139" s="2778"/>
      <c r="CM139" s="2778"/>
      <c r="CN139" s="2778"/>
      <c r="CO139" s="2778"/>
      <c r="CP139" s="2778"/>
      <c r="CQ139" s="2778"/>
      <c r="CR139" s="2778"/>
      <c r="CS139" s="2778"/>
      <c r="CT139" s="2778"/>
      <c r="CU139" s="2778"/>
      <c r="CV139" s="2778"/>
      <c r="CW139" s="2778"/>
      <c r="CX139" s="2778"/>
      <c r="CY139" s="2778"/>
      <c r="CZ139" s="2778"/>
    </row>
    <row r="140" spans="1:104" s="2339" customFormat="1" outlineLevel="1">
      <c r="A140" s="2338" t="s">
        <v>217</v>
      </c>
      <c r="B140" s="2240"/>
      <c r="C140" s="2256"/>
      <c r="D140" s="2256"/>
      <c r="E140" s="2292">
        <f t="shared" ref="E140:H140" si="813">1-E139</f>
        <v>0.92</v>
      </c>
      <c r="F140" s="2292">
        <f t="shared" si="813"/>
        <v>0.81</v>
      </c>
      <c r="G140" s="2292">
        <f t="shared" si="813"/>
        <v>0.75</v>
      </c>
      <c r="H140" s="2292">
        <f t="shared" si="813"/>
        <v>0.65999999999999992</v>
      </c>
      <c r="I140" s="2292">
        <f>I120/I102</f>
        <v>-7.908105344234713E-2</v>
      </c>
      <c r="J140" s="2292">
        <f ca="1">J120/J102</f>
        <v>-4.752761386490624E-2</v>
      </c>
      <c r="K140" s="2292">
        <f ca="1">K120/K102</f>
        <v>-7.0481125268228749E-3</v>
      </c>
      <c r="L140" s="2341"/>
      <c r="M140" s="2341"/>
      <c r="N140" s="2341"/>
      <c r="O140" s="2341"/>
      <c r="P140" s="2341"/>
      <c r="Q140" s="2341"/>
      <c r="R140" s="2341"/>
      <c r="S140" s="2341"/>
      <c r="T140" s="2175">
        <v>137</v>
      </c>
      <c r="U140" s="2332"/>
      <c r="V140" s="2332"/>
      <c r="W140" s="2332"/>
      <c r="X140" s="2332"/>
      <c r="Y140" s="2332"/>
      <c r="Z140" s="2332"/>
      <c r="AA140" s="2332"/>
      <c r="AB140" s="2332"/>
      <c r="AC140" s="2332"/>
      <c r="AD140" s="2332"/>
      <c r="AE140" s="2332"/>
      <c r="AF140" s="2332"/>
      <c r="AG140" s="2332"/>
      <c r="AH140" s="2332">
        <f>3637*11</f>
        <v>40007</v>
      </c>
      <c r="AI140" s="2332"/>
      <c r="AJ140" s="2332"/>
      <c r="AK140" s="2332"/>
      <c r="AL140" s="2332"/>
      <c r="AM140" s="2332"/>
      <c r="AN140" s="2332" t="s">
        <v>218</v>
      </c>
      <c r="AO140" s="2831">
        <f t="shared" ref="AO140:AV140" si="814">AO$116/AO$102</f>
        <v>-3.7242607117513704E-2</v>
      </c>
      <c r="AP140" s="2831">
        <f t="shared" ca="1" si="814"/>
        <v>-3.2198680381951568E-2</v>
      </c>
      <c r="AQ140" s="2831">
        <f t="shared" ca="1" si="814"/>
        <v>-2.7272076460232098E-2</v>
      </c>
      <c r="AR140" s="2831">
        <f t="shared" ca="1" si="814"/>
        <v>-2.5369362300926287E-2</v>
      </c>
      <c r="AS140" s="2831">
        <f t="shared" ca="1" si="814"/>
        <v>-2.8978812343756408E-2</v>
      </c>
      <c r="AT140" s="2831">
        <f t="shared" ca="1" si="814"/>
        <v>-3.2198680381951568E-2</v>
      </c>
      <c r="AU140" s="2831">
        <f t="shared" ca="1" si="814"/>
        <v>-3.2198680381951568E-2</v>
      </c>
      <c r="AV140" s="2831">
        <f t="shared" ca="1" si="814"/>
        <v>-3.2198680381951568E-2</v>
      </c>
      <c r="AW140" s="2832">
        <f ca="1">AW139-90</f>
        <v>563.29848304299969</v>
      </c>
      <c r="AX140" s="2337"/>
      <c r="AY140" s="2337"/>
      <c r="AZ140" s="2337"/>
      <c r="BA140" s="2338"/>
      <c r="BB140" s="2338"/>
      <c r="BC140" s="2338"/>
      <c r="BD140" s="2338"/>
      <c r="BE140" s="2338"/>
      <c r="BF140" s="2338"/>
      <c r="BG140" s="2338"/>
      <c r="BH140" s="2338"/>
      <c r="BI140" s="2338"/>
      <c r="BJ140" s="2338"/>
      <c r="BK140" s="2338"/>
      <c r="BL140" s="2338"/>
      <c r="BM140" s="2338"/>
      <c r="BN140" s="2338"/>
      <c r="BO140" s="2338"/>
      <c r="BP140" s="2338"/>
      <c r="BQ140" s="2338"/>
      <c r="BR140" s="2338"/>
      <c r="BS140" s="2338"/>
      <c r="BT140" s="2338"/>
      <c r="BU140" s="2338"/>
      <c r="BV140" s="2338"/>
      <c r="BW140" s="2338"/>
      <c r="BX140" s="2338"/>
      <c r="BY140" s="2338"/>
      <c r="BZ140" s="2338"/>
      <c r="CA140" s="2338"/>
      <c r="CB140" s="2338"/>
      <c r="CC140" s="2338"/>
      <c r="CD140" s="2338"/>
      <c r="CE140" s="2338"/>
      <c r="CF140" s="2338"/>
      <c r="CG140" s="2338"/>
      <c r="CH140" s="2338"/>
      <c r="CI140" s="2338"/>
      <c r="CJ140" s="2338"/>
      <c r="CK140" s="2338"/>
      <c r="CL140" s="2338"/>
      <c r="CM140" s="2338"/>
      <c r="CN140" s="2338"/>
      <c r="CO140" s="2338"/>
      <c r="CP140" s="2338"/>
      <c r="CQ140" s="2338"/>
      <c r="CR140" s="2338"/>
      <c r="CS140" s="2338"/>
      <c r="CT140" s="2338"/>
      <c r="CU140" s="2338"/>
      <c r="CV140" s="2338"/>
      <c r="CW140" s="2338"/>
      <c r="CX140" s="2338"/>
      <c r="CY140" s="2338"/>
      <c r="CZ140" s="2338"/>
    </row>
    <row r="141" spans="1:104" outlineLevel="1">
      <c r="A141" s="2174" t="s">
        <v>219</v>
      </c>
      <c r="B141" s="2240"/>
      <c r="C141" s="2256"/>
      <c r="D141" s="2256"/>
      <c r="E141" s="2256"/>
      <c r="F141" s="2256"/>
      <c r="G141" s="2256"/>
      <c r="H141" s="2371">
        <f>H95+H124</f>
        <v>6081.908972332998</v>
      </c>
      <c r="I141" s="2371"/>
      <c r="J141" s="2256"/>
      <c r="K141" s="2492"/>
      <c r="L141" s="2175"/>
      <c r="M141" s="2175"/>
      <c r="N141" s="2175"/>
      <c r="O141" s="2175"/>
      <c r="P141" s="2175"/>
      <c r="Q141" s="2175"/>
      <c r="R141" s="2175"/>
      <c r="S141" s="2175"/>
      <c r="T141" s="2340">
        <v>138</v>
      </c>
      <c r="U141" s="2175"/>
      <c r="V141" s="2175"/>
      <c r="W141" s="2175"/>
      <c r="X141" s="2175"/>
      <c r="Y141" s="2175"/>
      <c r="Z141" s="2175"/>
      <c r="AA141" s="2175"/>
      <c r="AB141" s="2175"/>
      <c r="AC141" s="2175"/>
      <c r="AD141" s="2175"/>
      <c r="AE141" s="2175"/>
      <c r="AF141" s="2175"/>
      <c r="AG141" s="2175"/>
      <c r="AH141" s="2175">
        <f>3445*5</f>
        <v>17225</v>
      </c>
      <c r="AI141" s="2175">
        <f>3023-893</f>
        <v>2130</v>
      </c>
      <c r="AJ141" s="2175"/>
      <c r="AK141" s="2836" t="s">
        <v>220</v>
      </c>
      <c r="AL141" s="2837">
        <v>-262.61539862299998</v>
      </c>
      <c r="AM141" s="2694">
        <f>-487.365863-AL141</f>
        <v>-224.75046437700001</v>
      </c>
      <c r="AN141" s="2175" t="s">
        <v>198</v>
      </c>
      <c r="AO141" s="2831">
        <f t="shared" ref="AO141:AV141" si="815">AO$117/AO$102</f>
        <v>-5.7116477568321868E-2</v>
      </c>
      <c r="AP141" s="2831">
        <f t="shared" ca="1" si="815"/>
        <v>-4.9698974110116499E-2</v>
      </c>
      <c r="AQ141" s="2831">
        <f t="shared" ca="1" si="815"/>
        <v>-4.2144062400251051E-2</v>
      </c>
      <c r="AR141" s="2831">
        <f t="shared" ca="1" si="815"/>
        <v>-3.9295897496254228E-2</v>
      </c>
      <c r="AS141" s="2831">
        <f t="shared" ca="1" si="815"/>
        <v>-3.0203004738898663E-2</v>
      </c>
      <c r="AT141" s="2831">
        <f t="shared" ca="1" si="815"/>
        <v>-2.6797775623467458E-2</v>
      </c>
      <c r="AU141" s="2831">
        <f t="shared" ca="1" si="815"/>
        <v>-2.5529886539089768E-2</v>
      </c>
      <c r="AV141" s="2831">
        <f t="shared" ca="1" si="815"/>
        <v>-2.573281513771989E-2</v>
      </c>
      <c r="AW141" s="2832"/>
      <c r="AX141" s="2177"/>
      <c r="AY141" s="2177"/>
      <c r="AZ141" s="2177"/>
      <c r="BA141" s="2174"/>
      <c r="BB141" s="2174"/>
      <c r="BC141" s="2174"/>
      <c r="BD141" s="2174"/>
      <c r="BE141" s="2174"/>
      <c r="BF141" s="2174"/>
      <c r="BG141" s="2174"/>
      <c r="BH141" s="2174"/>
      <c r="BI141" s="2174"/>
      <c r="BJ141" s="2174"/>
      <c r="BK141" s="2174"/>
      <c r="BL141" s="2174"/>
      <c r="BM141" s="2174"/>
      <c r="BN141" s="2174"/>
      <c r="BO141" s="2174"/>
      <c r="BP141" s="2174"/>
      <c r="BQ141" s="2174"/>
      <c r="BR141" s="2174"/>
      <c r="BS141" s="2174"/>
      <c r="BT141" s="2174"/>
      <c r="BU141" s="2174"/>
      <c r="BV141" s="2174"/>
      <c r="BW141" s="2174"/>
      <c r="BX141" s="2174"/>
      <c r="BY141" s="2174"/>
      <c r="BZ141" s="2174"/>
      <c r="CA141" s="2174"/>
      <c r="CB141" s="2174"/>
      <c r="CC141" s="2174"/>
      <c r="CD141" s="2174"/>
      <c r="CE141" s="2174"/>
      <c r="CF141" s="2174"/>
      <c r="CG141" s="2174"/>
      <c r="CH141" s="2174"/>
      <c r="CI141" s="2174"/>
      <c r="CJ141" s="2174"/>
      <c r="CK141" s="2174"/>
      <c r="CL141" s="2174"/>
      <c r="CM141" s="2174"/>
      <c r="CN141" s="2174"/>
      <c r="CO141" s="2174"/>
      <c r="CP141" s="2174"/>
      <c r="CQ141" s="2174"/>
      <c r="CR141" s="2174"/>
      <c r="CS141" s="2174"/>
      <c r="CT141" s="2174"/>
      <c r="CU141" s="2174"/>
      <c r="CV141" s="2174"/>
      <c r="CW141" s="2174"/>
      <c r="CX141" s="2174"/>
      <c r="CY141" s="2174"/>
      <c r="CZ141" s="2174"/>
    </row>
    <row r="142" spans="1:104" outlineLevel="1">
      <c r="A142" s="2174" t="s">
        <v>221</v>
      </c>
      <c r="B142" s="2244">
        <f>'FS Year'!N122+'FS Year'!N109</f>
        <v>2052.9459726810001</v>
      </c>
      <c r="C142" s="2245">
        <f>'FS Year'!O122+'FS Year'!O109</f>
        <v>4788.9917467570003</v>
      </c>
      <c r="D142" s="2245">
        <f>'FS Year'!P122+'FS Year'!P109</f>
        <v>6803.4389853559996</v>
      </c>
      <c r="E142" s="2246">
        <f>'FS Year'!Q122+'FS Year'!Q109</f>
        <v>7044.6217774779998</v>
      </c>
      <c r="F142" s="2246">
        <f>'FS Year'!R122+'FS Year'!R109</f>
        <v>14153.152286848999</v>
      </c>
      <c r="G142" s="2246">
        <f>'FS Year'!S122+'FS Year'!S109</f>
        <v>16751.856988576998</v>
      </c>
      <c r="H142" s="2246">
        <f>'FS Year'!T122+'FS Year'!T109</f>
        <v>24647.474278786001</v>
      </c>
      <c r="I142" s="2372"/>
      <c r="J142" s="2256"/>
      <c r="K142" s="2296"/>
      <c r="L142" s="2179"/>
      <c r="M142" s="2175"/>
      <c r="N142" s="2175">
        <f>1.3/1.2-1</f>
        <v>8.3333333333333481E-2</v>
      </c>
      <c r="O142" s="2175">
        <f t="shared" ref="O142:Q142" si="816">1.3/1.2-1</f>
        <v>8.3333333333333481E-2</v>
      </c>
      <c r="P142" s="2175">
        <f t="shared" si="816"/>
        <v>8.3333333333333481E-2</v>
      </c>
      <c r="Q142" s="2175">
        <f t="shared" si="816"/>
        <v>8.3333333333333481E-2</v>
      </c>
      <c r="R142" s="2175"/>
      <c r="S142" s="2175"/>
      <c r="T142" s="2175">
        <v>139</v>
      </c>
      <c r="U142" s="2175"/>
      <c r="V142" s="2175"/>
      <c r="W142" s="2175"/>
      <c r="X142" s="2175"/>
      <c r="Y142" s="2175"/>
      <c r="Z142" s="2175"/>
      <c r="AA142" s="2175"/>
      <c r="AB142" s="2175"/>
      <c r="AC142" s="2175"/>
      <c r="AD142" s="2175"/>
      <c r="AE142" s="2175"/>
      <c r="AF142" s="2175"/>
      <c r="AG142" s="2175">
        <f>3700/5500</f>
        <v>0.67272727272727273</v>
      </c>
      <c r="AH142" s="2175"/>
      <c r="AI142" s="2175"/>
      <c r="AJ142" s="2175"/>
      <c r="AK142" s="2836" t="s">
        <v>222</v>
      </c>
      <c r="AL142" s="2838">
        <f>AL141/Rev_Month!BB42</f>
        <v>1.0462764885378486</v>
      </c>
      <c r="AM142" s="2677">
        <f>-AM141/-(Rev_Month!BD42+Rev_Month!BE42)</f>
        <v>1.3788372047668713</v>
      </c>
      <c r="AN142" s="2175" t="s">
        <v>200</v>
      </c>
      <c r="AO142" s="2831">
        <f t="shared" ref="AO142:AV142" si="817">AO$119/AO$102</f>
        <v>-0.06</v>
      </c>
      <c r="AP142" s="2831">
        <f t="shared" ca="1" si="817"/>
        <v>-5.5E-2</v>
      </c>
      <c r="AQ142" s="2831">
        <f t="shared" ca="1" si="817"/>
        <v>-0.05</v>
      </c>
      <c r="AR142" s="2831">
        <f t="shared" ca="1" si="817"/>
        <v>-0.05</v>
      </c>
      <c r="AS142" s="2839">
        <f t="shared" ca="1" si="817"/>
        <v>-4.4999999999999998E-2</v>
      </c>
      <c r="AT142" s="2839">
        <f t="shared" ca="1" si="817"/>
        <v>-4.4999999999999998E-2</v>
      </c>
      <c r="AU142" s="2839">
        <f t="shared" ca="1" si="817"/>
        <v>-4.4999999999999998E-2</v>
      </c>
      <c r="AV142" s="2839">
        <f t="shared" ca="1" si="817"/>
        <v>-3.7999999999999999E-2</v>
      </c>
      <c r="AW142" s="2840"/>
      <c r="AX142" s="2177"/>
      <c r="AY142" s="2177"/>
      <c r="AZ142" s="2177"/>
      <c r="BA142" s="2174"/>
      <c r="BB142" s="2174"/>
      <c r="BC142" s="2174"/>
      <c r="BD142" s="2174"/>
      <c r="BE142" s="2174"/>
      <c r="BF142" s="2174"/>
      <c r="BG142" s="2174"/>
      <c r="BH142" s="2174"/>
      <c r="BI142" s="2174"/>
      <c r="BJ142" s="2174"/>
      <c r="BK142" s="2174"/>
      <c r="BL142" s="2174"/>
      <c r="BM142" s="2174"/>
      <c r="BN142" s="2174"/>
      <c r="BO142" s="2174"/>
      <c r="BP142" s="2174"/>
      <c r="BQ142" s="2174"/>
      <c r="BR142" s="2174"/>
      <c r="BS142" s="2174"/>
      <c r="BT142" s="2174"/>
      <c r="BU142" s="2174"/>
      <c r="BV142" s="2174"/>
      <c r="BW142" s="2174"/>
      <c r="BX142" s="2174"/>
      <c r="BY142" s="2174"/>
      <c r="BZ142" s="2174"/>
      <c r="CA142" s="2174"/>
      <c r="CB142" s="2174"/>
      <c r="CC142" s="2174"/>
      <c r="CD142" s="2174"/>
      <c r="CE142" s="2174"/>
      <c r="CF142" s="2174"/>
      <c r="CG142" s="2174"/>
      <c r="CH142" s="2174"/>
      <c r="CI142" s="2174"/>
      <c r="CJ142" s="2174"/>
      <c r="CK142" s="2174"/>
      <c r="CL142" s="2174"/>
      <c r="CM142" s="2174"/>
      <c r="CN142" s="2174"/>
      <c r="CO142" s="2174"/>
      <c r="CP142" s="2174"/>
      <c r="CQ142" s="2174"/>
      <c r="CR142" s="2174"/>
      <c r="CS142" s="2174"/>
      <c r="CT142" s="2174"/>
      <c r="CU142" s="2174"/>
      <c r="CV142" s="2174"/>
      <c r="CW142" s="2174"/>
      <c r="CX142" s="2174"/>
      <c r="CY142" s="2174"/>
      <c r="CZ142" s="2174"/>
    </row>
    <row r="143" spans="1:104" outlineLevel="1">
      <c r="A143" s="2174" t="s">
        <v>223</v>
      </c>
      <c r="B143" s="2240"/>
      <c r="C143" s="2256"/>
      <c r="D143" s="2256"/>
      <c r="E143" s="2372">
        <f>E142*E222</f>
        <v>244.77388862059095</v>
      </c>
      <c r="F143" s="2372">
        <f>F142*F222</f>
        <v>885.64037894530293</v>
      </c>
      <c r="G143" s="2372">
        <f>G142*G222</f>
        <v>2662.7488867867864</v>
      </c>
      <c r="H143" s="2372">
        <f>H142*H222</f>
        <v>3836.0805358948651</v>
      </c>
      <c r="I143" s="2256"/>
      <c r="J143" s="2841">
        <f ca="1">TODAY()</f>
        <v>46033</v>
      </c>
      <c r="K143" s="2842">
        <v>46022</v>
      </c>
      <c r="L143" s="2175"/>
      <c r="M143" s="2175"/>
      <c r="N143" s="2175"/>
      <c r="O143" s="2175"/>
      <c r="P143" s="2175"/>
      <c r="Q143" s="2175"/>
      <c r="R143" s="2175"/>
      <c r="S143" s="2175"/>
      <c r="T143" s="2175">
        <v>140</v>
      </c>
      <c r="U143" s="2175"/>
      <c r="V143" s="2175"/>
      <c r="W143" s="2175"/>
      <c r="X143" s="2175"/>
      <c r="Y143" s="2175"/>
      <c r="Z143" s="2175"/>
      <c r="AA143" s="2175"/>
      <c r="AB143" s="2175"/>
      <c r="AC143" s="2175"/>
      <c r="AD143" s="2175"/>
      <c r="AE143" s="2175"/>
      <c r="AF143" s="2175"/>
      <c r="AG143" s="2175"/>
      <c r="AH143" s="2175"/>
      <c r="AI143" s="2175"/>
      <c r="AJ143" s="2175"/>
      <c r="AK143" s="2175"/>
      <c r="AL143" s="2175"/>
      <c r="AM143" s="2175"/>
      <c r="AN143" s="2843" t="s">
        <v>49</v>
      </c>
      <c r="AO143" s="2831">
        <f t="shared" ref="AO143:AV143" si="818">AO$120/AO$102</f>
        <v>-2.7701635736854038E-2</v>
      </c>
      <c r="AP143" s="2831">
        <f t="shared" ca="1" si="818"/>
        <v>-5.5670050684644208E-2</v>
      </c>
      <c r="AQ143" s="2831">
        <f t="shared" ca="1" si="818"/>
        <v>-5.6240636535900335E-2</v>
      </c>
      <c r="AR143" s="2831">
        <f t="shared" ca="1" si="818"/>
        <v>-4.6605573899831387E-2</v>
      </c>
      <c r="AS143" s="2831">
        <f t="shared" ca="1" si="818"/>
        <v>4.1615571763653882E-3</v>
      </c>
      <c r="AT143" s="2831">
        <f t="shared" ca="1" si="818"/>
        <v>-1.5886661310515835E-2</v>
      </c>
      <c r="AU143" s="2831">
        <f t="shared" ca="1" si="818"/>
        <v>-1.0102207467427394E-2</v>
      </c>
      <c r="AV143" s="2831">
        <f t="shared" ca="1" si="818"/>
        <v>-5.0330271203271881E-3</v>
      </c>
      <c r="AW143" s="2832"/>
      <c r="AX143" s="2177"/>
      <c r="AY143" s="2177"/>
      <c r="AZ143" s="2177"/>
      <c r="BA143" s="2174"/>
      <c r="BB143" s="2174"/>
      <c r="BC143" s="2174"/>
      <c r="BD143" s="2174"/>
      <c r="BE143" s="2174"/>
      <c r="BF143" s="2174"/>
      <c r="BG143" s="2174"/>
      <c r="BH143" s="2174"/>
      <c r="BI143" s="2174"/>
      <c r="BJ143" s="2174"/>
      <c r="BK143" s="2174"/>
      <c r="BL143" s="2174"/>
      <c r="BM143" s="2174"/>
      <c r="BN143" s="2174"/>
      <c r="BO143" s="2174"/>
      <c r="BP143" s="2174"/>
      <c r="BQ143" s="2174"/>
      <c r="BR143" s="2174"/>
      <c r="BS143" s="2174"/>
      <c r="BT143" s="2174"/>
      <c r="BU143" s="2174"/>
      <c r="BV143" s="2174"/>
      <c r="BW143" s="2174"/>
      <c r="BX143" s="2174"/>
      <c r="BY143" s="2174"/>
      <c r="BZ143" s="2174"/>
      <c r="CA143" s="2174"/>
      <c r="CB143" s="2174"/>
      <c r="CC143" s="2174"/>
      <c r="CD143" s="2174"/>
      <c r="CE143" s="2174"/>
      <c r="CF143" s="2174"/>
      <c r="CG143" s="2174"/>
      <c r="CH143" s="2174"/>
      <c r="CI143" s="2174"/>
      <c r="CJ143" s="2174"/>
      <c r="CK143" s="2174"/>
      <c r="CL143" s="2174"/>
      <c r="CM143" s="2174"/>
      <c r="CN143" s="2174"/>
      <c r="CO143" s="2174"/>
      <c r="CP143" s="2174"/>
      <c r="CQ143" s="2174"/>
      <c r="CR143" s="2174"/>
      <c r="CS143" s="2174"/>
      <c r="CT143" s="2174"/>
      <c r="CU143" s="2174"/>
      <c r="CV143" s="2174"/>
      <c r="CW143" s="2174"/>
      <c r="CX143" s="2174"/>
      <c r="CY143" s="2174"/>
      <c r="CZ143" s="2174"/>
    </row>
    <row r="144" spans="1:104" s="2848" customFormat="1" outlineLevel="1">
      <c r="A144" s="2844" t="s">
        <v>224</v>
      </c>
      <c r="B144" s="2321">
        <f>'FS Year'!N9/Rev_Year!B142</f>
        <v>-1.894538508639242E-2</v>
      </c>
      <c r="C144" s="2322">
        <f>'FS Year'!O9/Rev_Year!C142</f>
        <v>-2.4983483295209566E-2</v>
      </c>
      <c r="D144" s="2322">
        <f>'FS Year'!P9/Rev_Year!D142</f>
        <v>-3.4277126758093114E-2</v>
      </c>
      <c r="E144" s="2241">
        <f>'FS Year'!Q9/Rev_Year!E142</f>
        <v>-6.1950320607593888E-2</v>
      </c>
      <c r="F144" s="2241">
        <f>'FS Year'!R9/Rev_Year!F142</f>
        <v>-4.0142062038144556E-2</v>
      </c>
      <c r="G144" s="2241">
        <f>'FS Year'!S9/Rev_Year!G142</f>
        <v>-3.5458983527978306E-2</v>
      </c>
      <c r="H144" s="2241">
        <f>'FS Year'!T9/Rev_Year!H142</f>
        <v>-2.7362955674913828E-2</v>
      </c>
      <c r="I144" s="2256"/>
      <c r="J144" s="2256"/>
      <c r="K144" s="2492">
        <f ca="1">YEARFRAC(J143,K143,3)</f>
        <v>3.0136986301369864E-2</v>
      </c>
      <c r="L144" s="2845">
        <f ca="1">L128*30</f>
        <v>21615.25999168873</v>
      </c>
      <c r="M144" s="2843"/>
      <c r="N144" s="2843"/>
      <c r="O144" s="2843"/>
      <c r="P144" s="2843"/>
      <c r="Q144" s="2843"/>
      <c r="R144" s="2843"/>
      <c r="S144" s="2843"/>
      <c r="T144" s="2175">
        <v>141</v>
      </c>
      <c r="U144" s="2843"/>
      <c r="V144" s="2843"/>
      <c r="W144" s="2843"/>
      <c r="X144" s="2843"/>
      <c r="Y144" s="2843"/>
      <c r="Z144" s="2843"/>
      <c r="AA144" s="2843"/>
      <c r="AB144" s="2843"/>
      <c r="AC144" s="2843"/>
      <c r="AD144" s="2843"/>
      <c r="AE144" s="2843"/>
      <c r="AF144" s="2843"/>
      <c r="AG144" s="2843"/>
      <c r="AH144" s="2843"/>
      <c r="AI144" s="2843">
        <f>6848/600</f>
        <v>11.413333333333334</v>
      </c>
      <c r="AJ144" s="2843"/>
      <c r="AK144" s="2843"/>
      <c r="AL144" s="2843"/>
      <c r="AM144" s="2843"/>
      <c r="AN144" s="2843"/>
      <c r="AO144" s="2846"/>
      <c r="AP144" s="2831"/>
      <c r="AQ144" s="2831"/>
      <c r="AR144" s="2831"/>
      <c r="AS144" s="2831"/>
      <c r="AT144" s="2831"/>
      <c r="AU144" s="2831"/>
      <c r="AV144" s="2831"/>
      <c r="AW144" s="2832"/>
      <c r="AX144" s="2847"/>
      <c r="AY144" s="2847"/>
      <c r="AZ144" s="2847"/>
      <c r="BA144" s="2844"/>
      <c r="BB144" s="2844"/>
      <c r="BC144" s="2844"/>
      <c r="BD144" s="2844"/>
      <c r="BE144" s="2844"/>
      <c r="BF144" s="2844"/>
      <c r="BG144" s="2844"/>
      <c r="BH144" s="2844"/>
      <c r="BI144" s="2844"/>
      <c r="BJ144" s="2844"/>
      <c r="BK144" s="2844"/>
      <c r="BL144" s="2844"/>
      <c r="BM144" s="2844"/>
      <c r="BN144" s="2844"/>
      <c r="BO144" s="2844"/>
      <c r="BP144" s="2844"/>
      <c r="BQ144" s="2844"/>
      <c r="BR144" s="2844"/>
      <c r="BS144" s="2844"/>
      <c r="BT144" s="2844"/>
      <c r="BU144" s="2844"/>
      <c r="BV144" s="2844"/>
      <c r="BW144" s="2844"/>
      <c r="BX144" s="2844"/>
      <c r="BY144" s="2844"/>
      <c r="BZ144" s="2844"/>
      <c r="CA144" s="2844"/>
      <c r="CB144" s="2844"/>
      <c r="CC144" s="2844"/>
      <c r="CD144" s="2844"/>
      <c r="CE144" s="2844"/>
      <c r="CF144" s="2844"/>
      <c r="CG144" s="2844"/>
      <c r="CH144" s="2844"/>
      <c r="CI144" s="2844"/>
      <c r="CJ144" s="2844"/>
      <c r="CK144" s="2844"/>
      <c r="CL144" s="2844"/>
      <c r="CM144" s="2844"/>
      <c r="CN144" s="2844"/>
      <c r="CO144" s="2844"/>
      <c r="CP144" s="2844"/>
      <c r="CQ144" s="2844"/>
      <c r="CR144" s="2844"/>
      <c r="CS144" s="2844"/>
      <c r="CT144" s="2844"/>
      <c r="CU144" s="2844"/>
      <c r="CV144" s="2844"/>
      <c r="CW144" s="2844"/>
      <c r="CX144" s="2844"/>
      <c r="CY144" s="2844"/>
      <c r="CZ144" s="2844"/>
    </row>
    <row r="145" spans="1:104" s="2860" customFormat="1" outlineLevel="1">
      <c r="A145" s="2780" t="s">
        <v>225</v>
      </c>
      <c r="B145" s="2849"/>
      <c r="C145" s="2850"/>
      <c r="D145" s="2850"/>
      <c r="E145" s="2850"/>
      <c r="F145" s="2850"/>
      <c r="G145" s="2850"/>
      <c r="H145" s="2850"/>
      <c r="I145" s="2850"/>
      <c r="J145" s="2850"/>
      <c r="K145" s="2851"/>
      <c r="L145" s="2852">
        <f ca="1">L144/(1+10%)^K144</f>
        <v>21553.262231896504</v>
      </c>
      <c r="M145" s="2852"/>
      <c r="N145" s="2852"/>
      <c r="O145" s="2852"/>
      <c r="P145" s="2852"/>
      <c r="Q145" s="2852"/>
      <c r="R145" s="2852"/>
      <c r="S145" s="2852"/>
      <c r="T145" s="2427">
        <v>142</v>
      </c>
      <c r="U145" s="2852" t="s">
        <v>226</v>
      </c>
      <c r="V145" s="2852" t="s">
        <v>226</v>
      </c>
      <c r="W145" s="2852" t="s">
        <v>226</v>
      </c>
      <c r="X145" s="2852" t="s">
        <v>226</v>
      </c>
      <c r="Y145" s="2852" t="s">
        <v>226</v>
      </c>
      <c r="Z145" s="2852" t="s">
        <v>226</v>
      </c>
      <c r="AA145" s="2852" t="s">
        <v>226</v>
      </c>
      <c r="AB145" s="2853"/>
      <c r="AC145" s="2427"/>
      <c r="AD145" s="2854"/>
      <c r="AE145" s="2854"/>
      <c r="AF145" s="2854"/>
      <c r="AG145" s="2854"/>
      <c r="AH145" s="2854"/>
      <c r="AI145" s="2854"/>
      <c r="AJ145" s="2854"/>
      <c r="AK145" s="2854"/>
      <c r="AL145" s="2854"/>
      <c r="AM145" s="2854"/>
      <c r="AN145" s="2854"/>
      <c r="AO145" s="2855"/>
      <c r="AP145" s="2854"/>
      <c r="AQ145" s="2854"/>
      <c r="AR145" s="2856"/>
      <c r="AS145" s="2855"/>
      <c r="AT145" s="2854"/>
      <c r="AU145" s="2854"/>
      <c r="AV145" s="2854"/>
      <c r="AW145" s="2857"/>
      <c r="AX145" s="2858"/>
      <c r="AY145" s="2858"/>
      <c r="AZ145" s="2858"/>
      <c r="BA145" s="2859"/>
      <c r="BB145" s="2859"/>
      <c r="BC145" s="2859"/>
      <c r="BD145" s="2859"/>
      <c r="BE145" s="2859"/>
      <c r="BF145" s="2859"/>
      <c r="BG145" s="2859"/>
      <c r="BH145" s="2859"/>
      <c r="BI145" s="2859"/>
      <c r="BJ145" s="2859"/>
      <c r="BK145" s="2859"/>
      <c r="BL145" s="2859"/>
      <c r="BM145" s="2859"/>
      <c r="BN145" s="2859"/>
      <c r="BO145" s="2859"/>
      <c r="BP145" s="2859"/>
      <c r="BQ145" s="2859"/>
      <c r="BR145" s="2859"/>
      <c r="BS145" s="2859"/>
      <c r="BT145" s="2859"/>
      <c r="BU145" s="2859"/>
      <c r="BV145" s="2859"/>
      <c r="BW145" s="2859"/>
      <c r="BX145" s="2859"/>
      <c r="BY145" s="2859"/>
      <c r="BZ145" s="2859"/>
      <c r="CA145" s="2859"/>
      <c r="CB145" s="2859"/>
      <c r="CC145" s="2859"/>
      <c r="CD145" s="2859"/>
      <c r="CE145" s="2859"/>
      <c r="CF145" s="2859"/>
      <c r="CG145" s="2859"/>
      <c r="CH145" s="2859"/>
      <c r="CI145" s="2859"/>
      <c r="CJ145" s="2859"/>
      <c r="CK145" s="2859"/>
      <c r="CL145" s="2859"/>
      <c r="CM145" s="2859"/>
      <c r="CN145" s="2859"/>
      <c r="CO145" s="2859"/>
      <c r="CP145" s="2859"/>
      <c r="CQ145" s="2859"/>
      <c r="CR145" s="2859"/>
      <c r="CS145" s="2859"/>
      <c r="CT145" s="2859"/>
      <c r="CU145" s="2859"/>
      <c r="CV145" s="2859"/>
      <c r="CW145" s="2859"/>
      <c r="CX145" s="2859"/>
      <c r="CY145" s="2859"/>
      <c r="CZ145" s="2859"/>
    </row>
    <row r="146" spans="1:104" s="2869" customFormat="1" outlineLevel="1">
      <c r="A146" s="2861" t="s">
        <v>227</v>
      </c>
      <c r="B146" s="2862"/>
      <c r="C146" s="2862">
        <v>95.08</v>
      </c>
      <c r="D146" s="2862">
        <v>92.6</v>
      </c>
      <c r="E146" s="2862">
        <v>113.1</v>
      </c>
      <c r="F146" s="2862">
        <v>115.39</v>
      </c>
      <c r="G146" s="2862">
        <v>154.69999999999999</v>
      </c>
      <c r="H146" s="2862">
        <f>SUM(H148,H150)</f>
        <v>160747.23071221614</v>
      </c>
      <c r="I146" s="2862"/>
      <c r="J146" s="2862"/>
      <c r="K146" s="2296"/>
      <c r="L146" s="2863"/>
      <c r="M146" s="2863"/>
      <c r="N146" s="2863"/>
      <c r="O146" s="2863"/>
      <c r="P146" s="2863"/>
      <c r="Q146" s="2863"/>
      <c r="R146" s="2864"/>
      <c r="S146" s="2864"/>
      <c r="T146" s="2175">
        <v>143</v>
      </c>
      <c r="U146" s="2864"/>
      <c r="V146" s="2864"/>
      <c r="W146" s="2864"/>
      <c r="X146" s="2864"/>
      <c r="Y146" s="2864"/>
      <c r="Z146" s="2864"/>
      <c r="AA146" s="2864"/>
      <c r="AB146" s="2863"/>
      <c r="AC146" s="2863"/>
      <c r="AD146" s="2863"/>
      <c r="AE146" s="2863"/>
      <c r="AF146" s="2863"/>
      <c r="AG146" s="2863"/>
      <c r="AH146" s="2863"/>
      <c r="AI146" s="2863"/>
      <c r="AJ146" s="2863"/>
      <c r="AK146" s="2863"/>
      <c r="AL146" s="2863"/>
      <c r="AM146" s="2805"/>
      <c r="AN146" s="2863"/>
      <c r="AO146" s="2865"/>
      <c r="AP146" s="2550"/>
      <c r="AQ146" s="2866"/>
      <c r="AR146" s="2863" t="s">
        <v>194</v>
      </c>
      <c r="AS146" s="2526">
        <f>AT114/3/$AT$107</f>
        <v>-0.16418838422286222</v>
      </c>
      <c r="AT146" s="2527">
        <f>AT114/3/$AT$107</f>
        <v>-0.16418838422286222</v>
      </c>
      <c r="AU146" s="2863"/>
      <c r="AV146" s="2863"/>
      <c r="AW146" s="2528"/>
      <c r="AX146" s="2867"/>
      <c r="AY146" s="2867"/>
      <c r="AZ146" s="2867"/>
      <c r="BA146" s="2868"/>
      <c r="BB146" s="2868"/>
      <c r="BC146" s="2868"/>
      <c r="BD146" s="2868"/>
      <c r="BE146" s="2868"/>
      <c r="BF146" s="2868"/>
      <c r="BG146" s="2868"/>
      <c r="BH146" s="2868"/>
      <c r="BI146" s="2868"/>
      <c r="BJ146" s="2868"/>
      <c r="BK146" s="2868"/>
      <c r="BL146" s="2868"/>
      <c r="BM146" s="2868"/>
      <c r="BN146" s="2868"/>
      <c r="BO146" s="2868"/>
      <c r="BP146" s="2868"/>
      <c r="BQ146" s="2868"/>
      <c r="BR146" s="2868"/>
      <c r="BS146" s="2868"/>
      <c r="BT146" s="2868"/>
      <c r="BU146" s="2868"/>
      <c r="BV146" s="2868"/>
      <c r="BW146" s="2868"/>
      <c r="BX146" s="2868"/>
      <c r="BY146" s="2868"/>
      <c r="BZ146" s="2868"/>
      <c r="CA146" s="2868"/>
      <c r="CB146" s="2868"/>
      <c r="CC146" s="2868"/>
      <c r="CD146" s="2868"/>
      <c r="CE146" s="2868"/>
      <c r="CF146" s="2868"/>
      <c r="CG146" s="2868"/>
      <c r="CH146" s="2868"/>
      <c r="CI146" s="2868"/>
      <c r="CJ146" s="2868"/>
      <c r="CK146" s="2868"/>
      <c r="CL146" s="2868"/>
      <c r="CM146" s="2868"/>
      <c r="CN146" s="2868"/>
      <c r="CO146" s="2868"/>
      <c r="CP146" s="2868"/>
      <c r="CQ146" s="2868"/>
      <c r="CR146" s="2868"/>
      <c r="CS146" s="2868"/>
      <c r="CT146" s="2868"/>
      <c r="CU146" s="2868"/>
      <c r="CV146" s="2868"/>
      <c r="CW146" s="2868"/>
      <c r="CX146" s="2868"/>
      <c r="CY146" s="2868"/>
      <c r="CZ146" s="2868"/>
    </row>
    <row r="147" spans="1:104" s="2869" customFormat="1" outlineLevel="1">
      <c r="A147" s="2861" t="s">
        <v>228</v>
      </c>
      <c r="B147" s="2862"/>
      <c r="C147" s="2256"/>
      <c r="D147" s="2256"/>
      <c r="E147" s="2256"/>
      <c r="F147" s="2256"/>
      <c r="G147" s="2256"/>
      <c r="H147" s="2256"/>
      <c r="I147" s="2862"/>
      <c r="J147" s="2862"/>
      <c r="K147" s="2296"/>
      <c r="L147" s="2863"/>
      <c r="M147" s="2863"/>
      <c r="N147" s="2863"/>
      <c r="O147" s="2863"/>
      <c r="P147" s="2863"/>
      <c r="Q147" s="2863"/>
      <c r="R147" s="2864"/>
      <c r="S147" s="2864"/>
      <c r="T147" s="2175">
        <v>144</v>
      </c>
      <c r="U147" s="2864"/>
      <c r="V147" s="2864"/>
      <c r="W147" s="2864"/>
      <c r="X147" s="2864"/>
      <c r="Y147" s="2864"/>
      <c r="Z147" s="2864"/>
      <c r="AA147" s="2864"/>
      <c r="AB147" s="2863"/>
      <c r="AC147" s="2863"/>
      <c r="AD147" s="2863"/>
      <c r="AE147" s="2863"/>
      <c r="AF147" s="2863"/>
      <c r="AG147" s="2863"/>
      <c r="AH147" s="2863"/>
      <c r="AI147" s="2863"/>
      <c r="AJ147" s="2863"/>
      <c r="AK147" s="2863"/>
      <c r="AL147" s="2863"/>
      <c r="AM147" s="2863"/>
      <c r="AN147" s="2863"/>
      <c r="AO147" s="2865"/>
      <c r="AP147" s="2870"/>
      <c r="AQ147" s="2871"/>
      <c r="AR147" s="2863" t="s">
        <v>195</v>
      </c>
      <c r="AS147" s="2526">
        <f t="shared" ref="AS147:AS149" si="819">AT115/3/$AT$107</f>
        <v>-0.10521204161876252</v>
      </c>
      <c r="AT147" s="2527">
        <f t="shared" ref="AT147:AT153" si="820">AT115/3/$AT$107</f>
        <v>-0.10521204161876252</v>
      </c>
      <c r="AU147" s="2863"/>
      <c r="AV147" s="2863"/>
      <c r="AW147" s="2528"/>
      <c r="AX147" s="2867"/>
      <c r="AY147" s="2867"/>
      <c r="AZ147" s="2867"/>
      <c r="BA147" s="2868"/>
      <c r="BB147" s="2868"/>
      <c r="BC147" s="2868"/>
      <c r="BD147" s="2868"/>
      <c r="BE147" s="2868"/>
      <c r="BF147" s="2868"/>
      <c r="BG147" s="2868"/>
      <c r="BH147" s="2868"/>
      <c r="BI147" s="2868"/>
      <c r="BJ147" s="2868"/>
      <c r="BK147" s="2868"/>
      <c r="BL147" s="2868"/>
      <c r="BM147" s="2868"/>
      <c r="BN147" s="2868"/>
      <c r="BO147" s="2868"/>
      <c r="BP147" s="2868"/>
      <c r="BQ147" s="2868"/>
      <c r="BR147" s="2868"/>
      <c r="BS147" s="2868"/>
      <c r="BT147" s="2868"/>
      <c r="BU147" s="2868"/>
      <c r="BV147" s="2868"/>
      <c r="BW147" s="2868"/>
      <c r="BX147" s="2868"/>
      <c r="BY147" s="2868"/>
      <c r="BZ147" s="2868"/>
      <c r="CA147" s="2868"/>
      <c r="CB147" s="2868"/>
      <c r="CC147" s="2868"/>
      <c r="CD147" s="2868"/>
      <c r="CE147" s="2868"/>
      <c r="CF147" s="2868"/>
      <c r="CG147" s="2868"/>
      <c r="CH147" s="2868"/>
      <c r="CI147" s="2868"/>
      <c r="CJ147" s="2868"/>
      <c r="CK147" s="2868"/>
      <c r="CL147" s="2868"/>
      <c r="CM147" s="2868"/>
      <c r="CN147" s="2868"/>
      <c r="CO147" s="2868"/>
      <c r="CP147" s="2868"/>
      <c r="CQ147" s="2868"/>
      <c r="CR147" s="2868"/>
      <c r="CS147" s="2868"/>
      <c r="CT147" s="2868"/>
      <c r="CU147" s="2868"/>
      <c r="CV147" s="2868"/>
      <c r="CW147" s="2868"/>
      <c r="CX147" s="2868"/>
      <c r="CY147" s="2868"/>
      <c r="CZ147" s="2868"/>
    </row>
    <row r="148" spans="1:104" s="2869" customFormat="1" outlineLevel="1">
      <c r="A148" s="2462" t="s">
        <v>229</v>
      </c>
      <c r="B148" s="2862"/>
      <c r="C148" s="2862">
        <v>83.04</v>
      </c>
      <c r="D148" s="2862">
        <v>80.716279069767452</v>
      </c>
      <c r="E148" s="2862">
        <v>80.480269767441868</v>
      </c>
      <c r="F148" s="2246">
        <f>F200/0.6</f>
        <v>73224.874849984815</v>
      </c>
      <c r="G148" s="2246">
        <f>G200/0.6</f>
        <v>69831.272651415056</v>
      </c>
      <c r="H148" s="2246">
        <f>H200/H149</f>
        <v>82791.791442803835</v>
      </c>
      <c r="I148" s="2872">
        <f>H148/23000</f>
        <v>3.5996431062088625</v>
      </c>
      <c r="J148" s="2872"/>
      <c r="K148" s="2492"/>
      <c r="L148" s="2866"/>
      <c r="M148" s="2866"/>
      <c r="N148" s="2866"/>
      <c r="O148" s="2866"/>
      <c r="P148" s="2866"/>
      <c r="Q148" s="2866"/>
      <c r="R148" s="2873"/>
      <c r="S148" s="2873"/>
      <c r="T148" s="2175">
        <v>145</v>
      </c>
      <c r="U148" s="2873">
        <f t="shared" ref="U148:AA148" si="821">T148*(1+U149)</f>
        <v>147.9</v>
      </c>
      <c r="V148" s="2873">
        <f t="shared" si="821"/>
        <v>150.858</v>
      </c>
      <c r="W148" s="2873">
        <f t="shared" si="821"/>
        <v>153.87515999999999</v>
      </c>
      <c r="X148" s="2873">
        <f t="shared" si="821"/>
        <v>156.95266319999999</v>
      </c>
      <c r="Y148" s="2873">
        <f t="shared" si="821"/>
        <v>160.091716464</v>
      </c>
      <c r="Z148" s="2873">
        <f t="shared" si="821"/>
        <v>163.29355079327999</v>
      </c>
      <c r="AA148" s="2873">
        <f t="shared" si="821"/>
        <v>166.55942180914559</v>
      </c>
      <c r="AB148" s="2863"/>
      <c r="AC148" s="2863"/>
      <c r="AD148" s="2863"/>
      <c r="AE148" s="2863"/>
      <c r="AF148" s="2863"/>
      <c r="AG148" s="2514">
        <v>0.40600000000000003</v>
      </c>
      <c r="AH148" s="2514">
        <v>0.377</v>
      </c>
      <c r="AI148" s="2514">
        <v>0.37</v>
      </c>
      <c r="AJ148" s="2514"/>
      <c r="AK148" s="2514">
        <v>0.436</v>
      </c>
      <c r="AL148" s="2514">
        <v>0.41499999999999998</v>
      </c>
      <c r="AM148" s="2514">
        <v>0.42199999999999999</v>
      </c>
      <c r="AN148" s="2863"/>
      <c r="AO148" s="2865"/>
      <c r="AP148" s="2863"/>
      <c r="AQ148" s="2866"/>
      <c r="AR148" s="2863" t="s">
        <v>218</v>
      </c>
      <c r="AS148" s="2526">
        <f ca="1">AT116/3/$AT$107</f>
        <v>-6.5160010832855636E-2</v>
      </c>
      <c r="AT148" s="2527">
        <f ca="1">AT116/3/$AT$107</f>
        <v>-6.5160010832855636E-2</v>
      </c>
      <c r="AU148" s="2863"/>
      <c r="AV148" s="2863"/>
      <c r="AW148" s="2528"/>
      <c r="AX148" s="2867"/>
      <c r="AY148" s="2867"/>
      <c r="AZ148" s="2867"/>
      <c r="BA148" s="2868"/>
      <c r="BB148" s="2868"/>
      <c r="BC148" s="2868"/>
      <c r="BD148" s="2868"/>
      <c r="BE148" s="2868"/>
      <c r="BF148" s="2868"/>
      <c r="BG148" s="2868"/>
      <c r="BH148" s="2868"/>
      <c r="BI148" s="2868"/>
      <c r="BJ148" s="2868"/>
      <c r="BK148" s="2868"/>
      <c r="BL148" s="2868"/>
      <c r="BM148" s="2868"/>
      <c r="BN148" s="2868"/>
      <c r="BO148" s="2868"/>
      <c r="BP148" s="2868"/>
      <c r="BQ148" s="2868"/>
      <c r="BR148" s="2868"/>
      <c r="BS148" s="2868"/>
      <c r="BT148" s="2868"/>
      <c r="BU148" s="2868"/>
      <c r="BV148" s="2868"/>
      <c r="BW148" s="2868"/>
      <c r="BX148" s="2868"/>
      <c r="BY148" s="2868"/>
      <c r="BZ148" s="2868"/>
      <c r="CA148" s="2868"/>
      <c r="CB148" s="2868"/>
      <c r="CC148" s="2868"/>
      <c r="CD148" s="2868"/>
      <c r="CE148" s="2868"/>
      <c r="CF148" s="2868"/>
      <c r="CG148" s="2868"/>
      <c r="CH148" s="2868"/>
      <c r="CI148" s="2868"/>
      <c r="CJ148" s="2868"/>
      <c r="CK148" s="2868"/>
      <c r="CL148" s="2868"/>
      <c r="CM148" s="2868"/>
      <c r="CN148" s="2868"/>
      <c r="CO148" s="2868"/>
      <c r="CP148" s="2868"/>
      <c r="CQ148" s="2868"/>
      <c r="CR148" s="2868"/>
      <c r="CS148" s="2868"/>
      <c r="CT148" s="2868"/>
      <c r="CU148" s="2868"/>
      <c r="CV148" s="2868"/>
      <c r="CW148" s="2868"/>
      <c r="CX148" s="2868"/>
      <c r="CY148" s="2868"/>
      <c r="CZ148" s="2868"/>
    </row>
    <row r="149" spans="1:104" s="2869" customFormat="1" outlineLevel="1">
      <c r="A149" s="2861" t="s">
        <v>230</v>
      </c>
      <c r="B149" s="2874"/>
      <c r="C149" s="2874">
        <v>0.45</v>
      </c>
      <c r="D149" s="2874">
        <v>0.45</v>
      </c>
      <c r="E149" s="2874">
        <v>0.45</v>
      </c>
      <c r="F149" s="2874">
        <v>0.48</v>
      </c>
      <c r="G149" s="2874">
        <v>0.55000000000000004</v>
      </c>
      <c r="H149" s="2874">
        <v>0.6</v>
      </c>
      <c r="I149" s="2874"/>
      <c r="J149" s="2874"/>
      <c r="K149" s="2293"/>
      <c r="L149" s="2875"/>
      <c r="M149" s="2875"/>
      <c r="N149" s="2875"/>
      <c r="O149" s="2875"/>
      <c r="P149" s="2875"/>
      <c r="Q149" s="2875"/>
      <c r="R149" s="2876"/>
      <c r="S149" s="2876"/>
      <c r="T149" s="2175">
        <v>146</v>
      </c>
      <c r="U149" s="2876">
        <v>0.02</v>
      </c>
      <c r="V149" s="2876">
        <v>0.02</v>
      </c>
      <c r="W149" s="2876">
        <v>0.02</v>
      </c>
      <c r="X149" s="2876">
        <v>0.02</v>
      </c>
      <c r="Y149" s="2876">
        <v>0.02</v>
      </c>
      <c r="Z149" s="2876">
        <v>0.02</v>
      </c>
      <c r="AA149" s="2876">
        <v>0.02</v>
      </c>
      <c r="AB149" s="2863"/>
      <c r="AC149" s="2863"/>
      <c r="AD149" s="2863"/>
      <c r="AE149" s="2863"/>
      <c r="AF149" s="2863"/>
      <c r="AG149" s="2514"/>
      <c r="AH149" s="2514"/>
      <c r="AI149" s="2514"/>
      <c r="AJ149" s="2514"/>
      <c r="AK149" s="2514"/>
      <c r="AL149" s="2514"/>
      <c r="AM149" s="2514"/>
      <c r="AN149" s="2863"/>
      <c r="AO149" s="2865"/>
      <c r="AP149" s="2863"/>
      <c r="AQ149" s="2863"/>
      <c r="AR149" s="2863" t="s">
        <v>198</v>
      </c>
      <c r="AS149" s="2526">
        <f t="shared" si="819"/>
        <v>-5.4230276806634156E-2</v>
      </c>
      <c r="AT149" s="2527">
        <f>-3/5/12</f>
        <v>-4.9999999999999996E-2</v>
      </c>
      <c r="AU149" s="2866"/>
      <c r="AV149" s="2863"/>
      <c r="AW149" s="2528"/>
      <c r="AX149" s="2867"/>
      <c r="AY149" s="2867"/>
      <c r="AZ149" s="2867"/>
      <c r="BA149" s="2868"/>
      <c r="BB149" s="2868"/>
      <c r="BC149" s="2868"/>
      <c r="BD149" s="2868"/>
      <c r="BE149" s="2868"/>
      <c r="BF149" s="2868"/>
      <c r="BG149" s="2868"/>
      <c r="BH149" s="2868"/>
      <c r="BI149" s="2868"/>
      <c r="BJ149" s="2868"/>
      <c r="BK149" s="2868"/>
      <c r="BL149" s="2868"/>
      <c r="BM149" s="2868"/>
      <c r="BN149" s="2868"/>
      <c r="BO149" s="2868"/>
      <c r="BP149" s="2868"/>
      <c r="BQ149" s="2868"/>
      <c r="BR149" s="2868"/>
      <c r="BS149" s="2868"/>
      <c r="BT149" s="2868"/>
      <c r="BU149" s="2868"/>
      <c r="BV149" s="2868"/>
      <c r="BW149" s="2868"/>
      <c r="BX149" s="2868"/>
      <c r="BY149" s="2868"/>
      <c r="BZ149" s="2868"/>
      <c r="CA149" s="2868"/>
      <c r="CB149" s="2868"/>
      <c r="CC149" s="2868"/>
      <c r="CD149" s="2868"/>
      <c r="CE149" s="2868"/>
      <c r="CF149" s="2868"/>
      <c r="CG149" s="2868"/>
      <c r="CH149" s="2868"/>
      <c r="CI149" s="2868"/>
      <c r="CJ149" s="2868"/>
      <c r="CK149" s="2868"/>
      <c r="CL149" s="2868"/>
      <c r="CM149" s="2868"/>
      <c r="CN149" s="2868"/>
      <c r="CO149" s="2868"/>
      <c r="CP149" s="2868"/>
      <c r="CQ149" s="2868"/>
      <c r="CR149" s="2868"/>
      <c r="CS149" s="2868"/>
      <c r="CT149" s="2868"/>
      <c r="CU149" s="2868"/>
      <c r="CV149" s="2868"/>
      <c r="CW149" s="2868"/>
      <c r="CX149" s="2868"/>
      <c r="CY149" s="2868"/>
      <c r="CZ149" s="2868"/>
    </row>
    <row r="150" spans="1:104" s="2869" customFormat="1" outlineLevel="1">
      <c r="A150" s="2462" t="s">
        <v>231</v>
      </c>
      <c r="B150" s="2862"/>
      <c r="C150" s="2862">
        <v>97</v>
      </c>
      <c r="D150" s="2862">
        <v>101.64368</v>
      </c>
      <c r="E150" s="2877">
        <f>31.7%*E$6/E151</f>
        <v>78359.037085120523</v>
      </c>
      <c r="F150" s="2877">
        <f>31.7%*F$6/F151</f>
        <v>85234.829843739979</v>
      </c>
      <c r="G150" s="2877">
        <f>31.7%*G$6/G151</f>
        <v>86022.720584839</v>
      </c>
      <c r="H150" s="2877">
        <f>31.7%*H$6/H151</f>
        <v>77955.439269412309</v>
      </c>
      <c r="I150" s="2872">
        <f>H150/23000</f>
        <v>3.389366924757057</v>
      </c>
      <c r="J150" s="2872"/>
      <c r="K150" s="2492"/>
      <c r="L150" s="2866"/>
      <c r="M150" s="2866"/>
      <c r="N150" s="2866"/>
      <c r="O150" s="2866"/>
      <c r="P150" s="2866"/>
      <c r="Q150" s="2866"/>
      <c r="R150" s="2873"/>
      <c r="S150" s="2873"/>
      <c r="T150" s="2175">
        <v>147</v>
      </c>
      <c r="U150" s="2873">
        <f t="shared" ref="U150:AA150" si="822">T150*(1+U151)</f>
        <v>154.35</v>
      </c>
      <c r="V150" s="2873">
        <f t="shared" si="822"/>
        <v>162.0675</v>
      </c>
      <c r="W150" s="2873">
        <f t="shared" si="822"/>
        <v>170.170875</v>
      </c>
      <c r="X150" s="2873">
        <f t="shared" si="822"/>
        <v>178.67941875</v>
      </c>
      <c r="Y150" s="2873">
        <f t="shared" si="822"/>
        <v>187.61338968750002</v>
      </c>
      <c r="Z150" s="2873">
        <f t="shared" si="822"/>
        <v>196.99405917187502</v>
      </c>
      <c r="AA150" s="2873">
        <f t="shared" si="822"/>
        <v>206.84376213046878</v>
      </c>
      <c r="AB150" s="2863"/>
      <c r="AC150" s="2863"/>
      <c r="AD150" s="2863"/>
      <c r="AE150" s="2863"/>
      <c r="AF150" s="2863"/>
      <c r="AG150" s="2514">
        <v>0.35</v>
      </c>
      <c r="AH150" s="2514">
        <v>0.35899999999999999</v>
      </c>
      <c r="AI150" s="2514">
        <v>0.32300000000000001</v>
      </c>
      <c r="AJ150" s="2514"/>
      <c r="AK150" s="2514">
        <v>0.34</v>
      </c>
      <c r="AL150" s="2514">
        <v>0.33800000000000002</v>
      </c>
      <c r="AM150" s="2514">
        <v>0.32900000000000001</v>
      </c>
      <c r="AN150" s="2863"/>
      <c r="AO150" s="2865"/>
      <c r="AP150" s="2863"/>
      <c r="AQ150" s="2863"/>
      <c r="AR150" s="2863" t="s">
        <v>200</v>
      </c>
      <c r="AS150" s="2526">
        <f ca="1">AT119/3/$AT$107</f>
        <v>-9.1065858994708967E-2</v>
      </c>
      <c r="AT150" s="2527">
        <f ca="1">AT119/3/$AT$107</f>
        <v>-9.1065858994708967E-2</v>
      </c>
      <c r="AU150" s="2863"/>
      <c r="AV150" s="2863"/>
      <c r="AW150" s="2528"/>
      <c r="AX150" s="2867"/>
      <c r="AY150" s="2867"/>
      <c r="AZ150" s="2867"/>
      <c r="BA150" s="2868"/>
      <c r="BB150" s="2868"/>
      <c r="BC150" s="2868"/>
      <c r="BD150" s="2868"/>
      <c r="BE150" s="2868"/>
      <c r="BF150" s="2868"/>
      <c r="BG150" s="2868"/>
      <c r="BH150" s="2868"/>
      <c r="BI150" s="2868"/>
      <c r="BJ150" s="2868"/>
      <c r="BK150" s="2868"/>
      <c r="BL150" s="2868"/>
      <c r="BM150" s="2868"/>
      <c r="BN150" s="2868"/>
      <c r="BO150" s="2868"/>
      <c r="BP150" s="2868"/>
      <c r="BQ150" s="2868"/>
      <c r="BR150" s="2868"/>
      <c r="BS150" s="2868"/>
      <c r="BT150" s="2868"/>
      <c r="BU150" s="2868"/>
      <c r="BV150" s="2868"/>
      <c r="BW150" s="2868"/>
      <c r="BX150" s="2868"/>
      <c r="BY150" s="2868"/>
      <c r="BZ150" s="2868"/>
      <c r="CA150" s="2868"/>
      <c r="CB150" s="2868"/>
      <c r="CC150" s="2868"/>
      <c r="CD150" s="2868"/>
      <c r="CE150" s="2868"/>
      <c r="CF150" s="2868"/>
      <c r="CG150" s="2868"/>
      <c r="CH150" s="2868"/>
      <c r="CI150" s="2868"/>
      <c r="CJ150" s="2868"/>
      <c r="CK150" s="2868"/>
      <c r="CL150" s="2868"/>
      <c r="CM150" s="2868"/>
      <c r="CN150" s="2868"/>
      <c r="CO150" s="2868"/>
      <c r="CP150" s="2868"/>
      <c r="CQ150" s="2868"/>
      <c r="CR150" s="2868"/>
      <c r="CS150" s="2868"/>
      <c r="CT150" s="2868"/>
      <c r="CU150" s="2868"/>
      <c r="CV150" s="2868"/>
      <c r="CW150" s="2868"/>
      <c r="CX150" s="2868"/>
      <c r="CY150" s="2868"/>
      <c r="CZ150" s="2868"/>
    </row>
    <row r="151" spans="1:104" s="2869" customFormat="1" outlineLevel="1">
      <c r="A151" s="2861" t="str">
        <f>A149</f>
        <v>Marketshare (%)</v>
      </c>
      <c r="B151" s="2874"/>
      <c r="C151" s="2874"/>
      <c r="D151" s="2874"/>
      <c r="E151" s="2874">
        <v>0.35</v>
      </c>
      <c r="F151" s="2874">
        <v>0.38</v>
      </c>
      <c r="G151" s="2874">
        <v>0.4</v>
      </c>
      <c r="H151" s="2874">
        <v>0.5</v>
      </c>
      <c r="I151" s="2874"/>
      <c r="J151" s="2874"/>
      <c r="K151" s="2208"/>
      <c r="L151" s="2516"/>
      <c r="M151" s="2516"/>
      <c r="N151" s="2516"/>
      <c r="O151" s="2516"/>
      <c r="P151" s="2516"/>
      <c r="Q151" s="2516"/>
      <c r="R151" s="2878"/>
      <c r="S151" s="2878"/>
      <c r="T151" s="2175">
        <v>148</v>
      </c>
      <c r="U151" s="2878">
        <f>5%</f>
        <v>0.05</v>
      </c>
      <c r="V151" s="2878">
        <f>5%</f>
        <v>0.05</v>
      </c>
      <c r="W151" s="2878">
        <f>5%</f>
        <v>0.05</v>
      </c>
      <c r="X151" s="2878">
        <f>5%</f>
        <v>0.05</v>
      </c>
      <c r="Y151" s="2878">
        <f>5%</f>
        <v>0.05</v>
      </c>
      <c r="Z151" s="2878">
        <f>5%</f>
        <v>0.05</v>
      </c>
      <c r="AA151" s="2878">
        <f>5%</f>
        <v>0.05</v>
      </c>
      <c r="AB151" s="2863"/>
      <c r="AC151" s="2863"/>
      <c r="AD151" s="2863"/>
      <c r="AE151" s="2863"/>
      <c r="AF151" s="2863"/>
      <c r="AG151" s="2514"/>
      <c r="AH151" s="2514"/>
      <c r="AI151" s="2514"/>
      <c r="AJ151" s="2514"/>
      <c r="AK151" s="2514"/>
      <c r="AL151" s="2514"/>
      <c r="AM151" s="2514"/>
      <c r="AN151" s="2863"/>
      <c r="AO151" s="2865"/>
      <c r="AP151" s="2863"/>
      <c r="AQ151" s="2879"/>
      <c r="AR151" s="2863" t="s">
        <v>49</v>
      </c>
      <c r="AS151" s="2526">
        <f ca="1">AT120/3/$AT$107</f>
        <v>-3.2149610195558523E-2</v>
      </c>
      <c r="AT151" s="2527">
        <f ca="1">AT120/3/$AT$107+440/12/$AT$107</f>
        <v>-1.0593662713685118E-2</v>
      </c>
      <c r="AU151" s="2863"/>
      <c r="AV151" s="2863"/>
      <c r="AW151" s="2528"/>
      <c r="AX151" s="2867"/>
      <c r="AY151" s="2867"/>
      <c r="AZ151" s="2867"/>
      <c r="BA151" s="2868"/>
      <c r="BB151" s="2868"/>
      <c r="BC151" s="2868"/>
      <c r="BD151" s="2868"/>
      <c r="BE151" s="2868"/>
      <c r="BF151" s="2868"/>
      <c r="BG151" s="2868"/>
      <c r="BH151" s="2868"/>
      <c r="BI151" s="2868"/>
      <c r="BJ151" s="2868"/>
      <c r="BK151" s="2868"/>
      <c r="BL151" s="2868"/>
      <c r="BM151" s="2868"/>
      <c r="BN151" s="2868"/>
      <c r="BO151" s="2868"/>
      <c r="BP151" s="2868"/>
      <c r="BQ151" s="2868"/>
      <c r="BR151" s="2868"/>
      <c r="BS151" s="2868"/>
      <c r="BT151" s="2868"/>
      <c r="BU151" s="2868"/>
      <c r="BV151" s="2868"/>
      <c r="BW151" s="2868"/>
      <c r="BX151" s="2868"/>
      <c r="BY151" s="2868"/>
      <c r="BZ151" s="2868"/>
      <c r="CA151" s="2868"/>
      <c r="CB151" s="2868"/>
      <c r="CC151" s="2868"/>
      <c r="CD151" s="2868"/>
      <c r="CE151" s="2868"/>
      <c r="CF151" s="2868"/>
      <c r="CG151" s="2868"/>
      <c r="CH151" s="2868"/>
      <c r="CI151" s="2868"/>
      <c r="CJ151" s="2868"/>
      <c r="CK151" s="2868"/>
      <c r="CL151" s="2868"/>
      <c r="CM151" s="2868"/>
      <c r="CN151" s="2868"/>
      <c r="CO151" s="2868"/>
      <c r="CP151" s="2868"/>
      <c r="CQ151" s="2868"/>
      <c r="CR151" s="2868"/>
      <c r="CS151" s="2868"/>
      <c r="CT151" s="2868"/>
      <c r="CU151" s="2868"/>
      <c r="CV151" s="2868"/>
      <c r="CW151" s="2868"/>
      <c r="CX151" s="2868"/>
      <c r="CY151" s="2868"/>
      <c r="CZ151" s="2868"/>
    </row>
    <row r="152" spans="1:104" s="2894" customFormat="1" outlineLevel="1">
      <c r="A152" s="2880" t="s">
        <v>232</v>
      </c>
      <c r="B152" s="2881"/>
      <c r="C152" s="2881"/>
      <c r="D152" s="2881"/>
      <c r="E152" s="2881"/>
      <c r="F152" s="2881"/>
      <c r="G152" s="2881">
        <f>60*23000</f>
        <v>1380000</v>
      </c>
      <c r="H152" s="2881">
        <f>70*23000</f>
        <v>1610000</v>
      </c>
      <c r="I152" s="2881">
        <f>H152/23000</f>
        <v>70</v>
      </c>
      <c r="J152" s="2881"/>
      <c r="K152" s="2882"/>
      <c r="L152" s="2883"/>
      <c r="M152" s="2883"/>
      <c r="N152" s="2883"/>
      <c r="O152" s="2883"/>
      <c r="P152" s="2883"/>
      <c r="Q152" s="2883"/>
      <c r="R152" s="2884"/>
      <c r="S152" s="2884"/>
      <c r="T152" s="2175">
        <v>149</v>
      </c>
      <c r="U152" s="2884"/>
      <c r="V152" s="2884"/>
      <c r="W152" s="2884"/>
      <c r="X152" s="2884"/>
      <c r="Y152" s="2884"/>
      <c r="Z152" s="2884"/>
      <c r="AA152" s="2884"/>
      <c r="AB152" s="2285"/>
      <c r="AC152" s="2285"/>
      <c r="AD152" s="2285"/>
      <c r="AE152" s="2285"/>
      <c r="AF152" s="2285"/>
      <c r="AG152" s="2885">
        <v>0.193</v>
      </c>
      <c r="AH152" s="2885">
        <v>0.214</v>
      </c>
      <c r="AI152" s="2885">
        <v>0.26100000000000001</v>
      </c>
      <c r="AJ152" s="2885"/>
      <c r="AK152" s="2885">
        <v>0.16600000000000001</v>
      </c>
      <c r="AL152" s="2885">
        <v>0.18099999999999999</v>
      </c>
      <c r="AM152" s="2885">
        <v>0.19400000000000001</v>
      </c>
      <c r="AN152" s="2285"/>
      <c r="AO152" s="2886"/>
      <c r="AP152" s="2883"/>
      <c r="AQ152" s="2887"/>
      <c r="AR152" s="2883"/>
      <c r="AS152" s="2888">
        <f ca="1">SUM(AS146:AS151)</f>
        <v>-0.51200618267138198</v>
      </c>
      <c r="AT152" s="2889">
        <f ca="1">SUM(AT146:AT151)</f>
        <v>-0.48621995838287441</v>
      </c>
      <c r="AU152" s="2890">
        <f ca="1">AT152/AS152-1</f>
        <v>-5.0363111152229578E-2</v>
      </c>
      <c r="AV152" s="2285"/>
      <c r="AW152" s="2891"/>
      <c r="AX152" s="2892">
        <f>AL118/(AL107-AK107)</f>
        <v>1.0462764885378486</v>
      </c>
      <c r="AY152" s="2892">
        <f>AM118/(AM107-AL107)</f>
        <v>1.3959656172484474</v>
      </c>
      <c r="AZ152" s="2893"/>
      <c r="BA152" s="2284"/>
      <c r="BB152" s="2284"/>
      <c r="BC152" s="2284"/>
      <c r="BD152" s="2284"/>
      <c r="BE152" s="2284"/>
      <c r="BF152" s="2284"/>
      <c r="BG152" s="2284"/>
      <c r="BH152" s="2284"/>
      <c r="BI152" s="2284"/>
      <c r="BJ152" s="2284"/>
      <c r="BK152" s="2284"/>
      <c r="BL152" s="2284"/>
      <c r="BM152" s="2284"/>
      <c r="BN152" s="2284"/>
      <c r="BO152" s="2284"/>
      <c r="BP152" s="2284"/>
      <c r="BQ152" s="2284"/>
      <c r="BR152" s="2284"/>
      <c r="BS152" s="2284"/>
      <c r="BT152" s="2284"/>
      <c r="BU152" s="2284"/>
      <c r="BV152" s="2284"/>
      <c r="BW152" s="2284"/>
      <c r="BX152" s="2284"/>
      <c r="BY152" s="2284"/>
      <c r="BZ152" s="2284"/>
      <c r="CA152" s="2284"/>
      <c r="CB152" s="2284"/>
      <c r="CC152" s="2284"/>
      <c r="CD152" s="2284"/>
      <c r="CE152" s="2284"/>
      <c r="CF152" s="2284"/>
      <c r="CG152" s="2284"/>
      <c r="CH152" s="2284"/>
      <c r="CI152" s="2284"/>
      <c r="CJ152" s="2284"/>
      <c r="CK152" s="2284"/>
      <c r="CL152" s="2284"/>
      <c r="CM152" s="2284"/>
      <c r="CN152" s="2284"/>
      <c r="CO152" s="2284"/>
      <c r="CP152" s="2284"/>
      <c r="CQ152" s="2284"/>
      <c r="CR152" s="2284"/>
      <c r="CS152" s="2284"/>
      <c r="CT152" s="2284"/>
      <c r="CU152" s="2284"/>
      <c r="CV152" s="2284"/>
      <c r="CW152" s="2284"/>
      <c r="CX152" s="2284"/>
      <c r="CY152" s="2284"/>
      <c r="CZ152" s="2284"/>
    </row>
    <row r="153" spans="1:104" s="2869" customFormat="1" outlineLevel="1">
      <c r="A153" s="2861" t="str">
        <f>A151</f>
        <v>Marketshare (%)</v>
      </c>
      <c r="B153" s="2874"/>
      <c r="C153" s="2874"/>
      <c r="D153" s="2874"/>
      <c r="E153" s="2874"/>
      <c r="F153" s="2874"/>
      <c r="G153" s="2874">
        <f>G102/G152</f>
        <v>1.5416678260869565E-2</v>
      </c>
      <c r="H153" s="2874">
        <f>H102/H152</f>
        <v>1.7489057142857142E-2</v>
      </c>
      <c r="I153" s="2874"/>
      <c r="J153" s="2874"/>
      <c r="K153" s="2208"/>
      <c r="L153" s="2516"/>
      <c r="M153" s="2516"/>
      <c r="N153" s="2516"/>
      <c r="O153" s="2516"/>
      <c r="P153" s="2516"/>
      <c r="Q153" s="2516"/>
      <c r="R153" s="2878"/>
      <c r="S153" s="2878"/>
      <c r="T153" s="2175">
        <v>150</v>
      </c>
      <c r="U153" s="2878"/>
      <c r="V153" s="2878"/>
      <c r="W153" s="2878"/>
      <c r="X153" s="2878"/>
      <c r="Y153" s="2878"/>
      <c r="Z153" s="2878"/>
      <c r="AA153" s="2878"/>
      <c r="AB153" s="2863"/>
      <c r="AC153" s="2863"/>
      <c r="AD153" s="2863"/>
      <c r="AE153" s="2863"/>
      <c r="AF153" s="2863"/>
      <c r="AG153" s="2514"/>
      <c r="AH153" s="2514"/>
      <c r="AI153" s="2514"/>
      <c r="AJ153" s="2514"/>
      <c r="AK153" s="2514"/>
      <c r="AL153" s="2514"/>
      <c r="AM153" s="2514"/>
      <c r="AN153" s="2863"/>
      <c r="AO153" s="2865"/>
      <c r="AP153" s="2863"/>
      <c r="AQ153" s="2863"/>
      <c r="AR153" s="2863"/>
      <c r="AS153" s="2865"/>
      <c r="AT153" s="2527">
        <f t="shared" si="820"/>
        <v>0</v>
      </c>
      <c r="AU153" s="2863"/>
      <c r="AV153" s="2863"/>
      <c r="AW153" s="2895"/>
      <c r="AX153" s="2867"/>
      <c r="AY153" s="2867"/>
      <c r="AZ153" s="2867"/>
      <c r="BA153" s="2868"/>
      <c r="BB153" s="2868"/>
      <c r="BC153" s="2868"/>
      <c r="BD153" s="2868"/>
      <c r="BE153" s="2868"/>
      <c r="BF153" s="2868"/>
      <c r="BG153" s="2868"/>
      <c r="BH153" s="2868"/>
      <c r="BI153" s="2868"/>
      <c r="BJ153" s="2868"/>
      <c r="BK153" s="2868"/>
      <c r="BL153" s="2868"/>
      <c r="BM153" s="2868"/>
      <c r="BN153" s="2868"/>
      <c r="BO153" s="2868"/>
      <c r="BP153" s="2868"/>
      <c r="BQ153" s="2868"/>
      <c r="BR153" s="2868"/>
      <c r="BS153" s="2868"/>
      <c r="BT153" s="2868"/>
      <c r="BU153" s="2868"/>
      <c r="BV153" s="2868"/>
      <c r="BW153" s="2868"/>
      <c r="BX153" s="2868"/>
      <c r="BY153" s="2868"/>
      <c r="BZ153" s="2868"/>
      <c r="CA153" s="2868"/>
      <c r="CB153" s="2868"/>
      <c r="CC153" s="2868"/>
      <c r="CD153" s="2868"/>
      <c r="CE153" s="2868"/>
      <c r="CF153" s="2868"/>
      <c r="CG153" s="2868"/>
      <c r="CH153" s="2868"/>
      <c r="CI153" s="2868"/>
      <c r="CJ153" s="2868"/>
      <c r="CK153" s="2868"/>
      <c r="CL153" s="2868"/>
      <c r="CM153" s="2868"/>
      <c r="CN153" s="2868"/>
      <c r="CO153" s="2868"/>
      <c r="CP153" s="2868"/>
      <c r="CQ153" s="2868"/>
      <c r="CR153" s="2868"/>
      <c r="CS153" s="2868"/>
      <c r="CT153" s="2868"/>
      <c r="CU153" s="2868"/>
      <c r="CV153" s="2868"/>
      <c r="CW153" s="2868"/>
      <c r="CX153" s="2868"/>
      <c r="CY153" s="2868"/>
      <c r="CZ153" s="2868"/>
    </row>
    <row r="154" spans="1:104" s="2894" customFormat="1" outlineLevel="1">
      <c r="A154" s="2880" t="s">
        <v>233</v>
      </c>
      <c r="B154" s="2881"/>
      <c r="C154" s="2881"/>
      <c r="D154" s="2881"/>
      <c r="E154" s="2881"/>
      <c r="F154" s="2881"/>
      <c r="G154" s="2881"/>
      <c r="H154" s="2881">
        <f>5*23000</f>
        <v>115000</v>
      </c>
      <c r="I154" s="2896">
        <f>H154/23000</f>
        <v>5</v>
      </c>
      <c r="J154" s="2881"/>
      <c r="K154" s="2882"/>
      <c r="L154" s="2883">
        <f>7.8*23000</f>
        <v>179400</v>
      </c>
      <c r="M154" s="2883"/>
      <c r="N154" s="2883"/>
      <c r="O154" s="2883"/>
      <c r="P154" s="2883"/>
      <c r="Q154" s="2883"/>
      <c r="R154" s="2884"/>
      <c r="S154" s="2884"/>
      <c r="T154" s="2175">
        <v>151</v>
      </c>
      <c r="U154" s="2884"/>
      <c r="V154" s="2884"/>
      <c r="W154" s="2884"/>
      <c r="X154" s="2884"/>
      <c r="Y154" s="2884"/>
      <c r="Z154" s="2884"/>
      <c r="AA154" s="2884"/>
      <c r="AB154" s="2285"/>
      <c r="AC154" s="2285"/>
      <c r="AD154" s="2285"/>
      <c r="AE154" s="2285"/>
      <c r="AF154" s="2285"/>
      <c r="AG154" s="2885">
        <v>5.0999999999999997E-2</v>
      </c>
      <c r="AH154" s="2885">
        <v>0.05</v>
      </c>
      <c r="AI154" s="2885">
        <v>4.5999999999999999E-2</v>
      </c>
      <c r="AJ154" s="2885"/>
      <c r="AK154" s="2885">
        <v>5.8000000000000003E-2</v>
      </c>
      <c r="AL154" s="2885">
        <v>6.6000000000000003E-2</v>
      </c>
      <c r="AM154" s="2885">
        <v>5.5E-2</v>
      </c>
      <c r="AN154" s="2285"/>
      <c r="AO154" s="2886"/>
      <c r="AP154" s="2883"/>
      <c r="AQ154" s="2883"/>
      <c r="AR154" s="2883"/>
      <c r="AS154" s="2886"/>
      <c r="AT154" s="2527">
        <f ca="1">AT106*AT111</f>
        <v>0.5237151032246099</v>
      </c>
      <c r="AU154" s="2285"/>
      <c r="AV154" s="2285"/>
      <c r="AW154" s="2897"/>
      <c r="AX154" s="2893"/>
      <c r="AY154" s="2893">
        <f>SUM(AL118:AM118)</f>
        <v>-487.36586299999999</v>
      </c>
      <c r="AZ154" s="2893"/>
      <c r="BA154" s="2284"/>
      <c r="BB154" s="2284"/>
      <c r="BC154" s="2284"/>
      <c r="BD154" s="2284"/>
      <c r="BE154" s="2284"/>
      <c r="BF154" s="2284"/>
      <c r="BG154" s="2284"/>
      <c r="BH154" s="2284"/>
      <c r="BI154" s="2284"/>
      <c r="BJ154" s="2284"/>
      <c r="BK154" s="2284"/>
      <c r="BL154" s="2284"/>
      <c r="BM154" s="2284"/>
      <c r="BN154" s="2284"/>
      <c r="BO154" s="2284"/>
      <c r="BP154" s="2284"/>
      <c r="BQ154" s="2284"/>
      <c r="BR154" s="2284"/>
      <c r="BS154" s="2284"/>
      <c r="BT154" s="2284"/>
      <c r="BU154" s="2284"/>
      <c r="BV154" s="2284"/>
      <c r="BW154" s="2284"/>
      <c r="BX154" s="2284"/>
      <c r="BY154" s="2284"/>
      <c r="BZ154" s="2284"/>
      <c r="CA154" s="2284"/>
      <c r="CB154" s="2284"/>
      <c r="CC154" s="2284"/>
      <c r="CD154" s="2284"/>
      <c r="CE154" s="2284"/>
      <c r="CF154" s="2284"/>
      <c r="CG154" s="2284"/>
      <c r="CH154" s="2284"/>
      <c r="CI154" s="2284"/>
      <c r="CJ154" s="2284"/>
      <c r="CK154" s="2284"/>
      <c r="CL154" s="2284"/>
      <c r="CM154" s="2284"/>
      <c r="CN154" s="2284"/>
      <c r="CO154" s="2284"/>
      <c r="CP154" s="2284"/>
      <c r="CQ154" s="2284"/>
      <c r="CR154" s="2284"/>
      <c r="CS154" s="2284"/>
      <c r="CT154" s="2284"/>
      <c r="CU154" s="2284"/>
      <c r="CV154" s="2284"/>
      <c r="CW154" s="2284"/>
      <c r="CX154" s="2284"/>
      <c r="CY154" s="2284"/>
      <c r="CZ154" s="2284"/>
    </row>
    <row r="155" spans="1:104" s="2869" customFormat="1" outlineLevel="1">
      <c r="A155" s="2861" t="str">
        <f>A153</f>
        <v>Marketshare (%)</v>
      </c>
      <c r="B155" s="2874"/>
      <c r="C155" s="2874"/>
      <c r="D155" s="2874"/>
      <c r="E155" s="2874"/>
      <c r="F155" s="2874"/>
      <c r="G155" s="2874"/>
      <c r="H155" s="2874"/>
      <c r="I155" s="2874"/>
      <c r="J155" s="2874"/>
      <c r="K155" s="2208"/>
      <c r="L155" s="2516"/>
      <c r="M155" s="2516"/>
      <c r="N155" s="2516"/>
      <c r="O155" s="2516"/>
      <c r="P155" s="2516"/>
      <c r="Q155" s="2516"/>
      <c r="R155" s="2878"/>
      <c r="S155" s="2878"/>
      <c r="T155" s="2175">
        <v>152</v>
      </c>
      <c r="U155" s="2878"/>
      <c r="V155" s="2878"/>
      <c r="W155" s="2878"/>
      <c r="X155" s="2878"/>
      <c r="Y155" s="2878"/>
      <c r="Z155" s="2878"/>
      <c r="AA155" s="2878"/>
      <c r="AB155" s="2863"/>
      <c r="AC155" s="2863"/>
      <c r="AD155" s="2863"/>
      <c r="AE155" s="2863"/>
      <c r="AF155" s="2863"/>
      <c r="AG155" s="2863"/>
      <c r="AH155" s="2863"/>
      <c r="AI155" s="2863"/>
      <c r="AJ155" s="2863"/>
      <c r="AK155" s="2863"/>
      <c r="AL155" s="2863"/>
      <c r="AM155" s="2514">
        <f>8%*1.2</f>
        <v>9.6000000000000002E-2</v>
      </c>
      <c r="AN155" s="2863"/>
      <c r="AO155" s="2865"/>
      <c r="AP155" s="2863"/>
      <c r="AQ155" s="2863"/>
      <c r="AR155" s="2863"/>
      <c r="AS155" s="2865"/>
      <c r="AT155" s="2863"/>
      <c r="AU155" s="2863"/>
      <c r="AV155" s="2863"/>
      <c r="AW155" s="2895"/>
      <c r="AX155" s="2867"/>
      <c r="AY155" s="2867"/>
      <c r="AZ155" s="2867"/>
      <c r="BA155" s="2868"/>
      <c r="BB155" s="2868"/>
      <c r="BC155" s="2868"/>
      <c r="BD155" s="2868"/>
      <c r="BE155" s="2868"/>
      <c r="BF155" s="2868"/>
      <c r="BG155" s="2868"/>
      <c r="BH155" s="2868"/>
      <c r="BI155" s="2868"/>
      <c r="BJ155" s="2868"/>
      <c r="BK155" s="2868"/>
      <c r="BL155" s="2868"/>
      <c r="BM155" s="2868"/>
      <c r="BN155" s="2868"/>
      <c r="BO155" s="2868"/>
      <c r="BP155" s="2868"/>
      <c r="BQ155" s="2868"/>
      <c r="BR155" s="2868"/>
      <c r="BS155" s="2868"/>
      <c r="BT155" s="2868"/>
      <c r="BU155" s="2868"/>
      <c r="BV155" s="2868"/>
      <c r="BW155" s="2868"/>
      <c r="BX155" s="2868"/>
      <c r="BY155" s="2868"/>
      <c r="BZ155" s="2868"/>
      <c r="CA155" s="2868"/>
      <c r="CB155" s="2868"/>
      <c r="CC155" s="2868"/>
      <c r="CD155" s="2868"/>
      <c r="CE155" s="2868"/>
      <c r="CF155" s="2868"/>
      <c r="CG155" s="2868"/>
      <c r="CH155" s="2868"/>
      <c r="CI155" s="2868"/>
      <c r="CJ155" s="2868"/>
      <c r="CK155" s="2868"/>
      <c r="CL155" s="2868"/>
      <c r="CM155" s="2868"/>
      <c r="CN155" s="2868"/>
      <c r="CO155" s="2868"/>
      <c r="CP155" s="2868"/>
      <c r="CQ155" s="2868"/>
      <c r="CR155" s="2868"/>
      <c r="CS155" s="2868"/>
      <c r="CT155" s="2868"/>
      <c r="CU155" s="2868"/>
      <c r="CV155" s="2868"/>
      <c r="CW155" s="2868"/>
      <c r="CX155" s="2868"/>
      <c r="CY155" s="2868"/>
      <c r="CZ155" s="2868"/>
    </row>
    <row r="156" spans="1:104" s="2869" customFormat="1" outlineLevel="1">
      <c r="A156" s="2861" t="s">
        <v>234</v>
      </c>
      <c r="B156" s="2874"/>
      <c r="C156" s="2874"/>
      <c r="D156" s="2874"/>
      <c r="E156" s="2874"/>
      <c r="F156" s="2874"/>
      <c r="G156" s="2874"/>
      <c r="H156" s="2898">
        <f>1.5*23000</f>
        <v>34500</v>
      </c>
      <c r="I156" s="2898">
        <f>1.5*23000</f>
        <v>34500</v>
      </c>
      <c r="J156" s="2898">
        <f>H156*1.1</f>
        <v>37950</v>
      </c>
      <c r="K156" s="2208"/>
      <c r="L156" s="2516"/>
      <c r="M156" s="2516"/>
      <c r="N156" s="2516"/>
      <c r="O156" s="2516"/>
      <c r="P156" s="2516"/>
      <c r="Q156" s="2516"/>
      <c r="R156" s="2878"/>
      <c r="S156" s="2878"/>
      <c r="T156" s="2175">
        <v>153</v>
      </c>
      <c r="U156" s="2878"/>
      <c r="V156" s="2878"/>
      <c r="W156" s="2878"/>
      <c r="X156" s="2878"/>
      <c r="Y156" s="2878"/>
      <c r="Z156" s="2878"/>
      <c r="AA156" s="2878"/>
      <c r="AB156" s="2863"/>
      <c r="AC156" s="2863"/>
      <c r="AD156" s="2863"/>
      <c r="AE156" s="2863"/>
      <c r="AF156" s="2863"/>
      <c r="AG156" s="2863"/>
      <c r="AH156" s="2863"/>
      <c r="AI156" s="2863"/>
      <c r="AJ156" s="2863"/>
      <c r="AK156" s="2863"/>
      <c r="AL156" s="2875">
        <f>AM150+AM148-8%</f>
        <v>0.67100000000000004</v>
      </c>
      <c r="AM156" s="2899">
        <f>(AM148-10%)+AM150</f>
        <v>0.65100000000000002</v>
      </c>
      <c r="AN156" s="2863"/>
      <c r="AO156" s="2865"/>
      <c r="AP156" s="2550"/>
      <c r="AQ156" s="2863"/>
      <c r="AR156" s="2863"/>
      <c r="AS156" s="2865"/>
      <c r="AT156" s="2863"/>
      <c r="AU156" s="2863"/>
      <c r="AV156" s="2863"/>
      <c r="AW156" s="2895"/>
      <c r="AX156" s="2867"/>
      <c r="AY156" s="2867"/>
      <c r="AZ156" s="2867"/>
      <c r="BA156" s="2868"/>
      <c r="BB156" s="2868"/>
      <c r="BC156" s="2868"/>
      <c r="BD156" s="2868"/>
      <c r="BE156" s="2868"/>
      <c r="BF156" s="2868"/>
      <c r="BG156" s="2868"/>
      <c r="BH156" s="2868"/>
      <c r="BI156" s="2868"/>
      <c r="BJ156" s="2868"/>
      <c r="BK156" s="2868"/>
      <c r="BL156" s="2868"/>
      <c r="BM156" s="2868"/>
      <c r="BN156" s="2868"/>
      <c r="BO156" s="2868"/>
      <c r="BP156" s="2868"/>
      <c r="BQ156" s="2868"/>
      <c r="BR156" s="2868"/>
      <c r="BS156" s="2868"/>
      <c r="BT156" s="2868"/>
      <c r="BU156" s="2868"/>
      <c r="BV156" s="2868"/>
      <c r="BW156" s="2868"/>
      <c r="BX156" s="2868"/>
      <c r="BY156" s="2868"/>
      <c r="BZ156" s="2868"/>
      <c r="CA156" s="2868"/>
      <c r="CB156" s="2868"/>
      <c r="CC156" s="2868"/>
      <c r="CD156" s="2868"/>
      <c r="CE156" s="2868"/>
      <c r="CF156" s="2868"/>
      <c r="CG156" s="2868"/>
      <c r="CH156" s="2868"/>
      <c r="CI156" s="2868"/>
      <c r="CJ156" s="2868"/>
      <c r="CK156" s="2868"/>
      <c r="CL156" s="2868"/>
      <c r="CM156" s="2868"/>
      <c r="CN156" s="2868"/>
      <c r="CO156" s="2868"/>
      <c r="CP156" s="2868"/>
      <c r="CQ156" s="2868"/>
      <c r="CR156" s="2868"/>
      <c r="CS156" s="2868"/>
      <c r="CT156" s="2868"/>
      <c r="CU156" s="2868"/>
      <c r="CV156" s="2868"/>
      <c r="CW156" s="2868"/>
      <c r="CX156" s="2868"/>
      <c r="CY156" s="2868"/>
      <c r="CZ156" s="2868"/>
    </row>
    <row r="157" spans="1:104" s="2869" customFormat="1" outlineLevel="1">
      <c r="A157" s="2861"/>
      <c r="B157" s="2900" t="e">
        <f>#REF!/1000/B150</f>
        <v>#REF!</v>
      </c>
      <c r="C157" s="2686"/>
      <c r="D157" s="2686"/>
      <c r="E157" s="2686"/>
      <c r="F157" s="2686"/>
      <c r="G157" s="2686"/>
      <c r="H157" s="2559">
        <f>0.25*H156</f>
        <v>8625</v>
      </c>
      <c r="I157" s="2559">
        <f>0.3*I156</f>
        <v>10350</v>
      </c>
      <c r="J157" s="2559">
        <f>0.35*J156</f>
        <v>13282.5</v>
      </c>
      <c r="K157" s="2687"/>
      <c r="L157" s="2901"/>
      <c r="M157" s="2901"/>
      <c r="N157" s="2901"/>
      <c r="O157" s="2901"/>
      <c r="P157" s="2901"/>
      <c r="Q157" s="2901"/>
      <c r="R157" s="2878"/>
      <c r="S157" s="2878"/>
      <c r="T157" s="2175">
        <v>154</v>
      </c>
      <c r="U157" s="2878" t="e">
        <f>#REF!/1000/U150</f>
        <v>#REF!</v>
      </c>
      <c r="V157" s="2878" t="e">
        <f>#REF!/1000/V150</f>
        <v>#REF!</v>
      </c>
      <c r="W157" s="2878" t="e">
        <f>#REF!/1000/W150</f>
        <v>#REF!</v>
      </c>
      <c r="X157" s="2878" t="e">
        <f>#REF!/1000/X150</f>
        <v>#REF!</v>
      </c>
      <c r="Y157" s="2878" t="e">
        <f>#REF!/1000/Y150</f>
        <v>#REF!</v>
      </c>
      <c r="Z157" s="2878" t="e">
        <f>#REF!/1000/Z150</f>
        <v>#REF!</v>
      </c>
      <c r="AA157" s="2878" t="e">
        <f>#REF!/1000/AA150</f>
        <v>#REF!</v>
      </c>
      <c r="AB157" s="2863"/>
      <c r="AC157" s="2863"/>
      <c r="AD157" s="2863"/>
      <c r="AE157" s="2863"/>
      <c r="AF157" s="2863"/>
      <c r="AG157" s="2863"/>
      <c r="AH157" s="2863"/>
      <c r="AI157" s="2863"/>
      <c r="AJ157" s="2863"/>
      <c r="AK157" s="2863"/>
      <c r="AL157" s="2866">
        <f ca="1">AL156*I6</f>
        <v>89514.608359660007</v>
      </c>
      <c r="AM157" s="2863"/>
      <c r="AN157" s="2863"/>
      <c r="AO157" s="2865"/>
      <c r="AP157" s="2863"/>
      <c r="AQ157" s="2863"/>
      <c r="AR157" s="2863"/>
      <c r="AS157" s="2865"/>
      <c r="AT157" s="2863"/>
      <c r="AU157" s="2863"/>
      <c r="AV157" s="2863"/>
      <c r="AW157" s="2895"/>
      <c r="AX157" s="2867"/>
      <c r="AY157" s="2867"/>
      <c r="AZ157" s="2867"/>
      <c r="BA157" s="2868"/>
      <c r="BB157" s="2868"/>
      <c r="BC157" s="2868"/>
      <c r="BD157" s="2868"/>
      <c r="BE157" s="2868"/>
      <c r="BF157" s="2868"/>
      <c r="BG157" s="2868"/>
      <c r="BH157" s="2868"/>
      <c r="BI157" s="2868"/>
      <c r="BJ157" s="2868"/>
      <c r="BK157" s="2868"/>
      <c r="BL157" s="2868"/>
      <c r="BM157" s="2868"/>
      <c r="BN157" s="2868"/>
      <c r="BO157" s="2868"/>
      <c r="BP157" s="2868"/>
      <c r="BQ157" s="2868"/>
      <c r="BR157" s="2868"/>
      <c r="BS157" s="2868"/>
      <c r="BT157" s="2868"/>
      <c r="BU157" s="2868"/>
      <c r="BV157" s="2868"/>
      <c r="BW157" s="2868"/>
      <c r="BX157" s="2868"/>
      <c r="BY157" s="2868"/>
      <c r="BZ157" s="2868"/>
      <c r="CA157" s="2868"/>
      <c r="CB157" s="2868"/>
      <c r="CC157" s="2868"/>
      <c r="CD157" s="2868"/>
      <c r="CE157" s="2868"/>
      <c r="CF157" s="2868"/>
      <c r="CG157" s="2868"/>
      <c r="CH157" s="2868"/>
      <c r="CI157" s="2868"/>
      <c r="CJ157" s="2868"/>
      <c r="CK157" s="2868"/>
      <c r="CL157" s="2868"/>
      <c r="CM157" s="2868"/>
      <c r="CN157" s="2868"/>
      <c r="CO157" s="2868"/>
      <c r="CP157" s="2868"/>
      <c r="CQ157" s="2868"/>
      <c r="CR157" s="2868"/>
      <c r="CS157" s="2868"/>
      <c r="CT157" s="2868"/>
      <c r="CU157" s="2868"/>
      <c r="CV157" s="2868"/>
      <c r="CW157" s="2868"/>
      <c r="CX157" s="2868"/>
      <c r="CY157" s="2868"/>
      <c r="CZ157" s="2868"/>
    </row>
    <row r="158" spans="1:104" s="2185" customFormat="1" outlineLevel="1">
      <c r="A158" s="2180" t="s">
        <v>36</v>
      </c>
      <c r="B158" s="2300"/>
      <c r="C158" s="2301"/>
      <c r="D158" s="2301"/>
      <c r="E158" s="2301"/>
      <c r="F158" s="2301"/>
      <c r="G158" s="2301"/>
      <c r="H158" s="2902">
        <f>H157/H6</f>
        <v>7.0145842948839604E-2</v>
      </c>
      <c r="I158" s="2903">
        <f ca="1">I157/I20</f>
        <v>9.9849972542312482E-2</v>
      </c>
      <c r="J158" s="2903">
        <f ca="1">J157/J20</f>
        <v>0.15906103632710974</v>
      </c>
      <c r="K158" s="2364"/>
      <c r="L158" s="2181"/>
      <c r="M158" s="2181"/>
      <c r="N158" s="2181"/>
      <c r="O158" s="2181"/>
      <c r="P158" s="2181"/>
      <c r="Q158" s="2181"/>
      <c r="R158" s="2181"/>
      <c r="S158" s="2181"/>
      <c r="T158" s="2175">
        <v>155</v>
      </c>
      <c r="U158" s="2181"/>
      <c r="V158" s="2181"/>
      <c r="W158" s="2181"/>
      <c r="X158" s="2181"/>
      <c r="Y158" s="2181"/>
      <c r="Z158" s="2181"/>
      <c r="AA158" s="2181"/>
      <c r="AB158" s="2181"/>
      <c r="AC158" s="2181"/>
      <c r="AD158" s="2181"/>
      <c r="AE158" s="2181"/>
      <c r="AF158" s="2181"/>
      <c r="AG158" s="2181"/>
      <c r="AH158" s="2181"/>
      <c r="AI158" s="2181"/>
      <c r="AJ158" s="2181"/>
      <c r="AK158" s="2181"/>
      <c r="AL158" s="2181"/>
      <c r="AM158" s="2181"/>
      <c r="AN158" s="2181"/>
      <c r="AO158" s="2366"/>
      <c r="AP158" s="2181"/>
      <c r="AQ158" s="2181"/>
      <c r="AR158" s="2181"/>
      <c r="AS158" s="2366"/>
      <c r="AT158" s="2181"/>
      <c r="AU158" s="2181"/>
      <c r="AV158" s="2181"/>
      <c r="AW158" s="2367"/>
      <c r="AX158" s="2368"/>
      <c r="AY158" s="2368"/>
      <c r="AZ158" s="2368"/>
      <c r="BA158" s="2180"/>
      <c r="BB158" s="2180"/>
      <c r="BC158" s="2180"/>
      <c r="BD158" s="2180"/>
      <c r="BE158" s="2180"/>
      <c r="BF158" s="2180"/>
      <c r="BG158" s="2180"/>
      <c r="BH158" s="2180"/>
      <c r="BI158" s="2180"/>
      <c r="BJ158" s="2180"/>
      <c r="BK158" s="2180"/>
      <c r="BL158" s="2180"/>
      <c r="BM158" s="2180"/>
      <c r="BN158" s="2180"/>
      <c r="BO158" s="2180"/>
      <c r="BP158" s="2180"/>
      <c r="BQ158" s="2180"/>
      <c r="BR158" s="2180"/>
      <c r="BS158" s="2180"/>
      <c r="BT158" s="2180"/>
      <c r="BU158" s="2180"/>
      <c r="BV158" s="2180"/>
      <c r="BW158" s="2180"/>
      <c r="BX158" s="2180"/>
      <c r="BY158" s="2180"/>
      <c r="BZ158" s="2180"/>
      <c r="CA158" s="2180"/>
      <c r="CB158" s="2180"/>
      <c r="CC158" s="2180"/>
      <c r="CD158" s="2180"/>
      <c r="CE158" s="2180"/>
      <c r="CF158" s="2180"/>
      <c r="CG158" s="2180"/>
      <c r="CH158" s="2180"/>
      <c r="CI158" s="2180"/>
      <c r="CJ158" s="2180"/>
      <c r="CK158" s="2180"/>
      <c r="CL158" s="2180"/>
      <c r="CM158" s="2180"/>
      <c r="CN158" s="2180"/>
      <c r="CO158" s="2180"/>
      <c r="CP158" s="2180"/>
      <c r="CQ158" s="2180"/>
      <c r="CR158" s="2180"/>
      <c r="CS158" s="2180"/>
      <c r="CT158" s="2180"/>
      <c r="CU158" s="2180"/>
      <c r="CV158" s="2180"/>
      <c r="CW158" s="2180"/>
      <c r="CX158" s="2180"/>
      <c r="CY158" s="2180"/>
      <c r="CZ158" s="2180"/>
    </row>
    <row r="159" spans="1:104" s="2905" customFormat="1" outlineLevel="1">
      <c r="A159" s="2904" t="str">
        <f>Rev_Month!A15</f>
        <v>%YoY</v>
      </c>
      <c r="B159" s="2240"/>
      <c r="C159" s="2256"/>
      <c r="D159" s="2256"/>
      <c r="E159" s="2256"/>
      <c r="F159" s="2256"/>
      <c r="G159" s="2256"/>
      <c r="H159" s="2256"/>
      <c r="I159" s="2207">
        <f>I157/H157-1</f>
        <v>0.19999999999999996</v>
      </c>
      <c r="J159" s="2207">
        <f>J157/I157-1</f>
        <v>0.28333333333333344</v>
      </c>
      <c r="K159" s="2296"/>
      <c r="L159" s="2863"/>
      <c r="M159" s="2863"/>
      <c r="N159" s="2863"/>
      <c r="O159" s="2863"/>
      <c r="P159" s="2863"/>
      <c r="Q159" s="2863"/>
      <c r="R159" s="2863"/>
      <c r="S159" s="2863"/>
      <c r="T159" s="2175">
        <v>156</v>
      </c>
      <c r="U159" s="2863"/>
      <c r="V159" s="2863"/>
      <c r="W159" s="2863"/>
      <c r="X159" s="2863"/>
      <c r="Y159" s="2863"/>
      <c r="Z159" s="2863"/>
      <c r="AA159" s="2863"/>
      <c r="AB159" s="2863"/>
      <c r="AC159" s="2863"/>
      <c r="AD159" s="2863"/>
      <c r="AE159" s="2863"/>
      <c r="AF159" s="2863"/>
      <c r="AG159" s="2863"/>
      <c r="AH159" s="2863"/>
      <c r="AI159" s="2863"/>
      <c r="AJ159" s="2863"/>
      <c r="AK159" s="2550">
        <f>AK114/AK$102</f>
        <v>-5.7464098902937133E-2</v>
      </c>
      <c r="AL159" s="2863"/>
      <c r="AM159" s="2863"/>
      <c r="AN159" s="2863"/>
      <c r="AO159" s="2551">
        <f>AO114/AO$102</f>
        <v>-4.5470246472408854E-2</v>
      </c>
      <c r="AP159" s="2863"/>
      <c r="AQ159" s="2863"/>
      <c r="AR159" s="2863"/>
      <c r="AS159" s="2865"/>
      <c r="AT159" s="2863"/>
      <c r="AU159" s="2863"/>
      <c r="AV159" s="2863"/>
      <c r="AW159" s="2895"/>
      <c r="AX159" s="2867"/>
      <c r="AY159" s="2867"/>
      <c r="AZ159" s="2867"/>
      <c r="BA159" s="2868"/>
      <c r="BB159" s="2868"/>
      <c r="BC159" s="2868"/>
      <c r="BD159" s="2868"/>
      <c r="BE159" s="2868"/>
      <c r="BF159" s="2868"/>
      <c r="BG159" s="2868"/>
      <c r="BH159" s="2868"/>
      <c r="BI159" s="2868"/>
      <c r="BJ159" s="2868"/>
      <c r="BK159" s="2868"/>
      <c r="BL159" s="2868"/>
      <c r="BM159" s="2868"/>
      <c r="BN159" s="2868"/>
      <c r="BO159" s="2868"/>
      <c r="BP159" s="2868"/>
      <c r="BQ159" s="2868"/>
      <c r="BR159" s="2868"/>
      <c r="BS159" s="2868"/>
      <c r="BT159" s="2868"/>
      <c r="BU159" s="2868"/>
      <c r="BV159" s="2868"/>
      <c r="BW159" s="2868"/>
      <c r="BX159" s="2868"/>
      <c r="BY159" s="2868"/>
      <c r="BZ159" s="2868"/>
      <c r="CA159" s="2868"/>
      <c r="CB159" s="2868"/>
      <c r="CC159" s="2868"/>
      <c r="CD159" s="2868"/>
      <c r="CE159" s="2868"/>
      <c r="CF159" s="2868"/>
      <c r="CG159" s="2868"/>
      <c r="CH159" s="2868"/>
      <c r="CI159" s="2868"/>
      <c r="CJ159" s="2868"/>
      <c r="CK159" s="2868"/>
      <c r="CL159" s="2868"/>
      <c r="CM159" s="2868"/>
      <c r="CN159" s="2868"/>
      <c r="CO159" s="2868"/>
      <c r="CP159" s="2868"/>
      <c r="CQ159" s="2868"/>
      <c r="CR159" s="2868"/>
      <c r="CS159" s="2868"/>
      <c r="CT159" s="2868"/>
      <c r="CU159" s="2868"/>
      <c r="CV159" s="2868"/>
      <c r="CW159" s="2868"/>
      <c r="CX159" s="2868"/>
      <c r="CY159" s="2868"/>
      <c r="CZ159" s="2868"/>
    </row>
    <row r="160" spans="1:104" s="2905" customFormat="1" outlineLevel="1">
      <c r="A160" s="2904" t="str">
        <f>Rev_Month!A16</f>
        <v>Number of store</v>
      </c>
      <c r="B160" s="2240"/>
      <c r="C160" s="2256"/>
      <c r="D160" s="2256"/>
      <c r="E160" s="2256"/>
      <c r="F160" s="2256"/>
      <c r="G160" s="2256"/>
      <c r="H160" s="2256"/>
      <c r="I160" s="2207">
        <f ca="1">I159*I158</f>
        <v>1.9969994508462492E-2</v>
      </c>
      <c r="J160" s="2207">
        <f ca="1">J159*J158</f>
        <v>4.5067293626014443E-2</v>
      </c>
      <c r="K160" s="2296"/>
      <c r="L160" s="2863"/>
      <c r="M160" s="2863"/>
      <c r="N160" s="2863"/>
      <c r="O160" s="2863"/>
      <c r="P160" s="2863"/>
      <c r="Q160" s="2863"/>
      <c r="R160" s="2863"/>
      <c r="S160" s="2863"/>
      <c r="T160" s="2175">
        <v>157</v>
      </c>
      <c r="U160" s="2863"/>
      <c r="V160" s="2863"/>
      <c r="W160" s="2863"/>
      <c r="X160" s="2863"/>
      <c r="Y160" s="2863"/>
      <c r="Z160" s="2863"/>
      <c r="AA160" s="2863"/>
      <c r="AB160" s="2863"/>
      <c r="AC160" s="2863"/>
      <c r="AD160" s="2863"/>
      <c r="AE160" s="2863"/>
      <c r="AF160" s="2863"/>
      <c r="AG160" s="2863"/>
      <c r="AH160" s="2863"/>
      <c r="AI160" s="2863"/>
      <c r="AJ160" s="2863"/>
      <c r="AK160" s="2550">
        <f>AK115/AK$102</f>
        <v>-0.10407397915676904</v>
      </c>
      <c r="AL160" s="2863"/>
      <c r="AM160" s="2863"/>
      <c r="AN160" s="2863"/>
      <c r="AO160" s="2551">
        <f>AO115/AO$102</f>
        <v>-8.0707048842447129E-2</v>
      </c>
      <c r="AP160" s="2863"/>
      <c r="AQ160" s="2863"/>
      <c r="AR160" s="2863"/>
      <c r="AS160" s="2865"/>
      <c r="AT160" s="2863"/>
      <c r="AU160" s="2863"/>
      <c r="AV160" s="2863"/>
      <c r="AW160" s="2895"/>
      <c r="AX160" s="2867"/>
      <c r="AY160" s="2867"/>
      <c r="AZ160" s="2867"/>
      <c r="BA160" s="2868"/>
      <c r="BB160" s="2868"/>
      <c r="BC160" s="2868"/>
      <c r="BD160" s="2868"/>
      <c r="BE160" s="2868"/>
      <c r="BF160" s="2868"/>
      <c r="BG160" s="2868"/>
      <c r="BH160" s="2868"/>
      <c r="BI160" s="2868"/>
      <c r="BJ160" s="2868"/>
      <c r="BK160" s="2868"/>
      <c r="BL160" s="2868"/>
      <c r="BM160" s="2868"/>
      <c r="BN160" s="2868"/>
      <c r="BO160" s="2868"/>
      <c r="BP160" s="2868"/>
      <c r="BQ160" s="2868"/>
      <c r="BR160" s="2868"/>
      <c r="BS160" s="2868"/>
      <c r="BT160" s="2868"/>
      <c r="BU160" s="2868"/>
      <c r="BV160" s="2868"/>
      <c r="BW160" s="2868"/>
      <c r="BX160" s="2868"/>
      <c r="BY160" s="2868"/>
      <c r="BZ160" s="2868"/>
      <c r="CA160" s="2868"/>
      <c r="CB160" s="2868"/>
      <c r="CC160" s="2868"/>
      <c r="CD160" s="2868"/>
      <c r="CE160" s="2868"/>
      <c r="CF160" s="2868"/>
      <c r="CG160" s="2868"/>
      <c r="CH160" s="2868"/>
      <c r="CI160" s="2868"/>
      <c r="CJ160" s="2868"/>
      <c r="CK160" s="2868"/>
      <c r="CL160" s="2868"/>
      <c r="CM160" s="2868"/>
      <c r="CN160" s="2868"/>
      <c r="CO160" s="2868"/>
      <c r="CP160" s="2868"/>
      <c r="CQ160" s="2868"/>
      <c r="CR160" s="2868"/>
      <c r="CS160" s="2868"/>
      <c r="CT160" s="2868"/>
      <c r="CU160" s="2868"/>
      <c r="CV160" s="2868"/>
      <c r="CW160" s="2868"/>
      <c r="CX160" s="2868"/>
      <c r="CY160" s="2868"/>
      <c r="CZ160" s="2868"/>
    </row>
    <row r="161" spans="1:104" s="2905" customFormat="1" outlineLevel="1">
      <c r="A161" s="2904" t="str">
        <f>Rev_Month!A17</f>
        <v>(+/-)</v>
      </c>
      <c r="B161" s="2240"/>
      <c r="C161" s="2256"/>
      <c r="D161" s="2256"/>
      <c r="E161" s="2256"/>
      <c r="F161" s="2256"/>
      <c r="G161" s="2256"/>
      <c r="H161" s="2256"/>
      <c r="I161" s="2256"/>
      <c r="J161" s="2256"/>
      <c r="K161" s="2296"/>
      <c r="L161" s="2863"/>
      <c r="M161" s="2863"/>
      <c r="N161" s="2863"/>
      <c r="O161" s="2863"/>
      <c r="P161" s="2863"/>
      <c r="Q161" s="2863"/>
      <c r="R161" s="2863"/>
      <c r="S161" s="2863"/>
      <c r="T161" s="2175">
        <v>158</v>
      </c>
      <c r="U161" s="2863"/>
      <c r="V161" s="2863"/>
      <c r="W161" s="2863"/>
      <c r="X161" s="2863"/>
      <c r="Y161" s="2863"/>
      <c r="Z161" s="2863"/>
      <c r="AA161" s="2863"/>
      <c r="AB161" s="2863"/>
      <c r="AC161" s="2863"/>
      <c r="AD161" s="2863"/>
      <c r="AE161" s="2863"/>
      <c r="AF161" s="2863"/>
      <c r="AG161" s="2863"/>
      <c r="AH161" s="2863"/>
      <c r="AI161" s="2863"/>
      <c r="AJ161" s="2863"/>
      <c r="AK161" s="2550">
        <f>AK116/AK$102</f>
        <v>-4.2178807947019864E-2</v>
      </c>
      <c r="AL161" s="2863"/>
      <c r="AM161" s="2863"/>
      <c r="AN161" s="2863"/>
      <c r="AO161" s="2551">
        <f>AO116/AO$102</f>
        <v>-3.7242607117513704E-2</v>
      </c>
      <c r="AP161" s="2863"/>
      <c r="AQ161" s="2863"/>
      <c r="AR161" s="2863"/>
      <c r="AS161" s="2865"/>
      <c r="AT161" s="2863"/>
      <c r="AU161" s="2863"/>
      <c r="AV161" s="2863"/>
      <c r="AW161" s="2895"/>
      <c r="AX161" s="2867"/>
      <c r="AY161" s="2867"/>
      <c r="AZ161" s="2867"/>
      <c r="BA161" s="2868"/>
      <c r="BB161" s="2868"/>
      <c r="BC161" s="2868"/>
      <c r="BD161" s="2868"/>
      <c r="BE161" s="2868"/>
      <c r="BF161" s="2868"/>
      <c r="BG161" s="2868"/>
      <c r="BH161" s="2868"/>
      <c r="BI161" s="2868"/>
      <c r="BJ161" s="2868"/>
      <c r="BK161" s="2868"/>
      <c r="BL161" s="2868"/>
      <c r="BM161" s="2868"/>
      <c r="BN161" s="2868"/>
      <c r="BO161" s="2868"/>
      <c r="BP161" s="2868"/>
      <c r="BQ161" s="2868"/>
      <c r="BR161" s="2868"/>
      <c r="BS161" s="2868"/>
      <c r="BT161" s="2868"/>
      <c r="BU161" s="2868"/>
      <c r="BV161" s="2868"/>
      <c r="BW161" s="2868"/>
      <c r="BX161" s="2868"/>
      <c r="BY161" s="2868"/>
      <c r="BZ161" s="2868"/>
      <c r="CA161" s="2868"/>
      <c r="CB161" s="2868"/>
      <c r="CC161" s="2868"/>
      <c r="CD161" s="2868"/>
      <c r="CE161" s="2868"/>
      <c r="CF161" s="2868"/>
      <c r="CG161" s="2868"/>
      <c r="CH161" s="2868"/>
      <c r="CI161" s="2868"/>
      <c r="CJ161" s="2868"/>
      <c r="CK161" s="2868"/>
      <c r="CL161" s="2868"/>
      <c r="CM161" s="2868"/>
      <c r="CN161" s="2868"/>
      <c r="CO161" s="2868"/>
      <c r="CP161" s="2868"/>
      <c r="CQ161" s="2868"/>
      <c r="CR161" s="2868"/>
      <c r="CS161" s="2868"/>
      <c r="CT161" s="2868"/>
      <c r="CU161" s="2868"/>
      <c r="CV161" s="2868"/>
      <c r="CW161" s="2868"/>
      <c r="CX161" s="2868"/>
      <c r="CY161" s="2868"/>
      <c r="CZ161" s="2868"/>
    </row>
    <row r="162" spans="1:104" s="2905" customFormat="1" outlineLevel="1">
      <c r="A162" s="2904" t="str">
        <f>Rev_Month!A18</f>
        <v>Average REV per store (bnVND/Store)</v>
      </c>
      <c r="B162" s="2240"/>
      <c r="C162" s="2256"/>
      <c r="D162" s="2256"/>
      <c r="E162" s="2256"/>
      <c r="F162" s="2256"/>
      <c r="G162" s="2256"/>
      <c r="H162" s="2256"/>
      <c r="I162" s="2256"/>
      <c r="J162" s="2256"/>
      <c r="K162" s="2296"/>
      <c r="L162" s="2863"/>
      <c r="M162" s="2863"/>
      <c r="N162" s="2863"/>
      <c r="O162" s="2863"/>
      <c r="P162" s="2863"/>
      <c r="Q162" s="2863"/>
      <c r="R162" s="2863"/>
      <c r="S162" s="2863"/>
      <c r="T162" s="2175">
        <v>159</v>
      </c>
      <c r="U162" s="2863"/>
      <c r="V162" s="2863"/>
      <c r="W162" s="2863"/>
      <c r="X162" s="2863"/>
      <c r="Y162" s="2863"/>
      <c r="Z162" s="2863"/>
      <c r="AA162" s="2863"/>
      <c r="AB162" s="2863"/>
      <c r="AC162" s="2863"/>
      <c r="AD162" s="2863"/>
      <c r="AE162" s="2863"/>
      <c r="AF162" s="2863"/>
      <c r="AG162" s="2863"/>
      <c r="AH162" s="2863"/>
      <c r="AI162" s="2863"/>
      <c r="AJ162" s="2863"/>
      <c r="AK162" s="2550">
        <f>AK117/AK$102</f>
        <v>-5.2262501762961211E-2</v>
      </c>
      <c r="AL162" s="2863"/>
      <c r="AM162" s="2863"/>
      <c r="AN162" s="2863"/>
      <c r="AO162" s="2551">
        <f>AO117/AO$102</f>
        <v>-5.7116477568321868E-2</v>
      </c>
      <c r="AP162" s="2863"/>
      <c r="AQ162" s="2863"/>
      <c r="AR162" s="2863"/>
      <c r="AS162" s="2865"/>
      <c r="AT162" s="2863"/>
      <c r="AU162" s="2863"/>
      <c r="AV162" s="2863"/>
      <c r="AW162" s="2895"/>
      <c r="AX162" s="2867"/>
      <c r="AY162" s="2867"/>
      <c r="AZ162" s="2867"/>
      <c r="BA162" s="2868"/>
      <c r="BB162" s="2868"/>
      <c r="BC162" s="2868"/>
      <c r="BD162" s="2868"/>
      <c r="BE162" s="2868"/>
      <c r="BF162" s="2868"/>
      <c r="BG162" s="2868"/>
      <c r="BH162" s="2868"/>
      <c r="BI162" s="2868"/>
      <c r="BJ162" s="2868"/>
      <c r="BK162" s="2868"/>
      <c r="BL162" s="2868"/>
      <c r="BM162" s="2868"/>
      <c r="BN162" s="2868"/>
      <c r="BO162" s="2868"/>
      <c r="BP162" s="2868"/>
      <c r="BQ162" s="2868"/>
      <c r="BR162" s="2868"/>
      <c r="BS162" s="2868"/>
      <c r="BT162" s="2868"/>
      <c r="BU162" s="2868"/>
      <c r="BV162" s="2868"/>
      <c r="BW162" s="2868"/>
      <c r="BX162" s="2868"/>
      <c r="BY162" s="2868"/>
      <c r="BZ162" s="2868"/>
      <c r="CA162" s="2868"/>
      <c r="CB162" s="2868"/>
      <c r="CC162" s="2868"/>
      <c r="CD162" s="2868"/>
      <c r="CE162" s="2868"/>
      <c r="CF162" s="2868"/>
      <c r="CG162" s="2868"/>
      <c r="CH162" s="2868"/>
      <c r="CI162" s="2868"/>
      <c r="CJ162" s="2868"/>
      <c r="CK162" s="2868"/>
      <c r="CL162" s="2868"/>
      <c r="CM162" s="2868"/>
      <c r="CN162" s="2868"/>
      <c r="CO162" s="2868"/>
      <c r="CP162" s="2868"/>
      <c r="CQ162" s="2868"/>
      <c r="CR162" s="2868"/>
      <c r="CS162" s="2868"/>
      <c r="CT162" s="2868"/>
      <c r="CU162" s="2868"/>
      <c r="CV162" s="2868"/>
      <c r="CW162" s="2868"/>
      <c r="CX162" s="2868"/>
      <c r="CY162" s="2868"/>
      <c r="CZ162" s="2868"/>
    </row>
    <row r="163" spans="1:104" s="2905" customFormat="1" outlineLevel="1">
      <c r="A163" s="2904" t="str">
        <f>Rev_Month!A19</f>
        <v>%YoY</v>
      </c>
      <c r="B163" s="2240"/>
      <c r="C163" s="2256"/>
      <c r="D163" s="2256"/>
      <c r="E163" s="2256"/>
      <c r="F163" s="2256"/>
      <c r="G163" s="2256"/>
      <c r="H163" s="2256"/>
      <c r="I163" s="2256"/>
      <c r="J163" s="2256"/>
      <c r="K163" s="2296"/>
      <c r="L163" s="2863"/>
      <c r="M163" s="2863"/>
      <c r="N163" s="2863"/>
      <c r="O163" s="2863"/>
      <c r="P163" s="2863"/>
      <c r="Q163" s="2863"/>
      <c r="R163" s="2863"/>
      <c r="S163" s="2863"/>
      <c r="T163" s="2175">
        <v>160</v>
      </c>
      <c r="U163" s="2863"/>
      <c r="V163" s="2863"/>
      <c r="W163" s="2863"/>
      <c r="X163" s="2863"/>
      <c r="Y163" s="2863"/>
      <c r="Z163" s="2863"/>
      <c r="AA163" s="2863"/>
      <c r="AB163" s="2863"/>
      <c r="AC163" s="2863"/>
      <c r="AD163" s="2863"/>
      <c r="AE163" s="2863"/>
      <c r="AF163" s="2863"/>
      <c r="AG163" s="2863"/>
      <c r="AH163" s="2863"/>
      <c r="AI163" s="2863"/>
      <c r="AJ163" s="2863"/>
      <c r="AK163" s="2550">
        <f>AK119/AK$102</f>
        <v>-5.5E-2</v>
      </c>
      <c r="AL163" s="2863"/>
      <c r="AM163" s="2863"/>
      <c r="AN163" s="2863"/>
      <c r="AO163" s="2551">
        <f>AO119/AO$102</f>
        <v>-0.06</v>
      </c>
      <c r="AP163" s="2863"/>
      <c r="AQ163" s="2863"/>
      <c r="AR163" s="2863"/>
      <c r="AS163" s="2865"/>
      <c r="AT163" s="2863"/>
      <c r="AU163" s="2863"/>
      <c r="AV163" s="2863"/>
      <c r="AW163" s="2895"/>
      <c r="AX163" s="2867"/>
      <c r="AY163" s="2867"/>
      <c r="AZ163" s="2867"/>
      <c r="BA163" s="2868"/>
      <c r="BB163" s="2868"/>
      <c r="BC163" s="2868"/>
      <c r="BD163" s="2868"/>
      <c r="BE163" s="2868"/>
      <c r="BF163" s="2868"/>
      <c r="BG163" s="2868"/>
      <c r="BH163" s="2868"/>
      <c r="BI163" s="2868"/>
      <c r="BJ163" s="2868"/>
      <c r="BK163" s="2868"/>
      <c r="BL163" s="2868"/>
      <c r="BM163" s="2868"/>
      <c r="BN163" s="2868"/>
      <c r="BO163" s="2868"/>
      <c r="BP163" s="2868"/>
      <c r="BQ163" s="2868"/>
      <c r="BR163" s="2868"/>
      <c r="BS163" s="2868"/>
      <c r="BT163" s="2868"/>
      <c r="BU163" s="2868"/>
      <c r="BV163" s="2868"/>
      <c r="BW163" s="2868"/>
      <c r="BX163" s="2868"/>
      <c r="BY163" s="2868"/>
      <c r="BZ163" s="2868"/>
      <c r="CA163" s="2868"/>
      <c r="CB163" s="2868"/>
      <c r="CC163" s="2868"/>
      <c r="CD163" s="2868"/>
      <c r="CE163" s="2868"/>
      <c r="CF163" s="2868"/>
      <c r="CG163" s="2868"/>
      <c r="CH163" s="2868"/>
      <c r="CI163" s="2868"/>
      <c r="CJ163" s="2868"/>
      <c r="CK163" s="2868"/>
      <c r="CL163" s="2868"/>
      <c r="CM163" s="2868"/>
      <c r="CN163" s="2868"/>
      <c r="CO163" s="2868"/>
      <c r="CP163" s="2868"/>
      <c r="CQ163" s="2868"/>
      <c r="CR163" s="2868"/>
      <c r="CS163" s="2868"/>
      <c r="CT163" s="2868"/>
      <c r="CU163" s="2868"/>
      <c r="CV163" s="2868"/>
      <c r="CW163" s="2868"/>
      <c r="CX163" s="2868"/>
      <c r="CY163" s="2868"/>
      <c r="CZ163" s="2868"/>
    </row>
    <row r="164" spans="1:104">
      <c r="A164" s="2906">
        <f>Rev_Month!A67</f>
        <v>0</v>
      </c>
      <c r="B164" s="2240"/>
      <c r="C164" s="2256"/>
      <c r="D164" s="2256"/>
      <c r="E164" s="2256"/>
      <c r="F164" s="2256"/>
      <c r="G164" s="2256"/>
      <c r="H164" s="2256"/>
      <c r="I164" s="2256"/>
      <c r="J164" s="2256"/>
      <c r="K164" s="2296"/>
      <c r="L164" s="2175"/>
      <c r="M164" s="2175"/>
      <c r="N164" s="2175"/>
      <c r="O164" s="2175"/>
      <c r="P164" s="2175"/>
      <c r="Q164" s="2175"/>
      <c r="R164" s="2175"/>
      <c r="S164" s="2175"/>
      <c r="T164" s="2175">
        <v>161</v>
      </c>
      <c r="U164" s="2175"/>
      <c r="V164" s="2175"/>
      <c r="W164" s="2175"/>
      <c r="X164" s="2175"/>
      <c r="Y164" s="2175"/>
      <c r="Z164" s="2175"/>
      <c r="AA164" s="2175"/>
      <c r="AB164" s="2175"/>
      <c r="AC164" s="2175"/>
      <c r="AD164" s="2175"/>
      <c r="AE164" s="2175"/>
      <c r="AF164" s="2175"/>
      <c r="AG164" s="2175"/>
      <c r="AH164" s="2175"/>
      <c r="AI164" s="2175"/>
      <c r="AJ164" s="2175"/>
      <c r="AK164" s="2550">
        <f>AK120/AK$102</f>
        <v>-6.4847043521703479E-2</v>
      </c>
      <c r="AL164" s="2175"/>
      <c r="AM164" s="2175"/>
      <c r="AN164" s="2175"/>
      <c r="AO164" s="2907">
        <f>AO120/AO$102</f>
        <v>-2.7701635736854038E-2</v>
      </c>
      <c r="AP164" s="2175"/>
      <c r="AQ164" s="2175"/>
      <c r="AR164" s="2175"/>
      <c r="AS164" s="2375"/>
      <c r="AT164" s="2175"/>
      <c r="AU164" s="2175"/>
      <c r="AV164" s="2175"/>
      <c r="AW164" s="2376"/>
      <c r="AX164" s="2177"/>
      <c r="AY164" s="2177"/>
      <c r="AZ164" s="2177"/>
      <c r="BA164" s="2174"/>
      <c r="BB164" s="2174"/>
      <c r="BC164" s="2174"/>
      <c r="BD164" s="2174"/>
      <c r="BE164" s="2174"/>
      <c r="BF164" s="2174"/>
      <c r="BG164" s="2174"/>
      <c r="BH164" s="2174"/>
      <c r="BI164" s="2174"/>
      <c r="BJ164" s="2174"/>
      <c r="BK164" s="2174"/>
      <c r="BL164" s="2174"/>
      <c r="BM164" s="2174"/>
      <c r="BN164" s="2174"/>
      <c r="BO164" s="2174"/>
      <c r="BP164" s="2174"/>
      <c r="BQ164" s="2174"/>
      <c r="BR164" s="2174"/>
      <c r="BS164" s="2174"/>
      <c r="BT164" s="2174"/>
      <c r="BU164" s="2174"/>
      <c r="BV164" s="2174"/>
      <c r="BW164" s="2174"/>
      <c r="BX164" s="2174"/>
      <c r="BY164" s="2174"/>
      <c r="BZ164" s="2174"/>
      <c r="CA164" s="2174"/>
      <c r="CB164" s="2174"/>
      <c r="CC164" s="2174"/>
      <c r="CD164" s="2174"/>
      <c r="CE164" s="2174"/>
      <c r="CF164" s="2174"/>
      <c r="CG164" s="2174"/>
      <c r="CH164" s="2174"/>
      <c r="CI164" s="2174"/>
      <c r="CJ164" s="2174"/>
      <c r="CK164" s="2174"/>
      <c r="CL164" s="2174"/>
      <c r="CM164" s="2174"/>
      <c r="CN164" s="2174"/>
      <c r="CO164" s="2174"/>
      <c r="CP164" s="2174"/>
      <c r="CQ164" s="2174"/>
      <c r="CR164" s="2174"/>
      <c r="CS164" s="2174"/>
      <c r="CT164" s="2174"/>
      <c r="CU164" s="2174"/>
      <c r="CV164" s="2174"/>
      <c r="CW164" s="2174"/>
      <c r="CX164" s="2174"/>
      <c r="CY164" s="2174"/>
      <c r="CZ164" s="2174"/>
    </row>
    <row r="165" spans="1:104" s="2231" customFormat="1">
      <c r="A165" s="2217" t="s">
        <v>235</v>
      </c>
      <c r="B165" s="2379"/>
      <c r="C165" s="2381"/>
      <c r="D165" s="2381"/>
      <c r="E165" s="2381"/>
      <c r="F165" s="2381"/>
      <c r="G165" s="2381"/>
      <c r="H165" s="2220">
        <f>H169*H167*12</f>
        <v>0</v>
      </c>
      <c r="I165" s="2220">
        <f>SUMIF($AG$1:BD$1,I$5,$AG$30:BD$30)</f>
        <v>1500</v>
      </c>
      <c r="J165" s="2220">
        <f>SUMIF($AG$1:BE$1,J$5,$AG$30:BE$30)</f>
        <v>2200</v>
      </c>
      <c r="K165" s="2908">
        <f>SUMIF($AG$1:BF$1,K$5,$AG$30:BF$30)</f>
        <v>2386.1400000000003</v>
      </c>
      <c r="L165" s="2225">
        <f>SUMIF($AG$1:BG$1,L$5,$AG$30:BG$30)</f>
        <v>2859.9250060725808</v>
      </c>
      <c r="M165" s="2225">
        <f>SUMIF($AG$1:BH$1,M$5,$AG$30:BH$30)</f>
        <v>3387.6959999999999</v>
      </c>
      <c r="N165" s="2225">
        <f>SUMIF($AG$1:DJ$1,N$5,$AG$30:DJ$30)</f>
        <v>3455.44992</v>
      </c>
      <c r="O165" s="2225">
        <f>SUMIF($AG$1:DK$1,O$5,$AG$30:DK$30)</f>
        <v>3755.5693344000001</v>
      </c>
      <c r="P165" s="2225">
        <f>SUMIF($AG$1:DL$1,P$5,$AG$30:DL$30)</f>
        <v>4529.1572146079998</v>
      </c>
      <c r="Q165" s="2225">
        <f>SUMIF($AG$1:DM$1,Q$5,$AG$30:DM$30)</f>
        <v>5237.7658249737606</v>
      </c>
      <c r="R165" s="2225"/>
      <c r="S165" s="2225"/>
      <c r="T165" s="2909">
        <v>162</v>
      </c>
      <c r="U165" s="2383"/>
      <c r="V165" s="2383"/>
      <c r="W165" s="2383"/>
      <c r="X165" s="2383"/>
      <c r="Y165" s="2383"/>
      <c r="Z165" s="2383"/>
      <c r="AA165" s="2383"/>
      <c r="AB165" s="2383"/>
      <c r="AC165" s="2383"/>
      <c r="AD165" s="2383"/>
      <c r="AE165" s="2383"/>
      <c r="AF165" s="2383"/>
      <c r="AG165" s="2383"/>
      <c r="AH165" s="2383"/>
      <c r="AI165" s="2383"/>
      <c r="AJ165" s="2383"/>
      <c r="AK165" s="2910">
        <f t="shared" ref="AK165:AN165" si="823">AK30</f>
        <v>310.5</v>
      </c>
      <c r="AL165" s="2910">
        <f t="shared" si="823"/>
        <v>280.5</v>
      </c>
      <c r="AM165" s="2910">
        <f t="shared" si="823"/>
        <v>389.1</v>
      </c>
      <c r="AN165" s="2910">
        <f t="shared" si="823"/>
        <v>519.90000000000009</v>
      </c>
      <c r="AO165" s="2910">
        <f t="shared" ref="AO165:AR165" si="824">AO30</f>
        <v>516.69180000000006</v>
      </c>
      <c r="AP165" s="2910">
        <f t="shared" si="824"/>
        <v>545.09274000000005</v>
      </c>
      <c r="AQ165" s="2910">
        <f t="shared" si="824"/>
        <v>553.30506000000003</v>
      </c>
      <c r="AR165" s="2910">
        <f t="shared" si="824"/>
        <v>584.91039999999998</v>
      </c>
      <c r="AS165" s="2910">
        <f t="shared" ref="AS165:AV165" si="825">AS30</f>
        <v>579.29999999999995</v>
      </c>
      <c r="AT165" s="2910">
        <f t="shared" si="825"/>
        <v>670.92000000000007</v>
      </c>
      <c r="AU165" s="2910">
        <f t="shared" si="825"/>
        <v>549.12</v>
      </c>
      <c r="AV165" s="2910">
        <f t="shared" si="825"/>
        <v>586.79999999999995</v>
      </c>
      <c r="AW165" s="2910">
        <f>AW30</f>
        <v>586.79999999999995</v>
      </c>
      <c r="AX165" s="2910">
        <f t="shared" ref="AX165:AY165" si="826">AX30</f>
        <v>840.69400607258115</v>
      </c>
      <c r="AY165" s="2910">
        <f t="shared" si="826"/>
        <v>692.30700000000002</v>
      </c>
      <c r="AZ165" s="2910">
        <f>AZ30</f>
        <v>740.12400000000002</v>
      </c>
      <c r="BA165" s="2910">
        <f t="shared" ref="BA165:CS165" si="827">BA30</f>
        <v>846.92399999999998</v>
      </c>
      <c r="BB165" s="2910">
        <f t="shared" si="827"/>
        <v>846.92399999999998</v>
      </c>
      <c r="BC165" s="2910">
        <f t="shared" si="827"/>
        <v>846.92399999999998</v>
      </c>
      <c r="BD165" s="2910">
        <f t="shared" si="827"/>
        <v>846.92399999999998</v>
      </c>
      <c r="BE165" s="2910">
        <f t="shared" si="827"/>
        <v>863.86248000000001</v>
      </c>
      <c r="BF165" s="2910">
        <f t="shared" si="827"/>
        <v>863.86248000000001</v>
      </c>
      <c r="BG165" s="2910">
        <f t="shared" si="827"/>
        <v>863.86248000000001</v>
      </c>
      <c r="BH165" s="2910">
        <f t="shared" si="827"/>
        <v>863.86248000000001</v>
      </c>
      <c r="BI165" s="2910">
        <f t="shared" si="827"/>
        <v>884.4398784</v>
      </c>
      <c r="BJ165" s="2910">
        <f t="shared" si="827"/>
        <v>906.71588280000003</v>
      </c>
      <c r="BK165" s="2910">
        <f t="shared" si="827"/>
        <v>951.26789159999998</v>
      </c>
      <c r="BL165" s="2910">
        <f t="shared" si="827"/>
        <v>1013.1456816000001</v>
      </c>
      <c r="BM165" s="2910">
        <f t="shared" si="827"/>
        <v>1075.485492432</v>
      </c>
      <c r="BN165" s="2910">
        <f t="shared" si="827"/>
        <v>1113.3546999120001</v>
      </c>
      <c r="BO165" s="2910">
        <f t="shared" si="827"/>
        <v>1151.223907392</v>
      </c>
      <c r="BP165" s="2910">
        <f t="shared" si="827"/>
        <v>1189.0931148720001</v>
      </c>
      <c r="BQ165" s="2910">
        <f t="shared" si="827"/>
        <v>1251.5015687990401</v>
      </c>
      <c r="BR165" s="2910">
        <f t="shared" si="827"/>
        <v>1290.1281604286401</v>
      </c>
      <c r="BS165" s="2910">
        <f t="shared" si="827"/>
        <v>1328.75475205824</v>
      </c>
      <c r="BT165" s="2910">
        <f t="shared" si="827"/>
        <v>1367.3813436878399</v>
      </c>
      <c r="BU165" s="2910">
        <f t="shared" si="827"/>
        <v>1434.1280940237889</v>
      </c>
      <c r="BV165" s="2910">
        <f t="shared" si="827"/>
        <v>1473.5272174859811</v>
      </c>
      <c r="BW165" s="2910">
        <f t="shared" si="827"/>
        <v>1512.9263409481728</v>
      </c>
      <c r="BX165" s="2910">
        <f t="shared" si="827"/>
        <v>1552.3254644103649</v>
      </c>
      <c r="BY165" s="2910">
        <f t="shared" si="827"/>
        <v>1623.5590796300082</v>
      </c>
      <c r="BZ165" s="2910">
        <f t="shared" si="827"/>
        <v>1663.7461855614438</v>
      </c>
      <c r="CA165" s="2910">
        <f t="shared" si="827"/>
        <v>1703.9332914928796</v>
      </c>
      <c r="CB165" s="2910">
        <f t="shared" si="827"/>
        <v>1744.1203974243156</v>
      </c>
      <c r="CC165" s="2910">
        <f t="shared" si="827"/>
        <v>0</v>
      </c>
      <c r="CD165" s="2910">
        <f t="shared" si="827"/>
        <v>0</v>
      </c>
      <c r="CE165" s="2910">
        <f t="shared" si="827"/>
        <v>0</v>
      </c>
      <c r="CF165" s="2910">
        <f t="shared" si="827"/>
        <v>0</v>
      </c>
      <c r="CG165" s="2910">
        <f t="shared" si="827"/>
        <v>0</v>
      </c>
      <c r="CH165" s="2910">
        <f t="shared" si="827"/>
        <v>0</v>
      </c>
      <c r="CI165" s="2910">
        <f t="shared" si="827"/>
        <v>0</v>
      </c>
      <c r="CJ165" s="2910">
        <f t="shared" si="827"/>
        <v>0</v>
      </c>
      <c r="CK165" s="2910">
        <f t="shared" si="827"/>
        <v>0</v>
      </c>
      <c r="CL165" s="2910">
        <f t="shared" si="827"/>
        <v>0</v>
      </c>
      <c r="CM165" s="2910">
        <f t="shared" si="827"/>
        <v>0</v>
      </c>
      <c r="CN165" s="2910">
        <f t="shared" si="827"/>
        <v>0</v>
      </c>
      <c r="CO165" s="2910">
        <f t="shared" si="827"/>
        <v>0</v>
      </c>
      <c r="CP165" s="2910">
        <f t="shared" si="827"/>
        <v>0</v>
      </c>
      <c r="CQ165" s="2910">
        <f t="shared" si="827"/>
        <v>0</v>
      </c>
      <c r="CR165" s="2910">
        <f t="shared" si="827"/>
        <v>0</v>
      </c>
      <c r="CS165" s="2910">
        <f t="shared" si="827"/>
        <v>0</v>
      </c>
      <c r="CT165" s="2217"/>
      <c r="CU165" s="2217"/>
      <c r="CV165" s="2217"/>
      <c r="CW165" s="2217"/>
      <c r="CX165" s="2217"/>
      <c r="CY165" s="2217"/>
      <c r="CZ165" s="2217"/>
    </row>
    <row r="166" spans="1:104" outlineLevel="1">
      <c r="A166" s="2911" t="str">
        <f>A159</f>
        <v>%YoY</v>
      </c>
      <c r="B166" s="2240"/>
      <c r="C166" s="2256"/>
      <c r="D166" s="2256"/>
      <c r="E166" s="2256"/>
      <c r="F166" s="2256"/>
      <c r="G166" s="2256"/>
      <c r="H166" s="2256"/>
      <c r="I166" s="2256"/>
      <c r="J166" s="2256"/>
      <c r="K166" s="2208">
        <f>K165/J165-1</f>
        <v>8.4609090909091078E-2</v>
      </c>
      <c r="L166" s="2436">
        <f>L165/K165-1</f>
        <v>0.19855708637069935</v>
      </c>
      <c r="M166" s="2175"/>
      <c r="N166" s="2175"/>
      <c r="O166" s="2175"/>
      <c r="P166" s="2175"/>
      <c r="Q166" s="2175"/>
      <c r="R166" s="2175"/>
      <c r="S166" s="2175"/>
      <c r="T166" s="2175">
        <v>163</v>
      </c>
      <c r="U166" s="2175"/>
      <c r="V166" s="2175"/>
      <c r="W166" s="2175"/>
      <c r="X166" s="2175"/>
      <c r="Y166" s="2175"/>
      <c r="Z166" s="2175"/>
      <c r="AA166" s="2175"/>
      <c r="AB166" s="2175"/>
      <c r="AC166" s="2175"/>
      <c r="AD166" s="2175"/>
      <c r="AE166" s="2175"/>
      <c r="AF166" s="2175"/>
      <c r="AG166" s="2175"/>
      <c r="AH166" s="2175"/>
      <c r="AI166" s="2175"/>
      <c r="AJ166" s="2175"/>
      <c r="AK166" s="2175"/>
      <c r="AL166" s="2175"/>
      <c r="AM166" s="2175"/>
      <c r="AN166" s="2175"/>
      <c r="AO166" s="2375"/>
      <c r="AP166" s="2175"/>
      <c r="AQ166" s="2175"/>
      <c r="AR166" s="2175"/>
      <c r="AS166" s="2375"/>
      <c r="AT166" s="2175"/>
      <c r="AU166" s="2175"/>
      <c r="AV166" s="2175"/>
      <c r="AW166" s="2376"/>
      <c r="AX166" s="2177"/>
      <c r="AY166" s="2177"/>
      <c r="AZ166" s="2177"/>
      <c r="BA166" s="2174"/>
      <c r="BB166" s="2174"/>
      <c r="BC166" s="2174"/>
      <c r="BD166" s="2174"/>
      <c r="BE166" s="2174"/>
      <c r="BF166" s="2174"/>
      <c r="BG166" s="2174"/>
      <c r="BH166" s="2174"/>
      <c r="BI166" s="2174"/>
      <c r="BJ166" s="2174"/>
      <c r="BK166" s="2174"/>
      <c r="BL166" s="2174"/>
      <c r="BM166" s="2174"/>
      <c r="BN166" s="2174"/>
      <c r="BO166" s="2174"/>
      <c r="BP166" s="2174"/>
      <c r="BQ166" s="2174"/>
      <c r="BR166" s="2174"/>
      <c r="BS166" s="2174"/>
      <c r="BT166" s="2174"/>
      <c r="BU166" s="2174"/>
      <c r="BV166" s="2174"/>
      <c r="BW166" s="2174"/>
      <c r="BX166" s="2174"/>
      <c r="BY166" s="2174"/>
      <c r="BZ166" s="2174"/>
      <c r="CA166" s="2174"/>
      <c r="CB166" s="2174"/>
      <c r="CC166" s="2174"/>
      <c r="CD166" s="2174"/>
      <c r="CE166" s="2174"/>
      <c r="CF166" s="2174"/>
      <c r="CG166" s="2174"/>
      <c r="CH166" s="2174"/>
      <c r="CI166" s="2174"/>
      <c r="CJ166" s="2174"/>
      <c r="CK166" s="2174"/>
      <c r="CL166" s="2174"/>
      <c r="CM166" s="2174"/>
      <c r="CN166" s="2174"/>
      <c r="CO166" s="2174"/>
      <c r="CP166" s="2174"/>
      <c r="CQ166" s="2174"/>
      <c r="CR166" s="2174"/>
      <c r="CS166" s="2174"/>
      <c r="CT166" s="2174"/>
      <c r="CU166" s="2174"/>
      <c r="CV166" s="2174"/>
      <c r="CW166" s="2174"/>
      <c r="CX166" s="2174"/>
      <c r="CY166" s="2174"/>
      <c r="CZ166" s="2174"/>
    </row>
    <row r="167" spans="1:104" outlineLevel="1">
      <c r="A167" s="2911" t="str">
        <f>A160</f>
        <v>Number of store</v>
      </c>
      <c r="B167" s="2240"/>
      <c r="C167" s="2256"/>
      <c r="D167" s="2256"/>
      <c r="E167" s="2256"/>
      <c r="F167" s="2256"/>
      <c r="G167" s="2256">
        <f>HLOOKUP(("Q4/"&amp;G$5),$T$5:$CA$107,24,FALSE)</f>
        <v>0</v>
      </c>
      <c r="H167" s="2245">
        <f t="shared" ref="H167:Q167" si="828">ROUND(HLOOKUP(("Q4/"&amp;H$5),$T$5:$CA$107,27,FALSE),0)</f>
        <v>0</v>
      </c>
      <c r="I167" s="2245">
        <f t="shared" si="828"/>
        <v>533</v>
      </c>
      <c r="J167" s="2245">
        <f t="shared" si="828"/>
        <v>531</v>
      </c>
      <c r="K167" s="2245">
        <f t="shared" si="828"/>
        <v>326</v>
      </c>
      <c r="L167" s="2245">
        <f t="shared" si="828"/>
        <v>356</v>
      </c>
      <c r="M167" s="2245">
        <f t="shared" si="828"/>
        <v>356</v>
      </c>
      <c r="N167" s="2245">
        <f t="shared" si="828"/>
        <v>356</v>
      </c>
      <c r="O167" s="2245">
        <f t="shared" si="828"/>
        <v>409</v>
      </c>
      <c r="P167" s="2245">
        <f t="shared" si="828"/>
        <v>471</v>
      </c>
      <c r="Q167" s="2245">
        <f t="shared" si="828"/>
        <v>531</v>
      </c>
      <c r="R167" s="2175"/>
      <c r="S167" s="2175"/>
      <c r="T167" s="2340">
        <v>164</v>
      </c>
      <c r="U167" s="2175"/>
      <c r="V167" s="2175">
        <f>2482-1770</f>
        <v>712</v>
      </c>
      <c r="W167" s="2175"/>
      <c r="X167" s="2175"/>
      <c r="Y167" s="2175"/>
      <c r="Z167" s="2175"/>
      <c r="AA167" s="2175"/>
      <c r="AB167" s="2175"/>
      <c r="AC167" s="2175"/>
      <c r="AD167" s="2175"/>
      <c r="AE167" s="2175"/>
      <c r="AF167" s="2175"/>
      <c r="AG167" s="2175"/>
      <c r="AH167" s="2175"/>
      <c r="AI167" s="2175"/>
      <c r="AJ167" s="2175"/>
      <c r="AK167" s="2175"/>
      <c r="AL167" s="2175"/>
      <c r="AM167" s="2175"/>
      <c r="AN167" s="2175"/>
      <c r="AO167" s="2375"/>
      <c r="AP167" s="2175"/>
      <c r="AQ167" s="2175"/>
      <c r="AR167" s="2175"/>
      <c r="AS167" s="2375"/>
      <c r="AT167" s="2175"/>
      <c r="AU167" s="2175"/>
      <c r="AV167" s="2175"/>
      <c r="AW167" s="2376"/>
      <c r="AX167" s="2177"/>
      <c r="AY167" s="2177"/>
      <c r="AZ167" s="2177"/>
      <c r="BA167" s="2174"/>
      <c r="BB167" s="2174"/>
      <c r="BC167" s="2174"/>
      <c r="BD167" s="2174"/>
      <c r="BE167" s="2174"/>
      <c r="BF167" s="2174"/>
      <c r="BG167" s="2174"/>
      <c r="BH167" s="2174"/>
      <c r="BI167" s="2174"/>
      <c r="BJ167" s="2174"/>
      <c r="BK167" s="2174"/>
      <c r="BL167" s="2174"/>
      <c r="BM167" s="2174"/>
      <c r="BN167" s="2174"/>
      <c r="BO167" s="2174"/>
      <c r="BP167" s="2174"/>
      <c r="BQ167" s="2174"/>
      <c r="BR167" s="2174"/>
      <c r="BS167" s="2174"/>
      <c r="BT167" s="2174"/>
      <c r="BU167" s="2174"/>
      <c r="BV167" s="2174"/>
      <c r="BW167" s="2174"/>
      <c r="BX167" s="2174"/>
      <c r="BY167" s="2174"/>
      <c r="BZ167" s="2174"/>
      <c r="CA167" s="2174"/>
      <c r="CB167" s="2174"/>
      <c r="CC167" s="2174"/>
      <c r="CD167" s="2174"/>
      <c r="CE167" s="2174"/>
      <c r="CF167" s="2174"/>
      <c r="CG167" s="2174"/>
      <c r="CH167" s="2174"/>
      <c r="CI167" s="2174"/>
      <c r="CJ167" s="2174"/>
      <c r="CK167" s="2174"/>
      <c r="CL167" s="2174"/>
      <c r="CM167" s="2174"/>
      <c r="CN167" s="2174"/>
      <c r="CO167" s="2174"/>
      <c r="CP167" s="2174"/>
      <c r="CQ167" s="2174"/>
      <c r="CR167" s="2174"/>
      <c r="CS167" s="2174"/>
      <c r="CT167" s="2174"/>
      <c r="CU167" s="2174"/>
      <c r="CV167" s="2174"/>
      <c r="CW167" s="2174"/>
      <c r="CX167" s="2174"/>
      <c r="CY167" s="2174"/>
      <c r="CZ167" s="2174"/>
    </row>
    <row r="168" spans="1:104" outlineLevel="1">
      <c r="A168" s="2911" t="str">
        <f>A161</f>
        <v>(+/-)</v>
      </c>
      <c r="B168" s="2240"/>
      <c r="C168" s="2256"/>
      <c r="D168" s="2256"/>
      <c r="E168" s="2256"/>
      <c r="F168" s="2256"/>
      <c r="G168" s="2256"/>
      <c r="H168" s="2256"/>
      <c r="I168" s="2246">
        <f>I167-H167</f>
        <v>533</v>
      </c>
      <c r="J168" s="2246">
        <f>SUMIF(Rev_Month!$BJ$64:$DR$64,Rev_Year!J5,Rev_Month!$BJ$58:$DR$58)</f>
        <v>26</v>
      </c>
      <c r="K168" s="2247">
        <f>SUMIF(Rev_Month!$BJ$64:$DR$64,Rev_Year!K5,Rev_Month!$BJ$58:$DR$58)</f>
        <v>-200</v>
      </c>
      <c r="L168" s="2340">
        <f>SUMIF(Rev_Month!$BJ$64:$DR$64,Rev_Year!L5,Rev_Month!$BJ$58:$DR$58)</f>
        <v>30</v>
      </c>
      <c r="M168" s="2340">
        <f>SUMIF(Rev_Month!$BJ$64:$DR$64,Rev_Year!M5,Rev_Month!$BJ$58:$DR$58)</f>
        <v>0</v>
      </c>
      <c r="N168" s="2340">
        <f>SUMIF(Rev_Month!$CJ$64:$DR$64,Rev_Year!N5,Rev_Month!$CJ$58:$DR$58)</f>
        <v>0</v>
      </c>
      <c r="O168" s="2340">
        <f>SUMIF(Rev_Month!$CJ$64:$DR$64,Rev_Year!O5,Rev_Month!$CJ$58:$DR$58)</f>
        <v>0</v>
      </c>
      <c r="P168" s="2340">
        <f>SUMIF(Rev_Month!$CJ$64:$DR$64,Rev_Year!P5,Rev_Month!$CJ$58:$DR$58)</f>
        <v>0</v>
      </c>
      <c r="Q168" s="2340">
        <f>SUMIF(Rev_Month!$CJ$64:$DR$64,Rev_Year!Q5,Rev_Month!$CJ$58:$DR$58)</f>
        <v>0</v>
      </c>
      <c r="R168" s="2175"/>
      <c r="S168" s="2175"/>
      <c r="T168" s="2175">
        <v>165</v>
      </c>
      <c r="U168" s="2175"/>
      <c r="V168" s="2175">
        <f>V167/600-1</f>
        <v>0.18666666666666676</v>
      </c>
      <c r="W168" s="2175"/>
      <c r="X168" s="2175"/>
      <c r="Y168" s="2175"/>
      <c r="Z168" s="2175"/>
      <c r="AA168" s="2175"/>
      <c r="AB168" s="2175"/>
      <c r="AC168" s="2175"/>
      <c r="AD168" s="2175"/>
      <c r="AE168" s="2175"/>
      <c r="AF168" s="2175"/>
      <c r="AG168" s="2175"/>
      <c r="AH168" s="2175"/>
      <c r="AI168" s="2175"/>
      <c r="AJ168" s="2175"/>
      <c r="AK168" s="2175"/>
      <c r="AL168" s="2175"/>
      <c r="AM168" s="2175"/>
      <c r="AN168" s="2175"/>
      <c r="AO168" s="2375"/>
      <c r="AP168" s="2175"/>
      <c r="AQ168" s="2175"/>
      <c r="AR168" s="2175"/>
      <c r="AS168" s="2375"/>
      <c r="AT168" s="2175"/>
      <c r="AU168" s="2175"/>
      <c r="AV168" s="2175"/>
      <c r="AW168" s="2376"/>
      <c r="AX168" s="2177"/>
      <c r="AY168" s="2177"/>
      <c r="AZ168" s="2177"/>
      <c r="BA168" s="2174"/>
      <c r="BB168" s="2174"/>
      <c r="BC168" s="2174"/>
      <c r="BD168" s="2174"/>
      <c r="BE168" s="2174"/>
      <c r="BF168" s="2174"/>
      <c r="BG168" s="2174"/>
      <c r="BH168" s="2174"/>
      <c r="BI168" s="2174"/>
      <c r="BJ168" s="2174"/>
      <c r="BK168" s="2174"/>
      <c r="BL168" s="2174"/>
      <c r="BM168" s="2174"/>
      <c r="BN168" s="2174"/>
      <c r="BO168" s="2174"/>
      <c r="BP168" s="2174"/>
      <c r="BQ168" s="2174"/>
      <c r="BR168" s="2174"/>
      <c r="BS168" s="2174"/>
      <c r="BT168" s="2174"/>
      <c r="BU168" s="2174"/>
      <c r="BV168" s="2174"/>
      <c r="BW168" s="2174"/>
      <c r="BX168" s="2174"/>
      <c r="BY168" s="2174"/>
      <c r="BZ168" s="2174"/>
      <c r="CA168" s="2174"/>
      <c r="CB168" s="2174"/>
      <c r="CC168" s="2174"/>
      <c r="CD168" s="2174"/>
      <c r="CE168" s="2174"/>
      <c r="CF168" s="2174"/>
      <c r="CG168" s="2174"/>
      <c r="CH168" s="2174"/>
      <c r="CI168" s="2174"/>
      <c r="CJ168" s="2174"/>
      <c r="CK168" s="2174"/>
      <c r="CL168" s="2174"/>
      <c r="CM168" s="2174"/>
      <c r="CN168" s="2174"/>
      <c r="CO168" s="2174"/>
      <c r="CP168" s="2174"/>
      <c r="CQ168" s="2174"/>
      <c r="CR168" s="2174"/>
      <c r="CS168" s="2174"/>
      <c r="CT168" s="2174"/>
      <c r="CU168" s="2174"/>
      <c r="CV168" s="2174"/>
      <c r="CW168" s="2174"/>
      <c r="CX168" s="2174"/>
      <c r="CY168" s="2174"/>
      <c r="CZ168" s="2174"/>
    </row>
    <row r="169" spans="1:104" s="2919" customFormat="1" outlineLevel="1">
      <c r="A169" s="2912" t="str">
        <f>A162</f>
        <v>Average REV per store (bnVND/Store)</v>
      </c>
      <c r="B169" s="2684"/>
      <c r="C169" s="2685"/>
      <c r="D169" s="2685"/>
      <c r="E169" s="2685"/>
      <c r="F169" s="2685"/>
      <c r="G169" s="2685"/>
      <c r="H169" s="2913">
        <v>0.2</v>
      </c>
      <c r="I169" s="2691">
        <f t="shared" ref="I169:M169" si="829">I165/I167/12</f>
        <v>0.2345215759849906</v>
      </c>
      <c r="J169" s="2691">
        <f t="shared" si="829"/>
        <v>0.34526051475204017</v>
      </c>
      <c r="K169" s="2914">
        <f>K165/K167/12</f>
        <v>0.60995398773006138</v>
      </c>
      <c r="L169" s="2915">
        <f>L165/L167/12</f>
        <v>0.66945810067242062</v>
      </c>
      <c r="M169" s="2915">
        <f t="shared" si="829"/>
        <v>0.79300000000000004</v>
      </c>
      <c r="N169" s="2915">
        <f t="shared" ref="N169" si="830">N165/N167/12</f>
        <v>0.80886000000000002</v>
      </c>
      <c r="O169" s="2915">
        <f t="shared" ref="O169:Q169" si="831">O165/O167/12</f>
        <v>0.76519342591687034</v>
      </c>
      <c r="P169" s="2915">
        <f t="shared" si="831"/>
        <v>0.80133708680254767</v>
      </c>
      <c r="Q169" s="2915">
        <f t="shared" si="831"/>
        <v>0.82199714767322041</v>
      </c>
      <c r="R169" s="2915"/>
      <c r="S169" s="2915"/>
      <c r="T169" s="2562">
        <v>166</v>
      </c>
      <c r="U169" s="2562"/>
      <c r="V169" s="2562"/>
      <c r="W169" s="2562"/>
      <c r="X169" s="2562"/>
      <c r="Y169" s="2562"/>
      <c r="Z169" s="2562"/>
      <c r="AA169" s="2562"/>
      <c r="AB169" s="2562"/>
      <c r="AC169" s="2562"/>
      <c r="AD169" s="2562"/>
      <c r="AE169" s="2562"/>
      <c r="AF169" s="2562"/>
      <c r="AG169" s="2562"/>
      <c r="AH169" s="2562"/>
      <c r="AI169" s="2562"/>
      <c r="AJ169" s="2562"/>
      <c r="AK169" s="2562"/>
      <c r="AL169" s="2562"/>
      <c r="AM169" s="2562"/>
      <c r="AN169" s="2562"/>
      <c r="AO169" s="2916"/>
      <c r="AP169" s="2562"/>
      <c r="AQ169" s="2562"/>
      <c r="AR169" s="2562"/>
      <c r="AS169" s="2916"/>
      <c r="AT169" s="2562"/>
      <c r="AU169" s="2562"/>
      <c r="AV169" s="2562"/>
      <c r="AW169" s="2917"/>
      <c r="AX169" s="2918"/>
      <c r="AY169" s="2918"/>
      <c r="AZ169" s="2918"/>
      <c r="BA169" s="2689"/>
      <c r="BB169" s="2689"/>
      <c r="BC169" s="2689"/>
      <c r="BD169" s="2689"/>
      <c r="BE169" s="2689"/>
      <c r="BF169" s="2689"/>
      <c r="BG169" s="2689"/>
      <c r="BH169" s="2689"/>
      <c r="BI169" s="2689"/>
      <c r="BJ169" s="2689"/>
      <c r="BK169" s="2689"/>
      <c r="BL169" s="2689"/>
      <c r="BM169" s="2689"/>
      <c r="BN169" s="2689"/>
      <c r="BO169" s="2689"/>
      <c r="BP169" s="2689"/>
      <c r="BQ169" s="2689"/>
      <c r="BR169" s="2689"/>
      <c r="BS169" s="2689"/>
      <c r="BT169" s="2689"/>
      <c r="BU169" s="2689"/>
      <c r="BV169" s="2689"/>
      <c r="BW169" s="2689"/>
      <c r="BX169" s="2689"/>
      <c r="BY169" s="2689"/>
      <c r="BZ169" s="2689"/>
      <c r="CA169" s="2689"/>
      <c r="CB169" s="2689"/>
      <c r="CC169" s="2689"/>
      <c r="CD169" s="2689"/>
      <c r="CE169" s="2689"/>
      <c r="CF169" s="2689"/>
      <c r="CG169" s="2689"/>
      <c r="CH169" s="2689"/>
      <c r="CI169" s="2689"/>
      <c r="CJ169" s="2689"/>
      <c r="CK169" s="2689"/>
      <c r="CL169" s="2689"/>
      <c r="CM169" s="2689"/>
      <c r="CN169" s="2689"/>
      <c r="CO169" s="2689"/>
      <c r="CP169" s="2689"/>
      <c r="CQ169" s="2689"/>
      <c r="CR169" s="2689"/>
      <c r="CS169" s="2689"/>
      <c r="CT169" s="2689"/>
      <c r="CU169" s="2689"/>
      <c r="CV169" s="2689"/>
      <c r="CW169" s="2689"/>
      <c r="CX169" s="2689"/>
      <c r="CY169" s="2689"/>
      <c r="CZ169" s="2689"/>
    </row>
    <row r="170" spans="1:104" s="2919" customFormat="1" outlineLevel="1">
      <c r="A170" s="2912" t="str">
        <f>A163</f>
        <v>%YoY</v>
      </c>
      <c r="B170" s="2684"/>
      <c r="C170" s="2685"/>
      <c r="D170" s="2685"/>
      <c r="E170" s="2685"/>
      <c r="F170" s="2920"/>
      <c r="G170" s="2685"/>
      <c r="H170" s="2685"/>
      <c r="I170" s="2685"/>
      <c r="J170" s="2685"/>
      <c r="K170" s="2921"/>
      <c r="L170" s="2562"/>
      <c r="M170" s="2562"/>
      <c r="N170" s="2562"/>
      <c r="O170" s="2562"/>
      <c r="P170" s="2562"/>
      <c r="Q170" s="2562"/>
      <c r="R170" s="2562"/>
      <c r="S170" s="2562"/>
      <c r="T170" s="2562">
        <v>167</v>
      </c>
      <c r="U170" s="2562"/>
      <c r="V170" s="2562"/>
      <c r="W170" s="2562"/>
      <c r="X170" s="2562"/>
      <c r="Y170" s="2562"/>
      <c r="Z170" s="2562"/>
      <c r="AA170" s="2562"/>
      <c r="AB170" s="2562"/>
      <c r="AC170" s="2562"/>
      <c r="AD170" s="2562"/>
      <c r="AE170" s="2562"/>
      <c r="AF170" s="2562"/>
      <c r="AG170" s="2562"/>
      <c r="AH170" s="2562"/>
      <c r="AI170" s="2562"/>
      <c r="AJ170" s="2562"/>
      <c r="AK170" s="2562"/>
      <c r="AL170" s="2562"/>
      <c r="AM170" s="2562"/>
      <c r="AN170" s="2562"/>
      <c r="AO170" s="2916"/>
      <c r="AP170" s="2562"/>
      <c r="AQ170" s="2562"/>
      <c r="AR170" s="2562"/>
      <c r="AS170" s="2916"/>
      <c r="AT170" s="2562"/>
      <c r="AU170" s="2562"/>
      <c r="AV170" s="2562"/>
      <c r="AW170" s="2917"/>
      <c r="AX170" s="2918"/>
      <c r="AY170" s="2918"/>
      <c r="AZ170" s="2918"/>
      <c r="BA170" s="2689"/>
      <c r="BB170" s="2689"/>
      <c r="BC170" s="2689"/>
      <c r="BD170" s="2689"/>
      <c r="BE170" s="2689"/>
      <c r="BF170" s="2689"/>
      <c r="BG170" s="2689"/>
      <c r="BH170" s="2689"/>
      <c r="BI170" s="2689"/>
      <c r="BJ170" s="2689"/>
      <c r="BK170" s="2689"/>
      <c r="BL170" s="2689"/>
      <c r="BM170" s="2689"/>
      <c r="BN170" s="2689"/>
      <c r="BO170" s="2689"/>
      <c r="BP170" s="2689"/>
      <c r="BQ170" s="2689"/>
      <c r="BR170" s="2689"/>
      <c r="BS170" s="2689"/>
      <c r="BT170" s="2689"/>
      <c r="BU170" s="2689"/>
      <c r="BV170" s="2689"/>
      <c r="BW170" s="2689"/>
      <c r="BX170" s="2689"/>
      <c r="BY170" s="2689"/>
      <c r="BZ170" s="2689"/>
      <c r="CA170" s="2689"/>
      <c r="CB170" s="2689"/>
      <c r="CC170" s="2689"/>
      <c r="CD170" s="2689"/>
      <c r="CE170" s="2689"/>
      <c r="CF170" s="2689"/>
      <c r="CG170" s="2689"/>
      <c r="CH170" s="2689"/>
      <c r="CI170" s="2689"/>
      <c r="CJ170" s="2689"/>
      <c r="CK170" s="2689"/>
      <c r="CL170" s="2689"/>
      <c r="CM170" s="2689"/>
      <c r="CN170" s="2689"/>
      <c r="CO170" s="2689"/>
      <c r="CP170" s="2689"/>
      <c r="CQ170" s="2689"/>
      <c r="CR170" s="2689"/>
      <c r="CS170" s="2689"/>
      <c r="CT170" s="2689"/>
      <c r="CU170" s="2689"/>
      <c r="CV170" s="2689"/>
      <c r="CW170" s="2689"/>
      <c r="CX170" s="2689"/>
      <c r="CY170" s="2689"/>
      <c r="CZ170" s="2689"/>
    </row>
    <row r="171" spans="1:104" s="2935" customFormat="1" ht="17" outlineLevel="1">
      <c r="A171" s="2922" t="str">
        <f>A86</f>
        <v>Gross profit</v>
      </c>
      <c r="B171" s="2923"/>
      <c r="C171" s="2924"/>
      <c r="D171" s="2924"/>
      <c r="E171" s="2924"/>
      <c r="F171" s="2924"/>
      <c r="G171" s="2924"/>
      <c r="H171" s="2925">
        <f t="shared" ref="H171:M171" si="832">H172*H165</f>
        <v>0</v>
      </c>
      <c r="I171" s="2925">
        <f t="shared" si="832"/>
        <v>300</v>
      </c>
      <c r="J171" s="2925">
        <f t="shared" si="832"/>
        <v>477.40000000000003</v>
      </c>
      <c r="K171" s="2926">
        <f>K172*K165</f>
        <v>429.50520000000006</v>
      </c>
      <c r="L171" s="2927">
        <f t="shared" si="832"/>
        <v>571.98500121451616</v>
      </c>
      <c r="M171" s="2927">
        <f t="shared" si="832"/>
        <v>677.53919999999994</v>
      </c>
      <c r="N171" s="2927">
        <f t="shared" ref="N171" si="833">N172*N165</f>
        <v>691.08998399999996</v>
      </c>
      <c r="O171" s="2927">
        <f t="shared" ref="O171:Q171" si="834">O172*O165</f>
        <v>751.11386687999993</v>
      </c>
      <c r="P171" s="2927">
        <f t="shared" si="834"/>
        <v>905.83144292159989</v>
      </c>
      <c r="Q171" s="2927">
        <f t="shared" si="834"/>
        <v>1047.553164994752</v>
      </c>
      <c r="R171" s="2927"/>
      <c r="S171" s="2927"/>
      <c r="T171" s="2562">
        <v>168</v>
      </c>
      <c r="U171" s="2928"/>
      <c r="V171" s="2928"/>
      <c r="W171" s="2928"/>
      <c r="X171" s="2928"/>
      <c r="Y171" s="2928"/>
      <c r="Z171" s="2928"/>
      <c r="AA171" s="2928"/>
      <c r="AB171" s="2928"/>
      <c r="AC171" s="2928"/>
      <c r="AD171" s="2928"/>
      <c r="AE171" s="2928"/>
      <c r="AF171" s="2928"/>
      <c r="AG171" s="2928"/>
      <c r="AH171" s="2928"/>
      <c r="AI171" s="2928"/>
      <c r="AJ171" s="2928"/>
      <c r="AK171" s="2929">
        <f>AK165*($I$39+$I$38)/($I$30+$I$28)</f>
        <v>52.584369588845995</v>
      </c>
      <c r="AL171" s="2929">
        <f>AL165*($I$39+$I$38)/($I$30+$I$28)</f>
        <v>47.503754169633815</v>
      </c>
      <c r="AM171" s="2929">
        <f>AM165*($I$39+$I$38)/($I$30+$I$28)</f>
        <v>65.895581987181885</v>
      </c>
      <c r="AN171" s="2929">
        <f>AN165*($I$39+$I$38)/($I$30+$I$28)</f>
        <v>88.047065214946969</v>
      </c>
      <c r="AO171" s="2930">
        <f>AO165*($J$39+$J$38)/($J$30+$J$28)</f>
        <v>101.35192301217722</v>
      </c>
      <c r="AP171" s="2931">
        <f>AP165*($J$39+$J$38)/($J$30+$J$28)</f>
        <v>106.92292275390616</v>
      </c>
      <c r="AQ171" s="2931">
        <f>AQ165*($J$39+$J$38)/($J$30+$J$28)</f>
        <v>108.53381424549043</v>
      </c>
      <c r="AR171" s="2931">
        <f>AR165*($J$39+$J$38)/($J$30+$J$28)</f>
        <v>114.7333745761434</v>
      </c>
      <c r="AS171" s="2930">
        <f t="shared" ref="AS171:BB171" si="835">AS165*($K$39+$K$38)/($K$30+$K$28)</f>
        <v>94.252373464821801</v>
      </c>
      <c r="AT171" s="2929">
        <f t="shared" si="835"/>
        <v>109.15898913346842</v>
      </c>
      <c r="AU171" s="2929">
        <f t="shared" si="835"/>
        <v>89.34207373900044</v>
      </c>
      <c r="AV171" s="2929">
        <f t="shared" si="835"/>
        <v>95.47262687581123</v>
      </c>
      <c r="AW171" s="2932">
        <f t="shared" si="835"/>
        <v>95.47262687581123</v>
      </c>
      <c r="AX171" s="2933">
        <f t="shared" si="835"/>
        <v>136.78129713445554</v>
      </c>
      <c r="AY171" s="2933">
        <f t="shared" si="835"/>
        <v>112.63866376024582</v>
      </c>
      <c r="AZ171" s="2933">
        <f t="shared" si="835"/>
        <v>120.41851140734988</v>
      </c>
      <c r="BA171" s="2929">
        <f t="shared" si="835"/>
        <v>137.79491997983902</v>
      </c>
      <c r="BB171" s="2929">
        <f t="shared" si="835"/>
        <v>137.79491997983902</v>
      </c>
      <c r="BC171" s="2934"/>
      <c r="BD171" s="2934"/>
      <c r="BE171" s="2934"/>
      <c r="BF171" s="2934"/>
      <c r="BG171" s="2934"/>
      <c r="BH171" s="2934"/>
      <c r="BI171" s="2934"/>
      <c r="BJ171" s="2934"/>
      <c r="BK171" s="2934"/>
      <c r="BL171" s="2934"/>
      <c r="BM171" s="2934"/>
      <c r="BN171" s="2934"/>
      <c r="BO171" s="2934"/>
      <c r="BP171" s="2934"/>
      <c r="BQ171" s="2934"/>
      <c r="BR171" s="2934"/>
      <c r="BS171" s="2934"/>
      <c r="BT171" s="2934"/>
      <c r="BU171" s="2934"/>
      <c r="BV171" s="2934"/>
      <c r="BW171" s="2934"/>
      <c r="BX171" s="2934"/>
      <c r="BY171" s="2934"/>
      <c r="BZ171" s="2934"/>
      <c r="CA171" s="2934"/>
      <c r="CB171" s="2934"/>
      <c r="CC171" s="2934"/>
      <c r="CD171" s="2934"/>
      <c r="CE171" s="2934"/>
      <c r="CF171" s="2934"/>
      <c r="CG171" s="2934"/>
      <c r="CH171" s="2934"/>
      <c r="CI171" s="2934"/>
      <c r="CJ171" s="2934"/>
      <c r="CK171" s="2934"/>
      <c r="CL171" s="2934"/>
      <c r="CM171" s="2934"/>
      <c r="CN171" s="2934"/>
      <c r="CO171" s="2934"/>
      <c r="CP171" s="2934"/>
      <c r="CQ171" s="2934"/>
      <c r="CR171" s="2934"/>
      <c r="CS171" s="2934"/>
      <c r="CT171" s="2934"/>
      <c r="CU171" s="2934"/>
      <c r="CV171" s="2934"/>
      <c r="CW171" s="2934"/>
      <c r="CX171" s="2934"/>
      <c r="CY171" s="2934"/>
      <c r="CZ171" s="2934"/>
    </row>
    <row r="172" spans="1:104" s="2919" customFormat="1" outlineLevel="1">
      <c r="A172" s="2936" t="str">
        <f>A87</f>
        <v>GPM(%)</v>
      </c>
      <c r="B172" s="2684"/>
      <c r="C172" s="2685"/>
      <c r="D172" s="2685"/>
      <c r="E172" s="2685"/>
      <c r="F172" s="2685"/>
      <c r="G172" s="2685"/>
      <c r="H172" s="2937">
        <v>0</v>
      </c>
      <c r="I172" s="2937">
        <v>0.2</v>
      </c>
      <c r="J172" s="2686">
        <f>I172+1.7%</f>
        <v>0.21700000000000003</v>
      </c>
      <c r="K172" s="2687">
        <v>0.18</v>
      </c>
      <c r="L172" s="2688">
        <f>K172+2%</f>
        <v>0.19999999999999998</v>
      </c>
      <c r="M172" s="2688">
        <f>L172</f>
        <v>0.19999999999999998</v>
      </c>
      <c r="N172" s="2688">
        <f>M172</f>
        <v>0.19999999999999998</v>
      </c>
      <c r="O172" s="2688">
        <f t="shared" ref="O172:Q172" si="836">N172</f>
        <v>0.19999999999999998</v>
      </c>
      <c r="P172" s="2688">
        <f t="shared" si="836"/>
        <v>0.19999999999999998</v>
      </c>
      <c r="Q172" s="2688">
        <f t="shared" si="836"/>
        <v>0.19999999999999998</v>
      </c>
      <c r="R172" s="2688"/>
      <c r="S172" s="2688"/>
      <c r="T172" s="2562">
        <v>169</v>
      </c>
      <c r="U172" s="2562"/>
      <c r="V172" s="2562"/>
      <c r="W172" s="2562"/>
      <c r="X172" s="2562"/>
      <c r="Y172" s="2562"/>
      <c r="Z172" s="2562"/>
      <c r="AA172" s="2562"/>
      <c r="AB172" s="2562"/>
      <c r="AC172" s="2562"/>
      <c r="AD172" s="2562"/>
      <c r="AE172" s="2562"/>
      <c r="AF172" s="2562"/>
      <c r="AG172" s="2562"/>
      <c r="AH172" s="2562"/>
      <c r="AI172" s="2562"/>
      <c r="AJ172" s="2562"/>
      <c r="AK172" s="2562"/>
      <c r="AL172" s="2562"/>
      <c r="AM172" s="2562"/>
      <c r="AN172" s="2562"/>
      <c r="AO172" s="2916"/>
      <c r="AP172" s="2562"/>
      <c r="AQ172" s="2562"/>
      <c r="AR172" s="2562"/>
      <c r="AS172" s="2916"/>
      <c r="AT172" s="2562"/>
      <c r="AU172" s="2562"/>
      <c r="AV172" s="2562"/>
      <c r="AW172" s="2917"/>
      <c r="AX172" s="2918"/>
      <c r="AY172" s="2918"/>
      <c r="AZ172" s="2918"/>
      <c r="BA172" s="2562"/>
      <c r="BB172" s="2562"/>
      <c r="BC172" s="2689"/>
      <c r="BD172" s="2689"/>
      <c r="BE172" s="2689"/>
      <c r="BF172" s="2689"/>
      <c r="BG172" s="2689"/>
      <c r="BH172" s="2689"/>
      <c r="BI172" s="2689"/>
      <c r="BJ172" s="2689"/>
      <c r="BK172" s="2689"/>
      <c r="BL172" s="2689"/>
      <c r="BM172" s="2689"/>
      <c r="BN172" s="2689"/>
      <c r="BO172" s="2689"/>
      <c r="BP172" s="2689"/>
      <c r="BQ172" s="2689"/>
      <c r="BR172" s="2689"/>
      <c r="BS172" s="2689"/>
      <c r="BT172" s="2689"/>
      <c r="BU172" s="2689"/>
      <c r="BV172" s="2689"/>
      <c r="BW172" s="2689"/>
      <c r="BX172" s="2689"/>
      <c r="BY172" s="2689"/>
      <c r="BZ172" s="2689"/>
      <c r="CA172" s="2689"/>
      <c r="CB172" s="2689"/>
      <c r="CC172" s="2689"/>
      <c r="CD172" s="2689"/>
      <c r="CE172" s="2689"/>
      <c r="CF172" s="2689"/>
      <c r="CG172" s="2689"/>
      <c r="CH172" s="2689"/>
      <c r="CI172" s="2689"/>
      <c r="CJ172" s="2689"/>
      <c r="CK172" s="2689"/>
      <c r="CL172" s="2689"/>
      <c r="CM172" s="2689"/>
      <c r="CN172" s="2689"/>
      <c r="CO172" s="2689"/>
      <c r="CP172" s="2689"/>
      <c r="CQ172" s="2689"/>
      <c r="CR172" s="2689"/>
      <c r="CS172" s="2689"/>
      <c r="CT172" s="2689"/>
      <c r="CU172" s="2689"/>
      <c r="CV172" s="2689"/>
      <c r="CW172" s="2689"/>
      <c r="CX172" s="2689"/>
      <c r="CY172" s="2689"/>
      <c r="CZ172" s="2689"/>
    </row>
    <row r="173" spans="1:104" s="2919" customFormat="1" outlineLevel="1">
      <c r="A173" s="2912" t="s">
        <v>182</v>
      </c>
      <c r="B173" s="2684"/>
      <c r="C173" s="2685"/>
      <c r="D173" s="2685"/>
      <c r="E173" s="2685"/>
      <c r="F173" s="2685"/>
      <c r="G173" s="2685"/>
      <c r="H173" s="2685"/>
      <c r="I173" s="2691">
        <f>I175-I171</f>
        <v>-606.21450229300001</v>
      </c>
      <c r="J173" s="2691">
        <f>-(J171-J175)</f>
        <v>-820.3420000000001</v>
      </c>
      <c r="K173" s="2914">
        <f>-(K171-K175)</f>
        <v>-776.22720470700006</v>
      </c>
      <c r="L173" s="2915">
        <f>L174*L165</f>
        <v>-658.65974125839909</v>
      </c>
      <c r="M173" s="2915">
        <f>M174*M165</f>
        <v>-712.45498970365725</v>
      </c>
      <c r="N173" s="2915">
        <f>N174*N165</f>
        <v>-657.59509109773046</v>
      </c>
      <c r="O173" s="2915">
        <f t="shared" ref="O173:P173" si="837">O174*O165</f>
        <v>-639.59842411967952</v>
      </c>
      <c r="P173" s="2915">
        <f t="shared" si="837"/>
        <v>-680.76243852514165</v>
      </c>
      <c r="Q173" s="2915">
        <f>Q174*Q165</f>
        <v>-787.27102338870748</v>
      </c>
      <c r="R173" s="2915"/>
      <c r="S173" s="2915"/>
      <c r="T173" s="2562">
        <v>170</v>
      </c>
      <c r="U173" s="2562"/>
      <c r="V173" s="2562"/>
      <c r="W173" s="2562"/>
      <c r="X173" s="2562"/>
      <c r="Y173" s="2562"/>
      <c r="Z173" s="2562"/>
      <c r="AA173" s="2562"/>
      <c r="AB173" s="2562"/>
      <c r="AC173" s="2562"/>
      <c r="AD173" s="2562"/>
      <c r="AE173" s="2562"/>
      <c r="AF173" s="2562"/>
      <c r="AG173" s="2562"/>
      <c r="AH173" s="2562"/>
      <c r="AI173" s="2562"/>
      <c r="AJ173" s="2562"/>
      <c r="AK173" s="2938">
        <f>AK165*($I$173+$I$187)/($I$165+$I$182)</f>
        <v>-126.69666709811347</v>
      </c>
      <c r="AL173" s="2938">
        <f>AL165*($I$173+$I$187)/($I$165+$I$182)</f>
        <v>-114.45544322389962</v>
      </c>
      <c r="AM173" s="2938">
        <f>AM165*($I$173+$I$187)/($I$165+$I$182)</f>
        <v>-158.7686736485538</v>
      </c>
      <c r="AN173" s="2938">
        <f>AN165*($I$173+$I$187)/($I$165+$I$182)</f>
        <v>-212.14040974012627</v>
      </c>
      <c r="AO173" s="2939">
        <f ca="1">AO165*($J$173+$J$187)/($J$165+$J$182)</f>
        <v>-265.20613749661555</v>
      </c>
      <c r="AP173" s="2938">
        <f ca="1">AP165*($J$173+$J$187)/($J$165+$J$182)</f>
        <v>-279.7836933987474</v>
      </c>
      <c r="AQ173" s="2938">
        <f ca="1">AQ165*($J$173+$J$187)/($J$165+$J$182)</f>
        <v>-283.99889028611085</v>
      </c>
      <c r="AR173" s="2938">
        <f ca="1">AR165*($J$173+$J$187)/($J$165+$J$182)</f>
        <v>-300.22119175415673</v>
      </c>
      <c r="AS173" s="2939">
        <f>AS165*($K$173+$K$187)/($K$165+$K$182)</f>
        <v>-207.16329164403339</v>
      </c>
      <c r="AT173" s="2938">
        <f>AT165*($K$173+$K$187)/($K$165+$K$182)</f>
        <v>-239.92749116142741</v>
      </c>
      <c r="AU173" s="2938">
        <f>AU165*($K$173+$K$187)/($K$165+$K$182)</f>
        <v>-196.3706312922003</v>
      </c>
      <c r="AV173" s="2938">
        <f>AV165*($K$173+$K$187)/($K$165+$K$182)</f>
        <v>-209.84536429607942</v>
      </c>
      <c r="AW173" s="2940">
        <f t="shared" ref="AW173:BB173" si="838">AW165*($K$173+$K$187)/($K$165+$K$182)</f>
        <v>-209.84536429607942</v>
      </c>
      <c r="AX173" s="2941">
        <f t="shared" si="838"/>
        <v>-300.64032032350241</v>
      </c>
      <c r="AY173" s="2941">
        <f t="shared" si="838"/>
        <v>-247.57568953600179</v>
      </c>
      <c r="AZ173" s="2941">
        <f t="shared" si="838"/>
        <v>-264.67551193638633</v>
      </c>
      <c r="BA173" s="2938">
        <f t="shared" si="838"/>
        <v>-302.86822650152141</v>
      </c>
      <c r="BB173" s="2938">
        <f t="shared" si="838"/>
        <v>-302.86822650152141</v>
      </c>
      <c r="BC173" s="2689"/>
      <c r="BD173" s="2689"/>
      <c r="BE173" s="2689"/>
      <c r="BF173" s="2689"/>
      <c r="BG173" s="2689"/>
      <c r="BH173" s="2689"/>
      <c r="BI173" s="2689"/>
      <c r="BJ173" s="2689"/>
      <c r="BK173" s="2689"/>
      <c r="BL173" s="2689"/>
      <c r="BM173" s="2689"/>
      <c r="BN173" s="2689"/>
      <c r="BO173" s="2689"/>
      <c r="BP173" s="2689"/>
      <c r="BQ173" s="2689"/>
      <c r="BR173" s="2689"/>
      <c r="BS173" s="2689"/>
      <c r="BT173" s="2689"/>
      <c r="BU173" s="2689"/>
      <c r="BV173" s="2689"/>
      <c r="BW173" s="2689"/>
      <c r="BX173" s="2689"/>
      <c r="BY173" s="2689"/>
      <c r="BZ173" s="2689"/>
      <c r="CA173" s="2689"/>
      <c r="CB173" s="2689"/>
      <c r="CC173" s="2689"/>
      <c r="CD173" s="2689"/>
      <c r="CE173" s="2689"/>
      <c r="CF173" s="2689"/>
      <c r="CG173" s="2689"/>
      <c r="CH173" s="2689"/>
      <c r="CI173" s="2689"/>
      <c r="CJ173" s="2689"/>
      <c r="CK173" s="2689"/>
      <c r="CL173" s="2689"/>
      <c r="CM173" s="2689"/>
      <c r="CN173" s="2689"/>
      <c r="CO173" s="2689"/>
      <c r="CP173" s="2689"/>
      <c r="CQ173" s="2689"/>
      <c r="CR173" s="2689"/>
      <c r="CS173" s="2689"/>
      <c r="CT173" s="2689"/>
      <c r="CU173" s="2689"/>
      <c r="CV173" s="2689"/>
      <c r="CW173" s="2689"/>
      <c r="CX173" s="2689"/>
      <c r="CY173" s="2689"/>
      <c r="CZ173" s="2689"/>
    </row>
    <row r="174" spans="1:104" s="2919" customFormat="1" outlineLevel="1">
      <c r="A174" s="2912" t="s">
        <v>236</v>
      </c>
      <c r="B174" s="2684"/>
      <c r="C174" s="2685"/>
      <c r="D174" s="2685"/>
      <c r="E174" s="2685"/>
      <c r="F174" s="2685"/>
      <c r="G174" s="2685"/>
      <c r="H174" s="2685"/>
      <c r="I174" s="2937">
        <f>I173/I165</f>
        <v>-0.40414300152866667</v>
      </c>
      <c r="J174" s="2937">
        <f>J173/J165</f>
        <v>-0.37288272727272731</v>
      </c>
      <c r="K174" s="2942">
        <f>K173/K165</f>
        <v>-0.32530664785259872</v>
      </c>
      <c r="L174" s="2943">
        <f>K174+9.5%</f>
        <v>-0.23030664785259872</v>
      </c>
      <c r="M174" s="2943">
        <f>L174+2%</f>
        <v>-0.21030664785259873</v>
      </c>
      <c r="N174" s="2943">
        <f>M174+2%</f>
        <v>-0.19030664785259874</v>
      </c>
      <c r="O174" s="2943">
        <f t="shared" ref="O174:P174" si="839">N174+2%</f>
        <v>-0.17030664785259875</v>
      </c>
      <c r="P174" s="2943">
        <f t="shared" si="839"/>
        <v>-0.15030664785259876</v>
      </c>
      <c r="Q174" s="2943">
        <f>P174</f>
        <v>-0.15030664785259876</v>
      </c>
      <c r="R174" s="2943"/>
      <c r="S174" s="2943"/>
      <c r="T174" s="2562">
        <v>171</v>
      </c>
      <c r="U174" s="2562"/>
      <c r="V174" s="2562"/>
      <c r="W174" s="2562"/>
      <c r="X174" s="2562"/>
      <c r="Y174" s="2562"/>
      <c r="Z174" s="2562"/>
      <c r="AA174" s="2562"/>
      <c r="AB174" s="2562"/>
      <c r="AC174" s="2562"/>
      <c r="AD174" s="2562"/>
      <c r="AE174" s="2562"/>
      <c r="AF174" s="2562"/>
      <c r="AG174" s="2562"/>
      <c r="AH174" s="2562"/>
      <c r="AI174" s="2562"/>
      <c r="AJ174" s="2562"/>
      <c r="AK174" s="2562"/>
      <c r="AL174" s="2562"/>
      <c r="AM174" s="2562"/>
      <c r="AN174" s="2562"/>
      <c r="AO174" s="2916"/>
      <c r="AP174" s="2562"/>
      <c r="AQ174" s="2562"/>
      <c r="AR174" s="2562"/>
      <c r="AS174" s="2916"/>
      <c r="AT174" s="2562"/>
      <c r="AU174" s="2562"/>
      <c r="AV174" s="2562"/>
      <c r="AW174" s="2917"/>
      <c r="AX174" s="2918"/>
      <c r="AY174" s="2918"/>
      <c r="AZ174" s="2918"/>
      <c r="BA174" s="2562"/>
      <c r="BB174" s="2562"/>
      <c r="BC174" s="2689"/>
      <c r="BD174" s="2689"/>
      <c r="BE174" s="2689"/>
      <c r="BF174" s="2689"/>
      <c r="BG174" s="2689"/>
      <c r="BH174" s="2689"/>
      <c r="BI174" s="2689"/>
      <c r="BJ174" s="2689"/>
      <c r="BK174" s="2689"/>
      <c r="BL174" s="2689"/>
      <c r="BM174" s="2689"/>
      <c r="BN174" s="2689"/>
      <c r="BO174" s="2689"/>
      <c r="BP174" s="2689"/>
      <c r="BQ174" s="2689"/>
      <c r="BR174" s="2689"/>
      <c r="BS174" s="2689"/>
      <c r="BT174" s="2689"/>
      <c r="BU174" s="2689"/>
      <c r="BV174" s="2689"/>
      <c r="BW174" s="2689"/>
      <c r="BX174" s="2689"/>
      <c r="BY174" s="2689"/>
      <c r="BZ174" s="2689"/>
      <c r="CA174" s="2689"/>
      <c r="CB174" s="2689"/>
      <c r="CC174" s="2689"/>
      <c r="CD174" s="2689"/>
      <c r="CE174" s="2689"/>
      <c r="CF174" s="2689"/>
      <c r="CG174" s="2689"/>
      <c r="CH174" s="2689"/>
      <c r="CI174" s="2689"/>
      <c r="CJ174" s="2689"/>
      <c r="CK174" s="2689"/>
      <c r="CL174" s="2689"/>
      <c r="CM174" s="2689"/>
      <c r="CN174" s="2689"/>
      <c r="CO174" s="2689"/>
      <c r="CP174" s="2689"/>
      <c r="CQ174" s="2689"/>
      <c r="CR174" s="2689"/>
      <c r="CS174" s="2689"/>
      <c r="CT174" s="2689"/>
      <c r="CU174" s="2689"/>
      <c r="CV174" s="2689"/>
      <c r="CW174" s="2689"/>
      <c r="CX174" s="2689"/>
      <c r="CY174" s="2689"/>
      <c r="CZ174" s="2689"/>
    </row>
    <row r="175" spans="1:104" s="2919" customFormat="1" outlineLevel="1">
      <c r="A175" s="2912" t="s">
        <v>188</v>
      </c>
      <c r="B175" s="2684"/>
      <c r="C175" s="2685"/>
      <c r="D175" s="2685"/>
      <c r="E175" s="2685"/>
      <c r="F175" s="2685"/>
      <c r="G175" s="2685"/>
      <c r="H175" s="2685"/>
      <c r="I175" s="2691">
        <v>-306.21450229300001</v>
      </c>
      <c r="J175" s="2691">
        <f>SUM(AO52:AR52)</f>
        <v>-342.94200000000001</v>
      </c>
      <c r="K175" s="2914">
        <f>SUM(AS52:AV52)</f>
        <v>-346.722004707</v>
      </c>
      <c r="L175" s="2915">
        <f>L171+L173</f>
        <v>-86.674740043882935</v>
      </c>
      <c r="M175" s="2915">
        <f>M171+M173</f>
        <v>-34.91578970365731</v>
      </c>
      <c r="N175" s="2915">
        <f>N171+N173</f>
        <v>33.494892902269498</v>
      </c>
      <c r="O175" s="2915">
        <f t="shared" ref="O175:Q175" si="840">O171+O173</f>
        <v>111.51544276032041</v>
      </c>
      <c r="P175" s="2915">
        <f t="shared" si="840"/>
        <v>225.06900439645824</v>
      </c>
      <c r="Q175" s="2915">
        <f t="shared" si="840"/>
        <v>260.28214160604455</v>
      </c>
      <c r="R175" s="2915"/>
      <c r="S175" s="2915"/>
      <c r="T175" s="2562">
        <v>172</v>
      </c>
      <c r="U175" s="2562"/>
      <c r="V175" s="2562"/>
      <c r="W175" s="2562"/>
      <c r="X175" s="2562"/>
      <c r="Y175" s="2562"/>
      <c r="Z175" s="2562"/>
      <c r="AA175" s="2562"/>
      <c r="AB175" s="2562"/>
      <c r="AC175" s="2562"/>
      <c r="AD175" s="2562"/>
      <c r="AE175" s="2562"/>
      <c r="AF175" s="2562"/>
      <c r="AG175" s="2562"/>
      <c r="AH175" s="2562"/>
      <c r="AI175" s="2562"/>
      <c r="AJ175" s="2562"/>
      <c r="AK175" s="2938">
        <f>AK171+AK173</f>
        <v>-74.112297509267478</v>
      </c>
      <c r="AL175" s="2938">
        <f t="shared" ref="AL175:AV175" si="841">AL171+AL173</f>
        <v>-66.951689054265813</v>
      </c>
      <c r="AM175" s="2938">
        <f t="shared" si="841"/>
        <v>-92.873091661371916</v>
      </c>
      <c r="AN175" s="2938">
        <f t="shared" si="841"/>
        <v>-124.0933445251793</v>
      </c>
      <c r="AO175" s="2939">
        <v>-74.283699999999996</v>
      </c>
      <c r="AP175" s="2938">
        <f>-150.5612329-AO175</f>
        <v>-76.277532899999997</v>
      </c>
      <c r="AQ175" s="2938">
        <f ca="1">AQ171+AQ173</f>
        <v>-175.46507604062043</v>
      </c>
      <c r="AR175" s="2938">
        <f ca="1">AR171+AR173</f>
        <v>-185.48781717801333</v>
      </c>
      <c r="AS175" s="2939">
        <f t="shared" si="841"/>
        <v>-112.91091817921159</v>
      </c>
      <c r="AT175" s="2938">
        <f t="shared" si="841"/>
        <v>-130.76850202795899</v>
      </c>
      <c r="AU175" s="2938">
        <f t="shared" si="841"/>
        <v>-107.02855755319986</v>
      </c>
      <c r="AV175" s="2938">
        <f t="shared" si="841"/>
        <v>-114.37273742026819</v>
      </c>
      <c r="AW175" s="2940">
        <f t="shared" ref="AW175:BB175" si="842">AW171+AW173</f>
        <v>-114.37273742026819</v>
      </c>
      <c r="AX175" s="2941">
        <f t="shared" si="842"/>
        <v>-163.85902318904687</v>
      </c>
      <c r="AY175" s="2941">
        <f t="shared" si="842"/>
        <v>-134.93702577575596</v>
      </c>
      <c r="AZ175" s="2941">
        <f t="shared" si="842"/>
        <v>-144.25700052903645</v>
      </c>
      <c r="BA175" s="2938">
        <f t="shared" si="842"/>
        <v>-165.07330652168238</v>
      </c>
      <c r="BB175" s="2938">
        <f t="shared" si="842"/>
        <v>-165.07330652168238</v>
      </c>
      <c r="BC175" s="2689"/>
      <c r="BD175" s="2689"/>
      <c r="BE175" s="2689"/>
      <c r="BF175" s="2689"/>
      <c r="BG175" s="2689"/>
      <c r="BH175" s="2689"/>
      <c r="BI175" s="2689"/>
      <c r="BJ175" s="2689"/>
      <c r="BK175" s="2689"/>
      <c r="BL175" s="2689"/>
      <c r="BM175" s="2689"/>
      <c r="BN175" s="2689"/>
      <c r="BO175" s="2689"/>
      <c r="BP175" s="2689"/>
      <c r="BQ175" s="2689"/>
      <c r="BR175" s="2689"/>
      <c r="BS175" s="2689"/>
      <c r="BT175" s="2689"/>
      <c r="BU175" s="2689"/>
      <c r="BV175" s="2689"/>
      <c r="BW175" s="2689"/>
      <c r="BX175" s="2689"/>
      <c r="BY175" s="2689"/>
      <c r="BZ175" s="2689"/>
      <c r="CA175" s="2689"/>
      <c r="CB175" s="2689"/>
      <c r="CC175" s="2689"/>
      <c r="CD175" s="2689"/>
      <c r="CE175" s="2689"/>
      <c r="CF175" s="2689"/>
      <c r="CG175" s="2689"/>
      <c r="CH175" s="2689"/>
      <c r="CI175" s="2689"/>
      <c r="CJ175" s="2689"/>
      <c r="CK175" s="2689"/>
      <c r="CL175" s="2689"/>
      <c r="CM175" s="2689"/>
      <c r="CN175" s="2689"/>
      <c r="CO175" s="2689"/>
      <c r="CP175" s="2689"/>
      <c r="CQ175" s="2689"/>
      <c r="CR175" s="2689"/>
      <c r="CS175" s="2689"/>
      <c r="CT175" s="2689"/>
      <c r="CU175" s="2689"/>
      <c r="CV175" s="2689"/>
      <c r="CW175" s="2689"/>
      <c r="CX175" s="2689"/>
      <c r="CY175" s="2689"/>
      <c r="CZ175" s="2689"/>
    </row>
    <row r="176" spans="1:104" s="2919" customFormat="1" outlineLevel="1">
      <c r="A176" s="2912" t="s">
        <v>189</v>
      </c>
      <c r="B176" s="2684"/>
      <c r="C176" s="2685"/>
      <c r="D176" s="2685"/>
      <c r="E176" s="2685"/>
      <c r="F176" s="2685"/>
      <c r="G176" s="2685"/>
      <c r="H176" s="2685"/>
      <c r="I176" s="2685">
        <f>IF(I175&gt;0,I175*0.2,0)</f>
        <v>0</v>
      </c>
      <c r="J176" s="2685">
        <f t="shared" ref="J176:M176" si="843">IF(J175&gt;0,J175*0.2,0)</f>
        <v>0</v>
      </c>
      <c r="K176" s="2921">
        <f t="shared" si="843"/>
        <v>0</v>
      </c>
      <c r="L176" s="2562">
        <f t="shared" si="843"/>
        <v>0</v>
      </c>
      <c r="M176" s="2562">
        <f t="shared" si="843"/>
        <v>0</v>
      </c>
      <c r="N176" s="2562">
        <f t="shared" ref="N176" si="844">IF(N175&gt;0,N175*0.2,0)</f>
        <v>6.6989785804539004</v>
      </c>
      <c r="O176" s="2562">
        <f t="shared" ref="O176:P176" si="845">IF(O175&gt;0,O175*0.2,0)</f>
        <v>22.303088552064082</v>
      </c>
      <c r="P176" s="2562">
        <f t="shared" si="845"/>
        <v>45.013800879291651</v>
      </c>
      <c r="Q176" s="2562">
        <f>IF(Q175&gt;0,Q175*0.2,0)</f>
        <v>52.056428321208912</v>
      </c>
      <c r="R176" s="2562"/>
      <c r="S176" s="2562"/>
      <c r="T176" s="2562">
        <v>173</v>
      </c>
      <c r="U176" s="2562"/>
      <c r="V176" s="2562"/>
      <c r="W176" s="2562"/>
      <c r="X176" s="2562"/>
      <c r="Y176" s="2562"/>
      <c r="Z176" s="2562"/>
      <c r="AA176" s="2562"/>
      <c r="AB176" s="2562"/>
      <c r="AC176" s="2562"/>
      <c r="AD176" s="2562"/>
      <c r="AE176" s="2562"/>
      <c r="AF176" s="2562"/>
      <c r="AG176" s="2562"/>
      <c r="AH176" s="2562"/>
      <c r="AI176" s="2562"/>
      <c r="AJ176" s="2562"/>
      <c r="AK176" s="2562"/>
      <c r="AL176" s="2562"/>
      <c r="AM176" s="2562"/>
      <c r="AN176" s="2562"/>
      <c r="AO176" s="2916"/>
      <c r="AP176" s="2562"/>
      <c r="AQ176" s="2562"/>
      <c r="AR176" s="2562"/>
      <c r="AS176" s="2916"/>
      <c r="AT176" s="2562"/>
      <c r="AU176" s="2562"/>
      <c r="AV176" s="2562"/>
      <c r="AW176" s="2917"/>
      <c r="AX176" s="2918"/>
      <c r="AY176" s="2918"/>
      <c r="AZ176" s="2918"/>
      <c r="BA176" s="2689"/>
      <c r="BB176" s="2689"/>
      <c r="BC176" s="2689"/>
      <c r="BD176" s="2689"/>
      <c r="BE176" s="2689"/>
      <c r="BF176" s="2689"/>
      <c r="BG176" s="2689"/>
      <c r="BH176" s="2689"/>
      <c r="BI176" s="2689"/>
      <c r="BJ176" s="2689"/>
      <c r="BK176" s="2689"/>
      <c r="BL176" s="2689"/>
      <c r="BM176" s="2689"/>
      <c r="BN176" s="2689"/>
      <c r="BO176" s="2689"/>
      <c r="BP176" s="2689"/>
      <c r="BQ176" s="2689"/>
      <c r="BR176" s="2689"/>
      <c r="BS176" s="2689"/>
      <c r="BT176" s="2689"/>
      <c r="BU176" s="2689"/>
      <c r="BV176" s="2689"/>
      <c r="BW176" s="2689"/>
      <c r="BX176" s="2689"/>
      <c r="BY176" s="2689"/>
      <c r="BZ176" s="2689"/>
      <c r="CA176" s="2689"/>
      <c r="CB176" s="2689"/>
      <c r="CC176" s="2689"/>
      <c r="CD176" s="2689"/>
      <c r="CE176" s="2689"/>
      <c r="CF176" s="2689"/>
      <c r="CG176" s="2689"/>
      <c r="CH176" s="2689"/>
      <c r="CI176" s="2689"/>
      <c r="CJ176" s="2689"/>
      <c r="CK176" s="2689"/>
      <c r="CL176" s="2689"/>
      <c r="CM176" s="2689"/>
      <c r="CN176" s="2689"/>
      <c r="CO176" s="2689"/>
      <c r="CP176" s="2689"/>
      <c r="CQ176" s="2689"/>
      <c r="CR176" s="2689"/>
      <c r="CS176" s="2689"/>
      <c r="CT176" s="2689"/>
      <c r="CU176" s="2689"/>
      <c r="CV176" s="2689"/>
      <c r="CW176" s="2689"/>
      <c r="CX176" s="2689"/>
      <c r="CY176" s="2689"/>
      <c r="CZ176" s="2689"/>
    </row>
    <row r="177" spans="1:104" s="2952" customFormat="1" outlineLevel="1">
      <c r="A177" s="2695" t="s">
        <v>50</v>
      </c>
      <c r="B177" s="2696"/>
      <c r="C177" s="2697"/>
      <c r="D177" s="2697"/>
      <c r="E177" s="2698"/>
      <c r="F177" s="2698"/>
      <c r="G177" s="2698"/>
      <c r="H177" s="2698"/>
      <c r="I177" s="2699">
        <f t="shared" ref="I177:M177" si="846">I175-I176</f>
        <v>-306.21450229300001</v>
      </c>
      <c r="J177" s="2699">
        <f>J175-J176</f>
        <v>-342.94200000000001</v>
      </c>
      <c r="K177" s="2700">
        <f>K175-K176</f>
        <v>-346.722004707</v>
      </c>
      <c r="L177" s="2701">
        <f>L175-L176</f>
        <v>-86.674740043882935</v>
      </c>
      <c r="M177" s="2701">
        <f t="shared" si="846"/>
        <v>-34.91578970365731</v>
      </c>
      <c r="N177" s="2701">
        <f t="shared" ref="N177" si="847">N175-N176</f>
        <v>26.795914321815598</v>
      </c>
      <c r="O177" s="2701">
        <f t="shared" ref="O177:P177" si="848">O175-O176</f>
        <v>89.212354208256329</v>
      </c>
      <c r="P177" s="2701">
        <f t="shared" si="848"/>
        <v>180.0552035171666</v>
      </c>
      <c r="Q177" s="2701">
        <f>Q175-Q176</f>
        <v>208.22571328483565</v>
      </c>
      <c r="R177" s="2726"/>
      <c r="S177" s="2726"/>
      <c r="T177" s="2562">
        <v>174</v>
      </c>
      <c r="U177" s="2726"/>
      <c r="V177" s="2726"/>
      <c r="W177" s="2726"/>
      <c r="X177" s="2726"/>
      <c r="Y177" s="2726"/>
      <c r="Z177" s="2726"/>
      <c r="AA177" s="2726"/>
      <c r="AB177" s="2726"/>
      <c r="AC177" s="2726"/>
      <c r="AD177" s="2726"/>
      <c r="AE177" s="2726"/>
      <c r="AF177" s="2726"/>
      <c r="AG177" s="2726"/>
      <c r="AH177" s="2944"/>
      <c r="AI177" s="2701"/>
      <c r="AJ177" s="2726"/>
      <c r="AK177" s="2726"/>
      <c r="AL177" s="2945"/>
      <c r="AM177" s="2945"/>
      <c r="AN177" s="2945"/>
      <c r="AO177" s="2946"/>
      <c r="AP177" s="2947"/>
      <c r="AQ177" s="2947"/>
      <c r="AR177" s="2947"/>
      <c r="AS177" s="2948"/>
      <c r="AT177" s="2944"/>
      <c r="AU177" s="2944"/>
      <c r="AV177" s="2944"/>
      <c r="AW177" s="2949"/>
      <c r="AX177" s="2950"/>
      <c r="AY177" s="2950"/>
      <c r="AZ177" s="2950"/>
      <c r="BA177" s="2951"/>
      <c r="BB177" s="2951"/>
      <c r="BC177" s="2951"/>
      <c r="BD177" s="2951"/>
      <c r="BE177" s="2951"/>
      <c r="BF177" s="2951"/>
      <c r="BG177" s="2951"/>
      <c r="BH177" s="2951"/>
      <c r="BI177" s="2951"/>
      <c r="BJ177" s="2951"/>
      <c r="BK177" s="2951"/>
      <c r="BL177" s="2951"/>
      <c r="BM177" s="2951"/>
      <c r="BN177" s="2951"/>
      <c r="BO177" s="2951"/>
      <c r="BP177" s="2951"/>
      <c r="BQ177" s="2951"/>
      <c r="BR177" s="2951"/>
      <c r="BS177" s="2951"/>
      <c r="BT177" s="2951"/>
      <c r="BU177" s="2951"/>
      <c r="BV177" s="2951"/>
      <c r="BW177" s="2951"/>
      <c r="BX177" s="2951"/>
      <c r="BY177" s="2951"/>
      <c r="BZ177" s="2951"/>
      <c r="CA177" s="2951"/>
      <c r="CB177" s="2951"/>
      <c r="CC177" s="2951"/>
      <c r="CD177" s="2951"/>
      <c r="CE177" s="2951"/>
      <c r="CF177" s="2951"/>
      <c r="CG177" s="2951"/>
      <c r="CH177" s="2951"/>
      <c r="CI177" s="2951"/>
      <c r="CJ177" s="2951"/>
      <c r="CK177" s="2951"/>
      <c r="CL177" s="2951"/>
      <c r="CM177" s="2951"/>
      <c r="CN177" s="2951"/>
      <c r="CO177" s="2951"/>
      <c r="CP177" s="2951"/>
      <c r="CQ177" s="2951"/>
      <c r="CR177" s="2951"/>
      <c r="CS177" s="2951"/>
      <c r="CT177" s="2951"/>
      <c r="CU177" s="2951"/>
      <c r="CV177" s="2951"/>
      <c r="CW177" s="2951"/>
      <c r="CX177" s="2951"/>
      <c r="CY177" s="2951"/>
      <c r="CZ177" s="2951"/>
    </row>
    <row r="178" spans="1:104" s="2919" customFormat="1" outlineLevel="1">
      <c r="A178" s="2953" t="s">
        <v>237</v>
      </c>
      <c r="B178" s="2954"/>
      <c r="C178" s="2955"/>
      <c r="D178" s="2955"/>
      <c r="E178" s="2955"/>
      <c r="F178" s="2955"/>
      <c r="G178" s="2690">
        <f>FS!M98-Rev_Year!I96</f>
        <v>-161.64213851699992</v>
      </c>
      <c r="H178" s="2955"/>
      <c r="I178" s="2956">
        <f ca="1">I175+I122+I95+FS!M80+FS!M86+FS!M92+I189</f>
        <v>6056.3522262649976</v>
      </c>
      <c r="J178" s="2956">
        <f ca="1">J175+J122+J95+FS!N80+FS!N86+FS!N92+J189</f>
        <v>557.08417735599801</v>
      </c>
      <c r="K178" s="2957">
        <f ca="1">K175+K122+K95+FS!O80+FS!O86+FS!O92+K189</f>
        <v>4845.336782276001</v>
      </c>
      <c r="L178" s="2958">
        <f ca="1">L175+L122+L95+FS!P80+FS!P86+FS!P92+L189</f>
        <v>8648.907333025707</v>
      </c>
      <c r="M178" s="2958">
        <f ca="1">M175+M122+M95+FS!Q80+FS!Q86+FS!Q92+M189</f>
        <v>10771.691305292779</v>
      </c>
      <c r="N178" s="2958">
        <f ca="1">N175+N122+N95+FS!R80+FS!R86+FS!R92+N189</f>
        <v>12969.815401591772</v>
      </c>
      <c r="O178" s="2958">
        <f ca="1">O175+O122+O95+FS!S80+FS!S86+FS!S92+O189</f>
        <v>15110.940118639608</v>
      </c>
      <c r="P178" s="2958">
        <f ca="1">P175+P122+P95+FS!T80+FS!T86+FS!T92+P189</f>
        <v>17506.681784180666</v>
      </c>
      <c r="Q178" s="2958">
        <f ca="1">Q175+Q122+Q95+FS!U80+FS!U86+FS!U92+Q189</f>
        <v>20107.780814329766</v>
      </c>
      <c r="R178" s="2958"/>
      <c r="S178" s="2958"/>
      <c r="T178" s="2562">
        <v>175</v>
      </c>
      <c r="U178" s="2562"/>
      <c r="V178" s="2562"/>
      <c r="W178" s="2562"/>
      <c r="X178" s="2562"/>
      <c r="Y178" s="2562"/>
      <c r="Z178" s="2562"/>
      <c r="AA178" s="2562"/>
      <c r="AB178" s="2562"/>
      <c r="AC178" s="2562"/>
      <c r="AD178" s="2562"/>
      <c r="AE178" s="2562"/>
      <c r="AF178" s="2562"/>
      <c r="AG178" s="2562"/>
      <c r="AH178" s="2562"/>
      <c r="AI178" s="2562"/>
      <c r="AJ178" s="2562"/>
      <c r="AK178" s="2562"/>
      <c r="AL178" s="2562"/>
      <c r="AM178" s="2562"/>
      <c r="AN178" s="2562"/>
      <c r="AO178" s="2916"/>
      <c r="AP178" s="2562"/>
      <c r="AQ178" s="2562"/>
      <c r="AR178" s="2562"/>
      <c r="AS178" s="2916"/>
      <c r="AT178" s="2562"/>
      <c r="AU178" s="2562"/>
      <c r="AV178" s="2562"/>
      <c r="AW178" s="2917"/>
      <c r="AX178" s="2918"/>
      <c r="AY178" s="2918"/>
      <c r="AZ178" s="2918"/>
      <c r="BA178" s="2689"/>
      <c r="BB178" s="2689"/>
      <c r="BC178" s="2689"/>
      <c r="BD178" s="2689"/>
      <c r="BE178" s="2689"/>
      <c r="BF178" s="2689"/>
      <c r="BG178" s="2689"/>
      <c r="BH178" s="2689"/>
      <c r="BI178" s="2689"/>
      <c r="BJ178" s="2689"/>
      <c r="BK178" s="2689"/>
      <c r="BL178" s="2689"/>
      <c r="BM178" s="2689"/>
      <c r="BN178" s="2689"/>
      <c r="BO178" s="2689"/>
      <c r="BP178" s="2689"/>
      <c r="BQ178" s="2689"/>
      <c r="BR178" s="2689"/>
      <c r="BS178" s="2689"/>
      <c r="BT178" s="2689"/>
      <c r="BU178" s="2689"/>
      <c r="BV178" s="2689"/>
      <c r="BW178" s="2689"/>
      <c r="BX178" s="2689"/>
      <c r="BY178" s="2689"/>
      <c r="BZ178" s="2689"/>
      <c r="CA178" s="2689"/>
      <c r="CB178" s="2689"/>
      <c r="CC178" s="2689"/>
      <c r="CD178" s="2689"/>
      <c r="CE178" s="2689"/>
      <c r="CF178" s="2689"/>
      <c r="CG178" s="2689"/>
      <c r="CH178" s="2689"/>
      <c r="CI178" s="2689"/>
      <c r="CJ178" s="2689"/>
      <c r="CK178" s="2689"/>
      <c r="CL178" s="2689"/>
      <c r="CM178" s="2689"/>
      <c r="CN178" s="2689"/>
      <c r="CO178" s="2689"/>
      <c r="CP178" s="2689"/>
      <c r="CQ178" s="2689"/>
      <c r="CR178" s="2689"/>
      <c r="CS178" s="2689"/>
      <c r="CT178" s="2689"/>
      <c r="CU178" s="2689"/>
      <c r="CV178" s="2689"/>
      <c r="CW178" s="2689"/>
      <c r="CX178" s="2689"/>
      <c r="CY178" s="2689"/>
      <c r="CZ178" s="2689"/>
    </row>
    <row r="179" spans="1:104" s="2919" customFormat="1" outlineLevel="1">
      <c r="A179" s="2953" t="s">
        <v>50</v>
      </c>
      <c r="B179" s="2954"/>
      <c r="C179" s="2955"/>
      <c r="D179" s="2955"/>
      <c r="E179" s="2955"/>
      <c r="F179" s="2955"/>
      <c r="G179" s="2955"/>
      <c r="H179" s="2955"/>
      <c r="I179" s="2956">
        <f>[1]Milestones!P80+I124+I177+I189</f>
        <v>6644.1737014999962</v>
      </c>
      <c r="J179" s="2956">
        <f ca="1">[1]Milestones!Q80+J128+J177+(FS!N80+FS!N86)*0.8+J189</f>
        <v>576.98957583819833</v>
      </c>
      <c r="K179" s="2957">
        <f ca="1">[1]Milestones!R80+K128+K177+(FS!O80+FS!O86)*0.8+K189</f>
        <v>4814.814340329026</v>
      </c>
      <c r="L179" s="2958">
        <f ca="1">L98+L128+L177+(FS!P80+FS!P86)*0.8+L189+FS!P92</f>
        <v>6773.540823094223</v>
      </c>
      <c r="M179" s="2958">
        <f ca="1">M98+M128+M177+(FS!Q80+FS!Q86)*0.8+M189</f>
        <v>8604.1318767073171</v>
      </c>
      <c r="N179" s="2958">
        <f ca="1">N98+N128+N177+(FS!R80+FS!R86)*0.8+N189</f>
        <v>10451.812956190617</v>
      </c>
      <c r="O179" s="2958">
        <f ca="1">O98+O128+O177+(FS!S80+FS!S86)*0.8+O189</f>
        <v>12221.519885013235</v>
      </c>
      <c r="P179" s="2958">
        <f ca="1">P98+P128+P177+(FS!T80+FS!T86)*0.8+P189</f>
        <v>14296.385513937705</v>
      </c>
      <c r="Q179" s="2958">
        <f ca="1">Q98+Q128+Q177+(FS!U80+FS!U86)*0.8+Q189</f>
        <v>16550.113347006471</v>
      </c>
      <c r="R179" s="2915"/>
      <c r="S179" s="2915"/>
      <c r="T179" s="2562">
        <v>176</v>
      </c>
      <c r="U179" s="2562"/>
      <c r="V179" s="2562"/>
      <c r="W179" s="2562"/>
      <c r="X179" s="2562"/>
      <c r="Y179" s="2562"/>
      <c r="Z179" s="2562"/>
      <c r="AA179" s="2562"/>
      <c r="AB179" s="2562"/>
      <c r="AC179" s="2562"/>
      <c r="AD179" s="2562"/>
      <c r="AE179" s="2562"/>
      <c r="AF179" s="2562"/>
      <c r="AG179" s="2562"/>
      <c r="AH179" s="2562"/>
      <c r="AI179" s="2562"/>
      <c r="AJ179" s="2562"/>
      <c r="AK179" s="2562"/>
      <c r="AL179" s="2562"/>
      <c r="AM179" s="2562"/>
      <c r="AN179" s="2562"/>
      <c r="AO179" s="2916"/>
      <c r="AP179" s="2562"/>
      <c r="AQ179" s="2562"/>
      <c r="AR179" s="2562"/>
      <c r="AS179" s="2916"/>
      <c r="AT179" s="2562"/>
      <c r="AU179" s="2562"/>
      <c r="AV179" s="2562"/>
      <c r="AW179" s="2917"/>
      <c r="AX179" s="2918"/>
      <c r="AY179" s="2918"/>
      <c r="AZ179" s="2918"/>
      <c r="BA179" s="2689"/>
      <c r="BB179" s="2689"/>
      <c r="BC179" s="2689"/>
      <c r="BD179" s="2689"/>
      <c r="BE179" s="2689"/>
      <c r="BF179" s="2689"/>
      <c r="BG179" s="2689"/>
      <c r="BH179" s="2689"/>
      <c r="BI179" s="2689"/>
      <c r="BJ179" s="2689"/>
      <c r="BK179" s="2689"/>
      <c r="BL179" s="2689"/>
      <c r="BM179" s="2689"/>
      <c r="BN179" s="2689"/>
      <c r="BO179" s="2689"/>
      <c r="BP179" s="2689"/>
      <c r="BQ179" s="2689"/>
      <c r="BR179" s="2689"/>
      <c r="BS179" s="2689"/>
      <c r="BT179" s="2689"/>
      <c r="BU179" s="2689"/>
      <c r="BV179" s="2689"/>
      <c r="BW179" s="2689"/>
      <c r="BX179" s="2689"/>
      <c r="BY179" s="2689"/>
      <c r="BZ179" s="2689"/>
      <c r="CA179" s="2689"/>
      <c r="CB179" s="2689"/>
      <c r="CC179" s="2689"/>
      <c r="CD179" s="2689"/>
      <c r="CE179" s="2689"/>
      <c r="CF179" s="2689"/>
      <c r="CG179" s="2689"/>
      <c r="CH179" s="2689"/>
      <c r="CI179" s="2689"/>
      <c r="CJ179" s="2689"/>
      <c r="CK179" s="2689"/>
      <c r="CL179" s="2689"/>
      <c r="CM179" s="2689"/>
      <c r="CN179" s="2689"/>
      <c r="CO179" s="2689"/>
      <c r="CP179" s="2689"/>
      <c r="CQ179" s="2689"/>
      <c r="CR179" s="2689"/>
      <c r="CS179" s="2689"/>
      <c r="CT179" s="2689"/>
      <c r="CU179" s="2689"/>
      <c r="CV179" s="2689"/>
      <c r="CW179" s="2689"/>
      <c r="CX179" s="2689"/>
      <c r="CY179" s="2689"/>
      <c r="CZ179" s="2689"/>
    </row>
    <row r="180" spans="1:104" s="2919" customFormat="1" outlineLevel="1">
      <c r="A180" s="2953"/>
      <c r="B180" s="2954"/>
      <c r="C180" s="2955"/>
      <c r="D180" s="2955"/>
      <c r="E180" s="2955"/>
      <c r="F180" s="2955"/>
      <c r="G180" s="2955"/>
      <c r="H180" s="2955"/>
      <c r="I180" s="2959">
        <f>-FS!M99/FS!M96</f>
        <v>0.2960524440045606</v>
      </c>
      <c r="J180" s="2959">
        <f>-FS!N99/FS!N96</f>
        <v>0.62818902554585454</v>
      </c>
      <c r="K180" s="2960">
        <f>-FS!O99/FS!O96</f>
        <v>0.23326880775108721</v>
      </c>
      <c r="L180" s="2961">
        <f t="shared" ref="L180:Q180" ca="1" si="849">1-L179/L178</f>
        <v>0.21683276716012767</v>
      </c>
      <c r="M180" s="2961">
        <f t="shared" ca="1" si="849"/>
        <v>0.20122739940759438</v>
      </c>
      <c r="N180" s="2961">
        <f t="shared" ca="1" si="849"/>
        <v>0.19414327555441713</v>
      </c>
      <c r="O180" s="2961">
        <f t="shared" ca="1" si="849"/>
        <v>0.19121379682143158</v>
      </c>
      <c r="P180" s="2961">
        <f t="shared" ca="1" si="849"/>
        <v>0.1833754854185925</v>
      </c>
      <c r="Q180" s="2961">
        <f t="shared" ca="1" si="849"/>
        <v>0.17692989097971124</v>
      </c>
      <c r="R180" s="2915"/>
      <c r="S180" s="2915"/>
      <c r="T180" s="2562">
        <v>177</v>
      </c>
      <c r="U180" s="2562"/>
      <c r="V180" s="2562"/>
      <c r="W180" s="2562"/>
      <c r="X180" s="2562"/>
      <c r="Y180" s="2562"/>
      <c r="Z180" s="2562"/>
      <c r="AA180" s="2562"/>
      <c r="AB180" s="2562"/>
      <c r="AC180" s="2562"/>
      <c r="AD180" s="2562"/>
      <c r="AE180" s="2562"/>
      <c r="AF180" s="2562"/>
      <c r="AG180" s="2562"/>
      <c r="AH180" s="2562"/>
      <c r="AI180" s="2562"/>
      <c r="AJ180" s="2562"/>
      <c r="AK180" s="2562"/>
      <c r="AL180" s="2562"/>
      <c r="AM180" s="2562"/>
      <c r="AN180" s="2562"/>
      <c r="AO180" s="2916"/>
      <c r="AP180" s="2562"/>
      <c r="AQ180" s="2562"/>
      <c r="AR180" s="2562"/>
      <c r="AS180" s="2916"/>
      <c r="AT180" s="2562"/>
      <c r="AU180" s="2562"/>
      <c r="AV180" s="2562"/>
      <c r="AW180" s="2917"/>
      <c r="AX180" s="2918"/>
      <c r="AY180" s="2918"/>
      <c r="AZ180" s="2918"/>
      <c r="BA180" s="2689"/>
      <c r="BB180" s="2689"/>
      <c r="BC180" s="2689"/>
      <c r="BD180" s="2689"/>
      <c r="BE180" s="2689"/>
      <c r="BF180" s="2689"/>
      <c r="BG180" s="2689"/>
      <c r="BH180" s="2689"/>
      <c r="BI180" s="2689"/>
      <c r="BJ180" s="2689"/>
      <c r="BK180" s="2689"/>
      <c r="BL180" s="2689"/>
      <c r="BM180" s="2689"/>
      <c r="BN180" s="2689"/>
      <c r="BO180" s="2689"/>
      <c r="BP180" s="2689"/>
      <c r="BQ180" s="2689"/>
      <c r="BR180" s="2689"/>
      <c r="BS180" s="2689"/>
      <c r="BT180" s="2689"/>
      <c r="BU180" s="2689"/>
      <c r="BV180" s="2689"/>
      <c r="BW180" s="2689"/>
      <c r="BX180" s="2689"/>
      <c r="BY180" s="2689"/>
      <c r="BZ180" s="2689"/>
      <c r="CA180" s="2689"/>
      <c r="CB180" s="2689"/>
      <c r="CC180" s="2689"/>
      <c r="CD180" s="2689"/>
      <c r="CE180" s="2689"/>
      <c r="CF180" s="2689"/>
      <c r="CG180" s="2689"/>
      <c r="CH180" s="2689"/>
      <c r="CI180" s="2689"/>
      <c r="CJ180" s="2689"/>
      <c r="CK180" s="2689"/>
      <c r="CL180" s="2689"/>
      <c r="CM180" s="2689"/>
      <c r="CN180" s="2689"/>
      <c r="CO180" s="2689"/>
      <c r="CP180" s="2689"/>
      <c r="CQ180" s="2689"/>
      <c r="CR180" s="2689"/>
      <c r="CS180" s="2689"/>
      <c r="CT180" s="2689"/>
      <c r="CU180" s="2689"/>
      <c r="CV180" s="2689"/>
      <c r="CW180" s="2689"/>
      <c r="CX180" s="2689"/>
      <c r="CY180" s="2689"/>
      <c r="CZ180" s="2689"/>
    </row>
    <row r="181" spans="1:104" s="2231" customFormat="1">
      <c r="A181" s="2962" t="s">
        <v>238</v>
      </c>
      <c r="B181" s="2379"/>
      <c r="C181" s="2381"/>
      <c r="D181" s="2381"/>
      <c r="E181" s="2381"/>
      <c r="F181" s="2381"/>
      <c r="G181" s="2381"/>
      <c r="H181" s="2381"/>
      <c r="I181" s="2380"/>
      <c r="J181" s="2380"/>
      <c r="K181" s="2419"/>
      <c r="L181" s="2963"/>
      <c r="M181" s="2964"/>
      <c r="N181" s="2964"/>
      <c r="O181" s="2964"/>
      <c r="P181" s="2964"/>
      <c r="Q181" s="2964"/>
      <c r="R181" s="2964"/>
      <c r="S181" s="2964"/>
      <c r="T181" s="2909">
        <v>178</v>
      </c>
      <c r="U181" s="2383"/>
      <c r="V181" s="2383"/>
      <c r="W181" s="2383"/>
      <c r="X181" s="2383"/>
      <c r="Y181" s="2383"/>
      <c r="Z181" s="2383"/>
      <c r="AA181" s="2383"/>
      <c r="AB181" s="2383"/>
      <c r="AC181" s="2383"/>
      <c r="AD181" s="2383"/>
      <c r="AE181" s="2383"/>
      <c r="AF181" s="2383"/>
      <c r="AG181" s="2383"/>
      <c r="AH181" s="2383"/>
      <c r="AI181" s="2383"/>
      <c r="AJ181" s="2383"/>
      <c r="AK181" s="2965">
        <f>AK98+AK122+AK175+IF(AK182&gt;0,AK182*0.8,AK182)</f>
        <v>1376.2762803627325</v>
      </c>
      <c r="AL181" s="2965">
        <f>AL98+AL122+AL175+IF(AL182&gt;0,AL182*0.8,AL182)</f>
        <v>1129.3995263473344</v>
      </c>
      <c r="AM181" s="2965">
        <f>AM98+AM122+AM175+IF(AM182&gt;0,AM182*0.8,AM182)</f>
        <v>996.85353518922852</v>
      </c>
      <c r="AN181" s="2965">
        <f ca="1">AN98+AN122+AN175+IF(AN182&gt;0,AN182*0.8,AN182)+AN59</f>
        <v>757.57181940121609</v>
      </c>
      <c r="AO181" s="2966"/>
      <c r="AP181" s="2383"/>
      <c r="AQ181" s="2383"/>
      <c r="AR181" s="2383"/>
      <c r="AS181" s="2966"/>
      <c r="AT181" s="2383"/>
      <c r="AU181" s="2383"/>
      <c r="AV181" s="2383"/>
      <c r="AW181" s="2967"/>
      <c r="AX181" s="2968"/>
      <c r="AY181" s="2968"/>
      <c r="AZ181" s="2968"/>
      <c r="BA181" s="2217"/>
      <c r="BB181" s="2217"/>
      <c r="BC181" s="2217"/>
      <c r="BD181" s="2217"/>
      <c r="BE181" s="2217"/>
      <c r="BF181" s="2217"/>
      <c r="BG181" s="2217"/>
      <c r="BH181" s="2217"/>
      <c r="BI181" s="2217"/>
      <c r="BJ181" s="2217"/>
      <c r="BK181" s="2217"/>
      <c r="BL181" s="2217"/>
      <c r="BM181" s="2217"/>
      <c r="BN181" s="2217"/>
      <c r="BO181" s="2217"/>
      <c r="BP181" s="2217"/>
      <c r="BQ181" s="2217"/>
      <c r="BR181" s="2217"/>
      <c r="BS181" s="2217"/>
      <c r="BT181" s="2217"/>
      <c r="BU181" s="2217"/>
      <c r="BV181" s="2217"/>
      <c r="BW181" s="2217"/>
      <c r="BX181" s="2217"/>
      <c r="BY181" s="2217"/>
      <c r="BZ181" s="2217"/>
      <c r="CA181" s="2217"/>
      <c r="CB181" s="2217"/>
      <c r="CC181" s="2217"/>
      <c r="CD181" s="2217"/>
      <c r="CE181" s="2217"/>
      <c r="CF181" s="2217"/>
      <c r="CG181" s="2217"/>
      <c r="CH181" s="2217"/>
      <c r="CI181" s="2217"/>
      <c r="CJ181" s="2217"/>
      <c r="CK181" s="2217"/>
      <c r="CL181" s="2217"/>
      <c r="CM181" s="2217"/>
      <c r="CN181" s="2217"/>
      <c r="CO181" s="2217"/>
      <c r="CP181" s="2217"/>
      <c r="CQ181" s="2217"/>
      <c r="CR181" s="2217"/>
      <c r="CS181" s="2217"/>
      <c r="CT181" s="2217"/>
      <c r="CU181" s="2217"/>
      <c r="CV181" s="2217"/>
      <c r="CW181" s="2217"/>
      <c r="CX181" s="2217"/>
      <c r="CY181" s="2217"/>
      <c r="CZ181" s="2217"/>
    </row>
    <row r="182" spans="1:104" s="2919" customFormat="1" outlineLevel="1">
      <c r="A182" s="2912" t="s">
        <v>239</v>
      </c>
      <c r="B182" s="2684"/>
      <c r="C182" s="2685"/>
      <c r="D182" s="2685"/>
      <c r="E182" s="2685"/>
      <c r="F182" s="2685"/>
      <c r="G182" s="2685"/>
      <c r="H182" s="2690">
        <f>H28</f>
        <v>491.93810317399038</v>
      </c>
      <c r="I182" s="2559">
        <f>I28</f>
        <v>1168.0999999999999</v>
      </c>
      <c r="J182" s="2559">
        <f>J28</f>
        <v>993.55428829693437</v>
      </c>
      <c r="K182" s="2560">
        <f>K28</f>
        <v>1241.0711269176545</v>
      </c>
      <c r="L182" s="2692">
        <f>L184*12*L183</f>
        <v>1427.2317959553025</v>
      </c>
      <c r="M182" s="2692">
        <f>M184*12*M183</f>
        <v>1427.2317959553025</v>
      </c>
      <c r="N182" s="2692">
        <f>N184*12*N183</f>
        <v>1427.2317959553025</v>
      </c>
      <c r="O182" s="2692">
        <f t="shared" ref="O182:Q182" si="850">O184*12*O183</f>
        <v>1427.2317959553025</v>
      </c>
      <c r="P182" s="2692">
        <f t="shared" si="850"/>
        <v>1427.2317959553025</v>
      </c>
      <c r="Q182" s="2692">
        <f t="shared" si="850"/>
        <v>1427.2317959553025</v>
      </c>
      <c r="R182" s="2692"/>
      <c r="S182" s="2692"/>
      <c r="T182" s="2562">
        <v>179</v>
      </c>
      <c r="U182" s="2562"/>
      <c r="V182" s="2562"/>
      <c r="W182" s="2562"/>
      <c r="X182" s="2562"/>
      <c r="Y182" s="2562"/>
      <c r="Z182" s="2562"/>
      <c r="AA182" s="2562"/>
      <c r="AB182" s="2562"/>
      <c r="AC182" s="2562"/>
      <c r="AD182" s="2562"/>
      <c r="AE182" s="2562"/>
      <c r="AF182" s="2562"/>
      <c r="AG182" s="2562"/>
      <c r="AH182" s="2562"/>
      <c r="AI182" s="2562"/>
      <c r="AJ182" s="2562"/>
      <c r="AK182" s="2681">
        <f>('quý 1.22'!AL17+'quý 1.22'!AL18+'quý 1.22'!AL26)</f>
        <v>154.20248895700001</v>
      </c>
      <c r="AL182" s="2681">
        <f>('quý 1.22'!AM17+'quý 1.22'!AM18+'quý 1.22'!AM26)</f>
        <v>-326.06791820399997</v>
      </c>
      <c r="AM182" s="2681">
        <f>('quý 1.22'!AN17+'quý 1.22'!AN18+'quý 1.22'!AN26)</f>
        <v>-315.35699999999997</v>
      </c>
      <c r="AN182" s="2681">
        <f>('quý 1.22'!AO17+'quý 1.22'!AO18+'quý 1.22'!AO26)</f>
        <v>-100.59887813999998</v>
      </c>
      <c r="AO182" s="2916"/>
      <c r="AP182" s="2562"/>
      <c r="AQ182" s="2562"/>
      <c r="AR182" s="2562"/>
      <c r="AS182" s="2916"/>
      <c r="AT182" s="2562"/>
      <c r="AU182" s="2562"/>
      <c r="AV182" s="2562"/>
      <c r="AW182" s="2917"/>
      <c r="AX182" s="2918"/>
      <c r="AY182" s="2918"/>
      <c r="AZ182" s="2918"/>
      <c r="BA182" s="2689"/>
      <c r="BB182" s="2689"/>
      <c r="BC182" s="2689"/>
      <c r="BD182" s="2689"/>
      <c r="BE182" s="2689"/>
      <c r="BF182" s="2689"/>
      <c r="BG182" s="2689"/>
      <c r="BH182" s="2689"/>
      <c r="BI182" s="2689"/>
      <c r="BJ182" s="2689"/>
      <c r="BK182" s="2689"/>
      <c r="BL182" s="2689"/>
      <c r="BM182" s="2689"/>
      <c r="BN182" s="2689"/>
      <c r="BO182" s="2689"/>
      <c r="BP182" s="2689"/>
      <c r="BQ182" s="2689"/>
      <c r="BR182" s="2689"/>
      <c r="BS182" s="2689"/>
      <c r="BT182" s="2689"/>
      <c r="BU182" s="2689"/>
      <c r="BV182" s="2689"/>
      <c r="BW182" s="2689"/>
      <c r="BX182" s="2689"/>
      <c r="BY182" s="2689"/>
      <c r="BZ182" s="2689"/>
      <c r="CA182" s="2689"/>
      <c r="CB182" s="2689"/>
      <c r="CC182" s="2689"/>
      <c r="CD182" s="2689"/>
      <c r="CE182" s="2689"/>
      <c r="CF182" s="2689"/>
      <c r="CG182" s="2689"/>
      <c r="CH182" s="2689"/>
      <c r="CI182" s="2689"/>
      <c r="CJ182" s="2689"/>
      <c r="CK182" s="2689"/>
      <c r="CL182" s="2689"/>
      <c r="CM182" s="2689"/>
      <c r="CN182" s="2689"/>
      <c r="CO182" s="2689"/>
      <c r="CP182" s="2689"/>
      <c r="CQ182" s="2689"/>
      <c r="CR182" s="2689"/>
      <c r="CS182" s="2689"/>
      <c r="CT182" s="2689"/>
      <c r="CU182" s="2689"/>
      <c r="CV182" s="2689"/>
      <c r="CW182" s="2689"/>
      <c r="CX182" s="2689"/>
      <c r="CY182" s="2689"/>
      <c r="CZ182" s="2689"/>
    </row>
    <row r="183" spans="1:104" s="2919" customFormat="1" outlineLevel="1">
      <c r="A183" s="2969" t="s">
        <v>240</v>
      </c>
      <c r="B183" s="2684"/>
      <c r="C183" s="2685"/>
      <c r="D183" s="2685"/>
      <c r="E183" s="2685"/>
      <c r="F183" s="2685"/>
      <c r="G183" s="2685"/>
      <c r="H183" s="2690">
        <v>50</v>
      </c>
      <c r="I183" s="2691">
        <f>64+13+3+2</f>
        <v>82</v>
      </c>
      <c r="J183" s="2691">
        <v>64</v>
      </c>
      <c r="K183" s="2914">
        <f t="shared" ref="K183:N184" si="851">J183</f>
        <v>64</v>
      </c>
      <c r="L183" s="2915">
        <f t="shared" si="851"/>
        <v>64</v>
      </c>
      <c r="M183" s="2915">
        <f t="shared" si="851"/>
        <v>64</v>
      </c>
      <c r="N183" s="2915">
        <f t="shared" si="851"/>
        <v>64</v>
      </c>
      <c r="O183" s="2915">
        <f t="shared" ref="O183:O184" si="852">N183</f>
        <v>64</v>
      </c>
      <c r="P183" s="2915">
        <f t="shared" ref="P183:P184" si="853">O183</f>
        <v>64</v>
      </c>
      <c r="Q183" s="2915">
        <f t="shared" ref="Q183:Q184" si="854">P183</f>
        <v>64</v>
      </c>
      <c r="R183" s="2915"/>
      <c r="S183" s="2915"/>
      <c r="T183" s="2562">
        <v>180</v>
      </c>
      <c r="U183" s="2562"/>
      <c r="V183" s="2562"/>
      <c r="W183" s="2562"/>
      <c r="X183" s="2562"/>
      <c r="Y183" s="2562"/>
      <c r="Z183" s="2562"/>
      <c r="AA183" s="2562"/>
      <c r="AB183" s="2562"/>
      <c r="AC183" s="2562"/>
      <c r="AD183" s="2562"/>
      <c r="AE183" s="2562"/>
      <c r="AF183" s="2562"/>
      <c r="AG183" s="2562"/>
      <c r="AH183" s="2562"/>
      <c r="AI183" s="2562"/>
      <c r="AJ183" s="2562"/>
      <c r="AK183" s="2562"/>
      <c r="AL183" s="2562"/>
      <c r="AM183" s="2562"/>
      <c r="AN183" s="2938">
        <f>FS!M104-SUM(Rev_Year!AK181:AM181)</f>
        <v>597.23368540570664</v>
      </c>
      <c r="AO183" s="2916"/>
      <c r="AP183" s="2562"/>
      <c r="AQ183" s="2562"/>
      <c r="AR183" s="2562"/>
      <c r="AS183" s="2916"/>
      <c r="AT183" s="2562"/>
      <c r="AU183" s="2562"/>
      <c r="AV183" s="2562"/>
      <c r="AW183" s="2917"/>
      <c r="AX183" s="2918"/>
      <c r="AY183" s="2918"/>
      <c r="AZ183" s="2918"/>
      <c r="BA183" s="2689"/>
      <c r="BB183" s="2689"/>
      <c r="BC183" s="2689"/>
      <c r="BD183" s="2689"/>
      <c r="BE183" s="2689"/>
      <c r="BF183" s="2689"/>
      <c r="BG183" s="2689"/>
      <c r="BH183" s="2689"/>
      <c r="BI183" s="2689"/>
      <c r="BJ183" s="2689"/>
      <c r="BK183" s="2689"/>
      <c r="BL183" s="2689"/>
      <c r="BM183" s="2689"/>
      <c r="BN183" s="2689"/>
      <c r="BO183" s="2689"/>
      <c r="BP183" s="2689"/>
      <c r="BQ183" s="2689"/>
      <c r="BR183" s="2689"/>
      <c r="BS183" s="2689"/>
      <c r="BT183" s="2689"/>
      <c r="BU183" s="2689"/>
      <c r="BV183" s="2689"/>
      <c r="BW183" s="2689"/>
      <c r="BX183" s="2689"/>
      <c r="BY183" s="2689"/>
      <c r="BZ183" s="2689"/>
      <c r="CA183" s="2689"/>
      <c r="CB183" s="2689"/>
      <c r="CC183" s="2689"/>
      <c r="CD183" s="2689"/>
      <c r="CE183" s="2689"/>
      <c r="CF183" s="2689"/>
      <c r="CG183" s="2689"/>
      <c r="CH183" s="2689"/>
      <c r="CI183" s="2689"/>
      <c r="CJ183" s="2689"/>
      <c r="CK183" s="2689"/>
      <c r="CL183" s="2689"/>
      <c r="CM183" s="2689"/>
      <c r="CN183" s="2689"/>
      <c r="CO183" s="2689"/>
      <c r="CP183" s="2689"/>
      <c r="CQ183" s="2689"/>
      <c r="CR183" s="2689"/>
      <c r="CS183" s="2689"/>
      <c r="CT183" s="2689"/>
      <c r="CU183" s="2689"/>
      <c r="CV183" s="2689"/>
      <c r="CW183" s="2689"/>
      <c r="CX183" s="2689"/>
      <c r="CY183" s="2689"/>
      <c r="CZ183" s="2689"/>
    </row>
    <row r="184" spans="1:104" s="2919" customFormat="1" outlineLevel="1">
      <c r="A184" s="2969" t="s">
        <v>241</v>
      </c>
      <c r="B184" s="2684"/>
      <c r="C184" s="2685"/>
      <c r="D184" s="2685"/>
      <c r="E184" s="2685"/>
      <c r="F184" s="2685"/>
      <c r="G184" s="2685"/>
      <c r="H184" s="2913">
        <f>H182/H183/12</f>
        <v>0.8198968386233173</v>
      </c>
      <c r="I184" s="2691">
        <f>I182/I183/12</f>
        <v>1.1870934959349593</v>
      </c>
      <c r="J184" s="2691">
        <f>J182/J183/12</f>
        <v>1.2936904795533</v>
      </c>
      <c r="K184" s="2691">
        <f>K182/K183/12</f>
        <v>1.6159780298406961</v>
      </c>
      <c r="L184" s="2915">
        <f>K184*1.15</f>
        <v>1.8583747343168002</v>
      </c>
      <c r="M184" s="2915">
        <f t="shared" si="851"/>
        <v>1.8583747343168002</v>
      </c>
      <c r="N184" s="2915">
        <f t="shared" si="851"/>
        <v>1.8583747343168002</v>
      </c>
      <c r="O184" s="2915">
        <f t="shared" si="852"/>
        <v>1.8583747343168002</v>
      </c>
      <c r="P184" s="2915">
        <f t="shared" si="853"/>
        <v>1.8583747343168002</v>
      </c>
      <c r="Q184" s="2915">
        <f t="shared" si="854"/>
        <v>1.8583747343168002</v>
      </c>
      <c r="R184" s="2915"/>
      <c r="S184" s="2915"/>
      <c r="T184" s="2562">
        <v>181</v>
      </c>
      <c r="U184" s="2562"/>
      <c r="V184" s="2562"/>
      <c r="W184" s="2562"/>
      <c r="X184" s="2562"/>
      <c r="Y184" s="2562"/>
      <c r="Z184" s="2562"/>
      <c r="AA184" s="2562"/>
      <c r="AB184" s="2562"/>
      <c r="AC184" s="2562"/>
      <c r="AD184" s="2562"/>
      <c r="AE184" s="2562"/>
      <c r="AF184" s="2562"/>
      <c r="AG184" s="2562"/>
      <c r="AH184" s="2562"/>
      <c r="AI184" s="2562"/>
      <c r="AJ184" s="2562"/>
      <c r="AK184" s="2562"/>
      <c r="AL184" s="2562"/>
      <c r="AM184" s="2562"/>
      <c r="AN184" s="2562"/>
      <c r="AO184" s="2916"/>
      <c r="AP184" s="2562"/>
      <c r="AQ184" s="2562"/>
      <c r="AR184" s="2562"/>
      <c r="AS184" s="2916"/>
      <c r="AT184" s="2562"/>
      <c r="AU184" s="2562"/>
      <c r="AV184" s="2562"/>
      <c r="AW184" s="2917"/>
      <c r="AX184" s="2918"/>
      <c r="AY184" s="2918"/>
      <c r="AZ184" s="2918"/>
      <c r="BA184" s="2689"/>
      <c r="BB184" s="2689"/>
      <c r="BC184" s="2689"/>
      <c r="BD184" s="2689"/>
      <c r="BE184" s="2689"/>
      <c r="BF184" s="2689"/>
      <c r="BG184" s="2689"/>
      <c r="BH184" s="2689"/>
      <c r="BI184" s="2689"/>
      <c r="BJ184" s="2689"/>
      <c r="BK184" s="2689"/>
      <c r="BL184" s="2689"/>
      <c r="BM184" s="2689"/>
      <c r="BN184" s="2689"/>
      <c r="BO184" s="2689"/>
      <c r="BP184" s="2689"/>
      <c r="BQ184" s="2689"/>
      <c r="BR184" s="2689"/>
      <c r="BS184" s="2689"/>
      <c r="BT184" s="2689"/>
      <c r="BU184" s="2689"/>
      <c r="BV184" s="2689"/>
      <c r="BW184" s="2689"/>
      <c r="BX184" s="2689"/>
      <c r="BY184" s="2689"/>
      <c r="BZ184" s="2689"/>
      <c r="CA184" s="2689"/>
      <c r="CB184" s="2689"/>
      <c r="CC184" s="2689"/>
      <c r="CD184" s="2689"/>
      <c r="CE184" s="2689"/>
      <c r="CF184" s="2689"/>
      <c r="CG184" s="2689"/>
      <c r="CH184" s="2689"/>
      <c r="CI184" s="2689"/>
      <c r="CJ184" s="2689"/>
      <c r="CK184" s="2689"/>
      <c r="CL184" s="2689"/>
      <c r="CM184" s="2689"/>
      <c r="CN184" s="2689"/>
      <c r="CO184" s="2689"/>
      <c r="CP184" s="2689"/>
      <c r="CQ184" s="2689"/>
      <c r="CR184" s="2689"/>
      <c r="CS184" s="2689"/>
      <c r="CT184" s="2689"/>
      <c r="CU184" s="2689"/>
      <c r="CV184" s="2689"/>
      <c r="CW184" s="2689"/>
      <c r="CX184" s="2689"/>
      <c r="CY184" s="2689"/>
      <c r="CZ184" s="2689"/>
    </row>
    <row r="185" spans="1:104" s="2919" customFormat="1" outlineLevel="1">
      <c r="A185" s="2912" t="s">
        <v>242</v>
      </c>
      <c r="B185" s="2684"/>
      <c r="C185" s="2685"/>
      <c r="D185" s="2685"/>
      <c r="E185" s="2691">
        <f t="shared" ref="E185:M185" si="855">E186*E182</f>
        <v>0</v>
      </c>
      <c r="F185" s="2691">
        <f t="shared" si="855"/>
        <v>0</v>
      </c>
      <c r="G185" s="2691">
        <f t="shared" si="855"/>
        <v>0</v>
      </c>
      <c r="H185" s="2691">
        <f t="shared" si="855"/>
        <v>68.871334444358666</v>
      </c>
      <c r="I185" s="2691">
        <f t="shared" si="855"/>
        <v>151.85299999999998</v>
      </c>
      <c r="J185" s="2691">
        <f t="shared" si="855"/>
        <v>149.03314324454016</v>
      </c>
      <c r="K185" s="2914">
        <f>590.1489-K171</f>
        <v>160.64369999999997</v>
      </c>
      <c r="L185" s="2915">
        <f>L186*L182</f>
        <v>199.81245143374235</v>
      </c>
      <c r="M185" s="2970">
        <f t="shared" si="855"/>
        <v>214.0847693932954</v>
      </c>
      <c r="N185" s="2970">
        <f t="shared" ref="N185" si="856">N186*N182</f>
        <v>228.35708735284842</v>
      </c>
      <c r="O185" s="2970">
        <f t="shared" ref="O185:Q185" si="857">O186*O182</f>
        <v>242.62940531240147</v>
      </c>
      <c r="P185" s="2970">
        <f t="shared" si="857"/>
        <v>256.90172327195449</v>
      </c>
      <c r="Q185" s="2970">
        <f t="shared" si="857"/>
        <v>271.17404123150754</v>
      </c>
      <c r="R185" s="2915"/>
      <c r="S185" s="2915"/>
      <c r="T185" s="2562">
        <v>182</v>
      </c>
      <c r="U185" s="2562"/>
      <c r="V185" s="2562"/>
      <c r="W185" s="2562"/>
      <c r="X185" s="2562"/>
      <c r="Y185" s="2562"/>
      <c r="Z185" s="2562"/>
      <c r="AA185" s="2562"/>
      <c r="AB185" s="2562"/>
      <c r="AC185" s="2562"/>
      <c r="AD185" s="2562"/>
      <c r="AE185" s="2562"/>
      <c r="AF185" s="2562"/>
      <c r="AG185" s="2562"/>
      <c r="AH185" s="2562"/>
      <c r="AI185" s="2562"/>
      <c r="AJ185" s="2562"/>
      <c r="AK185" s="2562"/>
      <c r="AL185" s="2562"/>
      <c r="AM185" s="2562"/>
      <c r="AN185" s="2562"/>
      <c r="AO185" s="2916"/>
      <c r="AP185" s="2562"/>
      <c r="AQ185" s="2562"/>
      <c r="AR185" s="2562"/>
      <c r="AS185" s="2916"/>
      <c r="AT185" s="2562"/>
      <c r="AU185" s="2562"/>
      <c r="AV185" s="2562"/>
      <c r="AW185" s="2917"/>
      <c r="AX185" s="2918"/>
      <c r="AY185" s="2918"/>
      <c r="AZ185" s="2918"/>
      <c r="BA185" s="2689"/>
      <c r="BB185" s="2689"/>
      <c r="BC185" s="2689"/>
      <c r="BD185" s="2689"/>
      <c r="BE185" s="2689"/>
      <c r="BF185" s="2689"/>
      <c r="BG185" s="2689"/>
      <c r="BH185" s="2689"/>
      <c r="BI185" s="2689"/>
      <c r="BJ185" s="2689"/>
      <c r="BK185" s="2689"/>
      <c r="BL185" s="2689"/>
      <c r="BM185" s="2689"/>
      <c r="BN185" s="2689"/>
      <c r="BO185" s="2689"/>
      <c r="BP185" s="2689"/>
      <c r="BQ185" s="2689"/>
      <c r="BR185" s="2689"/>
      <c r="BS185" s="2689"/>
      <c r="BT185" s="2689"/>
      <c r="BU185" s="2689"/>
      <c r="BV185" s="2689"/>
      <c r="BW185" s="2689"/>
      <c r="BX185" s="2689"/>
      <c r="BY185" s="2689"/>
      <c r="BZ185" s="2689"/>
      <c r="CA185" s="2689"/>
      <c r="CB185" s="2689"/>
      <c r="CC185" s="2689"/>
      <c r="CD185" s="2689"/>
      <c r="CE185" s="2689"/>
      <c r="CF185" s="2689"/>
      <c r="CG185" s="2689"/>
      <c r="CH185" s="2689"/>
      <c r="CI185" s="2689"/>
      <c r="CJ185" s="2689"/>
      <c r="CK185" s="2689"/>
      <c r="CL185" s="2689"/>
      <c r="CM185" s="2689"/>
      <c r="CN185" s="2689"/>
      <c r="CO185" s="2689"/>
      <c r="CP185" s="2689"/>
      <c r="CQ185" s="2689"/>
      <c r="CR185" s="2689"/>
      <c r="CS185" s="2689"/>
      <c r="CT185" s="2689"/>
      <c r="CU185" s="2689"/>
      <c r="CV185" s="2689"/>
      <c r="CW185" s="2689"/>
      <c r="CX185" s="2689"/>
      <c r="CY185" s="2689"/>
      <c r="CZ185" s="2689"/>
    </row>
    <row r="186" spans="1:104" s="2919" customFormat="1" outlineLevel="1">
      <c r="A186" s="2912" t="s">
        <v>243</v>
      </c>
      <c r="B186" s="2684"/>
      <c r="C186" s="2685"/>
      <c r="D186" s="2685"/>
      <c r="E186" s="2937">
        <v>-2.86</v>
      </c>
      <c r="F186" s="2937">
        <v>-1.86</v>
      </c>
      <c r="G186" s="2937">
        <v>-0.86</v>
      </c>
      <c r="H186" s="2937">
        <v>0.14000000000000001</v>
      </c>
      <c r="I186" s="2686">
        <f>H186-1%</f>
        <v>0.13</v>
      </c>
      <c r="J186" s="2686">
        <f>I186+2%</f>
        <v>0.15</v>
      </c>
      <c r="K186" s="2687">
        <f>K185/K182</f>
        <v>0.12943955951902403</v>
      </c>
      <c r="L186" s="2971">
        <v>0.14000000000000001</v>
      </c>
      <c r="M186" s="2971">
        <f>L186+1%</f>
        <v>0.15000000000000002</v>
      </c>
      <c r="N186" s="2971">
        <f>M186+1%</f>
        <v>0.16000000000000003</v>
      </c>
      <c r="O186" s="2971">
        <f t="shared" ref="O186:Q186" si="858">N186+1%</f>
        <v>0.17000000000000004</v>
      </c>
      <c r="P186" s="2971">
        <f t="shared" si="858"/>
        <v>0.18000000000000005</v>
      </c>
      <c r="Q186" s="2971">
        <f t="shared" si="858"/>
        <v>0.19000000000000006</v>
      </c>
      <c r="R186" s="2915"/>
      <c r="S186" s="2915"/>
      <c r="T186" s="2562">
        <v>183</v>
      </c>
      <c r="U186" s="2562"/>
      <c r="V186" s="2562"/>
      <c r="W186" s="2562"/>
      <c r="X186" s="2562"/>
      <c r="Y186" s="2562"/>
      <c r="Z186" s="2562"/>
      <c r="AA186" s="2562"/>
      <c r="AB186" s="2562"/>
      <c r="AC186" s="2562"/>
      <c r="AD186" s="2562"/>
      <c r="AE186" s="2562"/>
      <c r="AF186" s="2562"/>
      <c r="AG186" s="2562"/>
      <c r="AH186" s="2562"/>
      <c r="AI186" s="2562"/>
      <c r="AJ186" s="2562"/>
      <c r="AK186" s="2562"/>
      <c r="AL186" s="2562"/>
      <c r="AM186" s="2562"/>
      <c r="AN186" s="2562"/>
      <c r="AO186" s="2916"/>
      <c r="AP186" s="2562"/>
      <c r="AQ186" s="2562"/>
      <c r="AR186" s="2562"/>
      <c r="AS186" s="2916"/>
      <c r="AT186" s="2562"/>
      <c r="AU186" s="2562"/>
      <c r="AV186" s="2562"/>
      <c r="AW186" s="2917"/>
      <c r="AX186" s="2918"/>
      <c r="AY186" s="2918"/>
      <c r="AZ186" s="2918"/>
      <c r="BA186" s="2689"/>
      <c r="BB186" s="2689"/>
      <c r="BC186" s="2689"/>
      <c r="BD186" s="2689"/>
      <c r="BE186" s="2689"/>
      <c r="BF186" s="2689"/>
      <c r="BG186" s="2689"/>
      <c r="BH186" s="2689"/>
      <c r="BI186" s="2689"/>
      <c r="BJ186" s="2689"/>
      <c r="BK186" s="2689"/>
      <c r="BL186" s="2689"/>
      <c r="BM186" s="2689"/>
      <c r="BN186" s="2689"/>
      <c r="BO186" s="2689"/>
      <c r="BP186" s="2689"/>
      <c r="BQ186" s="2689"/>
      <c r="BR186" s="2689"/>
      <c r="BS186" s="2689"/>
      <c r="BT186" s="2689"/>
      <c r="BU186" s="2689"/>
      <c r="BV186" s="2689"/>
      <c r="BW186" s="2689"/>
      <c r="BX186" s="2689"/>
      <c r="BY186" s="2689"/>
      <c r="BZ186" s="2689"/>
      <c r="CA186" s="2689"/>
      <c r="CB186" s="2689"/>
      <c r="CC186" s="2689"/>
      <c r="CD186" s="2689"/>
      <c r="CE186" s="2689"/>
      <c r="CF186" s="2689"/>
      <c r="CG186" s="2689"/>
      <c r="CH186" s="2689"/>
      <c r="CI186" s="2689"/>
      <c r="CJ186" s="2689"/>
      <c r="CK186" s="2689"/>
      <c r="CL186" s="2689"/>
      <c r="CM186" s="2689"/>
      <c r="CN186" s="2689"/>
      <c r="CO186" s="2689"/>
      <c r="CP186" s="2689"/>
      <c r="CQ186" s="2689"/>
      <c r="CR186" s="2689"/>
      <c r="CS186" s="2689"/>
      <c r="CT186" s="2689"/>
      <c r="CU186" s="2689"/>
      <c r="CV186" s="2689"/>
      <c r="CW186" s="2689"/>
      <c r="CX186" s="2689"/>
      <c r="CY186" s="2689"/>
      <c r="CZ186" s="2689"/>
    </row>
    <row r="187" spans="1:104" s="2919" customFormat="1" outlineLevel="1">
      <c r="A187" s="2912" t="s">
        <v>182</v>
      </c>
      <c r="B187" s="2684"/>
      <c r="C187" s="2685"/>
      <c r="D187" s="2685"/>
      <c r="E187" s="2691">
        <f t="shared" ref="E187:I187" si="859">E189-E185</f>
        <v>-55.673185000000004</v>
      </c>
      <c r="F187" s="2691">
        <f t="shared" si="859"/>
        <v>-3.438155589</v>
      </c>
      <c r="G187" s="2691">
        <f t="shared" si="859"/>
        <v>-65.469353909000006</v>
      </c>
      <c r="H187" s="2691">
        <f t="shared" si="859"/>
        <v>-256.21168835335868</v>
      </c>
      <c r="I187" s="2691">
        <f t="shared" si="859"/>
        <v>-482.47914500000002</v>
      </c>
      <c r="J187" s="2691">
        <f ca="1">J189-J185</f>
        <v>-818.83670901954099</v>
      </c>
      <c r="K187" s="2914">
        <f>-(K185-K189)</f>
        <v>-520.89863085337504</v>
      </c>
      <c r="L187" s="2915">
        <f>L188*L182</f>
        <v>-570.89271838212096</v>
      </c>
      <c r="M187" s="2915">
        <f>M188*M182</f>
        <v>-549.48424144279147</v>
      </c>
      <c r="N187" s="2915">
        <f>N188*N182</f>
        <v>-528.07576450346187</v>
      </c>
      <c r="O187" s="2915">
        <f t="shared" ref="O187:Q187" si="860">O188*O182</f>
        <v>-506.66728756413232</v>
      </c>
      <c r="P187" s="2915">
        <f t="shared" si="860"/>
        <v>-485.25881062480278</v>
      </c>
      <c r="Q187" s="2915">
        <f t="shared" si="860"/>
        <v>-463.85033368547323</v>
      </c>
      <c r="R187" s="2915"/>
      <c r="S187" s="2915"/>
      <c r="T187" s="2562">
        <v>184</v>
      </c>
      <c r="U187" s="2562"/>
      <c r="V187" s="2562"/>
      <c r="W187" s="2562"/>
      <c r="X187" s="2562"/>
      <c r="Y187" s="2562"/>
      <c r="Z187" s="2562"/>
      <c r="AA187" s="2562"/>
      <c r="AB187" s="2562"/>
      <c r="AC187" s="2562"/>
      <c r="AD187" s="2562"/>
      <c r="AE187" s="2562"/>
      <c r="AF187" s="2562"/>
      <c r="AG187" s="2562"/>
      <c r="AH187" s="2562"/>
      <c r="AI187" s="2562"/>
      <c r="AJ187" s="2562"/>
      <c r="AK187" s="2562"/>
      <c r="AL187" s="2562"/>
      <c r="AM187" s="2562"/>
      <c r="AN187" s="2562"/>
      <c r="AO187" s="2916"/>
      <c r="AP187" s="2562"/>
      <c r="AQ187" s="2562"/>
      <c r="AR187" s="2562"/>
      <c r="AS187" s="2916"/>
      <c r="AT187" s="2562"/>
      <c r="AU187" s="2562"/>
      <c r="AV187" s="2562"/>
      <c r="AW187" s="2917"/>
      <c r="AX187" s="2918"/>
      <c r="AY187" s="2918"/>
      <c r="AZ187" s="2918"/>
      <c r="BA187" s="2689"/>
      <c r="BB187" s="2689"/>
      <c r="BC187" s="2689"/>
      <c r="BD187" s="2689"/>
      <c r="BE187" s="2689"/>
      <c r="BF187" s="2689"/>
      <c r="BG187" s="2689"/>
      <c r="BH187" s="2689"/>
      <c r="BI187" s="2689"/>
      <c r="BJ187" s="2689"/>
      <c r="BK187" s="2689"/>
      <c r="BL187" s="2689"/>
      <c r="BM187" s="2689"/>
      <c r="BN187" s="2689"/>
      <c r="BO187" s="2689"/>
      <c r="BP187" s="2689"/>
      <c r="BQ187" s="2689"/>
      <c r="BR187" s="2689"/>
      <c r="BS187" s="2689"/>
      <c r="BT187" s="2689"/>
      <c r="BU187" s="2689"/>
      <c r="BV187" s="2689"/>
      <c r="BW187" s="2689"/>
      <c r="BX187" s="2689"/>
      <c r="BY187" s="2689"/>
      <c r="BZ187" s="2689"/>
      <c r="CA187" s="2689"/>
      <c r="CB187" s="2689"/>
      <c r="CC187" s="2689"/>
      <c r="CD187" s="2689"/>
      <c r="CE187" s="2689"/>
      <c r="CF187" s="2689"/>
      <c r="CG187" s="2689"/>
      <c r="CH187" s="2689"/>
      <c r="CI187" s="2689"/>
      <c r="CJ187" s="2689"/>
      <c r="CK187" s="2689"/>
      <c r="CL187" s="2689"/>
      <c r="CM187" s="2689"/>
      <c r="CN187" s="2689"/>
      <c r="CO187" s="2689"/>
      <c r="CP187" s="2689"/>
      <c r="CQ187" s="2689"/>
      <c r="CR187" s="2689"/>
      <c r="CS187" s="2689"/>
      <c r="CT187" s="2689"/>
      <c r="CU187" s="2689"/>
      <c r="CV187" s="2689"/>
      <c r="CW187" s="2689"/>
      <c r="CX187" s="2689"/>
      <c r="CY187" s="2689"/>
      <c r="CZ187" s="2689"/>
    </row>
    <row r="188" spans="1:104" outlineLevel="1">
      <c r="A188" s="2911" t="s">
        <v>244</v>
      </c>
      <c r="B188" s="2240"/>
      <c r="C188" s="2256"/>
      <c r="D188" s="2256"/>
      <c r="E188" s="2292" t="e">
        <f>E187/E182</f>
        <v>#DIV/0!</v>
      </c>
      <c r="F188" s="2292" t="e">
        <f>F187/F182</f>
        <v>#DIV/0!</v>
      </c>
      <c r="G188" s="2292" t="e">
        <f>G187/G182</f>
        <v>#DIV/0!</v>
      </c>
      <c r="H188" s="2292">
        <f>H187/H182</f>
        <v>-0.52082098682797262</v>
      </c>
      <c r="I188" s="2207">
        <f>H188</f>
        <v>-0.52082098682797262</v>
      </c>
      <c r="J188" s="2207">
        <f ca="1">J187/J182</f>
        <v>-0.82414893545789103</v>
      </c>
      <c r="K188" s="2208">
        <f>K187/K182</f>
        <v>-0.41971698443028627</v>
      </c>
      <c r="L188" s="2972">
        <v>-0.4</v>
      </c>
      <c r="M188" s="2972">
        <f>L188+1.5%</f>
        <v>-0.38500000000000001</v>
      </c>
      <c r="N188" s="2972">
        <f>M188+1.5%</f>
        <v>-0.37</v>
      </c>
      <c r="O188" s="2972">
        <f t="shared" ref="O188:Q188" si="861">N188+1.5%</f>
        <v>-0.35499999999999998</v>
      </c>
      <c r="P188" s="2972">
        <f t="shared" si="861"/>
        <v>-0.33999999999999997</v>
      </c>
      <c r="Q188" s="2972">
        <f t="shared" si="861"/>
        <v>-0.32499999999999996</v>
      </c>
      <c r="R188" s="2179"/>
      <c r="S188" s="2179"/>
      <c r="T188" s="2175">
        <v>185</v>
      </c>
      <c r="U188" s="2175"/>
      <c r="V188" s="2175"/>
      <c r="W188" s="2175"/>
      <c r="X188" s="2175"/>
      <c r="Y188" s="2175"/>
      <c r="Z188" s="2175"/>
      <c r="AA188" s="2175"/>
      <c r="AB188" s="2175"/>
      <c r="AC188" s="2175"/>
      <c r="AD188" s="2175"/>
      <c r="AE188" s="2175"/>
      <c r="AF188" s="2175"/>
      <c r="AG188" s="2175"/>
      <c r="AH188" s="2175"/>
      <c r="AI188" s="2175"/>
      <c r="AJ188" s="2175"/>
      <c r="AK188" s="2175"/>
      <c r="AL188" s="2175"/>
      <c r="AM188" s="2175"/>
      <c r="AN188" s="2175"/>
      <c r="AO188" s="2375"/>
      <c r="AP188" s="2175"/>
      <c r="AQ188" s="2175"/>
      <c r="AR188" s="2175"/>
      <c r="AS188" s="2375"/>
      <c r="AT188" s="2175"/>
      <c r="AU188" s="2175"/>
      <c r="AV188" s="2175"/>
      <c r="AW188" s="2376"/>
      <c r="AX188" s="2177"/>
      <c r="AY188" s="2177"/>
      <c r="AZ188" s="2177"/>
      <c r="BA188" s="2174"/>
      <c r="BB188" s="2174"/>
      <c r="BC188" s="2174"/>
      <c r="BD188" s="2174"/>
      <c r="BE188" s="2174"/>
      <c r="BF188" s="2174"/>
      <c r="BG188" s="2174"/>
      <c r="BH188" s="2174"/>
      <c r="BI188" s="2174"/>
      <c r="BJ188" s="2174"/>
      <c r="BK188" s="2174"/>
      <c r="BL188" s="2174"/>
      <c r="BM188" s="2174"/>
      <c r="BN188" s="2174"/>
      <c r="BO188" s="2174"/>
      <c r="BP188" s="2174"/>
      <c r="BQ188" s="2174"/>
      <c r="BR188" s="2174"/>
      <c r="BS188" s="2174"/>
      <c r="BT188" s="2174"/>
      <c r="BU188" s="2174"/>
      <c r="BV188" s="2174"/>
      <c r="BW188" s="2174"/>
      <c r="BX188" s="2174"/>
      <c r="BY188" s="2174"/>
      <c r="BZ188" s="2174"/>
      <c r="CA188" s="2174"/>
      <c r="CB188" s="2174"/>
      <c r="CC188" s="2174"/>
      <c r="CD188" s="2174"/>
      <c r="CE188" s="2174"/>
      <c r="CF188" s="2174"/>
      <c r="CG188" s="2174"/>
      <c r="CH188" s="2174"/>
      <c r="CI188" s="2174"/>
      <c r="CJ188" s="2174"/>
      <c r="CK188" s="2174"/>
      <c r="CL188" s="2174"/>
      <c r="CM188" s="2174"/>
      <c r="CN188" s="2174"/>
      <c r="CO188" s="2174"/>
      <c r="CP188" s="2174"/>
      <c r="CQ188" s="2174"/>
      <c r="CR188" s="2174"/>
      <c r="CS188" s="2174"/>
      <c r="CT188" s="2174"/>
      <c r="CU188" s="2174"/>
      <c r="CV188" s="2174"/>
      <c r="CW188" s="2174"/>
      <c r="CX188" s="2174"/>
      <c r="CY188" s="2174"/>
      <c r="CZ188" s="2174"/>
    </row>
    <row r="189" spans="1:104" s="2981" customFormat="1" outlineLevel="1">
      <c r="A189" s="2973" t="s">
        <v>201</v>
      </c>
      <c r="B189" s="2974"/>
      <c r="C189" s="2975"/>
      <c r="D189" s="2975"/>
      <c r="E189" s="2504">
        <f>-8.753185-46.92</f>
        <v>-55.673185000000004</v>
      </c>
      <c r="F189" s="2504">
        <v>-3.438155589</v>
      </c>
      <c r="G189" s="2504">
        <v>-65.469353909000006</v>
      </c>
      <c r="H189" s="2504">
        <v>-187.34035390899999</v>
      </c>
      <c r="I189" s="2504">
        <v>-330.62614500000001</v>
      </c>
      <c r="J189" s="2504">
        <f ca="1">-399.822105035/0.2-J177-J128</f>
        <v>-669.80356577500083</v>
      </c>
      <c r="K189" s="2505">
        <f>SUM(AS53:AV53)+107</f>
        <v>-360.25493085337507</v>
      </c>
      <c r="L189" s="2976">
        <f>L187+L185</f>
        <v>-371.08026694837861</v>
      </c>
      <c r="M189" s="2976">
        <f>M187+M185</f>
        <v>-335.39947204949607</v>
      </c>
      <c r="N189" s="2976">
        <f>N187+N185</f>
        <v>-299.71867715061342</v>
      </c>
      <c r="O189" s="2976">
        <f t="shared" ref="O189:Q189" si="862">O187+O185</f>
        <v>-264.03788225173082</v>
      </c>
      <c r="P189" s="2976">
        <f t="shared" si="862"/>
        <v>-228.35708735284828</v>
      </c>
      <c r="Q189" s="2976">
        <f t="shared" si="862"/>
        <v>-192.67629245396569</v>
      </c>
      <c r="R189" s="2976"/>
      <c r="S189" s="2976"/>
      <c r="T189" s="2175">
        <v>186</v>
      </c>
      <c r="U189" s="2976"/>
      <c r="V189" s="2976"/>
      <c r="W189" s="2976"/>
      <c r="X189" s="2976"/>
      <c r="Y189" s="2976"/>
      <c r="Z189" s="2976"/>
      <c r="AA189" s="2976"/>
      <c r="AB189" s="2976"/>
      <c r="AC189" s="2976"/>
      <c r="AD189" s="2976"/>
      <c r="AE189" s="2976"/>
      <c r="AF189" s="2976"/>
      <c r="AG189" s="2976"/>
      <c r="AH189" s="2976"/>
      <c r="AI189" s="2976"/>
      <c r="AJ189" s="2976"/>
      <c r="AK189" s="2976"/>
      <c r="AL189" s="2976"/>
      <c r="AM189" s="2976"/>
      <c r="AN189" s="2976"/>
      <c r="AO189" s="2977"/>
      <c r="AP189" s="2978"/>
      <c r="AQ189" s="2978"/>
      <c r="AR189" s="2978"/>
      <c r="AS189" s="2977"/>
      <c r="AT189" s="2976"/>
      <c r="AU189" s="2976"/>
      <c r="AV189" s="2976"/>
      <c r="AW189" s="2979"/>
      <c r="AX189" s="2980"/>
      <c r="AY189" s="2980"/>
      <c r="AZ189" s="2980"/>
      <c r="BA189" s="2973"/>
      <c r="BB189" s="2973"/>
      <c r="BC189" s="2973"/>
      <c r="BD189" s="2973"/>
      <c r="BE189" s="2973"/>
      <c r="BF189" s="2973"/>
      <c r="BG189" s="2973"/>
      <c r="BH189" s="2973"/>
      <c r="BI189" s="2973"/>
      <c r="BJ189" s="2973"/>
      <c r="BK189" s="2973"/>
      <c r="BL189" s="2973"/>
      <c r="BM189" s="2973"/>
      <c r="BN189" s="2973"/>
      <c r="BO189" s="2973"/>
      <c r="BP189" s="2973"/>
      <c r="BQ189" s="2973"/>
      <c r="BR189" s="2973"/>
      <c r="BS189" s="2973"/>
      <c r="BT189" s="2973"/>
      <c r="BU189" s="2973"/>
      <c r="BV189" s="2973"/>
      <c r="BW189" s="2973"/>
      <c r="BX189" s="2973"/>
      <c r="BY189" s="2973"/>
      <c r="BZ189" s="2973"/>
      <c r="CA189" s="2973"/>
      <c r="CB189" s="2973"/>
      <c r="CC189" s="2973"/>
      <c r="CD189" s="2973"/>
      <c r="CE189" s="2973"/>
      <c r="CF189" s="2973"/>
      <c r="CG189" s="2973"/>
      <c r="CH189" s="2973"/>
      <c r="CI189" s="2973"/>
      <c r="CJ189" s="2973"/>
      <c r="CK189" s="2973"/>
      <c r="CL189" s="2973"/>
      <c r="CM189" s="2973"/>
      <c r="CN189" s="2973"/>
      <c r="CO189" s="2973"/>
      <c r="CP189" s="2973"/>
      <c r="CQ189" s="2973"/>
      <c r="CR189" s="2973"/>
      <c r="CS189" s="2973"/>
      <c r="CT189" s="2973"/>
      <c r="CU189" s="2973"/>
      <c r="CV189" s="2973"/>
      <c r="CW189" s="2973"/>
      <c r="CX189" s="2973"/>
      <c r="CY189" s="2973"/>
      <c r="CZ189" s="2973"/>
    </row>
    <row r="190" spans="1:104" outlineLevel="1">
      <c r="A190" s="2911" t="s">
        <v>245</v>
      </c>
      <c r="B190" s="2240"/>
      <c r="C190" s="2256"/>
      <c r="D190" s="2256"/>
      <c r="E190" s="2256"/>
      <c r="F190" s="2256"/>
      <c r="G190" s="2256"/>
      <c r="H190" s="2256"/>
      <c r="I190" s="2372">
        <f>-(13+2)*1</f>
        <v>-15</v>
      </c>
      <c r="J190" s="2372"/>
      <c r="K190" s="2492"/>
      <c r="L190" s="2179"/>
      <c r="M190" s="2179"/>
      <c r="N190" s="2179"/>
      <c r="O190" s="2179"/>
      <c r="P190" s="2179"/>
      <c r="Q190" s="2179"/>
      <c r="R190" s="2179"/>
      <c r="S190" s="2179"/>
      <c r="T190" s="2175">
        <v>187</v>
      </c>
      <c r="U190" s="2175"/>
      <c r="V190" s="2175"/>
      <c r="W190" s="2175"/>
      <c r="X190" s="2175"/>
      <c r="Y190" s="2175"/>
      <c r="Z190" s="2175"/>
      <c r="AA190" s="2175"/>
      <c r="AB190" s="2175"/>
      <c r="AC190" s="2175"/>
      <c r="AD190" s="2175"/>
      <c r="AE190" s="2175"/>
      <c r="AF190" s="2175"/>
      <c r="AG190" s="2175"/>
      <c r="AH190" s="2175"/>
      <c r="AI190" s="2175"/>
      <c r="AJ190" s="2175"/>
      <c r="AK190" s="2175"/>
      <c r="AL190" s="2175"/>
      <c r="AM190" s="2175"/>
      <c r="AN190" s="2175"/>
      <c r="AO190" s="2375"/>
      <c r="AP190" s="2175"/>
      <c r="AQ190" s="2175"/>
      <c r="AR190" s="2175"/>
      <c r="AS190" s="2375"/>
      <c r="AT190" s="2175"/>
      <c r="AU190" s="2175"/>
      <c r="AV190" s="2175"/>
      <c r="AW190" s="2376"/>
      <c r="AX190" s="2177"/>
      <c r="AY190" s="2177"/>
      <c r="AZ190" s="2177"/>
      <c r="BA190" s="2174"/>
      <c r="BB190" s="2174"/>
      <c r="BC190" s="2174"/>
      <c r="BD190" s="2174"/>
      <c r="BE190" s="2174"/>
      <c r="BF190" s="2174"/>
      <c r="BG190" s="2174"/>
      <c r="BH190" s="2174"/>
      <c r="BI190" s="2174"/>
      <c r="BJ190" s="2174"/>
      <c r="BK190" s="2174"/>
      <c r="BL190" s="2174"/>
      <c r="BM190" s="2174"/>
      <c r="BN190" s="2174"/>
      <c r="BO190" s="2174"/>
      <c r="BP190" s="2174"/>
      <c r="BQ190" s="2174"/>
      <c r="BR190" s="2174"/>
      <c r="BS190" s="2174"/>
      <c r="BT190" s="2174"/>
      <c r="BU190" s="2174"/>
      <c r="BV190" s="2174"/>
      <c r="BW190" s="2174"/>
      <c r="BX190" s="2174"/>
      <c r="BY190" s="2174"/>
      <c r="BZ190" s="2174"/>
      <c r="CA190" s="2174"/>
      <c r="CB190" s="2174"/>
      <c r="CC190" s="2174"/>
      <c r="CD190" s="2174"/>
      <c r="CE190" s="2174"/>
      <c r="CF190" s="2174"/>
      <c r="CG190" s="2174"/>
      <c r="CH190" s="2174"/>
      <c r="CI190" s="2174"/>
      <c r="CJ190" s="2174"/>
      <c r="CK190" s="2174"/>
      <c r="CL190" s="2174"/>
      <c r="CM190" s="2174"/>
      <c r="CN190" s="2174"/>
      <c r="CO190" s="2174"/>
      <c r="CP190" s="2174"/>
      <c r="CQ190" s="2174"/>
      <c r="CR190" s="2174"/>
      <c r="CS190" s="2174"/>
      <c r="CT190" s="2174"/>
      <c r="CU190" s="2174"/>
      <c r="CV190" s="2174"/>
      <c r="CW190" s="2174"/>
      <c r="CX190" s="2174"/>
      <c r="CY190" s="2174"/>
      <c r="CZ190" s="2174"/>
    </row>
    <row r="191" spans="1:104" outlineLevel="1">
      <c r="A191" s="2911" t="s">
        <v>50</v>
      </c>
      <c r="B191" s="2321">
        <f t="shared" ref="B191:Q191" si="863">B192/(B8+B15)</f>
        <v>4.1884150880107711E-2</v>
      </c>
      <c r="C191" s="2322">
        <f t="shared" si="863"/>
        <v>3.5914133921770043E-2</v>
      </c>
      <c r="D191" s="2322">
        <f t="shared" si="863"/>
        <v>3.2088386282759881E-2</v>
      </c>
      <c r="E191" s="2241">
        <f t="shared" si="863"/>
        <v>5.4532148306880149E-2</v>
      </c>
      <c r="F191" s="2241">
        <f t="shared" si="863"/>
        <v>6.5703827407107687E-2</v>
      </c>
      <c r="G191" s="2241">
        <f t="shared" si="863"/>
        <v>8.1600576375304767E-2</v>
      </c>
      <c r="H191" s="2241">
        <f t="shared" si="863"/>
        <v>7.522418984338318E-2</v>
      </c>
      <c r="I191" s="2241">
        <f t="shared" ca="1" si="863"/>
        <v>9.860997641226546E-2</v>
      </c>
      <c r="J191" s="2241">
        <f t="shared" ca="1" si="863"/>
        <v>2.4997653028225125E-2</v>
      </c>
      <c r="K191" s="2323">
        <f t="shared" ca="1" si="863"/>
        <v>4.9214513186483143E-2</v>
      </c>
      <c r="L191" s="2491">
        <f t="shared" ca="1" si="863"/>
        <v>4.8895613540052091E-2</v>
      </c>
      <c r="M191" s="2491">
        <f t="shared" ca="1" si="863"/>
        <v>5.0478844730769287E-2</v>
      </c>
      <c r="N191" s="2491">
        <f t="shared" ca="1" si="863"/>
        <v>5.088765119327527E-2</v>
      </c>
      <c r="O191" s="2491">
        <f t="shared" ca="1" si="863"/>
        <v>5.3277658159550184E-2</v>
      </c>
      <c r="P191" s="2491">
        <f t="shared" ca="1" si="863"/>
        <v>5.3273384706459391E-2</v>
      </c>
      <c r="Q191" s="2491">
        <f t="shared" ca="1" si="863"/>
        <v>5.3271416974472977E-2</v>
      </c>
      <c r="R191" s="2179"/>
      <c r="S191" s="2179"/>
      <c r="T191" s="2175">
        <v>188</v>
      </c>
      <c r="U191" s="2175"/>
      <c r="V191" s="2175"/>
      <c r="W191" s="2175"/>
      <c r="X191" s="2175"/>
      <c r="Y191" s="2175"/>
      <c r="Z191" s="2175"/>
      <c r="AA191" s="2175"/>
      <c r="AB191" s="2175"/>
      <c r="AC191" s="2175"/>
      <c r="AD191" s="2175"/>
      <c r="AE191" s="2175"/>
      <c r="AF191" s="2175"/>
      <c r="AG191" s="2175"/>
      <c r="AH191" s="2175"/>
      <c r="AI191" s="2175"/>
      <c r="AJ191" s="2175"/>
      <c r="AK191" s="2175"/>
      <c r="AL191" s="2175"/>
      <c r="AM191" s="2175"/>
      <c r="AN191" s="2175"/>
      <c r="AO191" s="2375"/>
      <c r="AP191" s="2175"/>
      <c r="AQ191" s="2175"/>
      <c r="AR191" s="2175"/>
      <c r="AS191" s="2375"/>
      <c r="AT191" s="2175"/>
      <c r="AU191" s="2175"/>
      <c r="AV191" s="2175"/>
      <c r="AW191" s="2376"/>
      <c r="AX191" s="2177"/>
      <c r="AY191" s="2177"/>
      <c r="AZ191" s="2177"/>
      <c r="BA191" s="2174"/>
      <c r="BB191" s="2174"/>
      <c r="BC191" s="2174"/>
      <c r="BD191" s="2174"/>
      <c r="BE191" s="2174"/>
      <c r="BF191" s="2174"/>
      <c r="BG191" s="2174"/>
      <c r="BH191" s="2174"/>
      <c r="BI191" s="2174"/>
      <c r="BJ191" s="2174"/>
      <c r="BK191" s="2174"/>
      <c r="BL191" s="2174"/>
      <c r="BM191" s="2174"/>
      <c r="BN191" s="2174"/>
      <c r="BO191" s="2174"/>
      <c r="BP191" s="2174"/>
      <c r="BQ191" s="2174"/>
      <c r="BR191" s="2174"/>
      <c r="BS191" s="2174"/>
      <c r="BT191" s="2174"/>
      <c r="BU191" s="2174"/>
      <c r="BV191" s="2174"/>
      <c r="BW191" s="2174"/>
      <c r="BX191" s="2174"/>
      <c r="BY191" s="2174"/>
      <c r="BZ191" s="2174"/>
      <c r="CA191" s="2174"/>
      <c r="CB191" s="2174"/>
      <c r="CC191" s="2174"/>
      <c r="CD191" s="2174"/>
      <c r="CE191" s="2174"/>
      <c r="CF191" s="2174"/>
      <c r="CG191" s="2174"/>
      <c r="CH191" s="2174"/>
      <c r="CI191" s="2174"/>
      <c r="CJ191" s="2174"/>
      <c r="CK191" s="2174"/>
      <c r="CL191" s="2174"/>
      <c r="CM191" s="2174"/>
      <c r="CN191" s="2174"/>
      <c r="CO191" s="2174"/>
      <c r="CP191" s="2174"/>
      <c r="CQ191" s="2174"/>
      <c r="CR191" s="2174"/>
      <c r="CS191" s="2174"/>
      <c r="CT191" s="2174"/>
      <c r="CU191" s="2174"/>
      <c r="CV191" s="2174"/>
      <c r="CW191" s="2174"/>
      <c r="CX191" s="2174"/>
      <c r="CY191" s="2174"/>
      <c r="CZ191" s="2174"/>
    </row>
    <row r="192" spans="1:104" s="2231" customFormat="1">
      <c r="A192" s="2962" t="s">
        <v>246</v>
      </c>
      <c r="B192" s="2982">
        <f>B98</f>
        <v>1057.6166938735998</v>
      </c>
      <c r="C192" s="2983">
        <f>C98</f>
        <v>1593.3064889696004</v>
      </c>
      <c r="D192" s="2983">
        <f>D98</f>
        <v>2092.1982112144005</v>
      </c>
      <c r="E192" s="2220">
        <f>[1]Milestones!L80</f>
        <v>4482.0231993790003</v>
      </c>
      <c r="F192" s="2220">
        <f>[1]Milestones!M80</f>
        <v>6008.3488080699972</v>
      </c>
      <c r="G192" s="2220">
        <f>[1]Milestones!N80</f>
        <v>7121.3625952399998</v>
      </c>
      <c r="H192" s="2220">
        <f>[1]Milestones!O80</f>
        <v>7094.302021962998</v>
      </c>
      <c r="I192" s="2220">
        <f>[1]Milestones!P80</f>
        <v>10221.467566597996</v>
      </c>
      <c r="J192" s="2220">
        <f>[1]Milestones!Q80</f>
        <v>2087.4460145259982</v>
      </c>
      <c r="K192" s="2908">
        <f>[1]Milestones!R80</f>
        <v>4468.6229806810024</v>
      </c>
      <c r="L192" s="2227">
        <f t="shared" ref="L192:Q192" ca="1" si="864">L98</f>
        <v>5263.9950834085575</v>
      </c>
      <c r="M192" s="2227">
        <f t="shared" ca="1" si="864"/>
        <v>6099.4368968141589</v>
      </c>
      <c r="N192" s="2227">
        <f t="shared" ca="1" si="864"/>
        <v>6834.1840600322539</v>
      </c>
      <c r="O192" s="2227">
        <f t="shared" ca="1" si="864"/>
        <v>7954.0385932896288</v>
      </c>
      <c r="P192" s="2227">
        <f t="shared" ca="1" si="864"/>
        <v>8573.6597710794849</v>
      </c>
      <c r="Q192" s="2227">
        <f t="shared" ca="1" si="864"/>
        <v>9237.2945958968048</v>
      </c>
      <c r="R192" s="2964"/>
      <c r="S192" s="2964"/>
      <c r="T192" s="2909">
        <v>189</v>
      </c>
      <c r="U192" s="2383"/>
      <c r="V192" s="2383"/>
      <c r="W192" s="2383"/>
      <c r="X192" s="2383"/>
      <c r="Y192" s="2383"/>
      <c r="Z192" s="2383"/>
      <c r="AA192" s="2383"/>
      <c r="AB192" s="2383"/>
      <c r="AC192" s="2383"/>
      <c r="AD192" s="2383"/>
      <c r="AE192" s="2383"/>
      <c r="AF192" s="2383"/>
      <c r="AG192" s="2383"/>
      <c r="AH192" s="2383"/>
      <c r="AI192" s="2383"/>
      <c r="AJ192" s="2383"/>
      <c r="AK192" s="2383"/>
      <c r="AL192" s="2383"/>
      <c r="AM192" s="2383"/>
      <c r="AN192" s="2383"/>
      <c r="AO192" s="2966"/>
      <c r="AP192" s="2383"/>
      <c r="AQ192" s="2383"/>
      <c r="AR192" s="2383"/>
      <c r="AS192" s="2966"/>
      <c r="AT192" s="2383"/>
      <c r="AU192" s="2383"/>
      <c r="AV192" s="2383"/>
      <c r="AW192" s="2967"/>
      <c r="AX192" s="2968"/>
      <c r="AY192" s="2968"/>
      <c r="AZ192" s="2968"/>
      <c r="BA192" s="2217"/>
      <c r="BB192" s="2217"/>
      <c r="BC192" s="2217"/>
      <c r="BD192" s="2217"/>
      <c r="BE192" s="2217"/>
      <c r="BF192" s="2217"/>
      <c r="BG192" s="2217"/>
      <c r="BH192" s="2217"/>
      <c r="BI192" s="2217"/>
      <c r="BJ192" s="2217"/>
      <c r="BK192" s="2217"/>
      <c r="BL192" s="2217"/>
      <c r="BM192" s="2217"/>
      <c r="BN192" s="2217"/>
      <c r="BO192" s="2217"/>
      <c r="BP192" s="2217"/>
      <c r="BQ192" s="2217"/>
      <c r="BR192" s="2217"/>
      <c r="BS192" s="2217"/>
      <c r="BT192" s="2217"/>
      <c r="BU192" s="2217"/>
      <c r="BV192" s="2217"/>
      <c r="BW192" s="2217"/>
      <c r="BX192" s="2217"/>
      <c r="BY192" s="2217"/>
      <c r="BZ192" s="2217"/>
      <c r="CA192" s="2217"/>
      <c r="CB192" s="2217"/>
      <c r="CC192" s="2217"/>
      <c r="CD192" s="2217"/>
      <c r="CE192" s="2217"/>
      <c r="CF192" s="2217"/>
      <c r="CG192" s="2217"/>
      <c r="CH192" s="2217"/>
      <c r="CI192" s="2217"/>
      <c r="CJ192" s="2217"/>
      <c r="CK192" s="2217"/>
      <c r="CL192" s="2217"/>
      <c r="CM192" s="2217"/>
      <c r="CN192" s="2217"/>
      <c r="CO192" s="2217"/>
      <c r="CP192" s="2217"/>
      <c r="CQ192" s="2217"/>
      <c r="CR192" s="2217"/>
      <c r="CS192" s="2217"/>
      <c r="CT192" s="2217"/>
      <c r="CU192" s="2217"/>
      <c r="CV192" s="2217"/>
      <c r="CW192" s="2217"/>
      <c r="CX192" s="2217"/>
      <c r="CY192" s="2217"/>
      <c r="CZ192" s="2217"/>
    </row>
    <row r="193" spans="1:104">
      <c r="A193" s="2911" t="s">
        <v>247</v>
      </c>
      <c r="B193" s="2984">
        <f t="shared" ref="B193:I193" si="865">B189+B175+B128</f>
        <v>0</v>
      </c>
      <c r="C193" s="2985">
        <f t="shared" si="865"/>
        <v>0</v>
      </c>
      <c r="D193" s="2985">
        <f t="shared" si="865"/>
        <v>0</v>
      </c>
      <c r="E193" s="2246">
        <f t="shared" si="865"/>
        <v>-55.673185000000004</v>
      </c>
      <c r="F193" s="2246">
        <f>F189+F175+F128</f>
        <v>-3.438155589</v>
      </c>
      <c r="G193" s="2246">
        <f t="shared" si="865"/>
        <v>-1905.0959917310001</v>
      </c>
      <c r="H193" s="2246">
        <f t="shared" si="865"/>
        <v>-1199.7334035389999</v>
      </c>
      <c r="I193" s="2246">
        <f t="shared" si="865"/>
        <v>-3577.2938650979977</v>
      </c>
      <c r="J193" s="2246">
        <f t="shared" ref="J193:Q193" ca="1" si="866">J189+J175+J128</f>
        <v>-1999.1105251749998</v>
      </c>
      <c r="K193" s="2247">
        <f t="shared" ca="1" si="866"/>
        <v>-604.23823695437568</v>
      </c>
      <c r="L193" s="2678">
        <f t="shared" ca="1" si="866"/>
        <v>262.75365939736275</v>
      </c>
      <c r="M193" s="2678">
        <f t="shared" ca="1" si="866"/>
        <v>1296.5453302201479</v>
      </c>
      <c r="N193" s="2678">
        <f t="shared" ca="1" si="866"/>
        <v>2196.5160949270157</v>
      </c>
      <c r="O193" s="2678">
        <f t="shared" ca="1" si="866"/>
        <v>2680.198644154726</v>
      </c>
      <c r="P193" s="2678">
        <f t="shared" ca="1" si="866"/>
        <v>3692.1383744339855</v>
      </c>
      <c r="Q193" s="2678">
        <f t="shared" ca="1" si="866"/>
        <v>4702.3436879496667</v>
      </c>
      <c r="R193" s="2179"/>
      <c r="S193" s="2179"/>
      <c r="T193" s="2340">
        <v>190</v>
      </c>
      <c r="U193" s="2175"/>
      <c r="V193" s="2175"/>
      <c r="W193" s="2175"/>
      <c r="X193" s="2175"/>
      <c r="Y193" s="2175"/>
      <c r="Z193" s="2175"/>
      <c r="AA193" s="2175"/>
      <c r="AB193" s="2175"/>
      <c r="AC193" s="2175"/>
      <c r="AD193" s="2175"/>
      <c r="AE193" s="2175"/>
      <c r="AF193" s="2175"/>
      <c r="AG193" s="2175"/>
      <c r="AH193" s="2175"/>
      <c r="AI193" s="2175"/>
      <c r="AJ193" s="2175"/>
      <c r="AK193" s="2175"/>
      <c r="AL193" s="2175"/>
      <c r="AM193" s="2175"/>
      <c r="AN193" s="2175"/>
      <c r="AO193" s="2375"/>
      <c r="AP193" s="2175"/>
      <c r="AQ193" s="2175"/>
      <c r="AR193" s="2175"/>
      <c r="AS193" s="2375"/>
      <c r="AT193" s="2175"/>
      <c r="AU193" s="2175"/>
      <c r="AV193" s="2175"/>
      <c r="AW193" s="2376"/>
      <c r="AX193" s="2177"/>
      <c r="AY193" s="2177"/>
      <c r="AZ193" s="2177"/>
      <c r="BA193" s="2174"/>
      <c r="BB193" s="2174"/>
      <c r="BC193" s="2174"/>
      <c r="BD193" s="2174"/>
      <c r="BE193" s="2174"/>
      <c r="BF193" s="2174"/>
      <c r="BG193" s="2174"/>
      <c r="BH193" s="2174"/>
      <c r="BI193" s="2174"/>
      <c r="BJ193" s="2174"/>
      <c r="BK193" s="2174"/>
      <c r="BL193" s="2174"/>
      <c r="BM193" s="2174"/>
      <c r="BN193" s="2174"/>
      <c r="BO193" s="2174"/>
      <c r="BP193" s="2174"/>
      <c r="BQ193" s="2174"/>
      <c r="BR193" s="2174"/>
      <c r="BS193" s="2174"/>
      <c r="BT193" s="2174"/>
      <c r="BU193" s="2174"/>
      <c r="BV193" s="2174"/>
      <c r="BW193" s="2174"/>
      <c r="BX193" s="2174"/>
      <c r="BY193" s="2174"/>
      <c r="BZ193" s="2174"/>
      <c r="CA193" s="2174"/>
      <c r="CB193" s="2174"/>
      <c r="CC193" s="2174"/>
      <c r="CD193" s="2174"/>
      <c r="CE193" s="2174"/>
      <c r="CF193" s="2174"/>
      <c r="CG193" s="2174"/>
      <c r="CH193" s="2174"/>
      <c r="CI193" s="2174"/>
      <c r="CJ193" s="2174"/>
      <c r="CK193" s="2174"/>
      <c r="CL193" s="2174"/>
      <c r="CM193" s="2174"/>
      <c r="CN193" s="2174"/>
      <c r="CO193" s="2174"/>
      <c r="CP193" s="2174"/>
      <c r="CQ193" s="2174"/>
      <c r="CR193" s="2174"/>
      <c r="CS193" s="2174"/>
      <c r="CT193" s="2174"/>
      <c r="CU193" s="2174"/>
      <c r="CV193" s="2174"/>
      <c r="CW193" s="2174"/>
      <c r="CX193" s="2174"/>
      <c r="CY193" s="2174"/>
      <c r="CZ193" s="2174"/>
    </row>
    <row r="194" spans="1:104">
      <c r="A194" s="2911" t="s">
        <v>248</v>
      </c>
      <c r="B194" s="2984">
        <f>FS!F98-Rev_Year!B96</f>
        <v>-45.608384782600012</v>
      </c>
      <c r="C194" s="2985">
        <f>FS!G98-Rev_Year!C96</f>
        <v>-29.336871843599852</v>
      </c>
      <c r="D194" s="2985">
        <f>FS!H98-Rev_Year!D96</f>
        <v>-79.365360493399862</v>
      </c>
      <c r="E194" s="2246">
        <f>FS!I98-Rev_Year!E96</f>
        <v>-68.416775045799909</v>
      </c>
      <c r="F194" s="2246">
        <f>FS!J98-Rev_Year!F96</f>
        <v>-126.23557087020004</v>
      </c>
      <c r="G194" s="2246">
        <f>FS!K98-Rev_Year!G96</f>
        <v>108.55112337299988</v>
      </c>
      <c r="H194" s="2246">
        <f>FS!L98-Rev_Year!H96-IF((FS!L80+FS!L86+FS!L92)&gt;0,(FS!L80+FS!L86+FS!L92)*0.2,0)</f>
        <v>-168.87163400100019</v>
      </c>
      <c r="I194" s="2246">
        <f>FS!M98-Rev_Year!I96</f>
        <v>-161.64213851699992</v>
      </c>
      <c r="J194" s="2246">
        <f ca="1">FS!N98-Rev_Year!J96</f>
        <v>-95.10769518554315</v>
      </c>
      <c r="K194" s="2247">
        <f ca="1">FS!O98-Rev_Year!K96</f>
        <v>-178.91366681265242</v>
      </c>
      <c r="L194" s="2414">
        <f ca="1">FS!P98-Rev_Year!L96</f>
        <v>-529.16334655844844</v>
      </c>
      <c r="M194" s="2414">
        <f ca="1">FS!Q98-Rev_Year!M96</f>
        <v>-621.01095747954537</v>
      </c>
      <c r="N194" s="2414">
        <f ca="1">FS!R98-Rev_Year!N96</f>
        <v>-786.94722467512474</v>
      </c>
      <c r="O194" s="2414">
        <f ca="1">FS!S98-Rev_Year!O96</f>
        <v>-875.47143532135169</v>
      </c>
      <c r="P194" s="2414">
        <f ca="1">FS!T98-Rev_Year!P96</f>
        <v>-1042.0545236821254</v>
      </c>
      <c r="Q194" s="2414">
        <f ca="1">FS!U98-Rev_Year!Q96</f>
        <v>-1223.9504194189149</v>
      </c>
      <c r="R194" s="2179"/>
      <c r="S194" s="2179"/>
      <c r="T194" s="2175">
        <v>191</v>
      </c>
      <c r="U194" s="2175"/>
      <c r="V194" s="2175"/>
      <c r="W194" s="2175"/>
      <c r="X194" s="2175"/>
      <c r="Y194" s="2175"/>
      <c r="Z194" s="2175"/>
      <c r="AA194" s="2175"/>
      <c r="AB194" s="2175"/>
      <c r="AC194" s="2175"/>
      <c r="AD194" s="2175"/>
      <c r="AE194" s="2175"/>
      <c r="AF194" s="2175"/>
      <c r="AG194" s="2175"/>
      <c r="AH194" s="2175"/>
      <c r="AI194" s="2175"/>
      <c r="AJ194" s="2175"/>
      <c r="AK194" s="2175"/>
      <c r="AL194" s="2175"/>
      <c r="AM194" s="2175"/>
      <c r="AN194" s="2175"/>
      <c r="AO194" s="2375"/>
      <c r="AP194" s="2175"/>
      <c r="AQ194" s="2175"/>
      <c r="AR194" s="2175"/>
      <c r="AS194" s="2375"/>
      <c r="AT194" s="2175"/>
      <c r="AU194" s="2175"/>
      <c r="AV194" s="2175"/>
      <c r="AW194" s="2376"/>
      <c r="AX194" s="2177"/>
      <c r="AY194" s="2177"/>
      <c r="AZ194" s="2177"/>
      <c r="BA194" s="2174"/>
      <c r="BB194" s="2174"/>
      <c r="BC194" s="2174"/>
      <c r="BD194" s="2174"/>
      <c r="BE194" s="2174"/>
      <c r="BF194" s="2174"/>
      <c r="BG194" s="2174"/>
      <c r="BH194" s="2174"/>
      <c r="BI194" s="2174"/>
      <c r="BJ194" s="2174"/>
      <c r="BK194" s="2174"/>
      <c r="BL194" s="2174"/>
      <c r="BM194" s="2174"/>
      <c r="BN194" s="2174"/>
      <c r="BO194" s="2174"/>
      <c r="BP194" s="2174"/>
      <c r="BQ194" s="2174"/>
      <c r="BR194" s="2174"/>
      <c r="BS194" s="2174"/>
      <c r="BT194" s="2174"/>
      <c r="BU194" s="2174"/>
      <c r="BV194" s="2174"/>
      <c r="BW194" s="2174"/>
      <c r="BX194" s="2174"/>
      <c r="BY194" s="2174"/>
      <c r="BZ194" s="2174"/>
      <c r="CA194" s="2174"/>
      <c r="CB194" s="2174"/>
      <c r="CC194" s="2174"/>
      <c r="CD194" s="2174"/>
      <c r="CE194" s="2174"/>
      <c r="CF194" s="2174"/>
      <c r="CG194" s="2174"/>
      <c r="CH194" s="2174"/>
      <c r="CI194" s="2174"/>
      <c r="CJ194" s="2174"/>
      <c r="CK194" s="2174"/>
      <c r="CL194" s="2174"/>
      <c r="CM194" s="2174"/>
      <c r="CN194" s="2174"/>
      <c r="CO194" s="2174"/>
      <c r="CP194" s="2174"/>
      <c r="CQ194" s="2174"/>
      <c r="CR194" s="2174"/>
      <c r="CS194" s="2174"/>
      <c r="CT194" s="2174"/>
      <c r="CU194" s="2174"/>
      <c r="CV194" s="2174"/>
      <c r="CW194" s="2174"/>
      <c r="CX194" s="2174"/>
      <c r="CY194" s="2174"/>
      <c r="CZ194" s="2174"/>
    </row>
    <row r="195" spans="1:104">
      <c r="A195" s="2911" t="s">
        <v>249</v>
      </c>
      <c r="B195" s="2984">
        <f>IF(FS!F80+FS!F86+FS!F92&lt;0,FS!F80+FS!F86+FS!F92,FS!F80+FS!F86+FS!F92*0.8)</f>
        <v>59.074281612999997</v>
      </c>
      <c r="C195" s="2985">
        <f>IF(FS!G80+FS!G86+FS!G92&lt;0,FS!G80+FS!G86+FS!G92,FS!G80+FS!G86+FS!G92*0.8)</f>
        <v>14.473170846000007</v>
      </c>
      <c r="D195" s="2985">
        <f>IF(FS!H80+FS!H86+FS!H92&lt;0,FS!H80+FS!H86+FS!H92,FS!H80+FS!H86+FS!H92*0.8)</f>
        <v>27.317817272800021</v>
      </c>
      <c r="E195" s="2246">
        <f>IF(FS!I80+FS!I86+FS!I92&lt;0,FS!I80+FS!I86+FS!I92,FS!I80+FS!I86+FS!I92*0.8)</f>
        <v>-82.353118424000002</v>
      </c>
      <c r="F195" s="2246">
        <f>IF(FS!J80+FS!J86+FS!J92&lt;0,FS!J80+FS!J86+FS!J92,FS!J80+FS!J86+FS!J92*0.8)</f>
        <v>76.434028002199966</v>
      </c>
      <c r="G195" s="2246">
        <f>IF(FS!K80+FS!K86+FS!K92&lt;0,FS!K80+FS!K86+FS!K92,FS!K80+FS!K86+FS!K92*0.8)</f>
        <v>197.7346484352</v>
      </c>
      <c r="H195" s="2246">
        <f>IF(FS!L80+FS!L86+FS!L92&lt;0,FS!L80+FS!L86+FS!L92,(FS!L80+FS!L86+FS!L92))</f>
        <v>579.22563260499999</v>
      </c>
      <c r="I195" s="2246">
        <f>IF(FS!M80+FS!M86+FS!M92&lt;0,FS!M80+FS!M86+FS!M92,FS!M80+FS!M86+FS!M92*0.8)</f>
        <v>-587.82147523499987</v>
      </c>
      <c r="J195" s="2246">
        <f>IF(FS!N80+FS!N86+FS!N92&lt;0,FS!N80+FS!N86+FS!N92,FS!N80+FS!N86+FS!N92*0.8)</f>
        <v>348.28998672579979</v>
      </c>
      <c r="K195" s="2247">
        <f>IF(FS!O80+FS!O86+FS!O92&lt;0,FS!O80+FS!O86+FS!O92,FS!O80+FS!O86+FS!O92*0.8)</f>
        <v>867.01106630260006</v>
      </c>
      <c r="L195" s="2414">
        <f ca="1">IF(FS!P80+FS!P86+FS!P92&lt;0,FS!P80+FS!P86+FS!P92,FS!P80+FS!P86+FS!P92*0.8)</f>
        <v>1550.3901003603771</v>
      </c>
      <c r="M195" s="2414">
        <f ca="1">IF(FS!Q80+FS!Q86+FS!Q92&lt;0,FS!Q80+FS!Q86+FS!Q92,FS!Q80+FS!Q86+FS!Q92*0.8)</f>
        <v>1524.587062091261</v>
      </c>
      <c r="N195" s="2414">
        <f ca="1">IF(FS!R80+FS!R86+FS!R92&lt;0,FS!R80+FS!R86+FS!R92,FS!R80+FS!R86+FS!R92*0.8)</f>
        <v>1799.1647247647506</v>
      </c>
      <c r="O195" s="2414">
        <f ca="1">IF(FS!S80+FS!S86+FS!S92&lt;0,FS!S80+FS!S86+FS!S92,FS!S80+FS!S86+FS!S92*0.8)</f>
        <v>2026.3821701511799</v>
      </c>
      <c r="P195" s="2414">
        <f ca="1">IF(FS!T80+FS!T86+FS!T92&lt;0,FS!T80+FS!T86+FS!T92,FS!T80+FS!T86+FS!T92*0.8)</f>
        <v>2608.9014616294098</v>
      </c>
      <c r="Q195" s="2414">
        <f ca="1">IF(FS!U80+FS!U86+FS!U92&lt;0,FS!U80+FS!U86+FS!U92,FS!U80+FS!U86+FS!U92*0.8)</f>
        <v>3342.5643643515082</v>
      </c>
      <c r="R195" s="2179"/>
      <c r="S195" s="2179"/>
      <c r="T195" s="2175">
        <v>192</v>
      </c>
      <c r="U195" s="2175"/>
      <c r="V195" s="2175"/>
      <c r="W195" s="2175"/>
      <c r="X195" s="2175"/>
      <c r="Y195" s="2175"/>
      <c r="Z195" s="2175"/>
      <c r="AA195" s="2175"/>
      <c r="AB195" s="2175"/>
      <c r="AC195" s="2175"/>
      <c r="AD195" s="2175"/>
      <c r="AE195" s="2175"/>
      <c r="AF195" s="2175"/>
      <c r="AG195" s="2175"/>
      <c r="AH195" s="2175"/>
      <c r="AI195" s="2175"/>
      <c r="AJ195" s="2175"/>
      <c r="AK195" s="2175"/>
      <c r="AL195" s="2175"/>
      <c r="AM195" s="2175"/>
      <c r="AN195" s="2175"/>
      <c r="AO195" s="2375"/>
      <c r="AP195" s="2175"/>
      <c r="AQ195" s="2175"/>
      <c r="AR195" s="2175"/>
      <c r="AS195" s="2375"/>
      <c r="AT195" s="2175"/>
      <c r="AU195" s="2175"/>
      <c r="AV195" s="2175"/>
      <c r="AW195" s="2376"/>
      <c r="AX195" s="2177"/>
      <c r="AY195" s="2177"/>
      <c r="AZ195" s="2177"/>
      <c r="BA195" s="2174"/>
      <c r="BB195" s="2174"/>
      <c r="BC195" s="2174"/>
      <c r="BD195" s="2174"/>
      <c r="BE195" s="2174"/>
      <c r="BF195" s="2174"/>
      <c r="BG195" s="2174"/>
      <c r="BH195" s="2174"/>
      <c r="BI195" s="2174"/>
      <c r="BJ195" s="2174"/>
      <c r="BK195" s="2174"/>
      <c r="BL195" s="2174"/>
      <c r="BM195" s="2174"/>
      <c r="BN195" s="2174"/>
      <c r="BO195" s="2174"/>
      <c r="BP195" s="2174"/>
      <c r="BQ195" s="2174"/>
      <c r="BR195" s="2174"/>
      <c r="BS195" s="2174"/>
      <c r="BT195" s="2174"/>
      <c r="BU195" s="2174"/>
      <c r="BV195" s="2174"/>
      <c r="BW195" s="2174"/>
      <c r="BX195" s="2174"/>
      <c r="BY195" s="2174"/>
      <c r="BZ195" s="2174"/>
      <c r="CA195" s="2174"/>
      <c r="CB195" s="2174"/>
      <c r="CC195" s="2174"/>
      <c r="CD195" s="2174"/>
      <c r="CE195" s="2174"/>
      <c r="CF195" s="2174"/>
      <c r="CG195" s="2174"/>
      <c r="CH195" s="2174"/>
      <c r="CI195" s="2174"/>
      <c r="CJ195" s="2174"/>
      <c r="CK195" s="2174"/>
      <c r="CL195" s="2174"/>
      <c r="CM195" s="2174"/>
      <c r="CN195" s="2174"/>
      <c r="CO195" s="2174"/>
      <c r="CP195" s="2174"/>
      <c r="CQ195" s="2174"/>
      <c r="CR195" s="2174"/>
      <c r="CS195" s="2174"/>
      <c r="CT195" s="2174"/>
      <c r="CU195" s="2174"/>
      <c r="CV195" s="2174"/>
      <c r="CW195" s="2174"/>
      <c r="CX195" s="2174"/>
      <c r="CY195" s="2174"/>
      <c r="CZ195" s="2174"/>
    </row>
    <row r="196" spans="1:104">
      <c r="A196" s="2911" t="s">
        <v>49</v>
      </c>
      <c r="B196" s="2986"/>
      <c r="C196" s="2246"/>
      <c r="D196" s="2246"/>
      <c r="E196" s="2246"/>
      <c r="F196" s="2246"/>
      <c r="G196" s="2246"/>
      <c r="H196" s="2246"/>
      <c r="I196" s="2246">
        <f>FS!M101-SUM(Rev_Year!I192:I195)</f>
        <v>-1792.9956628089967</v>
      </c>
      <c r="J196" s="2246">
        <f ca="1">FS!N101-SUM(Rev_Year!J192:J195)</f>
        <v>-173.6886259522571</v>
      </c>
      <c r="K196" s="2247">
        <f ca="1">FS!O101-SUM(Rev_Year!K192:K195)</f>
        <v>-819.19391449657178</v>
      </c>
      <c r="L196" s="2414">
        <f ca="1">FS!P101-SUM(Rev_Year!L192:L195)</f>
        <v>249.08075232497686</v>
      </c>
      <c r="M196" s="2414">
        <f ca="1">FS!Q101-SUM(Rev_Year!M192:M195)</f>
        <v>387.3486737205294</v>
      </c>
      <c r="N196" s="2414"/>
      <c r="O196" s="2414"/>
      <c r="P196" s="2414"/>
      <c r="Q196" s="2414"/>
      <c r="R196" s="2179"/>
      <c r="S196" s="2179"/>
      <c r="T196" s="2175">
        <v>193</v>
      </c>
      <c r="U196" s="2175"/>
      <c r="V196" s="2175"/>
      <c r="W196" s="2175"/>
      <c r="X196" s="2175"/>
      <c r="Y196" s="2175"/>
      <c r="Z196" s="2175"/>
      <c r="AA196" s="2175"/>
      <c r="AB196" s="2175"/>
      <c r="AC196" s="2175"/>
      <c r="AD196" s="2175"/>
      <c r="AE196" s="2175"/>
      <c r="AF196" s="2175"/>
      <c r="AG196" s="2175"/>
      <c r="AH196" s="2175"/>
      <c r="AI196" s="2175"/>
      <c r="AJ196" s="2175"/>
      <c r="AK196" s="2175"/>
      <c r="AL196" s="2175"/>
      <c r="AM196" s="2175"/>
      <c r="AN196" s="2175"/>
      <c r="AO196" s="2375"/>
      <c r="AP196" s="2175"/>
      <c r="AQ196" s="2175"/>
      <c r="AR196" s="2175"/>
      <c r="AS196" s="2375"/>
      <c r="AT196" s="2175"/>
      <c r="AU196" s="2175"/>
      <c r="AV196" s="2175"/>
      <c r="AW196" s="2376"/>
      <c r="AX196" s="2177"/>
      <c r="AY196" s="2177"/>
      <c r="AZ196" s="2177"/>
      <c r="BA196" s="2174"/>
      <c r="BB196" s="2174"/>
      <c r="BC196" s="2174"/>
      <c r="BD196" s="2174"/>
      <c r="BE196" s="2174"/>
      <c r="BF196" s="2174"/>
      <c r="BG196" s="2174"/>
      <c r="BH196" s="2174"/>
      <c r="BI196" s="2174"/>
      <c r="BJ196" s="2174"/>
      <c r="BK196" s="2174"/>
      <c r="BL196" s="2174"/>
      <c r="BM196" s="2174"/>
      <c r="BN196" s="2174"/>
      <c r="BO196" s="2174"/>
      <c r="BP196" s="2174"/>
      <c r="BQ196" s="2174"/>
      <c r="BR196" s="2174"/>
      <c r="BS196" s="2174"/>
      <c r="BT196" s="2174"/>
      <c r="BU196" s="2174"/>
      <c r="BV196" s="2174"/>
      <c r="BW196" s="2174"/>
      <c r="BX196" s="2174"/>
      <c r="BY196" s="2174"/>
      <c r="BZ196" s="2174"/>
      <c r="CA196" s="2174"/>
      <c r="CB196" s="2174"/>
      <c r="CC196" s="2174"/>
      <c r="CD196" s="2174"/>
      <c r="CE196" s="2174"/>
      <c r="CF196" s="2174"/>
      <c r="CG196" s="2174"/>
      <c r="CH196" s="2174"/>
      <c r="CI196" s="2174"/>
      <c r="CJ196" s="2174"/>
      <c r="CK196" s="2174"/>
      <c r="CL196" s="2174"/>
      <c r="CM196" s="2174"/>
      <c r="CN196" s="2174"/>
      <c r="CO196" s="2174"/>
      <c r="CP196" s="2174"/>
      <c r="CQ196" s="2174"/>
      <c r="CR196" s="2174"/>
      <c r="CS196" s="2174"/>
      <c r="CT196" s="2174"/>
      <c r="CU196" s="2174"/>
      <c r="CV196" s="2174"/>
      <c r="CW196" s="2174"/>
      <c r="CX196" s="2174"/>
      <c r="CY196" s="2174"/>
      <c r="CZ196" s="2174"/>
    </row>
    <row r="197" spans="1:104" s="2231" customFormat="1">
      <c r="A197" s="2962" t="s">
        <v>50</v>
      </c>
      <c r="B197" s="2987">
        <f t="shared" ref="B197:H197" si="867">SUM(B192:B195)</f>
        <v>1071.0825907039998</v>
      </c>
      <c r="C197" s="2221">
        <f t="shared" si="867"/>
        <v>1578.4427879720006</v>
      </c>
      <c r="D197" s="2221">
        <f t="shared" si="867"/>
        <v>2040.1506679938009</v>
      </c>
      <c r="E197" s="2221">
        <f t="shared" si="867"/>
        <v>4275.5801209092006</v>
      </c>
      <c r="F197" s="2221">
        <f t="shared" si="867"/>
        <v>5955.1091096129967</v>
      </c>
      <c r="G197" s="2221">
        <f t="shared" si="867"/>
        <v>5522.5523753172001</v>
      </c>
      <c r="H197" s="2221">
        <f t="shared" si="867"/>
        <v>6304.9226170279981</v>
      </c>
      <c r="I197" s="2221">
        <f t="shared" ref="I197:Q197" si="868">SUM(I192:I196)</f>
        <v>4101.7144249390021</v>
      </c>
      <c r="J197" s="2221">
        <f t="shared" ca="1" si="868"/>
        <v>167.82915493899793</v>
      </c>
      <c r="K197" s="2222">
        <f t="shared" ca="1" si="868"/>
        <v>3733.2882287200027</v>
      </c>
      <c r="L197" s="2223">
        <f t="shared" ca="1" si="868"/>
        <v>6797.0562489328258</v>
      </c>
      <c r="M197" s="2223">
        <f t="shared" ca="1" si="868"/>
        <v>8686.9070053665509</v>
      </c>
      <c r="N197" s="2223">
        <f t="shared" ca="1" si="868"/>
        <v>10042.917655048896</v>
      </c>
      <c r="O197" s="2223">
        <f t="shared" ca="1" si="868"/>
        <v>11785.147972274184</v>
      </c>
      <c r="P197" s="2223">
        <f t="shared" ca="1" si="868"/>
        <v>13832.645083460755</v>
      </c>
      <c r="Q197" s="2223">
        <f t="shared" ca="1" si="868"/>
        <v>16058.252228779065</v>
      </c>
      <c r="R197" s="2964"/>
      <c r="S197" s="2964"/>
      <c r="T197" s="2909">
        <v>194</v>
      </c>
      <c r="U197" s="2383"/>
      <c r="V197" s="2383"/>
      <c r="W197" s="2383"/>
      <c r="X197" s="2383"/>
      <c r="Y197" s="2383"/>
      <c r="Z197" s="2383"/>
      <c r="AA197" s="2383"/>
      <c r="AB197" s="2383"/>
      <c r="AC197" s="2383"/>
      <c r="AD197" s="2383"/>
      <c r="AE197" s="2383"/>
      <c r="AF197" s="2383"/>
      <c r="AG197" s="2383"/>
      <c r="AH197" s="2383"/>
      <c r="AI197" s="2383"/>
      <c r="AJ197" s="2383"/>
      <c r="AK197" s="2383"/>
      <c r="AL197" s="2383"/>
      <c r="AM197" s="2383"/>
      <c r="AN197" s="2383"/>
      <c r="AO197" s="2966"/>
      <c r="AP197" s="2383"/>
      <c r="AQ197" s="2383"/>
      <c r="AR197" s="2383"/>
      <c r="AS197" s="2966"/>
      <c r="AT197" s="2383"/>
      <c r="AU197" s="2383"/>
      <c r="AV197" s="2383"/>
      <c r="AW197" s="2967"/>
      <c r="AX197" s="2968"/>
      <c r="AY197" s="2968"/>
      <c r="AZ197" s="2968"/>
      <c r="BA197" s="2217"/>
      <c r="BB197" s="2217"/>
      <c r="BC197" s="2217"/>
      <c r="BD197" s="2217"/>
      <c r="BE197" s="2217"/>
      <c r="BF197" s="2217"/>
      <c r="BG197" s="2217"/>
      <c r="BH197" s="2217"/>
      <c r="BI197" s="2217"/>
      <c r="BJ197" s="2217"/>
      <c r="BK197" s="2217"/>
      <c r="BL197" s="2217"/>
      <c r="BM197" s="2217"/>
      <c r="BN197" s="2217"/>
      <c r="BO197" s="2217"/>
      <c r="BP197" s="2217"/>
      <c r="BQ197" s="2217"/>
      <c r="BR197" s="2217"/>
      <c r="BS197" s="2217"/>
      <c r="BT197" s="2217"/>
      <c r="BU197" s="2217"/>
      <c r="BV197" s="2217"/>
      <c r="BW197" s="2217"/>
      <c r="BX197" s="2217"/>
      <c r="BY197" s="2217"/>
      <c r="BZ197" s="2217"/>
      <c r="CA197" s="2217"/>
      <c r="CB197" s="2217"/>
      <c r="CC197" s="2217"/>
      <c r="CD197" s="2217"/>
      <c r="CE197" s="2217"/>
      <c r="CF197" s="2217"/>
      <c r="CG197" s="2217"/>
      <c r="CH197" s="2217"/>
      <c r="CI197" s="2217"/>
      <c r="CJ197" s="2217"/>
      <c r="CK197" s="2217"/>
      <c r="CL197" s="2217"/>
      <c r="CM197" s="2217"/>
      <c r="CN197" s="2217"/>
      <c r="CO197" s="2217"/>
      <c r="CP197" s="2217"/>
      <c r="CQ197" s="2217"/>
      <c r="CR197" s="2217"/>
      <c r="CS197" s="2217"/>
      <c r="CT197" s="2217"/>
      <c r="CU197" s="2217"/>
      <c r="CV197" s="2217"/>
      <c r="CW197" s="2217"/>
      <c r="CX197" s="2217"/>
      <c r="CY197" s="2217"/>
      <c r="CZ197" s="2217"/>
    </row>
    <row r="198" spans="1:104">
      <c r="A198" s="2911"/>
      <c r="B198" s="2988" t="str">
        <f>IF(ROUND(B197,-1)=ROUND(FS!F101,-1),"BINGO","FAIL")</f>
        <v>FAIL</v>
      </c>
      <c r="C198" s="2371" t="str">
        <f>IF(ROUND(C197,-1)=ROUND(FS!G101,-1),"BINGO","FAIL")</f>
        <v>BINGO</v>
      </c>
      <c r="D198" s="2371" t="str">
        <f>IF(ROUND(D197,-1)=ROUND(FS!H101,-1),"BINGO","FAIL")</f>
        <v>FAIL</v>
      </c>
      <c r="E198" s="2371" t="str">
        <f>IF(ROUND(E197,-1)=ROUND(FS!I101,-1),"BINGO","FAIL")</f>
        <v>FAIL</v>
      </c>
      <c r="F198" s="2371" t="str">
        <f>IF(ROUND(F197,-1)=ROUND(FS!J101,-1),"BINGO","FAIL")</f>
        <v>FAIL</v>
      </c>
      <c r="G198" s="2371" t="str">
        <f>IF(ROUND(G197,-1)=ROUND(FS!K101,-1),"BINGO","FAIL")</f>
        <v>FAIL</v>
      </c>
      <c r="H198" s="2371" t="str">
        <f>IF(ROUND(H197,-1)=ROUND(FS!L101,-1),"BINGO","FAIL")</f>
        <v>FAIL</v>
      </c>
      <c r="I198" s="2371" t="str">
        <f>IF(ROUND(I197,-1)=ROUND(FS!M101,-1),"BINGO","FAIL")</f>
        <v>BINGO</v>
      </c>
      <c r="J198" s="2371" t="str">
        <f ca="1">IF(ROUND(J197,-1)=ROUND(FS!N101,-1),"BINGO","FAIL")</f>
        <v>BINGO</v>
      </c>
      <c r="K198" s="2370" t="str">
        <f ca="1">IF(ROUND(K197,-1)=ROUND(FS!O101,-1),"BINGO","FAIL")</f>
        <v>BINGO</v>
      </c>
      <c r="L198" s="2179">
        <f ca="1">J193-J128</f>
        <v>-1012.7455657750008</v>
      </c>
      <c r="M198" s="2179"/>
      <c r="N198" s="2179"/>
      <c r="O198" s="2179"/>
      <c r="P198" s="2179"/>
      <c r="Q198" s="2179"/>
      <c r="R198" s="2179"/>
      <c r="S198" s="2179"/>
      <c r="T198" s="2175">
        <v>195</v>
      </c>
      <c r="U198" s="2175"/>
      <c r="V198" s="2175"/>
      <c r="W198" s="2175"/>
      <c r="X198" s="2175"/>
      <c r="Y198" s="2175"/>
      <c r="Z198" s="2175"/>
      <c r="AA198" s="2175"/>
      <c r="AB198" s="2175"/>
      <c r="AC198" s="2175"/>
      <c r="AD198" s="2175"/>
      <c r="AE198" s="2175"/>
      <c r="AF198" s="2175"/>
      <c r="AG198" s="2175"/>
      <c r="AH198" s="2175"/>
      <c r="AI198" s="2175"/>
      <c r="AJ198" s="2175"/>
      <c r="AK198" s="2175"/>
      <c r="AL198" s="2175"/>
      <c r="AM198" s="2175"/>
      <c r="AN198" s="2175"/>
      <c r="AO198" s="2375"/>
      <c r="AP198" s="2175"/>
      <c r="AQ198" s="2175"/>
      <c r="AR198" s="2175"/>
      <c r="AS198" s="2375"/>
      <c r="AT198" s="2175"/>
      <c r="AU198" s="2175"/>
      <c r="AV198" s="2175"/>
      <c r="AW198" s="2376"/>
      <c r="AX198" s="2177"/>
      <c r="AY198" s="2177"/>
      <c r="AZ198" s="2177"/>
      <c r="BA198" s="2174"/>
      <c r="BB198" s="2174"/>
      <c r="BC198" s="2174"/>
      <c r="BD198" s="2174"/>
      <c r="BE198" s="2174"/>
      <c r="BF198" s="2174"/>
      <c r="BG198" s="2174"/>
      <c r="BH198" s="2174"/>
      <c r="BI198" s="2174"/>
      <c r="BJ198" s="2174"/>
      <c r="BK198" s="2174"/>
      <c r="BL198" s="2174"/>
      <c r="BM198" s="2174"/>
      <c r="BN198" s="2174"/>
      <c r="BO198" s="2174"/>
      <c r="BP198" s="2174"/>
      <c r="BQ198" s="2174"/>
      <c r="BR198" s="2174"/>
      <c r="BS198" s="2174"/>
      <c r="BT198" s="2174"/>
      <c r="BU198" s="2174"/>
      <c r="BV198" s="2174"/>
      <c r="BW198" s="2174"/>
      <c r="BX198" s="2174"/>
      <c r="BY198" s="2174"/>
      <c r="BZ198" s="2174"/>
      <c r="CA198" s="2174"/>
      <c r="CB198" s="2174"/>
      <c r="CC198" s="2174"/>
      <c r="CD198" s="2174"/>
      <c r="CE198" s="2174"/>
      <c r="CF198" s="2174"/>
      <c r="CG198" s="2174"/>
      <c r="CH198" s="2174"/>
      <c r="CI198" s="2174"/>
      <c r="CJ198" s="2174"/>
      <c r="CK198" s="2174"/>
      <c r="CL198" s="2174"/>
      <c r="CM198" s="2174"/>
      <c r="CN198" s="2174"/>
      <c r="CO198" s="2174"/>
      <c r="CP198" s="2174"/>
      <c r="CQ198" s="2174"/>
      <c r="CR198" s="2174"/>
      <c r="CS198" s="2174"/>
      <c r="CT198" s="2174"/>
      <c r="CU198" s="2174"/>
      <c r="CV198" s="2174"/>
      <c r="CW198" s="2174"/>
      <c r="CX198" s="2174"/>
      <c r="CY198" s="2174"/>
      <c r="CZ198" s="2174"/>
    </row>
    <row r="199" spans="1:104" s="2999" customFormat="1">
      <c r="A199" s="2989" t="s">
        <v>250</v>
      </c>
      <c r="B199" s="2990"/>
      <c r="C199" s="2991"/>
      <c r="D199" s="2991"/>
      <c r="E199" s="2991"/>
      <c r="F199" s="2991"/>
      <c r="G199" s="2991"/>
      <c r="H199" s="2991"/>
      <c r="I199" s="2991"/>
      <c r="J199" s="2991"/>
      <c r="K199" s="2992"/>
      <c r="L199" s="2993"/>
      <c r="M199" s="2993"/>
      <c r="N199" s="2993"/>
      <c r="O199" s="2993"/>
      <c r="P199" s="2993"/>
      <c r="Q199" s="2993"/>
      <c r="R199" s="2993"/>
      <c r="S199" s="2993"/>
      <c r="T199" s="2175">
        <v>196</v>
      </c>
      <c r="U199" s="2993"/>
      <c r="V199" s="2993"/>
      <c r="W199" s="2993"/>
      <c r="X199" s="2993"/>
      <c r="Y199" s="2993"/>
      <c r="Z199" s="2993"/>
      <c r="AA199" s="2993"/>
      <c r="AB199" s="2993"/>
      <c r="AC199" s="2993"/>
      <c r="AD199" s="2993"/>
      <c r="AE199" s="2993"/>
      <c r="AF199" s="2993"/>
      <c r="AG199" s="2994" t="str">
        <f t="shared" ref="AG199:AO199" si="869">AG5</f>
        <v>Q1/2021</v>
      </c>
      <c r="AH199" s="2994" t="str">
        <f t="shared" si="869"/>
        <v>Q2/2021</v>
      </c>
      <c r="AI199" s="2994" t="str">
        <f t="shared" si="869"/>
        <v>Q3/2021</v>
      </c>
      <c r="AJ199" s="2994" t="str">
        <f t="shared" si="869"/>
        <v>Q4/2021</v>
      </c>
      <c r="AK199" s="2994" t="str">
        <f t="shared" si="869"/>
        <v>Q1/2022</v>
      </c>
      <c r="AL199" s="2994" t="str">
        <f t="shared" si="869"/>
        <v>Q2/2022</v>
      </c>
      <c r="AM199" s="2994" t="str">
        <f t="shared" si="869"/>
        <v>Q3/2022</v>
      </c>
      <c r="AN199" s="2994" t="str">
        <f t="shared" si="869"/>
        <v>Q4/2022</v>
      </c>
      <c r="AO199" s="2995" t="str">
        <f t="shared" si="869"/>
        <v>Q1/2023</v>
      </c>
      <c r="AP199" s="2993"/>
      <c r="AQ199" s="2993"/>
      <c r="AR199" s="2993"/>
      <c r="AS199" s="2996"/>
      <c r="AT199" s="2993"/>
      <c r="AU199" s="2993"/>
      <c r="AV199" s="2993"/>
      <c r="AW199" s="2997"/>
      <c r="AX199" s="2998"/>
      <c r="AY199" s="2998"/>
      <c r="AZ199" s="2998"/>
      <c r="BA199" s="2989"/>
      <c r="BB199" s="2989"/>
      <c r="BC199" s="2989"/>
      <c r="BD199" s="2989"/>
      <c r="BE199" s="2989"/>
      <c r="BF199" s="2989"/>
      <c r="BG199" s="2989"/>
      <c r="BH199" s="2989"/>
      <c r="BI199" s="2989"/>
      <c r="BJ199" s="2989"/>
      <c r="BK199" s="2989"/>
      <c r="BL199" s="2989"/>
      <c r="BM199" s="2989"/>
      <c r="BN199" s="2989"/>
      <c r="BO199" s="2989"/>
      <c r="BP199" s="2989"/>
      <c r="BQ199" s="2989"/>
      <c r="BR199" s="2989"/>
      <c r="BS199" s="2989"/>
      <c r="BT199" s="2989"/>
      <c r="BU199" s="2989"/>
      <c r="BV199" s="2989"/>
      <c r="BW199" s="2989"/>
      <c r="BX199" s="2989"/>
      <c r="BY199" s="2989"/>
      <c r="BZ199" s="2989"/>
      <c r="CA199" s="2989"/>
      <c r="CB199" s="2989"/>
      <c r="CC199" s="2989"/>
      <c r="CD199" s="2989"/>
      <c r="CE199" s="2989"/>
      <c r="CF199" s="2989"/>
      <c r="CG199" s="2989"/>
      <c r="CH199" s="2989"/>
      <c r="CI199" s="2989"/>
      <c r="CJ199" s="2989"/>
      <c r="CK199" s="2989"/>
      <c r="CL199" s="2989"/>
      <c r="CM199" s="2989"/>
      <c r="CN199" s="2989"/>
      <c r="CO199" s="2989"/>
      <c r="CP199" s="2989"/>
      <c r="CQ199" s="2989"/>
      <c r="CR199" s="2989"/>
      <c r="CS199" s="2989"/>
      <c r="CT199" s="2989"/>
      <c r="CU199" s="2989"/>
      <c r="CV199" s="2989"/>
      <c r="CW199" s="2989"/>
      <c r="CX199" s="2989"/>
      <c r="CY199" s="2989"/>
      <c r="CZ199" s="2989"/>
    </row>
    <row r="200" spans="1:104" s="2185" customFormat="1" outlineLevel="1">
      <c r="A200" s="2180" t="s">
        <v>251</v>
      </c>
      <c r="B200" s="2300"/>
      <c r="C200" s="2301"/>
      <c r="D200" s="2301"/>
      <c r="E200" s="2301"/>
      <c r="F200" s="2196">
        <f>F201*F$6</f>
        <v>43934.924909990885</v>
      </c>
      <c r="G200" s="2196">
        <f>G201*G$6</f>
        <v>41898.763590849034</v>
      </c>
      <c r="H200" s="2196">
        <f>H201*H$6</f>
        <v>49675.074865682298</v>
      </c>
      <c r="I200" s="2301"/>
      <c r="J200" s="2301"/>
      <c r="K200" s="2364"/>
      <c r="L200" s="2181"/>
      <c r="M200" s="2181"/>
      <c r="N200" s="2181"/>
      <c r="O200" s="2181"/>
      <c r="P200" s="2181"/>
      <c r="Q200" s="2181"/>
      <c r="R200" s="2181"/>
      <c r="S200" s="2181"/>
      <c r="T200" s="2175">
        <v>197</v>
      </c>
      <c r="U200" s="2181"/>
      <c r="V200" s="2181"/>
      <c r="W200" s="2181"/>
      <c r="X200" s="2181"/>
      <c r="Y200" s="2181"/>
      <c r="Z200" s="2181"/>
      <c r="AA200" s="2181"/>
      <c r="AB200" s="2181"/>
      <c r="AC200" s="2181"/>
      <c r="AD200" s="2181"/>
      <c r="AE200" s="2181"/>
      <c r="AF200" s="2181"/>
      <c r="AG200" s="2181"/>
      <c r="AH200" s="2181"/>
      <c r="AI200" s="2181"/>
      <c r="AJ200" s="2181"/>
      <c r="AK200" s="2181"/>
      <c r="AL200" s="2181"/>
      <c r="AM200" s="2181"/>
      <c r="AN200" s="2181"/>
      <c r="AO200" s="2366"/>
      <c r="AP200" s="2181"/>
      <c r="AQ200" s="2181"/>
      <c r="AR200" s="2181"/>
      <c r="AS200" s="2366"/>
      <c r="AT200" s="2181"/>
      <c r="AU200" s="2181"/>
      <c r="AV200" s="2181"/>
      <c r="AW200" s="2367"/>
      <c r="AX200" s="2368"/>
      <c r="AY200" s="2368"/>
      <c r="AZ200" s="2368"/>
      <c r="BA200" s="2180"/>
      <c r="BB200" s="2180"/>
      <c r="BC200" s="2180"/>
      <c r="BD200" s="2180"/>
      <c r="BE200" s="2180"/>
      <c r="BF200" s="2180"/>
      <c r="BG200" s="2180"/>
      <c r="BH200" s="2180"/>
      <c r="BI200" s="2180"/>
      <c r="BJ200" s="2180"/>
      <c r="BK200" s="2180"/>
      <c r="BL200" s="2180"/>
      <c r="BM200" s="2180"/>
      <c r="BN200" s="2180"/>
      <c r="BO200" s="2180"/>
      <c r="BP200" s="2180"/>
      <c r="BQ200" s="2180"/>
      <c r="BR200" s="2180"/>
      <c r="BS200" s="2180"/>
      <c r="BT200" s="2180"/>
      <c r="BU200" s="2180"/>
      <c r="BV200" s="2180"/>
      <c r="BW200" s="2180"/>
      <c r="BX200" s="2180"/>
      <c r="BY200" s="2180"/>
      <c r="BZ200" s="2180"/>
      <c r="CA200" s="2180"/>
      <c r="CB200" s="2180"/>
      <c r="CC200" s="2180"/>
      <c r="CD200" s="2180"/>
      <c r="CE200" s="2180"/>
      <c r="CF200" s="2180"/>
      <c r="CG200" s="2180"/>
      <c r="CH200" s="2180"/>
      <c r="CI200" s="2180"/>
      <c r="CJ200" s="2180"/>
      <c r="CK200" s="2180"/>
      <c r="CL200" s="2180"/>
      <c r="CM200" s="2180"/>
      <c r="CN200" s="2180"/>
      <c r="CO200" s="2180"/>
      <c r="CP200" s="2180"/>
      <c r="CQ200" s="2180"/>
      <c r="CR200" s="2180"/>
      <c r="CS200" s="2180"/>
      <c r="CT200" s="2180"/>
      <c r="CU200" s="2180"/>
      <c r="CV200" s="2180"/>
      <c r="CW200" s="2180"/>
      <c r="CX200" s="2180"/>
      <c r="CY200" s="2180"/>
      <c r="CZ200" s="2180"/>
    </row>
    <row r="201" spans="1:104" s="2216" customFormat="1" outlineLevel="1">
      <c r="A201" s="2204"/>
      <c r="B201" s="2240"/>
      <c r="C201" s="2256"/>
      <c r="D201" s="2206"/>
      <c r="E201" s="2207"/>
      <c r="F201" s="2207">
        <v>0.43</v>
      </c>
      <c r="G201" s="2207">
        <v>0.38600000000000001</v>
      </c>
      <c r="H201" s="2207">
        <v>0.40400000000000003</v>
      </c>
      <c r="I201" s="2256"/>
      <c r="J201" s="2256"/>
      <c r="K201" s="2296"/>
      <c r="L201" s="2210"/>
      <c r="M201" s="2210"/>
      <c r="N201" s="2210"/>
      <c r="O201" s="2210"/>
      <c r="P201" s="2210"/>
      <c r="Q201" s="2210"/>
      <c r="R201" s="2210"/>
      <c r="S201" s="2210"/>
      <c r="T201" s="2175">
        <v>198</v>
      </c>
      <c r="U201" s="2210"/>
      <c r="V201" s="2210"/>
      <c r="W201" s="2210"/>
      <c r="X201" s="2210"/>
      <c r="Y201" s="2210"/>
      <c r="Z201" s="2210"/>
      <c r="AA201" s="2210"/>
      <c r="AB201" s="2210"/>
      <c r="AC201" s="2210"/>
      <c r="AD201" s="2210"/>
      <c r="AE201" s="2210"/>
      <c r="AF201" s="2210"/>
      <c r="AG201" s="2210"/>
      <c r="AH201" s="2210"/>
      <c r="AI201" s="2210"/>
      <c r="AJ201" s="2210"/>
      <c r="AK201" s="2210"/>
      <c r="AL201" s="2210"/>
      <c r="AM201" s="2210"/>
      <c r="AN201" s="2210"/>
      <c r="AO201" s="2258"/>
      <c r="AP201" s="2210"/>
      <c r="AQ201" s="2210"/>
      <c r="AR201" s="2210"/>
      <c r="AS201" s="2258"/>
      <c r="AT201" s="2210"/>
      <c r="AU201" s="2210"/>
      <c r="AV201" s="2210"/>
      <c r="AW201" s="2259"/>
      <c r="AX201" s="2242"/>
      <c r="AY201" s="2242"/>
      <c r="AZ201" s="2242"/>
      <c r="BA201" s="2204"/>
      <c r="BB201" s="2204"/>
      <c r="BC201" s="2204"/>
      <c r="BD201" s="2204"/>
      <c r="BE201" s="2204"/>
      <c r="BF201" s="2204"/>
      <c r="BG201" s="2204"/>
      <c r="BH201" s="2204"/>
      <c r="BI201" s="2204"/>
      <c r="BJ201" s="2204"/>
      <c r="BK201" s="2204"/>
      <c r="BL201" s="2204"/>
      <c r="BM201" s="2204"/>
      <c r="BN201" s="2204"/>
      <c r="BO201" s="2204"/>
      <c r="BP201" s="2204"/>
      <c r="BQ201" s="2204"/>
      <c r="BR201" s="2204"/>
      <c r="BS201" s="2204"/>
      <c r="BT201" s="2204"/>
      <c r="BU201" s="2204"/>
      <c r="BV201" s="2204"/>
      <c r="BW201" s="2204"/>
      <c r="BX201" s="2204"/>
      <c r="BY201" s="2204"/>
      <c r="BZ201" s="2204"/>
      <c r="CA201" s="2204"/>
      <c r="CB201" s="2204"/>
      <c r="CC201" s="2204"/>
      <c r="CD201" s="2204"/>
      <c r="CE201" s="2204"/>
      <c r="CF201" s="2204"/>
      <c r="CG201" s="2204"/>
      <c r="CH201" s="2204"/>
      <c r="CI201" s="2204"/>
      <c r="CJ201" s="2204"/>
      <c r="CK201" s="2204"/>
      <c r="CL201" s="2204"/>
      <c r="CM201" s="2204"/>
      <c r="CN201" s="2204"/>
      <c r="CO201" s="2204"/>
      <c r="CP201" s="2204"/>
      <c r="CQ201" s="2204"/>
      <c r="CR201" s="2204"/>
      <c r="CS201" s="2204"/>
      <c r="CT201" s="2204"/>
      <c r="CU201" s="2204"/>
      <c r="CV201" s="2204"/>
      <c r="CW201" s="2204"/>
      <c r="CX201" s="2204"/>
      <c r="CY201" s="2204"/>
      <c r="CZ201" s="2204"/>
    </row>
    <row r="202" spans="1:104" s="2185" customFormat="1" outlineLevel="1">
      <c r="A202" s="2180" t="s">
        <v>252</v>
      </c>
      <c r="B202" s="2300"/>
      <c r="C202" s="2301"/>
      <c r="D202" s="3000"/>
      <c r="E202" s="2902"/>
      <c r="F202" s="2195">
        <f>F203*F$6</f>
        <v>40358.826370805582</v>
      </c>
      <c r="G202" s="2195">
        <f>G203*G$6</f>
        <v>38425.290961555846</v>
      </c>
      <c r="H202" s="2195">
        <f>H203*H$6</f>
        <v>38977.719634706154</v>
      </c>
      <c r="I202" s="2301"/>
      <c r="J202" s="2301"/>
      <c r="K202" s="2364"/>
      <c r="L202" s="2181"/>
      <c r="M202" s="2181"/>
      <c r="N202" s="2181"/>
      <c r="O202" s="2181"/>
      <c r="P202" s="2181"/>
      <c r="Q202" s="2181"/>
      <c r="R202" s="2181"/>
      <c r="S202" s="2181"/>
      <c r="T202" s="2175">
        <v>199</v>
      </c>
      <c r="U202" s="2181"/>
      <c r="V202" s="2181"/>
      <c r="W202" s="2181"/>
      <c r="X202" s="2181"/>
      <c r="Y202" s="2181"/>
      <c r="Z202" s="2181"/>
      <c r="AA202" s="2181"/>
      <c r="AB202" s="2181"/>
      <c r="AC202" s="2181"/>
      <c r="AD202" s="2181"/>
      <c r="AE202" s="2181"/>
      <c r="AF202" s="2181"/>
      <c r="AG202" s="2181"/>
      <c r="AH202" s="2181"/>
      <c r="AI202" s="2181"/>
      <c r="AJ202" s="2181"/>
      <c r="AK202" s="2181"/>
      <c r="AL202" s="2181"/>
      <c r="AM202" s="2181"/>
      <c r="AN202" s="2181"/>
      <c r="AO202" s="2366"/>
      <c r="AP202" s="2181"/>
      <c r="AQ202" s="2181"/>
      <c r="AR202" s="2181"/>
      <c r="AS202" s="2366"/>
      <c r="AT202" s="2181"/>
      <c r="AU202" s="2181"/>
      <c r="AV202" s="2181"/>
      <c r="AW202" s="2367"/>
      <c r="AX202" s="2368"/>
      <c r="AY202" s="2368"/>
      <c r="AZ202" s="2368"/>
      <c r="BA202" s="2180"/>
      <c r="BB202" s="2180"/>
      <c r="BC202" s="2180"/>
      <c r="BD202" s="2180"/>
      <c r="BE202" s="2180"/>
      <c r="BF202" s="2180"/>
      <c r="BG202" s="2180"/>
      <c r="BH202" s="2180"/>
      <c r="BI202" s="2180"/>
      <c r="BJ202" s="2180"/>
      <c r="BK202" s="2180"/>
      <c r="BL202" s="2180"/>
      <c r="BM202" s="2180"/>
      <c r="BN202" s="2180"/>
      <c r="BO202" s="2180"/>
      <c r="BP202" s="2180"/>
      <c r="BQ202" s="2180"/>
      <c r="BR202" s="2180"/>
      <c r="BS202" s="2180"/>
      <c r="BT202" s="2180"/>
      <c r="BU202" s="2180"/>
      <c r="BV202" s="2180"/>
      <c r="BW202" s="2180"/>
      <c r="BX202" s="2180"/>
      <c r="BY202" s="2180"/>
      <c r="BZ202" s="2180"/>
      <c r="CA202" s="2180"/>
      <c r="CB202" s="2180"/>
      <c r="CC202" s="2180"/>
      <c r="CD202" s="2180"/>
      <c r="CE202" s="2180"/>
      <c r="CF202" s="2180"/>
      <c r="CG202" s="2180"/>
      <c r="CH202" s="2180"/>
      <c r="CI202" s="2180"/>
      <c r="CJ202" s="2180"/>
      <c r="CK202" s="2180"/>
      <c r="CL202" s="2180"/>
      <c r="CM202" s="2180"/>
      <c r="CN202" s="2180"/>
      <c r="CO202" s="2180"/>
      <c r="CP202" s="2180"/>
      <c r="CQ202" s="2180"/>
      <c r="CR202" s="2180"/>
      <c r="CS202" s="2180"/>
      <c r="CT202" s="2180"/>
      <c r="CU202" s="2180"/>
      <c r="CV202" s="2180"/>
      <c r="CW202" s="2180"/>
      <c r="CX202" s="2180"/>
      <c r="CY202" s="2180"/>
      <c r="CZ202" s="2180"/>
    </row>
    <row r="203" spans="1:104" s="2216" customFormat="1" outlineLevel="1">
      <c r="A203" s="2204"/>
      <c r="B203" s="2240"/>
      <c r="C203" s="2256"/>
      <c r="D203" s="2206"/>
      <c r="E203" s="2207"/>
      <c r="F203" s="2207">
        <v>0.39500000000000002</v>
      </c>
      <c r="G203" s="2207">
        <v>0.35399999999999998</v>
      </c>
      <c r="H203" s="2207">
        <v>0.317</v>
      </c>
      <c r="I203" s="2256"/>
      <c r="J203" s="2256"/>
      <c r="K203" s="2296"/>
      <c r="L203" s="2210"/>
      <c r="M203" s="2210"/>
      <c r="N203" s="2210"/>
      <c r="O203" s="2210"/>
      <c r="P203" s="2210"/>
      <c r="Q203" s="2210"/>
      <c r="R203" s="2210"/>
      <c r="S203" s="2210"/>
      <c r="T203" s="2175">
        <v>200</v>
      </c>
      <c r="U203" s="2210"/>
      <c r="V203" s="2210"/>
      <c r="W203" s="2210"/>
      <c r="X203" s="2210"/>
      <c r="Y203" s="2210"/>
      <c r="Z203" s="2210"/>
      <c r="AA203" s="2210"/>
      <c r="AB203" s="2210"/>
      <c r="AC203" s="2210"/>
      <c r="AD203" s="2210"/>
      <c r="AE203" s="2210"/>
      <c r="AF203" s="2210"/>
      <c r="AG203" s="2210"/>
      <c r="AH203" s="2210"/>
      <c r="AI203" s="2210"/>
      <c r="AJ203" s="2210"/>
      <c r="AK203" s="2210"/>
      <c r="AL203" s="2210"/>
      <c r="AM203" s="2210"/>
      <c r="AN203" s="2210"/>
      <c r="AO203" s="2258"/>
      <c r="AP203" s="2210"/>
      <c r="AQ203" s="2210"/>
      <c r="AR203" s="2210"/>
      <c r="AS203" s="2258"/>
      <c r="AT203" s="2210"/>
      <c r="AU203" s="2210"/>
      <c r="AV203" s="2210"/>
      <c r="AW203" s="2259"/>
      <c r="AX203" s="2242"/>
      <c r="AY203" s="2242"/>
      <c r="AZ203" s="2242"/>
      <c r="BA203" s="2204"/>
      <c r="BB203" s="2204"/>
      <c r="BC203" s="2204"/>
      <c r="BD203" s="2204"/>
      <c r="BE203" s="2204"/>
      <c r="BF203" s="2204"/>
      <c r="BG203" s="2204"/>
      <c r="BH203" s="2204"/>
      <c r="BI203" s="2204"/>
      <c r="BJ203" s="2204"/>
      <c r="BK203" s="2204"/>
      <c r="BL203" s="2204"/>
      <c r="BM203" s="2204"/>
      <c r="BN203" s="2204"/>
      <c r="BO203" s="2204"/>
      <c r="BP203" s="2204"/>
      <c r="BQ203" s="2204"/>
      <c r="BR203" s="2204"/>
      <c r="BS203" s="2204"/>
      <c r="BT203" s="2204"/>
      <c r="BU203" s="2204"/>
      <c r="BV203" s="2204"/>
      <c r="BW203" s="2204"/>
      <c r="BX203" s="2204"/>
      <c r="BY203" s="2204"/>
      <c r="BZ203" s="2204"/>
      <c r="CA203" s="2204"/>
      <c r="CB203" s="2204"/>
      <c r="CC203" s="2204"/>
      <c r="CD203" s="2204"/>
      <c r="CE203" s="2204"/>
      <c r="CF203" s="2204"/>
      <c r="CG203" s="2204"/>
      <c r="CH203" s="2204"/>
      <c r="CI203" s="2204"/>
      <c r="CJ203" s="2204"/>
      <c r="CK203" s="2204"/>
      <c r="CL203" s="2204"/>
      <c r="CM203" s="2204"/>
      <c r="CN203" s="2204"/>
      <c r="CO203" s="2204"/>
      <c r="CP203" s="2204"/>
      <c r="CQ203" s="2204"/>
      <c r="CR203" s="2204"/>
      <c r="CS203" s="2204"/>
      <c r="CT203" s="2204"/>
      <c r="CU203" s="2204"/>
      <c r="CV203" s="2204"/>
      <c r="CW203" s="2204"/>
      <c r="CX203" s="2204"/>
      <c r="CY203" s="2204"/>
      <c r="CZ203" s="2204"/>
    </row>
    <row r="204" spans="1:104" s="2185" customFormat="1" outlineLevel="1">
      <c r="A204" s="2180" t="s">
        <v>253</v>
      </c>
      <c r="B204" s="2300"/>
      <c r="C204" s="2301"/>
      <c r="D204" s="3000"/>
      <c r="E204" s="2902"/>
      <c r="F204" s="2195">
        <f>F205*F$6</f>
        <v>10728.295617555914</v>
      </c>
      <c r="G204" s="2195">
        <f>G205*G$6</f>
        <v>21275.019854420752</v>
      </c>
      <c r="H204" s="2195">
        <f>H205*H$6</f>
        <v>28157.406297626847</v>
      </c>
      <c r="I204" s="2301"/>
      <c r="J204" s="2301"/>
      <c r="K204" s="2364"/>
      <c r="L204" s="2181"/>
      <c r="M204" s="2181"/>
      <c r="N204" s="2181"/>
      <c r="O204" s="2181"/>
      <c r="P204" s="2181"/>
      <c r="Q204" s="2181"/>
      <c r="R204" s="2181"/>
      <c r="S204" s="2181"/>
      <c r="T204" s="2175">
        <v>201</v>
      </c>
      <c r="U204" s="2181"/>
      <c r="V204" s="2181"/>
      <c r="W204" s="2181"/>
      <c r="X204" s="2181"/>
      <c r="Y204" s="2181"/>
      <c r="Z204" s="2181"/>
      <c r="AA204" s="2181"/>
      <c r="AB204" s="2181"/>
      <c r="AC204" s="2181"/>
      <c r="AD204" s="2181"/>
      <c r="AE204" s="2181"/>
      <c r="AF204" s="2181"/>
      <c r="AG204" s="2181"/>
      <c r="AH204" s="2181"/>
      <c r="AI204" s="2181"/>
      <c r="AJ204" s="2181"/>
      <c r="AK204" s="2181"/>
      <c r="AL204" s="2181"/>
      <c r="AM204" s="2181"/>
      <c r="AN204" s="2181"/>
      <c r="AO204" s="2366"/>
      <c r="AP204" s="2181"/>
      <c r="AQ204" s="2181"/>
      <c r="AR204" s="2181"/>
      <c r="AS204" s="2366"/>
      <c r="AT204" s="2181"/>
      <c r="AU204" s="2181"/>
      <c r="AV204" s="2181"/>
      <c r="AW204" s="2367"/>
      <c r="AX204" s="2368"/>
      <c r="AY204" s="2368"/>
      <c r="AZ204" s="2368"/>
      <c r="BA204" s="2180"/>
      <c r="BB204" s="2180"/>
      <c r="BC204" s="2180"/>
      <c r="BD204" s="2180"/>
      <c r="BE204" s="2180"/>
      <c r="BF204" s="2180"/>
      <c r="BG204" s="2180"/>
      <c r="BH204" s="2180"/>
      <c r="BI204" s="2180"/>
      <c r="BJ204" s="2180"/>
      <c r="BK204" s="2180"/>
      <c r="BL204" s="2180"/>
      <c r="BM204" s="2180"/>
      <c r="BN204" s="2180"/>
      <c r="BO204" s="2180"/>
      <c r="BP204" s="2180"/>
      <c r="BQ204" s="2180"/>
      <c r="BR204" s="2180"/>
      <c r="BS204" s="2180"/>
      <c r="BT204" s="2180"/>
      <c r="BU204" s="2180"/>
      <c r="BV204" s="2180"/>
      <c r="BW204" s="2180"/>
      <c r="BX204" s="2180"/>
      <c r="BY204" s="2180"/>
      <c r="BZ204" s="2180"/>
      <c r="CA204" s="2180"/>
      <c r="CB204" s="2180"/>
      <c r="CC204" s="2180"/>
      <c r="CD204" s="2180"/>
      <c r="CE204" s="2180"/>
      <c r="CF204" s="2180"/>
      <c r="CG204" s="2180"/>
      <c r="CH204" s="2180"/>
      <c r="CI204" s="2180"/>
      <c r="CJ204" s="2180"/>
      <c r="CK204" s="2180"/>
      <c r="CL204" s="2180"/>
      <c r="CM204" s="2180"/>
      <c r="CN204" s="2180"/>
      <c r="CO204" s="2180"/>
      <c r="CP204" s="2180"/>
      <c r="CQ204" s="2180"/>
      <c r="CR204" s="2180"/>
      <c r="CS204" s="2180"/>
      <c r="CT204" s="2180"/>
      <c r="CU204" s="2180"/>
      <c r="CV204" s="2180"/>
      <c r="CW204" s="2180"/>
      <c r="CX204" s="2180"/>
      <c r="CY204" s="2180"/>
      <c r="CZ204" s="2180"/>
    </row>
    <row r="205" spans="1:104" s="2216" customFormat="1" outlineLevel="1">
      <c r="A205" s="2204"/>
      <c r="B205" s="2240"/>
      <c r="C205" s="2256"/>
      <c r="D205" s="2206"/>
      <c r="E205" s="2207"/>
      <c r="F205" s="2207">
        <v>0.105</v>
      </c>
      <c r="G205" s="2207">
        <v>0.19600000000000001</v>
      </c>
      <c r="H205" s="2207">
        <v>0.22900000000000001</v>
      </c>
      <c r="I205" s="2256"/>
      <c r="J205" s="2256"/>
      <c r="K205" s="2296"/>
      <c r="L205" s="2210"/>
      <c r="M205" s="2210"/>
      <c r="N205" s="2210"/>
      <c r="O205" s="2210"/>
      <c r="P205" s="2210"/>
      <c r="Q205" s="2210"/>
      <c r="R205" s="2210"/>
      <c r="S205" s="2210"/>
      <c r="T205" s="2175">
        <v>202</v>
      </c>
      <c r="U205" s="2210"/>
      <c r="V205" s="2210"/>
      <c r="W205" s="2210"/>
      <c r="X205" s="2210"/>
      <c r="Y205" s="2210"/>
      <c r="Z205" s="2210"/>
      <c r="AA205" s="2210"/>
      <c r="AB205" s="2210"/>
      <c r="AC205" s="2210"/>
      <c r="AD205" s="2210"/>
      <c r="AE205" s="2210"/>
      <c r="AF205" s="2210"/>
      <c r="AG205" s="2210"/>
      <c r="AH205" s="2210"/>
      <c r="AI205" s="2210"/>
      <c r="AJ205" s="2210"/>
      <c r="AK205" s="2210"/>
      <c r="AL205" s="2210"/>
      <c r="AM205" s="2210"/>
      <c r="AN205" s="2210"/>
      <c r="AO205" s="2258"/>
      <c r="AP205" s="2210"/>
      <c r="AQ205" s="2210"/>
      <c r="AR205" s="2210"/>
      <c r="AS205" s="2258"/>
      <c r="AT205" s="2210"/>
      <c r="AU205" s="2210"/>
      <c r="AV205" s="2210"/>
      <c r="AW205" s="2259"/>
      <c r="AX205" s="2242"/>
      <c r="AY205" s="2242"/>
      <c r="AZ205" s="2242"/>
      <c r="BA205" s="2204"/>
      <c r="BB205" s="2204"/>
      <c r="BC205" s="2204"/>
      <c r="BD205" s="2204"/>
      <c r="BE205" s="2204"/>
      <c r="BF205" s="2204"/>
      <c r="BG205" s="2204"/>
      <c r="BH205" s="2204"/>
      <c r="BI205" s="2204"/>
      <c r="BJ205" s="2204"/>
      <c r="BK205" s="2204"/>
      <c r="BL205" s="2204"/>
      <c r="BM205" s="2204"/>
      <c r="BN205" s="2204"/>
      <c r="BO205" s="2204"/>
      <c r="BP205" s="2204"/>
      <c r="BQ205" s="2204"/>
      <c r="BR205" s="2204"/>
      <c r="BS205" s="2204"/>
      <c r="BT205" s="2204"/>
      <c r="BU205" s="2204"/>
      <c r="BV205" s="2204"/>
      <c r="BW205" s="2204"/>
      <c r="BX205" s="2204"/>
      <c r="BY205" s="2204"/>
      <c r="BZ205" s="2204"/>
      <c r="CA205" s="2204"/>
      <c r="CB205" s="2204"/>
      <c r="CC205" s="2204"/>
      <c r="CD205" s="2204"/>
      <c r="CE205" s="2204"/>
      <c r="CF205" s="2204"/>
      <c r="CG205" s="2204"/>
      <c r="CH205" s="2204"/>
      <c r="CI205" s="2204"/>
      <c r="CJ205" s="2204"/>
      <c r="CK205" s="2204"/>
      <c r="CL205" s="2204"/>
      <c r="CM205" s="2204"/>
      <c r="CN205" s="2204"/>
      <c r="CO205" s="2204"/>
      <c r="CP205" s="2204"/>
      <c r="CQ205" s="2204"/>
      <c r="CR205" s="2204"/>
      <c r="CS205" s="2204"/>
      <c r="CT205" s="2204"/>
      <c r="CU205" s="2204"/>
      <c r="CV205" s="2204"/>
      <c r="CW205" s="2204"/>
      <c r="CX205" s="2204"/>
      <c r="CY205" s="2204"/>
      <c r="CZ205" s="2204"/>
    </row>
    <row r="206" spans="1:104" s="3001" customFormat="1" outlineLevel="1">
      <c r="A206" s="2390" t="s">
        <v>49</v>
      </c>
      <c r="B206" s="2193"/>
      <c r="C206" s="2194"/>
      <c r="D206" s="2194"/>
      <c r="E206" s="2195"/>
      <c r="F206" s="2195">
        <f>F207*F$6</f>
        <v>7152.1970783706147</v>
      </c>
      <c r="G206" s="2195">
        <f>G207*G$6</f>
        <v>6946.9452585863673</v>
      </c>
      <c r="H206" s="2195">
        <f>H207*H$6</f>
        <v>6147.9053051586952</v>
      </c>
      <c r="I206" s="2195"/>
      <c r="J206" s="2195"/>
      <c r="K206" s="2882"/>
      <c r="L206" s="2365"/>
      <c r="M206" s="2365"/>
      <c r="N206" s="2365"/>
      <c r="O206" s="2365"/>
      <c r="P206" s="2365"/>
      <c r="Q206" s="2365"/>
      <c r="R206" s="2365"/>
      <c r="S206" s="2365"/>
      <c r="T206" s="2175">
        <v>203</v>
      </c>
      <c r="U206" s="2365"/>
      <c r="V206" s="2365"/>
      <c r="W206" s="2365"/>
      <c r="X206" s="2365"/>
      <c r="Y206" s="2365"/>
      <c r="Z206" s="2365"/>
      <c r="AA206" s="2365"/>
      <c r="AB206" s="2365"/>
      <c r="AC206" s="2365"/>
      <c r="AD206" s="2365"/>
      <c r="AE206" s="2365"/>
      <c r="AF206" s="2365"/>
      <c r="AG206" s="2365"/>
      <c r="AH206" s="2365"/>
      <c r="AI206" s="2365"/>
      <c r="AJ206" s="2365"/>
      <c r="AK206" s="2365"/>
      <c r="AL206" s="2365"/>
      <c r="AM206" s="2365"/>
      <c r="AN206" s="2365"/>
      <c r="AO206" s="2387"/>
      <c r="AP206" s="2183"/>
      <c r="AQ206" s="2183"/>
      <c r="AR206" s="2183"/>
      <c r="AS206" s="2387"/>
      <c r="AT206" s="2365"/>
      <c r="AU206" s="2365"/>
      <c r="AV206" s="2365"/>
      <c r="AW206" s="2388"/>
      <c r="AX206" s="2389"/>
      <c r="AY206" s="2389"/>
      <c r="AZ206" s="2389"/>
      <c r="BA206" s="2390"/>
      <c r="BB206" s="2390"/>
      <c r="BC206" s="2390"/>
      <c r="BD206" s="2390"/>
      <c r="BE206" s="2390"/>
      <c r="BF206" s="2390"/>
      <c r="BG206" s="2390"/>
      <c r="BH206" s="2390"/>
      <c r="BI206" s="2390"/>
      <c r="BJ206" s="2390"/>
      <c r="BK206" s="2390"/>
      <c r="BL206" s="2390"/>
      <c r="BM206" s="2390"/>
      <c r="BN206" s="2390"/>
      <c r="BO206" s="2390"/>
      <c r="BP206" s="2390"/>
      <c r="BQ206" s="2390"/>
      <c r="BR206" s="2390"/>
      <c r="BS206" s="2390"/>
      <c r="BT206" s="2390"/>
      <c r="BU206" s="2390"/>
      <c r="BV206" s="2390"/>
      <c r="BW206" s="2390"/>
      <c r="BX206" s="2390"/>
      <c r="BY206" s="2390"/>
      <c r="BZ206" s="2390"/>
      <c r="CA206" s="2390"/>
      <c r="CB206" s="2390"/>
      <c r="CC206" s="2390"/>
      <c r="CD206" s="2390"/>
      <c r="CE206" s="2390"/>
      <c r="CF206" s="2390"/>
      <c r="CG206" s="2390"/>
      <c r="CH206" s="2390"/>
      <c r="CI206" s="2390"/>
      <c r="CJ206" s="2390"/>
      <c r="CK206" s="2390"/>
      <c r="CL206" s="2390"/>
      <c r="CM206" s="2390"/>
      <c r="CN206" s="2390"/>
      <c r="CO206" s="2390"/>
      <c r="CP206" s="2390"/>
      <c r="CQ206" s="2390"/>
      <c r="CR206" s="2390"/>
      <c r="CS206" s="2390"/>
      <c r="CT206" s="2390"/>
      <c r="CU206" s="2390"/>
      <c r="CV206" s="2390"/>
      <c r="CW206" s="2390"/>
      <c r="CX206" s="2390"/>
      <c r="CY206" s="2390"/>
      <c r="CZ206" s="2390"/>
    </row>
    <row r="207" spans="1:104" s="2216" customFormat="1" outlineLevel="1">
      <c r="A207" s="2204"/>
      <c r="B207" s="2240"/>
      <c r="C207" s="2256"/>
      <c r="D207" s="2206"/>
      <c r="E207" s="2207"/>
      <c r="F207" s="2207">
        <f>1-F201-F203-F205</f>
        <v>7.0000000000000048E-2</v>
      </c>
      <c r="G207" s="2207">
        <f>1-G201-G203-G205</f>
        <v>6.4000000000000001E-2</v>
      </c>
      <c r="H207" s="2207">
        <f>1-H201-H203-H205</f>
        <v>4.9999999999999961E-2</v>
      </c>
      <c r="I207" s="2256"/>
      <c r="J207" s="2256"/>
      <c r="K207" s="2296"/>
      <c r="L207" s="2210"/>
      <c r="M207" s="2210"/>
      <c r="N207" s="2210"/>
      <c r="O207" s="2210"/>
      <c r="P207" s="2210"/>
      <c r="Q207" s="2210"/>
      <c r="R207" s="2210"/>
      <c r="S207" s="2210"/>
      <c r="T207" s="2175">
        <v>204</v>
      </c>
      <c r="U207" s="2210"/>
      <c r="V207" s="2210"/>
      <c r="W207" s="2210"/>
      <c r="X207" s="2210"/>
      <c r="Y207" s="2210"/>
      <c r="Z207" s="2210"/>
      <c r="AA207" s="2210"/>
      <c r="AB207" s="2210"/>
      <c r="AC207" s="2210"/>
      <c r="AD207" s="2210"/>
      <c r="AE207" s="2210"/>
      <c r="AF207" s="2210"/>
      <c r="AG207" s="2210"/>
      <c r="AH207" s="2210"/>
      <c r="AI207" s="2210"/>
      <c r="AJ207" s="2210"/>
      <c r="AK207" s="2210"/>
      <c r="AL207" s="2210"/>
      <c r="AM207" s="2210"/>
      <c r="AN207" s="2210"/>
      <c r="AO207" s="2258"/>
      <c r="AP207" s="2210"/>
      <c r="AQ207" s="2210"/>
      <c r="AR207" s="2210"/>
      <c r="AS207" s="2258"/>
      <c r="AT207" s="2210"/>
      <c r="AU207" s="2210"/>
      <c r="AV207" s="2210"/>
      <c r="AW207" s="2259"/>
      <c r="AX207" s="2242"/>
      <c r="AY207" s="2242"/>
      <c r="AZ207" s="2242"/>
      <c r="BA207" s="2204"/>
      <c r="BB207" s="2204"/>
      <c r="BC207" s="2204"/>
      <c r="BD207" s="2204"/>
      <c r="BE207" s="2204"/>
      <c r="BF207" s="2204"/>
      <c r="BG207" s="2204"/>
      <c r="BH207" s="2204"/>
      <c r="BI207" s="2204"/>
      <c r="BJ207" s="2204"/>
      <c r="BK207" s="2204"/>
      <c r="BL207" s="2204"/>
      <c r="BM207" s="2204"/>
      <c r="BN207" s="2204"/>
      <c r="BO207" s="2204"/>
      <c r="BP207" s="2204"/>
      <c r="BQ207" s="2204"/>
      <c r="BR207" s="2204"/>
      <c r="BS207" s="2204"/>
      <c r="BT207" s="2204"/>
      <c r="BU207" s="2204"/>
      <c r="BV207" s="2204"/>
      <c r="BW207" s="2204"/>
      <c r="BX207" s="2204"/>
      <c r="BY207" s="2204"/>
      <c r="BZ207" s="2204"/>
      <c r="CA207" s="2204"/>
      <c r="CB207" s="2204"/>
      <c r="CC207" s="2204"/>
      <c r="CD207" s="2204"/>
      <c r="CE207" s="2204"/>
      <c r="CF207" s="2204"/>
      <c r="CG207" s="2204"/>
      <c r="CH207" s="2204"/>
      <c r="CI207" s="2204"/>
      <c r="CJ207" s="2204"/>
      <c r="CK207" s="2204"/>
      <c r="CL207" s="2204"/>
      <c r="CM207" s="2204"/>
      <c r="CN207" s="2204"/>
      <c r="CO207" s="2204"/>
      <c r="CP207" s="2204"/>
      <c r="CQ207" s="2204"/>
      <c r="CR207" s="2204"/>
      <c r="CS207" s="2204"/>
      <c r="CT207" s="2204"/>
      <c r="CU207" s="2204"/>
      <c r="CV207" s="2204"/>
      <c r="CW207" s="2204"/>
      <c r="CX207" s="2204"/>
      <c r="CY207" s="2204"/>
      <c r="CZ207" s="2204"/>
    </row>
    <row r="208" spans="1:104" s="2999" customFormat="1">
      <c r="A208" s="2989" t="s">
        <v>254</v>
      </c>
      <c r="B208" s="2990"/>
      <c r="C208" s="2991"/>
      <c r="D208" s="2991"/>
      <c r="E208" s="3002">
        <f>'FS Year'!Q50</f>
        <v>17821.137643753002</v>
      </c>
      <c r="F208" s="3002">
        <f>'FS Year'!R50</f>
        <v>26195.934673883999</v>
      </c>
      <c r="G208" s="3002">
        <f>'FS Year'!S50</f>
        <v>19926.363502364999</v>
      </c>
      <c r="H208" s="3002">
        <f>'FS Year'!T50</f>
        <v>29850.068817718999</v>
      </c>
      <c r="I208" s="3003">
        <f>SUM(I209:I217,I219:I220)</f>
        <v>25458.311061815006</v>
      </c>
      <c r="J208" s="2991"/>
      <c r="K208" s="2992"/>
      <c r="L208" s="2993"/>
      <c r="M208" s="2993"/>
      <c r="N208" s="2993"/>
      <c r="O208" s="2993"/>
      <c r="P208" s="2993"/>
      <c r="Q208" s="2993"/>
      <c r="R208" s="2993"/>
      <c r="S208" s="2993"/>
      <c r="T208" s="2175">
        <v>205</v>
      </c>
      <c r="U208" s="2993"/>
      <c r="V208" s="2993"/>
      <c r="W208" s="2993"/>
      <c r="X208" s="2993"/>
      <c r="Y208" s="2993"/>
      <c r="Z208" s="2993"/>
      <c r="AA208" s="2993"/>
      <c r="AB208" s="2993"/>
      <c r="AC208" s="2993"/>
      <c r="AD208" s="2993"/>
      <c r="AE208" s="2993"/>
      <c r="AF208" s="3004">
        <f>SUM(AF209:AF217)</f>
        <v>16660.647000000001</v>
      </c>
      <c r="AG208" s="3004">
        <f t="shared" ref="AG208:AQ208" si="870">SUM(AG209:AG217)</f>
        <v>20338.139000000006</v>
      </c>
      <c r="AH208" s="3004">
        <f t="shared" si="870"/>
        <v>19368.365000000002</v>
      </c>
      <c r="AI208" s="3004">
        <f t="shared" si="870"/>
        <v>18603.313999999998</v>
      </c>
      <c r="AJ208" s="3004">
        <f t="shared" si="870"/>
        <v>24651.804</v>
      </c>
      <c r="AK208" s="3004">
        <f t="shared" si="870"/>
        <v>35197.894000000008</v>
      </c>
      <c r="AL208" s="3004">
        <f t="shared" si="870"/>
        <v>24734.032000000003</v>
      </c>
      <c r="AM208" s="3004">
        <f t="shared" si="870"/>
        <v>25152.873</v>
      </c>
      <c r="AN208" s="3004">
        <f t="shared" si="870"/>
        <v>21564.818061815004</v>
      </c>
      <c r="AO208" s="3005">
        <f t="shared" si="870"/>
        <v>17551.133999999998</v>
      </c>
      <c r="AP208" s="3005">
        <f t="shared" si="870"/>
        <v>18431.507509499999</v>
      </c>
      <c r="AQ208" s="3005">
        <f t="shared" si="870"/>
        <v>19135.199700000005</v>
      </c>
      <c r="AR208" s="2993"/>
      <c r="AS208" s="2996"/>
      <c r="AT208" s="2993"/>
      <c r="AU208" s="2993"/>
      <c r="AV208" s="2993"/>
      <c r="AW208" s="2997"/>
      <c r="AX208" s="2998"/>
      <c r="AY208" s="2998"/>
      <c r="AZ208" s="2998"/>
      <c r="BA208" s="2989"/>
      <c r="BB208" s="2989"/>
      <c r="BC208" s="2989"/>
      <c r="BD208" s="2989"/>
      <c r="BE208" s="2989"/>
      <c r="BF208" s="2989"/>
      <c r="BG208" s="2989"/>
      <c r="BH208" s="2989"/>
      <c r="BI208" s="2989"/>
      <c r="BJ208" s="2989"/>
      <c r="BK208" s="2989"/>
      <c r="BL208" s="2989"/>
      <c r="BM208" s="2989"/>
      <c r="BN208" s="2989"/>
      <c r="BO208" s="2989"/>
      <c r="BP208" s="2989"/>
      <c r="BQ208" s="2989"/>
      <c r="BR208" s="2989"/>
      <c r="BS208" s="2989"/>
      <c r="BT208" s="2989"/>
      <c r="BU208" s="2989"/>
      <c r="BV208" s="2989"/>
      <c r="BW208" s="2989"/>
      <c r="BX208" s="2989"/>
      <c r="BY208" s="2989"/>
      <c r="BZ208" s="2989"/>
      <c r="CA208" s="2989"/>
      <c r="CB208" s="2989"/>
      <c r="CC208" s="2989"/>
      <c r="CD208" s="2989"/>
      <c r="CE208" s="2989"/>
      <c r="CF208" s="2989"/>
      <c r="CG208" s="2989"/>
      <c r="CH208" s="2989"/>
      <c r="CI208" s="2989"/>
      <c r="CJ208" s="2989"/>
      <c r="CK208" s="2989"/>
      <c r="CL208" s="2989"/>
      <c r="CM208" s="2989"/>
      <c r="CN208" s="2989"/>
      <c r="CO208" s="2989"/>
      <c r="CP208" s="2989"/>
      <c r="CQ208" s="2989"/>
      <c r="CR208" s="2989"/>
      <c r="CS208" s="2989"/>
      <c r="CT208" s="2989"/>
      <c r="CU208" s="2989"/>
      <c r="CV208" s="2989"/>
      <c r="CW208" s="2989"/>
      <c r="CX208" s="2989"/>
      <c r="CY208" s="2989"/>
      <c r="CZ208" s="2989"/>
    </row>
    <row r="209" spans="1:104" ht="15.75" customHeight="1" outlineLevel="1">
      <c r="A209" s="2174" t="s">
        <v>255</v>
      </c>
      <c r="B209" s="2240"/>
      <c r="C209" s="2256"/>
      <c r="D209" s="2256"/>
      <c r="E209" s="2246">
        <v>8093.5205365829997</v>
      </c>
      <c r="F209" s="2246">
        <v>11231.685060829001</v>
      </c>
      <c r="G209" s="2246">
        <v>7035.0291627320003</v>
      </c>
      <c r="H209" s="2246">
        <v>9599.8299422170003</v>
      </c>
      <c r="I209" s="2246">
        <f>AN209</f>
        <v>8005.1444618149999</v>
      </c>
      <c r="J209" s="2256"/>
      <c r="K209" s="2296"/>
      <c r="L209" s="2175"/>
      <c r="M209" s="2175"/>
      <c r="N209" s="2175"/>
      <c r="O209" s="2175"/>
      <c r="P209" s="2175"/>
      <c r="Q209" s="2175"/>
      <c r="R209" s="2175"/>
      <c r="S209" s="2175"/>
      <c r="T209" s="2175">
        <v>206</v>
      </c>
      <c r="U209" s="2175"/>
      <c r="V209" s="2175"/>
      <c r="W209" s="2175"/>
      <c r="X209" s="2175"/>
      <c r="Y209" s="2175"/>
      <c r="Z209" s="2175"/>
      <c r="AA209" s="2175"/>
      <c r="AB209" s="2175"/>
      <c r="AC209" s="2175"/>
      <c r="AD209" s="2175"/>
      <c r="AE209" s="2175"/>
      <c r="AF209" s="2340">
        <v>7035</v>
      </c>
      <c r="AG209" s="2340">
        <v>8384.5300000000007</v>
      </c>
      <c r="AH209" s="2340">
        <v>7720.2960000000003</v>
      </c>
      <c r="AI209" s="2340">
        <v>7392.7259999999997</v>
      </c>
      <c r="AJ209" s="2340">
        <v>9599.7999999999993</v>
      </c>
      <c r="AK209" s="2340">
        <v>10777.6</v>
      </c>
      <c r="AL209" s="2340">
        <v>9064.1669999999995</v>
      </c>
      <c r="AM209" s="2340">
        <v>8793.8729999999996</v>
      </c>
      <c r="AN209" s="2340">
        <v>8005.1444618149999</v>
      </c>
      <c r="AO209" s="2374">
        <v>6713.6980000000003</v>
      </c>
      <c r="AP209" s="2374">
        <v>6626.366</v>
      </c>
      <c r="AQ209" s="2374">
        <v>5948.2430000000004</v>
      </c>
      <c r="AR209" s="2374">
        <v>5844.4998999999998</v>
      </c>
      <c r="AS209" s="2374">
        <v>5981.6</v>
      </c>
      <c r="AT209" s="2374">
        <v>6060.0628989999996</v>
      </c>
      <c r="AU209" s="2374">
        <v>5334.11</v>
      </c>
      <c r="AV209" s="2374">
        <v>5669.1877699999995</v>
      </c>
      <c r="AW209" s="2415">
        <v>6919.9</v>
      </c>
      <c r="AX209" s="2177"/>
      <c r="AY209" s="2177"/>
      <c r="AZ209" s="2177"/>
      <c r="BA209" s="2174"/>
      <c r="BB209" s="2174"/>
      <c r="BC209" s="2174"/>
      <c r="BD209" s="2174"/>
      <c r="BE209" s="2174"/>
      <c r="BF209" s="2174"/>
      <c r="BG209" s="2174"/>
      <c r="BH209" s="2174"/>
      <c r="BI209" s="2174"/>
      <c r="BJ209" s="2174"/>
      <c r="BK209" s="2174"/>
      <c r="BL209" s="2174"/>
      <c r="BM209" s="2174"/>
      <c r="BN209" s="2174"/>
      <c r="BO209" s="2174"/>
      <c r="BP209" s="2174"/>
      <c r="BQ209" s="2174"/>
      <c r="BR209" s="2174"/>
      <c r="BS209" s="2174"/>
      <c r="BT209" s="2174"/>
      <c r="BU209" s="2174"/>
      <c r="BV209" s="2174"/>
      <c r="BW209" s="2174"/>
      <c r="BX209" s="2174"/>
      <c r="BY209" s="2174"/>
      <c r="BZ209" s="2174"/>
      <c r="CA209" s="2174"/>
      <c r="CB209" s="2174"/>
      <c r="CC209" s="2174"/>
      <c r="CD209" s="2174"/>
      <c r="CE209" s="2174"/>
      <c r="CF209" s="2174"/>
      <c r="CG209" s="2174"/>
      <c r="CH209" s="2174"/>
      <c r="CI209" s="2174"/>
      <c r="CJ209" s="2174"/>
      <c r="CK209" s="2174"/>
      <c r="CL209" s="2174"/>
      <c r="CM209" s="2174"/>
      <c r="CN209" s="2174"/>
      <c r="CO209" s="2174"/>
      <c r="CP209" s="2174"/>
      <c r="CQ209" s="2174"/>
      <c r="CR209" s="2174"/>
      <c r="CS209" s="2174"/>
      <c r="CT209" s="2174"/>
      <c r="CU209" s="2174"/>
      <c r="CV209" s="2174"/>
      <c r="CW209" s="2174"/>
      <c r="CX209" s="2174"/>
      <c r="CY209" s="2174"/>
      <c r="CZ209" s="2174"/>
    </row>
    <row r="210" spans="1:104" outlineLevel="1">
      <c r="A210" s="2174" t="s">
        <v>256</v>
      </c>
      <c r="B210" s="2240"/>
      <c r="C210" s="2256"/>
      <c r="D210" s="2256"/>
      <c r="E210" s="2246">
        <v>5575.2014905280002</v>
      </c>
      <c r="F210" s="2246">
        <v>7227.0586783199997</v>
      </c>
      <c r="G210" s="2246">
        <v>3509.7700540020001</v>
      </c>
      <c r="H210" s="2246">
        <v>5782.849683251</v>
      </c>
      <c r="I210" s="2246">
        <f t="shared" ref="I210:I217" si="871">AN210</f>
        <v>5607.47</v>
      </c>
      <c r="J210" s="2256"/>
      <c r="K210" s="2296"/>
      <c r="L210" s="2175"/>
      <c r="M210" s="2175"/>
      <c r="N210" s="2175"/>
      <c r="O210" s="2175"/>
      <c r="P210" s="2175"/>
      <c r="Q210" s="2175"/>
      <c r="R210" s="2175"/>
      <c r="S210" s="2175"/>
      <c r="T210" s="2175">
        <v>207</v>
      </c>
      <c r="U210" s="2175"/>
      <c r="V210" s="2175"/>
      <c r="W210" s="2175"/>
      <c r="X210" s="2175"/>
      <c r="Y210" s="2175"/>
      <c r="Z210" s="2175"/>
      <c r="AA210" s="2175"/>
      <c r="AB210" s="2175"/>
      <c r="AC210" s="2175"/>
      <c r="AD210" s="2175"/>
      <c r="AE210" s="2175"/>
      <c r="AF210" s="2340">
        <v>3509.77</v>
      </c>
      <c r="AG210" s="2340">
        <v>5639.1130000000003</v>
      </c>
      <c r="AH210" s="2340">
        <v>4743.4470000000001</v>
      </c>
      <c r="AI210" s="2340">
        <v>4316.75</v>
      </c>
      <c r="AJ210" s="2340">
        <v>5782.8</v>
      </c>
      <c r="AK210" s="2340">
        <v>7282.9889999999996</v>
      </c>
      <c r="AL210" s="2340">
        <v>6444.1</v>
      </c>
      <c r="AM210" s="2340">
        <v>6385.9369999999999</v>
      </c>
      <c r="AN210" s="2340">
        <v>5607.47</v>
      </c>
      <c r="AO210" s="2374">
        <v>4600.7</v>
      </c>
      <c r="AP210" s="2374">
        <v>5452.4649774999998</v>
      </c>
      <c r="AQ210" s="2374">
        <v>5876.06</v>
      </c>
      <c r="AR210" s="2374">
        <v>5623.97</v>
      </c>
      <c r="AS210" s="2374">
        <v>5018.2299999999996</v>
      </c>
      <c r="AT210" s="2374">
        <v>5132.2789810000004</v>
      </c>
      <c r="AU210" s="2374">
        <v>6598.0820000000003</v>
      </c>
      <c r="AV210" s="2374">
        <v>6308.5588500000003</v>
      </c>
      <c r="AW210" s="2415">
        <v>6287.5389999999998</v>
      </c>
      <c r="AX210" s="2177"/>
      <c r="AY210" s="2177"/>
      <c r="AZ210" s="2177"/>
      <c r="BA210" s="2174"/>
      <c r="BB210" s="2174"/>
      <c r="BC210" s="2174"/>
      <c r="BD210" s="2174"/>
      <c r="BE210" s="2174"/>
      <c r="BF210" s="2174"/>
      <c r="BG210" s="2174"/>
      <c r="BH210" s="2174"/>
      <c r="BI210" s="2174"/>
      <c r="BJ210" s="2174"/>
      <c r="BK210" s="2174"/>
      <c r="BL210" s="2174"/>
      <c r="BM210" s="2174"/>
      <c r="BN210" s="2174"/>
      <c r="BO210" s="2174"/>
      <c r="BP210" s="2174"/>
      <c r="BQ210" s="2174"/>
      <c r="BR210" s="2174"/>
      <c r="BS210" s="2174"/>
      <c r="BT210" s="2174"/>
      <c r="BU210" s="2174"/>
      <c r="BV210" s="2174"/>
      <c r="BW210" s="2174"/>
      <c r="BX210" s="2174"/>
      <c r="BY210" s="2174"/>
      <c r="BZ210" s="2174"/>
      <c r="CA210" s="2174"/>
      <c r="CB210" s="2174"/>
      <c r="CC210" s="2174"/>
      <c r="CD210" s="2174"/>
      <c r="CE210" s="2174"/>
      <c r="CF210" s="2174"/>
      <c r="CG210" s="2174"/>
      <c r="CH210" s="2174"/>
      <c r="CI210" s="2174"/>
      <c r="CJ210" s="2174"/>
      <c r="CK210" s="2174"/>
      <c r="CL210" s="2174"/>
      <c r="CM210" s="2174"/>
      <c r="CN210" s="2174"/>
      <c r="CO210" s="2174"/>
      <c r="CP210" s="2174"/>
      <c r="CQ210" s="2174"/>
      <c r="CR210" s="2174"/>
      <c r="CS210" s="2174"/>
      <c r="CT210" s="2174"/>
      <c r="CU210" s="2174"/>
      <c r="CV210" s="2174"/>
      <c r="CW210" s="2174"/>
      <c r="CX210" s="2174"/>
      <c r="CY210" s="2174"/>
      <c r="CZ210" s="2174"/>
    </row>
    <row r="211" spans="1:104" outlineLevel="1">
      <c r="A211" s="2174" t="s">
        <v>257</v>
      </c>
      <c r="B211" s="2240"/>
      <c r="C211" s="2256"/>
      <c r="D211" s="2256"/>
      <c r="E211" s="2246">
        <v>1854.1491733410001</v>
      </c>
      <c r="F211" s="2246">
        <v>2918.2968435080002</v>
      </c>
      <c r="G211" s="2246">
        <v>3042.9215836140002</v>
      </c>
      <c r="H211" s="2246">
        <v>5155.3893417159998</v>
      </c>
      <c r="I211" s="2246">
        <f t="shared" si="871"/>
        <v>4235.8999999999996</v>
      </c>
      <c r="J211" s="2256"/>
      <c r="K211" s="2296"/>
      <c r="L211" s="2175"/>
      <c r="M211" s="2175"/>
      <c r="N211" s="2175"/>
      <c r="O211" s="2175"/>
      <c r="P211" s="2175"/>
      <c r="Q211" s="2175"/>
      <c r="R211" s="2175"/>
      <c r="S211" s="2175"/>
      <c r="T211" s="2175">
        <v>208</v>
      </c>
      <c r="U211" s="2175"/>
      <c r="V211" s="2175"/>
      <c r="W211" s="2175"/>
      <c r="X211" s="2175"/>
      <c r="Y211" s="2175"/>
      <c r="Z211" s="2175"/>
      <c r="AA211" s="2175"/>
      <c r="AB211" s="2175"/>
      <c r="AC211" s="2175"/>
      <c r="AD211" s="2175"/>
      <c r="AE211" s="2175"/>
      <c r="AF211" s="2340">
        <v>3042</v>
      </c>
      <c r="AG211" s="2340">
        <v>3385.77</v>
      </c>
      <c r="AH211" s="2340">
        <v>3942.99</v>
      </c>
      <c r="AI211" s="2340">
        <v>3841.011</v>
      </c>
      <c r="AJ211" s="2340">
        <v>5155.3890000000001</v>
      </c>
      <c r="AK211" s="2340">
        <v>5102.8789999999999</v>
      </c>
      <c r="AL211" s="2340">
        <v>4707.7</v>
      </c>
      <c r="AM211" s="2340">
        <v>5106.2280000000001</v>
      </c>
      <c r="AN211" s="2340">
        <v>4235.8999999999996</v>
      </c>
      <c r="AO211" s="2374">
        <v>3695.58</v>
      </c>
      <c r="AP211" s="2374">
        <v>3618.5738620000002</v>
      </c>
      <c r="AQ211" s="2374">
        <v>3757.7</v>
      </c>
      <c r="AR211" s="2374">
        <v>3768.8760000000002</v>
      </c>
      <c r="AS211" s="2374">
        <v>3406.09967977</v>
      </c>
      <c r="AT211" s="2374">
        <v>3124.87997</v>
      </c>
      <c r="AU211" s="2374">
        <v>2924.355</v>
      </c>
      <c r="AV211" s="2374">
        <v>3057.9</v>
      </c>
      <c r="AW211" s="2415">
        <v>2813.36</v>
      </c>
      <c r="AX211" s="2177"/>
      <c r="AY211" s="2177"/>
      <c r="AZ211" s="2177"/>
      <c r="BA211" s="2174"/>
      <c r="BB211" s="2174"/>
      <c r="BC211" s="2174"/>
      <c r="BD211" s="2174"/>
      <c r="BE211" s="2174"/>
      <c r="BF211" s="2174"/>
      <c r="BG211" s="2174"/>
      <c r="BH211" s="2174"/>
      <c r="BI211" s="2174"/>
      <c r="BJ211" s="2174"/>
      <c r="BK211" s="2174"/>
      <c r="BL211" s="2174"/>
      <c r="BM211" s="2174"/>
      <c r="BN211" s="2174"/>
      <c r="BO211" s="2174"/>
      <c r="BP211" s="2174"/>
      <c r="BQ211" s="2174"/>
      <c r="BR211" s="2174"/>
      <c r="BS211" s="2174"/>
      <c r="BT211" s="2174"/>
      <c r="BU211" s="2174"/>
      <c r="BV211" s="2174"/>
      <c r="BW211" s="2174"/>
      <c r="BX211" s="2174"/>
      <c r="BY211" s="2174"/>
      <c r="BZ211" s="2174"/>
      <c r="CA211" s="2174"/>
      <c r="CB211" s="2174"/>
      <c r="CC211" s="2174"/>
      <c r="CD211" s="2174"/>
      <c r="CE211" s="2174"/>
      <c r="CF211" s="2174"/>
      <c r="CG211" s="2174"/>
      <c r="CH211" s="2174"/>
      <c r="CI211" s="2174"/>
      <c r="CJ211" s="2174"/>
      <c r="CK211" s="2174"/>
      <c r="CL211" s="2174"/>
      <c r="CM211" s="2174"/>
      <c r="CN211" s="2174"/>
      <c r="CO211" s="2174"/>
      <c r="CP211" s="2174"/>
      <c r="CQ211" s="2174"/>
      <c r="CR211" s="2174"/>
      <c r="CS211" s="2174"/>
      <c r="CT211" s="2174"/>
      <c r="CU211" s="2174"/>
      <c r="CV211" s="2174"/>
      <c r="CW211" s="2174"/>
      <c r="CX211" s="2174"/>
      <c r="CY211" s="2174"/>
      <c r="CZ211" s="2174"/>
    </row>
    <row r="212" spans="1:104" outlineLevel="1">
      <c r="A212" s="2174" t="s">
        <v>258</v>
      </c>
      <c r="B212" s="2240"/>
      <c r="C212" s="2256"/>
      <c r="D212" s="2256"/>
      <c r="E212" s="2246">
        <v>331.47040056399999</v>
      </c>
      <c r="F212" s="2246">
        <v>786.55561731499995</v>
      </c>
      <c r="G212" s="2246">
        <v>489.28174534300001</v>
      </c>
      <c r="H212" s="2246">
        <v>713.57506635699997</v>
      </c>
      <c r="I212" s="2246">
        <f t="shared" si="871"/>
        <v>1401.2</v>
      </c>
      <c r="J212" s="2256"/>
      <c r="K212" s="2296"/>
      <c r="L212" s="2175"/>
      <c r="M212" s="2175"/>
      <c r="N212" s="2175"/>
      <c r="O212" s="2175"/>
      <c r="P212" s="2175"/>
      <c r="Q212" s="2175"/>
      <c r="R212" s="2175"/>
      <c r="S212" s="2175"/>
      <c r="T212" s="2175">
        <v>209</v>
      </c>
      <c r="U212" s="2175"/>
      <c r="V212" s="2175"/>
      <c r="W212" s="2175"/>
      <c r="X212" s="2175"/>
      <c r="Y212" s="2175"/>
      <c r="Z212" s="2175"/>
      <c r="AA212" s="2175"/>
      <c r="AB212" s="2175"/>
      <c r="AC212" s="2175"/>
      <c r="AD212" s="2175"/>
      <c r="AE212" s="2175"/>
      <c r="AF212" s="2340">
        <v>489.28100000000001</v>
      </c>
      <c r="AG212" s="2340">
        <v>312.62599999999998</v>
      </c>
      <c r="AH212" s="2340">
        <v>363.75900000000001</v>
      </c>
      <c r="AI212" s="2340">
        <v>741.27599999999995</v>
      </c>
      <c r="AJ212" s="2340">
        <v>713.57500000000005</v>
      </c>
      <c r="AK212" s="2340">
        <v>2137.98</v>
      </c>
      <c r="AL212" s="2340">
        <v>1490.2</v>
      </c>
      <c r="AM212" s="2340">
        <v>1978.45</v>
      </c>
      <c r="AN212" s="2340">
        <v>1401.2</v>
      </c>
      <c r="AO212" s="2374">
        <v>963.48699999999997</v>
      </c>
      <c r="AP212" s="2374">
        <v>1150.375</v>
      </c>
      <c r="AQ212" s="2374">
        <v>1635.2819999999999</v>
      </c>
      <c r="AR212" s="2374">
        <v>952.38099999999997</v>
      </c>
      <c r="AS212" s="2374">
        <v>861.34</v>
      </c>
      <c r="AT212" s="2374">
        <v>1378.33</v>
      </c>
      <c r="AU212" s="2374">
        <v>2025.5</v>
      </c>
      <c r="AV212" s="2374">
        <v>1394.857</v>
      </c>
      <c r="AW212" s="2415">
        <v>1232.9000000000001</v>
      </c>
      <c r="AX212" s="2177"/>
      <c r="AY212" s="2177"/>
      <c r="AZ212" s="2177"/>
      <c r="BA212" s="2174"/>
      <c r="BB212" s="2174"/>
      <c r="BC212" s="2174"/>
      <c r="BD212" s="2174"/>
      <c r="BE212" s="2174"/>
      <c r="BF212" s="2174"/>
      <c r="BG212" s="2174"/>
      <c r="BH212" s="2174"/>
      <c r="BI212" s="2174"/>
      <c r="BJ212" s="2174"/>
      <c r="BK212" s="2174"/>
      <c r="BL212" s="2174"/>
      <c r="BM212" s="2174"/>
      <c r="BN212" s="2174"/>
      <c r="BO212" s="2174"/>
      <c r="BP212" s="2174"/>
      <c r="BQ212" s="2174"/>
      <c r="BR212" s="2174"/>
      <c r="BS212" s="2174"/>
      <c r="BT212" s="2174"/>
      <c r="BU212" s="2174"/>
      <c r="BV212" s="2174"/>
      <c r="BW212" s="2174"/>
      <c r="BX212" s="2174"/>
      <c r="BY212" s="2174"/>
      <c r="BZ212" s="2174"/>
      <c r="CA212" s="2174"/>
      <c r="CB212" s="2174"/>
      <c r="CC212" s="2174"/>
      <c r="CD212" s="2174"/>
      <c r="CE212" s="2174"/>
      <c r="CF212" s="2174"/>
      <c r="CG212" s="2174"/>
      <c r="CH212" s="2174"/>
      <c r="CI212" s="2174"/>
      <c r="CJ212" s="2174"/>
      <c r="CK212" s="2174"/>
      <c r="CL212" s="2174"/>
      <c r="CM212" s="2174"/>
      <c r="CN212" s="2174"/>
      <c r="CO212" s="2174"/>
      <c r="CP212" s="2174"/>
      <c r="CQ212" s="2174"/>
      <c r="CR212" s="2174"/>
      <c r="CS212" s="2174"/>
      <c r="CT212" s="2174"/>
      <c r="CU212" s="2174"/>
      <c r="CV212" s="2174"/>
      <c r="CW212" s="2174"/>
      <c r="CX212" s="2174"/>
      <c r="CY212" s="2174"/>
      <c r="CZ212" s="2174"/>
    </row>
    <row r="213" spans="1:104" outlineLevel="1">
      <c r="A213" s="2174" t="s">
        <v>259</v>
      </c>
      <c r="B213" s="2240"/>
      <c r="C213" s="2256"/>
      <c r="D213" s="2256"/>
      <c r="E213" s="2246">
        <v>851.17788955399999</v>
      </c>
      <c r="F213" s="2246">
        <v>1349.126486481</v>
      </c>
      <c r="G213" s="2246">
        <v>1695.9166527249999</v>
      </c>
      <c r="H213" s="2246">
        <v>1982.8783687370001</v>
      </c>
      <c r="I213" s="2246">
        <f t="shared" si="871"/>
        <v>1074.4359999999999</v>
      </c>
      <c r="J213" s="2256"/>
      <c r="K213" s="2296"/>
      <c r="L213" s="2175"/>
      <c r="M213" s="2175"/>
      <c r="N213" s="2175"/>
      <c r="O213" s="2175"/>
      <c r="P213" s="2175"/>
      <c r="Q213" s="2175"/>
      <c r="R213" s="2175"/>
      <c r="S213" s="2175"/>
      <c r="T213" s="2175">
        <v>210</v>
      </c>
      <c r="U213" s="2175"/>
      <c r="V213" s="2175"/>
      <c r="W213" s="2175"/>
      <c r="X213" s="2175"/>
      <c r="Y213" s="2175"/>
      <c r="Z213" s="2175"/>
      <c r="AA213" s="2175"/>
      <c r="AB213" s="2175"/>
      <c r="AC213" s="2175"/>
      <c r="AD213" s="2175"/>
      <c r="AE213" s="2175"/>
      <c r="AF213" s="2340">
        <v>1695.9</v>
      </c>
      <c r="AG213" s="2340">
        <v>1658.365</v>
      </c>
      <c r="AH213" s="2340">
        <v>1422.06</v>
      </c>
      <c r="AI213" s="2340">
        <v>1580.664</v>
      </c>
      <c r="AJ213" s="2340">
        <v>1982.8779999999999</v>
      </c>
      <c r="AK213" s="2340">
        <v>1786.4179999999999</v>
      </c>
      <c r="AL213" s="2340">
        <v>1470.4849999999999</v>
      </c>
      <c r="AM213" s="2340">
        <v>1411.9860000000001</v>
      </c>
      <c r="AN213" s="2340">
        <v>1074.4359999999999</v>
      </c>
      <c r="AO213" s="2374">
        <v>646.18799999999999</v>
      </c>
      <c r="AP213" s="2374">
        <v>675.36887000000002</v>
      </c>
      <c r="AQ213" s="2374">
        <v>1000.379</v>
      </c>
      <c r="AR213" s="2374">
        <v>752.77300000000002</v>
      </c>
      <c r="AS213" s="2374">
        <v>750.42179999999996</v>
      </c>
      <c r="AT213" s="2374">
        <v>756.99850000000004</v>
      </c>
      <c r="AU213" s="2374">
        <v>930.09900000000005</v>
      </c>
      <c r="AV213" s="2374">
        <v>1139.249</v>
      </c>
      <c r="AW213" s="2415">
        <v>992.06500000000005</v>
      </c>
      <c r="AX213" s="2177"/>
      <c r="AY213" s="2177"/>
      <c r="AZ213" s="2177"/>
      <c r="BA213" s="2174"/>
      <c r="BB213" s="2174"/>
      <c r="BC213" s="2174"/>
      <c r="BD213" s="2174"/>
      <c r="BE213" s="2174"/>
      <c r="BF213" s="2174"/>
      <c r="BG213" s="2174"/>
      <c r="BH213" s="2174"/>
      <c r="BI213" s="2174"/>
      <c r="BJ213" s="2174"/>
      <c r="BK213" s="2174"/>
      <c r="BL213" s="2174"/>
      <c r="BM213" s="2174"/>
      <c r="BN213" s="2174"/>
      <c r="BO213" s="2174"/>
      <c r="BP213" s="2174"/>
      <c r="BQ213" s="2174"/>
      <c r="BR213" s="2174"/>
      <c r="BS213" s="2174"/>
      <c r="BT213" s="2174"/>
      <c r="BU213" s="2174"/>
      <c r="BV213" s="2174"/>
      <c r="BW213" s="2174"/>
      <c r="BX213" s="2174"/>
      <c r="BY213" s="2174"/>
      <c r="BZ213" s="2174"/>
      <c r="CA213" s="2174"/>
      <c r="CB213" s="2174"/>
      <c r="CC213" s="2174"/>
      <c r="CD213" s="2174"/>
      <c r="CE213" s="2174"/>
      <c r="CF213" s="2174"/>
      <c r="CG213" s="2174"/>
      <c r="CH213" s="2174"/>
      <c r="CI213" s="2174"/>
      <c r="CJ213" s="2174"/>
      <c r="CK213" s="2174"/>
      <c r="CL213" s="2174"/>
      <c r="CM213" s="2174"/>
      <c r="CN213" s="2174"/>
      <c r="CO213" s="2174"/>
      <c r="CP213" s="2174"/>
      <c r="CQ213" s="2174"/>
      <c r="CR213" s="2174"/>
      <c r="CS213" s="2174"/>
      <c r="CT213" s="2174"/>
      <c r="CU213" s="2174"/>
      <c r="CV213" s="2174"/>
      <c r="CW213" s="2174"/>
      <c r="CX213" s="2174"/>
      <c r="CY213" s="2174"/>
      <c r="CZ213" s="2174"/>
    </row>
    <row r="214" spans="1:104" outlineLevel="1">
      <c r="A214" s="2174" t="s">
        <v>260</v>
      </c>
      <c r="B214" s="2240"/>
      <c r="C214" s="2256"/>
      <c r="D214" s="2256"/>
      <c r="E214" s="2246">
        <v>0</v>
      </c>
      <c r="F214" s="2246">
        <v>573.95061889900001</v>
      </c>
      <c r="G214" s="2246">
        <v>528.29284110499998</v>
      </c>
      <c r="H214" s="2246">
        <v>852.97074579000002</v>
      </c>
      <c r="I214" s="2246">
        <f t="shared" si="871"/>
        <v>420.5</v>
      </c>
      <c r="J214" s="2256"/>
      <c r="K214" s="2296"/>
      <c r="L214" s="2175"/>
      <c r="M214" s="2175"/>
      <c r="N214" s="2175"/>
      <c r="O214" s="2175"/>
      <c r="P214" s="2175"/>
      <c r="Q214" s="2175"/>
      <c r="R214" s="2175"/>
      <c r="S214" s="2175"/>
      <c r="T214" s="2175">
        <v>211</v>
      </c>
      <c r="U214" s="2175"/>
      <c r="V214" s="2175"/>
      <c r="W214" s="2175"/>
      <c r="X214" s="2175"/>
      <c r="Y214" s="2175"/>
      <c r="Z214" s="2175"/>
      <c r="AA214" s="2175"/>
      <c r="AB214" s="2175"/>
      <c r="AC214" s="2175"/>
      <c r="AD214" s="2175"/>
      <c r="AE214" s="2175"/>
      <c r="AF214" s="2340">
        <v>528.29200000000003</v>
      </c>
      <c r="AG214" s="2340">
        <v>516.70000000000005</v>
      </c>
      <c r="AH214" s="2340">
        <v>677.46799999999996</v>
      </c>
      <c r="AI214" s="2340">
        <v>316.01299999999998</v>
      </c>
      <c r="AJ214" s="2340">
        <v>852.97</v>
      </c>
      <c r="AK214" s="2340">
        <v>6888.3919999999998</v>
      </c>
      <c r="AL214" s="2340">
        <v>552.20000000000005</v>
      </c>
      <c r="AM214" s="2340">
        <v>540.66200000000003</v>
      </c>
      <c r="AN214" s="2340">
        <v>420.5</v>
      </c>
      <c r="AO214" s="2374">
        <v>316.05500000000001</v>
      </c>
      <c r="AP214" s="2374">
        <v>300.89999999999998</v>
      </c>
      <c r="AQ214" s="2374">
        <v>317.76780000000002</v>
      </c>
      <c r="AR214" s="2374">
        <v>232.773</v>
      </c>
      <c r="AS214" s="2374">
        <v>213.4</v>
      </c>
      <c r="AT214" s="2374">
        <v>200</v>
      </c>
      <c r="AU214" s="2374">
        <v>186.393</v>
      </c>
      <c r="AV214" s="2374">
        <v>180.6969</v>
      </c>
      <c r="AW214" s="2415">
        <v>173.85</v>
      </c>
      <c r="AX214" s="2177"/>
      <c r="AY214" s="2177"/>
      <c r="AZ214" s="2177"/>
      <c r="BA214" s="2174"/>
      <c r="BB214" s="2174"/>
      <c r="BC214" s="2174"/>
      <c r="BD214" s="2174"/>
      <c r="BE214" s="2174"/>
      <c r="BF214" s="2174"/>
      <c r="BG214" s="2174"/>
      <c r="BH214" s="2174"/>
      <c r="BI214" s="2174"/>
      <c r="BJ214" s="2174"/>
      <c r="BK214" s="2174"/>
      <c r="BL214" s="2174"/>
      <c r="BM214" s="2174"/>
      <c r="BN214" s="2174"/>
      <c r="BO214" s="2174"/>
      <c r="BP214" s="2174"/>
      <c r="BQ214" s="2174"/>
      <c r="BR214" s="2174"/>
      <c r="BS214" s="2174"/>
      <c r="BT214" s="2174"/>
      <c r="BU214" s="2174"/>
      <c r="BV214" s="2174"/>
      <c r="BW214" s="2174"/>
      <c r="BX214" s="2174"/>
      <c r="BY214" s="2174"/>
      <c r="BZ214" s="2174"/>
      <c r="CA214" s="2174"/>
      <c r="CB214" s="2174"/>
      <c r="CC214" s="2174"/>
      <c r="CD214" s="2174"/>
      <c r="CE214" s="2174"/>
      <c r="CF214" s="2174"/>
      <c r="CG214" s="2174"/>
      <c r="CH214" s="2174"/>
      <c r="CI214" s="2174"/>
      <c r="CJ214" s="2174"/>
      <c r="CK214" s="2174"/>
      <c r="CL214" s="2174"/>
      <c r="CM214" s="2174"/>
      <c r="CN214" s="2174"/>
      <c r="CO214" s="2174"/>
      <c r="CP214" s="2174"/>
      <c r="CQ214" s="2174"/>
      <c r="CR214" s="2174"/>
      <c r="CS214" s="2174"/>
      <c r="CT214" s="2174"/>
      <c r="CU214" s="2174"/>
      <c r="CV214" s="2174"/>
      <c r="CW214" s="2174"/>
      <c r="CX214" s="2174"/>
      <c r="CY214" s="2174"/>
      <c r="CZ214" s="2174"/>
    </row>
    <row r="215" spans="1:104" outlineLevel="1">
      <c r="A215" s="2174" t="s">
        <v>261</v>
      </c>
      <c r="B215" s="2240"/>
      <c r="C215" s="2256"/>
      <c r="D215" s="2256"/>
      <c r="E215" s="2246">
        <v>33.065224542000003</v>
      </c>
      <c r="F215" s="2246">
        <v>146.11359046600001</v>
      </c>
      <c r="G215" s="2246">
        <v>252.039415472</v>
      </c>
      <c r="H215" s="2246">
        <v>304.17220850899997</v>
      </c>
      <c r="I215" s="2246">
        <f t="shared" si="871"/>
        <v>292.19459999999998</v>
      </c>
      <c r="J215" s="2256"/>
      <c r="K215" s="2296"/>
      <c r="L215" s="2175"/>
      <c r="M215" s="2175"/>
      <c r="N215" s="2175"/>
      <c r="O215" s="2175"/>
      <c r="P215" s="2175"/>
      <c r="Q215" s="2175"/>
      <c r="R215" s="2175"/>
      <c r="S215" s="2175"/>
      <c r="T215" s="2175">
        <v>212</v>
      </c>
      <c r="U215" s="2175"/>
      <c r="V215" s="2175"/>
      <c r="W215" s="2175"/>
      <c r="X215" s="2175"/>
      <c r="Y215" s="2175"/>
      <c r="Z215" s="2175"/>
      <c r="AA215" s="2175"/>
      <c r="AB215" s="2175"/>
      <c r="AC215" s="2175"/>
      <c r="AD215" s="2175"/>
      <c r="AE215" s="2175"/>
      <c r="AF215" s="2340">
        <v>252.03899999999999</v>
      </c>
      <c r="AG215" s="2340">
        <v>345.59800000000001</v>
      </c>
      <c r="AH215" s="2340">
        <v>344.58699999999999</v>
      </c>
      <c r="AI215" s="2340">
        <v>296.90499999999997</v>
      </c>
      <c r="AJ215" s="2340">
        <v>304.17200000000003</v>
      </c>
      <c r="AK215" s="2340">
        <v>369.12400000000002</v>
      </c>
      <c r="AL215" s="2340">
        <v>348.94600000000003</v>
      </c>
      <c r="AM215" s="2340">
        <v>316.5</v>
      </c>
      <c r="AN215" s="2340">
        <v>292.19459999999998</v>
      </c>
      <c r="AO215" s="2374">
        <v>251.78399999999999</v>
      </c>
      <c r="AP215" s="2374">
        <v>267.98899999999998</v>
      </c>
      <c r="AQ215" s="2374">
        <v>244.06100000000001</v>
      </c>
      <c r="AR215" s="2374">
        <v>231.249</v>
      </c>
      <c r="AS215" s="2374">
        <v>213.4</v>
      </c>
      <c r="AT215" s="2374">
        <v>214.4</v>
      </c>
      <c r="AU215" s="2374">
        <v>159.99</v>
      </c>
      <c r="AV215" s="2374">
        <v>131.80000000000001</v>
      </c>
      <c r="AW215" s="2415">
        <v>231.1</v>
      </c>
      <c r="AX215" s="2177"/>
      <c r="AY215" s="2177"/>
      <c r="AZ215" s="2177"/>
      <c r="BA215" s="2174"/>
      <c r="BB215" s="2174"/>
      <c r="BC215" s="2174"/>
      <c r="BD215" s="2174"/>
      <c r="BE215" s="2174"/>
      <c r="BF215" s="2174"/>
      <c r="BG215" s="2174"/>
      <c r="BH215" s="2174"/>
      <c r="BI215" s="2174"/>
      <c r="BJ215" s="2174"/>
      <c r="BK215" s="2174"/>
      <c r="BL215" s="2174"/>
      <c r="BM215" s="2174"/>
      <c r="BN215" s="2174"/>
      <c r="BO215" s="2174"/>
      <c r="BP215" s="2174"/>
      <c r="BQ215" s="2174"/>
      <c r="BR215" s="2174"/>
      <c r="BS215" s="2174"/>
      <c r="BT215" s="2174"/>
      <c r="BU215" s="2174"/>
      <c r="BV215" s="2174"/>
      <c r="BW215" s="2174"/>
      <c r="BX215" s="2174"/>
      <c r="BY215" s="2174"/>
      <c r="BZ215" s="2174"/>
      <c r="CA215" s="2174"/>
      <c r="CB215" s="2174"/>
      <c r="CC215" s="2174"/>
      <c r="CD215" s="2174"/>
      <c r="CE215" s="2174"/>
      <c r="CF215" s="2174"/>
      <c r="CG215" s="2174"/>
      <c r="CH215" s="2174"/>
      <c r="CI215" s="2174"/>
      <c r="CJ215" s="2174"/>
      <c r="CK215" s="2174"/>
      <c r="CL215" s="2174"/>
      <c r="CM215" s="2174"/>
      <c r="CN215" s="2174"/>
      <c r="CO215" s="2174"/>
      <c r="CP215" s="2174"/>
      <c r="CQ215" s="2174"/>
      <c r="CR215" s="2174"/>
      <c r="CS215" s="2174"/>
      <c r="CT215" s="2174"/>
      <c r="CU215" s="2174"/>
      <c r="CV215" s="2174"/>
      <c r="CW215" s="2174"/>
      <c r="CX215" s="2174"/>
      <c r="CY215" s="2174"/>
      <c r="CZ215" s="2174"/>
    </row>
    <row r="216" spans="1:104" outlineLevel="1">
      <c r="A216" s="2174" t="s">
        <v>262</v>
      </c>
      <c r="B216" s="2240"/>
      <c r="C216" s="2256"/>
      <c r="D216" s="2256"/>
      <c r="E216" s="2246">
        <v>0</v>
      </c>
      <c r="F216" s="2246">
        <v>0</v>
      </c>
      <c r="G216" s="2246">
        <v>0</v>
      </c>
      <c r="H216" s="2246">
        <v>0</v>
      </c>
      <c r="I216" s="2246">
        <f t="shared" si="871"/>
        <v>284.97300000000001</v>
      </c>
      <c r="J216" s="2256"/>
      <c r="K216" s="2296"/>
      <c r="L216" s="2175"/>
      <c r="M216" s="2175"/>
      <c r="N216" s="2175"/>
      <c r="O216" s="2175"/>
      <c r="P216" s="2175"/>
      <c r="Q216" s="2175"/>
      <c r="R216" s="2175"/>
      <c r="S216" s="2175"/>
      <c r="T216" s="2175">
        <v>213</v>
      </c>
      <c r="U216" s="2175"/>
      <c r="V216" s="2175"/>
      <c r="W216" s="2175"/>
      <c r="X216" s="2175"/>
      <c r="Y216" s="2175"/>
      <c r="Z216" s="2175"/>
      <c r="AA216" s="2175"/>
      <c r="AB216" s="2175"/>
      <c r="AC216" s="2175"/>
      <c r="AD216" s="2175"/>
      <c r="AE216" s="2175"/>
      <c r="AF216" s="2340"/>
      <c r="AG216" s="2340"/>
      <c r="AH216" s="2340"/>
      <c r="AI216" s="2340"/>
      <c r="AJ216" s="2340"/>
      <c r="AK216" s="2340">
        <v>369.01400000000001</v>
      </c>
      <c r="AL216" s="2340">
        <v>340.94600000000003</v>
      </c>
      <c r="AM216" s="2340">
        <v>314.99599999999998</v>
      </c>
      <c r="AN216" s="2340">
        <v>284.97300000000001</v>
      </c>
      <c r="AO216" s="2374">
        <v>228.16300000000001</v>
      </c>
      <c r="AP216" s="2374">
        <v>205.82579999999999</v>
      </c>
      <c r="AQ216" s="2374">
        <v>183.96889999999999</v>
      </c>
      <c r="AR216" s="2374">
        <v>129.80099999999999</v>
      </c>
      <c r="AS216" s="2374">
        <v>230.77</v>
      </c>
      <c r="AT216" s="2374">
        <v>33.679000000000002</v>
      </c>
      <c r="AU216" s="2374"/>
      <c r="AV216" s="2175">
        <v>9.84</v>
      </c>
      <c r="AW216" s="2415"/>
      <c r="AX216" s="2177"/>
      <c r="AY216" s="2177"/>
      <c r="AZ216" s="2177"/>
      <c r="BA216" s="2174"/>
      <c r="BB216" s="2174"/>
      <c r="BC216" s="2174"/>
      <c r="BD216" s="2174"/>
      <c r="BE216" s="2174"/>
      <c r="BF216" s="2174"/>
      <c r="BG216" s="2174"/>
      <c r="BH216" s="2174"/>
      <c r="BI216" s="2174"/>
      <c r="BJ216" s="2174"/>
      <c r="BK216" s="2174"/>
      <c r="BL216" s="2174"/>
      <c r="BM216" s="2174"/>
      <c r="BN216" s="2174"/>
      <c r="BO216" s="2174"/>
      <c r="BP216" s="2174"/>
      <c r="BQ216" s="2174"/>
      <c r="BR216" s="2174"/>
      <c r="BS216" s="2174"/>
      <c r="BT216" s="2174"/>
      <c r="BU216" s="2174"/>
      <c r="BV216" s="2174"/>
      <c r="BW216" s="2174"/>
      <c r="BX216" s="2174"/>
      <c r="BY216" s="2174"/>
      <c r="BZ216" s="2174"/>
      <c r="CA216" s="2174"/>
      <c r="CB216" s="2174"/>
      <c r="CC216" s="2174"/>
      <c r="CD216" s="2174"/>
      <c r="CE216" s="2174"/>
      <c r="CF216" s="2174"/>
      <c r="CG216" s="2174"/>
      <c r="CH216" s="2174"/>
      <c r="CI216" s="2174"/>
      <c r="CJ216" s="2174"/>
      <c r="CK216" s="2174"/>
      <c r="CL216" s="2174"/>
      <c r="CM216" s="2174"/>
      <c r="CN216" s="2174"/>
      <c r="CO216" s="2174"/>
      <c r="CP216" s="2174"/>
      <c r="CQ216" s="2174"/>
      <c r="CR216" s="2174"/>
      <c r="CS216" s="2174"/>
      <c r="CT216" s="2174"/>
      <c r="CU216" s="2174"/>
      <c r="CV216" s="2174"/>
      <c r="CW216" s="2174"/>
      <c r="CX216" s="2174"/>
      <c r="CY216" s="2174"/>
      <c r="CZ216" s="2174"/>
    </row>
    <row r="217" spans="1:104" s="3011" customFormat="1" outlineLevel="1">
      <c r="A217" s="3006" t="s">
        <v>263</v>
      </c>
      <c r="B217" s="3007"/>
      <c r="C217" s="3008"/>
      <c r="D217" s="3008"/>
      <c r="E217" s="2246">
        <v>230.98778954799999</v>
      </c>
      <c r="F217" s="2246">
        <v>181.53968689300001</v>
      </c>
      <c r="G217" s="2246">
        <v>108.365904899</v>
      </c>
      <c r="H217" s="2246">
        <v>260.22135461400001</v>
      </c>
      <c r="I217" s="2246">
        <f t="shared" si="871"/>
        <v>243</v>
      </c>
      <c r="J217" s="2256"/>
      <c r="K217" s="2296"/>
      <c r="L217" s="3009"/>
      <c r="M217" s="3009"/>
      <c r="N217" s="3009"/>
      <c r="O217" s="3009"/>
      <c r="P217" s="3009"/>
      <c r="Q217" s="3009"/>
      <c r="R217" s="3009"/>
      <c r="S217" s="3009"/>
      <c r="T217" s="2175">
        <v>214</v>
      </c>
      <c r="U217" s="3009"/>
      <c r="V217" s="3009"/>
      <c r="W217" s="3009"/>
      <c r="X217" s="3009"/>
      <c r="Y217" s="3009"/>
      <c r="Z217" s="3009"/>
      <c r="AA217" s="3009"/>
      <c r="AB217" s="3009"/>
      <c r="AC217" s="3009"/>
      <c r="AD217" s="3009"/>
      <c r="AE217" s="3009"/>
      <c r="AF217" s="2340">
        <v>108.36499999999999</v>
      </c>
      <c r="AG217" s="2340">
        <v>95.436999999999998</v>
      </c>
      <c r="AH217" s="2340">
        <v>153.75800000000001</v>
      </c>
      <c r="AI217" s="2340">
        <v>117.96899999999999</v>
      </c>
      <c r="AJ217" s="2340">
        <v>260.22000000000003</v>
      </c>
      <c r="AK217" s="2340">
        <v>483.49799999999999</v>
      </c>
      <c r="AL217" s="2340">
        <v>315.28800000000001</v>
      </c>
      <c r="AM217" s="2340">
        <v>304.24099999999999</v>
      </c>
      <c r="AN217" s="2340">
        <v>243</v>
      </c>
      <c r="AO217" s="2374">
        <v>135.47900000000001</v>
      </c>
      <c r="AP217" s="2374">
        <v>133.64400000000001</v>
      </c>
      <c r="AQ217" s="2374">
        <v>171.738</v>
      </c>
      <c r="AR217" s="2374">
        <v>141.08600000000001</v>
      </c>
      <c r="AS217" s="2374">
        <v>87.438599999999994</v>
      </c>
      <c r="AT217" s="2374">
        <v>229.16800000000001</v>
      </c>
      <c r="AU217" s="2374">
        <v>240.75899999999999</v>
      </c>
      <c r="AV217" s="2374">
        <v>246.87299999999999</v>
      </c>
      <c r="AW217" s="2415">
        <v>184.96</v>
      </c>
      <c r="AX217" s="3010"/>
      <c r="AY217" s="3010"/>
      <c r="AZ217" s="3010"/>
      <c r="BA217" s="3006"/>
      <c r="BB217" s="3006"/>
      <c r="BC217" s="3006"/>
      <c r="BD217" s="3006"/>
      <c r="BE217" s="3006"/>
      <c r="BF217" s="3006"/>
      <c r="BG217" s="3006"/>
      <c r="BH217" s="3006"/>
      <c r="BI217" s="3006"/>
      <c r="BJ217" s="3006"/>
      <c r="BK217" s="3006"/>
      <c r="BL217" s="3006"/>
      <c r="BM217" s="3006"/>
      <c r="BN217" s="3006"/>
      <c r="BO217" s="3006"/>
      <c r="BP217" s="3006"/>
      <c r="BQ217" s="3006"/>
      <c r="BR217" s="3006"/>
      <c r="BS217" s="3006"/>
      <c r="BT217" s="3006"/>
      <c r="BU217" s="3006"/>
      <c r="BV217" s="3006"/>
      <c r="BW217" s="3006"/>
      <c r="BX217" s="3006"/>
      <c r="BY217" s="3006"/>
      <c r="BZ217" s="3006"/>
      <c r="CA217" s="3006"/>
      <c r="CB217" s="3006"/>
      <c r="CC217" s="3006"/>
      <c r="CD217" s="3006"/>
      <c r="CE217" s="3006"/>
      <c r="CF217" s="3006"/>
      <c r="CG217" s="3006"/>
      <c r="CH217" s="3006"/>
      <c r="CI217" s="3006"/>
      <c r="CJ217" s="3006"/>
      <c r="CK217" s="3006"/>
      <c r="CL217" s="3006"/>
      <c r="CM217" s="3006"/>
      <c r="CN217" s="3006"/>
      <c r="CO217" s="3006"/>
      <c r="CP217" s="3006"/>
      <c r="CQ217" s="3006"/>
      <c r="CR217" s="3006"/>
      <c r="CS217" s="3006"/>
      <c r="CT217" s="3006"/>
      <c r="CU217" s="3006"/>
      <c r="CV217" s="3006"/>
      <c r="CW217" s="3006"/>
      <c r="CX217" s="3006"/>
      <c r="CY217" s="3006"/>
      <c r="CZ217" s="3006"/>
    </row>
    <row r="218" spans="1:104" s="3016" customFormat="1">
      <c r="A218" s="3012" t="s">
        <v>264</v>
      </c>
      <c r="B218" s="2300"/>
      <c r="C218" s="2301"/>
      <c r="D218" s="2301"/>
      <c r="E218" s="2195">
        <f>SUM(E209:E217)/((E59-E67)+(E71-E78))*365</f>
        <v>91.488742283708802</v>
      </c>
      <c r="F218" s="2195">
        <f>SUM(F209:F217)/((F59-F67)+(F71-F78))*365</f>
        <v>120.3062326061134</v>
      </c>
      <c r="G218" s="2195">
        <f>SUM(G209:G217)/((G59-G67)+(G71-G78))*365</f>
        <v>88.2007003243409</v>
      </c>
      <c r="H218" s="2195">
        <f>SUM(H209:H217)/((H59-H67)+(H71-H78))*365</f>
        <v>121.54055539184164</v>
      </c>
      <c r="I218" s="2195">
        <f ca="1">SUM(I209:I217)/((I59-I67)+(I71-I78))*365</f>
        <v>75.935745830294707</v>
      </c>
      <c r="J218" s="2301"/>
      <c r="K218" s="2364"/>
      <c r="L218" s="3013"/>
      <c r="M218" s="3013"/>
      <c r="N218" s="3013"/>
      <c r="O218" s="3013"/>
      <c r="P218" s="3013"/>
      <c r="Q218" s="3013"/>
      <c r="R218" s="3013"/>
      <c r="S218" s="3013"/>
      <c r="T218" s="2175">
        <v>215</v>
      </c>
      <c r="U218" s="3013"/>
      <c r="V218" s="3013"/>
      <c r="W218" s="3013"/>
      <c r="X218" s="3013"/>
      <c r="Y218" s="3013"/>
      <c r="Z218" s="3013"/>
      <c r="AA218" s="3013"/>
      <c r="AB218" s="3013"/>
      <c r="AC218" s="3013"/>
      <c r="AD218" s="3013"/>
      <c r="AE218" s="3013"/>
      <c r="AF218" s="3014">
        <f t="shared" ref="AF218:AL218" si="872">SUM(AF209:AF217)/(SUM(AC82:AF82)-SUM(AC86:AF86))*365</f>
        <v>87.84502325402147</v>
      </c>
      <c r="AG218" s="3014">
        <f t="shared" si="872"/>
        <v>108.97745441480599</v>
      </c>
      <c r="AH218" s="3014">
        <f t="shared" si="872"/>
        <v>99.991198732998399</v>
      </c>
      <c r="AI218" s="3014">
        <f t="shared" si="872"/>
        <v>102.01973205650452</v>
      </c>
      <c r="AJ218" s="3014">
        <f t="shared" si="872"/>
        <v>120.98819077279971</v>
      </c>
      <c r="AK218" s="3014">
        <f t="shared" si="872"/>
        <v>164.32301344034005</v>
      </c>
      <c r="AL218" s="3014">
        <f t="shared" si="872"/>
        <v>112.3755102590505</v>
      </c>
      <c r="AM218" s="3014">
        <f t="shared" ref="AM218:AW218" ca="1" si="873">SUM(AM209:AM217)/(SUM(AJ82:AM82)-SUM(AJ86:AM86))*365</f>
        <v>105.98205838194741</v>
      </c>
      <c r="AN218" s="3014">
        <f t="shared" ca="1" si="873"/>
        <v>99.544029318368118</v>
      </c>
      <c r="AO218" s="3014">
        <f t="shared" ca="1" si="873"/>
        <v>88.520984229752074</v>
      </c>
      <c r="AP218" s="3014">
        <f t="shared" ca="1" si="873"/>
        <v>96.82797798910002</v>
      </c>
      <c r="AQ218" s="3014">
        <f t="shared" ca="1" si="873"/>
        <v>101.42178942214014</v>
      </c>
      <c r="AR218" s="3014">
        <f t="shared" ca="1" si="873"/>
        <v>92.959949610727662</v>
      </c>
      <c r="AS218" s="3014">
        <f t="shared" ca="1" si="873"/>
        <v>87.382611381740134</v>
      </c>
      <c r="AT218" s="3014">
        <f t="shared" ca="1" si="873"/>
        <v>89.125939286657911</v>
      </c>
      <c r="AU218" s="3014">
        <f t="shared" ca="1" si="873"/>
        <v>94.02301502451995</v>
      </c>
      <c r="AV218" s="3014">
        <f t="shared" ca="1" si="873"/>
        <v>89.270500569122191</v>
      </c>
      <c r="AW218" s="3014">
        <f t="shared" ca="1" si="873"/>
        <v>89.437515112219671</v>
      </c>
      <c r="AX218" s="3015"/>
      <c r="AY218" s="3015"/>
      <c r="AZ218" s="3015"/>
      <c r="BA218" s="3012"/>
      <c r="BB218" s="3012"/>
      <c r="BC218" s="3012"/>
      <c r="BD218" s="3012"/>
      <c r="BE218" s="3012"/>
      <c r="BF218" s="3012"/>
      <c r="BG218" s="3012"/>
      <c r="BH218" s="3012"/>
      <c r="BI218" s="3012"/>
      <c r="BJ218" s="3012"/>
      <c r="BK218" s="3012"/>
      <c r="BL218" s="3012"/>
      <c r="BM218" s="3012"/>
      <c r="BN218" s="3012"/>
      <c r="BO218" s="3012"/>
      <c r="BP218" s="3012"/>
      <c r="BQ218" s="3012"/>
      <c r="BR218" s="3012"/>
      <c r="BS218" s="3012"/>
      <c r="BT218" s="3012"/>
      <c r="BU218" s="3012"/>
      <c r="BV218" s="3012"/>
      <c r="BW218" s="3012"/>
      <c r="BX218" s="3012"/>
      <c r="BY218" s="3012"/>
      <c r="BZ218" s="3012"/>
      <c r="CA218" s="3012"/>
      <c r="CB218" s="3012"/>
      <c r="CC218" s="3012"/>
      <c r="CD218" s="3012"/>
      <c r="CE218" s="3012"/>
      <c r="CF218" s="3012"/>
      <c r="CG218" s="3012"/>
      <c r="CH218" s="3012"/>
      <c r="CI218" s="3012"/>
      <c r="CJ218" s="3012"/>
      <c r="CK218" s="3012"/>
      <c r="CL218" s="3012"/>
      <c r="CM218" s="3012"/>
      <c r="CN218" s="3012"/>
      <c r="CO218" s="3012"/>
      <c r="CP218" s="3012"/>
      <c r="CQ218" s="3012"/>
      <c r="CR218" s="3012"/>
      <c r="CS218" s="3012"/>
      <c r="CT218" s="3012"/>
      <c r="CU218" s="3012"/>
      <c r="CV218" s="3012"/>
      <c r="CW218" s="3012"/>
      <c r="CX218" s="3012"/>
      <c r="CY218" s="3012"/>
      <c r="CZ218" s="3012"/>
    </row>
    <row r="219" spans="1:104" outlineLevel="1">
      <c r="A219" s="2174" t="s">
        <v>265</v>
      </c>
      <c r="B219" s="2240"/>
      <c r="C219" s="2256"/>
      <c r="D219" s="2256"/>
      <c r="E219" s="2246">
        <v>619.21694286699994</v>
      </c>
      <c r="F219" s="2246">
        <v>1639.223336342</v>
      </c>
      <c r="G219" s="2246">
        <v>2134.524071196</v>
      </c>
      <c r="H219" s="2246">
        <v>2754.3717788889999</v>
      </c>
      <c r="I219" s="2246">
        <f>AN219</f>
        <v>2354.5929999999998</v>
      </c>
      <c r="J219" s="2256"/>
      <c r="K219" s="2296"/>
      <c r="L219" s="2175"/>
      <c r="M219" s="2175"/>
      <c r="N219" s="2175"/>
      <c r="O219" s="2175"/>
      <c r="P219" s="2175"/>
      <c r="Q219" s="2175"/>
      <c r="R219" s="2175"/>
      <c r="S219" s="2175"/>
      <c r="T219" s="2340">
        <v>216</v>
      </c>
      <c r="U219" s="2175"/>
      <c r="V219" s="2175"/>
      <c r="W219" s="2175"/>
      <c r="X219" s="2175"/>
      <c r="Y219" s="2175"/>
      <c r="Z219" s="2175"/>
      <c r="AA219" s="2175"/>
      <c r="AB219" s="2175"/>
      <c r="AC219" s="2175"/>
      <c r="AD219" s="2175"/>
      <c r="AE219" s="2175"/>
      <c r="AF219" s="2340">
        <v>2134.5</v>
      </c>
      <c r="AG219" s="2340">
        <v>2132.4589999999998</v>
      </c>
      <c r="AH219" s="2340">
        <v>1923.4960000000001</v>
      </c>
      <c r="AI219" s="2340">
        <v>2088.0740000000001</v>
      </c>
      <c r="AJ219" s="2340">
        <v>2754.3710000000001</v>
      </c>
      <c r="AK219" s="2340">
        <v>2273.1390000000001</v>
      </c>
      <c r="AL219" s="2340">
        <v>1902.3320000000001</v>
      </c>
      <c r="AM219" s="2340">
        <v>1867.0889999999999</v>
      </c>
      <c r="AN219" s="2340">
        <v>2354.5929999999998</v>
      </c>
      <c r="AO219" s="2374">
        <v>1864.5559900000001</v>
      </c>
      <c r="AP219" s="2374">
        <v>1988.0956900000001</v>
      </c>
      <c r="AQ219" s="2374">
        <v>2031.9634880000001</v>
      </c>
      <c r="AR219" s="2374">
        <v>2412.6790000000001</v>
      </c>
      <c r="AS219" s="2374">
        <v>2149.4739697499999</v>
      </c>
      <c r="AT219" s="2374">
        <v>2305.5137639999998</v>
      </c>
      <c r="AU219" s="2374">
        <v>2050.1410000000001</v>
      </c>
      <c r="AV219" s="2374">
        <v>2677.4059999999999</v>
      </c>
      <c r="AW219" s="2415">
        <v>2628.54</v>
      </c>
      <c r="AX219" s="2416">
        <f t="shared" ref="AX219:CC219" ca="1" si="874">AX221/365*(SUM(AU102:AX102)-SUM(AU110:AX110))</f>
        <v>4275.6568643813562</v>
      </c>
      <c r="AY219" s="2416">
        <f t="shared" ca="1" si="874"/>
        <v>4384.5785666792026</v>
      </c>
      <c r="AZ219" s="2416">
        <f t="shared" ca="1" si="874"/>
        <v>4637.0454088949355</v>
      </c>
      <c r="BA219" s="2417">
        <f t="shared" ca="1" si="874"/>
        <v>5098.1947316316555</v>
      </c>
      <c r="BB219" s="2417">
        <f t="shared" ca="1" si="874"/>
        <v>5556.0688025476147</v>
      </c>
      <c r="BC219" s="2417">
        <f t="shared" ca="1" si="874"/>
        <v>6100.9254902767325</v>
      </c>
      <c r="BD219" s="2417">
        <f t="shared" ca="1" si="874"/>
        <v>6671.9000405611678</v>
      </c>
      <c r="BE219" s="2417">
        <f t="shared" ca="1" si="874"/>
        <v>7177.1425463048654</v>
      </c>
      <c r="BF219" s="2417">
        <f t="shared" ca="1" si="874"/>
        <v>7603.7647417249482</v>
      </c>
      <c r="BG219" s="2417">
        <f t="shared" ca="1" si="874"/>
        <v>8035.6120246570972</v>
      </c>
      <c r="BH219" s="2417">
        <f t="shared" ca="1" si="874"/>
        <v>8517.1112995798394</v>
      </c>
      <c r="BI219" s="2417">
        <f t="shared" ca="1" si="874"/>
        <v>8947.2681650870018</v>
      </c>
      <c r="BJ219" s="2417">
        <f t="shared" ca="1" si="874"/>
        <v>9423.1545660862721</v>
      </c>
      <c r="BK219" s="2417">
        <f t="shared" ca="1" si="874"/>
        <v>9905.5980204814205</v>
      </c>
      <c r="BL219" s="2417">
        <f t="shared" ca="1" si="874"/>
        <v>10369.565753148714</v>
      </c>
      <c r="BM219" s="2417">
        <f t="shared" ca="1" si="874"/>
        <v>10807.962795482799</v>
      </c>
      <c r="BN219" s="2417">
        <f t="shared" ca="1" si="874"/>
        <v>11222.914007309379</v>
      </c>
      <c r="BO219" s="2417">
        <f t="shared" ca="1" si="874"/>
        <v>11629.553220527892</v>
      </c>
      <c r="BP219" s="2417">
        <f t="shared" ca="1" si="874"/>
        <v>12031.846751279365</v>
      </c>
      <c r="BQ219" s="2417">
        <f t="shared" ca="1" si="874"/>
        <v>12415.20574089498</v>
      </c>
      <c r="BR219" s="2417">
        <f t="shared" ca="1" si="874"/>
        <v>12763.010694787316</v>
      </c>
      <c r="BS219" s="2417">
        <f t="shared" ca="1" si="874"/>
        <v>13086.501831579222</v>
      </c>
      <c r="BT219" s="2417">
        <f t="shared" ca="1" si="874"/>
        <v>13385.117772947251</v>
      </c>
      <c r="BU219" s="2417">
        <f t="shared" ca="1" si="874"/>
        <v>13673.794238771547</v>
      </c>
      <c r="BV219" s="2417">
        <f t="shared" ca="1" si="874"/>
        <v>13959.878494158773</v>
      </c>
      <c r="BW219" s="2417">
        <f t="shared" ca="1" si="874"/>
        <v>14250.530717096008</v>
      </c>
      <c r="BX219" s="2417">
        <f t="shared" ca="1" si="874"/>
        <v>14552.705841025248</v>
      </c>
      <c r="BY219" s="2417">
        <f t="shared" ca="1" si="874"/>
        <v>14858.203214221487</v>
      </c>
      <c r="BZ219" s="2417">
        <f t="shared" ca="1" si="874"/>
        <v>15156.14810446977</v>
      </c>
      <c r="CA219" s="2417">
        <f t="shared" ca="1" si="874"/>
        <v>15458.850463915272</v>
      </c>
      <c r="CB219" s="2417">
        <f t="shared" ca="1" si="874"/>
        <v>15773.549033051309</v>
      </c>
      <c r="CC219" s="2417">
        <f t="shared" ca="1" si="874"/>
        <v>11883.973392053647</v>
      </c>
      <c r="CD219" s="2417">
        <f t="shared" ref="CD219:CZ219" ca="1" si="875">CD221/365*(SUM(CA102:CD102)-SUM(CA110:CD110))</f>
        <v>8053.6632835221726</v>
      </c>
      <c r="CE219" s="2417">
        <f t="shared" ca="1" si="875"/>
        <v>4124.4694521205038</v>
      </c>
      <c r="CF219" s="2417">
        <f t="shared" ca="1" si="875"/>
        <v>0</v>
      </c>
      <c r="CG219" s="2417">
        <f t="shared" ca="1" si="875"/>
        <v>0</v>
      </c>
      <c r="CH219" s="2417">
        <f t="shared" ca="1" si="875"/>
        <v>0</v>
      </c>
      <c r="CI219" s="2417">
        <f t="shared" ca="1" si="875"/>
        <v>0</v>
      </c>
      <c r="CJ219" s="2417">
        <f t="shared" ca="1" si="875"/>
        <v>0</v>
      </c>
      <c r="CK219" s="2417">
        <f t="shared" ca="1" si="875"/>
        <v>0</v>
      </c>
      <c r="CL219" s="2417">
        <f t="shared" ca="1" si="875"/>
        <v>0</v>
      </c>
      <c r="CM219" s="2417">
        <f t="shared" ca="1" si="875"/>
        <v>0</v>
      </c>
      <c r="CN219" s="2417">
        <f t="shared" ca="1" si="875"/>
        <v>0</v>
      </c>
      <c r="CO219" s="2417">
        <f t="shared" ca="1" si="875"/>
        <v>0</v>
      </c>
      <c r="CP219" s="2417">
        <f t="shared" ca="1" si="875"/>
        <v>0</v>
      </c>
      <c r="CQ219" s="2417">
        <f t="shared" ca="1" si="875"/>
        <v>0</v>
      </c>
      <c r="CR219" s="2417">
        <f t="shared" ca="1" si="875"/>
        <v>0</v>
      </c>
      <c r="CS219" s="2417">
        <f t="shared" ca="1" si="875"/>
        <v>0</v>
      </c>
      <c r="CT219" s="2417">
        <f t="shared" ca="1" si="875"/>
        <v>0</v>
      </c>
      <c r="CU219" s="2417">
        <f t="shared" ca="1" si="875"/>
        <v>0</v>
      </c>
      <c r="CV219" s="2417">
        <f t="shared" ca="1" si="875"/>
        <v>0</v>
      </c>
      <c r="CW219" s="2417">
        <f t="shared" ca="1" si="875"/>
        <v>0</v>
      </c>
      <c r="CX219" s="2417">
        <f t="shared" ca="1" si="875"/>
        <v>0</v>
      </c>
      <c r="CY219" s="2417">
        <f t="shared" ca="1" si="875"/>
        <v>0</v>
      </c>
      <c r="CZ219" s="2417">
        <f t="shared" ca="1" si="875"/>
        <v>0</v>
      </c>
    </row>
    <row r="220" spans="1:104" s="3011" customFormat="1" outlineLevel="1">
      <c r="A220" s="3006" t="s">
        <v>266</v>
      </c>
      <c r="B220" s="3007"/>
      <c r="C220" s="3008"/>
      <c r="D220" s="3008"/>
      <c r="E220" s="2246">
        <v>0</v>
      </c>
      <c r="F220" s="2246">
        <v>0</v>
      </c>
      <c r="G220" s="2246">
        <v>1032.8204369269999</v>
      </c>
      <c r="H220" s="2246">
        <v>1891.429518704</v>
      </c>
      <c r="I220" s="2246">
        <f>AN220</f>
        <v>1538.9</v>
      </c>
      <c r="J220" s="2256"/>
      <c r="K220" s="2296"/>
      <c r="L220" s="3009"/>
      <c r="M220" s="3009"/>
      <c r="N220" s="3009"/>
      <c r="O220" s="3009"/>
      <c r="P220" s="3009"/>
      <c r="Q220" s="3009"/>
      <c r="R220" s="3009"/>
      <c r="S220" s="3009"/>
      <c r="T220" s="2175">
        <v>217</v>
      </c>
      <c r="U220" s="3009"/>
      <c r="V220" s="3009"/>
      <c r="W220" s="3009"/>
      <c r="X220" s="3009"/>
      <c r="Y220" s="3009"/>
      <c r="Z220" s="3009"/>
      <c r="AA220" s="3009"/>
      <c r="AB220" s="3009"/>
      <c r="AC220" s="3009"/>
      <c r="AD220" s="3009"/>
      <c r="AE220" s="3009"/>
      <c r="AF220" s="2340">
        <v>1032.8</v>
      </c>
      <c r="AG220" s="2340">
        <v>1105.116</v>
      </c>
      <c r="AH220" s="2340">
        <v>1371.4690000000001</v>
      </c>
      <c r="AI220" s="2340">
        <v>1362</v>
      </c>
      <c r="AJ220" s="2340">
        <v>1891.4</v>
      </c>
      <c r="AK220" s="2340">
        <v>1544.443</v>
      </c>
      <c r="AL220" s="2340">
        <v>1578.7049999999999</v>
      </c>
      <c r="AM220" s="2340">
        <v>1605.645</v>
      </c>
      <c r="AN220" s="2340">
        <v>1538.9</v>
      </c>
      <c r="AO220" s="2374">
        <v>1676.2729999999999</v>
      </c>
      <c r="AP220" s="2374">
        <v>1606.6869999999999</v>
      </c>
      <c r="AQ220" s="2374">
        <v>1701.199527</v>
      </c>
      <c r="AR220" s="2374">
        <v>1730.77567</v>
      </c>
      <c r="AS220" s="2374">
        <v>1670.4549999999999</v>
      </c>
      <c r="AT220" s="2374">
        <v>1689.4</v>
      </c>
      <c r="AU220" s="2374">
        <v>1475.9079999999999</v>
      </c>
      <c r="AV220" s="2374">
        <v>1568.9485999999999</v>
      </c>
      <c r="AW220" s="2415">
        <v>1505.9</v>
      </c>
      <c r="AX220" s="3010"/>
      <c r="AY220" s="3010"/>
      <c r="AZ220" s="3010"/>
      <c r="BA220" s="3006"/>
      <c r="BB220" s="3006"/>
      <c r="BC220" s="3006"/>
      <c r="BD220" s="3006"/>
      <c r="BE220" s="3006"/>
      <c r="BF220" s="3006"/>
      <c r="BG220" s="3006"/>
      <c r="BH220" s="3006"/>
      <c r="BI220" s="3006"/>
      <c r="BJ220" s="3006"/>
      <c r="BK220" s="3006"/>
      <c r="BL220" s="3006"/>
      <c r="BM220" s="3006"/>
      <c r="BN220" s="3006"/>
      <c r="BO220" s="3006"/>
      <c r="BP220" s="3006"/>
      <c r="BQ220" s="3006"/>
      <c r="BR220" s="3006"/>
      <c r="BS220" s="3006"/>
      <c r="BT220" s="3006"/>
      <c r="BU220" s="3006"/>
      <c r="BV220" s="3006"/>
      <c r="BW220" s="3006"/>
      <c r="BX220" s="3006"/>
      <c r="BY220" s="3006"/>
      <c r="BZ220" s="3006"/>
      <c r="CA220" s="3006"/>
      <c r="CB220" s="3006"/>
      <c r="CC220" s="3006"/>
      <c r="CD220" s="3006"/>
      <c r="CE220" s="3006"/>
      <c r="CF220" s="3006"/>
      <c r="CG220" s="3006"/>
      <c r="CH220" s="3006"/>
      <c r="CI220" s="3006"/>
      <c r="CJ220" s="3006"/>
      <c r="CK220" s="3006"/>
      <c r="CL220" s="3006"/>
      <c r="CM220" s="3006"/>
      <c r="CN220" s="3006"/>
      <c r="CO220" s="3006"/>
      <c r="CP220" s="3006"/>
      <c r="CQ220" s="3006"/>
      <c r="CR220" s="3006"/>
      <c r="CS220" s="3006"/>
      <c r="CT220" s="3006"/>
      <c r="CU220" s="3006"/>
      <c r="CV220" s="3006"/>
      <c r="CW220" s="3006"/>
      <c r="CX220" s="3006"/>
      <c r="CY220" s="3006"/>
      <c r="CZ220" s="3006"/>
    </row>
    <row r="221" spans="1:104" s="3016" customFormat="1">
      <c r="A221" s="3012" t="s">
        <v>267</v>
      </c>
      <c r="B221" s="2300"/>
      <c r="C221" s="2301"/>
      <c r="D221" s="2301"/>
      <c r="E221" s="2195">
        <f>SUM(E219:E220)/(E102-E110)*365</f>
        <v>61.831686789600248</v>
      </c>
      <c r="F221" s="2195">
        <f>SUM(F219:F220)/(F102-F110)*365</f>
        <v>68.851790996712026</v>
      </c>
      <c r="G221" s="2195">
        <f>SUM(G219:G220)/(G102-G110)*365</f>
        <v>71.032457072578708</v>
      </c>
      <c r="H221" s="2195">
        <f>SUM(H219:H220)/(H102-H110)*365</f>
        <v>81.796724852074462</v>
      </c>
      <c r="I221" s="2195">
        <f>SUM(I219:I220)/(I102-I110)*365</f>
        <v>70.464383759752181</v>
      </c>
      <c r="J221" s="2301"/>
      <c r="K221" s="2364"/>
      <c r="L221" s="3013"/>
      <c r="M221" s="3013"/>
      <c r="N221" s="3013"/>
      <c r="O221" s="3013"/>
      <c r="P221" s="3013"/>
      <c r="Q221" s="3013"/>
      <c r="R221" s="3013"/>
      <c r="S221" s="3013"/>
      <c r="T221" s="2175">
        <v>218</v>
      </c>
      <c r="U221" s="3013"/>
      <c r="V221" s="3013"/>
      <c r="W221" s="3013"/>
      <c r="X221" s="3013"/>
      <c r="Y221" s="3013"/>
      <c r="Z221" s="3013"/>
      <c r="AA221" s="3013"/>
      <c r="AB221" s="3013"/>
      <c r="AC221" s="3013"/>
      <c r="AD221" s="3013"/>
      <c r="AE221" s="3013"/>
      <c r="AF221" s="3017">
        <f t="shared" ref="AF221:AG221" si="876">SUM(AF219:AF220)/(SUM(AD102:AG102)-SUM(AD110:AG110))*365</f>
        <v>67.047470430814684</v>
      </c>
      <c r="AG221" s="3017">
        <f t="shared" si="876"/>
        <v>62.409101386262556</v>
      </c>
      <c r="AH221" s="3017">
        <f t="shared" ref="AH221:AO221" si="877">SUM(AH219:AH220)/(SUM(AE102:AH102)-SUM(AE110:AH110))*365</f>
        <v>63.515379489027012</v>
      </c>
      <c r="AI221" s="3017">
        <f t="shared" si="877"/>
        <v>59.215607838764733</v>
      </c>
      <c r="AJ221" s="3017">
        <f t="shared" si="877"/>
        <v>81.924326843066524</v>
      </c>
      <c r="AK221" s="3017">
        <f t="shared" si="877"/>
        <v>66.908436883700219</v>
      </c>
      <c r="AL221" s="3017">
        <f t="shared" si="877"/>
        <v>62.238565345390164</v>
      </c>
      <c r="AM221" s="3017">
        <f t="shared" si="877"/>
        <v>66.416355791315866</v>
      </c>
      <c r="AN221" s="3017">
        <f t="shared" si="877"/>
        <v>70.464383759752181</v>
      </c>
      <c r="AO221" s="3017">
        <f t="shared" si="877"/>
        <v>63.50397368882323</v>
      </c>
      <c r="AP221" s="3017">
        <f t="shared" ref="AP221:AW221" ca="1" si="878">SUM(AP219:AP220)/(SUM(AM102:AP102)-SUM(AM110:AP110))*365</f>
        <v>63.426398095749782</v>
      </c>
      <c r="AQ221" s="3017">
        <f t="shared" ca="1" si="878"/>
        <v>62.446391174928777</v>
      </c>
      <c r="AR221" s="3017">
        <f t="shared" ca="1" si="878"/>
        <v>63.971268595366858</v>
      </c>
      <c r="AS221" s="3017">
        <f t="shared" ca="1" si="878"/>
        <v>53.851123722920306</v>
      </c>
      <c r="AT221" s="3017">
        <f t="shared" ca="1" si="878"/>
        <v>51.831230232326845</v>
      </c>
      <c r="AU221" s="3017">
        <f t="shared" ca="1" si="878"/>
        <v>43.25944224671828</v>
      </c>
      <c r="AV221" s="3017">
        <f t="shared" ca="1" si="878"/>
        <v>50.308133069679087</v>
      </c>
      <c r="AW221" s="3017">
        <f t="shared" ca="1" si="878"/>
        <v>46.799387165367072</v>
      </c>
      <c r="AX221" s="3018">
        <f t="shared" ref="AX221:CC221" ca="1" si="879">AW221</f>
        <v>46.799387165367072</v>
      </c>
      <c r="AY221" s="3018">
        <f t="shared" ca="1" si="879"/>
        <v>46.799387165367072</v>
      </c>
      <c r="AZ221" s="3018">
        <f t="shared" ca="1" si="879"/>
        <v>46.799387165367072</v>
      </c>
      <c r="BA221" s="3019">
        <f t="shared" ca="1" si="879"/>
        <v>46.799387165367072</v>
      </c>
      <c r="BB221" s="3019">
        <f t="shared" ca="1" si="879"/>
        <v>46.799387165367072</v>
      </c>
      <c r="BC221" s="3019">
        <f t="shared" ca="1" si="879"/>
        <v>46.799387165367072</v>
      </c>
      <c r="BD221" s="3019">
        <f t="shared" ca="1" si="879"/>
        <v>46.799387165367072</v>
      </c>
      <c r="BE221" s="3019">
        <f t="shared" ca="1" si="879"/>
        <v>46.799387165367072</v>
      </c>
      <c r="BF221" s="3019">
        <f t="shared" ca="1" si="879"/>
        <v>46.799387165367072</v>
      </c>
      <c r="BG221" s="3019">
        <f t="shared" ca="1" si="879"/>
        <v>46.799387165367072</v>
      </c>
      <c r="BH221" s="3019">
        <f t="shared" ca="1" si="879"/>
        <v>46.799387165367072</v>
      </c>
      <c r="BI221" s="3019">
        <f t="shared" ca="1" si="879"/>
        <v>46.799387165367072</v>
      </c>
      <c r="BJ221" s="3019">
        <f t="shared" ca="1" si="879"/>
        <v>46.799387165367072</v>
      </c>
      <c r="BK221" s="3019">
        <f t="shared" ca="1" si="879"/>
        <v>46.799387165367072</v>
      </c>
      <c r="BL221" s="3019">
        <f t="shared" ca="1" si="879"/>
        <v>46.799387165367072</v>
      </c>
      <c r="BM221" s="3019">
        <f t="shared" ca="1" si="879"/>
        <v>46.799387165367072</v>
      </c>
      <c r="BN221" s="3019">
        <f t="shared" ca="1" si="879"/>
        <v>46.799387165367072</v>
      </c>
      <c r="BO221" s="3019">
        <f t="shared" ca="1" si="879"/>
        <v>46.799387165367072</v>
      </c>
      <c r="BP221" s="3019">
        <f t="shared" ca="1" si="879"/>
        <v>46.799387165367072</v>
      </c>
      <c r="BQ221" s="3019">
        <f t="shared" ca="1" si="879"/>
        <v>46.799387165367072</v>
      </c>
      <c r="BR221" s="3019">
        <f t="shared" ca="1" si="879"/>
        <v>46.799387165367072</v>
      </c>
      <c r="BS221" s="3019">
        <f t="shared" ca="1" si="879"/>
        <v>46.799387165367072</v>
      </c>
      <c r="BT221" s="3019">
        <f t="shared" ca="1" si="879"/>
        <v>46.799387165367072</v>
      </c>
      <c r="BU221" s="3019">
        <f t="shared" ca="1" si="879"/>
        <v>46.799387165367072</v>
      </c>
      <c r="BV221" s="3019">
        <f t="shared" ca="1" si="879"/>
        <v>46.799387165367072</v>
      </c>
      <c r="BW221" s="3019">
        <f t="shared" ca="1" si="879"/>
        <v>46.799387165367072</v>
      </c>
      <c r="BX221" s="3019">
        <f t="shared" ca="1" si="879"/>
        <v>46.799387165367072</v>
      </c>
      <c r="BY221" s="3019">
        <f t="shared" ca="1" si="879"/>
        <v>46.799387165367072</v>
      </c>
      <c r="BZ221" s="3019">
        <f t="shared" ca="1" si="879"/>
        <v>46.799387165367072</v>
      </c>
      <c r="CA221" s="3019">
        <f t="shared" ca="1" si="879"/>
        <v>46.799387165367072</v>
      </c>
      <c r="CB221" s="3019">
        <f t="shared" ca="1" si="879"/>
        <v>46.799387165367072</v>
      </c>
      <c r="CC221" s="3019">
        <f t="shared" ca="1" si="879"/>
        <v>46.799387165367072</v>
      </c>
      <c r="CD221" s="3019">
        <f t="shared" ref="CD221:CZ221" ca="1" si="880">CC221</f>
        <v>46.799387165367072</v>
      </c>
      <c r="CE221" s="3019">
        <f t="shared" ca="1" si="880"/>
        <v>46.799387165367072</v>
      </c>
      <c r="CF221" s="3019">
        <f t="shared" ca="1" si="880"/>
        <v>46.799387165367072</v>
      </c>
      <c r="CG221" s="3019">
        <f t="shared" ca="1" si="880"/>
        <v>46.799387165367072</v>
      </c>
      <c r="CH221" s="3019">
        <f t="shared" ca="1" si="880"/>
        <v>46.799387165367072</v>
      </c>
      <c r="CI221" s="3019">
        <f t="shared" ca="1" si="880"/>
        <v>46.799387165367072</v>
      </c>
      <c r="CJ221" s="3019">
        <f t="shared" ca="1" si="880"/>
        <v>46.799387165367072</v>
      </c>
      <c r="CK221" s="3019">
        <f t="shared" ca="1" si="880"/>
        <v>46.799387165367072</v>
      </c>
      <c r="CL221" s="3019">
        <f t="shared" ca="1" si="880"/>
        <v>46.799387165367072</v>
      </c>
      <c r="CM221" s="3019">
        <f t="shared" ca="1" si="880"/>
        <v>46.799387165367072</v>
      </c>
      <c r="CN221" s="3019">
        <f t="shared" ca="1" si="880"/>
        <v>46.799387165367072</v>
      </c>
      <c r="CO221" s="3019">
        <f t="shared" ca="1" si="880"/>
        <v>46.799387165367072</v>
      </c>
      <c r="CP221" s="3019">
        <f t="shared" ca="1" si="880"/>
        <v>46.799387165367072</v>
      </c>
      <c r="CQ221" s="3019">
        <f t="shared" ca="1" si="880"/>
        <v>46.799387165367072</v>
      </c>
      <c r="CR221" s="3019">
        <f t="shared" ca="1" si="880"/>
        <v>46.799387165367072</v>
      </c>
      <c r="CS221" s="3019">
        <f t="shared" ca="1" si="880"/>
        <v>46.799387165367072</v>
      </c>
      <c r="CT221" s="3019">
        <f t="shared" ca="1" si="880"/>
        <v>46.799387165367072</v>
      </c>
      <c r="CU221" s="3019">
        <f t="shared" ca="1" si="880"/>
        <v>46.799387165367072</v>
      </c>
      <c r="CV221" s="3019">
        <f t="shared" ca="1" si="880"/>
        <v>46.799387165367072</v>
      </c>
      <c r="CW221" s="3019">
        <f t="shared" ca="1" si="880"/>
        <v>46.799387165367072</v>
      </c>
      <c r="CX221" s="3019">
        <f t="shared" ca="1" si="880"/>
        <v>46.799387165367072</v>
      </c>
      <c r="CY221" s="3019">
        <f t="shared" ca="1" si="880"/>
        <v>46.799387165367072</v>
      </c>
      <c r="CZ221" s="3019">
        <f t="shared" ca="1" si="880"/>
        <v>46.799387165367072</v>
      </c>
    </row>
    <row r="222" spans="1:104" s="2203" customFormat="1">
      <c r="A222" s="2192"/>
      <c r="B222" s="2300"/>
      <c r="C222" s="2301"/>
      <c r="D222" s="2301"/>
      <c r="E222" s="2902">
        <f>SUM(E219:E220)/E208</f>
        <v>3.4746207298615384E-2</v>
      </c>
      <c r="F222" s="2902">
        <f>SUM(F219:F220)/F208</f>
        <v>6.2575485728944863E-2</v>
      </c>
      <c r="G222" s="2902">
        <f>SUM(G219:G220)/G208</f>
        <v>0.15895246053034603</v>
      </c>
      <c r="H222" s="2902">
        <f>SUM(H219:H220)/H208</f>
        <v>0.1556378756096955</v>
      </c>
      <c r="I222" s="2902">
        <f>SUM(I219:I220)/I208</f>
        <v>0.1529360290455348</v>
      </c>
      <c r="J222" s="2301"/>
      <c r="K222" s="2364"/>
      <c r="L222" s="3020"/>
      <c r="M222" s="3020"/>
      <c r="N222" s="3020"/>
      <c r="O222" s="3020"/>
      <c r="P222" s="3020"/>
      <c r="Q222" s="3020"/>
      <c r="R222" s="3020"/>
      <c r="S222" s="3020"/>
      <c r="T222" s="2175">
        <v>219</v>
      </c>
      <c r="U222" s="3020"/>
      <c r="V222" s="3020"/>
      <c r="W222" s="3020"/>
      <c r="X222" s="3020"/>
      <c r="Y222" s="3020"/>
      <c r="Z222" s="3020"/>
      <c r="AA222" s="3020"/>
      <c r="AB222" s="3020"/>
      <c r="AC222" s="3020"/>
      <c r="AD222" s="3020"/>
      <c r="AE222" s="3020"/>
      <c r="AF222" s="3020"/>
      <c r="AG222" s="3020"/>
      <c r="AH222" s="3020"/>
      <c r="AI222" s="3020"/>
      <c r="AJ222" s="3020"/>
      <c r="AK222" s="3020"/>
      <c r="AL222" s="3020"/>
      <c r="AM222" s="3020"/>
      <c r="AN222" s="3020"/>
      <c r="AO222" s="3021"/>
      <c r="AP222" s="3020"/>
      <c r="AQ222" s="3020"/>
      <c r="AR222" s="3020"/>
      <c r="AS222" s="3021"/>
      <c r="AT222" s="3020"/>
      <c r="AU222" s="3020"/>
      <c r="AV222" s="3020"/>
      <c r="AW222" s="2470"/>
      <c r="AX222" s="2471"/>
      <c r="AY222" s="2471"/>
      <c r="AZ222" s="2471"/>
      <c r="BA222" s="2192"/>
      <c r="BB222" s="2192"/>
      <c r="BC222" s="2192"/>
      <c r="BD222" s="2192"/>
      <c r="BE222" s="2192"/>
      <c r="BF222" s="2192"/>
      <c r="BG222" s="2192"/>
      <c r="BH222" s="2192"/>
      <c r="BI222" s="2192"/>
      <c r="BJ222" s="2192"/>
      <c r="BK222" s="2192"/>
      <c r="BL222" s="2192"/>
      <c r="BM222" s="2192"/>
      <c r="BN222" s="2192"/>
      <c r="BO222" s="2192"/>
      <c r="BP222" s="2192"/>
      <c r="BQ222" s="2192"/>
      <c r="BR222" s="2192"/>
      <c r="BS222" s="2192"/>
      <c r="BT222" s="2192"/>
      <c r="BU222" s="2192"/>
      <c r="BV222" s="2192"/>
      <c r="BW222" s="2192"/>
      <c r="BX222" s="2192"/>
      <c r="BY222" s="2192"/>
      <c r="BZ222" s="2192"/>
      <c r="CA222" s="2192"/>
      <c r="CB222" s="2192"/>
      <c r="CC222" s="2192"/>
      <c r="CD222" s="2192"/>
      <c r="CE222" s="2192"/>
      <c r="CF222" s="2192"/>
      <c r="CG222" s="2192"/>
      <c r="CH222" s="2192"/>
      <c r="CI222" s="2192"/>
      <c r="CJ222" s="2192"/>
      <c r="CK222" s="2192"/>
      <c r="CL222" s="2192"/>
      <c r="CM222" s="2192"/>
      <c r="CN222" s="2192"/>
      <c r="CO222" s="2192"/>
      <c r="CP222" s="2192"/>
      <c r="CQ222" s="2192"/>
      <c r="CR222" s="2192"/>
      <c r="CS222" s="2192"/>
      <c r="CT222" s="2192"/>
      <c r="CU222" s="2192"/>
      <c r="CV222" s="2192"/>
      <c r="CW222" s="2192"/>
      <c r="CX222" s="2192"/>
      <c r="CY222" s="2192"/>
      <c r="CZ222" s="2192"/>
    </row>
    <row r="223" spans="1:104">
      <c r="A223" s="2174" t="s">
        <v>268</v>
      </c>
      <c r="B223" s="2240"/>
      <c r="C223" s="2256"/>
      <c r="D223" s="2256"/>
      <c r="E223" s="2246">
        <v>0</v>
      </c>
      <c r="F223" s="2246">
        <v>0</v>
      </c>
      <c r="G223" s="2246">
        <v>0</v>
      </c>
      <c r="H223" s="2246">
        <v>0</v>
      </c>
      <c r="I223" s="2246">
        <v>0</v>
      </c>
      <c r="J223" s="2256"/>
      <c r="K223" s="2296"/>
      <c r="L223" s="2175"/>
      <c r="M223" s="2175"/>
      <c r="N223" s="2175"/>
      <c r="O223" s="2175"/>
      <c r="P223" s="2175"/>
      <c r="Q223" s="2175"/>
      <c r="R223" s="2175"/>
      <c r="S223" s="2175"/>
      <c r="T223" s="2175">
        <v>220</v>
      </c>
      <c r="U223" s="2175"/>
      <c r="V223" s="2175"/>
      <c r="W223" s="2175"/>
      <c r="X223" s="2175"/>
      <c r="Y223" s="2175"/>
      <c r="Z223" s="2175"/>
      <c r="AA223" s="2175"/>
      <c r="AB223" s="2175"/>
      <c r="AC223" s="2175"/>
      <c r="AD223" s="2175"/>
      <c r="AE223" s="2175"/>
      <c r="AF223" s="2453">
        <f t="shared" ref="AF223:AN223" si="881">SUM(AF219:AF220)</f>
        <v>3167.3</v>
      </c>
      <c r="AG223" s="2453">
        <f t="shared" si="881"/>
        <v>3237.5749999999998</v>
      </c>
      <c r="AH223" s="2453">
        <f t="shared" si="881"/>
        <v>3294.9650000000001</v>
      </c>
      <c r="AI223" s="2453">
        <f t="shared" si="881"/>
        <v>3450.0740000000001</v>
      </c>
      <c r="AJ223" s="2453">
        <f t="shared" si="881"/>
        <v>4645.7710000000006</v>
      </c>
      <c r="AK223" s="2453">
        <f t="shared" si="881"/>
        <v>3817.5820000000003</v>
      </c>
      <c r="AL223" s="2453">
        <f t="shared" si="881"/>
        <v>3481.0370000000003</v>
      </c>
      <c r="AM223" s="2453">
        <f t="shared" si="881"/>
        <v>3472.7339999999999</v>
      </c>
      <c r="AN223" s="2453">
        <f t="shared" si="881"/>
        <v>3893.4929999999999</v>
      </c>
      <c r="AO223" s="2375"/>
      <c r="AP223" s="2175"/>
      <c r="AQ223" s="2175"/>
      <c r="AR223" s="2175"/>
      <c r="AS223" s="2375"/>
      <c r="AT223" s="2175"/>
      <c r="AU223" s="2175"/>
      <c r="AV223" s="2175"/>
      <c r="AW223" s="2376"/>
      <c r="AX223" s="2177"/>
      <c r="AY223" s="2177"/>
      <c r="AZ223" s="2177"/>
      <c r="BA223" s="2174"/>
      <c r="BB223" s="2174"/>
      <c r="BC223" s="2174"/>
      <c r="BD223" s="2174"/>
      <c r="BE223" s="2174"/>
      <c r="BF223" s="2174"/>
      <c r="BG223" s="2174"/>
      <c r="BH223" s="2174"/>
      <c r="BI223" s="2174"/>
      <c r="BJ223" s="2174"/>
      <c r="BK223" s="2174"/>
      <c r="BL223" s="2174"/>
      <c r="BM223" s="2174"/>
      <c r="BN223" s="2174"/>
      <c r="BO223" s="2174"/>
      <c r="BP223" s="2174"/>
      <c r="BQ223" s="2174"/>
      <c r="BR223" s="2174"/>
      <c r="BS223" s="2174"/>
      <c r="BT223" s="2174"/>
      <c r="BU223" s="2174"/>
      <c r="BV223" s="2174"/>
      <c r="BW223" s="2174"/>
      <c r="BX223" s="2174"/>
      <c r="BY223" s="2174"/>
      <c r="BZ223" s="2174"/>
      <c r="CA223" s="2174"/>
      <c r="CB223" s="2174"/>
      <c r="CC223" s="2174"/>
      <c r="CD223" s="2174"/>
      <c r="CE223" s="2174"/>
      <c r="CF223" s="2174"/>
      <c r="CG223" s="2174"/>
      <c r="CH223" s="2174"/>
      <c r="CI223" s="2174"/>
      <c r="CJ223" s="2174"/>
      <c r="CK223" s="2174"/>
      <c r="CL223" s="2174"/>
      <c r="CM223" s="2174"/>
      <c r="CN223" s="2174"/>
      <c r="CO223" s="2174"/>
      <c r="CP223" s="2174"/>
      <c r="CQ223" s="2174"/>
      <c r="CR223" s="2174"/>
      <c r="CS223" s="2174"/>
      <c r="CT223" s="2174"/>
      <c r="CU223" s="2174"/>
      <c r="CV223" s="2174"/>
      <c r="CW223" s="2174"/>
      <c r="CX223" s="2174"/>
      <c r="CY223" s="2174"/>
      <c r="CZ223" s="2174"/>
    </row>
    <row r="224" spans="1:104">
      <c r="A224" s="2174" t="s">
        <v>269</v>
      </c>
      <c r="B224" s="2240"/>
      <c r="C224" s="2256"/>
      <c r="D224" s="2256"/>
      <c r="E224" s="2246">
        <v>140.104491868</v>
      </c>
      <c r="F224" s="2246">
        <v>19.100171315000001</v>
      </c>
      <c r="G224" s="2246">
        <v>16.831033109</v>
      </c>
      <c r="H224" s="2246">
        <v>24.276449619000001</v>
      </c>
      <c r="I224" s="2246">
        <v>10.59</v>
      </c>
      <c r="J224" s="2256"/>
      <c r="K224" s="2296"/>
      <c r="L224" s="2175"/>
      <c r="M224" s="2175"/>
      <c r="N224" s="2175"/>
      <c r="O224" s="2175"/>
      <c r="P224" s="2175"/>
      <c r="Q224" s="2175"/>
      <c r="R224" s="2175"/>
      <c r="S224" s="2175"/>
      <c r="T224" s="2175">
        <v>221</v>
      </c>
      <c r="U224" s="2175"/>
      <c r="V224" s="2175"/>
      <c r="W224" s="2175"/>
      <c r="X224" s="2175"/>
      <c r="Y224" s="2175"/>
      <c r="Z224" s="2175"/>
      <c r="AA224" s="2175"/>
      <c r="AB224" s="2175"/>
      <c r="AC224" s="2175"/>
      <c r="AD224" s="2175"/>
      <c r="AE224" s="2175"/>
      <c r="AF224" s="2175"/>
      <c r="AG224" s="2175"/>
      <c r="AH224" s="2175"/>
      <c r="AI224" s="2175"/>
      <c r="AJ224" s="2175"/>
      <c r="AK224" s="2491">
        <f>AK223/AJ223-1</f>
        <v>-0.17826728868039343</v>
      </c>
      <c r="AL224" s="2491">
        <f>AL223/AK223-1</f>
        <v>-8.8156587075274406E-2</v>
      </c>
      <c r="AM224" s="2491">
        <f>AM223/AL223-1</f>
        <v>-2.3852087754311357E-3</v>
      </c>
      <c r="AN224" s="2175"/>
      <c r="AO224" s="2375"/>
      <c r="AP224" s="2175"/>
      <c r="AQ224" s="2175"/>
      <c r="AR224" s="2175"/>
      <c r="AS224" s="2375"/>
      <c r="AT224" s="2175"/>
      <c r="AU224" s="2175"/>
      <c r="AV224" s="2175"/>
      <c r="AW224" s="2376"/>
      <c r="AX224" s="2177"/>
      <c r="AY224" s="2177"/>
      <c r="AZ224" s="2177"/>
      <c r="BA224" s="2174"/>
      <c r="BB224" s="2174"/>
      <c r="BC224" s="2174"/>
      <c r="BD224" s="2174"/>
      <c r="BE224" s="2174"/>
      <c r="BF224" s="2174"/>
      <c r="BG224" s="2174"/>
      <c r="BH224" s="2174"/>
      <c r="BI224" s="2174"/>
      <c r="BJ224" s="2174"/>
      <c r="BK224" s="2174"/>
      <c r="BL224" s="2174"/>
      <c r="BM224" s="2174"/>
      <c r="BN224" s="2174"/>
      <c r="BO224" s="2174"/>
      <c r="BP224" s="2174"/>
      <c r="BQ224" s="2174"/>
      <c r="BR224" s="2174"/>
      <c r="BS224" s="2174"/>
      <c r="BT224" s="2174"/>
      <c r="BU224" s="2174"/>
      <c r="BV224" s="2174"/>
      <c r="BW224" s="2174"/>
      <c r="BX224" s="2174"/>
      <c r="BY224" s="2174"/>
      <c r="BZ224" s="2174"/>
      <c r="CA224" s="2174"/>
      <c r="CB224" s="2174"/>
      <c r="CC224" s="2174"/>
      <c r="CD224" s="2174"/>
      <c r="CE224" s="2174"/>
      <c r="CF224" s="2174"/>
      <c r="CG224" s="2174"/>
      <c r="CH224" s="2174"/>
      <c r="CI224" s="2174"/>
      <c r="CJ224" s="2174"/>
      <c r="CK224" s="2174"/>
      <c r="CL224" s="2174"/>
      <c r="CM224" s="2174"/>
      <c r="CN224" s="2174"/>
      <c r="CO224" s="2174"/>
      <c r="CP224" s="2174"/>
      <c r="CQ224" s="2174"/>
      <c r="CR224" s="2174"/>
      <c r="CS224" s="2174"/>
      <c r="CT224" s="2174"/>
      <c r="CU224" s="2174"/>
      <c r="CV224" s="2174"/>
      <c r="CW224" s="2174"/>
      <c r="CX224" s="2174"/>
      <c r="CY224" s="2174"/>
      <c r="CZ224" s="2174"/>
    </row>
    <row r="225" spans="1:104">
      <c r="A225" s="2174" t="s">
        <v>270</v>
      </c>
      <c r="B225" s="2240"/>
      <c r="C225" s="2256"/>
      <c r="D225" s="2256"/>
      <c r="E225" s="2246">
        <v>9.0111162700000005</v>
      </c>
      <c r="F225" s="2246">
        <v>5.813877959</v>
      </c>
      <c r="G225" s="2246">
        <v>16.379211128000001</v>
      </c>
      <c r="H225" s="2246">
        <v>14.669782299</v>
      </c>
      <c r="I225" s="2246">
        <v>21.295999999999999</v>
      </c>
      <c r="J225" s="2256"/>
      <c r="K225" s="2296"/>
      <c r="L225" s="2175"/>
      <c r="M225" s="2175"/>
      <c r="N225" s="2175"/>
      <c r="O225" s="2175"/>
      <c r="P225" s="2175"/>
      <c r="Q225" s="2175"/>
      <c r="R225" s="2175"/>
      <c r="S225" s="2175"/>
      <c r="T225" s="2175">
        <v>222</v>
      </c>
      <c r="U225" s="2175"/>
      <c r="V225" s="2175"/>
      <c r="W225" s="2175"/>
      <c r="X225" s="2175"/>
      <c r="Y225" s="2175"/>
      <c r="Z225" s="2175"/>
      <c r="AA225" s="2175"/>
      <c r="AB225" s="2175"/>
      <c r="AC225" s="2175"/>
      <c r="AD225" s="2175"/>
      <c r="AE225" s="2175"/>
      <c r="AF225" s="2436">
        <f t="shared" ref="AF225:AL225" si="882">AF219/SUM(AF219:AF220)</f>
        <v>0.67391784800934551</v>
      </c>
      <c r="AG225" s="2436">
        <f t="shared" si="882"/>
        <v>0.65865933607715654</v>
      </c>
      <c r="AH225" s="2436">
        <f t="shared" si="882"/>
        <v>0.58376826460979103</v>
      </c>
      <c r="AI225" s="2436">
        <f t="shared" si="882"/>
        <v>0.6052258589236057</v>
      </c>
      <c r="AJ225" s="2436">
        <f t="shared" si="882"/>
        <v>0.59287704882569536</v>
      </c>
      <c r="AK225" s="2436">
        <f t="shared" si="882"/>
        <v>0.59543946927662583</v>
      </c>
      <c r="AL225" s="2436">
        <f t="shared" si="882"/>
        <v>0.54648428040265007</v>
      </c>
      <c r="AM225" s="2436">
        <f>AM219/SUM(AM219:AM220)</f>
        <v>0.53764238781317542</v>
      </c>
      <c r="AN225" s="2175"/>
      <c r="AO225" s="2375"/>
      <c r="AP225" s="2175"/>
      <c r="AQ225" s="2175">
        <f>272/2072</f>
        <v>0.13127413127413126</v>
      </c>
      <c r="AR225" s="2175"/>
      <c r="AS225" s="2375"/>
      <c r="AT225" s="2175"/>
      <c r="AU225" s="2175"/>
      <c r="AV225" s="2175"/>
      <c r="AW225" s="2376"/>
      <c r="AX225" s="2177"/>
      <c r="AY225" s="2177"/>
      <c r="AZ225" s="2177"/>
      <c r="BA225" s="2174"/>
      <c r="BB225" s="2174"/>
      <c r="BC225" s="2174"/>
      <c r="BD225" s="2174"/>
      <c r="BE225" s="2174"/>
      <c r="BF225" s="2174"/>
      <c r="BG225" s="2174"/>
      <c r="BH225" s="2174"/>
      <c r="BI225" s="2174"/>
      <c r="BJ225" s="2174"/>
      <c r="BK225" s="2174"/>
      <c r="BL225" s="2174"/>
      <c r="BM225" s="2174"/>
      <c r="BN225" s="2174"/>
      <c r="BO225" s="2174"/>
      <c r="BP225" s="2174"/>
      <c r="BQ225" s="2174"/>
      <c r="BR225" s="2174"/>
      <c r="BS225" s="2174"/>
      <c r="BT225" s="2174"/>
      <c r="BU225" s="2174"/>
      <c r="BV225" s="2174"/>
      <c r="BW225" s="2174"/>
      <c r="BX225" s="2174"/>
      <c r="BY225" s="2174"/>
      <c r="BZ225" s="2174"/>
      <c r="CA225" s="2174"/>
      <c r="CB225" s="2174"/>
      <c r="CC225" s="2174"/>
      <c r="CD225" s="2174"/>
      <c r="CE225" s="2174"/>
      <c r="CF225" s="2174"/>
      <c r="CG225" s="2174"/>
      <c r="CH225" s="2174"/>
      <c r="CI225" s="2174"/>
      <c r="CJ225" s="2174"/>
      <c r="CK225" s="2174"/>
      <c r="CL225" s="2174"/>
      <c r="CM225" s="2174"/>
      <c r="CN225" s="2174"/>
      <c r="CO225" s="2174"/>
      <c r="CP225" s="2174"/>
      <c r="CQ225" s="2174"/>
      <c r="CR225" s="2174"/>
      <c r="CS225" s="2174"/>
      <c r="CT225" s="2174"/>
      <c r="CU225" s="2174"/>
      <c r="CV225" s="2174"/>
      <c r="CW225" s="2174"/>
      <c r="CX225" s="2174"/>
      <c r="CY225" s="2174"/>
      <c r="CZ225" s="2174"/>
    </row>
    <row r="226" spans="1:104">
      <c r="A226" s="2174" t="s">
        <v>271</v>
      </c>
      <c r="B226" s="2240"/>
      <c r="C226" s="2256"/>
      <c r="D226" s="2256"/>
      <c r="E226" s="2246">
        <v>83.232588088</v>
      </c>
      <c r="F226" s="2246">
        <v>117.470705557</v>
      </c>
      <c r="G226" s="2246">
        <v>64.191390114000001</v>
      </c>
      <c r="H226" s="2246">
        <v>513.43457701700004</v>
      </c>
      <c r="I226" s="2246">
        <v>852.745</v>
      </c>
      <c r="J226" s="2256"/>
      <c r="K226" s="2296"/>
      <c r="L226" s="2175"/>
      <c r="M226" s="2175"/>
      <c r="N226" s="2175"/>
      <c r="O226" s="2175"/>
      <c r="P226" s="2175"/>
      <c r="Q226" s="2175"/>
      <c r="R226" s="2175"/>
      <c r="S226" s="2175"/>
      <c r="T226" s="2175">
        <v>223</v>
      </c>
      <c r="U226" s="2175"/>
      <c r="V226" s="2175"/>
      <c r="W226" s="2175"/>
      <c r="X226" s="2175"/>
      <c r="Y226" s="2175"/>
      <c r="Z226" s="2175"/>
      <c r="AA226" s="2175"/>
      <c r="AB226" s="2175"/>
      <c r="AC226" s="2175"/>
      <c r="AD226" s="2175"/>
      <c r="AE226" s="2175"/>
      <c r="AF226" s="3022">
        <f>1-AF225</f>
        <v>0.32608215199065449</v>
      </c>
      <c r="AG226" s="3022">
        <f t="shared" ref="AG226:AM226" si="883">1-AG225</f>
        <v>0.34134066392284346</v>
      </c>
      <c r="AH226" s="3022">
        <f t="shared" si="883"/>
        <v>0.41623173539020897</v>
      </c>
      <c r="AI226" s="3022">
        <f t="shared" si="883"/>
        <v>0.3947741410763943</v>
      </c>
      <c r="AJ226" s="3022">
        <f t="shared" si="883"/>
        <v>0.40712295117430464</v>
      </c>
      <c r="AK226" s="3022">
        <f t="shared" si="883"/>
        <v>0.40456053072337417</v>
      </c>
      <c r="AL226" s="3022">
        <f t="shared" si="883"/>
        <v>0.45351571959734993</v>
      </c>
      <c r="AM226" s="3022">
        <f t="shared" si="883"/>
        <v>0.46235761218682458</v>
      </c>
      <c r="AN226" s="2175"/>
      <c r="AO226" s="2375"/>
      <c r="AP226" s="2175"/>
      <c r="AQ226" s="2175">
        <f>133/2148</f>
        <v>6.1918063314711357E-2</v>
      </c>
      <c r="AR226" s="2175"/>
      <c r="AS226" s="2375"/>
      <c r="AT226" s="2175"/>
      <c r="AU226" s="2175"/>
      <c r="AV226" s="2175"/>
      <c r="AW226" s="2376"/>
      <c r="AX226" s="2177"/>
      <c r="AY226" s="2177"/>
      <c r="AZ226" s="2177"/>
      <c r="BA226" s="2174"/>
      <c r="BB226" s="2174"/>
      <c r="BC226" s="2174"/>
      <c r="BD226" s="2174"/>
      <c r="BE226" s="2174"/>
      <c r="BF226" s="2174"/>
      <c r="BG226" s="2174"/>
      <c r="BH226" s="2174"/>
      <c r="BI226" s="2174"/>
      <c r="BJ226" s="2174"/>
      <c r="BK226" s="2174"/>
      <c r="BL226" s="2174"/>
      <c r="BM226" s="2174"/>
      <c r="BN226" s="2174"/>
      <c r="BO226" s="2174"/>
      <c r="BP226" s="2174"/>
      <c r="BQ226" s="2174"/>
      <c r="BR226" s="2174"/>
      <c r="BS226" s="2174"/>
      <c r="BT226" s="2174"/>
      <c r="BU226" s="2174"/>
      <c r="BV226" s="2174"/>
      <c r="BW226" s="2174"/>
      <c r="BX226" s="2174"/>
      <c r="BY226" s="2174"/>
      <c r="BZ226" s="2174"/>
      <c r="CA226" s="2174"/>
      <c r="CB226" s="2174"/>
      <c r="CC226" s="2174"/>
      <c r="CD226" s="2174"/>
      <c r="CE226" s="2174"/>
      <c r="CF226" s="2174"/>
      <c r="CG226" s="2174"/>
      <c r="CH226" s="2174"/>
      <c r="CI226" s="2174"/>
      <c r="CJ226" s="2174"/>
      <c r="CK226" s="2174"/>
      <c r="CL226" s="2174"/>
      <c r="CM226" s="2174"/>
      <c r="CN226" s="2174"/>
      <c r="CO226" s="2174"/>
      <c r="CP226" s="2174"/>
      <c r="CQ226" s="2174"/>
      <c r="CR226" s="2174"/>
      <c r="CS226" s="2174"/>
      <c r="CT226" s="2174"/>
      <c r="CU226" s="2174"/>
      <c r="CV226" s="2174"/>
      <c r="CW226" s="2174"/>
      <c r="CX226" s="2174"/>
      <c r="CY226" s="2174"/>
      <c r="CZ226" s="2174"/>
    </row>
    <row r="227" spans="1:104" ht="14.25" customHeight="1">
      <c r="A227" s="2868" t="s">
        <v>272</v>
      </c>
      <c r="B227" s="2240"/>
      <c r="C227" s="2256"/>
      <c r="D227" s="2256"/>
      <c r="E227" s="2256"/>
      <c r="F227" s="2256"/>
      <c r="G227" s="2256"/>
      <c r="H227" s="2256"/>
      <c r="I227" s="2256"/>
      <c r="J227" s="2256"/>
      <c r="K227" s="2296"/>
      <c r="L227" s="2863"/>
      <c r="M227" s="2863"/>
      <c r="N227" s="2863"/>
      <c r="O227" s="2863"/>
      <c r="P227" s="2863"/>
      <c r="Q227" s="2863"/>
      <c r="R227" s="2175"/>
      <c r="S227" s="2175"/>
      <c r="T227" s="2175">
        <v>224</v>
      </c>
      <c r="U227" s="2175"/>
      <c r="V227" s="2175"/>
      <c r="W227" s="2175"/>
      <c r="X227" s="2175"/>
      <c r="Y227" s="2210"/>
      <c r="Z227" s="2175"/>
      <c r="AA227" s="2175"/>
      <c r="AB227" s="2175"/>
      <c r="AC227" s="2175"/>
      <c r="AD227" s="2175"/>
      <c r="AE227" s="2175"/>
      <c r="AF227" s="2175"/>
      <c r="AG227" s="2436">
        <f t="shared" ref="AG227:AO227" si="884">AG219/SUM(AG219:AG220)</f>
        <v>0.65865933607715654</v>
      </c>
      <c r="AH227" s="2436">
        <f t="shared" si="884"/>
        <v>0.58376826460979103</v>
      </c>
      <c r="AI227" s="2436">
        <f t="shared" si="884"/>
        <v>0.6052258589236057</v>
      </c>
      <c r="AJ227" s="2436">
        <f t="shared" si="884"/>
        <v>0.59287704882569536</v>
      </c>
      <c r="AK227" s="2436">
        <f t="shared" si="884"/>
        <v>0.59543946927662583</v>
      </c>
      <c r="AL227" s="2436">
        <f t="shared" si="884"/>
        <v>0.54648428040265007</v>
      </c>
      <c r="AM227" s="2436">
        <f t="shared" si="884"/>
        <v>0.53764238781317542</v>
      </c>
      <c r="AN227" s="2436">
        <f t="shared" si="884"/>
        <v>0.60475079831914424</v>
      </c>
      <c r="AO227" s="2613">
        <f t="shared" si="884"/>
        <v>0.5265874164682548</v>
      </c>
      <c r="AP227" s="2175"/>
      <c r="AQ227" s="2175"/>
      <c r="AR227" s="2175"/>
      <c r="AS227" s="2375"/>
      <c r="AT227" s="2175"/>
      <c r="AU227" s="2175"/>
      <c r="AV227" s="2175"/>
      <c r="AW227" s="2376"/>
      <c r="AX227" s="2177"/>
      <c r="AY227" s="2177"/>
      <c r="AZ227" s="2177"/>
      <c r="BA227" s="2174"/>
      <c r="BB227" s="2174"/>
      <c r="BC227" s="2174"/>
      <c r="BD227" s="2174"/>
      <c r="BE227" s="2174"/>
      <c r="BF227" s="2174"/>
      <c r="BG227" s="2174"/>
      <c r="BH227" s="2174"/>
      <c r="BI227" s="2174"/>
      <c r="BJ227" s="2174"/>
      <c r="BK227" s="2174"/>
      <c r="BL227" s="2174"/>
      <c r="BM227" s="2174"/>
      <c r="BN227" s="2174"/>
      <c r="BO227" s="2174"/>
      <c r="BP227" s="2174"/>
      <c r="BQ227" s="2174"/>
      <c r="BR227" s="2174"/>
      <c r="BS227" s="2174"/>
      <c r="BT227" s="2174"/>
      <c r="BU227" s="2174"/>
      <c r="BV227" s="2174"/>
      <c r="BW227" s="2174"/>
      <c r="BX227" s="2174"/>
      <c r="BY227" s="2174"/>
      <c r="BZ227" s="2174"/>
      <c r="CA227" s="2174"/>
      <c r="CB227" s="2174"/>
      <c r="CC227" s="2174"/>
      <c r="CD227" s="2174"/>
      <c r="CE227" s="2174"/>
      <c r="CF227" s="2174"/>
      <c r="CG227" s="2174"/>
      <c r="CH227" s="2174"/>
      <c r="CI227" s="2174"/>
      <c r="CJ227" s="2174"/>
      <c r="CK227" s="2174"/>
      <c r="CL227" s="2174"/>
      <c r="CM227" s="2174"/>
      <c r="CN227" s="2174"/>
      <c r="CO227" s="2174"/>
      <c r="CP227" s="2174"/>
      <c r="CQ227" s="2174"/>
      <c r="CR227" s="2174"/>
      <c r="CS227" s="2174"/>
      <c r="CT227" s="2174"/>
      <c r="CU227" s="2174"/>
      <c r="CV227" s="2174"/>
      <c r="CW227" s="2174"/>
      <c r="CX227" s="2174"/>
      <c r="CY227" s="2174"/>
      <c r="CZ227" s="2174"/>
    </row>
    <row r="228" spans="1:104">
      <c r="A228" s="3023" t="s">
        <v>273</v>
      </c>
      <c r="B228" s="2240"/>
      <c r="C228" s="2245"/>
      <c r="D228" s="2245"/>
      <c r="E228" s="2246">
        <v>957</v>
      </c>
      <c r="F228" s="2246">
        <v>1130</v>
      </c>
      <c r="G228" s="2246">
        <v>1748.9960000000001</v>
      </c>
      <c r="H228" s="2246">
        <v>2321.4863258410001</v>
      </c>
      <c r="I228" s="2256"/>
      <c r="J228" s="2256"/>
      <c r="K228" s="2296"/>
      <c r="L228" s="3024"/>
      <c r="M228" s="3024"/>
      <c r="N228" s="3024"/>
      <c r="O228" s="3024"/>
      <c r="P228" s="3024"/>
      <c r="Q228" s="3024"/>
      <c r="R228" s="2175"/>
      <c r="S228" s="2175"/>
      <c r="T228" s="2175">
        <v>225</v>
      </c>
      <c r="U228" s="2175"/>
      <c r="V228" s="2175"/>
      <c r="W228" s="2175"/>
      <c r="X228" s="2175"/>
      <c r="Y228" s="2175"/>
      <c r="Z228" s="2175"/>
      <c r="AA228" s="2175"/>
      <c r="AB228" s="2175"/>
      <c r="AC228" s="2175"/>
      <c r="AD228" s="2175"/>
      <c r="AE228" s="2175"/>
      <c r="AF228" s="2175"/>
      <c r="AG228" s="2175"/>
      <c r="AH228" s="2175"/>
      <c r="AI228" s="2175"/>
      <c r="AJ228" s="2175"/>
      <c r="AK228" s="2175"/>
      <c r="AL228" s="2175"/>
      <c r="AM228" s="2175"/>
      <c r="AN228" s="2175"/>
      <c r="AO228" s="2375"/>
      <c r="AP228" s="2175"/>
      <c r="AQ228" s="2175"/>
      <c r="AR228" s="2175"/>
      <c r="AS228" s="2375"/>
      <c r="AT228" s="2175"/>
      <c r="AU228" s="2175"/>
      <c r="AV228" s="2175"/>
      <c r="AW228" s="2376"/>
      <c r="AX228" s="2177"/>
      <c r="AY228" s="2177"/>
      <c r="AZ228" s="2177"/>
      <c r="BA228" s="2174"/>
      <c r="BB228" s="2174"/>
      <c r="BC228" s="2174"/>
      <c r="BD228" s="2174"/>
      <c r="BE228" s="2174"/>
      <c r="BF228" s="2174"/>
      <c r="BG228" s="2174"/>
      <c r="BH228" s="2174"/>
      <c r="BI228" s="2174"/>
      <c r="BJ228" s="2174"/>
      <c r="BK228" s="2174"/>
      <c r="BL228" s="2174"/>
      <c r="BM228" s="2174"/>
      <c r="BN228" s="2174"/>
      <c r="BO228" s="2174"/>
      <c r="BP228" s="2174"/>
      <c r="BQ228" s="2174"/>
      <c r="BR228" s="2174"/>
      <c r="BS228" s="2174"/>
      <c r="BT228" s="2174"/>
      <c r="BU228" s="2174"/>
      <c r="BV228" s="2174"/>
      <c r="BW228" s="2174"/>
      <c r="BX228" s="2174"/>
      <c r="BY228" s="2174"/>
      <c r="BZ228" s="2174"/>
      <c r="CA228" s="2174"/>
      <c r="CB228" s="2174"/>
      <c r="CC228" s="2174"/>
      <c r="CD228" s="2174"/>
      <c r="CE228" s="2174"/>
      <c r="CF228" s="2174"/>
      <c r="CG228" s="2174"/>
      <c r="CH228" s="2174"/>
      <c r="CI228" s="2174"/>
      <c r="CJ228" s="2174"/>
      <c r="CK228" s="2174"/>
      <c r="CL228" s="2174"/>
      <c r="CM228" s="2174"/>
      <c r="CN228" s="2174"/>
      <c r="CO228" s="2174"/>
      <c r="CP228" s="2174"/>
      <c r="CQ228" s="2174"/>
      <c r="CR228" s="2174"/>
      <c r="CS228" s="2174"/>
      <c r="CT228" s="2174"/>
      <c r="CU228" s="2174"/>
      <c r="CV228" s="2174"/>
      <c r="CW228" s="2174"/>
      <c r="CX228" s="2174"/>
      <c r="CY228" s="2174"/>
      <c r="CZ228" s="2174"/>
    </row>
    <row r="229" spans="1:104">
      <c r="A229" s="3023" t="s">
        <v>274</v>
      </c>
      <c r="B229" s="2240"/>
      <c r="C229" s="2245"/>
      <c r="D229" s="2245"/>
      <c r="E229" s="2246">
        <v>183</v>
      </c>
      <c r="F229" s="2246">
        <v>219</v>
      </c>
      <c r="G229" s="2246">
        <v>324.62</v>
      </c>
      <c r="H229" s="2246">
        <v>461.831928</v>
      </c>
      <c r="I229" s="2256"/>
      <c r="J229" s="2256"/>
      <c r="K229" s="2296"/>
      <c r="L229" s="3024"/>
      <c r="M229" s="3024"/>
      <c r="N229" s="3024"/>
      <c r="O229" s="3024"/>
      <c r="P229" s="3024"/>
      <c r="Q229" s="3024"/>
      <c r="R229" s="2175"/>
      <c r="S229" s="2175"/>
      <c r="T229" s="2175">
        <v>226</v>
      </c>
      <c r="U229" s="2175"/>
      <c r="V229" s="2175"/>
      <c r="W229" s="2175"/>
      <c r="X229" s="2175"/>
      <c r="Y229" s="2175"/>
      <c r="Z229" s="2175"/>
      <c r="AA229" s="2175"/>
      <c r="AB229" s="2175"/>
      <c r="AC229" s="2175"/>
      <c r="AD229" s="2175"/>
      <c r="AE229" s="2175"/>
      <c r="AF229" s="2175"/>
      <c r="AG229" s="2175"/>
      <c r="AH229" s="2175"/>
      <c r="AI229" s="2175"/>
      <c r="AJ229" s="2175"/>
      <c r="AK229" s="2175"/>
      <c r="AL229" s="2175"/>
      <c r="AM229" s="2175"/>
      <c r="AN229" s="2175"/>
      <c r="AO229" s="2375"/>
      <c r="AP229" s="2175"/>
      <c r="AQ229" s="2175"/>
      <c r="AR229" s="2175"/>
      <c r="AS229" s="2375"/>
      <c r="AT229" s="2175"/>
      <c r="AU229" s="2175"/>
      <c r="AV229" s="2175"/>
      <c r="AW229" s="2376"/>
      <c r="AX229" s="2177"/>
      <c r="AY229" s="2177"/>
      <c r="AZ229" s="2177"/>
      <c r="BA229" s="2174"/>
      <c r="BB229" s="2174"/>
      <c r="BC229" s="2174"/>
      <c r="BD229" s="2174"/>
      <c r="BE229" s="2174"/>
      <c r="BF229" s="2174"/>
      <c r="BG229" s="2174"/>
      <c r="BH229" s="2174"/>
      <c r="BI229" s="2174"/>
      <c r="BJ229" s="2174"/>
      <c r="BK229" s="2174"/>
      <c r="BL229" s="2174"/>
      <c r="BM229" s="2174"/>
      <c r="BN229" s="2174"/>
      <c r="BO229" s="2174"/>
      <c r="BP229" s="2174"/>
      <c r="BQ229" s="2174"/>
      <c r="BR229" s="2174"/>
      <c r="BS229" s="2174"/>
      <c r="BT229" s="2174"/>
      <c r="BU229" s="2174"/>
      <c r="BV229" s="2174"/>
      <c r="BW229" s="2174"/>
      <c r="BX229" s="2174"/>
      <c r="BY229" s="2174"/>
      <c r="BZ229" s="2174"/>
      <c r="CA229" s="2174"/>
      <c r="CB229" s="2174"/>
      <c r="CC229" s="2174"/>
      <c r="CD229" s="2174"/>
      <c r="CE229" s="2174"/>
      <c r="CF229" s="2174"/>
      <c r="CG229" s="2174"/>
      <c r="CH229" s="2174"/>
      <c r="CI229" s="2174"/>
      <c r="CJ229" s="2174"/>
      <c r="CK229" s="2174"/>
      <c r="CL229" s="2174"/>
      <c r="CM229" s="2174"/>
      <c r="CN229" s="2174"/>
      <c r="CO229" s="2174"/>
      <c r="CP229" s="2174"/>
      <c r="CQ229" s="2174"/>
      <c r="CR229" s="2174"/>
      <c r="CS229" s="2174"/>
      <c r="CT229" s="2174"/>
      <c r="CU229" s="2174"/>
      <c r="CV229" s="2174"/>
      <c r="CW229" s="2174"/>
      <c r="CX229" s="2174"/>
      <c r="CY229" s="2174"/>
      <c r="CZ229" s="2174"/>
    </row>
    <row r="230" spans="1:104">
      <c r="A230" s="2868" t="s">
        <v>275</v>
      </c>
      <c r="B230" s="2240"/>
      <c r="C230" s="2245"/>
      <c r="D230" s="2245"/>
      <c r="E230" s="2246"/>
      <c r="F230" s="2246"/>
      <c r="G230" s="2246"/>
      <c r="H230" s="2246"/>
      <c r="I230" s="2256"/>
      <c r="J230" s="2256"/>
      <c r="K230" s="2296"/>
      <c r="L230" s="2863"/>
      <c r="M230" s="2863"/>
      <c r="N230" s="2863"/>
      <c r="O230" s="2863"/>
      <c r="P230" s="2863"/>
      <c r="Q230" s="2863"/>
      <c r="R230" s="2175"/>
      <c r="S230" s="2175"/>
      <c r="T230" s="2175">
        <v>227</v>
      </c>
      <c r="U230" s="2175"/>
      <c r="V230" s="2175"/>
      <c r="W230" s="2175"/>
      <c r="X230" s="2175"/>
      <c r="Y230" s="2175"/>
      <c r="Z230" s="2175"/>
      <c r="AA230" s="2175"/>
      <c r="AB230" s="2175"/>
      <c r="AC230" s="2175"/>
      <c r="AD230" s="2175"/>
      <c r="AE230" s="2175"/>
      <c r="AF230" s="2175"/>
      <c r="AG230" s="2175"/>
      <c r="AH230" s="2175"/>
      <c r="AI230" s="2175"/>
      <c r="AJ230" s="2175"/>
      <c r="AK230" s="2175"/>
      <c r="AL230" s="2175"/>
      <c r="AM230" s="2175"/>
      <c r="AN230" s="2175"/>
      <c r="AO230" s="2375"/>
      <c r="AP230" s="2175"/>
      <c r="AQ230" s="2175"/>
      <c r="AR230" s="2175"/>
      <c r="AS230" s="2375"/>
      <c r="AT230" s="2175"/>
      <c r="AU230" s="2175"/>
      <c r="AV230" s="2175"/>
      <c r="AW230" s="2376"/>
      <c r="AX230" s="2177"/>
      <c r="AY230" s="2177"/>
      <c r="AZ230" s="2177"/>
      <c r="BA230" s="2174"/>
      <c r="BB230" s="2174"/>
      <c r="BC230" s="2174"/>
      <c r="BD230" s="2174"/>
      <c r="BE230" s="2174"/>
      <c r="BF230" s="2174"/>
      <c r="BG230" s="2174"/>
      <c r="BH230" s="2174"/>
      <c r="BI230" s="2174"/>
      <c r="BJ230" s="2174"/>
      <c r="BK230" s="2174"/>
      <c r="BL230" s="2174"/>
      <c r="BM230" s="2174"/>
      <c r="BN230" s="2174"/>
      <c r="BO230" s="2174"/>
      <c r="BP230" s="2174"/>
      <c r="BQ230" s="2174"/>
      <c r="BR230" s="2174"/>
      <c r="BS230" s="2174"/>
      <c r="BT230" s="2174"/>
      <c r="BU230" s="2174"/>
      <c r="BV230" s="2174"/>
      <c r="BW230" s="2174"/>
      <c r="BX230" s="2174"/>
      <c r="BY230" s="2174"/>
      <c r="BZ230" s="2174"/>
      <c r="CA230" s="2174"/>
      <c r="CB230" s="2174"/>
      <c r="CC230" s="2174"/>
      <c r="CD230" s="2174"/>
      <c r="CE230" s="2174"/>
      <c r="CF230" s="2174"/>
      <c r="CG230" s="2174"/>
      <c r="CH230" s="2174"/>
      <c r="CI230" s="2174"/>
      <c r="CJ230" s="2174"/>
      <c r="CK230" s="2174"/>
      <c r="CL230" s="2174"/>
      <c r="CM230" s="2174"/>
      <c r="CN230" s="2174"/>
      <c r="CO230" s="2174"/>
      <c r="CP230" s="2174"/>
      <c r="CQ230" s="2174"/>
      <c r="CR230" s="2174"/>
      <c r="CS230" s="2174"/>
      <c r="CT230" s="2174"/>
      <c r="CU230" s="2174"/>
      <c r="CV230" s="2174"/>
      <c r="CW230" s="2174"/>
      <c r="CX230" s="2174"/>
      <c r="CY230" s="2174"/>
      <c r="CZ230" s="2174"/>
    </row>
    <row r="231" spans="1:104">
      <c r="A231" s="3023" t="s">
        <v>273</v>
      </c>
      <c r="B231" s="2240"/>
      <c r="C231" s="2245"/>
      <c r="D231" s="2245"/>
      <c r="E231" s="2246">
        <v>0.4375857338820302</v>
      </c>
      <c r="F231" s="2246">
        <v>0.37392455327597618</v>
      </c>
      <c r="G231" s="2246">
        <v>0.43089332347868936</v>
      </c>
      <c r="H231" s="2246">
        <v>1.1594317284925019E-2</v>
      </c>
      <c r="I231" s="2872"/>
      <c r="J231" s="2872"/>
      <c r="K231" s="3025"/>
      <c r="L231" s="3026"/>
      <c r="M231" s="3026"/>
      <c r="N231" s="3026"/>
      <c r="O231" s="3026"/>
      <c r="P231" s="3026"/>
      <c r="Q231" s="3026"/>
      <c r="R231" s="2175"/>
      <c r="S231" s="2175"/>
      <c r="T231" s="2175">
        <v>228</v>
      </c>
      <c r="U231" s="2175"/>
      <c r="V231" s="2175"/>
      <c r="W231" s="2175"/>
      <c r="X231" s="2175"/>
      <c r="Y231" s="2175"/>
      <c r="Z231" s="2175"/>
      <c r="AA231" s="2175"/>
      <c r="AB231" s="2175"/>
      <c r="AC231" s="2175"/>
      <c r="AD231" s="2175"/>
      <c r="AE231" s="2175"/>
      <c r="AF231" s="2175"/>
      <c r="AG231" s="3027">
        <f>AG219/SUM(AG219:AG220)</f>
        <v>0.65865933607715654</v>
      </c>
      <c r="AH231" s="3027">
        <f>AH219/SUM(AH219:AH220)</f>
        <v>0.58376826460979103</v>
      </c>
      <c r="AI231" s="3027">
        <f>AI219/SUM(AI219:AI220)</f>
        <v>0.6052258589236057</v>
      </c>
      <c r="AJ231" s="3027">
        <f>AJ219/SUM(AJ219:AJ220)</f>
        <v>0.59287704882569536</v>
      </c>
      <c r="AK231" s="3027">
        <f>AK219/SUM(AK219:AK220)</f>
        <v>0.59543946927662583</v>
      </c>
      <c r="AL231" s="3027">
        <f t="shared" ref="AL231:AQ231" si="885">AL219/SUM(AL219:AL220)</f>
        <v>0.54648428040265007</v>
      </c>
      <c r="AM231" s="3027">
        <f t="shared" si="885"/>
        <v>0.53764238781317542</v>
      </c>
      <c r="AN231" s="3027">
        <f t="shared" si="885"/>
        <v>0.60475079831914424</v>
      </c>
      <c r="AO231" s="3027">
        <f t="shared" si="885"/>
        <v>0.5265874164682548</v>
      </c>
      <c r="AP231" s="3027">
        <f t="shared" si="885"/>
        <v>0.55305031247938941</v>
      </c>
      <c r="AQ231" s="3027">
        <f t="shared" si="885"/>
        <v>0.54430076582123221</v>
      </c>
      <c r="AR231" s="2972">
        <f>AR219/SUM(AR219:AR220)</f>
        <v>0.58228680947534051</v>
      </c>
      <c r="AS231" s="2375"/>
      <c r="AT231" s="2175"/>
      <c r="AU231" s="2175"/>
      <c r="AV231" s="2175"/>
      <c r="AW231" s="2376"/>
      <c r="AX231" s="2177"/>
      <c r="AY231" s="2177"/>
      <c r="AZ231" s="2177"/>
      <c r="BA231" s="2174"/>
      <c r="BB231" s="2174"/>
      <c r="BC231" s="2174"/>
      <c r="BD231" s="2174"/>
      <c r="BE231" s="2174"/>
      <c r="BF231" s="2174"/>
      <c r="BG231" s="2174"/>
      <c r="BH231" s="2174"/>
      <c r="BI231" s="2174"/>
      <c r="BJ231" s="2174"/>
      <c r="BK231" s="2174"/>
      <c r="BL231" s="2174"/>
      <c r="BM231" s="2174"/>
      <c r="BN231" s="2174"/>
      <c r="BO231" s="2174"/>
      <c r="BP231" s="2174"/>
      <c r="BQ231" s="2174"/>
      <c r="BR231" s="2174"/>
      <c r="BS231" s="2174"/>
      <c r="BT231" s="2174"/>
      <c r="BU231" s="2174"/>
      <c r="BV231" s="2174"/>
      <c r="BW231" s="2174"/>
      <c r="BX231" s="2174"/>
      <c r="BY231" s="2174"/>
      <c r="BZ231" s="2174"/>
      <c r="CA231" s="2174"/>
      <c r="CB231" s="2174"/>
      <c r="CC231" s="2174"/>
      <c r="CD231" s="2174"/>
      <c r="CE231" s="2174"/>
      <c r="CF231" s="2174"/>
      <c r="CG231" s="2174"/>
      <c r="CH231" s="2174"/>
      <c r="CI231" s="2174"/>
      <c r="CJ231" s="2174"/>
      <c r="CK231" s="2174"/>
      <c r="CL231" s="2174"/>
      <c r="CM231" s="2174"/>
      <c r="CN231" s="2174"/>
      <c r="CO231" s="2174"/>
      <c r="CP231" s="2174"/>
      <c r="CQ231" s="2174"/>
      <c r="CR231" s="2174"/>
      <c r="CS231" s="2174"/>
      <c r="CT231" s="2174"/>
      <c r="CU231" s="2174"/>
      <c r="CV231" s="2174"/>
      <c r="CW231" s="2174"/>
      <c r="CX231" s="2174"/>
      <c r="CY231" s="2174"/>
      <c r="CZ231" s="2174"/>
    </row>
    <row r="232" spans="1:104">
      <c r="A232" s="3023" t="s">
        <v>274</v>
      </c>
      <c r="B232" s="2240"/>
      <c r="C232" s="2245"/>
      <c r="D232" s="2245"/>
      <c r="E232" s="2246">
        <v>8.3676268861454045E-2</v>
      </c>
      <c r="F232" s="2246">
        <v>7.2468563864990079E-2</v>
      </c>
      <c r="G232" s="2246">
        <v>7.9975363389997542E-2</v>
      </c>
      <c r="H232" s="2246">
        <v>0</v>
      </c>
      <c r="I232" s="2256"/>
      <c r="J232" s="2872"/>
      <c r="K232" s="3025"/>
      <c r="L232" s="3026"/>
      <c r="M232" s="3026"/>
      <c r="N232" s="3026"/>
      <c r="O232" s="3026"/>
      <c r="P232" s="3026"/>
      <c r="Q232" s="3026"/>
      <c r="R232" s="2175"/>
      <c r="S232" s="2175"/>
      <c r="T232" s="2175">
        <v>229</v>
      </c>
      <c r="U232" s="2175"/>
      <c r="V232" s="2175"/>
      <c r="W232" s="2175"/>
      <c r="X232" s="2175"/>
      <c r="Y232" s="2175"/>
      <c r="Z232" s="2175"/>
      <c r="AA232" s="2175"/>
      <c r="AB232" s="2175"/>
      <c r="AC232" s="2175"/>
      <c r="AD232" s="2175"/>
      <c r="AE232" s="2175"/>
      <c r="AF232" s="2175"/>
      <c r="AG232" s="2175"/>
      <c r="AH232" s="2175"/>
      <c r="AI232" s="2175"/>
      <c r="AJ232" s="2175"/>
      <c r="AK232" s="2175"/>
      <c r="AL232" s="2175"/>
      <c r="AM232" s="2175"/>
      <c r="AN232" s="2175"/>
      <c r="AO232" s="2375"/>
      <c r="AP232" s="2175"/>
      <c r="AQ232" s="2175"/>
      <c r="AR232" s="2175"/>
      <c r="AS232" s="2375"/>
      <c r="AT232" s="2175"/>
      <c r="AU232" s="2175"/>
      <c r="AV232" s="2175"/>
      <c r="AW232" s="2376"/>
      <c r="AX232" s="2177"/>
      <c r="AY232" s="2177"/>
      <c r="AZ232" s="2177"/>
      <c r="BA232" s="2174"/>
      <c r="BB232" s="2174"/>
      <c r="BC232" s="2174"/>
      <c r="BD232" s="2174"/>
      <c r="BE232" s="2174"/>
      <c r="BF232" s="2174"/>
      <c r="BG232" s="2174"/>
      <c r="BH232" s="2174"/>
      <c r="BI232" s="2174"/>
      <c r="BJ232" s="2174"/>
      <c r="BK232" s="2174"/>
      <c r="BL232" s="2174"/>
      <c r="BM232" s="2174"/>
      <c r="BN232" s="2174"/>
      <c r="BO232" s="2174"/>
      <c r="BP232" s="2174"/>
      <c r="BQ232" s="2174"/>
      <c r="BR232" s="2174"/>
      <c r="BS232" s="2174"/>
      <c r="BT232" s="2174"/>
      <c r="BU232" s="2174"/>
      <c r="BV232" s="2174"/>
      <c r="BW232" s="2174"/>
      <c r="BX232" s="2174"/>
      <c r="BY232" s="2174"/>
      <c r="BZ232" s="2174"/>
      <c r="CA232" s="2174"/>
      <c r="CB232" s="2174"/>
      <c r="CC232" s="2174"/>
      <c r="CD232" s="2174"/>
      <c r="CE232" s="2174"/>
      <c r="CF232" s="2174"/>
      <c r="CG232" s="2174"/>
      <c r="CH232" s="2174"/>
      <c r="CI232" s="2174"/>
      <c r="CJ232" s="2174"/>
      <c r="CK232" s="2174"/>
      <c r="CL232" s="2174"/>
      <c r="CM232" s="2174"/>
      <c r="CN232" s="2174"/>
      <c r="CO232" s="2174"/>
      <c r="CP232" s="2174"/>
      <c r="CQ232" s="2174"/>
      <c r="CR232" s="2174"/>
      <c r="CS232" s="2174"/>
      <c r="CT232" s="2174"/>
      <c r="CU232" s="2174"/>
      <c r="CV232" s="2174"/>
      <c r="CW232" s="2174"/>
      <c r="CX232" s="2174"/>
      <c r="CY232" s="2174"/>
      <c r="CZ232" s="2174"/>
    </row>
    <row r="233" spans="1:104" s="3035" customFormat="1">
      <c r="A233" s="3028" t="s">
        <v>276</v>
      </c>
      <c r="B233" s="2300"/>
      <c r="C233" s="2194"/>
      <c r="D233" s="2194"/>
      <c r="E233" s="2195">
        <v>2187</v>
      </c>
      <c r="F233" s="2195">
        <v>3022</v>
      </c>
      <c r="G233" s="2195">
        <v>4059</v>
      </c>
      <c r="H233" s="2196">
        <f>SUM(H234:H236)</f>
        <v>5068</v>
      </c>
      <c r="I233" s="2196">
        <f>SUM(I234:I237)</f>
        <v>5735</v>
      </c>
      <c r="J233" s="2196">
        <f t="shared" ref="J233" si="886">SUM(J234:J237)</f>
        <v>5478</v>
      </c>
      <c r="K233" s="3029">
        <f t="shared" ref="K233:Q233" si="887">SUM(K234:K237)</f>
        <v>5195</v>
      </c>
      <c r="L233" s="3030">
        <f t="shared" si="887"/>
        <v>5971</v>
      </c>
      <c r="M233" s="3030">
        <f t="shared" si="887"/>
        <v>6781</v>
      </c>
      <c r="N233" s="3030">
        <f t="shared" si="887"/>
        <v>7496</v>
      </c>
      <c r="O233" s="3030">
        <f t="shared" si="887"/>
        <v>8239</v>
      </c>
      <c r="P233" s="3030">
        <f t="shared" si="887"/>
        <v>8876</v>
      </c>
      <c r="Q233" s="3030">
        <f t="shared" si="887"/>
        <v>9281</v>
      </c>
      <c r="R233" s="3030"/>
      <c r="S233" s="3030"/>
      <c r="T233" s="2175">
        <v>230</v>
      </c>
      <c r="U233" s="3031"/>
      <c r="V233" s="3031"/>
      <c r="W233" s="3031"/>
      <c r="X233" s="3031"/>
      <c r="Y233" s="3031"/>
      <c r="Z233" s="3031"/>
      <c r="AA233" s="3031"/>
      <c r="AB233" s="3031"/>
      <c r="AC233" s="3031"/>
      <c r="AD233" s="3031"/>
      <c r="AE233" s="3031"/>
      <c r="AF233" s="3031"/>
      <c r="AG233" s="3031"/>
      <c r="AH233" s="3031"/>
      <c r="AI233" s="3031"/>
      <c r="AJ233" s="3031"/>
      <c r="AK233" s="3031"/>
      <c r="AL233" s="3031"/>
      <c r="AM233" s="3031"/>
      <c r="AN233" s="3031"/>
      <c r="AO233" s="3032"/>
      <c r="AP233" s="3031"/>
      <c r="AQ233" s="3031"/>
      <c r="AR233" s="3031"/>
      <c r="AS233" s="3032"/>
      <c r="AT233" s="3031"/>
      <c r="AU233" s="3031"/>
      <c r="AV233" s="3031"/>
      <c r="AW233" s="3033"/>
      <c r="AX233" s="3034"/>
      <c r="AY233" s="3034"/>
      <c r="AZ233" s="3034"/>
      <c r="BA233" s="3028"/>
      <c r="BB233" s="3028"/>
      <c r="BC233" s="3028"/>
      <c r="BD233" s="3028"/>
      <c r="BE233" s="3028"/>
      <c r="BF233" s="3028"/>
      <c r="BG233" s="3028"/>
      <c r="BH233" s="3028"/>
      <c r="BI233" s="3028"/>
      <c r="BJ233" s="3028"/>
      <c r="BK233" s="3028"/>
      <c r="BL233" s="3028"/>
      <c r="BM233" s="3028"/>
      <c r="BN233" s="3028"/>
      <c r="BO233" s="3028"/>
      <c r="BP233" s="3028"/>
      <c r="BQ233" s="3028"/>
      <c r="BR233" s="3028"/>
      <c r="BS233" s="3028"/>
      <c r="BT233" s="3028"/>
      <c r="BU233" s="3028"/>
      <c r="BV233" s="3028"/>
      <c r="BW233" s="3028"/>
      <c r="BX233" s="3028"/>
      <c r="BY233" s="3028"/>
      <c r="BZ233" s="3028"/>
      <c r="CA233" s="3028"/>
      <c r="CB233" s="3028"/>
      <c r="CC233" s="3028"/>
      <c r="CD233" s="3028"/>
      <c r="CE233" s="3028"/>
      <c r="CF233" s="3028"/>
      <c r="CG233" s="3028"/>
      <c r="CH233" s="3028"/>
      <c r="CI233" s="3028"/>
      <c r="CJ233" s="3028"/>
      <c r="CK233" s="3028"/>
      <c r="CL233" s="3028"/>
      <c r="CM233" s="3028"/>
      <c r="CN233" s="3028"/>
      <c r="CO233" s="3028"/>
      <c r="CP233" s="3028"/>
      <c r="CQ233" s="3028"/>
      <c r="CR233" s="3028"/>
      <c r="CS233" s="3028"/>
      <c r="CT233" s="3028"/>
      <c r="CU233" s="3028"/>
      <c r="CV233" s="3028"/>
      <c r="CW233" s="3028"/>
      <c r="CX233" s="3028"/>
      <c r="CY233" s="3028"/>
      <c r="CZ233" s="3028"/>
    </row>
    <row r="234" spans="1:104">
      <c r="A234" s="2868" t="s">
        <v>277</v>
      </c>
      <c r="B234" s="2240">
        <f>B12</f>
        <v>0</v>
      </c>
      <c r="C234" s="2245">
        <v>950</v>
      </c>
      <c r="D234" s="2245">
        <v>1072</v>
      </c>
      <c r="E234" s="2246">
        <v>1032</v>
      </c>
      <c r="F234" s="2246">
        <v>996</v>
      </c>
      <c r="G234" s="2246">
        <v>913</v>
      </c>
      <c r="H234" s="2246">
        <v>970</v>
      </c>
      <c r="I234" s="2371">
        <f t="shared" ref="I234:Q234" si="888">I64</f>
        <v>1190</v>
      </c>
      <c r="J234" s="2371">
        <f t="shared" si="888"/>
        <v>1101</v>
      </c>
      <c r="K234" s="2370">
        <f t="shared" si="888"/>
        <v>1109</v>
      </c>
      <c r="L234" s="2879">
        <f t="shared" si="888"/>
        <v>1097</v>
      </c>
      <c r="M234" s="2879">
        <f t="shared" si="888"/>
        <v>1097</v>
      </c>
      <c r="N234" s="2879">
        <f t="shared" si="888"/>
        <v>1097</v>
      </c>
      <c r="O234" s="2879">
        <f t="shared" si="888"/>
        <v>1097</v>
      </c>
      <c r="P234" s="2879">
        <f t="shared" si="888"/>
        <v>1097</v>
      </c>
      <c r="Q234" s="2879">
        <f t="shared" si="888"/>
        <v>1097</v>
      </c>
      <c r="R234" s="2879"/>
      <c r="S234" s="2879"/>
      <c r="T234" s="2175">
        <v>231</v>
      </c>
      <c r="U234" s="2175"/>
      <c r="V234" s="2175"/>
      <c r="W234" s="2175"/>
      <c r="X234" s="2175"/>
      <c r="Y234" s="2175"/>
      <c r="Z234" s="2175"/>
      <c r="AA234" s="2175"/>
      <c r="AB234" s="2175"/>
      <c r="AC234" s="2175"/>
      <c r="AD234" s="2175"/>
      <c r="AE234" s="2175"/>
      <c r="AF234" s="2175"/>
      <c r="AG234" s="2175"/>
      <c r="AH234" s="2175"/>
      <c r="AI234" s="2175"/>
      <c r="AJ234" s="2175"/>
      <c r="AK234" s="2175"/>
      <c r="AL234" s="2175"/>
      <c r="AM234" s="2175"/>
      <c r="AN234" s="2175"/>
      <c r="AO234" s="2375"/>
      <c r="AP234" s="2175"/>
      <c r="AQ234" s="2175"/>
      <c r="AR234" s="2175"/>
      <c r="AS234" s="2375"/>
      <c r="AT234" s="2175"/>
      <c r="AU234" s="2175"/>
      <c r="AV234" s="2175"/>
      <c r="AW234" s="2376"/>
      <c r="AX234" s="2177"/>
      <c r="AY234" s="2177"/>
      <c r="AZ234" s="2177"/>
      <c r="BA234" s="2174"/>
      <c r="BB234" s="2174"/>
      <c r="BC234" s="2174"/>
      <c r="BD234" s="2174"/>
      <c r="BE234" s="2174"/>
      <c r="BF234" s="2174"/>
      <c r="BG234" s="2174"/>
      <c r="BH234" s="2174"/>
      <c r="BI234" s="2174"/>
      <c r="BJ234" s="2174"/>
      <c r="BK234" s="2174"/>
      <c r="BL234" s="2174"/>
      <c r="BM234" s="2174"/>
      <c r="BN234" s="2174"/>
      <c r="BO234" s="2174"/>
      <c r="BP234" s="2174"/>
      <c r="BQ234" s="2174"/>
      <c r="BR234" s="2174"/>
      <c r="BS234" s="2174"/>
      <c r="BT234" s="2174"/>
      <c r="BU234" s="2174"/>
      <c r="BV234" s="2174"/>
      <c r="BW234" s="2174"/>
      <c r="BX234" s="2174"/>
      <c r="BY234" s="2174"/>
      <c r="BZ234" s="2174"/>
      <c r="CA234" s="2174"/>
      <c r="CB234" s="2174"/>
      <c r="CC234" s="2174"/>
      <c r="CD234" s="2174"/>
      <c r="CE234" s="2174"/>
      <c r="CF234" s="2174"/>
      <c r="CG234" s="2174"/>
      <c r="CH234" s="2174"/>
      <c r="CI234" s="2174"/>
      <c r="CJ234" s="2174"/>
      <c r="CK234" s="2174"/>
      <c r="CL234" s="2174"/>
      <c r="CM234" s="2174"/>
      <c r="CN234" s="2174"/>
      <c r="CO234" s="2174"/>
      <c r="CP234" s="2174"/>
      <c r="CQ234" s="2174"/>
      <c r="CR234" s="2174"/>
      <c r="CS234" s="2174"/>
      <c r="CT234" s="2174"/>
      <c r="CU234" s="2174"/>
      <c r="CV234" s="2174"/>
      <c r="CW234" s="2174"/>
      <c r="CX234" s="2174"/>
      <c r="CY234" s="2174"/>
      <c r="CZ234" s="2174"/>
    </row>
    <row r="235" spans="1:104">
      <c r="A235" s="2868" t="s">
        <v>252</v>
      </c>
      <c r="B235" s="2240">
        <f>B16</f>
        <v>0.17748573930335856</v>
      </c>
      <c r="C235" s="2245">
        <v>256</v>
      </c>
      <c r="D235" s="2245">
        <v>642</v>
      </c>
      <c r="E235" s="2246">
        <v>750</v>
      </c>
      <c r="F235" s="2246">
        <v>1018</v>
      </c>
      <c r="G235" s="2246">
        <v>1427</v>
      </c>
      <c r="H235" s="2246">
        <v>1992</v>
      </c>
      <c r="I235" s="2371">
        <f t="shared" ref="I235:Q235" si="889">I76</f>
        <v>2284</v>
      </c>
      <c r="J235" s="2371">
        <f t="shared" si="889"/>
        <v>2148</v>
      </c>
      <c r="K235" s="2370">
        <f t="shared" si="889"/>
        <v>1990</v>
      </c>
      <c r="L235" s="2879">
        <f t="shared" si="889"/>
        <v>1981</v>
      </c>
      <c r="M235" s="2879">
        <f t="shared" si="889"/>
        <v>1981</v>
      </c>
      <c r="N235" s="2879">
        <f t="shared" si="889"/>
        <v>1981</v>
      </c>
      <c r="O235" s="2879">
        <f t="shared" si="889"/>
        <v>1981</v>
      </c>
      <c r="P235" s="2879">
        <f t="shared" si="889"/>
        <v>1981</v>
      </c>
      <c r="Q235" s="2879">
        <f t="shared" si="889"/>
        <v>1981</v>
      </c>
      <c r="R235" s="2879"/>
      <c r="S235" s="2879"/>
      <c r="T235" s="2175">
        <v>232</v>
      </c>
      <c r="U235" s="2175"/>
      <c r="V235" s="2175"/>
      <c r="W235" s="2175"/>
      <c r="X235" s="2175"/>
      <c r="Y235" s="2175"/>
      <c r="Z235" s="2175"/>
      <c r="AA235" s="2175"/>
      <c r="AB235" s="2175"/>
      <c r="AC235" s="2175"/>
      <c r="AD235" s="2175"/>
      <c r="AE235" s="2175"/>
      <c r="AF235" s="2175"/>
      <c r="AG235" s="2175"/>
      <c r="AH235" s="2175"/>
      <c r="AI235" s="2175"/>
      <c r="AJ235" s="2175"/>
      <c r="AK235" s="2175"/>
      <c r="AL235" s="2175"/>
      <c r="AM235" s="2175"/>
      <c r="AN235" s="2175"/>
      <c r="AO235" s="2375"/>
      <c r="AP235" s="2175"/>
      <c r="AQ235" s="2175"/>
      <c r="AR235" s="2175"/>
      <c r="AS235" s="2375"/>
      <c r="AT235" s="2175"/>
      <c r="AU235" s="2175"/>
      <c r="AV235" s="2175"/>
      <c r="AW235" s="2376"/>
      <c r="AX235" s="2177"/>
      <c r="AY235" s="2177"/>
      <c r="AZ235" s="2177"/>
      <c r="BA235" s="2174"/>
      <c r="BB235" s="2174"/>
      <c r="BC235" s="2174"/>
      <c r="BD235" s="2174"/>
      <c r="BE235" s="2174"/>
      <c r="BF235" s="2174"/>
      <c r="BG235" s="2174"/>
      <c r="BH235" s="2174"/>
      <c r="BI235" s="2174"/>
      <c r="BJ235" s="2174"/>
      <c r="BK235" s="2174"/>
      <c r="BL235" s="2174"/>
      <c r="BM235" s="2174"/>
      <c r="BN235" s="2174"/>
      <c r="BO235" s="2174"/>
      <c r="BP235" s="2174"/>
      <c r="BQ235" s="2174"/>
      <c r="BR235" s="2174"/>
      <c r="BS235" s="2174"/>
      <c r="BT235" s="2174"/>
      <c r="BU235" s="2174"/>
      <c r="BV235" s="2174"/>
      <c r="BW235" s="2174"/>
      <c r="BX235" s="2174"/>
      <c r="BY235" s="2174"/>
      <c r="BZ235" s="2174"/>
      <c r="CA235" s="2174"/>
      <c r="CB235" s="2174"/>
      <c r="CC235" s="2174"/>
      <c r="CD235" s="2174"/>
      <c r="CE235" s="2174"/>
      <c r="CF235" s="2174"/>
      <c r="CG235" s="2174"/>
      <c r="CH235" s="2174"/>
      <c r="CI235" s="2174"/>
      <c r="CJ235" s="2174"/>
      <c r="CK235" s="2174"/>
      <c r="CL235" s="2174"/>
      <c r="CM235" s="2174"/>
      <c r="CN235" s="2174"/>
      <c r="CO235" s="2174"/>
      <c r="CP235" s="2174"/>
      <c r="CQ235" s="2174"/>
      <c r="CR235" s="2174"/>
      <c r="CS235" s="2174"/>
      <c r="CT235" s="2174"/>
      <c r="CU235" s="2174"/>
      <c r="CV235" s="2174"/>
      <c r="CW235" s="2174"/>
      <c r="CX235" s="2174"/>
      <c r="CY235" s="2174"/>
      <c r="CZ235" s="2174"/>
    </row>
    <row r="236" spans="1:104">
      <c r="A236" s="2868" t="s">
        <v>278</v>
      </c>
      <c r="B236" s="2240">
        <f>B28</f>
        <v>1.7330792440006917</v>
      </c>
      <c r="C236" s="2245">
        <v>40</v>
      </c>
      <c r="D236" s="2245">
        <v>283</v>
      </c>
      <c r="E236" s="2246">
        <v>405</v>
      </c>
      <c r="F236" s="2246">
        <v>1008</v>
      </c>
      <c r="G236" s="2246">
        <v>1719</v>
      </c>
      <c r="H236" s="2246">
        <v>2106</v>
      </c>
      <c r="I236" s="2371">
        <f>I107</f>
        <v>1728</v>
      </c>
      <c r="J236" s="2371">
        <f t="shared" ref="J236:K236" si="890">J107</f>
        <v>1698</v>
      </c>
      <c r="K236" s="2370">
        <f t="shared" si="890"/>
        <v>1770</v>
      </c>
      <c r="L236" s="2879">
        <f t="shared" ref="L236:Q236" si="891">L107</f>
        <v>2537</v>
      </c>
      <c r="M236" s="2879">
        <f t="shared" si="891"/>
        <v>3347</v>
      </c>
      <c r="N236" s="2879">
        <f t="shared" si="891"/>
        <v>4062</v>
      </c>
      <c r="O236" s="2879">
        <f t="shared" si="891"/>
        <v>4752</v>
      </c>
      <c r="P236" s="2879">
        <f t="shared" si="891"/>
        <v>5327</v>
      </c>
      <c r="Q236" s="2879">
        <f t="shared" si="891"/>
        <v>5672</v>
      </c>
      <c r="R236" s="2879"/>
      <c r="S236" s="2879"/>
      <c r="T236" s="2175">
        <v>233</v>
      </c>
      <c r="U236" s="2175"/>
      <c r="V236" s="2175"/>
      <c r="W236" s="2175"/>
      <c r="X236" s="2175"/>
      <c r="Y236" s="2175"/>
      <c r="Z236" s="2175"/>
      <c r="AA236" s="2175"/>
      <c r="AB236" s="2175"/>
      <c r="AC236" s="2175"/>
      <c r="AD236" s="2175"/>
      <c r="AE236" s="2175"/>
      <c r="AF236" s="2175"/>
      <c r="AG236" s="2175"/>
      <c r="AH236" s="2175">
        <f>170/((6%)/4)</f>
        <v>11333.333333333334</v>
      </c>
      <c r="AI236" s="2175"/>
      <c r="AJ236" s="2175"/>
      <c r="AK236" s="2175"/>
      <c r="AL236" s="2175"/>
      <c r="AM236" s="2175"/>
      <c r="AN236" s="2175"/>
      <c r="AO236" s="2375"/>
      <c r="AP236" s="2175"/>
      <c r="AQ236" s="2175"/>
      <c r="AR236" s="2175"/>
      <c r="AS236" s="2375"/>
      <c r="AT236" s="2175"/>
      <c r="AU236" s="2175"/>
      <c r="AV236" s="2175"/>
      <c r="AW236" s="2376"/>
      <c r="AX236" s="2177"/>
      <c r="AY236" s="2177"/>
      <c r="AZ236" s="2177"/>
      <c r="BA236" s="2174"/>
      <c r="BB236" s="2174"/>
      <c r="BC236" s="2174"/>
      <c r="BD236" s="2174"/>
      <c r="BE236" s="2174"/>
      <c r="BF236" s="2174"/>
      <c r="BG236" s="2174"/>
      <c r="BH236" s="2174"/>
      <c r="BI236" s="2174"/>
      <c r="BJ236" s="2174"/>
      <c r="BK236" s="2174"/>
      <c r="BL236" s="2174"/>
      <c r="BM236" s="2174"/>
      <c r="BN236" s="2174"/>
      <c r="BO236" s="2174"/>
      <c r="BP236" s="2174"/>
      <c r="BQ236" s="2174"/>
      <c r="BR236" s="2174"/>
      <c r="BS236" s="2174"/>
      <c r="BT236" s="2174"/>
      <c r="BU236" s="2174"/>
      <c r="BV236" s="2174"/>
      <c r="BW236" s="2174"/>
      <c r="BX236" s="2174"/>
      <c r="BY236" s="2174"/>
      <c r="BZ236" s="2174"/>
      <c r="CA236" s="2174"/>
      <c r="CB236" s="2174"/>
      <c r="CC236" s="2174"/>
      <c r="CD236" s="2174"/>
      <c r="CE236" s="2174"/>
      <c r="CF236" s="2174"/>
      <c r="CG236" s="2174"/>
      <c r="CH236" s="2174"/>
      <c r="CI236" s="2174"/>
      <c r="CJ236" s="2174"/>
      <c r="CK236" s="2174"/>
      <c r="CL236" s="2174"/>
      <c r="CM236" s="2174"/>
      <c r="CN236" s="2174"/>
      <c r="CO236" s="2174"/>
      <c r="CP236" s="2174"/>
      <c r="CQ236" s="2174"/>
      <c r="CR236" s="2174"/>
      <c r="CS236" s="2174"/>
      <c r="CT236" s="2174"/>
      <c r="CU236" s="2174"/>
      <c r="CV236" s="2174"/>
      <c r="CW236" s="2174"/>
      <c r="CX236" s="2174"/>
      <c r="CY236" s="2174"/>
      <c r="CZ236" s="2174"/>
    </row>
    <row r="237" spans="1:104">
      <c r="A237" s="2868" t="s">
        <v>279</v>
      </c>
      <c r="B237" s="2240"/>
      <c r="C237" s="2245"/>
      <c r="D237" s="2245"/>
      <c r="E237" s="2246"/>
      <c r="F237" s="2246"/>
      <c r="G237" s="2246"/>
      <c r="H237" s="2246">
        <f>H167</f>
        <v>0</v>
      </c>
      <c r="I237" s="2256">
        <f>I167</f>
        <v>533</v>
      </c>
      <c r="J237" s="2246">
        <f t="shared" ref="J237:M237" si="892">J167</f>
        <v>531</v>
      </c>
      <c r="K237" s="2247">
        <f t="shared" si="892"/>
        <v>326</v>
      </c>
      <c r="L237" s="2250">
        <f t="shared" si="892"/>
        <v>356</v>
      </c>
      <c r="M237" s="2250">
        <f t="shared" si="892"/>
        <v>356</v>
      </c>
      <c r="N237" s="2250">
        <f t="shared" ref="N237" si="893">N167</f>
        <v>356</v>
      </c>
      <c r="O237" s="2250">
        <f t="shared" ref="O237:Q237" si="894">O167</f>
        <v>409</v>
      </c>
      <c r="P237" s="2250">
        <f t="shared" si="894"/>
        <v>471</v>
      </c>
      <c r="Q237" s="2250">
        <f t="shared" si="894"/>
        <v>531</v>
      </c>
      <c r="R237" s="2863"/>
      <c r="S237" s="2863"/>
      <c r="T237" s="2175">
        <v>234</v>
      </c>
      <c r="U237" s="2175"/>
      <c r="V237" s="2175"/>
      <c r="W237" s="2175"/>
      <c r="X237" s="2175"/>
      <c r="Y237" s="2175"/>
      <c r="Z237" s="2175"/>
      <c r="AA237" s="2175"/>
      <c r="AB237" s="2175"/>
      <c r="AC237" s="2175"/>
      <c r="AD237" s="2175"/>
      <c r="AE237" s="2175"/>
      <c r="AF237" s="2175"/>
      <c r="AG237" s="2175"/>
      <c r="AH237" s="2175"/>
      <c r="AI237" s="2175"/>
      <c r="AJ237" s="2175"/>
      <c r="AK237" s="2175"/>
      <c r="AL237" s="2175"/>
      <c r="AM237" s="2175"/>
      <c r="AN237" s="2175"/>
      <c r="AO237" s="2375"/>
      <c r="AP237" s="2175"/>
      <c r="AQ237" s="2175"/>
      <c r="AR237" s="2175"/>
      <c r="AS237" s="2375"/>
      <c r="AT237" s="2175"/>
      <c r="AU237" s="2175"/>
      <c r="AV237" s="2175"/>
      <c r="AW237" s="2376"/>
      <c r="AX237" s="2177"/>
      <c r="AY237" s="2177"/>
      <c r="AZ237" s="2177"/>
      <c r="BA237" s="2174"/>
      <c r="BB237" s="2174"/>
      <c r="BC237" s="2174"/>
      <c r="BD237" s="2174"/>
      <c r="BE237" s="2174"/>
      <c r="BF237" s="2174"/>
      <c r="BG237" s="2174"/>
      <c r="BH237" s="2174"/>
      <c r="BI237" s="2174"/>
      <c r="BJ237" s="2174"/>
      <c r="BK237" s="2174"/>
      <c r="BL237" s="2174"/>
      <c r="BM237" s="2174"/>
      <c r="BN237" s="2174"/>
      <c r="BO237" s="2174"/>
      <c r="BP237" s="2174"/>
      <c r="BQ237" s="2174"/>
      <c r="BR237" s="2174"/>
      <c r="BS237" s="2174"/>
      <c r="BT237" s="2174"/>
      <c r="BU237" s="2174"/>
      <c r="BV237" s="2174"/>
      <c r="BW237" s="2174"/>
      <c r="BX237" s="2174"/>
      <c r="BY237" s="2174"/>
      <c r="BZ237" s="2174"/>
      <c r="CA237" s="2174"/>
      <c r="CB237" s="2174"/>
      <c r="CC237" s="2174"/>
      <c r="CD237" s="2174"/>
      <c r="CE237" s="2174"/>
      <c r="CF237" s="2174"/>
      <c r="CG237" s="2174"/>
      <c r="CH237" s="2174"/>
      <c r="CI237" s="2174"/>
      <c r="CJ237" s="2174"/>
      <c r="CK237" s="2174"/>
      <c r="CL237" s="2174"/>
      <c r="CM237" s="2174"/>
      <c r="CN237" s="2174"/>
      <c r="CO237" s="2174"/>
      <c r="CP237" s="2174"/>
      <c r="CQ237" s="2174"/>
      <c r="CR237" s="2174"/>
      <c r="CS237" s="2174"/>
      <c r="CT237" s="2174"/>
      <c r="CU237" s="2174"/>
      <c r="CV237" s="2174"/>
      <c r="CW237" s="2174"/>
      <c r="CX237" s="2174"/>
      <c r="CY237" s="2174"/>
      <c r="CZ237" s="2174"/>
    </row>
    <row r="238" spans="1:104">
      <c r="A238" s="2868" t="s">
        <v>280</v>
      </c>
      <c r="B238" s="2240"/>
      <c r="C238" s="2245">
        <v>20</v>
      </c>
      <c r="D238" s="2245">
        <v>141.5</v>
      </c>
      <c r="E238" s="2246">
        <v>202.5</v>
      </c>
      <c r="F238" s="2246">
        <v>504</v>
      </c>
      <c r="G238" s="2246">
        <v>859.5</v>
      </c>
      <c r="H238" s="2246">
        <v>1053</v>
      </c>
      <c r="I238" s="2634">
        <f>I236/I233*(FS!M115)</f>
        <v>1079.412395280996</v>
      </c>
      <c r="J238" s="2634">
        <f>J236/J233*FS!N124</f>
        <v>1047.8534455784941</v>
      </c>
      <c r="K238" s="3036">
        <f>K236/K233*FS!O124</f>
        <v>992.63749263232137</v>
      </c>
      <c r="L238" s="2527">
        <f>L236/L233*FS!P124</f>
        <v>1173.0546491787088</v>
      </c>
      <c r="M238" s="2527">
        <f>M236/M233*FS!Q124</f>
        <v>1154.1549709538756</v>
      </c>
      <c r="N238" s="2527">
        <f>N236/N233*FS!R124</f>
        <v>1087.4677948754827</v>
      </c>
      <c r="O238" s="2527">
        <f>O236/O233*FS!S124</f>
        <v>1142.7216055127103</v>
      </c>
      <c r="P238" s="2527">
        <f>P236/P233*FS!T124</f>
        <v>1120.8425573125269</v>
      </c>
      <c r="Q238" s="2527">
        <f>Q236/Q233*FS!U124</f>
        <v>1160.6536966372769</v>
      </c>
      <c r="R238" s="2527"/>
      <c r="S238" s="2527"/>
      <c r="T238" s="2175">
        <v>235</v>
      </c>
      <c r="U238" s="2175"/>
      <c r="V238" s="2175"/>
      <c r="W238" s="2175"/>
      <c r="X238" s="2175"/>
      <c r="Y238" s="2175"/>
      <c r="Z238" s="2175"/>
      <c r="AA238" s="2175"/>
      <c r="AB238" s="2175"/>
      <c r="AC238" s="2175"/>
      <c r="AD238" s="2175"/>
      <c r="AE238" s="2175"/>
      <c r="AF238" s="2175"/>
      <c r="AG238" s="2175"/>
      <c r="AH238" s="2175"/>
      <c r="AI238" s="2175"/>
      <c r="AJ238" s="2175"/>
      <c r="AK238" s="2175"/>
      <c r="AL238" s="2175"/>
      <c r="AM238" s="2175"/>
      <c r="AN238" s="2175"/>
      <c r="AO238" s="2375"/>
      <c r="AP238" s="2175"/>
      <c r="AQ238" s="2175"/>
      <c r="AR238" s="2175"/>
      <c r="AS238" s="2375"/>
      <c r="AT238" s="2175"/>
      <c r="AU238" s="2175"/>
      <c r="AV238" s="2175"/>
      <c r="AW238" s="2376"/>
      <c r="AX238" s="2177"/>
      <c r="AY238" s="2177"/>
      <c r="AZ238" s="2177"/>
      <c r="BA238" s="2174"/>
      <c r="BB238" s="2174"/>
      <c r="BC238" s="2174"/>
      <c r="BD238" s="2174"/>
      <c r="BE238" s="2174"/>
      <c r="BF238" s="2174"/>
      <c r="BG238" s="2174"/>
      <c r="BH238" s="2174"/>
      <c r="BI238" s="2174"/>
      <c r="BJ238" s="2174"/>
      <c r="BK238" s="2174"/>
      <c r="BL238" s="2174"/>
      <c r="BM238" s="2174"/>
      <c r="BN238" s="2174"/>
      <c r="BO238" s="2174"/>
      <c r="BP238" s="2174"/>
      <c r="BQ238" s="2174"/>
      <c r="BR238" s="2174"/>
      <c r="BS238" s="2174"/>
      <c r="BT238" s="2174"/>
      <c r="BU238" s="2174"/>
      <c r="BV238" s="2174"/>
      <c r="BW238" s="2174"/>
      <c r="BX238" s="2174"/>
      <c r="BY238" s="2174"/>
      <c r="BZ238" s="2174"/>
      <c r="CA238" s="2174"/>
      <c r="CB238" s="2174"/>
      <c r="CC238" s="2174"/>
      <c r="CD238" s="2174"/>
      <c r="CE238" s="2174"/>
      <c r="CF238" s="2174"/>
      <c r="CG238" s="2174"/>
      <c r="CH238" s="2174"/>
      <c r="CI238" s="2174"/>
      <c r="CJ238" s="2174"/>
      <c r="CK238" s="2174"/>
      <c r="CL238" s="2174"/>
      <c r="CM238" s="2174"/>
      <c r="CN238" s="2174"/>
      <c r="CO238" s="2174"/>
      <c r="CP238" s="2174"/>
      <c r="CQ238" s="2174"/>
      <c r="CR238" s="2174"/>
      <c r="CS238" s="2174"/>
      <c r="CT238" s="2174"/>
      <c r="CU238" s="2174"/>
      <c r="CV238" s="2174"/>
      <c r="CW238" s="2174"/>
      <c r="CX238" s="2174"/>
      <c r="CY238" s="2174"/>
      <c r="CZ238" s="2174"/>
    </row>
    <row r="239" spans="1:104">
      <c r="A239" s="2868" t="s">
        <v>281</v>
      </c>
      <c r="B239" s="2240"/>
      <c r="C239" s="2245">
        <v>8.0321285140562249E-2</v>
      </c>
      <c r="D239" s="2245">
        <v>0.12426451216299288</v>
      </c>
      <c r="E239" s="2246">
        <v>4.6811993440772824E-2</v>
      </c>
      <c r="F239" s="2246">
        <v>4.6978571244368793E-2</v>
      </c>
      <c r="G239" s="2246">
        <v>4.0399499582044966E-2</v>
      </c>
      <c r="H239" s="2246">
        <v>3.7396942656103473E-2</v>
      </c>
      <c r="I239" s="2635"/>
      <c r="J239" s="2241"/>
      <c r="K239" s="2323"/>
      <c r="L239" s="2552"/>
      <c r="M239" s="2552"/>
      <c r="N239" s="2552"/>
      <c r="O239" s="2552"/>
      <c r="P239" s="2552"/>
      <c r="Q239" s="2552"/>
      <c r="R239" s="2175"/>
      <c r="S239" s="2175"/>
      <c r="T239" s="2175">
        <v>236</v>
      </c>
      <c r="U239" s="2175"/>
      <c r="V239" s="2175"/>
      <c r="W239" s="2175"/>
      <c r="X239" s="2175"/>
      <c r="Y239" s="2175"/>
      <c r="Z239" s="2175"/>
      <c r="AA239" s="2175"/>
      <c r="AB239" s="2175"/>
      <c r="AC239" s="2175"/>
      <c r="AD239" s="2175"/>
      <c r="AE239" s="2175"/>
      <c r="AF239" s="2175"/>
      <c r="AG239" s="2175"/>
      <c r="AH239" s="2175"/>
      <c r="AI239" s="2175"/>
      <c r="AJ239" s="2175"/>
      <c r="AK239" s="2175"/>
      <c r="AL239" s="2175"/>
      <c r="AM239" s="2175"/>
      <c r="AN239" s="2175"/>
      <c r="AO239" s="2375"/>
      <c r="AP239" s="2175"/>
      <c r="AQ239" s="2175"/>
      <c r="AR239" s="2175"/>
      <c r="AS239" s="2375"/>
      <c r="AT239" s="2175"/>
      <c r="AU239" s="2175"/>
      <c r="AV239" s="2175"/>
      <c r="AW239" s="2376"/>
      <c r="AX239" s="2177"/>
      <c r="AY239" s="2177"/>
      <c r="AZ239" s="2177"/>
      <c r="BA239" s="2174"/>
      <c r="BB239" s="2174"/>
      <c r="BC239" s="2174"/>
      <c r="BD239" s="2174"/>
      <c r="BE239" s="2174"/>
      <c r="BF239" s="2174"/>
      <c r="BG239" s="2174"/>
      <c r="BH239" s="2174"/>
      <c r="BI239" s="2174"/>
      <c r="BJ239" s="2174"/>
      <c r="BK239" s="2174"/>
      <c r="BL239" s="2174"/>
      <c r="BM239" s="2174"/>
      <c r="BN239" s="2174"/>
      <c r="BO239" s="2174"/>
      <c r="BP239" s="2174"/>
      <c r="BQ239" s="2174"/>
      <c r="BR239" s="2174"/>
      <c r="BS239" s="2174"/>
      <c r="BT239" s="2174"/>
      <c r="BU239" s="2174"/>
      <c r="BV239" s="2174"/>
      <c r="BW239" s="2174"/>
      <c r="BX239" s="2174"/>
      <c r="BY239" s="2174"/>
      <c r="BZ239" s="2174"/>
      <c r="CA239" s="2174"/>
      <c r="CB239" s="2174"/>
      <c r="CC239" s="2174"/>
      <c r="CD239" s="2174"/>
      <c r="CE239" s="2174"/>
      <c r="CF239" s="2174"/>
      <c r="CG239" s="2174"/>
      <c r="CH239" s="2174"/>
      <c r="CI239" s="2174"/>
      <c r="CJ239" s="2174"/>
      <c r="CK239" s="2174"/>
      <c r="CL239" s="2174"/>
      <c r="CM239" s="2174"/>
      <c r="CN239" s="2174"/>
      <c r="CO239" s="2174"/>
      <c r="CP239" s="2174"/>
      <c r="CQ239" s="2174"/>
      <c r="CR239" s="2174"/>
      <c r="CS239" s="2174"/>
      <c r="CT239" s="2174"/>
      <c r="CU239" s="2174"/>
      <c r="CV239" s="2174"/>
      <c r="CW239" s="2174"/>
      <c r="CX239" s="2174"/>
      <c r="CY239" s="2174"/>
      <c r="CZ239" s="2174"/>
    </row>
    <row r="240" spans="1:104">
      <c r="A240" s="2868" t="s">
        <v>282</v>
      </c>
      <c r="B240" s="2240"/>
      <c r="C240" s="2245">
        <v>453.09</v>
      </c>
      <c r="D240" s="2245">
        <v>247.89000000000021</v>
      </c>
      <c r="E240" s="2246">
        <v>680.38499999999999</v>
      </c>
      <c r="F240" s="2246">
        <v>533.5</v>
      </c>
      <c r="G240" s="2246">
        <v>1050.5</v>
      </c>
      <c r="H240" s="2246">
        <v>577</v>
      </c>
      <c r="I240" s="2207">
        <f>I236/I233</f>
        <v>0.3013077593722755</v>
      </c>
      <c r="J240" s="2371"/>
      <c r="K240" s="2370"/>
      <c r="L240" s="2879"/>
      <c r="M240" s="2879"/>
      <c r="N240" s="2879"/>
      <c r="O240" s="2879"/>
      <c r="P240" s="2879"/>
      <c r="Q240" s="2879"/>
      <c r="R240" s="2175"/>
      <c r="S240" s="2175"/>
      <c r="T240" s="2175">
        <v>237</v>
      </c>
      <c r="U240" s="2175"/>
      <c r="V240" s="2175"/>
      <c r="W240" s="2175"/>
      <c r="X240" s="2175"/>
      <c r="Y240" s="2175"/>
      <c r="Z240" s="2175"/>
      <c r="AA240" s="2175"/>
      <c r="AB240" s="2175"/>
      <c r="AC240" s="2175"/>
      <c r="AD240" s="2175"/>
      <c r="AE240" s="2175"/>
      <c r="AF240" s="2175"/>
      <c r="AG240" s="2175"/>
      <c r="AH240" s="2175"/>
      <c r="AI240" s="2175"/>
      <c r="AJ240" s="2175"/>
      <c r="AK240" s="2175"/>
      <c r="AL240" s="2175"/>
      <c r="AM240" s="2175"/>
      <c r="AN240" s="2175"/>
      <c r="AO240" s="2375"/>
      <c r="AP240" s="2175"/>
      <c r="AQ240" s="2175"/>
      <c r="AR240" s="2175"/>
      <c r="AS240" s="2375"/>
      <c r="AT240" s="2175"/>
      <c r="AU240" s="2175"/>
      <c r="AV240" s="2175"/>
      <c r="AW240" s="2376"/>
      <c r="AX240" s="2177"/>
      <c r="AY240" s="2177"/>
      <c r="AZ240" s="2177"/>
      <c r="BA240" s="2174"/>
      <c r="BB240" s="2174"/>
      <c r="BC240" s="2174"/>
      <c r="BD240" s="2174"/>
      <c r="BE240" s="2174"/>
      <c r="BF240" s="2174"/>
      <c r="BG240" s="2174"/>
      <c r="BH240" s="2174"/>
      <c r="BI240" s="2174"/>
      <c r="BJ240" s="2174"/>
      <c r="BK240" s="2174"/>
      <c r="BL240" s="2174"/>
      <c r="BM240" s="2174"/>
      <c r="BN240" s="2174"/>
      <c r="BO240" s="2174"/>
      <c r="BP240" s="2174"/>
      <c r="BQ240" s="2174"/>
      <c r="BR240" s="2174"/>
      <c r="BS240" s="2174"/>
      <c r="BT240" s="2174"/>
      <c r="BU240" s="2174"/>
      <c r="BV240" s="2174"/>
      <c r="BW240" s="2174"/>
      <c r="BX240" s="2174"/>
      <c r="BY240" s="2174"/>
      <c r="BZ240" s="2174"/>
      <c r="CA240" s="2174"/>
      <c r="CB240" s="2174"/>
      <c r="CC240" s="2174"/>
      <c r="CD240" s="2174"/>
      <c r="CE240" s="2174"/>
      <c r="CF240" s="2174"/>
      <c r="CG240" s="2174"/>
      <c r="CH240" s="2174"/>
      <c r="CI240" s="2174"/>
      <c r="CJ240" s="2174"/>
      <c r="CK240" s="2174"/>
      <c r="CL240" s="2174"/>
      <c r="CM240" s="2174"/>
      <c r="CN240" s="2174"/>
      <c r="CO240" s="2174"/>
      <c r="CP240" s="2174"/>
      <c r="CQ240" s="2174"/>
      <c r="CR240" s="2174"/>
      <c r="CS240" s="2174"/>
      <c r="CT240" s="2174"/>
      <c r="CU240" s="2174"/>
      <c r="CV240" s="2174"/>
      <c r="CW240" s="2174"/>
      <c r="CX240" s="2174"/>
      <c r="CY240" s="2174"/>
      <c r="CZ240" s="2174"/>
    </row>
    <row r="241" spans="1:104">
      <c r="A241" s="2868" t="s">
        <v>283</v>
      </c>
      <c r="B241" s="2240"/>
      <c r="C241" s="2245">
        <v>1.8196385542168674</v>
      </c>
      <c r="D241" s="2245">
        <v>0.21769561780978328</v>
      </c>
      <c r="E241" s="2246">
        <v>0.157284830405927</v>
      </c>
      <c r="F241" s="2246">
        <v>4.9728309045378477E-2</v>
      </c>
      <c r="G241" s="2246">
        <v>4.9377166155832736E-2</v>
      </c>
      <c r="H241" s="2246">
        <v>2.0491961930267526E-2</v>
      </c>
      <c r="I241" s="2241"/>
      <c r="J241" s="2241"/>
      <c r="K241" s="2323"/>
      <c r="L241" s="2552"/>
      <c r="M241" s="2552"/>
      <c r="N241" s="2552"/>
      <c r="O241" s="2552"/>
      <c r="P241" s="2552"/>
      <c r="Q241" s="2552"/>
      <c r="R241" s="2175"/>
      <c r="S241" s="2175"/>
      <c r="T241" s="2175">
        <v>238</v>
      </c>
      <c r="U241" s="2175"/>
      <c r="V241" s="2175"/>
      <c r="W241" s="2175"/>
      <c r="X241" s="2175"/>
      <c r="Y241" s="2175"/>
      <c r="Z241" s="2175"/>
      <c r="AA241" s="2175"/>
      <c r="AB241" s="2175"/>
      <c r="AC241" s="2175"/>
      <c r="AD241" s="2175"/>
      <c r="AE241" s="2175"/>
      <c r="AF241" s="2175"/>
      <c r="AG241" s="2175"/>
      <c r="AH241" s="2175"/>
      <c r="AI241" s="2175"/>
      <c r="AJ241" s="2175"/>
      <c r="AK241" s="2175"/>
      <c r="AL241" s="2175"/>
      <c r="AM241" s="2175"/>
      <c r="AN241" s="2175"/>
      <c r="AO241" s="2375"/>
      <c r="AP241" s="2175"/>
      <c r="AQ241" s="2175"/>
      <c r="AR241" s="2175"/>
      <c r="AS241" s="2375"/>
      <c r="AT241" s="2175"/>
      <c r="AU241" s="2175"/>
      <c r="AV241" s="2175"/>
      <c r="AW241" s="2376"/>
      <c r="AX241" s="2177"/>
      <c r="AY241" s="2177"/>
      <c r="AZ241" s="2177"/>
      <c r="BA241" s="2174"/>
      <c r="BB241" s="2174"/>
      <c r="BC241" s="2174"/>
      <c r="BD241" s="2174"/>
      <c r="BE241" s="2174"/>
      <c r="BF241" s="2174"/>
      <c r="BG241" s="2174"/>
      <c r="BH241" s="2174"/>
      <c r="BI241" s="2174"/>
      <c r="BJ241" s="2174"/>
      <c r="BK241" s="2174"/>
      <c r="BL241" s="2174"/>
      <c r="BM241" s="2174"/>
      <c r="BN241" s="2174"/>
      <c r="BO241" s="2174"/>
      <c r="BP241" s="2174"/>
      <c r="BQ241" s="2174"/>
      <c r="BR241" s="2174"/>
      <c r="BS241" s="2174"/>
      <c r="BT241" s="2174"/>
      <c r="BU241" s="2174"/>
      <c r="BV241" s="2174"/>
      <c r="BW241" s="2174"/>
      <c r="BX241" s="2174"/>
      <c r="BY241" s="2174"/>
      <c r="BZ241" s="2174"/>
      <c r="CA241" s="2174"/>
      <c r="CB241" s="2174"/>
      <c r="CC241" s="2174"/>
      <c r="CD241" s="2174"/>
      <c r="CE241" s="2174"/>
      <c r="CF241" s="2174"/>
      <c r="CG241" s="2174"/>
      <c r="CH241" s="2174"/>
      <c r="CI241" s="2174"/>
      <c r="CJ241" s="2174"/>
      <c r="CK241" s="2174"/>
      <c r="CL241" s="2174"/>
      <c r="CM241" s="2174"/>
      <c r="CN241" s="2174"/>
      <c r="CO241" s="2174"/>
      <c r="CP241" s="2174"/>
      <c r="CQ241" s="2174"/>
      <c r="CR241" s="2174"/>
      <c r="CS241" s="2174"/>
      <c r="CT241" s="2174"/>
      <c r="CU241" s="2174"/>
      <c r="CV241" s="2174"/>
      <c r="CW241" s="2174"/>
      <c r="CX241" s="2174"/>
      <c r="CY241" s="2174"/>
      <c r="CZ241" s="2174"/>
    </row>
    <row r="242" spans="1:104">
      <c r="A242" s="2868" t="s">
        <v>284</v>
      </c>
      <c r="B242" s="2240"/>
      <c r="C242" s="2245">
        <v>473.09</v>
      </c>
      <c r="D242" s="2245">
        <v>389.39000000000021</v>
      </c>
      <c r="E242" s="2246">
        <v>882.88499999999999</v>
      </c>
      <c r="F242" s="2246">
        <v>1037.5</v>
      </c>
      <c r="G242" s="2246">
        <v>1910</v>
      </c>
      <c r="H242" s="2246">
        <v>1630</v>
      </c>
      <c r="I242" s="3037"/>
      <c r="J242" s="3037"/>
      <c r="K242" s="3038"/>
      <c r="L242" s="3024"/>
      <c r="M242" s="3024"/>
      <c r="N242" s="3024"/>
      <c r="O242" s="3024"/>
      <c r="P242" s="3024"/>
      <c r="Q242" s="3024"/>
      <c r="R242" s="2175"/>
      <c r="S242" s="2175"/>
      <c r="T242" s="2175">
        <v>239</v>
      </c>
      <c r="U242" s="2175"/>
      <c r="V242" s="2175"/>
      <c r="W242" s="2175"/>
      <c r="X242" s="2175"/>
      <c r="Y242" s="2175"/>
      <c r="Z242" s="2175"/>
      <c r="AA242" s="2175"/>
      <c r="AB242" s="2175"/>
      <c r="AC242" s="2175"/>
      <c r="AD242" s="2175"/>
      <c r="AE242" s="2175"/>
      <c r="AF242" s="2175"/>
      <c r="AG242" s="2175"/>
      <c r="AH242" s="2175"/>
      <c r="AI242" s="2175"/>
      <c r="AJ242" s="2175"/>
      <c r="AK242" s="2175"/>
      <c r="AL242" s="2175"/>
      <c r="AM242" s="2175"/>
      <c r="AN242" s="2175"/>
      <c r="AO242" s="2375"/>
      <c r="AP242" s="2175"/>
      <c r="AQ242" s="2175"/>
      <c r="AR242" s="2175"/>
      <c r="AS242" s="2375"/>
      <c r="AT242" s="2175"/>
      <c r="AU242" s="2175"/>
      <c r="AV242" s="2175"/>
      <c r="AW242" s="2376"/>
      <c r="AX242" s="2177"/>
      <c r="AY242" s="2177"/>
      <c r="AZ242" s="2177"/>
      <c r="BA242" s="2174"/>
      <c r="BB242" s="2174"/>
      <c r="BC242" s="2174"/>
      <c r="BD242" s="2174"/>
      <c r="BE242" s="2174"/>
      <c r="BF242" s="2174"/>
      <c r="BG242" s="2174"/>
      <c r="BH242" s="2174"/>
      <c r="BI242" s="2174"/>
      <c r="BJ242" s="2174"/>
      <c r="BK242" s="2174"/>
      <c r="BL242" s="2174"/>
      <c r="BM242" s="2174"/>
      <c r="BN242" s="2174"/>
      <c r="BO242" s="2174"/>
      <c r="BP242" s="2174"/>
      <c r="BQ242" s="2174"/>
      <c r="BR242" s="2174"/>
      <c r="BS242" s="2174"/>
      <c r="BT242" s="2174"/>
      <c r="BU242" s="2174"/>
      <c r="BV242" s="2174"/>
      <c r="BW242" s="2174"/>
      <c r="BX242" s="2174"/>
      <c r="BY242" s="2174"/>
      <c r="BZ242" s="2174"/>
      <c r="CA242" s="2174"/>
      <c r="CB242" s="2174"/>
      <c r="CC242" s="2174"/>
      <c r="CD242" s="2174"/>
      <c r="CE242" s="2174"/>
      <c r="CF242" s="2174"/>
      <c r="CG242" s="2174"/>
      <c r="CH242" s="2174"/>
      <c r="CI242" s="2174"/>
      <c r="CJ242" s="2174"/>
      <c r="CK242" s="2174"/>
      <c r="CL242" s="2174"/>
      <c r="CM242" s="2174"/>
      <c r="CN242" s="2174"/>
      <c r="CO242" s="2174"/>
      <c r="CP242" s="2174"/>
      <c r="CQ242" s="2174"/>
      <c r="CR242" s="2174"/>
      <c r="CS242" s="2174"/>
      <c r="CT242" s="2174"/>
      <c r="CU242" s="2174"/>
      <c r="CV242" s="2174"/>
      <c r="CW242" s="2174"/>
      <c r="CX242" s="2174"/>
      <c r="CY242" s="2174"/>
      <c r="CZ242" s="2174"/>
    </row>
    <row r="243" spans="1:104">
      <c r="A243" s="2174"/>
      <c r="B243" s="2240"/>
      <c r="C243" s="2256"/>
      <c r="D243" s="2256"/>
      <c r="E243" s="2256"/>
      <c r="F243" s="2256"/>
      <c r="G243" s="2372">
        <f>G236/G233*(G228+G229)</f>
        <v>878.18327272727277</v>
      </c>
      <c r="H243" s="2372">
        <f>H236/H233*(H228+H229)</f>
        <v>1156.6038363435568</v>
      </c>
      <c r="I243" s="2256"/>
      <c r="J243" s="2256"/>
      <c r="K243" s="2296"/>
      <c r="L243" s="2175"/>
      <c r="M243" s="2175"/>
      <c r="N243" s="2175"/>
      <c r="O243" s="2175"/>
      <c r="P243" s="2175"/>
      <c r="Q243" s="2175"/>
      <c r="R243" s="2175"/>
      <c r="S243" s="2175"/>
      <c r="T243" s="2175">
        <v>240</v>
      </c>
      <c r="U243" s="2175"/>
      <c r="V243" s="2175"/>
      <c r="W243" s="2175"/>
      <c r="X243" s="2175"/>
      <c r="Y243" s="2175"/>
      <c r="Z243" s="2175"/>
      <c r="AA243" s="2175"/>
      <c r="AB243" s="2175"/>
      <c r="AC243" s="2175"/>
      <c r="AD243" s="2175"/>
      <c r="AE243" s="2175"/>
      <c r="AF243" s="2175"/>
      <c r="AG243" s="2175"/>
      <c r="AH243" s="2175"/>
      <c r="AI243" s="2175"/>
      <c r="AJ243" s="2175"/>
      <c r="AK243" s="2175"/>
      <c r="AL243" s="2175"/>
      <c r="AM243" s="2175"/>
      <c r="AN243" s="2175"/>
      <c r="AO243" s="2375"/>
      <c r="AP243" s="2175"/>
      <c r="AQ243" s="2175"/>
      <c r="AR243" s="2175"/>
      <c r="AS243" s="2375"/>
      <c r="AT243" s="2175"/>
      <c r="AU243" s="2175"/>
      <c r="AV243" s="2175"/>
      <c r="AW243" s="2376"/>
      <c r="AX243" s="2177"/>
      <c r="AY243" s="2177"/>
      <c r="AZ243" s="2177"/>
      <c r="BA243" s="2174"/>
      <c r="BB243" s="2174"/>
      <c r="BC243" s="2174"/>
      <c r="BD243" s="2174"/>
      <c r="BE243" s="2174"/>
      <c r="BF243" s="2174"/>
      <c r="BG243" s="2174"/>
      <c r="BH243" s="2174"/>
      <c r="BI243" s="2174"/>
      <c r="BJ243" s="2174"/>
      <c r="BK243" s="2174"/>
      <c r="BL243" s="2174"/>
      <c r="BM243" s="2174"/>
      <c r="BN243" s="2174"/>
      <c r="BO243" s="2174"/>
      <c r="BP243" s="2174"/>
      <c r="BQ243" s="2174"/>
      <c r="BR243" s="2174"/>
      <c r="BS243" s="2174"/>
      <c r="BT243" s="2174"/>
      <c r="BU243" s="2174"/>
      <c r="BV243" s="2174"/>
      <c r="BW243" s="2174"/>
      <c r="BX243" s="2174"/>
      <c r="BY243" s="2174"/>
      <c r="BZ243" s="2174"/>
      <c r="CA243" s="2174"/>
      <c r="CB243" s="2174"/>
      <c r="CC243" s="2174"/>
      <c r="CD243" s="2174"/>
      <c r="CE243" s="2174"/>
      <c r="CF243" s="2174"/>
      <c r="CG243" s="2174"/>
      <c r="CH243" s="2174"/>
      <c r="CI243" s="2174"/>
      <c r="CJ243" s="2174"/>
      <c r="CK243" s="2174"/>
      <c r="CL243" s="2174"/>
      <c r="CM243" s="2174"/>
      <c r="CN243" s="2174"/>
      <c r="CO243" s="2174"/>
      <c r="CP243" s="2174"/>
      <c r="CQ243" s="2174"/>
      <c r="CR243" s="2174"/>
      <c r="CS243" s="2174"/>
      <c r="CT243" s="2174"/>
      <c r="CU243" s="2174"/>
      <c r="CV243" s="2174"/>
      <c r="CW243" s="2174"/>
      <c r="CX243" s="2174"/>
      <c r="CY243" s="2174"/>
      <c r="CZ243" s="2174"/>
    </row>
    <row r="244" spans="1:104">
      <c r="A244" s="2174"/>
      <c r="B244" s="2240"/>
      <c r="C244" s="2256"/>
      <c r="D244" s="2256"/>
      <c r="E244" s="2256"/>
      <c r="F244" s="2256"/>
      <c r="G244" s="2256"/>
      <c r="H244" s="2256">
        <f>H243/H236</f>
        <v>0.54919460415173638</v>
      </c>
      <c r="I244" s="2256"/>
      <c r="J244" s="2256"/>
      <c r="K244" s="2296"/>
      <c r="L244" s="2175"/>
      <c r="M244" s="2175"/>
      <c r="N244" s="2175"/>
      <c r="O244" s="2175"/>
      <c r="P244" s="2175"/>
      <c r="Q244" s="2175"/>
      <c r="R244" s="2175"/>
      <c r="S244" s="2175"/>
      <c r="T244" s="2175">
        <v>241</v>
      </c>
      <c r="U244" s="2175"/>
      <c r="V244" s="2175"/>
      <c r="W244" s="2175"/>
      <c r="X244" s="2175"/>
      <c r="Y244" s="2175"/>
      <c r="Z244" s="2175"/>
      <c r="AA244" s="2175"/>
      <c r="AB244" s="2175"/>
      <c r="AC244" s="2175"/>
      <c r="AD244" s="2175"/>
      <c r="AE244" s="2175"/>
      <c r="AF244" s="2175"/>
      <c r="AG244" s="2175"/>
      <c r="AH244" s="2175"/>
      <c r="AI244" s="2175"/>
      <c r="AJ244" s="2175"/>
      <c r="AK244" s="2175"/>
      <c r="AL244" s="2175"/>
      <c r="AM244" s="2175"/>
      <c r="AN244" s="2175"/>
      <c r="AO244" s="2375"/>
      <c r="AP244" s="2175"/>
      <c r="AQ244" s="2175"/>
      <c r="AR244" s="2175"/>
      <c r="AS244" s="2375"/>
      <c r="AT244" s="2175"/>
      <c r="AU244" s="2175"/>
      <c r="AV244" s="2175"/>
      <c r="AW244" s="2376"/>
      <c r="AX244" s="2177"/>
      <c r="AY244" s="2177"/>
      <c r="AZ244" s="2177"/>
      <c r="BA244" s="2174"/>
      <c r="BB244" s="2174"/>
      <c r="BC244" s="2174"/>
      <c r="BD244" s="2174"/>
      <c r="BE244" s="2174"/>
      <c r="BF244" s="2174"/>
      <c r="BG244" s="2174"/>
      <c r="BH244" s="2174"/>
      <c r="BI244" s="2174"/>
      <c r="BJ244" s="2174"/>
      <c r="BK244" s="2174"/>
      <c r="BL244" s="2174"/>
      <c r="BM244" s="2174"/>
      <c r="BN244" s="2174"/>
      <c r="BO244" s="2174"/>
      <c r="BP244" s="2174"/>
      <c r="BQ244" s="2174"/>
      <c r="BR244" s="2174"/>
      <c r="BS244" s="2174"/>
      <c r="BT244" s="2174"/>
      <c r="BU244" s="2174"/>
      <c r="BV244" s="2174"/>
      <c r="BW244" s="2174"/>
      <c r="BX244" s="2174"/>
      <c r="BY244" s="2174"/>
      <c r="BZ244" s="2174"/>
      <c r="CA244" s="2174"/>
      <c r="CB244" s="2174"/>
      <c r="CC244" s="2174"/>
      <c r="CD244" s="2174"/>
      <c r="CE244" s="2174"/>
      <c r="CF244" s="2174"/>
      <c r="CG244" s="2174"/>
      <c r="CH244" s="2174"/>
      <c r="CI244" s="2174"/>
      <c r="CJ244" s="2174"/>
      <c r="CK244" s="2174"/>
      <c r="CL244" s="2174"/>
      <c r="CM244" s="2174"/>
      <c r="CN244" s="2174"/>
      <c r="CO244" s="2174"/>
      <c r="CP244" s="2174"/>
      <c r="CQ244" s="2174"/>
      <c r="CR244" s="2174"/>
      <c r="CS244" s="2174"/>
      <c r="CT244" s="2174"/>
      <c r="CU244" s="2174"/>
      <c r="CV244" s="2174"/>
      <c r="CW244" s="2174"/>
      <c r="CX244" s="2174"/>
      <c r="CY244" s="2174"/>
      <c r="CZ244" s="2174"/>
    </row>
    <row r="245" spans="1:104">
      <c r="A245" s="2174" t="s">
        <v>285</v>
      </c>
      <c r="B245" s="2240"/>
      <c r="C245" s="2256"/>
      <c r="D245" s="2256"/>
      <c r="E245" s="2256"/>
      <c r="F245" s="2256"/>
      <c r="G245" s="2256"/>
      <c r="H245" s="2372"/>
      <c r="I245" s="2256"/>
      <c r="J245" s="2256"/>
      <c r="K245" s="2296"/>
      <c r="L245" s="2175"/>
      <c r="M245" s="2175"/>
      <c r="N245" s="2175"/>
      <c r="O245" s="2175"/>
      <c r="P245" s="2175"/>
      <c r="Q245" s="2175"/>
      <c r="R245" s="2175"/>
      <c r="S245" s="2175"/>
      <c r="T245" s="2340">
        <v>242</v>
      </c>
      <c r="U245" s="2175"/>
      <c r="V245" s="2175"/>
      <c r="W245" s="2175"/>
      <c r="X245" s="2175"/>
      <c r="Y245" s="2175"/>
      <c r="Z245" s="2175"/>
      <c r="AA245" s="2175"/>
      <c r="AB245" s="2175"/>
      <c r="AC245" s="2175"/>
      <c r="AD245" s="2175"/>
      <c r="AE245" s="2175"/>
      <c r="AF245" s="2175"/>
      <c r="AG245" s="2175"/>
      <c r="AH245" s="2175"/>
      <c r="AI245" s="2175"/>
      <c r="AJ245" s="2175"/>
      <c r="AK245" s="2175"/>
      <c r="AL245" s="2175"/>
      <c r="AM245" s="2175"/>
      <c r="AN245" s="2175"/>
      <c r="AO245" s="2375"/>
      <c r="AP245" s="2175"/>
      <c r="AQ245" s="2175"/>
      <c r="AR245" s="2175"/>
      <c r="AS245" s="2375"/>
      <c r="AT245" s="2175"/>
      <c r="AU245" s="2175"/>
      <c r="AV245" s="2175"/>
      <c r="AW245" s="2376"/>
      <c r="AX245" s="2177"/>
      <c r="AY245" s="2177"/>
      <c r="AZ245" s="2177"/>
      <c r="BA245" s="2174"/>
      <c r="BB245" s="2174"/>
      <c r="BC245" s="2174"/>
      <c r="BD245" s="2174"/>
      <c r="BE245" s="2174"/>
      <c r="BF245" s="2174"/>
      <c r="BG245" s="2174"/>
      <c r="BH245" s="2174"/>
      <c r="BI245" s="2174"/>
      <c r="BJ245" s="2174"/>
      <c r="BK245" s="2174"/>
      <c r="BL245" s="2174"/>
      <c r="BM245" s="2174"/>
      <c r="BN245" s="2174"/>
      <c r="BO245" s="2174"/>
      <c r="BP245" s="2174"/>
      <c r="BQ245" s="2174"/>
      <c r="BR245" s="2174"/>
      <c r="BS245" s="2174"/>
      <c r="BT245" s="2174"/>
      <c r="BU245" s="2174"/>
      <c r="BV245" s="2174"/>
      <c r="BW245" s="2174"/>
      <c r="BX245" s="2174"/>
      <c r="BY245" s="2174"/>
      <c r="BZ245" s="2174"/>
      <c r="CA245" s="2174"/>
      <c r="CB245" s="2174"/>
      <c r="CC245" s="2174"/>
      <c r="CD245" s="2174"/>
      <c r="CE245" s="2174"/>
      <c r="CF245" s="2174"/>
      <c r="CG245" s="2174"/>
      <c r="CH245" s="2174"/>
      <c r="CI245" s="2174"/>
      <c r="CJ245" s="2174"/>
      <c r="CK245" s="2174"/>
      <c r="CL245" s="2174"/>
      <c r="CM245" s="2174"/>
      <c r="CN245" s="2174"/>
      <c r="CO245" s="2174"/>
      <c r="CP245" s="2174"/>
      <c r="CQ245" s="2174"/>
      <c r="CR245" s="2174"/>
      <c r="CS245" s="2174"/>
      <c r="CT245" s="2174"/>
      <c r="CU245" s="2174"/>
      <c r="CV245" s="2174"/>
      <c r="CW245" s="2174"/>
      <c r="CX245" s="2174"/>
      <c r="CY245" s="2174"/>
      <c r="CZ245" s="2174"/>
    </row>
    <row r="246" spans="1:104">
      <c r="A246" s="2174" t="s">
        <v>286</v>
      </c>
      <c r="B246" s="2240"/>
      <c r="C246" s="2256"/>
      <c r="D246" s="2256"/>
      <c r="E246" s="2256"/>
      <c r="F246" s="2256"/>
      <c r="G246" s="2256"/>
      <c r="H246" s="2256"/>
      <c r="I246" s="2256"/>
      <c r="J246" s="2256"/>
      <c r="K246" s="2296"/>
      <c r="L246" s="2175"/>
      <c r="M246" s="2175"/>
      <c r="N246" s="2175"/>
      <c r="O246" s="2175"/>
      <c r="P246" s="2175"/>
      <c r="Q246" s="2175"/>
      <c r="R246" s="2175"/>
      <c r="S246" s="2175"/>
      <c r="T246" s="2175">
        <v>243</v>
      </c>
      <c r="U246" s="2175"/>
      <c r="V246" s="2175"/>
      <c r="W246" s="2175"/>
      <c r="X246" s="2175"/>
      <c r="Y246" s="2175"/>
      <c r="Z246" s="2175"/>
      <c r="AA246" s="2175"/>
      <c r="AB246" s="2175"/>
      <c r="AC246" s="2175"/>
      <c r="AD246" s="2175"/>
      <c r="AE246" s="2175"/>
      <c r="AF246" s="2175"/>
      <c r="AG246" s="2175"/>
      <c r="AH246" s="2175"/>
      <c r="AI246" s="2175"/>
      <c r="AJ246" s="2175"/>
      <c r="AK246" s="2175"/>
      <c r="AL246" s="2175"/>
      <c r="AM246" s="2175"/>
      <c r="AN246" s="2175"/>
      <c r="AO246" s="2375"/>
      <c r="AP246" s="2175"/>
      <c r="AQ246" s="2175"/>
      <c r="AR246" s="2175"/>
      <c r="AS246" s="2375"/>
      <c r="AT246" s="2175"/>
      <c r="AU246" s="2175"/>
      <c r="AV246" s="2175"/>
      <c r="AW246" s="2376"/>
      <c r="AX246" s="2177"/>
      <c r="AY246" s="2177"/>
      <c r="AZ246" s="2177"/>
      <c r="BA246" s="2174"/>
      <c r="BB246" s="2174"/>
      <c r="BC246" s="2174"/>
      <c r="BD246" s="2174"/>
      <c r="BE246" s="2174"/>
      <c r="BF246" s="2174"/>
      <c r="BG246" s="2174"/>
      <c r="BH246" s="2174"/>
      <c r="BI246" s="2174"/>
      <c r="BJ246" s="2174"/>
      <c r="BK246" s="2174"/>
      <c r="BL246" s="2174"/>
      <c r="BM246" s="2174"/>
      <c r="BN246" s="2174"/>
      <c r="BO246" s="2174"/>
      <c r="BP246" s="2174"/>
      <c r="BQ246" s="2174"/>
      <c r="BR246" s="2174"/>
      <c r="BS246" s="2174"/>
      <c r="BT246" s="2174"/>
      <c r="BU246" s="2174"/>
      <c r="BV246" s="2174"/>
      <c r="BW246" s="2174"/>
      <c r="BX246" s="2174"/>
      <c r="BY246" s="2174"/>
      <c r="BZ246" s="2174"/>
      <c r="CA246" s="2174"/>
      <c r="CB246" s="2174"/>
      <c r="CC246" s="2174"/>
      <c r="CD246" s="2174"/>
      <c r="CE246" s="2174"/>
      <c r="CF246" s="2174"/>
      <c r="CG246" s="2174"/>
      <c r="CH246" s="2174"/>
      <c r="CI246" s="2174"/>
      <c r="CJ246" s="2174"/>
      <c r="CK246" s="2174"/>
      <c r="CL246" s="2174"/>
      <c r="CM246" s="2174"/>
      <c r="CN246" s="2174"/>
      <c r="CO246" s="2174"/>
      <c r="CP246" s="2174"/>
      <c r="CQ246" s="2174"/>
      <c r="CR246" s="2174"/>
      <c r="CS246" s="2174"/>
      <c r="CT246" s="2174"/>
      <c r="CU246" s="2174"/>
      <c r="CV246" s="2174"/>
      <c r="CW246" s="2174"/>
      <c r="CX246" s="2174"/>
      <c r="CY246" s="2174"/>
      <c r="CZ246" s="2174"/>
    </row>
    <row r="247" spans="1:104" outlineLevel="1">
      <c r="A247" s="2174" t="s">
        <v>287</v>
      </c>
      <c r="B247" s="2240"/>
      <c r="C247" s="2256"/>
      <c r="D247" s="2256"/>
      <c r="E247" s="2256"/>
      <c r="F247" s="2256"/>
      <c r="G247" s="2256"/>
      <c r="H247" s="2246">
        <v>41866</v>
      </c>
      <c r="I247" s="2256"/>
      <c r="J247" s="2256"/>
      <c r="K247" s="2296"/>
      <c r="L247" s="2175"/>
      <c r="M247" s="2175"/>
      <c r="N247" s="2175"/>
      <c r="O247" s="2175"/>
      <c r="P247" s="2175"/>
      <c r="Q247" s="2175"/>
      <c r="R247" s="2175"/>
      <c r="S247" s="2175"/>
      <c r="T247" s="2175">
        <v>244</v>
      </c>
      <c r="U247" s="2175"/>
      <c r="V247" s="2175"/>
      <c r="W247" s="2175"/>
      <c r="X247" s="2175"/>
      <c r="Y247" s="2175"/>
      <c r="Z247" s="2175"/>
      <c r="AA247" s="2175"/>
      <c r="AB247" s="2175"/>
      <c r="AC247" s="2175"/>
      <c r="AD247" s="2175"/>
      <c r="AE247" s="2175"/>
      <c r="AF247" s="2175"/>
      <c r="AG247" s="2175"/>
      <c r="AH247" s="2175"/>
      <c r="AI247" s="2175"/>
      <c r="AJ247" s="2175"/>
      <c r="AK247" s="2175"/>
      <c r="AL247" s="2175"/>
      <c r="AM247" s="2175"/>
      <c r="AN247" s="2175"/>
      <c r="AO247" s="2375"/>
      <c r="AP247" s="2175"/>
      <c r="AQ247" s="2175"/>
      <c r="AR247" s="2175"/>
      <c r="AS247" s="2375"/>
      <c r="AT247" s="2175"/>
      <c r="AU247" s="2175"/>
      <c r="AV247" s="2175"/>
      <c r="AW247" s="2376"/>
      <c r="AX247" s="2177"/>
      <c r="AY247" s="2177"/>
      <c r="AZ247" s="2177"/>
      <c r="BA247" s="2174"/>
      <c r="BB247" s="2174"/>
      <c r="BC247" s="2174"/>
      <c r="BD247" s="2174"/>
      <c r="BE247" s="2174"/>
      <c r="BF247" s="2174"/>
      <c r="BG247" s="2174"/>
      <c r="BH247" s="2174"/>
      <c r="BI247" s="2174"/>
      <c r="BJ247" s="2174"/>
      <c r="BK247" s="2174"/>
      <c r="BL247" s="2174"/>
      <c r="BM247" s="2174"/>
      <c r="BN247" s="2174"/>
      <c r="BO247" s="2174"/>
      <c r="BP247" s="2174"/>
      <c r="BQ247" s="2174"/>
      <c r="BR247" s="2174"/>
      <c r="BS247" s="2174"/>
      <c r="BT247" s="2174"/>
      <c r="BU247" s="2174"/>
      <c r="BV247" s="2174"/>
      <c r="BW247" s="2174"/>
      <c r="BX247" s="2174"/>
      <c r="BY247" s="2174"/>
      <c r="BZ247" s="2174"/>
      <c r="CA247" s="2174"/>
      <c r="CB247" s="2174"/>
      <c r="CC247" s="2174"/>
      <c r="CD247" s="2174"/>
      <c r="CE247" s="2174"/>
      <c r="CF247" s="2174"/>
      <c r="CG247" s="2174"/>
      <c r="CH247" s="2174"/>
      <c r="CI247" s="2174"/>
      <c r="CJ247" s="2174"/>
      <c r="CK247" s="2174"/>
      <c r="CL247" s="2174"/>
      <c r="CM247" s="2174"/>
      <c r="CN247" s="2174"/>
      <c r="CO247" s="2174"/>
      <c r="CP247" s="2174"/>
      <c r="CQ247" s="2174"/>
      <c r="CR247" s="2174"/>
      <c r="CS247" s="2174"/>
      <c r="CT247" s="2174"/>
      <c r="CU247" s="2174"/>
      <c r="CV247" s="2174"/>
      <c r="CW247" s="2174"/>
      <c r="CX247" s="2174"/>
      <c r="CY247" s="2174"/>
      <c r="CZ247" s="2174"/>
    </row>
    <row r="248" spans="1:104" outlineLevel="1">
      <c r="A248" s="2174" t="s">
        <v>288</v>
      </c>
      <c r="B248" s="2240"/>
      <c r="C248" s="2256"/>
      <c r="D248" s="2256"/>
      <c r="E248" s="2256"/>
      <c r="F248" s="2256"/>
      <c r="G248" s="2256"/>
      <c r="H248" s="2246">
        <v>21274</v>
      </c>
      <c r="I248" s="2256"/>
      <c r="J248" s="2256"/>
      <c r="K248" s="2296"/>
      <c r="L248" s="2175"/>
      <c r="M248" s="2175"/>
      <c r="N248" s="2175"/>
      <c r="O248" s="2175"/>
      <c r="P248" s="2175"/>
      <c r="Q248" s="2175"/>
      <c r="R248" s="2175"/>
      <c r="S248" s="2175"/>
      <c r="T248" s="2175">
        <v>245</v>
      </c>
      <c r="U248" s="2175"/>
      <c r="V248" s="2175"/>
      <c r="W248" s="2175"/>
      <c r="X248" s="2175"/>
      <c r="Y248" s="2175"/>
      <c r="Z248" s="2175"/>
      <c r="AA248" s="2175"/>
      <c r="AB248" s="2175"/>
      <c r="AC248" s="2175"/>
      <c r="AD248" s="2175"/>
      <c r="AE248" s="2175"/>
      <c r="AF248" s="2175"/>
      <c r="AG248" s="2175"/>
      <c r="AH248" s="2175"/>
      <c r="AI248" s="2175"/>
      <c r="AJ248" s="2175"/>
      <c r="AK248" s="2175"/>
      <c r="AL248" s="2175"/>
      <c r="AM248" s="2175"/>
      <c r="AN248" s="2175"/>
      <c r="AO248" s="2375"/>
      <c r="AP248" s="2175"/>
      <c r="AQ248" s="2175"/>
      <c r="AR248" s="2175"/>
      <c r="AS248" s="2375"/>
      <c r="AT248" s="2175"/>
      <c r="AU248" s="2175"/>
      <c r="AV248" s="2175"/>
      <c r="AW248" s="2376"/>
      <c r="AX248" s="2177"/>
      <c r="AY248" s="2177"/>
      <c r="AZ248" s="2177"/>
      <c r="BA248" s="2174"/>
      <c r="BB248" s="2174"/>
      <c r="BC248" s="2174"/>
      <c r="BD248" s="2174"/>
      <c r="BE248" s="2174"/>
      <c r="BF248" s="2174"/>
      <c r="BG248" s="2174"/>
      <c r="BH248" s="2174"/>
      <c r="BI248" s="2174"/>
      <c r="BJ248" s="2174"/>
      <c r="BK248" s="2174"/>
      <c r="BL248" s="2174"/>
      <c r="BM248" s="2174"/>
      <c r="BN248" s="2174"/>
      <c r="BO248" s="2174"/>
      <c r="BP248" s="2174"/>
      <c r="BQ248" s="2174"/>
      <c r="BR248" s="2174"/>
      <c r="BS248" s="2174"/>
      <c r="BT248" s="2174"/>
      <c r="BU248" s="2174"/>
      <c r="BV248" s="2174"/>
      <c r="BW248" s="2174"/>
      <c r="BX248" s="2174"/>
      <c r="BY248" s="2174"/>
      <c r="BZ248" s="2174"/>
      <c r="CA248" s="2174"/>
      <c r="CB248" s="2174"/>
      <c r="CC248" s="2174"/>
      <c r="CD248" s="2174"/>
      <c r="CE248" s="2174"/>
      <c r="CF248" s="2174"/>
      <c r="CG248" s="2174"/>
      <c r="CH248" s="2174"/>
      <c r="CI248" s="2174"/>
      <c r="CJ248" s="2174"/>
      <c r="CK248" s="2174"/>
      <c r="CL248" s="2174"/>
      <c r="CM248" s="2174"/>
      <c r="CN248" s="2174"/>
      <c r="CO248" s="2174"/>
      <c r="CP248" s="2174"/>
      <c r="CQ248" s="2174"/>
      <c r="CR248" s="2174"/>
      <c r="CS248" s="2174"/>
      <c r="CT248" s="2174"/>
      <c r="CU248" s="2174"/>
      <c r="CV248" s="2174"/>
      <c r="CW248" s="2174"/>
      <c r="CX248" s="2174"/>
      <c r="CY248" s="2174"/>
      <c r="CZ248" s="2174"/>
    </row>
    <row r="249" spans="1:104" outlineLevel="1">
      <c r="A249" s="2174" t="s">
        <v>289</v>
      </c>
      <c r="B249" s="2240"/>
      <c r="C249" s="2256"/>
      <c r="D249" s="2256"/>
      <c r="E249" s="2256"/>
      <c r="F249" s="2256"/>
      <c r="G249" s="2256"/>
      <c r="H249" s="2246">
        <v>1551</v>
      </c>
      <c r="I249" s="2256"/>
      <c r="J249" s="2256"/>
      <c r="K249" s="2296"/>
      <c r="L249" s="2175"/>
      <c r="M249" s="2175"/>
      <c r="N249" s="2175"/>
      <c r="O249" s="2175"/>
      <c r="P249" s="2175"/>
      <c r="Q249" s="2175"/>
      <c r="R249" s="2175"/>
      <c r="S249" s="2175"/>
      <c r="T249" s="2175">
        <v>246</v>
      </c>
      <c r="U249" s="2175"/>
      <c r="V249" s="2175"/>
      <c r="W249" s="2175"/>
      <c r="X249" s="2175"/>
      <c r="Y249" s="2175"/>
      <c r="Z249" s="2175"/>
      <c r="AA249" s="2175"/>
      <c r="AB249" s="2175"/>
      <c r="AC249" s="2175"/>
      <c r="AD249" s="2175"/>
      <c r="AE249" s="2175"/>
      <c r="AF249" s="2175"/>
      <c r="AG249" s="2175"/>
      <c r="AH249" s="2175"/>
      <c r="AI249" s="2175"/>
      <c r="AJ249" s="2175"/>
      <c r="AK249" s="2175"/>
      <c r="AL249" s="2175"/>
      <c r="AM249" s="2175"/>
      <c r="AN249" s="2175"/>
      <c r="AO249" s="2375"/>
      <c r="AP249" s="2175"/>
      <c r="AQ249" s="2175"/>
      <c r="AR249" s="2175"/>
      <c r="AS249" s="2375"/>
      <c r="AT249" s="2175"/>
      <c r="AU249" s="2175"/>
      <c r="AV249" s="2175"/>
      <c r="AW249" s="2376"/>
      <c r="AX249" s="2177"/>
      <c r="AY249" s="2177"/>
      <c r="AZ249" s="2177"/>
      <c r="BA249" s="2174"/>
      <c r="BB249" s="2174"/>
      <c r="BC249" s="2174"/>
      <c r="BD249" s="2174"/>
      <c r="BE249" s="2174"/>
      <c r="BF249" s="2174"/>
      <c r="BG249" s="2174"/>
      <c r="BH249" s="2174"/>
      <c r="BI249" s="2174"/>
      <c r="BJ249" s="2174"/>
      <c r="BK249" s="2174"/>
      <c r="BL249" s="2174"/>
      <c r="BM249" s="2174"/>
      <c r="BN249" s="2174"/>
      <c r="BO249" s="2174"/>
      <c r="BP249" s="2174"/>
      <c r="BQ249" s="2174"/>
      <c r="BR249" s="2174"/>
      <c r="BS249" s="2174"/>
      <c r="BT249" s="2174"/>
      <c r="BU249" s="2174"/>
      <c r="BV249" s="2174"/>
      <c r="BW249" s="2174"/>
      <c r="BX249" s="2174"/>
      <c r="BY249" s="2174"/>
      <c r="BZ249" s="2174"/>
      <c r="CA249" s="2174"/>
      <c r="CB249" s="2174"/>
      <c r="CC249" s="2174"/>
      <c r="CD249" s="2174"/>
      <c r="CE249" s="2174"/>
      <c r="CF249" s="2174"/>
      <c r="CG249" s="2174"/>
      <c r="CH249" s="2174"/>
      <c r="CI249" s="2174"/>
      <c r="CJ249" s="2174"/>
      <c r="CK249" s="2174"/>
      <c r="CL249" s="2174"/>
      <c r="CM249" s="2174"/>
      <c r="CN249" s="2174"/>
      <c r="CO249" s="2174"/>
      <c r="CP249" s="2174"/>
      <c r="CQ249" s="2174"/>
      <c r="CR249" s="2174"/>
      <c r="CS249" s="2174"/>
      <c r="CT249" s="2174"/>
      <c r="CU249" s="2174"/>
      <c r="CV249" s="2174"/>
      <c r="CW249" s="2174"/>
      <c r="CX249" s="2174"/>
      <c r="CY249" s="2174"/>
      <c r="CZ249" s="2174"/>
    </row>
    <row r="250" spans="1:104" outlineLevel="1">
      <c r="A250" s="2174" t="s">
        <v>290</v>
      </c>
      <c r="B250" s="2240"/>
      <c r="C250" s="2256"/>
      <c r="D250" s="2256"/>
      <c r="E250" s="2256"/>
      <c r="F250" s="2256"/>
      <c r="G250" s="2256"/>
      <c r="H250" s="2246">
        <v>8599</v>
      </c>
      <c r="I250" s="2256"/>
      <c r="J250" s="2256"/>
      <c r="K250" s="2296"/>
      <c r="L250" s="2175"/>
      <c r="M250" s="2175"/>
      <c r="N250" s="2175"/>
      <c r="O250" s="2175"/>
      <c r="P250" s="2175"/>
      <c r="Q250" s="2175"/>
      <c r="R250" s="2175"/>
      <c r="S250" s="2175"/>
      <c r="T250" s="2175">
        <v>247</v>
      </c>
      <c r="U250" s="2175"/>
      <c r="V250" s="2175"/>
      <c r="W250" s="2175"/>
      <c r="X250" s="2175"/>
      <c r="Y250" s="2175"/>
      <c r="Z250" s="2175"/>
      <c r="AA250" s="2175"/>
      <c r="AB250" s="2175"/>
      <c r="AC250" s="2175"/>
      <c r="AD250" s="2175"/>
      <c r="AE250" s="2175"/>
      <c r="AF250" s="2175"/>
      <c r="AG250" s="2175"/>
      <c r="AH250" s="2175"/>
      <c r="AI250" s="2175"/>
      <c r="AJ250" s="2175"/>
      <c r="AK250" s="2175"/>
      <c r="AL250" s="2175"/>
      <c r="AM250" s="2175"/>
      <c r="AN250" s="2175"/>
      <c r="AO250" s="2375"/>
      <c r="AP250" s="2175"/>
      <c r="AQ250" s="2175"/>
      <c r="AR250" s="2175"/>
      <c r="AS250" s="2375"/>
      <c r="AT250" s="2175"/>
      <c r="AU250" s="2175"/>
      <c r="AV250" s="2175"/>
      <c r="AW250" s="2376"/>
      <c r="AX250" s="2177"/>
      <c r="AY250" s="2177"/>
      <c r="AZ250" s="2177"/>
      <c r="BA250" s="2174"/>
      <c r="BB250" s="2174"/>
      <c r="BC250" s="2174"/>
      <c r="BD250" s="2174"/>
      <c r="BE250" s="2174"/>
      <c r="BF250" s="2174"/>
      <c r="BG250" s="2174"/>
      <c r="BH250" s="2174"/>
      <c r="BI250" s="2174"/>
      <c r="BJ250" s="2174"/>
      <c r="BK250" s="2174"/>
      <c r="BL250" s="2174"/>
      <c r="BM250" s="2174"/>
      <c r="BN250" s="2174"/>
      <c r="BO250" s="2174"/>
      <c r="BP250" s="2174"/>
      <c r="BQ250" s="2174"/>
      <c r="BR250" s="2174"/>
      <c r="BS250" s="2174"/>
      <c r="BT250" s="2174"/>
      <c r="BU250" s="2174"/>
      <c r="BV250" s="2174"/>
      <c r="BW250" s="2174"/>
      <c r="BX250" s="2174"/>
      <c r="BY250" s="2174"/>
      <c r="BZ250" s="2174"/>
      <c r="CA250" s="2174"/>
      <c r="CB250" s="2174"/>
      <c r="CC250" s="2174"/>
      <c r="CD250" s="2174"/>
      <c r="CE250" s="2174"/>
      <c r="CF250" s="2174"/>
      <c r="CG250" s="2174"/>
      <c r="CH250" s="2174"/>
      <c r="CI250" s="2174"/>
      <c r="CJ250" s="2174"/>
      <c r="CK250" s="2174"/>
      <c r="CL250" s="2174"/>
      <c r="CM250" s="2174"/>
      <c r="CN250" s="2174"/>
      <c r="CO250" s="2174"/>
      <c r="CP250" s="2174"/>
      <c r="CQ250" s="2174"/>
      <c r="CR250" s="2174"/>
      <c r="CS250" s="2174"/>
      <c r="CT250" s="2174"/>
      <c r="CU250" s="2174"/>
      <c r="CV250" s="2174"/>
      <c r="CW250" s="2174"/>
      <c r="CX250" s="2174"/>
      <c r="CY250" s="2174"/>
      <c r="CZ250" s="2174"/>
    </row>
    <row r="251" spans="1:104" outlineLevel="1">
      <c r="A251" s="2174" t="s">
        <v>291</v>
      </c>
      <c r="B251" s="2240"/>
      <c r="C251" s="2256"/>
      <c r="D251" s="2256"/>
      <c r="E251" s="2256"/>
      <c r="F251" s="2256"/>
      <c r="G251" s="2256"/>
      <c r="H251" s="2246">
        <v>756</v>
      </c>
      <c r="I251" s="2256"/>
      <c r="J251" s="2256"/>
      <c r="K251" s="2296"/>
      <c r="L251" s="2175"/>
      <c r="M251" s="2175"/>
      <c r="N251" s="2175"/>
      <c r="O251" s="2175"/>
      <c r="P251" s="2175"/>
      <c r="Q251" s="2175"/>
      <c r="R251" s="2175"/>
      <c r="S251" s="2175"/>
      <c r="T251" s="2175">
        <v>248</v>
      </c>
      <c r="U251" s="2175"/>
      <c r="V251" s="2175"/>
      <c r="W251" s="2175"/>
      <c r="X251" s="2175"/>
      <c r="Y251" s="2175"/>
      <c r="Z251" s="2175"/>
      <c r="AA251" s="2175"/>
      <c r="AB251" s="2175"/>
      <c r="AC251" s="2175"/>
      <c r="AD251" s="2175"/>
      <c r="AE251" s="2175"/>
      <c r="AF251" s="2175"/>
      <c r="AG251" s="2175"/>
      <c r="AH251" s="2175"/>
      <c r="AI251" s="2175"/>
      <c r="AJ251" s="2175"/>
      <c r="AK251" s="2175"/>
      <c r="AL251" s="2175"/>
      <c r="AM251" s="2175"/>
      <c r="AN251" s="2175"/>
      <c r="AO251" s="2375"/>
      <c r="AP251" s="2175"/>
      <c r="AQ251" s="2175"/>
      <c r="AR251" s="2175"/>
      <c r="AS251" s="2375"/>
      <c r="AT251" s="2175"/>
      <c r="AU251" s="2175"/>
      <c r="AV251" s="2175"/>
      <c r="AW251" s="2376"/>
      <c r="AX251" s="2177"/>
      <c r="AY251" s="2177"/>
      <c r="AZ251" s="2177"/>
      <c r="BA251" s="2174"/>
      <c r="BB251" s="2174"/>
      <c r="BC251" s="2174"/>
      <c r="BD251" s="2174"/>
      <c r="BE251" s="2174"/>
      <c r="BF251" s="2174"/>
      <c r="BG251" s="2174"/>
      <c r="BH251" s="2174"/>
      <c r="BI251" s="2174"/>
      <c r="BJ251" s="2174"/>
      <c r="BK251" s="2174"/>
      <c r="BL251" s="2174"/>
      <c r="BM251" s="2174"/>
      <c r="BN251" s="2174"/>
      <c r="BO251" s="2174"/>
      <c r="BP251" s="2174"/>
      <c r="BQ251" s="2174"/>
      <c r="BR251" s="2174"/>
      <c r="BS251" s="2174"/>
      <c r="BT251" s="2174"/>
      <c r="BU251" s="2174"/>
      <c r="BV251" s="2174"/>
      <c r="BW251" s="2174"/>
      <c r="BX251" s="2174"/>
      <c r="BY251" s="2174"/>
      <c r="BZ251" s="2174"/>
      <c r="CA251" s="2174"/>
      <c r="CB251" s="2174"/>
      <c r="CC251" s="2174"/>
      <c r="CD251" s="2174"/>
      <c r="CE251" s="2174"/>
      <c r="CF251" s="2174"/>
      <c r="CG251" s="2174"/>
      <c r="CH251" s="2174"/>
      <c r="CI251" s="2174"/>
      <c r="CJ251" s="2174"/>
      <c r="CK251" s="2174"/>
      <c r="CL251" s="2174"/>
      <c r="CM251" s="2174"/>
      <c r="CN251" s="2174"/>
      <c r="CO251" s="2174"/>
      <c r="CP251" s="2174"/>
      <c r="CQ251" s="2174"/>
      <c r="CR251" s="2174"/>
      <c r="CS251" s="2174"/>
      <c r="CT251" s="2174"/>
      <c r="CU251" s="2174"/>
      <c r="CV251" s="2174"/>
      <c r="CW251" s="2174"/>
      <c r="CX251" s="2174"/>
      <c r="CY251" s="2174"/>
      <c r="CZ251" s="2174"/>
    </row>
    <row r="252" spans="1:104" outlineLevel="1">
      <c r="A252" s="2174" t="s">
        <v>292</v>
      </c>
      <c r="B252" s="2240"/>
      <c r="C252" s="2256"/>
      <c r="D252" s="2256"/>
      <c r="E252" s="2256"/>
      <c r="F252" s="2256"/>
      <c r="G252" s="2256"/>
      <c r="H252" s="2246">
        <v>65</v>
      </c>
      <c r="I252" s="2256"/>
      <c r="J252" s="2256"/>
      <c r="K252" s="2296"/>
      <c r="L252" s="2175"/>
      <c r="M252" s="2175"/>
      <c r="N252" s="2175"/>
      <c r="O252" s="2175"/>
      <c r="P252" s="2175"/>
      <c r="Q252" s="2175"/>
      <c r="R252" s="2175"/>
      <c r="S252" s="2175"/>
      <c r="T252" s="2175">
        <v>249</v>
      </c>
      <c r="U252" s="2175"/>
      <c r="V252" s="2175"/>
      <c r="W252" s="2175"/>
      <c r="X252" s="2175"/>
      <c r="Y252" s="2175"/>
      <c r="Z252" s="2175"/>
      <c r="AA252" s="2175"/>
      <c r="AB252" s="2175"/>
      <c r="AC252" s="2175"/>
      <c r="AD252" s="2175"/>
      <c r="AE252" s="2175"/>
      <c r="AF252" s="2175"/>
      <c r="AG252" s="2175"/>
      <c r="AH252" s="2175"/>
      <c r="AI252" s="2175"/>
      <c r="AJ252" s="2175"/>
      <c r="AK252" s="2175"/>
      <c r="AL252" s="2175"/>
      <c r="AM252" s="2175"/>
      <c r="AN252" s="2175"/>
      <c r="AO252" s="2375"/>
      <c r="AP252" s="2175"/>
      <c r="AQ252" s="2175"/>
      <c r="AR252" s="2175">
        <v>65414</v>
      </c>
      <c r="AS252" s="2375">
        <v>60561</v>
      </c>
      <c r="AT252" s="2175">
        <v>59478</v>
      </c>
      <c r="AU252" s="2175">
        <v>60258</v>
      </c>
      <c r="AV252" s="2175">
        <v>63132</v>
      </c>
      <c r="AW252" s="2376">
        <v>64217</v>
      </c>
      <c r="AX252" s="2177">
        <v>61779</v>
      </c>
      <c r="AY252" s="2177"/>
      <c r="AZ252" s="2177"/>
      <c r="BA252" s="2174"/>
      <c r="BB252" s="2174"/>
      <c r="BC252" s="2174"/>
      <c r="BD252" s="2174"/>
      <c r="BE252" s="2174"/>
      <c r="BF252" s="2174"/>
      <c r="BG252" s="2174"/>
      <c r="BH252" s="2174"/>
      <c r="BI252" s="2174"/>
      <c r="BJ252" s="2174"/>
      <c r="BK252" s="2174"/>
      <c r="BL252" s="2174"/>
      <c r="BM252" s="2174"/>
      <c r="BN252" s="2174"/>
      <c r="BO252" s="2174"/>
      <c r="BP252" s="2174"/>
      <c r="BQ252" s="2174"/>
      <c r="BR252" s="2174"/>
      <c r="BS252" s="2174"/>
      <c r="BT252" s="2174"/>
      <c r="BU252" s="2174"/>
      <c r="BV252" s="2174"/>
      <c r="BW252" s="2174"/>
      <c r="BX252" s="2174"/>
      <c r="BY252" s="2174"/>
      <c r="BZ252" s="2174"/>
      <c r="CA252" s="2174"/>
      <c r="CB252" s="2174"/>
      <c r="CC252" s="2174"/>
      <c r="CD252" s="2174"/>
      <c r="CE252" s="2174"/>
      <c r="CF252" s="2174"/>
      <c r="CG252" s="2174"/>
      <c r="CH252" s="2174"/>
      <c r="CI252" s="2174"/>
      <c r="CJ252" s="2174"/>
      <c r="CK252" s="2174"/>
      <c r="CL252" s="2174"/>
      <c r="CM252" s="2174"/>
      <c r="CN252" s="2174"/>
      <c r="CO252" s="2174"/>
      <c r="CP252" s="2174"/>
      <c r="CQ252" s="2174"/>
      <c r="CR252" s="2174"/>
      <c r="CS252" s="2174"/>
      <c r="CT252" s="2174"/>
      <c r="CU252" s="2174"/>
      <c r="CV252" s="2174"/>
      <c r="CW252" s="2174"/>
      <c r="CX252" s="2174"/>
      <c r="CY252" s="2174"/>
      <c r="CZ252" s="2174"/>
    </row>
    <row r="253" spans="1:104" s="2185" customFormat="1" outlineLevel="1">
      <c r="A253" s="2180" t="s">
        <v>293</v>
      </c>
      <c r="B253" s="2300"/>
      <c r="C253" s="2301"/>
      <c r="D253" s="2301"/>
      <c r="E253" s="2301"/>
      <c r="F253" s="2301"/>
      <c r="G253" s="2301"/>
      <c r="H253" s="2196">
        <f>SUM(H247:H252)</f>
        <v>74111</v>
      </c>
      <c r="I253" s="2195">
        <f>H253*AN253/AJ253</f>
        <v>76981.970456351453</v>
      </c>
      <c r="J253" s="2301"/>
      <c r="K253" s="2364"/>
      <c r="L253" s="2181"/>
      <c r="M253" s="2181"/>
      <c r="N253" s="2181"/>
      <c r="O253" s="2181"/>
      <c r="P253" s="2181"/>
      <c r="Q253" s="2181"/>
      <c r="R253" s="2181"/>
      <c r="S253" s="2181"/>
      <c r="T253" s="2175">
        <v>250</v>
      </c>
      <c r="U253" s="2181"/>
      <c r="V253" s="2181"/>
      <c r="W253" s="2181"/>
      <c r="X253" s="2181"/>
      <c r="Y253" s="2181"/>
      <c r="Z253" s="2181"/>
      <c r="AA253" s="2181"/>
      <c r="AB253" s="2181"/>
      <c r="AC253" s="2181"/>
      <c r="AD253" s="2181"/>
      <c r="AE253" s="2181"/>
      <c r="AF253" s="2181"/>
      <c r="AG253" s="2181"/>
      <c r="AH253" s="2181"/>
      <c r="AI253" s="2181"/>
      <c r="AJ253" s="2181">
        <v>70472</v>
      </c>
      <c r="AK253" s="2181">
        <v>76775</v>
      </c>
      <c r="AL253" s="2181">
        <v>78666</v>
      </c>
      <c r="AM253" s="2181">
        <v>80231</v>
      </c>
      <c r="AN253" s="2181">
        <v>73202</v>
      </c>
      <c r="AO253" s="2366"/>
      <c r="AP253" s="2181"/>
      <c r="AQ253" s="2181"/>
      <c r="AR253" s="2181"/>
      <c r="AS253" s="2366"/>
      <c r="AT253" s="2181"/>
      <c r="AU253" s="2181"/>
      <c r="AV253" s="2181"/>
      <c r="AW253" s="2367"/>
      <c r="AX253" s="2368"/>
      <c r="AY253" s="2368"/>
      <c r="AZ253" s="2368"/>
      <c r="BA253" s="2180"/>
      <c r="BB253" s="2180"/>
      <c r="BC253" s="2180"/>
      <c r="BD253" s="2180"/>
      <c r="BE253" s="2180"/>
      <c r="BF253" s="2180"/>
      <c r="BG253" s="2180"/>
      <c r="BH253" s="2180"/>
      <c r="BI253" s="2180"/>
      <c r="BJ253" s="2180"/>
      <c r="BK253" s="2180"/>
      <c r="BL253" s="2180"/>
      <c r="BM253" s="2180"/>
      <c r="BN253" s="2180"/>
      <c r="BO253" s="2180"/>
      <c r="BP253" s="2180"/>
      <c r="BQ253" s="2180"/>
      <c r="BR253" s="2180"/>
      <c r="BS253" s="2180"/>
      <c r="BT253" s="2180"/>
      <c r="BU253" s="2180"/>
      <c r="BV253" s="2180"/>
      <c r="BW253" s="2180"/>
      <c r="BX253" s="2180"/>
      <c r="BY253" s="2180"/>
      <c r="BZ253" s="2180"/>
      <c r="CA253" s="2180"/>
      <c r="CB253" s="2180"/>
      <c r="CC253" s="2180"/>
      <c r="CD253" s="2180"/>
      <c r="CE253" s="2180"/>
      <c r="CF253" s="2180"/>
      <c r="CG253" s="2180"/>
      <c r="CH253" s="2180"/>
      <c r="CI253" s="2180"/>
      <c r="CJ253" s="2180"/>
      <c r="CK253" s="2180"/>
      <c r="CL253" s="2180"/>
      <c r="CM253" s="2180"/>
      <c r="CN253" s="2180"/>
      <c r="CO253" s="2180"/>
      <c r="CP253" s="2180"/>
      <c r="CQ253" s="2180"/>
      <c r="CR253" s="2180"/>
      <c r="CS253" s="2180"/>
      <c r="CT253" s="2180"/>
      <c r="CU253" s="2180"/>
      <c r="CV253" s="2180"/>
      <c r="CW253" s="2180"/>
      <c r="CX253" s="2180"/>
      <c r="CY253" s="2180"/>
      <c r="CZ253" s="2180"/>
    </row>
    <row r="254" spans="1:104" s="2185" customFormat="1" outlineLevel="1">
      <c r="A254" s="2180"/>
      <c r="B254" s="2300"/>
      <c r="C254" s="2301"/>
      <c r="D254" s="2301">
        <f t="shared" ref="D254:Q254" si="895">D5</f>
        <v>2017</v>
      </c>
      <c r="E254" s="2301">
        <f t="shared" si="895"/>
        <v>2018</v>
      </c>
      <c r="F254" s="2301">
        <f t="shared" si="895"/>
        <v>2019</v>
      </c>
      <c r="G254" s="2301">
        <f t="shared" si="895"/>
        <v>2020</v>
      </c>
      <c r="H254" s="2301">
        <f t="shared" si="895"/>
        <v>2021</v>
      </c>
      <c r="I254" s="2301">
        <f t="shared" si="895"/>
        <v>2022</v>
      </c>
      <c r="J254" s="2301">
        <f t="shared" si="895"/>
        <v>2023</v>
      </c>
      <c r="K254" s="2364">
        <f t="shared" si="895"/>
        <v>2024</v>
      </c>
      <c r="L254" s="2181">
        <f t="shared" si="895"/>
        <v>2025</v>
      </c>
      <c r="M254" s="2181">
        <f t="shared" si="895"/>
        <v>2026</v>
      </c>
      <c r="N254" s="2181">
        <f t="shared" si="895"/>
        <v>2027</v>
      </c>
      <c r="O254" s="2181">
        <f t="shared" si="895"/>
        <v>2028</v>
      </c>
      <c r="P254" s="2181">
        <f t="shared" si="895"/>
        <v>2029</v>
      </c>
      <c r="Q254" s="2181">
        <f t="shared" si="895"/>
        <v>2030</v>
      </c>
      <c r="R254" s="3039"/>
      <c r="S254" s="2181"/>
      <c r="T254" s="2175">
        <v>251</v>
      </c>
      <c r="U254" s="2181"/>
      <c r="V254" s="2181"/>
      <c r="W254" s="2181"/>
      <c r="X254" s="2181"/>
      <c r="Y254" s="2181"/>
      <c r="Z254" s="2181"/>
      <c r="AA254" s="2181"/>
      <c r="AB254" s="2181"/>
      <c r="AC254" s="2181"/>
      <c r="AD254" s="2181"/>
      <c r="AE254" s="2181"/>
      <c r="AF254" s="2181"/>
      <c r="AG254" s="2181"/>
      <c r="AH254" s="2181"/>
      <c r="AI254" s="2181"/>
      <c r="AJ254" s="2181"/>
      <c r="AK254" s="2181"/>
      <c r="AL254" s="2181"/>
      <c r="AM254" s="2181"/>
      <c r="AN254" s="2181"/>
      <c r="AO254" s="2366"/>
      <c r="AP254" s="2181"/>
      <c r="AQ254" s="2181"/>
      <c r="AR254" s="2181"/>
      <c r="AS254" s="2366"/>
      <c r="AT254" s="2181"/>
      <c r="AU254" s="2181"/>
      <c r="AV254" s="2181"/>
      <c r="AW254" s="2367"/>
      <c r="AX254" s="2368"/>
      <c r="AY254" s="2368"/>
      <c r="AZ254" s="2368"/>
      <c r="BA254" s="2180"/>
      <c r="BB254" s="2180"/>
      <c r="BC254" s="2180"/>
      <c r="BD254" s="2180"/>
      <c r="BE254" s="2180"/>
      <c r="BF254" s="2180"/>
      <c r="BG254" s="2180"/>
      <c r="BH254" s="2180"/>
      <c r="BI254" s="2180"/>
      <c r="BJ254" s="2180"/>
      <c r="BK254" s="2180"/>
      <c r="BL254" s="2180"/>
      <c r="BM254" s="2180"/>
      <c r="BN254" s="2180"/>
      <c r="BO254" s="2180"/>
      <c r="BP254" s="2180"/>
      <c r="BQ254" s="2180"/>
      <c r="BR254" s="2180"/>
      <c r="BS254" s="2180"/>
      <c r="BT254" s="2180"/>
      <c r="BU254" s="2180"/>
      <c r="BV254" s="2180"/>
      <c r="BW254" s="2180"/>
      <c r="BX254" s="2180"/>
      <c r="BY254" s="2180"/>
      <c r="BZ254" s="2180"/>
      <c r="CA254" s="2180"/>
      <c r="CB254" s="2180"/>
      <c r="CC254" s="2180"/>
      <c r="CD254" s="2180"/>
      <c r="CE254" s="2180"/>
      <c r="CF254" s="2180"/>
      <c r="CG254" s="2180"/>
      <c r="CH254" s="2180"/>
      <c r="CI254" s="2180"/>
      <c r="CJ254" s="2180"/>
      <c r="CK254" s="2180"/>
      <c r="CL254" s="2180"/>
      <c r="CM254" s="2180"/>
      <c r="CN254" s="2180"/>
      <c r="CO254" s="2180"/>
      <c r="CP254" s="2180"/>
      <c r="CQ254" s="2180"/>
      <c r="CR254" s="2180"/>
      <c r="CS254" s="2180"/>
      <c r="CT254" s="2180"/>
      <c r="CU254" s="2180"/>
      <c r="CV254" s="2180"/>
      <c r="CW254" s="2180"/>
      <c r="CX254" s="2180"/>
      <c r="CY254" s="2180"/>
      <c r="CZ254" s="2180"/>
    </row>
    <row r="255" spans="1:104" outlineLevel="1">
      <c r="A255" s="2174" t="s">
        <v>294</v>
      </c>
      <c r="B255" s="2240"/>
      <c r="C255" s="2256"/>
      <c r="D255" s="2256"/>
      <c r="E255" s="2256"/>
      <c r="F255" s="2256"/>
      <c r="G255" s="2256"/>
      <c r="H255" s="2207">
        <f>(H247+H249+H250)/H253</f>
        <v>0.7018661197393099</v>
      </c>
      <c r="I255" s="2256"/>
      <c r="J255" s="2256"/>
      <c r="K255" s="2296"/>
      <c r="L255" s="2175"/>
      <c r="M255" s="2175"/>
      <c r="N255" s="2175"/>
      <c r="O255" s="2175"/>
      <c r="P255" s="2175"/>
      <c r="Q255" s="2175"/>
      <c r="R255" s="2175"/>
      <c r="S255" s="2175"/>
      <c r="T255" s="2175">
        <v>252</v>
      </c>
      <c r="U255" s="2175"/>
      <c r="V255" s="2175"/>
      <c r="W255" s="2175"/>
      <c r="X255" s="2175"/>
      <c r="Y255" s="2175"/>
      <c r="Z255" s="2175"/>
      <c r="AA255" s="2175"/>
      <c r="AB255" s="2175"/>
      <c r="AC255" s="2175"/>
      <c r="AD255" s="2175"/>
      <c r="AE255" s="2175"/>
      <c r="AF255" s="2175"/>
      <c r="AG255" s="2175"/>
      <c r="AH255" s="2175"/>
      <c r="AI255" s="2175"/>
      <c r="AJ255" s="2175"/>
      <c r="AK255" s="2175"/>
      <c r="AL255" s="2175"/>
      <c r="AM255" s="2175"/>
      <c r="AN255" s="2175"/>
      <c r="AO255" s="2375"/>
      <c r="AP255" s="2175"/>
      <c r="AQ255" s="2175"/>
      <c r="AR255" s="2175"/>
      <c r="AS255" s="2375"/>
      <c r="AT255" s="2175"/>
      <c r="AU255" s="2175"/>
      <c r="AV255" s="2175"/>
      <c r="AW255" s="2376"/>
      <c r="AX255" s="2177"/>
      <c r="AY255" s="2177"/>
      <c r="AZ255" s="2177"/>
      <c r="BA255" s="2174"/>
      <c r="BB255" s="2174"/>
      <c r="BC255" s="2174"/>
      <c r="BD255" s="2174"/>
      <c r="BE255" s="2174"/>
      <c r="BF255" s="2174"/>
      <c r="BG255" s="2174"/>
      <c r="BH255" s="2174"/>
      <c r="BI255" s="2174"/>
      <c r="BJ255" s="2174"/>
      <c r="BK255" s="2174"/>
      <c r="BL255" s="2174"/>
      <c r="BM255" s="2174"/>
      <c r="BN255" s="2174"/>
      <c r="BO255" s="2174"/>
      <c r="BP255" s="2174"/>
      <c r="BQ255" s="2174"/>
      <c r="BR255" s="2174"/>
      <c r="BS255" s="2174"/>
      <c r="BT255" s="2174"/>
      <c r="BU255" s="2174"/>
      <c r="BV255" s="2174"/>
      <c r="BW255" s="2174"/>
      <c r="BX255" s="2174"/>
      <c r="BY255" s="2174"/>
      <c r="BZ255" s="2174"/>
      <c r="CA255" s="2174"/>
      <c r="CB255" s="2174"/>
      <c r="CC255" s="2174"/>
      <c r="CD255" s="2174"/>
      <c r="CE255" s="2174"/>
      <c r="CF255" s="2174"/>
      <c r="CG255" s="2174"/>
      <c r="CH255" s="2174"/>
      <c r="CI255" s="2174"/>
      <c r="CJ255" s="2174"/>
      <c r="CK255" s="2174"/>
      <c r="CL255" s="2174"/>
      <c r="CM255" s="2174"/>
      <c r="CN255" s="2174"/>
      <c r="CO255" s="2174"/>
      <c r="CP255" s="2174"/>
      <c r="CQ255" s="2174"/>
      <c r="CR255" s="2174"/>
      <c r="CS255" s="2174"/>
      <c r="CT255" s="2174"/>
      <c r="CU255" s="2174"/>
      <c r="CV255" s="2174"/>
      <c r="CW255" s="2174"/>
      <c r="CX255" s="2174"/>
      <c r="CY255" s="2174"/>
      <c r="CZ255" s="2174"/>
    </row>
    <row r="256" spans="1:104" outlineLevel="1">
      <c r="A256" s="2174" t="s">
        <v>7</v>
      </c>
      <c r="B256" s="2240"/>
      <c r="C256" s="2256"/>
      <c r="D256" s="2256"/>
      <c r="E256" s="2256"/>
      <c r="F256" s="2256"/>
      <c r="G256" s="2256"/>
      <c r="H256" s="2207">
        <f>(H248+H252)/H253</f>
        <v>0.28793296541673974</v>
      </c>
      <c r="I256" s="2256"/>
      <c r="J256" s="2256"/>
      <c r="K256" s="2296"/>
      <c r="L256" s="2175"/>
      <c r="M256" s="2175"/>
      <c r="N256" s="2175"/>
      <c r="O256" s="2175"/>
      <c r="P256" s="2175"/>
      <c r="Q256" s="2175"/>
      <c r="R256" s="2175"/>
      <c r="S256" s="2175"/>
      <c r="T256" s="2175">
        <v>253</v>
      </c>
      <c r="U256" s="2175"/>
      <c r="V256" s="2175"/>
      <c r="W256" s="2175"/>
      <c r="X256" s="2175"/>
      <c r="Y256" s="2175"/>
      <c r="Z256" s="2175"/>
      <c r="AA256" s="2175"/>
      <c r="AB256" s="2175"/>
      <c r="AC256" s="2175"/>
      <c r="AD256" s="2175"/>
      <c r="AE256" s="2175"/>
      <c r="AF256" s="2175"/>
      <c r="AG256" s="2175"/>
      <c r="AH256" s="2175"/>
      <c r="AI256" s="2175"/>
      <c r="AJ256" s="2175"/>
      <c r="AK256" s="2175"/>
      <c r="AL256" s="2175"/>
      <c r="AM256" s="2175"/>
      <c r="AN256" s="2175"/>
      <c r="AO256" s="2375"/>
      <c r="AP256" s="2175"/>
      <c r="AQ256" s="2175"/>
      <c r="AR256" s="2175"/>
      <c r="AS256" s="2375"/>
      <c r="AT256" s="2175"/>
      <c r="AU256" s="2175"/>
      <c r="AV256" s="2175"/>
      <c r="AW256" s="2376"/>
      <c r="AX256" s="2177"/>
      <c r="AY256" s="2177"/>
      <c r="AZ256" s="2177"/>
      <c r="BA256" s="2174"/>
      <c r="BB256" s="2174"/>
      <c r="BC256" s="2174"/>
      <c r="BD256" s="2174"/>
      <c r="BE256" s="2174"/>
      <c r="BF256" s="2174"/>
      <c r="BG256" s="2174"/>
      <c r="BH256" s="2174"/>
      <c r="BI256" s="2174"/>
      <c r="BJ256" s="2174"/>
      <c r="BK256" s="2174"/>
      <c r="BL256" s="2174"/>
      <c r="BM256" s="2174"/>
      <c r="BN256" s="2174"/>
      <c r="BO256" s="2174"/>
      <c r="BP256" s="2174"/>
      <c r="BQ256" s="2174"/>
      <c r="BR256" s="2174"/>
      <c r="BS256" s="2174"/>
      <c r="BT256" s="2174"/>
      <c r="BU256" s="2174"/>
      <c r="BV256" s="2174"/>
      <c r="BW256" s="2174"/>
      <c r="BX256" s="2174"/>
      <c r="BY256" s="2174"/>
      <c r="BZ256" s="2174"/>
      <c r="CA256" s="2174"/>
      <c r="CB256" s="2174"/>
      <c r="CC256" s="2174"/>
      <c r="CD256" s="2174"/>
      <c r="CE256" s="2174"/>
      <c r="CF256" s="2174"/>
      <c r="CG256" s="2174"/>
      <c r="CH256" s="2174"/>
      <c r="CI256" s="2174"/>
      <c r="CJ256" s="2174"/>
      <c r="CK256" s="2174"/>
      <c r="CL256" s="2174"/>
      <c r="CM256" s="2174"/>
      <c r="CN256" s="2174"/>
      <c r="CO256" s="2174"/>
      <c r="CP256" s="2174"/>
      <c r="CQ256" s="2174"/>
      <c r="CR256" s="2174"/>
      <c r="CS256" s="2174"/>
      <c r="CT256" s="2174"/>
      <c r="CU256" s="2174"/>
      <c r="CV256" s="2174"/>
      <c r="CW256" s="2174"/>
      <c r="CX256" s="2174"/>
      <c r="CY256" s="2174"/>
      <c r="CZ256" s="2174"/>
    </row>
    <row r="257" spans="1:104" outlineLevel="1">
      <c r="A257" s="2174" t="s">
        <v>167</v>
      </c>
      <c r="B257" s="2240"/>
      <c r="C257" s="2256"/>
      <c r="D257" s="2256"/>
      <c r="E257" s="2256"/>
      <c r="F257" s="2256"/>
      <c r="G257" s="2256"/>
      <c r="H257" s="2207">
        <f>H251/H253</f>
        <v>1.020091484395029E-2</v>
      </c>
      <c r="I257" s="2256"/>
      <c r="J257" s="2256"/>
      <c r="K257" s="2296"/>
      <c r="L257" s="2175"/>
      <c r="M257" s="2175"/>
      <c r="N257" s="2175"/>
      <c r="O257" s="2175"/>
      <c r="P257" s="2175"/>
      <c r="Q257" s="2175"/>
      <c r="R257" s="2175"/>
      <c r="S257" s="2175"/>
      <c r="T257" s="2175">
        <v>254</v>
      </c>
      <c r="U257" s="2175"/>
      <c r="V257" s="2175"/>
      <c r="W257" s="2175"/>
      <c r="X257" s="2175"/>
      <c r="Y257" s="2175"/>
      <c r="Z257" s="2175"/>
      <c r="AA257" s="2175"/>
      <c r="AB257" s="2175"/>
      <c r="AC257" s="2175"/>
      <c r="AD257" s="2175"/>
      <c r="AE257" s="2175"/>
      <c r="AF257" s="2175"/>
      <c r="AG257" s="2175"/>
      <c r="AH257" s="2175"/>
      <c r="AI257" s="2175"/>
      <c r="AJ257" s="2175"/>
      <c r="AK257" s="2175"/>
      <c r="AL257" s="2175"/>
      <c r="AM257" s="2175"/>
      <c r="AN257" s="2175"/>
      <c r="AO257" s="2375"/>
      <c r="AP257" s="2175"/>
      <c r="AQ257" s="2175"/>
      <c r="AR257" s="2175"/>
      <c r="AS257" s="2375"/>
      <c r="AT257" s="2175"/>
      <c r="AU257" s="2175"/>
      <c r="AV257" s="2175"/>
      <c r="AW257" s="2376"/>
      <c r="AX257" s="2177"/>
      <c r="AY257" s="2177"/>
      <c r="AZ257" s="2177"/>
      <c r="BA257" s="2174"/>
      <c r="BB257" s="2174"/>
      <c r="BC257" s="2174"/>
      <c r="BD257" s="2174"/>
      <c r="BE257" s="2174"/>
      <c r="BF257" s="2174"/>
      <c r="BG257" s="2174"/>
      <c r="BH257" s="2174"/>
      <c r="BI257" s="2174"/>
      <c r="BJ257" s="2174"/>
      <c r="BK257" s="2174"/>
      <c r="BL257" s="2174"/>
      <c r="BM257" s="2174"/>
      <c r="BN257" s="2174"/>
      <c r="BO257" s="2174"/>
      <c r="BP257" s="2174"/>
      <c r="BQ257" s="2174"/>
      <c r="BR257" s="2174"/>
      <c r="BS257" s="2174"/>
      <c r="BT257" s="2174"/>
      <c r="BU257" s="2174"/>
      <c r="BV257" s="2174"/>
      <c r="BW257" s="2174"/>
      <c r="BX257" s="2174"/>
      <c r="BY257" s="2174"/>
      <c r="BZ257" s="2174"/>
      <c r="CA257" s="2174"/>
      <c r="CB257" s="2174"/>
      <c r="CC257" s="2174"/>
      <c r="CD257" s="2174"/>
      <c r="CE257" s="2174"/>
      <c r="CF257" s="2174"/>
      <c r="CG257" s="2174"/>
      <c r="CH257" s="2174"/>
      <c r="CI257" s="2174"/>
      <c r="CJ257" s="2174"/>
      <c r="CK257" s="2174"/>
      <c r="CL257" s="2174"/>
      <c r="CM257" s="2174"/>
      <c r="CN257" s="2174"/>
      <c r="CO257" s="2174"/>
      <c r="CP257" s="2174"/>
      <c r="CQ257" s="2174"/>
      <c r="CR257" s="2174"/>
      <c r="CS257" s="2174"/>
      <c r="CT257" s="2174"/>
      <c r="CU257" s="2174"/>
      <c r="CV257" s="2174"/>
      <c r="CW257" s="2174"/>
      <c r="CX257" s="2174"/>
      <c r="CY257" s="2174"/>
      <c r="CZ257" s="2174"/>
    </row>
    <row r="258" spans="1:104" s="2216" customFormat="1" outlineLevel="1">
      <c r="A258" s="2204" t="s">
        <v>295</v>
      </c>
      <c r="B258" s="2240"/>
      <c r="C258" s="2256"/>
      <c r="D258" s="2256"/>
      <c r="E258" s="2256"/>
      <c r="F258" s="2256"/>
      <c r="G258" s="2256"/>
      <c r="H258" s="2635">
        <f>SUM(AG44:AJ44)/AJ253/12</f>
        <v>-1.1469530579095243E-2</v>
      </c>
      <c r="I258" s="3040">
        <f>SUM(AK44:AN44)/AVERAGE(AK253:AN253)/12</f>
        <v>-1.0243732505394865E-2</v>
      </c>
      <c r="J258" s="3041">
        <f>I258*1.01</f>
        <v>-1.0346169830448814E-2</v>
      </c>
      <c r="K258" s="3042">
        <f>J258*1.057</f>
        <v>-1.0935901510784397E-2</v>
      </c>
      <c r="L258" s="2412">
        <f>K258*1.07</f>
        <v>-1.1701414616539306E-2</v>
      </c>
      <c r="M258" s="2412">
        <f>L258*1.03</f>
        <v>-1.2052457055035486E-2</v>
      </c>
      <c r="N258" s="2412">
        <f t="shared" ref="N258" si="896">M258*1.03</f>
        <v>-1.2414030766686551E-2</v>
      </c>
      <c r="O258" s="2412">
        <f>N258*1.035</f>
        <v>-1.284852184352058E-2</v>
      </c>
      <c r="P258" s="2412">
        <f t="shared" ref="P258:Q258" si="897">O258*1.035</f>
        <v>-1.3298220108043799E-2</v>
      </c>
      <c r="Q258" s="2412">
        <f t="shared" si="897"/>
        <v>-1.3763657811825331E-2</v>
      </c>
      <c r="R258" s="2412"/>
      <c r="S258" s="2412"/>
      <c r="T258" s="2175">
        <v>255</v>
      </c>
      <c r="U258" s="2210"/>
      <c r="V258" s="2210"/>
      <c r="W258" s="2210"/>
      <c r="X258" s="2210"/>
      <c r="Y258" s="2210"/>
      <c r="Z258" s="2210"/>
      <c r="AA258" s="2210"/>
      <c r="AB258" s="2210"/>
      <c r="AC258" s="2210"/>
      <c r="AD258" s="2210"/>
      <c r="AE258" s="2210"/>
      <c r="AF258" s="2210"/>
      <c r="AG258" s="2210"/>
      <c r="AH258" s="2210"/>
      <c r="AI258" s="2210"/>
      <c r="AJ258" s="2210"/>
      <c r="AK258" s="2210"/>
      <c r="AL258" s="2210"/>
      <c r="AM258" s="2210"/>
      <c r="AN258" s="2210"/>
      <c r="AO258" s="2258"/>
      <c r="AP258" s="2210"/>
      <c r="AQ258" s="2210"/>
      <c r="AR258" s="3043">
        <f>'FS Quarter'!BM356/Rev_Year!AR252/3</f>
        <v>6.1083881026589614E-3</v>
      </c>
      <c r="AS258" s="3043">
        <f>'FS Quarter'!BN356/Rev_Year!AS252/3</f>
        <v>1.2461540155105323E-2</v>
      </c>
      <c r="AT258" s="3043">
        <f>'FS Quarter'!BO356/Rev_Year!AT252/3</f>
        <v>1.3989792200802537E-2</v>
      </c>
      <c r="AU258" s="3043">
        <f>'FS Quarter'!BP356/Rev_Year!AU252/3</f>
        <v>1.5034186332105281E-2</v>
      </c>
      <c r="AV258" s="3043">
        <f>'FS Quarter'!BQ356/Rev_Year!AV252/3</f>
        <v>1.755919629780988E-2</v>
      </c>
      <c r="AW258" s="3043">
        <f>'FS Quarter'!BR356/Rev_Year!AW252/3</f>
        <v>1.3762950047733986E-2</v>
      </c>
      <c r="AX258" s="3043">
        <f>'FS Quarter'!BS356/Rev_Year!AX252/3</f>
        <v>1.555078483319035E-2</v>
      </c>
      <c r="AY258" s="2242"/>
      <c r="AZ258" s="2242"/>
      <c r="BA258" s="2204"/>
      <c r="BB258" s="2204"/>
      <c r="BC258" s="2204"/>
      <c r="BD258" s="2204"/>
      <c r="BE258" s="2204"/>
      <c r="BF258" s="2204"/>
      <c r="BG258" s="2204"/>
      <c r="BH258" s="2204"/>
      <c r="BI258" s="2204"/>
      <c r="BJ258" s="2204"/>
      <c r="BK258" s="2204"/>
      <c r="BL258" s="2204"/>
      <c r="BM258" s="2204"/>
      <c r="BN258" s="2204"/>
      <c r="BO258" s="2204"/>
      <c r="BP258" s="2204"/>
      <c r="BQ258" s="2204"/>
      <c r="BR258" s="2204"/>
      <c r="BS258" s="2204"/>
      <c r="BT258" s="2204"/>
      <c r="BU258" s="2204"/>
      <c r="BV258" s="2204"/>
      <c r="BW258" s="2204"/>
      <c r="BX258" s="2204"/>
      <c r="BY258" s="2204"/>
      <c r="BZ258" s="2204"/>
      <c r="CA258" s="2204"/>
      <c r="CB258" s="2204"/>
      <c r="CC258" s="2204"/>
      <c r="CD258" s="2204"/>
      <c r="CE258" s="2204"/>
      <c r="CF258" s="2204"/>
      <c r="CG258" s="2204"/>
      <c r="CH258" s="2204"/>
      <c r="CI258" s="2204"/>
      <c r="CJ258" s="2204"/>
      <c r="CK258" s="2204"/>
      <c r="CL258" s="2204"/>
      <c r="CM258" s="2204"/>
      <c r="CN258" s="2204"/>
      <c r="CO258" s="2204"/>
      <c r="CP258" s="2204"/>
      <c r="CQ258" s="2204"/>
      <c r="CR258" s="2204"/>
      <c r="CS258" s="2204"/>
      <c r="CT258" s="2204"/>
      <c r="CU258" s="2204"/>
      <c r="CV258" s="2204"/>
      <c r="CW258" s="2204"/>
      <c r="CX258" s="2204"/>
      <c r="CY258" s="2204"/>
      <c r="CZ258" s="2204"/>
    </row>
    <row r="259" spans="1:104" outlineLevel="1">
      <c r="A259" s="2174" t="s">
        <v>296</v>
      </c>
      <c r="B259" s="2240"/>
      <c r="C259" s="2256"/>
      <c r="D259" s="2256"/>
      <c r="E259" s="2256"/>
      <c r="F259" s="2256"/>
      <c r="G259" s="2256"/>
      <c r="H259" s="2246">
        <f>H255*$AJ$253/(H234+H235)</f>
        <v>16.698821468692994</v>
      </c>
      <c r="I259" s="2246">
        <f>H259*SUM(AVERAGE(AJ64:AN64),AVERAGE(AJ76:AN76))</f>
        <v>53746.82677913527</v>
      </c>
      <c r="J259" s="2256"/>
      <c r="K259" s="2296"/>
      <c r="L259" s="2175"/>
      <c r="M259" s="2175"/>
      <c r="N259" s="2175"/>
      <c r="O259" s="2175"/>
      <c r="P259" s="2175"/>
      <c r="Q259" s="2175"/>
      <c r="R259" s="2175"/>
      <c r="S259" s="2175"/>
      <c r="T259" s="2175">
        <v>256</v>
      </c>
      <c r="U259" s="2175"/>
      <c r="V259" s="2175"/>
      <c r="W259" s="2175"/>
      <c r="X259" s="2175"/>
      <c r="Y259" s="2175"/>
      <c r="Z259" s="2175"/>
      <c r="AA259" s="2175"/>
      <c r="AB259" s="2175"/>
      <c r="AC259" s="2175"/>
      <c r="AD259" s="2175"/>
      <c r="AE259" s="2175"/>
      <c r="AF259" s="2175"/>
      <c r="AG259" s="2175"/>
      <c r="AH259" s="2175"/>
      <c r="AI259" s="2175"/>
      <c r="AJ259" s="2175"/>
      <c r="AK259" s="2175"/>
      <c r="AL259" s="2175"/>
      <c r="AM259" s="2175"/>
      <c r="AN259" s="2175"/>
      <c r="AO259" s="2375"/>
      <c r="AP259" s="2175"/>
      <c r="AQ259" s="2175"/>
      <c r="AR259" s="2175"/>
      <c r="AS259" s="2375"/>
      <c r="AT259" s="2175"/>
      <c r="AU259" s="2175"/>
      <c r="AV259" s="2175"/>
      <c r="AW259" s="2614">
        <f>AW258/AS258-1</f>
        <v>0.10443411299328798</v>
      </c>
      <c r="AX259" s="2614">
        <f>AX258/AT258-1</f>
        <v>0.11158083050713685</v>
      </c>
      <c r="AY259" s="2177"/>
      <c r="AZ259" s="2177"/>
      <c r="BA259" s="2174"/>
      <c r="BB259" s="2174"/>
      <c r="BC259" s="2174"/>
      <c r="BD259" s="2174"/>
      <c r="BE259" s="2174"/>
      <c r="BF259" s="2174"/>
      <c r="BG259" s="2174"/>
      <c r="BH259" s="2174"/>
      <c r="BI259" s="2174"/>
      <c r="BJ259" s="2174"/>
      <c r="BK259" s="2174"/>
      <c r="BL259" s="2174"/>
      <c r="BM259" s="2174"/>
      <c r="BN259" s="2174"/>
      <c r="BO259" s="2174"/>
      <c r="BP259" s="2174"/>
      <c r="BQ259" s="2174"/>
      <c r="BR259" s="2174"/>
      <c r="BS259" s="2174"/>
      <c r="BT259" s="2174"/>
      <c r="BU259" s="2174"/>
      <c r="BV259" s="2174"/>
      <c r="BW259" s="2174"/>
      <c r="BX259" s="2174"/>
      <c r="BY259" s="2174"/>
      <c r="BZ259" s="2174"/>
      <c r="CA259" s="2174"/>
      <c r="CB259" s="2174"/>
      <c r="CC259" s="2174"/>
      <c r="CD259" s="2174"/>
      <c r="CE259" s="2174"/>
      <c r="CF259" s="2174"/>
      <c r="CG259" s="2174"/>
      <c r="CH259" s="2174"/>
      <c r="CI259" s="2174"/>
      <c r="CJ259" s="2174"/>
      <c r="CK259" s="2174"/>
      <c r="CL259" s="2174"/>
      <c r="CM259" s="2174"/>
      <c r="CN259" s="2174"/>
      <c r="CO259" s="2174"/>
      <c r="CP259" s="2174"/>
      <c r="CQ259" s="2174"/>
      <c r="CR259" s="2174"/>
      <c r="CS259" s="2174"/>
      <c r="CT259" s="2174"/>
      <c r="CU259" s="2174"/>
      <c r="CV259" s="2174"/>
      <c r="CW259" s="2174"/>
      <c r="CX259" s="2174"/>
      <c r="CY259" s="2174"/>
      <c r="CZ259" s="2174"/>
    </row>
    <row r="260" spans="1:104" outlineLevel="1">
      <c r="A260" s="2174" t="s">
        <v>297</v>
      </c>
      <c r="B260" s="2240"/>
      <c r="C260" s="2256"/>
      <c r="D260" s="2256"/>
      <c r="E260" s="2256"/>
      <c r="F260" s="2256"/>
      <c r="G260" s="2256"/>
      <c r="H260" s="2246">
        <f>H256*AJ253/H236</f>
        <v>9.6349534372499921</v>
      </c>
      <c r="I260" s="2246">
        <f>H260*AVERAGE(AJ107:AN107)</f>
        <v>18481.767683332935</v>
      </c>
      <c r="J260" s="2246">
        <f>I260*I258</f>
        <v>-189.32228437491395</v>
      </c>
      <c r="K260" s="2296"/>
      <c r="L260" s="2175">
        <v>9</v>
      </c>
      <c r="M260" s="2175">
        <v>8</v>
      </c>
      <c r="N260" s="2175">
        <v>7</v>
      </c>
      <c r="O260" s="2175">
        <v>8</v>
      </c>
      <c r="P260" s="2175">
        <v>9</v>
      </c>
      <c r="Q260" s="2175">
        <v>10</v>
      </c>
      <c r="R260" s="2175"/>
      <c r="S260" s="2175"/>
      <c r="T260" s="2175">
        <v>257</v>
      </c>
      <c r="U260" s="2175"/>
      <c r="V260" s="2175"/>
      <c r="W260" s="2175"/>
      <c r="X260" s="2175"/>
      <c r="Y260" s="2175"/>
      <c r="Z260" s="2175"/>
      <c r="AA260" s="2175"/>
      <c r="AB260" s="2175"/>
      <c r="AC260" s="2175"/>
      <c r="AD260" s="2175"/>
      <c r="AE260" s="2175"/>
      <c r="AF260" s="2175"/>
      <c r="AG260" s="2175"/>
      <c r="AH260" s="2175"/>
      <c r="AI260" s="2175"/>
      <c r="AJ260" s="2175"/>
      <c r="AK260" s="2175"/>
      <c r="AL260" s="2175"/>
      <c r="AM260" s="2175"/>
      <c r="AN260" s="2175"/>
      <c r="AO260" s="2375"/>
      <c r="AP260" s="2175"/>
      <c r="AQ260" s="2175"/>
      <c r="AR260" s="2175"/>
      <c r="AS260" s="2375"/>
      <c r="AT260" s="2175"/>
      <c r="AU260" s="2175"/>
      <c r="AV260" s="2175"/>
      <c r="AW260" s="2376"/>
      <c r="AX260" s="2177"/>
      <c r="AY260" s="2177"/>
      <c r="AZ260" s="2177"/>
      <c r="BA260" s="2174"/>
      <c r="BB260" s="2174"/>
      <c r="BC260" s="2174"/>
      <c r="BD260" s="2174"/>
      <c r="BE260" s="2174"/>
      <c r="BF260" s="2174"/>
      <c r="BG260" s="2174"/>
      <c r="BH260" s="2174"/>
      <c r="BI260" s="2174"/>
      <c r="BJ260" s="2174"/>
      <c r="BK260" s="2174"/>
      <c r="BL260" s="2174"/>
      <c r="BM260" s="2174"/>
      <c r="BN260" s="2174"/>
      <c r="BO260" s="2174"/>
      <c r="BP260" s="2174"/>
      <c r="BQ260" s="2174"/>
      <c r="BR260" s="2174"/>
      <c r="BS260" s="2174"/>
      <c r="BT260" s="2174"/>
      <c r="BU260" s="2174"/>
      <c r="BV260" s="2174"/>
      <c r="BW260" s="2174"/>
      <c r="BX260" s="2174"/>
      <c r="BY260" s="2174"/>
      <c r="BZ260" s="2174"/>
      <c r="CA260" s="2174"/>
      <c r="CB260" s="2174"/>
      <c r="CC260" s="2174"/>
      <c r="CD260" s="2174"/>
      <c r="CE260" s="2174"/>
      <c r="CF260" s="2174"/>
      <c r="CG260" s="2174"/>
      <c r="CH260" s="2174"/>
      <c r="CI260" s="2174"/>
      <c r="CJ260" s="2174"/>
      <c r="CK260" s="2174"/>
      <c r="CL260" s="2174"/>
      <c r="CM260" s="2174"/>
      <c r="CN260" s="2174"/>
      <c r="CO260" s="2174"/>
      <c r="CP260" s="2174"/>
      <c r="CQ260" s="2174"/>
      <c r="CR260" s="2174"/>
      <c r="CS260" s="2174"/>
      <c r="CT260" s="2174"/>
      <c r="CU260" s="2174"/>
      <c r="CV260" s="2174"/>
      <c r="CW260" s="2174"/>
      <c r="CX260" s="2174"/>
      <c r="CY260" s="2174"/>
      <c r="CZ260" s="2174"/>
    </row>
    <row r="261" spans="1:104" outlineLevel="1">
      <c r="A261" s="2174" t="s">
        <v>298</v>
      </c>
      <c r="B261" s="2240"/>
      <c r="C261" s="2256"/>
      <c r="D261" s="2256"/>
      <c r="E261" s="2256"/>
      <c r="F261" s="2256"/>
      <c r="G261" s="2256"/>
      <c r="H261" s="2246" t="e">
        <f>AJ253*H257/H167</f>
        <v>#DIV/0!</v>
      </c>
      <c r="I261" s="2371" t="e">
        <f>H261*I167</f>
        <v>#DIV/0!</v>
      </c>
      <c r="J261" s="2256"/>
      <c r="K261" s="2296"/>
      <c r="L261" s="2175"/>
      <c r="M261" s="2175"/>
      <c r="N261" s="2175"/>
      <c r="O261" s="2175"/>
      <c r="P261" s="2175"/>
      <c r="Q261" s="2175"/>
      <c r="R261" s="2175"/>
      <c r="S261" s="2175"/>
      <c r="T261" s="2175">
        <v>258</v>
      </c>
      <c r="U261" s="2175"/>
      <c r="V261" s="2175"/>
      <c r="W261" s="2175"/>
      <c r="X261" s="2175"/>
      <c r="Y261" s="2175"/>
      <c r="Z261" s="2175"/>
      <c r="AA261" s="2175"/>
      <c r="AB261" s="2175"/>
      <c r="AC261" s="2175"/>
      <c r="AD261" s="2175"/>
      <c r="AE261" s="2175"/>
      <c r="AF261" s="2175"/>
      <c r="AG261" s="2175"/>
      <c r="AH261" s="2175"/>
      <c r="AI261" s="2175"/>
      <c r="AJ261" s="2175"/>
      <c r="AK261" s="2175"/>
      <c r="AL261" s="2175"/>
      <c r="AM261" s="2175"/>
      <c r="AN261" s="2175"/>
      <c r="AO261" s="2375"/>
      <c r="AP261" s="2175"/>
      <c r="AQ261" s="2175"/>
      <c r="AR261" s="2175"/>
      <c r="AS261" s="2375"/>
      <c r="AT261" s="2175"/>
      <c r="AU261" s="2175"/>
      <c r="AV261" s="2175"/>
      <c r="AW261" s="2376"/>
      <c r="AX261" s="2177"/>
      <c r="AY261" s="2177"/>
      <c r="AZ261" s="2177"/>
      <c r="BA261" s="2174"/>
      <c r="BB261" s="2174"/>
      <c r="BC261" s="2174"/>
      <c r="BD261" s="2174"/>
      <c r="BE261" s="2174"/>
      <c r="BF261" s="2174"/>
      <c r="BG261" s="2174"/>
      <c r="BH261" s="2174"/>
      <c r="BI261" s="2174"/>
      <c r="BJ261" s="2174"/>
      <c r="BK261" s="2174"/>
      <c r="BL261" s="2174"/>
      <c r="BM261" s="2174"/>
      <c r="BN261" s="2174"/>
      <c r="BO261" s="2174"/>
      <c r="BP261" s="2174"/>
      <c r="BQ261" s="2174"/>
      <c r="BR261" s="2174"/>
      <c r="BS261" s="2174"/>
      <c r="BT261" s="2174"/>
      <c r="BU261" s="2174"/>
      <c r="BV261" s="2174"/>
      <c r="BW261" s="2174"/>
      <c r="BX261" s="2174"/>
      <c r="BY261" s="2174"/>
      <c r="BZ261" s="2174"/>
      <c r="CA261" s="2174"/>
      <c r="CB261" s="2174"/>
      <c r="CC261" s="2174"/>
      <c r="CD261" s="2174"/>
      <c r="CE261" s="2174"/>
      <c r="CF261" s="2174"/>
      <c r="CG261" s="2174"/>
      <c r="CH261" s="2174"/>
      <c r="CI261" s="2174"/>
      <c r="CJ261" s="2174"/>
      <c r="CK261" s="2174"/>
      <c r="CL261" s="2174"/>
      <c r="CM261" s="2174"/>
      <c r="CN261" s="2174"/>
      <c r="CO261" s="2174"/>
      <c r="CP261" s="2174"/>
      <c r="CQ261" s="2174"/>
      <c r="CR261" s="2174"/>
      <c r="CS261" s="2174"/>
      <c r="CT261" s="2174"/>
      <c r="CU261" s="2174"/>
      <c r="CV261" s="2174"/>
      <c r="CW261" s="2174"/>
      <c r="CX261" s="2174"/>
      <c r="CY261" s="2174"/>
      <c r="CZ261" s="2174"/>
    </row>
    <row r="262" spans="1:104" s="3053" customFormat="1">
      <c r="A262" s="3044" t="s">
        <v>299</v>
      </c>
      <c r="B262" s="3045"/>
      <c r="C262" s="3046"/>
      <c r="D262" s="3046"/>
      <c r="E262" s="2635"/>
      <c r="F262" s="2635"/>
      <c r="G262" s="3046" t="s">
        <v>300</v>
      </c>
      <c r="H262" s="2635">
        <f>AVERAGE(AG262:AJ262)/AVERAGE(H233)/12</f>
        <v>5.7056245339688567E-2</v>
      </c>
      <c r="I262" s="2635">
        <f>AVERAGE(AK262:AN262)/AVERAGE(I233)/12</f>
        <v>5.7092694728512784E-2</v>
      </c>
      <c r="J262" s="2635">
        <f>AVERAGE(AO262:AR262)/AVERAGE(I233:J233)/12</f>
        <v>5.6162323199634351E-2</v>
      </c>
      <c r="K262" s="3047">
        <f>AVERAGE(AS262:AV262)/AVERAGE(AS107:AV107)/12</f>
        <v>0.16443005096443253</v>
      </c>
      <c r="L262" s="3048">
        <f>(AVERAGE(AW262:AX262)/AVERAGE(AW107:AX107)/12)*1.05</f>
        <v>0.15057402244283027</v>
      </c>
      <c r="M262" s="3048">
        <f t="shared" ref="M262" si="898">L262*(1+M263)</f>
        <v>0.15509124311611519</v>
      </c>
      <c r="N262" s="3048">
        <f>M262*1.03*0.6+M262*0.98*0.4</f>
        <v>0.15664215554727634</v>
      </c>
      <c r="O262" s="3048">
        <f t="shared" ref="O262:Q262" si="899">N262*1.03*0.6+N262*0.98*0.4</f>
        <v>0.1582085771027491</v>
      </c>
      <c r="P262" s="3048">
        <f t="shared" si="899"/>
        <v>0.15979066287377661</v>
      </c>
      <c r="Q262" s="3048">
        <f t="shared" si="899"/>
        <v>0.16138856950251437</v>
      </c>
      <c r="R262" s="3048"/>
      <c r="S262" s="3048"/>
      <c r="T262" s="2175">
        <v>259</v>
      </c>
      <c r="U262" s="3048"/>
      <c r="V262" s="3048"/>
      <c r="W262" s="3048"/>
      <c r="X262" s="3048"/>
      <c r="Y262" s="3048"/>
      <c r="Z262" s="3048"/>
      <c r="AA262" s="3048"/>
      <c r="AB262" s="3048"/>
      <c r="AC262" s="3048"/>
      <c r="AD262" s="3048"/>
      <c r="AE262" s="3048"/>
      <c r="AF262" s="3048"/>
      <c r="AG262" s="2283">
        <v>3469.935155657</v>
      </c>
      <c r="AH262" s="3049">
        <v>3469.9351550000001</v>
      </c>
      <c r="AI262" s="3049">
        <v>3469.9349999999999</v>
      </c>
      <c r="AJ262" s="3049">
        <v>3469.9251556569998</v>
      </c>
      <c r="AK262" s="3049">
        <v>3718.4459818649998</v>
      </c>
      <c r="AL262" s="3049">
        <v>4002.332836</v>
      </c>
      <c r="AM262" s="3049">
        <v>3977.0720000000001</v>
      </c>
      <c r="AN262" s="3049">
        <v>4018.6261869999998</v>
      </c>
      <c r="AO262" s="3050">
        <v>3868.6320000000001</v>
      </c>
      <c r="AP262" s="3051">
        <v>3833.6529999999998</v>
      </c>
      <c r="AQ262" s="3051">
        <v>3763.9204169</v>
      </c>
      <c r="AR262" s="3051">
        <v>3647.7497039999998</v>
      </c>
      <c r="AS262" s="3050">
        <v>3515.0178632970001</v>
      </c>
      <c r="AT262" s="3049">
        <v>3406.6122322770002</v>
      </c>
      <c r="AU262" s="3049">
        <v>3321.627</v>
      </c>
      <c r="AV262" s="3049">
        <v>3357.739</v>
      </c>
      <c r="AW262" s="3052">
        <v>3494.8802336650001</v>
      </c>
      <c r="AX262" s="2393">
        <v>3708.5810000000001</v>
      </c>
      <c r="AY262" s="3043"/>
      <c r="AZ262" s="3043"/>
      <c r="BA262" s="3044"/>
      <c r="BB262" s="3044"/>
      <c r="BC262" s="3044"/>
      <c r="BD262" s="3044"/>
      <c r="BE262" s="3044"/>
      <c r="BF262" s="3044"/>
      <c r="BG262" s="3044"/>
      <c r="BH262" s="3044"/>
      <c r="BI262" s="3044"/>
      <c r="BJ262" s="3044"/>
      <c r="BK262" s="3044"/>
      <c r="BL262" s="3044"/>
      <c r="BM262" s="3044"/>
      <c r="BN262" s="3044"/>
      <c r="BO262" s="3044"/>
      <c r="BP262" s="3044"/>
      <c r="BQ262" s="3044"/>
      <c r="BR262" s="3044"/>
      <c r="BS262" s="3044"/>
      <c r="BT262" s="3044"/>
      <c r="BU262" s="3044"/>
      <c r="BV262" s="3044"/>
      <c r="BW262" s="3044"/>
      <c r="BX262" s="3044"/>
      <c r="BY262" s="3044"/>
      <c r="BZ262" s="3044"/>
      <c r="CA262" s="3044"/>
      <c r="CB262" s="3044"/>
      <c r="CC262" s="3044"/>
      <c r="CD262" s="3044"/>
      <c r="CE262" s="3044"/>
      <c r="CF262" s="3044"/>
      <c r="CG262" s="3044"/>
      <c r="CH262" s="3044"/>
      <c r="CI262" s="3044"/>
      <c r="CJ262" s="3044"/>
      <c r="CK262" s="3044"/>
      <c r="CL262" s="3044"/>
      <c r="CM262" s="3044"/>
      <c r="CN262" s="3044"/>
      <c r="CO262" s="3044"/>
      <c r="CP262" s="3044"/>
      <c r="CQ262" s="3044"/>
      <c r="CR262" s="3044"/>
      <c r="CS262" s="3044"/>
      <c r="CT262" s="3044"/>
      <c r="CU262" s="3044"/>
      <c r="CV262" s="3044"/>
      <c r="CW262" s="3044"/>
      <c r="CX262" s="3044"/>
      <c r="CY262" s="3044"/>
      <c r="CZ262" s="3044"/>
    </row>
    <row r="263" spans="1:104">
      <c r="A263" s="2174"/>
      <c r="B263" s="2240"/>
      <c r="C263" s="2256"/>
      <c r="D263" s="2256"/>
      <c r="E263" s="2256"/>
      <c r="F263" s="2256"/>
      <c r="G263" s="3054" t="s">
        <v>301</v>
      </c>
      <c r="H263" s="2256"/>
      <c r="I263" s="2241">
        <f>I262/H262-1</f>
        <v>6.388325871640177E-4</v>
      </c>
      <c r="J263" s="2241">
        <f>J262/I262-1</f>
        <v>-1.6295806903186771E-2</v>
      </c>
      <c r="K263" s="2293">
        <f>K262/J262-1</f>
        <v>1.9277644085332826</v>
      </c>
      <c r="L263" s="3022">
        <f>L262/K262-1</f>
        <v>-8.4267008617539219E-2</v>
      </c>
      <c r="M263" s="3022">
        <v>0.03</v>
      </c>
      <c r="N263" s="3022">
        <v>0.03</v>
      </c>
      <c r="O263" s="3022">
        <v>1.03</v>
      </c>
      <c r="P263" s="3022">
        <v>2.0299999999999998</v>
      </c>
      <c r="Q263" s="3022">
        <v>3.03</v>
      </c>
      <c r="R263" s="3022"/>
      <c r="S263" s="3022"/>
      <c r="T263" s="2175">
        <v>260</v>
      </c>
      <c r="U263" s="2175"/>
      <c r="V263" s="2175"/>
      <c r="W263" s="2175"/>
      <c r="X263" s="2175"/>
      <c r="Y263" s="2175"/>
      <c r="Z263" s="2175"/>
      <c r="AA263" s="2175"/>
      <c r="AB263" s="2175"/>
      <c r="AC263" s="2175"/>
      <c r="AD263" s="2175"/>
      <c r="AE263" s="2175"/>
      <c r="AF263" s="2175"/>
      <c r="AG263" s="2340"/>
      <c r="AH263" s="2340"/>
      <c r="AI263" s="2340"/>
      <c r="AJ263" s="2340">
        <v>11982.080853097999</v>
      </c>
      <c r="AK263" s="2340"/>
      <c r="AL263" s="2340"/>
      <c r="AM263" s="2340"/>
      <c r="AN263" s="2340">
        <v>13189.923370954</v>
      </c>
      <c r="AO263" s="2375"/>
      <c r="AP263" s="2175"/>
      <c r="AQ263" s="2175"/>
      <c r="AR263" s="2175"/>
      <c r="AS263" s="2375"/>
      <c r="AT263" s="2175"/>
      <c r="AU263" s="2175"/>
      <c r="AV263" s="2175"/>
      <c r="AW263" s="2614">
        <f>AW262/AS262-1</f>
        <v>-5.7290262568143735E-3</v>
      </c>
      <c r="AX263" s="2614">
        <f>AX262/AT262-1</f>
        <v>8.8641954861167882E-2</v>
      </c>
      <c r="AY263" s="2177"/>
      <c r="AZ263" s="2177"/>
      <c r="BA263" s="2174"/>
      <c r="BB263" s="2174"/>
      <c r="BC263" s="2174"/>
      <c r="BD263" s="2174"/>
      <c r="BE263" s="2174"/>
      <c r="BF263" s="2174"/>
      <c r="BG263" s="2174"/>
      <c r="BH263" s="2174"/>
      <c r="BI263" s="2174"/>
      <c r="BJ263" s="2174"/>
      <c r="BK263" s="2174"/>
      <c r="BL263" s="2174"/>
      <c r="BM263" s="2174"/>
      <c r="BN263" s="2174"/>
      <c r="BO263" s="2174"/>
      <c r="BP263" s="2174"/>
      <c r="BQ263" s="2174"/>
      <c r="BR263" s="2174"/>
      <c r="BS263" s="2174"/>
      <c r="BT263" s="2174"/>
      <c r="BU263" s="2174"/>
      <c r="BV263" s="2174"/>
      <c r="BW263" s="2174"/>
      <c r="BX263" s="2174"/>
      <c r="BY263" s="2174"/>
      <c r="BZ263" s="2174"/>
      <c r="CA263" s="2174"/>
      <c r="CB263" s="2174"/>
      <c r="CC263" s="2174"/>
      <c r="CD263" s="2174"/>
      <c r="CE263" s="2174"/>
      <c r="CF263" s="2174"/>
      <c r="CG263" s="2174"/>
      <c r="CH263" s="2174"/>
      <c r="CI263" s="2174"/>
      <c r="CJ263" s="2174"/>
      <c r="CK263" s="2174"/>
      <c r="CL263" s="2174"/>
      <c r="CM263" s="2174"/>
      <c r="CN263" s="2174"/>
      <c r="CO263" s="2174"/>
      <c r="CP263" s="2174"/>
      <c r="CQ263" s="2174"/>
      <c r="CR263" s="2174"/>
      <c r="CS263" s="2174"/>
      <c r="CT263" s="2174"/>
      <c r="CU263" s="2174"/>
      <c r="CV263" s="2174"/>
      <c r="CW263" s="2174"/>
      <c r="CX263" s="2174"/>
      <c r="CY263" s="2174"/>
      <c r="CZ263" s="2174"/>
    </row>
    <row r="264" spans="1:104" s="2216" customFormat="1">
      <c r="A264" s="2204" t="s">
        <v>302</v>
      </c>
      <c r="B264" s="2240"/>
      <c r="C264" s="2256"/>
      <c r="D264" s="2256"/>
      <c r="E264" s="2256"/>
      <c r="F264" s="2256"/>
      <c r="G264" s="2256" t="s">
        <v>303</v>
      </c>
      <c r="H264" s="2256"/>
      <c r="I264" s="2256">
        <v>0.04</v>
      </c>
      <c r="J264" s="2256">
        <f>I264*J265</f>
        <v>4.5999999999999999E-2</v>
      </c>
      <c r="K264" s="2296">
        <f>J264*K265</f>
        <v>4.7379999999999999E-2</v>
      </c>
      <c r="L264" s="2210">
        <f>K264*L265</f>
        <v>4.9749000000000002E-2</v>
      </c>
      <c r="M264" s="2210">
        <f>L264*M265</f>
        <v>5.2236450000000004E-2</v>
      </c>
      <c r="N264" s="2210">
        <f>M264*N265</f>
        <v>0.10708472249999999</v>
      </c>
      <c r="O264" s="2210">
        <f t="shared" ref="O264:Q264" si="900">N264*O265</f>
        <v>0.32660840362499993</v>
      </c>
      <c r="P264" s="2210">
        <f t="shared" si="900"/>
        <v>1.3227640346812497</v>
      </c>
      <c r="Q264" s="2210">
        <f t="shared" si="900"/>
        <v>6.6799583751403109</v>
      </c>
      <c r="R264" s="2210"/>
      <c r="S264" s="2210"/>
      <c r="T264" s="2175">
        <v>261</v>
      </c>
      <c r="U264" s="2210"/>
      <c r="V264" s="2210"/>
      <c r="W264" s="2210"/>
      <c r="X264" s="2210"/>
      <c r="Y264" s="2210"/>
      <c r="Z264" s="2210"/>
      <c r="AA264" s="2210"/>
      <c r="AB264" s="2210"/>
      <c r="AC264" s="2210"/>
      <c r="AD264" s="2210"/>
      <c r="AE264" s="2210"/>
      <c r="AF264" s="2210"/>
      <c r="AG264" s="2283"/>
      <c r="AH264" s="2283"/>
      <c r="AI264" s="2283"/>
      <c r="AJ264" s="2283">
        <v>6375.7989159999997</v>
      </c>
      <c r="AK264" s="2283"/>
      <c r="AL264" s="2283"/>
      <c r="AM264" s="2283"/>
      <c r="AN264" s="2283">
        <v>6562.296926</v>
      </c>
      <c r="AO264" s="2258"/>
      <c r="AP264" s="2210"/>
      <c r="AQ264" s="2210"/>
      <c r="AR264" s="2210"/>
      <c r="AS264" s="2258"/>
      <c r="AT264" s="2210"/>
      <c r="AU264" s="2210"/>
      <c r="AV264" s="2210"/>
      <c r="AW264" s="2259"/>
      <c r="AX264" s="2242"/>
      <c r="AY264" s="2242"/>
      <c r="AZ264" s="2242"/>
      <c r="BA264" s="2204"/>
      <c r="BB264" s="2204"/>
      <c r="BC264" s="2204"/>
      <c r="BD264" s="2204"/>
      <c r="BE264" s="2204"/>
      <c r="BF264" s="2204"/>
      <c r="BG264" s="2204"/>
      <c r="BH264" s="2204"/>
      <c r="BI264" s="2204"/>
      <c r="BJ264" s="2204"/>
      <c r="BK264" s="2204"/>
      <c r="BL264" s="2204"/>
      <c r="BM264" s="2204"/>
      <c r="BN264" s="2204"/>
      <c r="BO264" s="2204"/>
      <c r="BP264" s="2204"/>
      <c r="BQ264" s="2204"/>
      <c r="BR264" s="2204"/>
      <c r="BS264" s="2204"/>
      <c r="BT264" s="2204"/>
      <c r="BU264" s="2204"/>
      <c r="BV264" s="2204"/>
      <c r="BW264" s="2204"/>
      <c r="BX264" s="2204"/>
      <c r="BY264" s="2204"/>
      <c r="BZ264" s="2204"/>
      <c r="CA264" s="2204"/>
      <c r="CB264" s="2204"/>
      <c r="CC264" s="2204"/>
      <c r="CD264" s="2204"/>
      <c r="CE264" s="2204"/>
      <c r="CF264" s="2204"/>
      <c r="CG264" s="2204"/>
      <c r="CH264" s="2204"/>
      <c r="CI264" s="2204"/>
      <c r="CJ264" s="2204"/>
      <c r="CK264" s="2204"/>
      <c r="CL264" s="2204"/>
      <c r="CM264" s="2204"/>
      <c r="CN264" s="2204"/>
      <c r="CO264" s="2204"/>
      <c r="CP264" s="2204"/>
      <c r="CQ264" s="2204"/>
      <c r="CR264" s="2204"/>
      <c r="CS264" s="2204"/>
      <c r="CT264" s="2204"/>
      <c r="CU264" s="2204"/>
      <c r="CV264" s="2204"/>
      <c r="CW264" s="2204"/>
      <c r="CX264" s="2204"/>
      <c r="CY264" s="2204"/>
      <c r="CZ264" s="2204"/>
    </row>
    <row r="265" spans="1:104">
      <c r="A265" s="2174"/>
      <c r="B265" s="2240"/>
      <c r="C265" s="2256"/>
      <c r="D265" s="2256"/>
      <c r="E265" s="2256"/>
      <c r="F265" s="2256"/>
      <c r="G265" s="2256" t="s">
        <v>4</v>
      </c>
      <c r="H265" s="2256"/>
      <c r="I265" s="2256"/>
      <c r="J265" s="2256">
        <v>1.1499999999999999</v>
      </c>
      <c r="K265" s="3055">
        <v>1.03</v>
      </c>
      <c r="L265" s="3056">
        <v>1.05</v>
      </c>
      <c r="M265" s="3057">
        <v>1.05</v>
      </c>
      <c r="N265" s="3057">
        <v>2.0499999999999998</v>
      </c>
      <c r="O265" s="3057">
        <v>3.05</v>
      </c>
      <c r="P265" s="3057">
        <v>4.05</v>
      </c>
      <c r="Q265" s="3057">
        <v>5.05</v>
      </c>
      <c r="R265" s="3057"/>
      <c r="S265" s="3057"/>
      <c r="T265" s="2175">
        <v>262</v>
      </c>
      <c r="U265" s="2175"/>
      <c r="V265" s="2175"/>
      <c r="W265" s="2175"/>
      <c r="X265" s="2175"/>
      <c r="Y265" s="2175"/>
      <c r="Z265" s="2175"/>
      <c r="AA265" s="2175"/>
      <c r="AB265" s="2175"/>
      <c r="AC265" s="2175"/>
      <c r="AD265" s="2175"/>
      <c r="AE265" s="2175"/>
      <c r="AF265" s="2175"/>
      <c r="AG265" s="2175"/>
      <c r="AH265" s="2175"/>
      <c r="AI265" s="2175"/>
      <c r="AJ265" s="2453">
        <f>H233</f>
        <v>5068</v>
      </c>
      <c r="AK265" s="2175">
        <f>3091+2127+250</f>
        <v>5468</v>
      </c>
      <c r="AL265" s="2175">
        <f>1067+2131+1889+365+53+10</f>
        <v>5515</v>
      </c>
      <c r="AM265" s="2175">
        <f>1116+2246+1727+529+71+14</f>
        <v>5703</v>
      </c>
      <c r="AN265" s="2340">
        <f>1190+2284+1728+500+64+12</f>
        <v>5778</v>
      </c>
      <c r="AO265" s="2375"/>
      <c r="AP265" s="2453">
        <f ca="1">'FS Quarter'!BK4-Rev_Year!AP82-Rev_Year!AP102</f>
        <v>511.19044389100327</v>
      </c>
      <c r="AQ265" s="2453">
        <f ca="1">'FS Quarter'!BL4-Rev_Year!AQ82-Rev_Year!AQ102</f>
        <v>1011.0562411937899</v>
      </c>
      <c r="AR265" s="2453">
        <f ca="1">'FS Quarter'!BM4-Rev_Year!AR82-Rev_Year!AR102</f>
        <v>1021.5987021489964</v>
      </c>
      <c r="AS265" s="3058">
        <f ca="1">'FS Quarter'!BN4-Rev_Year!AS82-Rev_Year!AS102</f>
        <v>976.08118999999897</v>
      </c>
      <c r="AT265" s="2175"/>
      <c r="AU265" s="2175"/>
      <c r="AV265" s="2175"/>
      <c r="AW265" s="2719"/>
      <c r="AX265" s="2177"/>
      <c r="AY265" s="2177"/>
      <c r="AZ265" s="2177"/>
      <c r="BA265" s="2174"/>
      <c r="BB265" s="2174"/>
      <c r="BC265" s="2174"/>
      <c r="BD265" s="2174"/>
      <c r="BE265" s="2174"/>
      <c r="BF265" s="2174"/>
      <c r="BG265" s="2174"/>
      <c r="BH265" s="2174"/>
      <c r="BI265" s="2174"/>
      <c r="BJ265" s="2174"/>
      <c r="BK265" s="2174"/>
      <c r="BL265" s="2174"/>
      <c r="BM265" s="2174"/>
      <c r="BN265" s="2174"/>
      <c r="BO265" s="2174"/>
      <c r="BP265" s="2174"/>
      <c r="BQ265" s="2174"/>
      <c r="BR265" s="2174"/>
      <c r="BS265" s="2174"/>
      <c r="BT265" s="2174"/>
      <c r="BU265" s="2174"/>
      <c r="BV265" s="2174"/>
      <c r="BW265" s="2174"/>
      <c r="BX265" s="2174"/>
      <c r="BY265" s="2174"/>
      <c r="BZ265" s="2174"/>
      <c r="CA265" s="2174"/>
      <c r="CB265" s="2174"/>
      <c r="CC265" s="2174"/>
      <c r="CD265" s="2174"/>
      <c r="CE265" s="2174"/>
      <c r="CF265" s="2174"/>
      <c r="CG265" s="2174"/>
      <c r="CH265" s="2174"/>
      <c r="CI265" s="2174"/>
      <c r="CJ265" s="2174"/>
      <c r="CK265" s="2174"/>
      <c r="CL265" s="2174"/>
      <c r="CM265" s="2174"/>
      <c r="CN265" s="2174"/>
      <c r="CO265" s="2174"/>
      <c r="CP265" s="2174"/>
      <c r="CQ265" s="2174"/>
      <c r="CR265" s="2174"/>
      <c r="CS265" s="2174"/>
      <c r="CT265" s="2174"/>
      <c r="CU265" s="2174"/>
      <c r="CV265" s="2174"/>
      <c r="CW265" s="2174"/>
      <c r="CX265" s="2174"/>
      <c r="CY265" s="2174"/>
      <c r="CZ265" s="2174"/>
    </row>
    <row r="266" spans="1:104">
      <c r="A266" s="2174"/>
      <c r="B266" s="2240"/>
      <c r="C266" s="2256"/>
      <c r="D266" s="2256"/>
      <c r="E266" s="2256"/>
      <c r="F266" s="2256"/>
      <c r="G266" s="2256"/>
      <c r="H266" s="2256"/>
      <c r="I266" s="2256"/>
      <c r="J266" s="2256"/>
      <c r="K266" s="2296"/>
      <c r="L266" s="2175"/>
      <c r="M266" s="2175"/>
      <c r="N266" s="2175"/>
      <c r="O266" s="2175"/>
      <c r="P266" s="2175"/>
      <c r="Q266" s="2175"/>
      <c r="R266" s="2175"/>
      <c r="S266" s="2175"/>
      <c r="T266" s="2175">
        <v>263</v>
      </c>
      <c r="U266" s="2175"/>
      <c r="V266" s="2175"/>
      <c r="W266" s="2175"/>
      <c r="X266" s="2175"/>
      <c r="Y266" s="2175"/>
      <c r="Z266" s="2175"/>
      <c r="AA266" s="2175"/>
      <c r="AB266" s="2175"/>
      <c r="AC266" s="2175"/>
      <c r="AD266" s="2175"/>
      <c r="AE266" s="2175"/>
      <c r="AF266" s="2175"/>
      <c r="AG266" s="2175"/>
      <c r="AH266" s="2175"/>
      <c r="AI266" s="2175"/>
      <c r="AJ266" s="2373">
        <f>AJ262/AJ265/12</f>
        <v>5.705612265944817E-2</v>
      </c>
      <c r="AK266" s="2373">
        <f>AK262/AK265/12</f>
        <v>5.6669805868461959E-2</v>
      </c>
      <c r="AL266" s="2373">
        <f>AL262/AL265/12</f>
        <v>6.0476470776669684E-2</v>
      </c>
      <c r="AM266" s="2373">
        <f>AM262/AM265/12</f>
        <v>5.8113741305745516E-2</v>
      </c>
      <c r="AN266" s="2373">
        <f>AN262/AN265/12</f>
        <v>5.7958725438444679E-2</v>
      </c>
      <c r="AO266" s="2375"/>
      <c r="AP266" s="2453">
        <f ca="1">'FS Quarter'!BK6-Rev_Year!AP86-Rev_Year!AP110</f>
        <v>76.555607649000422</v>
      </c>
      <c r="AQ266" s="2453">
        <f ca="1">'FS Quarter'!BL6-Rev_Year!AQ86-Rev_Year!AQ110</f>
        <v>-1024.6998075660663</v>
      </c>
      <c r="AR266" s="2453">
        <f ca="1">'FS Quarter'!BM6-Rev_Year!AR86-Rev_Year!AR110</f>
        <v>370.40145054199911</v>
      </c>
      <c r="AS266" s="3058">
        <f ca="1">'FS Quarter'!BN6-Rev_Year!AS86-Rev_Year!AS110</f>
        <v>329.99229879999893</v>
      </c>
      <c r="AT266" s="2175"/>
      <c r="AU266" s="2175"/>
      <c r="AV266" s="2175"/>
      <c r="AW266" s="2719"/>
      <c r="AX266" s="2177"/>
      <c r="AY266" s="2177"/>
      <c r="AZ266" s="2177"/>
      <c r="BA266" s="2174"/>
      <c r="BB266" s="2174"/>
      <c r="BC266" s="2174"/>
      <c r="BD266" s="2174"/>
      <c r="BE266" s="2174"/>
      <c r="BF266" s="2174"/>
      <c r="BG266" s="2174"/>
      <c r="BH266" s="2174"/>
      <c r="BI266" s="2174"/>
      <c r="BJ266" s="2174"/>
      <c r="BK266" s="2174"/>
      <c r="BL266" s="2174"/>
      <c r="BM266" s="2174"/>
      <c r="BN266" s="2174"/>
      <c r="BO266" s="2174"/>
      <c r="BP266" s="2174"/>
      <c r="BQ266" s="2174"/>
      <c r="BR266" s="2174"/>
      <c r="BS266" s="2174"/>
      <c r="BT266" s="2174"/>
      <c r="BU266" s="2174"/>
      <c r="BV266" s="2174"/>
      <c r="BW266" s="2174"/>
      <c r="BX266" s="2174"/>
      <c r="BY266" s="2174"/>
      <c r="BZ266" s="2174"/>
      <c r="CA266" s="2174"/>
      <c r="CB266" s="2174"/>
      <c r="CC266" s="2174"/>
      <c r="CD266" s="2174"/>
      <c r="CE266" s="2174"/>
      <c r="CF266" s="2174"/>
      <c r="CG266" s="2174"/>
      <c r="CH266" s="2174"/>
      <c r="CI266" s="2174"/>
      <c r="CJ266" s="2174"/>
      <c r="CK266" s="2174"/>
      <c r="CL266" s="2174"/>
      <c r="CM266" s="2174"/>
      <c r="CN266" s="2174"/>
      <c r="CO266" s="2174"/>
      <c r="CP266" s="2174"/>
      <c r="CQ266" s="2174"/>
      <c r="CR266" s="2174"/>
      <c r="CS266" s="2174"/>
      <c r="CT266" s="2174"/>
      <c r="CU266" s="2174"/>
      <c r="CV266" s="2174"/>
      <c r="CW266" s="2174"/>
      <c r="CX266" s="2174"/>
      <c r="CY266" s="2174"/>
      <c r="CZ266" s="2174"/>
    </row>
    <row r="267" spans="1:104">
      <c r="A267" s="2174"/>
      <c r="B267" s="2240"/>
      <c r="C267" s="2256"/>
      <c r="D267" s="2256"/>
      <c r="E267" s="2256"/>
      <c r="F267" s="2256"/>
      <c r="G267" s="2256"/>
      <c r="H267" s="2256"/>
      <c r="I267" s="2256"/>
      <c r="J267" s="2256"/>
      <c r="K267" s="2296"/>
      <c r="L267" s="2175"/>
      <c r="M267" s="2175"/>
      <c r="N267" s="2175"/>
      <c r="O267" s="2175"/>
      <c r="P267" s="2175"/>
      <c r="Q267" s="2175"/>
      <c r="R267" s="2175"/>
      <c r="S267" s="2175"/>
      <c r="T267" s="2175">
        <v>264</v>
      </c>
      <c r="U267" s="2175"/>
      <c r="V267" s="2175"/>
      <c r="W267" s="2175"/>
      <c r="X267" s="2175"/>
      <c r="Y267" s="2175"/>
      <c r="Z267" s="2175"/>
      <c r="AA267" s="2175"/>
      <c r="AB267" s="2175"/>
      <c r="AC267" s="2175"/>
      <c r="AD267" s="2175"/>
      <c r="AE267" s="2175"/>
      <c r="AF267" s="2175"/>
      <c r="AG267" s="2175"/>
      <c r="AH267" s="2175"/>
      <c r="AI267" s="2175"/>
      <c r="AJ267" s="2175"/>
      <c r="AK267" s="2175"/>
      <c r="AL267" s="2175"/>
      <c r="AM267" s="2175"/>
      <c r="AN267" s="2175"/>
      <c r="AO267" s="2375"/>
      <c r="AP267" s="2436">
        <f ca="1">AP266/AP265</f>
        <v>0.14975946550621302</v>
      </c>
      <c r="AQ267" s="2436">
        <f ca="1">AQ266/AQ265</f>
        <v>-1.0134943693697662</v>
      </c>
      <c r="AR267" s="2436">
        <f ca="1">AR266/AR265</f>
        <v>0.3625704004545392</v>
      </c>
      <c r="AS267" s="2613">
        <f ca="1">AS266/AS265</f>
        <v>0.33807873994580234</v>
      </c>
      <c r="AT267" s="2175"/>
      <c r="AU267" s="2175"/>
      <c r="AV267" s="2175"/>
      <c r="AW267" s="2614"/>
      <c r="AX267" s="2177"/>
      <c r="AY267" s="2177"/>
      <c r="AZ267" s="2177"/>
      <c r="BA267" s="2174"/>
      <c r="BB267" s="2174"/>
      <c r="BC267" s="2174"/>
      <c r="BD267" s="2174"/>
      <c r="BE267" s="2174"/>
      <c r="BF267" s="2174"/>
      <c r="BG267" s="2174"/>
      <c r="BH267" s="2174"/>
      <c r="BI267" s="2174"/>
      <c r="BJ267" s="2174"/>
      <c r="BK267" s="2174"/>
      <c r="BL267" s="2174"/>
      <c r="BM267" s="2174"/>
      <c r="BN267" s="2174"/>
      <c r="BO267" s="2174"/>
      <c r="BP267" s="2174"/>
      <c r="BQ267" s="2174"/>
      <c r="BR267" s="2174"/>
      <c r="BS267" s="2174"/>
      <c r="BT267" s="2174"/>
      <c r="BU267" s="2174"/>
      <c r="BV267" s="2174"/>
      <c r="BW267" s="2174"/>
      <c r="BX267" s="2174"/>
      <c r="BY267" s="2174"/>
      <c r="BZ267" s="2174"/>
      <c r="CA267" s="2174"/>
      <c r="CB267" s="2174"/>
      <c r="CC267" s="2174"/>
      <c r="CD267" s="2174"/>
      <c r="CE267" s="2174"/>
      <c r="CF267" s="2174"/>
      <c r="CG267" s="2174"/>
      <c r="CH267" s="2174"/>
      <c r="CI267" s="2174"/>
      <c r="CJ267" s="2174"/>
      <c r="CK267" s="2174"/>
      <c r="CL267" s="2174"/>
      <c r="CM267" s="2174"/>
      <c r="CN267" s="2174"/>
      <c r="CO267" s="2174"/>
      <c r="CP267" s="2174"/>
      <c r="CQ267" s="2174"/>
      <c r="CR267" s="2174"/>
      <c r="CS267" s="2174"/>
      <c r="CT267" s="2174"/>
      <c r="CU267" s="2174"/>
      <c r="CV267" s="2174"/>
      <c r="CW267" s="2174"/>
      <c r="CX267" s="2174"/>
      <c r="CY267" s="2174"/>
      <c r="CZ267" s="2174"/>
    </row>
    <row r="268" spans="1:104">
      <c r="A268" s="2174"/>
      <c r="B268" s="2240"/>
      <c r="C268" s="2256"/>
      <c r="D268" s="2256"/>
      <c r="E268" s="2256"/>
      <c r="F268" s="2256"/>
      <c r="G268" s="2256"/>
      <c r="H268" s="2256"/>
      <c r="I268" s="3059">
        <f t="shared" ref="I268:N268" si="901">I187+I173</f>
        <v>-1088.6936472930001</v>
      </c>
      <c r="J268" s="2246">
        <f ca="1">J187+J173</f>
        <v>-1639.1787090195412</v>
      </c>
      <c r="K268" s="2247">
        <f t="shared" si="901"/>
        <v>-1297.125835560375</v>
      </c>
      <c r="L268" s="2414">
        <f t="shared" si="901"/>
        <v>-1229.5524596405201</v>
      </c>
      <c r="M268" s="2374">
        <f t="shared" si="901"/>
        <v>-1261.9392311464487</v>
      </c>
      <c r="N268" s="2374">
        <f t="shared" si="901"/>
        <v>-1185.6708556011922</v>
      </c>
      <c r="O268" s="2374">
        <f t="shared" ref="O268:Q268" si="902">O187+O173</f>
        <v>-1146.2657116838118</v>
      </c>
      <c r="P268" s="2374">
        <f t="shared" si="902"/>
        <v>-1166.0212491499444</v>
      </c>
      <c r="Q268" s="2374">
        <f t="shared" si="902"/>
        <v>-1251.1213570741807</v>
      </c>
      <c r="R268" s="2374">
        <f t="shared" ref="R268" si="903">R187+R173</f>
        <v>0</v>
      </c>
      <c r="S268" s="2175"/>
      <c r="T268" s="2175">
        <v>265</v>
      </c>
      <c r="U268" s="2175"/>
      <c r="V268" s="2175"/>
      <c r="W268" s="2175"/>
      <c r="X268" s="2175"/>
      <c r="Y268" s="2175"/>
      <c r="Z268" s="2175"/>
      <c r="AA268" s="2175"/>
      <c r="AB268" s="2175"/>
      <c r="AC268" s="2175"/>
      <c r="AD268" s="2175"/>
      <c r="AE268" s="2175"/>
      <c r="AF268" s="2175"/>
      <c r="AG268" s="2175"/>
      <c r="AH268" s="2175"/>
      <c r="AI268" s="2175"/>
      <c r="AJ268" s="2175"/>
      <c r="AK268" s="2175"/>
      <c r="AL268" s="2175"/>
      <c r="AM268" s="2175"/>
      <c r="AN268" s="2175"/>
      <c r="AO268" s="2375"/>
      <c r="AP268" s="2175"/>
      <c r="AQ268" s="2175"/>
      <c r="AR268" s="2175"/>
      <c r="AS268" s="3058">
        <f ca="1">('FS Quarter'!BN11+'FS Quarter'!BN12)-Rev_Year!AS88-Rev_Year!AS112</f>
        <v>-554.62293698143731</v>
      </c>
      <c r="AT268" s="2175"/>
      <c r="AU268" s="2175"/>
      <c r="AV268" s="2175"/>
      <c r="AW268" s="2719"/>
      <c r="AX268" s="2177"/>
      <c r="AY268" s="2177"/>
      <c r="AZ268" s="2177"/>
      <c r="BA268" s="2174"/>
      <c r="BB268" s="2174"/>
      <c r="BC268" s="2174"/>
      <c r="BD268" s="2174"/>
      <c r="BE268" s="2174"/>
      <c r="BF268" s="2174"/>
      <c r="BG268" s="2174"/>
      <c r="BH268" s="2174"/>
      <c r="BI268" s="2174"/>
      <c r="BJ268" s="2174"/>
      <c r="BK268" s="2174"/>
      <c r="BL268" s="2174"/>
      <c r="BM268" s="2174"/>
      <c r="BN268" s="2174"/>
      <c r="BO268" s="2174"/>
      <c r="BP268" s="2174"/>
      <c r="BQ268" s="2174"/>
      <c r="BR268" s="2174"/>
      <c r="BS268" s="2174"/>
      <c r="BT268" s="2174"/>
      <c r="BU268" s="2174"/>
      <c r="BV268" s="2174"/>
      <c r="BW268" s="2174"/>
      <c r="BX268" s="2174"/>
      <c r="BY268" s="2174"/>
      <c r="BZ268" s="2174"/>
      <c r="CA268" s="2174"/>
      <c r="CB268" s="2174"/>
      <c r="CC268" s="2174"/>
      <c r="CD268" s="2174"/>
      <c r="CE268" s="2174"/>
      <c r="CF268" s="2174"/>
      <c r="CG268" s="2174"/>
      <c r="CH268" s="2174"/>
      <c r="CI268" s="2174"/>
      <c r="CJ268" s="2174"/>
      <c r="CK268" s="2174"/>
      <c r="CL268" s="2174"/>
      <c r="CM268" s="2174"/>
      <c r="CN268" s="2174"/>
      <c r="CO268" s="2174"/>
      <c r="CP268" s="2174"/>
      <c r="CQ268" s="2174"/>
      <c r="CR268" s="2174"/>
      <c r="CS268" s="2174"/>
      <c r="CT268" s="2174"/>
      <c r="CU268" s="2174"/>
      <c r="CV268" s="2174"/>
      <c r="CW268" s="2174"/>
      <c r="CX268" s="2174"/>
      <c r="CY268" s="2174"/>
      <c r="CZ268" s="2174"/>
    </row>
    <row r="269" spans="1:104">
      <c r="A269" s="2174"/>
      <c r="B269" s="2240"/>
      <c r="C269" s="2256"/>
      <c r="D269" s="2256"/>
      <c r="E269" s="2256"/>
      <c r="F269" s="2256"/>
      <c r="G269" s="2256"/>
      <c r="H269" s="2256"/>
      <c r="I269" s="2256">
        <f t="shared" ref="I269:R269" si="904">I268/(I30+I28)</f>
        <v>-0.40804079580712871</v>
      </c>
      <c r="J269" s="2207">
        <f t="shared" ca="1" si="904"/>
        <v>-0.51327723315255935</v>
      </c>
      <c r="K269" s="2208">
        <f t="shared" si="904"/>
        <v>-0.35760968693946732</v>
      </c>
      <c r="L269" s="2972">
        <f t="shared" si="904"/>
        <v>-0.28679904104718662</v>
      </c>
      <c r="M269" s="2613">
        <f t="shared" si="904"/>
        <v>-0.26208892108548737</v>
      </c>
      <c r="N269" s="2613">
        <f t="shared" si="904"/>
        <v>-0.24283189537559571</v>
      </c>
      <c r="O269" s="2613">
        <f t="shared" si="904"/>
        <v>-0.22116721881729434</v>
      </c>
      <c r="P269" s="2613">
        <f t="shared" si="904"/>
        <v>-0.19575975428771947</v>
      </c>
      <c r="Q269" s="2613">
        <f t="shared" si="904"/>
        <v>-0.18771519934913064</v>
      </c>
      <c r="R269" s="2613" t="e">
        <f t="shared" si="904"/>
        <v>#DIV/0!</v>
      </c>
      <c r="S269" s="2175"/>
      <c r="T269" s="2175">
        <v>266</v>
      </c>
      <c r="U269" s="2175"/>
      <c r="V269" s="2175"/>
      <c r="W269" s="2175"/>
      <c r="X269" s="2175"/>
      <c r="Y269" s="2175"/>
      <c r="Z269" s="2175"/>
      <c r="AA269" s="2175"/>
      <c r="AB269" s="2175"/>
      <c r="AC269" s="2175"/>
      <c r="AD269" s="2175"/>
      <c r="AE269" s="2175"/>
      <c r="AF269" s="2175"/>
      <c r="AG269" s="2175"/>
      <c r="AH269" s="2175"/>
      <c r="AI269" s="2175"/>
      <c r="AJ269" s="2175"/>
      <c r="AK269" s="2175"/>
      <c r="AL269" s="2175"/>
      <c r="AM269" s="2175"/>
      <c r="AN269" s="2175"/>
      <c r="AO269" s="2375"/>
      <c r="AP269" s="2175"/>
      <c r="AQ269" s="2175"/>
      <c r="AR269" s="2175"/>
      <c r="AS269" s="2375"/>
      <c r="AT269" s="2175"/>
      <c r="AU269" s="2175"/>
      <c r="AV269" s="2175"/>
      <c r="AW269" s="2376"/>
      <c r="AX269" s="2177"/>
      <c r="AY269" s="2177"/>
      <c r="AZ269" s="2177"/>
      <c r="BA269" s="2174"/>
      <c r="BB269" s="2174"/>
      <c r="BC269" s="2174"/>
      <c r="BD269" s="2174"/>
      <c r="BE269" s="2174"/>
      <c r="BF269" s="2174"/>
      <c r="BG269" s="2174"/>
      <c r="BH269" s="2174"/>
      <c r="BI269" s="2174"/>
      <c r="BJ269" s="2174"/>
      <c r="BK269" s="2174"/>
      <c r="BL269" s="2174"/>
      <c r="BM269" s="2174"/>
      <c r="BN269" s="2174"/>
      <c r="BO269" s="2174"/>
      <c r="BP269" s="2174"/>
      <c r="BQ269" s="2174"/>
      <c r="BR269" s="2174"/>
      <c r="BS269" s="2174"/>
      <c r="BT269" s="2174"/>
      <c r="BU269" s="2174"/>
      <c r="BV269" s="2174"/>
      <c r="BW269" s="2174"/>
      <c r="BX269" s="2174"/>
      <c r="BY269" s="2174"/>
      <c r="BZ269" s="2174"/>
      <c r="CA269" s="2174"/>
      <c r="CB269" s="2174"/>
      <c r="CC269" s="2174"/>
      <c r="CD269" s="2174"/>
      <c r="CE269" s="2174"/>
      <c r="CF269" s="2174"/>
      <c r="CG269" s="2174"/>
      <c r="CH269" s="2174"/>
      <c r="CI269" s="2174"/>
      <c r="CJ269" s="2174"/>
      <c r="CK269" s="2174"/>
      <c r="CL269" s="2174"/>
      <c r="CM269" s="2174"/>
      <c r="CN269" s="2174"/>
      <c r="CO269" s="2174"/>
      <c r="CP269" s="2174"/>
      <c r="CQ269" s="2174"/>
      <c r="CR269" s="2174"/>
      <c r="CS269" s="2174"/>
      <c r="CT269" s="2174"/>
      <c r="CU269" s="2174"/>
      <c r="CV269" s="2174"/>
      <c r="CW269" s="2174"/>
      <c r="CX269" s="2174"/>
      <c r="CY269" s="2174"/>
      <c r="CZ269" s="2174"/>
    </row>
    <row r="270" spans="1:104">
      <c r="A270" s="2174"/>
      <c r="B270" s="2240"/>
      <c r="C270" s="2256"/>
      <c r="D270" s="2256"/>
      <c r="E270" s="2256"/>
      <c r="F270" s="2256"/>
      <c r="G270" s="2256"/>
      <c r="H270" s="2256"/>
      <c r="I270" s="3060">
        <f t="shared" ref="I270:R270" si="905">(I171+I185)/(I30+I28)</f>
        <v>0.16935384730707242</v>
      </c>
      <c r="J270" s="2207">
        <f t="shared" si="905"/>
        <v>0.19615547026714419</v>
      </c>
      <c r="K270" s="2208">
        <f t="shared" si="905"/>
        <v>0.16270045479858763</v>
      </c>
      <c r="L270" s="2972">
        <f t="shared" si="905"/>
        <v>0.18002547802384741</v>
      </c>
      <c r="M270" s="2613">
        <f t="shared" si="905"/>
        <v>0.18517909451150832</v>
      </c>
      <c r="N270" s="2613">
        <f t="shared" si="905"/>
        <v>0.18830780395706326</v>
      </c>
      <c r="O270" s="2613">
        <f t="shared" si="905"/>
        <v>0.19173864618731301</v>
      </c>
      <c r="P270" s="2613">
        <f t="shared" si="905"/>
        <v>0.19520772805999007</v>
      </c>
      <c r="Q270" s="2613">
        <f t="shared" si="905"/>
        <v>0.19785861619594042</v>
      </c>
      <c r="R270" s="2613" t="e">
        <f t="shared" si="905"/>
        <v>#DIV/0!</v>
      </c>
      <c r="S270" s="2175"/>
      <c r="T270" s="2175">
        <v>267</v>
      </c>
      <c r="U270" s="2175"/>
      <c r="V270" s="2175"/>
      <c r="W270" s="2175"/>
      <c r="X270" s="2175"/>
      <c r="Y270" s="2175"/>
      <c r="Z270" s="2175"/>
      <c r="AA270" s="2175"/>
      <c r="AB270" s="2175"/>
      <c r="AC270" s="2175"/>
      <c r="AD270" s="2175"/>
      <c r="AE270" s="2175"/>
      <c r="AF270" s="2175"/>
      <c r="AG270" s="2175"/>
      <c r="AH270" s="2175"/>
      <c r="AI270" s="2175"/>
      <c r="AJ270" s="2175"/>
      <c r="AK270" s="2175"/>
      <c r="AL270" s="2175"/>
      <c r="AM270" s="2175"/>
      <c r="AN270" s="2175"/>
      <c r="AO270" s="2375"/>
      <c r="AP270" s="2175"/>
      <c r="AQ270" s="2175"/>
      <c r="AR270" s="2175"/>
      <c r="AS270" s="2375"/>
      <c r="AT270" s="2175"/>
      <c r="AU270" s="2175"/>
      <c r="AV270" s="2175"/>
      <c r="AW270" s="2376"/>
      <c r="AX270" s="2177"/>
      <c r="AY270" s="2177"/>
      <c r="AZ270" s="2177"/>
      <c r="BA270" s="2174"/>
      <c r="BB270" s="2174"/>
      <c r="BC270" s="2174"/>
      <c r="BD270" s="2174"/>
      <c r="BE270" s="2174"/>
      <c r="BF270" s="2174"/>
      <c r="BG270" s="2174"/>
      <c r="BH270" s="2174"/>
      <c r="BI270" s="2174"/>
      <c r="BJ270" s="2174"/>
      <c r="BK270" s="2174"/>
      <c r="BL270" s="2174"/>
      <c r="BM270" s="2174"/>
      <c r="BN270" s="2174"/>
      <c r="BO270" s="2174"/>
      <c r="BP270" s="2174"/>
      <c r="BQ270" s="2174"/>
      <c r="BR270" s="2174"/>
      <c r="BS270" s="2174"/>
      <c r="BT270" s="2174"/>
      <c r="BU270" s="2174"/>
      <c r="BV270" s="2174"/>
      <c r="BW270" s="2174"/>
      <c r="BX270" s="2174"/>
      <c r="BY270" s="2174"/>
      <c r="BZ270" s="2174"/>
      <c r="CA270" s="2174"/>
      <c r="CB270" s="2174"/>
      <c r="CC270" s="2174"/>
      <c r="CD270" s="2174"/>
      <c r="CE270" s="2174"/>
      <c r="CF270" s="2174"/>
      <c r="CG270" s="2174"/>
      <c r="CH270" s="2174"/>
      <c r="CI270" s="2174"/>
      <c r="CJ270" s="2174"/>
      <c r="CK270" s="2174"/>
      <c r="CL270" s="2174"/>
      <c r="CM270" s="2174"/>
      <c r="CN270" s="2174"/>
      <c r="CO270" s="2174"/>
      <c r="CP270" s="2174"/>
      <c r="CQ270" s="2174"/>
      <c r="CR270" s="2174"/>
      <c r="CS270" s="2174"/>
      <c r="CT270" s="2174"/>
      <c r="CU270" s="2174"/>
      <c r="CV270" s="2174"/>
      <c r="CW270" s="2174"/>
      <c r="CX270" s="2174"/>
      <c r="CY270" s="2174"/>
      <c r="CZ270" s="2174"/>
    </row>
    <row r="271" spans="1:104">
      <c r="A271" s="2174"/>
      <c r="B271" s="2240"/>
      <c r="C271" s="2256"/>
      <c r="D271" s="2256"/>
      <c r="E271" s="2256"/>
      <c r="F271" s="2256"/>
      <c r="G271" s="2256"/>
      <c r="H271" s="2256"/>
      <c r="I271" s="2256"/>
      <c r="J271" s="2256"/>
      <c r="K271" s="2296"/>
      <c r="L271" s="2175"/>
      <c r="M271" s="2175"/>
      <c r="N271" s="2175"/>
      <c r="O271" s="2175"/>
      <c r="P271" s="2175"/>
      <c r="Q271" s="2175"/>
      <c r="R271" s="2175"/>
      <c r="S271" s="2175"/>
      <c r="T271" s="2175">
        <v>268</v>
      </c>
      <c r="U271" s="2175"/>
      <c r="V271" s="2175"/>
      <c r="W271" s="2175"/>
      <c r="X271" s="2175"/>
      <c r="Y271" s="2175"/>
      <c r="Z271" s="2175"/>
      <c r="AA271" s="2175"/>
      <c r="AB271" s="2175"/>
      <c r="AC271" s="2175"/>
      <c r="AD271" s="2175"/>
      <c r="AE271" s="2175"/>
      <c r="AF271" s="2175"/>
      <c r="AG271" s="2175"/>
      <c r="AH271" s="2175"/>
      <c r="AI271" s="2175"/>
      <c r="AJ271" s="2175"/>
      <c r="AK271" s="2175"/>
      <c r="AL271" s="2175"/>
      <c r="AM271" s="2175"/>
      <c r="AN271" s="2175"/>
      <c r="AO271" s="2375"/>
      <c r="AP271" s="2175"/>
      <c r="AQ271" s="2175"/>
      <c r="AR271" s="2175"/>
      <c r="AS271" s="2375"/>
      <c r="AT271" s="2175"/>
      <c r="AU271" s="2175"/>
      <c r="AV271" s="2175"/>
      <c r="AW271" s="2376"/>
      <c r="AX271" s="2177"/>
      <c r="AY271" s="2177"/>
      <c r="AZ271" s="2177"/>
      <c r="BA271" s="2174"/>
      <c r="BB271" s="2174"/>
      <c r="BC271" s="2174"/>
      <c r="BD271" s="2174"/>
      <c r="BE271" s="2174"/>
      <c r="BF271" s="2174"/>
      <c r="BG271" s="2174"/>
      <c r="BH271" s="2174"/>
      <c r="BI271" s="2174"/>
      <c r="BJ271" s="2174"/>
      <c r="BK271" s="2174"/>
      <c r="BL271" s="2174"/>
      <c r="BM271" s="2174"/>
      <c r="BN271" s="2174"/>
      <c r="BO271" s="2174"/>
      <c r="BP271" s="2174"/>
      <c r="BQ271" s="2174"/>
      <c r="BR271" s="2174"/>
      <c r="BS271" s="2174"/>
      <c r="BT271" s="2174"/>
      <c r="BU271" s="2174"/>
      <c r="BV271" s="2174"/>
      <c r="BW271" s="2174"/>
      <c r="BX271" s="2174"/>
      <c r="BY271" s="2174"/>
      <c r="BZ271" s="2174"/>
      <c r="CA271" s="2174"/>
      <c r="CB271" s="2174"/>
      <c r="CC271" s="2174"/>
      <c r="CD271" s="2174"/>
      <c r="CE271" s="2174"/>
      <c r="CF271" s="2174"/>
      <c r="CG271" s="2174"/>
      <c r="CH271" s="2174"/>
      <c r="CI271" s="2174"/>
      <c r="CJ271" s="2174"/>
      <c r="CK271" s="2174"/>
      <c r="CL271" s="2174"/>
      <c r="CM271" s="2174"/>
      <c r="CN271" s="2174"/>
      <c r="CO271" s="2174"/>
      <c r="CP271" s="2174"/>
      <c r="CQ271" s="2174"/>
      <c r="CR271" s="2174"/>
      <c r="CS271" s="2174"/>
      <c r="CT271" s="2174"/>
      <c r="CU271" s="2174"/>
      <c r="CV271" s="2174"/>
      <c r="CW271" s="2174"/>
      <c r="CX271" s="2174"/>
      <c r="CY271" s="2174"/>
      <c r="CZ271" s="2174"/>
    </row>
    <row r="272" spans="1:104">
      <c r="A272" s="2174"/>
      <c r="B272" s="2240"/>
      <c r="C272" s="2256"/>
      <c r="D272" s="2256"/>
      <c r="E272" s="2256"/>
      <c r="F272" s="2256"/>
      <c r="G272" s="2256"/>
      <c r="H272" s="2256"/>
      <c r="I272" s="2256"/>
      <c r="J272" s="2256"/>
      <c r="K272" s="2296"/>
      <c r="L272" s="2175"/>
      <c r="M272" s="2175"/>
      <c r="N272" s="2175"/>
      <c r="O272" s="2175"/>
      <c r="P272" s="2175"/>
      <c r="Q272" s="2175"/>
      <c r="R272" s="2175"/>
      <c r="S272" s="2175"/>
      <c r="T272" s="2175">
        <v>269</v>
      </c>
      <c r="U272" s="2175"/>
      <c r="V272" s="2175"/>
      <c r="W272" s="2175"/>
      <c r="X272" s="2175"/>
      <c r="Y272" s="2175"/>
      <c r="Z272" s="2175"/>
      <c r="AA272" s="2175"/>
      <c r="AB272" s="2175"/>
      <c r="AC272" s="2175"/>
      <c r="AD272" s="2175"/>
      <c r="AE272" s="2175"/>
      <c r="AF272" s="2175"/>
      <c r="AG272" s="2175"/>
      <c r="AH272" s="2175"/>
      <c r="AI272" s="2175"/>
      <c r="AJ272" s="2175"/>
      <c r="AK272" s="2175"/>
      <c r="AL272" s="2175"/>
      <c r="AM272" s="2175"/>
      <c r="AN272" s="2175"/>
      <c r="AO272" s="2375"/>
      <c r="AP272" s="2175"/>
      <c r="AQ272" s="2175"/>
      <c r="AR272" s="2175"/>
      <c r="AS272" s="2375"/>
      <c r="AT272" s="2175"/>
      <c r="AU272" s="2175"/>
      <c r="AV272" s="2175"/>
      <c r="AW272" s="2376"/>
      <c r="AX272" s="2177"/>
      <c r="AY272" s="2177"/>
      <c r="AZ272" s="2177"/>
      <c r="BA272" s="2174"/>
      <c r="BB272" s="2174"/>
      <c r="BC272" s="2174"/>
      <c r="BD272" s="2174"/>
      <c r="BE272" s="2174"/>
      <c r="BF272" s="2174"/>
      <c r="BG272" s="2174"/>
      <c r="BH272" s="2174"/>
      <c r="BI272" s="2174"/>
      <c r="BJ272" s="2174"/>
      <c r="BK272" s="2174"/>
      <c r="BL272" s="2174"/>
      <c r="BM272" s="2174"/>
      <c r="BN272" s="2174"/>
      <c r="BO272" s="2174"/>
      <c r="BP272" s="2174"/>
      <c r="BQ272" s="2174"/>
      <c r="BR272" s="2174"/>
      <c r="BS272" s="2174"/>
      <c r="BT272" s="2174"/>
      <c r="BU272" s="2174"/>
      <c r="BV272" s="2174"/>
      <c r="BW272" s="2174"/>
      <c r="BX272" s="2174"/>
      <c r="BY272" s="2174"/>
      <c r="BZ272" s="2174"/>
      <c r="CA272" s="2174"/>
      <c r="CB272" s="2174"/>
      <c r="CC272" s="2174"/>
      <c r="CD272" s="2174"/>
      <c r="CE272" s="2174"/>
      <c r="CF272" s="2174"/>
      <c r="CG272" s="2174"/>
      <c r="CH272" s="2174"/>
      <c r="CI272" s="2174"/>
      <c r="CJ272" s="2174"/>
      <c r="CK272" s="2174"/>
      <c r="CL272" s="2174"/>
      <c r="CM272" s="2174"/>
      <c r="CN272" s="2174"/>
      <c r="CO272" s="2174"/>
      <c r="CP272" s="2174"/>
      <c r="CQ272" s="2174"/>
      <c r="CR272" s="2174"/>
      <c r="CS272" s="2174"/>
      <c r="CT272" s="2174"/>
      <c r="CU272" s="2174"/>
      <c r="CV272" s="2174"/>
      <c r="CW272" s="2174"/>
      <c r="CX272" s="2174"/>
      <c r="CY272" s="2174"/>
      <c r="CZ272" s="2174"/>
    </row>
    <row r="273" spans="1:104">
      <c r="A273" s="2174"/>
      <c r="B273" s="2240"/>
      <c r="C273" s="2256"/>
      <c r="D273" s="2256"/>
      <c r="E273" s="2256"/>
      <c r="F273" s="2256"/>
      <c r="G273" s="2256"/>
      <c r="H273" s="2256"/>
      <c r="I273" s="2256"/>
      <c r="J273" s="2256"/>
      <c r="K273" s="2296"/>
      <c r="L273" s="2175"/>
      <c r="M273" s="2175"/>
      <c r="N273" s="2175"/>
      <c r="O273" s="2175"/>
      <c r="P273" s="2175"/>
      <c r="Q273" s="2175"/>
      <c r="R273" s="2175"/>
      <c r="S273" s="2175"/>
      <c r="T273" s="2175">
        <v>270</v>
      </c>
      <c r="U273" s="2175"/>
      <c r="V273" s="2175"/>
      <c r="W273" s="2175"/>
      <c r="X273" s="2175"/>
      <c r="Y273" s="2175"/>
      <c r="Z273" s="2175"/>
      <c r="AA273" s="2175"/>
      <c r="AB273" s="2175"/>
      <c r="AC273" s="2175"/>
      <c r="AD273" s="2175"/>
      <c r="AE273" s="2175"/>
      <c r="AF273" s="2175"/>
      <c r="AG273" s="2175"/>
      <c r="AH273" s="2175"/>
      <c r="AI273" s="2175"/>
      <c r="AJ273" s="2175"/>
      <c r="AK273" s="2175"/>
      <c r="AL273" s="2175"/>
      <c r="AM273" s="2175"/>
      <c r="AN273" s="2175"/>
      <c r="AO273" s="2375"/>
      <c r="AP273" s="2175"/>
      <c r="AQ273" s="2175"/>
      <c r="AR273" s="2175"/>
      <c r="AS273" s="2375"/>
      <c r="AT273" s="2175"/>
      <c r="AU273" s="2175"/>
      <c r="AV273" s="2175"/>
      <c r="AW273" s="2376"/>
      <c r="AX273" s="2177"/>
      <c r="AY273" s="2177"/>
      <c r="AZ273" s="2177"/>
      <c r="BA273" s="2174"/>
      <c r="BB273" s="2174"/>
      <c r="BC273" s="2174"/>
      <c r="BD273" s="2174"/>
      <c r="BE273" s="2174"/>
      <c r="BF273" s="2174"/>
      <c r="BG273" s="2174"/>
      <c r="BH273" s="2174"/>
      <c r="BI273" s="2174"/>
      <c r="BJ273" s="2174"/>
      <c r="BK273" s="2174"/>
      <c r="BL273" s="2174"/>
      <c r="BM273" s="2174"/>
      <c r="BN273" s="2174"/>
      <c r="BO273" s="2174"/>
      <c r="BP273" s="2174"/>
      <c r="BQ273" s="2174"/>
      <c r="BR273" s="2174"/>
      <c r="BS273" s="2174"/>
      <c r="BT273" s="2174"/>
      <c r="BU273" s="2174"/>
      <c r="BV273" s="2174"/>
      <c r="BW273" s="2174"/>
      <c r="BX273" s="2174"/>
      <c r="BY273" s="2174"/>
      <c r="BZ273" s="2174"/>
      <c r="CA273" s="2174"/>
      <c r="CB273" s="2174"/>
      <c r="CC273" s="2174"/>
      <c r="CD273" s="2174"/>
      <c r="CE273" s="2174"/>
      <c r="CF273" s="2174"/>
      <c r="CG273" s="2174"/>
      <c r="CH273" s="2174"/>
      <c r="CI273" s="2174"/>
      <c r="CJ273" s="2174"/>
      <c r="CK273" s="2174"/>
      <c r="CL273" s="2174"/>
      <c r="CM273" s="2174"/>
      <c r="CN273" s="2174"/>
      <c r="CO273" s="2174"/>
      <c r="CP273" s="2174"/>
      <c r="CQ273" s="2174"/>
      <c r="CR273" s="2174"/>
      <c r="CS273" s="2174"/>
      <c r="CT273" s="2174"/>
      <c r="CU273" s="2174"/>
      <c r="CV273" s="2174"/>
      <c r="CW273" s="2174"/>
      <c r="CX273" s="2174"/>
      <c r="CY273" s="2174"/>
      <c r="CZ273" s="2174"/>
    </row>
    <row r="274" spans="1:104">
      <c r="A274" s="2174"/>
      <c r="B274" s="2240"/>
      <c r="C274" s="2256"/>
      <c r="D274" s="2256"/>
      <c r="E274" s="2256"/>
      <c r="F274" s="2256">
        <v>374.06799999999998</v>
      </c>
      <c r="G274" s="2256">
        <v>533.59400000000005</v>
      </c>
      <c r="H274" s="2256">
        <v>683.84199999999998</v>
      </c>
      <c r="I274" s="2256">
        <v>543.26</v>
      </c>
      <c r="J274" s="2372">
        <f>$H$276*J275</f>
        <v>706.00951300414624</v>
      </c>
      <c r="K274" s="2492">
        <f>$H$276*K275</f>
        <v>669.5362212589522</v>
      </c>
      <c r="L274" s="2179">
        <f>$H$276*L275</f>
        <v>769.54779155672827</v>
      </c>
      <c r="M274" s="2175"/>
      <c r="N274" s="2175"/>
      <c r="O274" s="2175"/>
      <c r="P274" s="2175"/>
      <c r="Q274" s="2175"/>
      <c r="R274" s="2175"/>
      <c r="S274" s="2175"/>
      <c r="T274" s="2175">
        <v>271</v>
      </c>
      <c r="U274" s="2175"/>
      <c r="V274" s="2175"/>
      <c r="W274" s="2175"/>
      <c r="X274" s="2175"/>
      <c r="Y274" s="2175"/>
      <c r="Z274" s="2175"/>
      <c r="AA274" s="2175"/>
      <c r="AB274" s="2175"/>
      <c r="AC274" s="2175"/>
      <c r="AD274" s="2175"/>
      <c r="AE274" s="2175"/>
      <c r="AF274" s="2175"/>
      <c r="AG274" s="2175"/>
      <c r="AH274" s="2175"/>
      <c r="AI274" s="2175"/>
      <c r="AJ274" s="2175"/>
      <c r="AK274" s="2175"/>
      <c r="AL274" s="2175"/>
      <c r="AM274" s="2175"/>
      <c r="AN274" s="2175"/>
      <c r="AO274" s="2375"/>
      <c r="AP274" s="2175"/>
      <c r="AQ274" s="2175"/>
      <c r="AR274" s="2175"/>
      <c r="AS274" s="2375"/>
      <c r="AT274" s="2175"/>
      <c r="AU274" s="2175"/>
      <c r="AV274" s="2175"/>
      <c r="AW274" s="2376"/>
      <c r="AX274" s="2177"/>
      <c r="AY274" s="2177"/>
      <c r="AZ274" s="2177"/>
      <c r="BA274" s="2174"/>
      <c r="BB274" s="2174"/>
      <c r="BC274" s="2174"/>
      <c r="BD274" s="2174"/>
      <c r="BE274" s="2174"/>
      <c r="BF274" s="2174"/>
      <c r="BG274" s="2174"/>
      <c r="BH274" s="2174"/>
      <c r="BI274" s="2174"/>
      <c r="BJ274" s="2174"/>
      <c r="BK274" s="2174"/>
      <c r="BL274" s="2174"/>
      <c r="BM274" s="2174"/>
      <c r="BN274" s="2174"/>
      <c r="BO274" s="2174"/>
      <c r="BP274" s="2174"/>
      <c r="BQ274" s="2174"/>
      <c r="BR274" s="2174"/>
      <c r="BS274" s="2174"/>
      <c r="BT274" s="2174"/>
      <c r="BU274" s="2174"/>
      <c r="BV274" s="2174"/>
      <c r="BW274" s="2174"/>
      <c r="BX274" s="2174"/>
      <c r="BY274" s="2174"/>
      <c r="BZ274" s="2174"/>
      <c r="CA274" s="2174"/>
      <c r="CB274" s="2174"/>
      <c r="CC274" s="2174"/>
      <c r="CD274" s="2174"/>
      <c r="CE274" s="2174"/>
      <c r="CF274" s="2174"/>
      <c r="CG274" s="2174"/>
      <c r="CH274" s="2174"/>
      <c r="CI274" s="2174"/>
      <c r="CJ274" s="2174"/>
      <c r="CK274" s="2174"/>
      <c r="CL274" s="2174"/>
      <c r="CM274" s="2174"/>
      <c r="CN274" s="2174"/>
      <c r="CO274" s="2174"/>
      <c r="CP274" s="2174"/>
      <c r="CQ274" s="2174"/>
      <c r="CR274" s="2174"/>
      <c r="CS274" s="2174"/>
      <c r="CT274" s="2174"/>
      <c r="CU274" s="2174"/>
      <c r="CV274" s="2174"/>
      <c r="CW274" s="2174"/>
      <c r="CX274" s="2174"/>
      <c r="CY274" s="2174"/>
      <c r="CZ274" s="2174"/>
    </row>
    <row r="275" spans="1:104">
      <c r="A275" s="2174"/>
      <c r="B275" s="2240"/>
      <c r="C275" s="2256"/>
      <c r="D275" s="2256"/>
      <c r="E275" s="2256"/>
      <c r="F275" s="2256">
        <v>3039</v>
      </c>
      <c r="G275" s="2256">
        <v>4059</v>
      </c>
      <c r="H275" s="2256">
        <v>5306</v>
      </c>
      <c r="I275" s="2256">
        <v>5785</v>
      </c>
      <c r="J275" s="2371">
        <f>J233</f>
        <v>5478</v>
      </c>
      <c r="K275" s="2370">
        <f>K233</f>
        <v>5195</v>
      </c>
      <c r="L275" s="2453">
        <f>L233</f>
        <v>5971</v>
      </c>
      <c r="M275" s="2175"/>
      <c r="N275" s="2175"/>
      <c r="O275" s="2175"/>
      <c r="P275" s="2175"/>
      <c r="Q275" s="2175"/>
      <c r="R275" s="2175"/>
      <c r="S275" s="2175"/>
      <c r="T275" s="2175">
        <v>272</v>
      </c>
      <c r="U275" s="2175"/>
      <c r="V275" s="2175"/>
      <c r="W275" s="2175"/>
      <c r="X275" s="2175"/>
      <c r="Y275" s="2175"/>
      <c r="Z275" s="2175"/>
      <c r="AA275" s="2175"/>
      <c r="AB275" s="2175"/>
      <c r="AC275" s="2175"/>
      <c r="AD275" s="2175"/>
      <c r="AE275" s="2175"/>
      <c r="AF275" s="2175"/>
      <c r="AG275" s="2175"/>
      <c r="AH275" s="2175"/>
      <c r="AI275" s="2175"/>
      <c r="AJ275" s="2175"/>
      <c r="AK275" s="2175"/>
      <c r="AL275" s="2175"/>
      <c r="AM275" s="2175"/>
      <c r="AN275" s="2175"/>
      <c r="AO275" s="2375"/>
      <c r="AP275" s="2175"/>
      <c r="AQ275" s="2175"/>
      <c r="AR275" s="2175"/>
      <c r="AS275" s="2375"/>
      <c r="AT275" s="2175"/>
      <c r="AU275" s="2175"/>
      <c r="AV275" s="2175"/>
      <c r="AW275" s="2376"/>
      <c r="AX275" s="2177"/>
      <c r="AY275" s="2177"/>
      <c r="AZ275" s="2177"/>
      <c r="BA275" s="2174"/>
      <c r="BB275" s="2174"/>
      <c r="BC275" s="2174"/>
      <c r="BD275" s="2174"/>
      <c r="BE275" s="2174"/>
      <c r="BF275" s="2174"/>
      <c r="BG275" s="2174"/>
      <c r="BH275" s="2174"/>
      <c r="BI275" s="2174"/>
      <c r="BJ275" s="2174"/>
      <c r="BK275" s="2174"/>
      <c r="BL275" s="2174"/>
      <c r="BM275" s="2174"/>
      <c r="BN275" s="2174"/>
      <c r="BO275" s="2174"/>
      <c r="BP275" s="2174"/>
      <c r="BQ275" s="2174"/>
      <c r="BR275" s="2174"/>
      <c r="BS275" s="2174"/>
      <c r="BT275" s="2174"/>
      <c r="BU275" s="2174"/>
      <c r="BV275" s="2174"/>
      <c r="BW275" s="2174"/>
      <c r="BX275" s="2174"/>
      <c r="BY275" s="2174"/>
      <c r="BZ275" s="2174"/>
      <c r="CA275" s="2174"/>
      <c r="CB275" s="2174"/>
      <c r="CC275" s="2174"/>
      <c r="CD275" s="2174"/>
      <c r="CE275" s="2174"/>
      <c r="CF275" s="2174"/>
      <c r="CG275" s="2174"/>
      <c r="CH275" s="2174"/>
      <c r="CI275" s="2174"/>
      <c r="CJ275" s="2174"/>
      <c r="CK275" s="2174"/>
      <c r="CL275" s="2174"/>
      <c r="CM275" s="2174"/>
      <c r="CN275" s="2174"/>
      <c r="CO275" s="2174"/>
      <c r="CP275" s="2174"/>
      <c r="CQ275" s="2174"/>
      <c r="CR275" s="2174"/>
      <c r="CS275" s="2174"/>
      <c r="CT275" s="2174"/>
      <c r="CU275" s="2174"/>
      <c r="CV275" s="2174"/>
      <c r="CW275" s="2174"/>
      <c r="CX275" s="2174"/>
      <c r="CY275" s="2174"/>
      <c r="CZ275" s="2174"/>
    </row>
    <row r="276" spans="1:104">
      <c r="A276" s="2174"/>
      <c r="B276" s="2240"/>
      <c r="C276" s="2256"/>
      <c r="D276" s="2256"/>
      <c r="E276" s="2256"/>
      <c r="F276" s="2634">
        <f>F274/F275</f>
        <v>0.12308917407041789</v>
      </c>
      <c r="G276" s="2634">
        <f>G274/G275</f>
        <v>0.13145947277654596</v>
      </c>
      <c r="H276" s="2634">
        <f>H274/H275</f>
        <v>0.12888088955898983</v>
      </c>
      <c r="I276" s="2634">
        <f>I274/I275</f>
        <v>9.3908383751080377E-2</v>
      </c>
      <c r="J276" s="2371">
        <f>J107</f>
        <v>1698</v>
      </c>
      <c r="K276" s="2296"/>
      <c r="L276" s="2175"/>
      <c r="M276" s="2175"/>
      <c r="N276" s="2175"/>
      <c r="O276" s="2175"/>
      <c r="P276" s="2175"/>
      <c r="Q276" s="2175"/>
      <c r="R276" s="2175"/>
      <c r="S276" s="2175"/>
      <c r="T276" s="2175">
        <v>273</v>
      </c>
      <c r="U276" s="2175"/>
      <c r="V276" s="2175"/>
      <c r="W276" s="2175"/>
      <c r="X276" s="2175"/>
      <c r="Y276" s="2175"/>
      <c r="Z276" s="2175"/>
      <c r="AA276" s="2175"/>
      <c r="AB276" s="2175"/>
      <c r="AC276" s="2175"/>
      <c r="AD276" s="2175"/>
      <c r="AE276" s="2175"/>
      <c r="AF276" s="2175"/>
      <c r="AG276" s="2175"/>
      <c r="AH276" s="2175"/>
      <c r="AI276" s="2175"/>
      <c r="AJ276" s="2175"/>
      <c r="AK276" s="2175"/>
      <c r="AL276" s="2175"/>
      <c r="AM276" s="2175"/>
      <c r="AN276" s="2175"/>
      <c r="AO276" s="2375"/>
      <c r="AP276" s="2175"/>
      <c r="AQ276" s="2175"/>
      <c r="AR276" s="2175"/>
      <c r="AS276" s="2375"/>
      <c r="AT276" s="2175"/>
      <c r="AU276" s="2175"/>
      <c r="AV276" s="2175"/>
      <c r="AW276" s="2376"/>
      <c r="AX276" s="2177"/>
      <c r="AY276" s="2177"/>
      <c r="AZ276" s="2177"/>
      <c r="BA276" s="2174"/>
      <c r="BB276" s="2174"/>
      <c r="BC276" s="2174"/>
      <c r="BD276" s="2174"/>
      <c r="BE276" s="2174"/>
      <c r="BF276" s="2174"/>
      <c r="BG276" s="2174"/>
      <c r="BH276" s="2174"/>
      <c r="BI276" s="2174"/>
      <c r="BJ276" s="2174"/>
      <c r="BK276" s="2174"/>
      <c r="BL276" s="2174"/>
      <c r="BM276" s="2174"/>
      <c r="BN276" s="2174"/>
      <c r="BO276" s="2174"/>
      <c r="BP276" s="2174"/>
      <c r="BQ276" s="2174"/>
      <c r="BR276" s="2174"/>
      <c r="BS276" s="2174"/>
      <c r="BT276" s="2174"/>
      <c r="BU276" s="2174"/>
      <c r="BV276" s="2174"/>
      <c r="BW276" s="2174"/>
      <c r="BX276" s="2174"/>
      <c r="BY276" s="2174"/>
      <c r="BZ276" s="2174"/>
      <c r="CA276" s="2174"/>
      <c r="CB276" s="2174"/>
      <c r="CC276" s="2174"/>
      <c r="CD276" s="2174"/>
      <c r="CE276" s="2174"/>
      <c r="CF276" s="2174"/>
      <c r="CG276" s="2174"/>
      <c r="CH276" s="2174"/>
      <c r="CI276" s="2174"/>
      <c r="CJ276" s="2174"/>
      <c r="CK276" s="2174"/>
      <c r="CL276" s="2174"/>
      <c r="CM276" s="2174"/>
      <c r="CN276" s="2174"/>
      <c r="CO276" s="2174"/>
      <c r="CP276" s="2174"/>
      <c r="CQ276" s="2174"/>
      <c r="CR276" s="2174"/>
      <c r="CS276" s="2174"/>
      <c r="CT276" s="2174"/>
      <c r="CU276" s="2174"/>
      <c r="CV276" s="2174"/>
      <c r="CW276" s="2174"/>
      <c r="CX276" s="2174"/>
      <c r="CY276" s="2174"/>
      <c r="CZ276" s="2174"/>
    </row>
    <row r="277" spans="1:104">
      <c r="A277" s="2174"/>
      <c r="B277" s="2240"/>
      <c r="C277" s="2256"/>
      <c r="D277" s="2256"/>
      <c r="E277" s="2256"/>
      <c r="F277" s="2256"/>
      <c r="G277" s="2207">
        <f>F276/$I$276-1</f>
        <v>0.31073679637257956</v>
      </c>
      <c r="H277" s="2207">
        <f>G276/$I$276-1</f>
        <v>0.39986939957353451</v>
      </c>
      <c r="I277" s="2207">
        <f>H276/$I$276-1</f>
        <v>0.37241090103956886</v>
      </c>
      <c r="J277" s="2246">
        <f>H276*J276*2.5</f>
        <v>547.09937617791184</v>
      </c>
      <c r="K277" s="2296"/>
      <c r="L277" s="2175"/>
      <c r="M277" s="2175"/>
      <c r="N277" s="2175"/>
      <c r="O277" s="2175"/>
      <c r="P277" s="2175"/>
      <c r="Q277" s="2175"/>
      <c r="R277" s="2175"/>
      <c r="S277" s="2175"/>
      <c r="T277" s="2175">
        <v>274</v>
      </c>
      <c r="U277" s="2175"/>
      <c r="V277" s="2175"/>
      <c r="W277" s="2175"/>
      <c r="X277" s="2175"/>
      <c r="Y277" s="2175"/>
      <c r="Z277" s="2175"/>
      <c r="AA277" s="2175"/>
      <c r="AB277" s="2175"/>
      <c r="AC277" s="2175"/>
      <c r="AD277" s="2175"/>
      <c r="AE277" s="2175"/>
      <c r="AF277" s="2175"/>
      <c r="AG277" s="2175"/>
      <c r="AH277" s="2175"/>
      <c r="AI277" s="2175"/>
      <c r="AJ277" s="2175"/>
      <c r="AK277" s="2175"/>
      <c r="AL277" s="2175"/>
      <c r="AM277" s="2175"/>
      <c r="AN277" s="2175"/>
      <c r="AO277" s="2375"/>
      <c r="AP277" s="2175"/>
      <c r="AQ277" s="2175"/>
      <c r="AR277" s="2175"/>
      <c r="AS277" s="2375"/>
      <c r="AT277" s="2175"/>
      <c r="AU277" s="2175"/>
      <c r="AV277" s="2175"/>
      <c r="AW277" s="2376"/>
      <c r="AX277" s="2177"/>
      <c r="AY277" s="2177"/>
      <c r="AZ277" s="2177"/>
      <c r="BA277" s="2174"/>
      <c r="BB277" s="2174"/>
      <c r="BC277" s="2174"/>
      <c r="BD277" s="2174"/>
      <c r="BE277" s="2174"/>
      <c r="BF277" s="2174"/>
      <c r="BG277" s="2174"/>
      <c r="BH277" s="2174"/>
      <c r="BI277" s="2174"/>
      <c r="BJ277" s="2174"/>
      <c r="BK277" s="2174"/>
      <c r="BL277" s="2174"/>
      <c r="BM277" s="2174"/>
      <c r="BN277" s="2174"/>
      <c r="BO277" s="2174"/>
      <c r="BP277" s="2174"/>
      <c r="BQ277" s="2174"/>
      <c r="BR277" s="2174"/>
      <c r="BS277" s="2174"/>
      <c r="BT277" s="2174"/>
      <c r="BU277" s="2174"/>
      <c r="BV277" s="2174"/>
      <c r="BW277" s="2174"/>
      <c r="BX277" s="2174"/>
      <c r="BY277" s="2174"/>
      <c r="BZ277" s="2174"/>
      <c r="CA277" s="2174"/>
      <c r="CB277" s="2174"/>
      <c r="CC277" s="2174"/>
      <c r="CD277" s="2174"/>
      <c r="CE277" s="2174"/>
      <c r="CF277" s="2174"/>
      <c r="CG277" s="2174"/>
      <c r="CH277" s="2174"/>
      <c r="CI277" s="2174"/>
      <c r="CJ277" s="2174"/>
      <c r="CK277" s="2174"/>
      <c r="CL277" s="2174"/>
      <c r="CM277" s="2174"/>
      <c r="CN277" s="2174"/>
      <c r="CO277" s="2174"/>
      <c r="CP277" s="2174"/>
      <c r="CQ277" s="2174"/>
      <c r="CR277" s="2174"/>
      <c r="CS277" s="2174"/>
      <c r="CT277" s="2174"/>
      <c r="CU277" s="2174"/>
      <c r="CV277" s="2174"/>
      <c r="CW277" s="2174"/>
      <c r="CX277" s="2174"/>
      <c r="CY277" s="2174"/>
      <c r="CZ277" s="2174"/>
    </row>
    <row r="278" spans="1:104">
      <c r="A278" s="2174"/>
      <c r="B278" s="2240"/>
      <c r="C278" s="2256"/>
      <c r="D278" s="2256"/>
      <c r="E278" s="2256"/>
      <c r="F278" s="2256"/>
      <c r="G278" s="2256"/>
      <c r="H278" s="2256"/>
      <c r="I278" s="2256"/>
      <c r="J278" s="2634">
        <f>1155751*21300/10^9</f>
        <v>24.617496299999999</v>
      </c>
      <c r="K278" s="2296"/>
      <c r="L278" s="2175"/>
      <c r="M278" s="2175"/>
      <c r="N278" s="2175"/>
      <c r="O278" s="2175"/>
      <c r="P278" s="2175"/>
      <c r="Q278" s="2175"/>
      <c r="R278" s="2175"/>
      <c r="S278" s="2175"/>
      <c r="T278" s="2175">
        <v>275</v>
      </c>
      <c r="U278" s="2175"/>
      <c r="V278" s="2175"/>
      <c r="W278" s="2175"/>
      <c r="X278" s="2175"/>
      <c r="Y278" s="2175"/>
      <c r="Z278" s="2175"/>
      <c r="AA278" s="2175"/>
      <c r="AB278" s="2175"/>
      <c r="AC278" s="2175"/>
      <c r="AD278" s="2175"/>
      <c r="AE278" s="2175"/>
      <c r="AF278" s="2175"/>
      <c r="AG278" s="2175"/>
      <c r="AH278" s="2175"/>
      <c r="AI278" s="2175"/>
      <c r="AJ278" s="2175"/>
      <c r="AK278" s="2175"/>
      <c r="AL278" s="2175"/>
      <c r="AM278" s="2175"/>
      <c r="AN278" s="2175"/>
      <c r="AO278" s="2375"/>
      <c r="AP278" s="2175"/>
      <c r="AQ278" s="2175"/>
      <c r="AR278" s="2175"/>
      <c r="AS278" s="2375"/>
      <c r="AT278" s="2175"/>
      <c r="AU278" s="2175"/>
      <c r="AV278" s="2175"/>
      <c r="AW278" s="2376"/>
      <c r="AX278" s="2177"/>
      <c r="AY278" s="2177"/>
      <c r="AZ278" s="2177"/>
      <c r="BA278" s="2174"/>
      <c r="BB278" s="2174"/>
      <c r="BC278" s="2174"/>
      <c r="BD278" s="2174"/>
      <c r="BE278" s="2174"/>
      <c r="BF278" s="2174"/>
      <c r="BG278" s="2174"/>
      <c r="BH278" s="2174"/>
      <c r="BI278" s="2174"/>
      <c r="BJ278" s="2174"/>
      <c r="BK278" s="2174"/>
      <c r="BL278" s="2174"/>
      <c r="BM278" s="2174"/>
      <c r="BN278" s="2174"/>
      <c r="BO278" s="2174"/>
      <c r="BP278" s="2174"/>
      <c r="BQ278" s="2174"/>
      <c r="BR278" s="2174"/>
      <c r="BS278" s="2174"/>
      <c r="BT278" s="2174"/>
      <c r="BU278" s="2174"/>
      <c r="BV278" s="2174"/>
      <c r="BW278" s="2174"/>
      <c r="BX278" s="2174"/>
      <c r="BY278" s="2174"/>
      <c r="BZ278" s="2174"/>
      <c r="CA278" s="2174"/>
      <c r="CB278" s="2174"/>
      <c r="CC278" s="2174"/>
      <c r="CD278" s="2174"/>
      <c r="CE278" s="2174"/>
      <c r="CF278" s="2174"/>
      <c r="CG278" s="2174"/>
      <c r="CH278" s="2174"/>
      <c r="CI278" s="2174"/>
      <c r="CJ278" s="2174"/>
      <c r="CK278" s="2174"/>
      <c r="CL278" s="2174"/>
      <c r="CM278" s="2174"/>
      <c r="CN278" s="2174"/>
      <c r="CO278" s="2174"/>
      <c r="CP278" s="2174"/>
      <c r="CQ278" s="2174"/>
      <c r="CR278" s="2174"/>
      <c r="CS278" s="2174"/>
      <c r="CT278" s="2174"/>
      <c r="CU278" s="2174"/>
      <c r="CV278" s="2174"/>
      <c r="CW278" s="2174"/>
      <c r="CX278" s="2174"/>
      <c r="CY278" s="2174"/>
      <c r="CZ278" s="2174"/>
    </row>
    <row r="279" spans="1:104">
      <c r="A279" s="2174"/>
      <c r="B279" s="2240"/>
      <c r="C279" s="2256"/>
      <c r="D279" s="2256"/>
      <c r="E279" s="2256"/>
      <c r="F279" s="2256"/>
      <c r="G279" s="2256"/>
      <c r="H279" s="2256"/>
      <c r="I279" s="2256"/>
      <c r="J279" s="2256"/>
      <c r="K279" s="2296"/>
      <c r="L279" s="2175"/>
      <c r="M279" s="2175"/>
      <c r="N279" s="2175"/>
      <c r="O279" s="2175"/>
      <c r="P279" s="2175"/>
      <c r="Q279" s="2175"/>
      <c r="R279" s="2175"/>
      <c r="S279" s="2175"/>
      <c r="T279" s="2175">
        <v>276</v>
      </c>
      <c r="U279" s="2175"/>
      <c r="V279" s="2175"/>
      <c r="W279" s="2175"/>
      <c r="X279" s="2175"/>
      <c r="Y279" s="2175"/>
      <c r="Z279" s="2175"/>
      <c r="AA279" s="2175"/>
      <c r="AB279" s="2175"/>
      <c r="AC279" s="2175"/>
      <c r="AD279" s="2175"/>
      <c r="AE279" s="2175"/>
      <c r="AF279" s="2175"/>
      <c r="AG279" s="2175"/>
      <c r="AH279" s="2175"/>
      <c r="AI279" s="2175"/>
      <c r="AJ279" s="2175"/>
      <c r="AK279" s="2175"/>
      <c r="AL279" s="2175"/>
      <c r="AM279" s="2175"/>
      <c r="AN279" s="2175"/>
      <c r="AO279" s="2375"/>
      <c r="AP279" s="2175"/>
      <c r="AQ279" s="2175"/>
      <c r="AR279" s="2175"/>
      <c r="AS279" s="2375"/>
      <c r="AT279" s="2175"/>
      <c r="AU279" s="2175"/>
      <c r="AV279" s="2175"/>
      <c r="AW279" s="2376"/>
      <c r="AX279" s="2177"/>
      <c r="AY279" s="2177"/>
      <c r="AZ279" s="2177"/>
      <c r="BA279" s="2174"/>
      <c r="BB279" s="2174"/>
      <c r="BC279" s="2174"/>
      <c r="BD279" s="2174"/>
      <c r="BE279" s="2174"/>
      <c r="BF279" s="2174"/>
      <c r="BG279" s="2174"/>
      <c r="BH279" s="2174"/>
      <c r="BI279" s="2174"/>
      <c r="BJ279" s="2174"/>
      <c r="BK279" s="2174"/>
      <c r="BL279" s="2174"/>
      <c r="BM279" s="2174"/>
      <c r="BN279" s="2174"/>
      <c r="BO279" s="2174"/>
      <c r="BP279" s="2174"/>
      <c r="BQ279" s="2174"/>
      <c r="BR279" s="2174"/>
      <c r="BS279" s="2174"/>
      <c r="BT279" s="2174"/>
      <c r="BU279" s="2174"/>
      <c r="BV279" s="2174"/>
      <c r="BW279" s="2174"/>
      <c r="BX279" s="2174"/>
      <c r="BY279" s="2174"/>
      <c r="BZ279" s="2174"/>
      <c r="CA279" s="2174"/>
      <c r="CB279" s="2174"/>
      <c r="CC279" s="2174"/>
      <c r="CD279" s="2174"/>
      <c r="CE279" s="2174"/>
      <c r="CF279" s="2174"/>
      <c r="CG279" s="2174"/>
      <c r="CH279" s="2174"/>
      <c r="CI279" s="2174"/>
      <c r="CJ279" s="2174"/>
      <c r="CK279" s="2174"/>
      <c r="CL279" s="2174"/>
      <c r="CM279" s="2174"/>
      <c r="CN279" s="2174"/>
      <c r="CO279" s="2174"/>
      <c r="CP279" s="2174"/>
      <c r="CQ279" s="2174"/>
      <c r="CR279" s="2174"/>
      <c r="CS279" s="2174"/>
      <c r="CT279" s="2174"/>
      <c r="CU279" s="2174"/>
      <c r="CV279" s="2174"/>
      <c r="CW279" s="2174"/>
      <c r="CX279" s="2174"/>
      <c r="CY279" s="2174"/>
      <c r="CZ279" s="2174"/>
    </row>
    <row r="280" spans="1:104">
      <c r="A280" s="2174"/>
      <c r="B280" s="2240"/>
      <c r="C280" s="2256"/>
      <c r="D280" s="2256"/>
      <c r="E280" s="2256"/>
      <c r="F280" s="2256"/>
      <c r="G280" s="2256"/>
      <c r="H280" s="2256"/>
      <c r="I280" s="2256"/>
      <c r="J280" s="2256"/>
      <c r="K280" s="2296"/>
      <c r="L280" s="2175"/>
      <c r="M280" s="2175"/>
      <c r="N280" s="2175"/>
      <c r="O280" s="2175"/>
      <c r="P280" s="2175"/>
      <c r="Q280" s="2175"/>
      <c r="R280" s="2175"/>
      <c r="S280" s="2175"/>
      <c r="T280" s="2175">
        <v>277</v>
      </c>
      <c r="U280" s="2175"/>
      <c r="V280" s="2175"/>
      <c r="W280" s="2175"/>
      <c r="X280" s="2175"/>
      <c r="Y280" s="2175"/>
      <c r="Z280" s="2175"/>
      <c r="AA280" s="2175"/>
      <c r="AB280" s="2175"/>
      <c r="AC280" s="2175"/>
      <c r="AD280" s="2175"/>
      <c r="AE280" s="2175"/>
      <c r="AF280" s="2175"/>
      <c r="AG280" s="2175"/>
      <c r="AH280" s="2175"/>
      <c r="AI280" s="2175"/>
      <c r="AJ280" s="2175"/>
      <c r="AK280" s="2175"/>
      <c r="AL280" s="2175"/>
      <c r="AM280" s="2175"/>
      <c r="AN280" s="2175"/>
      <c r="AO280" s="2375"/>
      <c r="AP280" s="2175"/>
      <c r="AQ280" s="2175"/>
      <c r="AR280" s="2175"/>
      <c r="AS280" s="2375"/>
      <c r="AT280" s="2175"/>
      <c r="AU280" s="2175"/>
      <c r="AV280" s="2175"/>
      <c r="AW280" s="2376"/>
      <c r="AX280" s="2177"/>
      <c r="AY280" s="2177"/>
      <c r="AZ280" s="2177"/>
      <c r="BA280" s="2174"/>
      <c r="BB280" s="2174"/>
      <c r="BC280" s="2174"/>
      <c r="BD280" s="2174"/>
      <c r="BE280" s="2174"/>
      <c r="BF280" s="2174"/>
      <c r="BG280" s="2174"/>
      <c r="BH280" s="2174"/>
      <c r="BI280" s="2174"/>
      <c r="BJ280" s="2174"/>
      <c r="BK280" s="2174"/>
      <c r="BL280" s="2174"/>
      <c r="BM280" s="2174"/>
      <c r="BN280" s="2174"/>
      <c r="BO280" s="2174"/>
      <c r="BP280" s="2174"/>
      <c r="BQ280" s="2174"/>
      <c r="BR280" s="2174"/>
      <c r="BS280" s="2174"/>
      <c r="BT280" s="2174"/>
      <c r="BU280" s="2174"/>
      <c r="BV280" s="2174"/>
      <c r="BW280" s="2174"/>
      <c r="BX280" s="2174"/>
      <c r="BY280" s="2174"/>
      <c r="BZ280" s="2174"/>
      <c r="CA280" s="2174"/>
      <c r="CB280" s="2174"/>
      <c r="CC280" s="2174"/>
      <c r="CD280" s="2174"/>
      <c r="CE280" s="2174"/>
      <c r="CF280" s="2174"/>
      <c r="CG280" s="2174"/>
      <c r="CH280" s="2174"/>
      <c r="CI280" s="2174"/>
      <c r="CJ280" s="2174"/>
      <c r="CK280" s="2174"/>
      <c r="CL280" s="2174"/>
      <c r="CM280" s="2174"/>
      <c r="CN280" s="2174"/>
      <c r="CO280" s="2174"/>
      <c r="CP280" s="2174"/>
      <c r="CQ280" s="2174"/>
      <c r="CR280" s="2174"/>
      <c r="CS280" s="2174"/>
      <c r="CT280" s="2174"/>
      <c r="CU280" s="2174"/>
      <c r="CV280" s="2174"/>
      <c r="CW280" s="2174"/>
      <c r="CX280" s="2174"/>
      <c r="CY280" s="2174"/>
      <c r="CZ280" s="2174"/>
    </row>
    <row r="281" spans="1:104">
      <c r="A281" s="2174"/>
      <c r="B281" s="2240"/>
      <c r="C281" s="2256"/>
      <c r="D281" s="2256"/>
      <c r="E281" s="2256"/>
      <c r="F281" s="2256"/>
      <c r="G281" s="2256"/>
      <c r="H281" s="2256"/>
      <c r="I281" s="2256"/>
      <c r="J281" s="2256"/>
      <c r="K281" s="2296"/>
      <c r="L281" s="2175"/>
      <c r="M281" s="2175"/>
      <c r="N281" s="2175"/>
      <c r="O281" s="2175"/>
      <c r="P281" s="2175"/>
      <c r="Q281" s="2175"/>
      <c r="R281" s="2175"/>
      <c r="S281" s="2175"/>
      <c r="T281" s="2175">
        <v>278</v>
      </c>
      <c r="U281" s="2175"/>
      <c r="V281" s="2175"/>
      <c r="W281" s="2175"/>
      <c r="X281" s="2175"/>
      <c r="Y281" s="2175"/>
      <c r="Z281" s="2175"/>
      <c r="AA281" s="2175"/>
      <c r="AB281" s="2175"/>
      <c r="AC281" s="2175"/>
      <c r="AD281" s="2175"/>
      <c r="AE281" s="2175"/>
      <c r="AF281" s="2175"/>
      <c r="AG281" s="2175"/>
      <c r="AH281" s="2175"/>
      <c r="AI281" s="2175"/>
      <c r="AJ281" s="2175"/>
      <c r="AK281" s="2175"/>
      <c r="AL281" s="2175"/>
      <c r="AM281" s="2175"/>
      <c r="AN281" s="2175"/>
      <c r="AO281" s="2375"/>
      <c r="AP281" s="2175"/>
      <c r="AQ281" s="2175"/>
      <c r="AR281" s="2175"/>
      <c r="AS281" s="2375"/>
      <c r="AT281" s="2175"/>
      <c r="AU281" s="2175"/>
      <c r="AV281" s="2175"/>
      <c r="AW281" s="2376"/>
      <c r="AX281" s="2177"/>
      <c r="AY281" s="2177"/>
      <c r="AZ281" s="2177"/>
      <c r="BA281" s="2174"/>
      <c r="BB281" s="2174"/>
      <c r="BC281" s="2174"/>
      <c r="BD281" s="2174"/>
      <c r="BE281" s="2174"/>
      <c r="BF281" s="2174"/>
      <c r="BG281" s="2174"/>
      <c r="BH281" s="2174"/>
      <c r="BI281" s="2174"/>
      <c r="BJ281" s="2174"/>
      <c r="BK281" s="2174"/>
      <c r="BL281" s="2174"/>
      <c r="BM281" s="2174"/>
      <c r="BN281" s="2174"/>
      <c r="BO281" s="2174"/>
      <c r="BP281" s="2174"/>
      <c r="BQ281" s="2174"/>
      <c r="BR281" s="2174"/>
      <c r="BS281" s="2174"/>
      <c r="BT281" s="2174"/>
      <c r="BU281" s="2174"/>
      <c r="BV281" s="2174"/>
      <c r="BW281" s="2174"/>
      <c r="BX281" s="2174"/>
      <c r="BY281" s="2174"/>
      <c r="BZ281" s="2174"/>
      <c r="CA281" s="2174"/>
      <c r="CB281" s="2174"/>
      <c r="CC281" s="2174"/>
      <c r="CD281" s="2174"/>
      <c r="CE281" s="2174"/>
      <c r="CF281" s="2174"/>
      <c r="CG281" s="2174"/>
      <c r="CH281" s="2174"/>
      <c r="CI281" s="2174"/>
      <c r="CJ281" s="2174"/>
      <c r="CK281" s="2174"/>
      <c r="CL281" s="2174"/>
      <c r="CM281" s="2174"/>
      <c r="CN281" s="2174"/>
      <c r="CO281" s="2174"/>
      <c r="CP281" s="2174"/>
      <c r="CQ281" s="2174"/>
      <c r="CR281" s="2174"/>
      <c r="CS281" s="2174"/>
      <c r="CT281" s="2174"/>
      <c r="CU281" s="2174"/>
      <c r="CV281" s="2174"/>
      <c r="CW281" s="2174"/>
      <c r="CX281" s="2174"/>
      <c r="CY281" s="2174"/>
      <c r="CZ281" s="2174"/>
    </row>
    <row r="282" spans="1:104">
      <c r="A282" s="2174"/>
      <c r="B282" s="2240"/>
      <c r="C282" s="2256"/>
      <c r="D282" s="2256"/>
      <c r="E282" s="2256"/>
      <c r="F282" s="2256"/>
      <c r="G282" s="2256"/>
      <c r="H282" s="2256"/>
      <c r="I282" s="2256"/>
      <c r="J282" s="2256"/>
      <c r="K282" s="2296"/>
      <c r="L282" s="2175"/>
      <c r="M282" s="2175"/>
      <c r="N282" s="2175"/>
      <c r="O282" s="2175"/>
      <c r="P282" s="2175"/>
      <c r="Q282" s="2175"/>
      <c r="R282" s="2175"/>
      <c r="S282" s="2175"/>
      <c r="T282" s="2175">
        <v>279</v>
      </c>
      <c r="U282" s="2175"/>
      <c r="V282" s="2175"/>
      <c r="W282" s="2175"/>
      <c r="X282" s="2175"/>
      <c r="Y282" s="2175"/>
      <c r="Z282" s="2175"/>
      <c r="AA282" s="2175"/>
      <c r="AB282" s="2175"/>
      <c r="AC282" s="2175"/>
      <c r="AD282" s="2175"/>
      <c r="AE282" s="2175"/>
      <c r="AF282" s="2175"/>
      <c r="AG282" s="2175"/>
      <c r="AH282" s="2175"/>
      <c r="AI282" s="2175"/>
      <c r="AJ282" s="2175"/>
      <c r="AK282" s="2175"/>
      <c r="AL282" s="2175"/>
      <c r="AM282" s="2175"/>
      <c r="AN282" s="2175"/>
      <c r="AO282" s="2375"/>
      <c r="AP282" s="2175"/>
      <c r="AQ282" s="2175"/>
      <c r="AR282" s="2175"/>
      <c r="AS282" s="2375"/>
      <c r="AT282" s="2175"/>
      <c r="AU282" s="2175"/>
      <c r="AV282" s="2175"/>
      <c r="AW282" s="2376"/>
      <c r="AX282" s="2177"/>
      <c r="AY282" s="2177"/>
      <c r="AZ282" s="2177"/>
      <c r="BA282" s="2174"/>
      <c r="BB282" s="2174"/>
      <c r="BC282" s="2174"/>
      <c r="BD282" s="2174"/>
      <c r="BE282" s="2174"/>
      <c r="BF282" s="2174"/>
      <c r="BG282" s="2174"/>
      <c r="BH282" s="2174"/>
      <c r="BI282" s="2174"/>
      <c r="BJ282" s="2174"/>
      <c r="BK282" s="2174"/>
      <c r="BL282" s="2174"/>
      <c r="BM282" s="2174"/>
      <c r="BN282" s="2174"/>
      <c r="BO282" s="2174"/>
      <c r="BP282" s="2174"/>
      <c r="BQ282" s="2174"/>
      <c r="BR282" s="2174"/>
      <c r="BS282" s="2174"/>
      <c r="BT282" s="2174"/>
      <c r="BU282" s="2174"/>
      <c r="BV282" s="2174"/>
      <c r="BW282" s="2174"/>
      <c r="BX282" s="2174"/>
      <c r="BY282" s="2174"/>
      <c r="BZ282" s="2174"/>
      <c r="CA282" s="2174"/>
      <c r="CB282" s="2174"/>
      <c r="CC282" s="2174"/>
      <c r="CD282" s="2174"/>
      <c r="CE282" s="2174"/>
      <c r="CF282" s="2174"/>
      <c r="CG282" s="2174"/>
      <c r="CH282" s="2174"/>
      <c r="CI282" s="2174"/>
      <c r="CJ282" s="2174"/>
      <c r="CK282" s="2174"/>
      <c r="CL282" s="2174"/>
      <c r="CM282" s="2174"/>
      <c r="CN282" s="2174"/>
      <c r="CO282" s="2174"/>
      <c r="CP282" s="2174"/>
      <c r="CQ282" s="2174"/>
      <c r="CR282" s="2174"/>
      <c r="CS282" s="2174"/>
      <c r="CT282" s="2174"/>
      <c r="CU282" s="2174"/>
      <c r="CV282" s="2174"/>
      <c r="CW282" s="2174"/>
      <c r="CX282" s="2174"/>
      <c r="CY282" s="2174"/>
      <c r="CZ282" s="2174"/>
    </row>
    <row r="283" spans="1:104">
      <c r="A283" s="2174"/>
      <c r="B283" s="2240"/>
      <c r="C283" s="2256"/>
      <c r="D283" s="2256"/>
      <c r="E283" s="2256"/>
      <c r="F283" s="2256"/>
      <c r="G283" s="2256"/>
      <c r="H283" s="2256"/>
      <c r="I283" s="2256"/>
      <c r="J283" s="2256"/>
      <c r="K283" s="2296"/>
      <c r="L283" s="2175"/>
      <c r="M283" s="2175"/>
      <c r="N283" s="2175"/>
      <c r="O283" s="2175"/>
      <c r="P283" s="2175"/>
      <c r="Q283" s="2175"/>
      <c r="R283" s="2175"/>
      <c r="S283" s="2175"/>
      <c r="T283" s="2175">
        <v>280</v>
      </c>
      <c r="U283" s="2175"/>
      <c r="V283" s="2175"/>
      <c r="W283" s="2175"/>
      <c r="X283" s="2175"/>
      <c r="Y283" s="2175"/>
      <c r="Z283" s="2175"/>
      <c r="AA283" s="2175"/>
      <c r="AB283" s="2175"/>
      <c r="AC283" s="2175"/>
      <c r="AD283" s="2175"/>
      <c r="AE283" s="2175"/>
      <c r="AF283" s="2175"/>
      <c r="AG283" s="2175"/>
      <c r="AH283" s="2175"/>
      <c r="AI283" s="2175"/>
      <c r="AJ283" s="2175"/>
      <c r="AK283" s="2175"/>
      <c r="AL283" s="2175"/>
      <c r="AM283" s="2175"/>
      <c r="AN283" s="2175"/>
      <c r="AO283" s="2375"/>
      <c r="AP283" s="2175"/>
      <c r="AQ283" s="2175"/>
      <c r="AR283" s="2175"/>
      <c r="AS283" s="2375"/>
      <c r="AT283" s="2175"/>
      <c r="AU283" s="2175"/>
      <c r="AV283" s="2175"/>
      <c r="AW283" s="2376"/>
      <c r="AX283" s="2177"/>
      <c r="AY283" s="2177"/>
      <c r="AZ283" s="2177"/>
      <c r="BA283" s="2174"/>
      <c r="BB283" s="2174"/>
      <c r="BC283" s="2174"/>
      <c r="BD283" s="2174"/>
      <c r="BE283" s="2174"/>
      <c r="BF283" s="2174"/>
      <c r="BG283" s="2174"/>
      <c r="BH283" s="2174"/>
      <c r="BI283" s="2174"/>
      <c r="BJ283" s="2174"/>
      <c r="BK283" s="2174"/>
      <c r="BL283" s="2174"/>
      <c r="BM283" s="2174"/>
      <c r="BN283" s="2174"/>
      <c r="BO283" s="2174"/>
      <c r="BP283" s="2174"/>
      <c r="BQ283" s="2174"/>
      <c r="BR283" s="2174"/>
      <c r="BS283" s="2174"/>
      <c r="BT283" s="2174"/>
      <c r="BU283" s="2174"/>
      <c r="BV283" s="2174"/>
      <c r="BW283" s="2174"/>
      <c r="BX283" s="2174"/>
      <c r="BY283" s="2174"/>
      <c r="BZ283" s="2174"/>
      <c r="CA283" s="2174"/>
      <c r="CB283" s="2174"/>
      <c r="CC283" s="2174"/>
      <c r="CD283" s="2174"/>
      <c r="CE283" s="2174"/>
      <c r="CF283" s="2174"/>
      <c r="CG283" s="2174"/>
      <c r="CH283" s="2174"/>
      <c r="CI283" s="2174"/>
      <c r="CJ283" s="2174"/>
      <c r="CK283" s="2174"/>
      <c r="CL283" s="2174"/>
      <c r="CM283" s="2174"/>
      <c r="CN283" s="2174"/>
      <c r="CO283" s="2174"/>
      <c r="CP283" s="2174"/>
      <c r="CQ283" s="2174"/>
      <c r="CR283" s="2174"/>
      <c r="CS283" s="2174"/>
      <c r="CT283" s="2174"/>
      <c r="CU283" s="2174"/>
      <c r="CV283" s="2174"/>
      <c r="CW283" s="2174"/>
      <c r="CX283" s="2174"/>
      <c r="CY283" s="2174"/>
      <c r="CZ283" s="2174"/>
    </row>
    <row r="284" spans="1:104">
      <c r="A284" s="2174"/>
      <c r="B284" s="2240"/>
      <c r="C284" s="2256"/>
      <c r="D284" s="2256"/>
      <c r="E284" s="2256"/>
      <c r="F284" s="2256"/>
      <c r="G284" s="2256"/>
      <c r="H284" s="2256"/>
      <c r="I284" s="2256"/>
      <c r="J284" s="2256"/>
      <c r="K284" s="2296"/>
      <c r="L284" s="2175"/>
      <c r="M284" s="2175"/>
      <c r="N284" s="2175"/>
      <c r="O284" s="2175"/>
      <c r="P284" s="2175"/>
      <c r="Q284" s="2175"/>
      <c r="R284" s="2175"/>
      <c r="S284" s="2175"/>
      <c r="T284" s="2175">
        <v>281</v>
      </c>
      <c r="U284" s="2175"/>
      <c r="V284" s="2175"/>
      <c r="W284" s="2175"/>
      <c r="X284" s="2175"/>
      <c r="Y284" s="2175"/>
      <c r="Z284" s="2175"/>
      <c r="AA284" s="2175"/>
      <c r="AB284" s="2175"/>
      <c r="AC284" s="2175"/>
      <c r="AD284" s="2175"/>
      <c r="AE284" s="2175"/>
      <c r="AF284" s="2175"/>
      <c r="AG284" s="2175"/>
      <c r="AH284" s="2175"/>
      <c r="AI284" s="2175"/>
      <c r="AJ284" s="2175"/>
      <c r="AK284" s="2175"/>
      <c r="AL284" s="2175"/>
      <c r="AM284" s="2175"/>
      <c r="AN284" s="2175"/>
      <c r="AO284" s="2375"/>
      <c r="AP284" s="2175"/>
      <c r="AQ284" s="2175"/>
      <c r="AR284" s="2175"/>
      <c r="AS284" s="2375"/>
      <c r="AT284" s="2175"/>
      <c r="AU284" s="2175"/>
      <c r="AV284" s="2175"/>
      <c r="AW284" s="2376"/>
      <c r="AX284" s="2177"/>
      <c r="AY284" s="2177"/>
      <c r="AZ284" s="2177"/>
      <c r="BA284" s="2174"/>
      <c r="BB284" s="2174"/>
      <c r="BC284" s="2174"/>
      <c r="BD284" s="2174"/>
      <c r="BE284" s="2174"/>
      <c r="BF284" s="2174"/>
      <c r="BG284" s="2174"/>
      <c r="BH284" s="2174"/>
      <c r="BI284" s="2174"/>
      <c r="BJ284" s="2174"/>
      <c r="BK284" s="2174"/>
      <c r="BL284" s="2174"/>
      <c r="BM284" s="2174"/>
      <c r="BN284" s="2174"/>
      <c r="BO284" s="2174"/>
      <c r="BP284" s="2174"/>
      <c r="BQ284" s="2174"/>
      <c r="BR284" s="2174"/>
      <c r="BS284" s="2174"/>
      <c r="BT284" s="2174"/>
      <c r="BU284" s="2174"/>
      <c r="BV284" s="2174"/>
      <c r="BW284" s="2174"/>
      <c r="BX284" s="2174"/>
      <c r="BY284" s="2174"/>
      <c r="BZ284" s="2174"/>
      <c r="CA284" s="2174"/>
      <c r="CB284" s="2174"/>
      <c r="CC284" s="2174"/>
      <c r="CD284" s="2174"/>
      <c r="CE284" s="2174"/>
      <c r="CF284" s="2174"/>
      <c r="CG284" s="2174"/>
      <c r="CH284" s="2174"/>
      <c r="CI284" s="2174"/>
      <c r="CJ284" s="2174"/>
      <c r="CK284" s="2174"/>
      <c r="CL284" s="2174"/>
      <c r="CM284" s="2174"/>
      <c r="CN284" s="2174"/>
      <c r="CO284" s="2174"/>
      <c r="CP284" s="2174"/>
      <c r="CQ284" s="2174"/>
      <c r="CR284" s="2174"/>
      <c r="CS284" s="2174"/>
      <c r="CT284" s="2174"/>
      <c r="CU284" s="2174"/>
      <c r="CV284" s="2174"/>
      <c r="CW284" s="2174"/>
      <c r="CX284" s="2174"/>
      <c r="CY284" s="2174"/>
      <c r="CZ284" s="2174"/>
    </row>
    <row r="285" spans="1:104">
      <c r="A285" s="2174"/>
      <c r="B285" s="2240"/>
      <c r="C285" s="2256"/>
      <c r="D285" s="2256"/>
      <c r="E285" s="2256"/>
      <c r="F285" s="2256"/>
      <c r="G285" s="2256"/>
      <c r="H285" s="2256"/>
      <c r="I285" s="2256"/>
      <c r="J285" s="2256"/>
      <c r="K285" s="2296"/>
      <c r="L285" s="2175"/>
      <c r="M285" s="2175"/>
      <c r="N285" s="2175"/>
      <c r="O285" s="2175"/>
      <c r="P285" s="2175"/>
      <c r="Q285" s="2175"/>
      <c r="R285" s="2175"/>
      <c r="S285" s="2175"/>
      <c r="T285" s="2175">
        <v>282</v>
      </c>
      <c r="U285" s="2175"/>
      <c r="V285" s="2175"/>
      <c r="W285" s="2175"/>
      <c r="X285" s="2175"/>
      <c r="Y285" s="2175"/>
      <c r="Z285" s="2175"/>
      <c r="AA285" s="2175"/>
      <c r="AB285" s="2175"/>
      <c r="AC285" s="2175"/>
      <c r="AD285" s="2175"/>
      <c r="AE285" s="2175"/>
      <c r="AF285" s="2175"/>
      <c r="AG285" s="2175"/>
      <c r="AH285" s="2175"/>
      <c r="AI285" s="2175"/>
      <c r="AJ285" s="2175"/>
      <c r="AK285" s="2175"/>
      <c r="AL285" s="2175"/>
      <c r="AM285" s="2175"/>
      <c r="AN285" s="2175"/>
      <c r="AO285" s="2375"/>
      <c r="AP285" s="2175"/>
      <c r="AQ285" s="2175"/>
      <c r="AR285" s="2175"/>
      <c r="AS285" s="2375"/>
      <c r="AT285" s="2175"/>
      <c r="AU285" s="2175"/>
      <c r="AV285" s="2175"/>
      <c r="AW285" s="2376"/>
      <c r="AX285" s="2177"/>
      <c r="AY285" s="2177"/>
      <c r="AZ285" s="2177"/>
      <c r="BA285" s="2174"/>
      <c r="BB285" s="2174"/>
      <c r="BC285" s="2174"/>
      <c r="BD285" s="2174"/>
      <c r="BE285" s="2174"/>
      <c r="BF285" s="2174"/>
      <c r="BG285" s="2174"/>
      <c r="BH285" s="2174"/>
      <c r="BI285" s="2174"/>
      <c r="BJ285" s="2174"/>
      <c r="BK285" s="2174"/>
      <c r="BL285" s="2174"/>
      <c r="BM285" s="2174"/>
      <c r="BN285" s="2174"/>
      <c r="BO285" s="2174"/>
      <c r="BP285" s="2174"/>
      <c r="BQ285" s="2174"/>
      <c r="BR285" s="2174"/>
      <c r="BS285" s="2174"/>
      <c r="BT285" s="2174"/>
      <c r="BU285" s="2174"/>
      <c r="BV285" s="2174"/>
      <c r="BW285" s="2174"/>
      <c r="BX285" s="2174"/>
      <c r="BY285" s="2174"/>
      <c r="BZ285" s="2174"/>
      <c r="CA285" s="2174"/>
      <c r="CB285" s="2174"/>
      <c r="CC285" s="2174"/>
      <c r="CD285" s="2174"/>
      <c r="CE285" s="2174"/>
      <c r="CF285" s="2174"/>
      <c r="CG285" s="2174"/>
      <c r="CH285" s="2174"/>
      <c r="CI285" s="2174"/>
      <c r="CJ285" s="2174"/>
      <c r="CK285" s="2174"/>
      <c r="CL285" s="2174"/>
      <c r="CM285" s="2174"/>
      <c r="CN285" s="2174"/>
      <c r="CO285" s="2174"/>
      <c r="CP285" s="2174"/>
      <c r="CQ285" s="2174"/>
      <c r="CR285" s="2174"/>
      <c r="CS285" s="2174"/>
      <c r="CT285" s="2174"/>
      <c r="CU285" s="2174"/>
      <c r="CV285" s="2174"/>
      <c r="CW285" s="2174"/>
      <c r="CX285" s="2174"/>
      <c r="CY285" s="2174"/>
      <c r="CZ285" s="2174"/>
    </row>
    <row r="286" spans="1:104">
      <c r="A286" s="2174"/>
      <c r="B286" s="2240"/>
      <c r="C286" s="2256"/>
      <c r="D286" s="2256"/>
      <c r="E286" s="2256"/>
      <c r="F286" s="2256"/>
      <c r="G286" s="2256"/>
      <c r="H286" s="2256"/>
      <c r="I286" s="2256"/>
      <c r="J286" s="2256"/>
      <c r="K286" s="2296"/>
      <c r="L286" s="2175"/>
      <c r="M286" s="2175"/>
      <c r="N286" s="2175"/>
      <c r="O286" s="2175"/>
      <c r="P286" s="2175"/>
      <c r="Q286" s="2175"/>
      <c r="R286" s="2175"/>
      <c r="S286" s="2175"/>
      <c r="T286" s="2175">
        <v>283</v>
      </c>
      <c r="U286" s="2175"/>
      <c r="V286" s="2175"/>
      <c r="W286" s="2175"/>
      <c r="X286" s="2175"/>
      <c r="Y286" s="2175"/>
      <c r="Z286" s="2175"/>
      <c r="AA286" s="2175"/>
      <c r="AB286" s="2175"/>
      <c r="AC286" s="2175"/>
      <c r="AD286" s="2175"/>
      <c r="AE286" s="2175"/>
      <c r="AF286" s="2175"/>
      <c r="AG286" s="2175"/>
      <c r="AH286" s="2175"/>
      <c r="AI286" s="2175"/>
      <c r="AJ286" s="2175"/>
      <c r="AK286" s="2175"/>
      <c r="AL286" s="2175"/>
      <c r="AM286" s="2175"/>
      <c r="AN286" s="2175"/>
      <c r="AO286" s="2375"/>
      <c r="AP286" s="2175"/>
      <c r="AQ286" s="2175"/>
      <c r="AR286" s="2175"/>
      <c r="AS286" s="2375"/>
      <c r="AT286" s="2175"/>
      <c r="AU286" s="2175"/>
      <c r="AV286" s="2175"/>
      <c r="AW286" s="2376"/>
      <c r="AX286" s="2177"/>
      <c r="AY286" s="2177"/>
      <c r="AZ286" s="2177"/>
      <c r="BA286" s="2174"/>
      <c r="BB286" s="2174"/>
      <c r="BC286" s="2174"/>
      <c r="BD286" s="2174"/>
      <c r="BE286" s="2174"/>
      <c r="BF286" s="2174"/>
      <c r="BG286" s="2174"/>
      <c r="BH286" s="2174"/>
      <c r="BI286" s="2174"/>
      <c r="BJ286" s="2174"/>
      <c r="BK286" s="2174"/>
      <c r="BL286" s="2174"/>
      <c r="BM286" s="2174"/>
      <c r="BN286" s="2174"/>
      <c r="BO286" s="2174"/>
      <c r="BP286" s="2174"/>
      <c r="BQ286" s="2174"/>
      <c r="BR286" s="2174"/>
      <c r="BS286" s="2174"/>
      <c r="BT286" s="2174"/>
      <c r="BU286" s="2174"/>
      <c r="BV286" s="2174"/>
      <c r="BW286" s="2174"/>
      <c r="BX286" s="2174"/>
      <c r="BY286" s="2174"/>
      <c r="BZ286" s="2174"/>
      <c r="CA286" s="2174"/>
      <c r="CB286" s="2174"/>
      <c r="CC286" s="2174"/>
      <c r="CD286" s="2174"/>
      <c r="CE286" s="2174"/>
      <c r="CF286" s="2174"/>
      <c r="CG286" s="2174"/>
      <c r="CH286" s="2174"/>
      <c r="CI286" s="2174"/>
      <c r="CJ286" s="2174"/>
      <c r="CK286" s="2174"/>
      <c r="CL286" s="2174"/>
      <c r="CM286" s="2174"/>
      <c r="CN286" s="2174"/>
      <c r="CO286" s="2174"/>
      <c r="CP286" s="2174"/>
      <c r="CQ286" s="2174"/>
      <c r="CR286" s="2174"/>
      <c r="CS286" s="2174"/>
      <c r="CT286" s="2174"/>
      <c r="CU286" s="2174"/>
      <c r="CV286" s="2174"/>
      <c r="CW286" s="2174"/>
      <c r="CX286" s="2174"/>
      <c r="CY286" s="2174"/>
      <c r="CZ286" s="2174"/>
    </row>
    <row r="287" spans="1:104">
      <c r="A287" s="2174"/>
      <c r="B287" s="2240"/>
      <c r="C287" s="2256"/>
      <c r="D287" s="2256"/>
      <c r="E287" s="2256"/>
      <c r="F287" s="2256"/>
      <c r="G287" s="2256"/>
      <c r="H287" s="2256"/>
      <c r="I287" s="2256"/>
      <c r="J287" s="2256"/>
      <c r="K287" s="2296"/>
      <c r="L287" s="2175"/>
      <c r="M287" s="2175"/>
      <c r="N287" s="2175"/>
      <c r="O287" s="2175"/>
      <c r="P287" s="2175"/>
      <c r="Q287" s="2175"/>
      <c r="R287" s="2175"/>
      <c r="S287" s="2175"/>
      <c r="T287" s="2175">
        <v>284</v>
      </c>
      <c r="U287" s="2175"/>
      <c r="V287" s="2175"/>
      <c r="W287" s="2175"/>
      <c r="X287" s="2175"/>
      <c r="Y287" s="2175"/>
      <c r="Z287" s="2175"/>
      <c r="AA287" s="2175"/>
      <c r="AB287" s="2175"/>
      <c r="AC287" s="2175"/>
      <c r="AD287" s="2175"/>
      <c r="AE287" s="2175"/>
      <c r="AF287" s="2175"/>
      <c r="AG287" s="2175"/>
      <c r="AH287" s="2175"/>
      <c r="AI287" s="2175"/>
      <c r="AJ287" s="2175"/>
      <c r="AK287" s="2175"/>
      <c r="AL287" s="2175"/>
      <c r="AM287" s="2175"/>
      <c r="AN287" s="2175"/>
      <c r="AO287" s="2375"/>
      <c r="AP287" s="2175"/>
      <c r="AQ287" s="2175"/>
      <c r="AR287" s="2175"/>
      <c r="AS287" s="2375"/>
      <c r="AT287" s="2175"/>
      <c r="AU287" s="2175"/>
      <c r="AV287" s="2175"/>
      <c r="AW287" s="2376"/>
      <c r="AX287" s="2177"/>
      <c r="AY287" s="2177"/>
      <c r="AZ287" s="2177"/>
      <c r="BA287" s="2174"/>
      <c r="BB287" s="2174"/>
      <c r="BC287" s="2174"/>
      <c r="BD287" s="2174"/>
      <c r="BE287" s="2174"/>
      <c r="BF287" s="2174"/>
      <c r="BG287" s="2174"/>
      <c r="BH287" s="2174"/>
      <c r="BI287" s="2174"/>
      <c r="BJ287" s="2174"/>
      <c r="BK287" s="2174"/>
      <c r="BL287" s="2174"/>
      <c r="BM287" s="2174"/>
      <c r="BN287" s="2174"/>
      <c r="BO287" s="2174"/>
      <c r="BP287" s="2174"/>
      <c r="BQ287" s="2174"/>
      <c r="BR287" s="2174"/>
      <c r="BS287" s="2174"/>
      <c r="BT287" s="2174"/>
      <c r="BU287" s="2174"/>
      <c r="BV287" s="2174"/>
      <c r="BW287" s="2174"/>
      <c r="BX287" s="2174"/>
      <c r="BY287" s="2174"/>
      <c r="BZ287" s="2174"/>
      <c r="CA287" s="2174"/>
      <c r="CB287" s="2174"/>
      <c r="CC287" s="2174"/>
      <c r="CD287" s="2174"/>
      <c r="CE287" s="2174"/>
      <c r="CF287" s="2174"/>
      <c r="CG287" s="2174"/>
      <c r="CH287" s="2174"/>
      <c r="CI287" s="2174"/>
      <c r="CJ287" s="2174"/>
      <c r="CK287" s="2174"/>
      <c r="CL287" s="2174"/>
      <c r="CM287" s="2174"/>
      <c r="CN287" s="2174"/>
      <c r="CO287" s="2174"/>
      <c r="CP287" s="2174"/>
      <c r="CQ287" s="2174"/>
      <c r="CR287" s="2174"/>
      <c r="CS287" s="2174"/>
      <c r="CT287" s="2174"/>
      <c r="CU287" s="2174"/>
      <c r="CV287" s="2174"/>
      <c r="CW287" s="2174"/>
      <c r="CX287" s="2174"/>
      <c r="CY287" s="2174"/>
      <c r="CZ287" s="2174"/>
    </row>
    <row r="288" spans="1:104">
      <c r="A288" s="2174"/>
      <c r="B288" s="2240"/>
      <c r="C288" s="2256"/>
      <c r="D288" s="2256"/>
      <c r="E288" s="2256"/>
      <c r="F288" s="2256"/>
      <c r="G288" s="2256"/>
      <c r="H288" s="2256"/>
      <c r="I288" s="2256"/>
      <c r="J288" s="2256"/>
      <c r="K288" s="2296"/>
      <c r="L288" s="2175"/>
      <c r="M288" s="2175"/>
      <c r="N288" s="2175"/>
      <c r="O288" s="2175"/>
      <c r="P288" s="2175"/>
      <c r="Q288" s="2175"/>
      <c r="R288" s="2175"/>
      <c r="S288" s="2175"/>
      <c r="T288" s="2175">
        <v>285</v>
      </c>
      <c r="U288" s="2175"/>
      <c r="V288" s="2175"/>
      <c r="W288" s="2175"/>
      <c r="X288" s="2175"/>
      <c r="Y288" s="2175"/>
      <c r="Z288" s="2175"/>
      <c r="AA288" s="2175"/>
      <c r="AB288" s="2175"/>
      <c r="AC288" s="2175"/>
      <c r="AD288" s="2175"/>
      <c r="AE288" s="2175"/>
      <c r="AF288" s="2175"/>
      <c r="AG288" s="2175"/>
      <c r="AH288" s="2175"/>
      <c r="AI288" s="2175"/>
      <c r="AJ288" s="2175"/>
      <c r="AK288" s="2175"/>
      <c r="AL288" s="2175"/>
      <c r="AM288" s="2175"/>
      <c r="AN288" s="2175"/>
      <c r="AO288" s="2375"/>
      <c r="AP288" s="2175"/>
      <c r="AQ288" s="2175"/>
      <c r="AR288" s="2175"/>
      <c r="AS288" s="2375"/>
      <c r="AT288" s="2175"/>
      <c r="AU288" s="2175"/>
      <c r="AV288" s="2175"/>
      <c r="AW288" s="2376"/>
      <c r="AX288" s="2177"/>
      <c r="AY288" s="2177"/>
      <c r="AZ288" s="2177"/>
      <c r="BA288" s="2174"/>
      <c r="BB288" s="2174"/>
      <c r="BC288" s="2174"/>
      <c r="BD288" s="2174"/>
      <c r="BE288" s="2174"/>
      <c r="BF288" s="2174"/>
      <c r="BG288" s="2174"/>
      <c r="BH288" s="2174"/>
      <c r="BI288" s="2174"/>
      <c r="BJ288" s="2174"/>
      <c r="BK288" s="2174"/>
      <c r="BL288" s="2174"/>
      <c r="BM288" s="2174"/>
      <c r="BN288" s="2174"/>
      <c r="BO288" s="2174"/>
      <c r="BP288" s="2174"/>
      <c r="BQ288" s="2174"/>
      <c r="BR288" s="2174"/>
      <c r="BS288" s="2174"/>
      <c r="BT288" s="2174"/>
      <c r="BU288" s="2174"/>
      <c r="BV288" s="2174"/>
      <c r="BW288" s="2174"/>
      <c r="BX288" s="2174"/>
      <c r="BY288" s="2174"/>
      <c r="BZ288" s="2174"/>
      <c r="CA288" s="2174"/>
      <c r="CB288" s="2174"/>
      <c r="CC288" s="2174"/>
      <c r="CD288" s="2174"/>
      <c r="CE288" s="2174"/>
      <c r="CF288" s="2174"/>
      <c r="CG288" s="2174"/>
      <c r="CH288" s="2174"/>
      <c r="CI288" s="2174"/>
      <c r="CJ288" s="2174"/>
      <c r="CK288" s="2174"/>
      <c r="CL288" s="2174"/>
      <c r="CM288" s="2174"/>
      <c r="CN288" s="2174"/>
      <c r="CO288" s="2174"/>
      <c r="CP288" s="2174"/>
      <c r="CQ288" s="2174"/>
      <c r="CR288" s="2174"/>
      <c r="CS288" s="2174"/>
      <c r="CT288" s="2174"/>
      <c r="CU288" s="2174"/>
      <c r="CV288" s="2174"/>
      <c r="CW288" s="2174"/>
      <c r="CX288" s="2174"/>
      <c r="CY288" s="2174"/>
      <c r="CZ288" s="2174"/>
    </row>
    <row r="289" spans="1:104">
      <c r="A289" s="2174"/>
      <c r="B289" s="2240"/>
      <c r="C289" s="2256"/>
      <c r="D289" s="2256"/>
      <c r="E289" s="2256"/>
      <c r="F289" s="2256"/>
      <c r="G289" s="2256"/>
      <c r="H289" s="2256"/>
      <c r="I289" s="2256"/>
      <c r="J289" s="2256"/>
      <c r="K289" s="2296"/>
      <c r="L289" s="2175"/>
      <c r="M289" s="2175"/>
      <c r="N289" s="2175"/>
      <c r="O289" s="2175"/>
      <c r="P289" s="2175"/>
      <c r="Q289" s="2175"/>
      <c r="R289" s="2175"/>
      <c r="S289" s="2175"/>
      <c r="T289" s="2175">
        <v>286</v>
      </c>
      <c r="U289" s="2175"/>
      <c r="V289" s="2175"/>
      <c r="W289" s="2175"/>
      <c r="X289" s="2175"/>
      <c r="Y289" s="2175"/>
      <c r="Z289" s="2175"/>
      <c r="AA289" s="2175"/>
      <c r="AB289" s="2175"/>
      <c r="AC289" s="2175"/>
      <c r="AD289" s="2175"/>
      <c r="AE289" s="2175"/>
      <c r="AF289" s="2175"/>
      <c r="AG289" s="2175"/>
      <c r="AH289" s="2175"/>
      <c r="AI289" s="2175"/>
      <c r="AJ289" s="2175"/>
      <c r="AK289" s="2175"/>
      <c r="AL289" s="2175"/>
      <c r="AM289" s="2175"/>
      <c r="AN289" s="2175"/>
      <c r="AO289" s="2375"/>
      <c r="AP289" s="2175"/>
      <c r="AQ289" s="2175"/>
      <c r="AR289" s="2175"/>
      <c r="AS289" s="2375"/>
      <c r="AT289" s="2175"/>
      <c r="AU289" s="2175"/>
      <c r="AV289" s="2175"/>
      <c r="AW289" s="2376"/>
      <c r="AX289" s="2177"/>
      <c r="AY289" s="2177"/>
      <c r="AZ289" s="2177"/>
      <c r="BA289" s="2174"/>
      <c r="BB289" s="2174"/>
      <c r="BC289" s="2174"/>
      <c r="BD289" s="2174"/>
      <c r="BE289" s="2174"/>
      <c r="BF289" s="2174"/>
      <c r="BG289" s="2174"/>
      <c r="BH289" s="2174"/>
      <c r="BI289" s="2174"/>
      <c r="BJ289" s="2174"/>
      <c r="BK289" s="2174"/>
      <c r="BL289" s="2174"/>
      <c r="BM289" s="2174"/>
      <c r="BN289" s="2174"/>
      <c r="BO289" s="2174"/>
      <c r="BP289" s="2174"/>
      <c r="BQ289" s="2174"/>
      <c r="BR289" s="2174"/>
      <c r="BS289" s="2174"/>
      <c r="BT289" s="2174"/>
      <c r="BU289" s="2174"/>
      <c r="BV289" s="2174"/>
      <c r="BW289" s="2174"/>
      <c r="BX289" s="2174"/>
      <c r="BY289" s="2174"/>
      <c r="BZ289" s="2174"/>
      <c r="CA289" s="2174"/>
      <c r="CB289" s="2174"/>
      <c r="CC289" s="2174"/>
      <c r="CD289" s="2174"/>
      <c r="CE289" s="2174"/>
      <c r="CF289" s="2174"/>
      <c r="CG289" s="2174"/>
      <c r="CH289" s="2174"/>
      <c r="CI289" s="2174"/>
      <c r="CJ289" s="2174"/>
      <c r="CK289" s="2174"/>
      <c r="CL289" s="2174"/>
      <c r="CM289" s="2174"/>
      <c r="CN289" s="2174"/>
      <c r="CO289" s="2174"/>
      <c r="CP289" s="2174"/>
      <c r="CQ289" s="2174"/>
      <c r="CR289" s="2174"/>
      <c r="CS289" s="2174"/>
      <c r="CT289" s="2174"/>
      <c r="CU289" s="2174"/>
      <c r="CV289" s="2174"/>
      <c r="CW289" s="2174"/>
      <c r="CX289" s="2174"/>
      <c r="CY289" s="2174"/>
      <c r="CZ289" s="2174"/>
    </row>
    <row r="290" spans="1:104">
      <c r="A290" s="2174"/>
      <c r="B290" s="2240"/>
      <c r="C290" s="2256"/>
      <c r="D290" s="2256"/>
      <c r="E290" s="2256"/>
      <c r="F290" s="2256"/>
      <c r="G290" s="2256"/>
      <c r="H290" s="2256"/>
      <c r="I290" s="2256"/>
      <c r="J290" s="2256"/>
      <c r="K290" s="2296"/>
      <c r="L290" s="2175"/>
      <c r="M290" s="2175"/>
      <c r="N290" s="2175"/>
      <c r="O290" s="2175"/>
      <c r="P290" s="2175"/>
      <c r="Q290" s="2175"/>
      <c r="R290" s="2175"/>
      <c r="S290" s="2175"/>
      <c r="T290" s="2175">
        <v>287</v>
      </c>
      <c r="U290" s="2175"/>
      <c r="V290" s="2175"/>
      <c r="W290" s="2175"/>
      <c r="X290" s="2175"/>
      <c r="Y290" s="2175"/>
      <c r="Z290" s="2175"/>
      <c r="AA290" s="2175"/>
      <c r="AB290" s="2175"/>
      <c r="AC290" s="2175"/>
      <c r="AD290" s="2175"/>
      <c r="AE290" s="2175"/>
      <c r="AF290" s="2175"/>
      <c r="AG290" s="2175"/>
      <c r="AH290" s="2175"/>
      <c r="AI290" s="2175"/>
      <c r="AJ290" s="2175"/>
      <c r="AK290" s="2175"/>
      <c r="AL290" s="2175"/>
      <c r="AM290" s="2175"/>
      <c r="AN290" s="2175"/>
      <c r="AO290" s="2375"/>
      <c r="AP290" s="2175"/>
      <c r="AQ290" s="2175"/>
      <c r="AR290" s="2175"/>
      <c r="AS290" s="2375"/>
      <c r="AT290" s="2175"/>
      <c r="AU290" s="2175"/>
      <c r="AV290" s="2175"/>
      <c r="AW290" s="2376"/>
      <c r="AX290" s="2177"/>
      <c r="AY290" s="2177"/>
      <c r="AZ290" s="2177"/>
      <c r="BA290" s="2174"/>
      <c r="BB290" s="2174"/>
      <c r="BC290" s="2174"/>
      <c r="BD290" s="2174"/>
      <c r="BE290" s="2174"/>
      <c r="BF290" s="2174"/>
      <c r="BG290" s="2174"/>
      <c r="BH290" s="2174"/>
      <c r="BI290" s="2174"/>
      <c r="BJ290" s="2174"/>
      <c r="BK290" s="2174"/>
      <c r="BL290" s="2174"/>
      <c r="BM290" s="2174"/>
      <c r="BN290" s="2174"/>
      <c r="BO290" s="2174"/>
      <c r="BP290" s="2174"/>
      <c r="BQ290" s="2174"/>
      <c r="BR290" s="2174"/>
      <c r="BS290" s="2174"/>
      <c r="BT290" s="2174"/>
      <c r="BU290" s="2174"/>
      <c r="BV290" s="2174"/>
      <c r="BW290" s="2174"/>
      <c r="BX290" s="2174"/>
      <c r="BY290" s="2174"/>
      <c r="BZ290" s="2174"/>
      <c r="CA290" s="2174"/>
      <c r="CB290" s="2174"/>
      <c r="CC290" s="2174"/>
      <c r="CD290" s="2174"/>
      <c r="CE290" s="2174"/>
      <c r="CF290" s="2174"/>
      <c r="CG290" s="2174"/>
      <c r="CH290" s="2174"/>
      <c r="CI290" s="2174"/>
      <c r="CJ290" s="2174"/>
      <c r="CK290" s="2174"/>
      <c r="CL290" s="2174"/>
      <c r="CM290" s="2174"/>
      <c r="CN290" s="2174"/>
      <c r="CO290" s="2174"/>
      <c r="CP290" s="2174"/>
      <c r="CQ290" s="2174"/>
      <c r="CR290" s="2174"/>
      <c r="CS290" s="2174"/>
      <c r="CT290" s="2174"/>
      <c r="CU290" s="2174"/>
      <c r="CV290" s="2174"/>
      <c r="CW290" s="2174"/>
      <c r="CX290" s="2174"/>
      <c r="CY290" s="2174"/>
      <c r="CZ290" s="2174"/>
    </row>
    <row r="291" spans="1:104">
      <c r="A291" s="2174"/>
      <c r="B291" s="2240"/>
      <c r="C291" s="2256"/>
      <c r="D291" s="2256"/>
      <c r="E291" s="2256"/>
      <c r="F291" s="2256"/>
      <c r="G291" s="2256"/>
      <c r="H291" s="2256"/>
      <c r="I291" s="2256"/>
      <c r="J291" s="2256"/>
      <c r="K291" s="2296"/>
      <c r="L291" s="2175"/>
      <c r="M291" s="2175"/>
      <c r="N291" s="2175"/>
      <c r="O291" s="2175"/>
      <c r="P291" s="2175"/>
      <c r="Q291" s="2175"/>
      <c r="R291" s="2175"/>
      <c r="S291" s="2175"/>
      <c r="T291" s="2175">
        <v>288</v>
      </c>
      <c r="U291" s="2175"/>
      <c r="V291" s="2175"/>
      <c r="W291" s="2175"/>
      <c r="X291" s="2175"/>
      <c r="Y291" s="2175"/>
      <c r="Z291" s="2175"/>
      <c r="AA291" s="2175"/>
      <c r="AB291" s="2175"/>
      <c r="AC291" s="2175"/>
      <c r="AD291" s="2175"/>
      <c r="AE291" s="2175"/>
      <c r="AF291" s="2175"/>
      <c r="AG291" s="2175"/>
      <c r="AH291" s="2175"/>
      <c r="AI291" s="2175"/>
      <c r="AJ291" s="2175"/>
      <c r="AK291" s="2175"/>
      <c r="AL291" s="2175"/>
      <c r="AM291" s="2175"/>
      <c r="AN291" s="2175"/>
      <c r="AO291" s="2375"/>
      <c r="AP291" s="2175"/>
      <c r="AQ291" s="2175"/>
      <c r="AR291" s="2175"/>
      <c r="AS291" s="2375"/>
      <c r="AT291" s="2175"/>
      <c r="AU291" s="2175"/>
      <c r="AV291" s="2175"/>
      <c r="AW291" s="2376"/>
      <c r="AX291" s="2177"/>
      <c r="AY291" s="2177"/>
      <c r="AZ291" s="2177"/>
      <c r="BA291" s="2174"/>
      <c r="BB291" s="2174"/>
      <c r="BC291" s="2174"/>
      <c r="BD291" s="2174"/>
      <c r="BE291" s="2174"/>
      <c r="BF291" s="2174"/>
      <c r="BG291" s="2174"/>
      <c r="BH291" s="2174"/>
      <c r="BI291" s="2174"/>
      <c r="BJ291" s="2174"/>
      <c r="BK291" s="2174"/>
      <c r="BL291" s="2174"/>
      <c r="BM291" s="2174"/>
      <c r="BN291" s="2174"/>
      <c r="BO291" s="2174"/>
      <c r="BP291" s="2174"/>
      <c r="BQ291" s="2174"/>
      <c r="BR291" s="2174"/>
      <c r="BS291" s="2174"/>
      <c r="BT291" s="2174"/>
      <c r="BU291" s="2174"/>
      <c r="BV291" s="2174"/>
      <c r="BW291" s="2174"/>
      <c r="BX291" s="2174"/>
      <c r="BY291" s="2174"/>
      <c r="BZ291" s="2174"/>
      <c r="CA291" s="2174"/>
      <c r="CB291" s="2174"/>
      <c r="CC291" s="2174"/>
      <c r="CD291" s="2174"/>
      <c r="CE291" s="2174"/>
      <c r="CF291" s="2174"/>
      <c r="CG291" s="2174"/>
      <c r="CH291" s="2174"/>
      <c r="CI291" s="2174"/>
      <c r="CJ291" s="2174"/>
      <c r="CK291" s="2174"/>
      <c r="CL291" s="2174"/>
      <c r="CM291" s="2174"/>
      <c r="CN291" s="2174"/>
      <c r="CO291" s="2174"/>
      <c r="CP291" s="2174"/>
      <c r="CQ291" s="2174"/>
      <c r="CR291" s="2174"/>
      <c r="CS291" s="2174"/>
      <c r="CT291" s="2174"/>
      <c r="CU291" s="2174"/>
      <c r="CV291" s="2174"/>
      <c r="CW291" s="2174"/>
      <c r="CX291" s="2174"/>
      <c r="CY291" s="2174"/>
      <c r="CZ291" s="2174"/>
    </row>
    <row r="292" spans="1:104">
      <c r="A292" s="2174"/>
      <c r="B292" s="2240"/>
      <c r="C292" s="2256"/>
      <c r="D292" s="2256"/>
      <c r="E292" s="2256"/>
      <c r="F292" s="2256"/>
      <c r="G292" s="2256"/>
      <c r="H292" s="2256"/>
      <c r="I292" s="2256"/>
      <c r="J292" s="2256"/>
      <c r="K292" s="2296"/>
      <c r="L292" s="2175"/>
      <c r="M292" s="2175"/>
      <c r="N292" s="2175"/>
      <c r="O292" s="2175"/>
      <c r="P292" s="2175"/>
      <c r="Q292" s="2175"/>
      <c r="R292" s="2175"/>
      <c r="S292" s="2175"/>
      <c r="T292" s="2175">
        <v>289</v>
      </c>
      <c r="U292" s="2175"/>
      <c r="V292" s="2175"/>
      <c r="W292" s="2175"/>
      <c r="X292" s="2175"/>
      <c r="Y292" s="2175"/>
      <c r="Z292" s="2175"/>
      <c r="AA292" s="2175"/>
      <c r="AB292" s="2175"/>
      <c r="AC292" s="2175"/>
      <c r="AD292" s="2175"/>
      <c r="AE292" s="2175"/>
      <c r="AF292" s="2175"/>
      <c r="AG292" s="2175"/>
      <c r="AH292" s="2175"/>
      <c r="AI292" s="2175"/>
      <c r="AJ292" s="2175"/>
      <c r="AK292" s="2175"/>
      <c r="AL292" s="2175"/>
      <c r="AM292" s="2175"/>
      <c r="AN292" s="2175"/>
      <c r="AO292" s="2375"/>
      <c r="AP292" s="2175"/>
      <c r="AQ292" s="2175"/>
      <c r="AR292" s="2175"/>
      <c r="AS292" s="2375"/>
      <c r="AT292" s="2175"/>
      <c r="AU292" s="2175"/>
      <c r="AV292" s="2175"/>
      <c r="AW292" s="2376"/>
      <c r="AX292" s="2177"/>
      <c r="AY292" s="2177"/>
      <c r="AZ292" s="2177"/>
      <c r="BA292" s="2174"/>
      <c r="BB292" s="2174"/>
      <c r="BC292" s="2174"/>
      <c r="BD292" s="2174"/>
      <c r="BE292" s="2174"/>
      <c r="BF292" s="2174"/>
      <c r="BG292" s="2174"/>
      <c r="BH292" s="2174"/>
      <c r="BI292" s="2174"/>
      <c r="BJ292" s="2174"/>
      <c r="BK292" s="2174"/>
      <c r="BL292" s="2174"/>
      <c r="BM292" s="2174"/>
      <c r="BN292" s="2174"/>
      <c r="BO292" s="2174"/>
      <c r="BP292" s="2174"/>
      <c r="BQ292" s="2174"/>
      <c r="BR292" s="2174"/>
      <c r="BS292" s="2174"/>
      <c r="BT292" s="2174"/>
      <c r="BU292" s="2174"/>
      <c r="BV292" s="2174"/>
      <c r="BW292" s="2174"/>
      <c r="BX292" s="2174"/>
      <c r="BY292" s="2174"/>
      <c r="BZ292" s="2174"/>
      <c r="CA292" s="2174"/>
      <c r="CB292" s="2174"/>
      <c r="CC292" s="2174"/>
      <c r="CD292" s="2174"/>
      <c r="CE292" s="2174"/>
      <c r="CF292" s="2174"/>
      <c r="CG292" s="2174"/>
      <c r="CH292" s="2174"/>
      <c r="CI292" s="2174"/>
      <c r="CJ292" s="2174"/>
      <c r="CK292" s="2174"/>
      <c r="CL292" s="2174"/>
      <c r="CM292" s="2174"/>
      <c r="CN292" s="2174"/>
      <c r="CO292" s="2174"/>
      <c r="CP292" s="2174"/>
      <c r="CQ292" s="2174"/>
      <c r="CR292" s="2174"/>
      <c r="CS292" s="2174"/>
      <c r="CT292" s="2174"/>
      <c r="CU292" s="2174"/>
      <c r="CV292" s="2174"/>
      <c r="CW292" s="2174"/>
      <c r="CX292" s="2174"/>
      <c r="CY292" s="2174"/>
      <c r="CZ292" s="2174"/>
    </row>
    <row r="293" spans="1:104">
      <c r="A293" s="2174"/>
      <c r="B293" s="2240"/>
      <c r="C293" s="2256"/>
      <c r="D293" s="2256"/>
      <c r="E293" s="2256"/>
      <c r="F293" s="2256"/>
      <c r="G293" s="2256"/>
      <c r="H293" s="2256"/>
      <c r="I293" s="2256"/>
      <c r="J293" s="2256"/>
      <c r="K293" s="2296"/>
      <c r="L293" s="2175"/>
      <c r="M293" s="2175"/>
      <c r="N293" s="2175"/>
      <c r="O293" s="2175"/>
      <c r="P293" s="2175"/>
      <c r="Q293" s="2175"/>
      <c r="R293" s="2175"/>
      <c r="S293" s="2175"/>
      <c r="T293" s="2175">
        <v>290</v>
      </c>
      <c r="U293" s="2175"/>
      <c r="V293" s="2175"/>
      <c r="W293" s="2175"/>
      <c r="X293" s="2175"/>
      <c r="Y293" s="2175"/>
      <c r="Z293" s="2175"/>
      <c r="AA293" s="2175"/>
      <c r="AB293" s="2175"/>
      <c r="AC293" s="2175"/>
      <c r="AD293" s="2175"/>
      <c r="AE293" s="2175"/>
      <c r="AF293" s="2175"/>
      <c r="AG293" s="2175"/>
      <c r="AH293" s="2175"/>
      <c r="AI293" s="2175"/>
      <c r="AJ293" s="2175"/>
      <c r="AK293" s="2175"/>
      <c r="AL293" s="2175"/>
      <c r="AM293" s="2175"/>
      <c r="AN293" s="2175"/>
      <c r="AO293" s="2375"/>
      <c r="AP293" s="2175"/>
      <c r="AQ293" s="2175"/>
      <c r="AR293" s="2175"/>
      <c r="AS293" s="2375"/>
      <c r="AT293" s="2175"/>
      <c r="AU293" s="2175"/>
      <c r="AV293" s="2175"/>
      <c r="AW293" s="2376"/>
      <c r="AX293" s="2177"/>
      <c r="AY293" s="2177"/>
      <c r="AZ293" s="2177"/>
      <c r="BA293" s="2174"/>
      <c r="BB293" s="2174"/>
      <c r="BC293" s="2174"/>
      <c r="BD293" s="2174"/>
      <c r="BE293" s="2174"/>
      <c r="BF293" s="2174"/>
      <c r="BG293" s="2174"/>
      <c r="BH293" s="2174"/>
      <c r="BI293" s="2174"/>
      <c r="BJ293" s="2174"/>
      <c r="BK293" s="2174"/>
      <c r="BL293" s="2174"/>
      <c r="BM293" s="2174"/>
      <c r="BN293" s="2174"/>
      <c r="BO293" s="2174"/>
      <c r="BP293" s="2174"/>
      <c r="BQ293" s="2174"/>
      <c r="BR293" s="2174"/>
      <c r="BS293" s="2174"/>
      <c r="BT293" s="2174"/>
      <c r="BU293" s="2174"/>
      <c r="BV293" s="2174"/>
      <c r="BW293" s="2174"/>
      <c r="BX293" s="2174"/>
      <c r="BY293" s="2174"/>
      <c r="BZ293" s="2174"/>
      <c r="CA293" s="2174"/>
      <c r="CB293" s="2174"/>
      <c r="CC293" s="2174"/>
      <c r="CD293" s="2174"/>
      <c r="CE293" s="2174"/>
      <c r="CF293" s="2174"/>
      <c r="CG293" s="2174"/>
      <c r="CH293" s="2174"/>
      <c r="CI293" s="2174"/>
      <c r="CJ293" s="2174"/>
      <c r="CK293" s="2174"/>
      <c r="CL293" s="2174"/>
      <c r="CM293" s="2174"/>
      <c r="CN293" s="2174"/>
      <c r="CO293" s="2174"/>
      <c r="CP293" s="2174"/>
      <c r="CQ293" s="2174"/>
      <c r="CR293" s="2174"/>
      <c r="CS293" s="2174"/>
      <c r="CT293" s="2174"/>
      <c r="CU293" s="2174"/>
      <c r="CV293" s="2174"/>
      <c r="CW293" s="2174"/>
      <c r="CX293" s="2174"/>
      <c r="CY293" s="2174"/>
      <c r="CZ293" s="2174"/>
    </row>
    <row r="294" spans="1:104">
      <c r="A294" s="2174"/>
      <c r="B294" s="2240"/>
      <c r="C294" s="2256"/>
      <c r="D294" s="2256"/>
      <c r="E294" s="2256"/>
      <c r="F294" s="2256"/>
      <c r="G294" s="2256"/>
      <c r="H294" s="2256"/>
      <c r="I294" s="2256"/>
      <c r="J294" s="2256"/>
      <c r="K294" s="2296"/>
      <c r="L294" s="2175"/>
      <c r="M294" s="2175"/>
      <c r="N294" s="2175"/>
      <c r="O294" s="2175"/>
      <c r="P294" s="2175"/>
      <c r="Q294" s="2175"/>
      <c r="R294" s="2175"/>
      <c r="S294" s="2175"/>
      <c r="T294" s="2175">
        <v>291</v>
      </c>
      <c r="U294" s="2175"/>
      <c r="V294" s="2175"/>
      <c r="W294" s="2175"/>
      <c r="X294" s="2175"/>
      <c r="Y294" s="2175"/>
      <c r="Z294" s="2175"/>
      <c r="AA294" s="2175"/>
      <c r="AB294" s="2175"/>
      <c r="AC294" s="2175"/>
      <c r="AD294" s="2175"/>
      <c r="AE294" s="2175"/>
      <c r="AF294" s="2175"/>
      <c r="AG294" s="2175"/>
      <c r="AH294" s="2175"/>
      <c r="AI294" s="2175"/>
      <c r="AJ294" s="2175"/>
      <c r="AK294" s="2175"/>
      <c r="AL294" s="2175"/>
      <c r="AM294" s="2175"/>
      <c r="AN294" s="2175"/>
      <c r="AO294" s="2375"/>
      <c r="AP294" s="2175"/>
      <c r="AQ294" s="2175"/>
      <c r="AR294" s="2175"/>
      <c r="AS294" s="2375"/>
      <c r="AT294" s="2175"/>
      <c r="AU294" s="2175"/>
      <c r="AV294" s="2175"/>
      <c r="AW294" s="2376"/>
      <c r="AX294" s="2177"/>
      <c r="AY294" s="2177"/>
      <c r="AZ294" s="2177"/>
      <c r="BA294" s="2174"/>
      <c r="BB294" s="2174"/>
      <c r="BC294" s="2174"/>
      <c r="BD294" s="2174"/>
      <c r="BE294" s="2174"/>
      <c r="BF294" s="2174"/>
      <c r="BG294" s="2174"/>
      <c r="BH294" s="2174"/>
      <c r="BI294" s="2174"/>
      <c r="BJ294" s="2174"/>
      <c r="BK294" s="2174"/>
      <c r="BL294" s="2174"/>
      <c r="BM294" s="2174"/>
      <c r="BN294" s="2174"/>
      <c r="BO294" s="2174"/>
      <c r="BP294" s="2174"/>
      <c r="BQ294" s="2174"/>
      <c r="BR294" s="2174"/>
      <c r="BS294" s="2174"/>
      <c r="BT294" s="2174"/>
      <c r="BU294" s="2174"/>
      <c r="BV294" s="2174"/>
      <c r="BW294" s="2174"/>
      <c r="BX294" s="2174"/>
      <c r="BY294" s="2174"/>
      <c r="BZ294" s="2174"/>
      <c r="CA294" s="2174"/>
      <c r="CB294" s="2174"/>
      <c r="CC294" s="2174"/>
      <c r="CD294" s="2174"/>
      <c r="CE294" s="2174"/>
      <c r="CF294" s="2174"/>
      <c r="CG294" s="2174"/>
      <c r="CH294" s="2174"/>
      <c r="CI294" s="2174"/>
      <c r="CJ294" s="2174"/>
      <c r="CK294" s="2174"/>
      <c r="CL294" s="2174"/>
      <c r="CM294" s="2174"/>
      <c r="CN294" s="2174"/>
      <c r="CO294" s="2174"/>
      <c r="CP294" s="2174"/>
      <c r="CQ294" s="2174"/>
      <c r="CR294" s="2174"/>
      <c r="CS294" s="2174"/>
      <c r="CT294" s="2174"/>
      <c r="CU294" s="2174"/>
      <c r="CV294" s="2174"/>
      <c r="CW294" s="2174"/>
      <c r="CX294" s="2174"/>
      <c r="CY294" s="2174"/>
      <c r="CZ294" s="2174"/>
    </row>
    <row r="295" spans="1:104">
      <c r="A295" s="2174"/>
      <c r="B295" s="3061"/>
      <c r="C295" s="3062"/>
      <c r="D295" s="3062">
        <f t="shared" ref="D295:I295" si="906">D5</f>
        <v>2017</v>
      </c>
      <c r="E295" s="3062">
        <f t="shared" si="906"/>
        <v>2018</v>
      </c>
      <c r="F295" s="3062">
        <f t="shared" si="906"/>
        <v>2019</v>
      </c>
      <c r="G295" s="3062">
        <f t="shared" si="906"/>
        <v>2020</v>
      </c>
      <c r="H295" s="3062">
        <f t="shared" si="906"/>
        <v>2021</v>
      </c>
      <c r="I295" s="3062">
        <f t="shared" si="906"/>
        <v>2022</v>
      </c>
      <c r="J295" s="2256">
        <v>2023</v>
      </c>
      <c r="K295" s="2296">
        <v>2024</v>
      </c>
      <c r="L295" s="2175">
        <v>2025</v>
      </c>
      <c r="M295" s="2175">
        <v>2026</v>
      </c>
      <c r="N295" s="2175">
        <v>2027</v>
      </c>
      <c r="O295" s="2175">
        <v>2028</v>
      </c>
      <c r="P295" s="2175">
        <v>2029</v>
      </c>
      <c r="Q295" s="2175">
        <v>2030</v>
      </c>
      <c r="R295" s="2175"/>
      <c r="S295" s="2175"/>
      <c r="T295" s="2175">
        <v>292</v>
      </c>
      <c r="U295" s="2175"/>
      <c r="V295" s="2175"/>
      <c r="W295" s="2175"/>
      <c r="X295" s="2175"/>
      <c r="Y295" s="2175"/>
      <c r="Z295" s="2175"/>
      <c r="AA295" s="2175"/>
      <c r="AB295" s="2175"/>
      <c r="AC295" s="2175"/>
      <c r="AD295" s="2175"/>
      <c r="AE295" s="2175"/>
      <c r="AF295" s="2175"/>
      <c r="AG295" s="2175"/>
      <c r="AH295" s="2175"/>
      <c r="AI295" s="2175"/>
      <c r="AJ295" s="2175"/>
      <c r="AK295" s="2175"/>
      <c r="AL295" s="2175"/>
      <c r="AM295" s="2175"/>
      <c r="AN295" s="2175"/>
      <c r="AO295" s="2375"/>
      <c r="AP295" s="2175"/>
      <c r="AQ295" s="2175"/>
      <c r="AR295" s="2175"/>
      <c r="AS295" s="2375"/>
      <c r="AT295" s="2175"/>
      <c r="AU295" s="2175"/>
      <c r="AV295" s="2175"/>
      <c r="AW295" s="2376"/>
      <c r="AX295" s="2177"/>
      <c r="AY295" s="2177"/>
      <c r="AZ295" s="2177"/>
      <c r="BA295" s="2174"/>
      <c r="BB295" s="2174"/>
      <c r="BC295" s="2174"/>
      <c r="BD295" s="2174"/>
      <c r="BE295" s="2174"/>
      <c r="BF295" s="2174"/>
      <c r="BG295" s="2174"/>
      <c r="BH295" s="2174"/>
      <c r="BI295" s="2174"/>
      <c r="BJ295" s="2174"/>
      <c r="BK295" s="2174"/>
      <c r="BL295" s="2174"/>
      <c r="BM295" s="2174"/>
      <c r="BN295" s="2174"/>
      <c r="BO295" s="2174"/>
      <c r="BP295" s="2174"/>
      <c r="BQ295" s="2174"/>
      <c r="BR295" s="2174"/>
      <c r="BS295" s="2174"/>
      <c r="BT295" s="2174"/>
      <c r="BU295" s="2174"/>
      <c r="BV295" s="2174"/>
      <c r="BW295" s="2174"/>
      <c r="BX295" s="2174"/>
      <c r="BY295" s="2174"/>
      <c r="BZ295" s="2174"/>
      <c r="CA295" s="2174"/>
      <c r="CB295" s="2174"/>
      <c r="CC295" s="2174"/>
      <c r="CD295" s="2174"/>
      <c r="CE295" s="2174"/>
      <c r="CF295" s="2174"/>
      <c r="CG295" s="2174"/>
      <c r="CH295" s="2174"/>
      <c r="CI295" s="2174"/>
      <c r="CJ295" s="2174"/>
      <c r="CK295" s="2174"/>
      <c r="CL295" s="2174"/>
      <c r="CM295" s="2174"/>
      <c r="CN295" s="2174"/>
      <c r="CO295" s="2174"/>
      <c r="CP295" s="2174"/>
      <c r="CQ295" s="2174"/>
      <c r="CR295" s="2174"/>
      <c r="CS295" s="2174"/>
      <c r="CT295" s="2174"/>
      <c r="CU295" s="2174"/>
      <c r="CV295" s="2174"/>
      <c r="CW295" s="2174"/>
      <c r="CX295" s="2174"/>
      <c r="CY295" s="2174"/>
      <c r="CZ295" s="2174"/>
    </row>
    <row r="296" spans="1:104">
      <c r="A296" s="2174" t="s">
        <v>304</v>
      </c>
      <c r="B296" s="2240"/>
      <c r="C296" s="2256"/>
      <c r="D296" s="2371">
        <f t="shared" ref="D296:I296" si="907">D236-C236</f>
        <v>243</v>
      </c>
      <c r="E296" s="2371">
        <f t="shared" si="907"/>
        <v>122</v>
      </c>
      <c r="F296" s="2371">
        <f t="shared" si="907"/>
        <v>603</v>
      </c>
      <c r="G296" s="2371">
        <f t="shared" si="907"/>
        <v>711</v>
      </c>
      <c r="H296" s="2371">
        <f t="shared" si="907"/>
        <v>387</v>
      </c>
      <c r="I296" s="2371">
        <f t="shared" si="907"/>
        <v>-378</v>
      </c>
      <c r="J296" s="2256"/>
      <c r="K296" s="2296"/>
      <c r="L296" s="2175"/>
      <c r="M296" s="2175"/>
      <c r="N296" s="2175"/>
      <c r="O296" s="2175"/>
      <c r="P296" s="2175"/>
      <c r="Q296" s="2175"/>
      <c r="R296" s="2175"/>
      <c r="S296" s="2175"/>
      <c r="T296" s="2175">
        <v>293</v>
      </c>
      <c r="U296" s="2175"/>
      <c r="V296" s="2175"/>
      <c r="W296" s="2175"/>
      <c r="X296" s="2175"/>
      <c r="Y296" s="2175"/>
      <c r="Z296" s="2175"/>
      <c r="AA296" s="2175"/>
      <c r="AB296" s="2175"/>
      <c r="AC296" s="2175"/>
      <c r="AD296" s="2175"/>
      <c r="AE296" s="2175"/>
      <c r="AF296" s="2175"/>
      <c r="AG296" s="2175"/>
      <c r="AH296" s="2175"/>
      <c r="AI296" s="2175"/>
      <c r="AJ296" s="2175"/>
      <c r="AK296" s="2175"/>
      <c r="AL296" s="2175"/>
      <c r="AM296" s="2175"/>
      <c r="AN296" s="2175"/>
      <c r="AO296" s="2375"/>
      <c r="AP296" s="2175"/>
      <c r="AQ296" s="2175"/>
      <c r="AR296" s="2175"/>
      <c r="AS296" s="2375"/>
      <c r="AT296" s="2175"/>
      <c r="AU296" s="2175"/>
      <c r="AV296" s="2175"/>
      <c r="AW296" s="2376"/>
      <c r="AX296" s="2177"/>
      <c r="AY296" s="2177"/>
      <c r="AZ296" s="2177"/>
      <c r="BA296" s="2174"/>
      <c r="BB296" s="2174"/>
      <c r="BC296" s="2174"/>
      <c r="BD296" s="2174"/>
      <c r="BE296" s="2174"/>
      <c r="BF296" s="2174"/>
      <c r="BG296" s="2174"/>
      <c r="BH296" s="2174"/>
      <c r="BI296" s="2174"/>
      <c r="BJ296" s="2174"/>
      <c r="BK296" s="2174"/>
      <c r="BL296" s="2174"/>
      <c r="BM296" s="2174"/>
      <c r="BN296" s="2174"/>
      <c r="BO296" s="2174"/>
      <c r="BP296" s="2174"/>
      <c r="BQ296" s="2174"/>
      <c r="BR296" s="2174"/>
      <c r="BS296" s="2174"/>
      <c r="BT296" s="2174"/>
      <c r="BU296" s="2174"/>
      <c r="BV296" s="2174"/>
      <c r="BW296" s="2174"/>
      <c r="BX296" s="2174"/>
      <c r="BY296" s="2174"/>
      <c r="BZ296" s="2174"/>
      <c r="CA296" s="2174"/>
      <c r="CB296" s="2174"/>
      <c r="CC296" s="2174"/>
      <c r="CD296" s="2174"/>
      <c r="CE296" s="2174"/>
      <c r="CF296" s="2174"/>
      <c r="CG296" s="2174"/>
      <c r="CH296" s="2174"/>
      <c r="CI296" s="2174"/>
      <c r="CJ296" s="2174"/>
      <c r="CK296" s="2174"/>
      <c r="CL296" s="2174"/>
      <c r="CM296" s="2174"/>
      <c r="CN296" s="2174"/>
      <c r="CO296" s="2174"/>
      <c r="CP296" s="2174"/>
      <c r="CQ296" s="2174"/>
      <c r="CR296" s="2174"/>
      <c r="CS296" s="2174"/>
      <c r="CT296" s="2174"/>
      <c r="CU296" s="2174"/>
      <c r="CV296" s="2174"/>
      <c r="CW296" s="2174"/>
      <c r="CX296" s="2174"/>
      <c r="CY296" s="2174"/>
      <c r="CZ296" s="2174"/>
    </row>
    <row r="297" spans="1:104">
      <c r="A297" s="2174" t="s">
        <v>305</v>
      </c>
      <c r="B297" s="2240"/>
      <c r="C297" s="2256"/>
      <c r="D297" s="2206">
        <f>D296/$J$236</f>
        <v>0.14310954063604239</v>
      </c>
      <c r="E297" s="2206">
        <f>E296/$J$236</f>
        <v>7.1849234393404002E-2</v>
      </c>
      <c r="F297" s="2206">
        <f>F296/$J$236</f>
        <v>0.3551236749116608</v>
      </c>
      <c r="G297" s="2206">
        <f>G296/$J$236</f>
        <v>0.41872791519434627</v>
      </c>
      <c r="H297" s="2206">
        <f>H296/$J$236</f>
        <v>0.22791519434628976</v>
      </c>
      <c r="I297" s="2256"/>
      <c r="J297" s="2256"/>
      <c r="K297" s="2296"/>
      <c r="L297" s="2175"/>
      <c r="M297" s="2175"/>
      <c r="N297" s="2175"/>
      <c r="O297" s="2175"/>
      <c r="P297" s="2175"/>
      <c r="Q297" s="2175"/>
      <c r="R297" s="2175"/>
      <c r="S297" s="2175"/>
      <c r="T297" s="2175">
        <v>294</v>
      </c>
      <c r="U297" s="2175"/>
      <c r="V297" s="2175"/>
      <c r="W297" s="2175"/>
      <c r="X297" s="2175"/>
      <c r="Y297" s="2175"/>
      <c r="Z297" s="2175"/>
      <c r="AA297" s="2175"/>
      <c r="AB297" s="2175"/>
      <c r="AC297" s="2175"/>
      <c r="AD297" s="2175"/>
      <c r="AE297" s="2175"/>
      <c r="AF297" s="2175"/>
      <c r="AG297" s="2175"/>
      <c r="AH297" s="2175"/>
      <c r="AI297" s="2175"/>
      <c r="AJ297" s="2175"/>
      <c r="AK297" s="2175"/>
      <c r="AL297" s="2175"/>
      <c r="AM297" s="2175"/>
      <c r="AN297" s="2175"/>
      <c r="AO297" s="2375"/>
      <c r="AP297" s="2175"/>
      <c r="AQ297" s="2175"/>
      <c r="AR297" s="2175"/>
      <c r="AS297" s="2375"/>
      <c r="AT297" s="2175"/>
      <c r="AU297" s="2175"/>
      <c r="AV297" s="2175"/>
      <c r="AW297" s="2376"/>
      <c r="AX297" s="2177"/>
      <c r="AY297" s="2177"/>
      <c r="AZ297" s="2177"/>
      <c r="BA297" s="2174"/>
      <c r="BB297" s="2174"/>
      <c r="BC297" s="2174"/>
      <c r="BD297" s="2174"/>
      <c r="BE297" s="2174"/>
      <c r="BF297" s="2174"/>
      <c r="BG297" s="2174"/>
      <c r="BH297" s="2174"/>
      <c r="BI297" s="2174"/>
      <c r="BJ297" s="2174"/>
      <c r="BK297" s="2174"/>
      <c r="BL297" s="2174"/>
      <c r="BM297" s="2174"/>
      <c r="BN297" s="2174"/>
      <c r="BO297" s="2174"/>
      <c r="BP297" s="2174"/>
      <c r="BQ297" s="2174"/>
      <c r="BR297" s="2174"/>
      <c r="BS297" s="2174"/>
      <c r="BT297" s="2174"/>
      <c r="BU297" s="2174"/>
      <c r="BV297" s="2174"/>
      <c r="BW297" s="2174"/>
      <c r="BX297" s="2174"/>
      <c r="BY297" s="2174"/>
      <c r="BZ297" s="2174"/>
      <c r="CA297" s="2174"/>
      <c r="CB297" s="2174"/>
      <c r="CC297" s="2174"/>
      <c r="CD297" s="2174"/>
      <c r="CE297" s="2174"/>
      <c r="CF297" s="2174"/>
      <c r="CG297" s="2174"/>
      <c r="CH297" s="2174"/>
      <c r="CI297" s="2174"/>
      <c r="CJ297" s="2174"/>
      <c r="CK297" s="2174"/>
      <c r="CL297" s="2174"/>
      <c r="CM297" s="2174"/>
      <c r="CN297" s="2174"/>
      <c r="CO297" s="2174"/>
      <c r="CP297" s="2174"/>
      <c r="CQ297" s="2174"/>
      <c r="CR297" s="2174"/>
      <c r="CS297" s="2174"/>
      <c r="CT297" s="2174"/>
      <c r="CU297" s="2174"/>
      <c r="CV297" s="2174"/>
      <c r="CW297" s="2174"/>
      <c r="CX297" s="2174"/>
      <c r="CY297" s="2174"/>
      <c r="CZ297" s="2174"/>
    </row>
    <row r="298" spans="1:104">
      <c r="A298" s="2174" t="s">
        <v>306</v>
      </c>
      <c r="B298" s="2240"/>
      <c r="C298" s="2256"/>
      <c r="D298" s="2256">
        <v>5</v>
      </c>
      <c r="E298" s="2256"/>
      <c r="F298" s="2256"/>
      <c r="G298" s="2256"/>
      <c r="H298" s="2256"/>
      <c r="I298" s="2256"/>
      <c r="J298" s="2371">
        <f>J236*4.5</f>
        <v>7641</v>
      </c>
      <c r="K298" s="2296"/>
      <c r="L298" s="2175"/>
      <c r="M298" s="2175"/>
      <c r="N298" s="2175"/>
      <c r="O298" s="2175"/>
      <c r="P298" s="2175"/>
      <c r="Q298" s="2175"/>
      <c r="R298" s="2175"/>
      <c r="S298" s="2175"/>
      <c r="T298" s="2175">
        <v>295</v>
      </c>
      <c r="U298" s="2175"/>
      <c r="V298" s="2175"/>
      <c r="W298" s="2175"/>
      <c r="X298" s="2175"/>
      <c r="Y298" s="2175"/>
      <c r="Z298" s="2175"/>
      <c r="AA298" s="2175"/>
      <c r="AB298" s="2175"/>
      <c r="AC298" s="2175"/>
      <c r="AD298" s="2175"/>
      <c r="AE298" s="2175"/>
      <c r="AF298" s="2175"/>
      <c r="AG298" s="2175"/>
      <c r="AH298" s="2175"/>
      <c r="AI298" s="2175"/>
      <c r="AJ298" s="2175"/>
      <c r="AK298" s="2175"/>
      <c r="AL298" s="2175"/>
      <c r="AM298" s="2175"/>
      <c r="AN298" s="2175"/>
      <c r="AO298" s="2375"/>
      <c r="AP298" s="2175"/>
      <c r="AQ298" s="2175"/>
      <c r="AR298" s="2175"/>
      <c r="AS298" s="2375"/>
      <c r="AT298" s="2175"/>
      <c r="AU298" s="2175"/>
      <c r="AV298" s="2175"/>
      <c r="AW298" s="2376"/>
      <c r="AX298" s="2177"/>
      <c r="AY298" s="2177"/>
      <c r="AZ298" s="2177"/>
      <c r="BA298" s="2174"/>
      <c r="BB298" s="2174"/>
      <c r="BC298" s="2174"/>
      <c r="BD298" s="2174"/>
      <c r="BE298" s="2174"/>
      <c r="BF298" s="2174"/>
      <c r="BG298" s="2174"/>
      <c r="BH298" s="2174"/>
      <c r="BI298" s="2174"/>
      <c r="BJ298" s="2174"/>
      <c r="BK298" s="2174"/>
      <c r="BL298" s="2174"/>
      <c r="BM298" s="2174"/>
      <c r="BN298" s="2174"/>
      <c r="BO298" s="2174"/>
      <c r="BP298" s="2174"/>
      <c r="BQ298" s="2174"/>
      <c r="BR298" s="2174"/>
      <c r="BS298" s="2174"/>
      <c r="BT298" s="2174"/>
      <c r="BU298" s="2174"/>
      <c r="BV298" s="2174"/>
      <c r="BW298" s="2174"/>
      <c r="BX298" s="2174"/>
      <c r="BY298" s="2174"/>
      <c r="BZ298" s="2174"/>
      <c r="CA298" s="2174"/>
      <c r="CB298" s="2174"/>
      <c r="CC298" s="2174"/>
      <c r="CD298" s="2174"/>
      <c r="CE298" s="2174"/>
      <c r="CF298" s="2174"/>
      <c r="CG298" s="2174"/>
      <c r="CH298" s="2174"/>
      <c r="CI298" s="2174"/>
      <c r="CJ298" s="2174"/>
      <c r="CK298" s="2174"/>
      <c r="CL298" s="2174"/>
      <c r="CM298" s="2174"/>
      <c r="CN298" s="2174"/>
      <c r="CO298" s="2174"/>
      <c r="CP298" s="2174"/>
      <c r="CQ298" s="2174"/>
      <c r="CR298" s="2174"/>
      <c r="CS298" s="2174"/>
      <c r="CT298" s="2174"/>
      <c r="CU298" s="2174"/>
      <c r="CV298" s="2174"/>
      <c r="CW298" s="2174"/>
      <c r="CX298" s="2174"/>
      <c r="CY298" s="2174"/>
      <c r="CZ298" s="2174"/>
    </row>
    <row r="299" spans="1:104">
      <c r="A299" s="2174" t="s">
        <v>307</v>
      </c>
      <c r="B299" s="2240"/>
      <c r="C299" s="2256"/>
      <c r="D299" s="2256"/>
      <c r="E299" s="2256"/>
      <c r="F299" s="2256"/>
      <c r="G299" s="2256"/>
      <c r="H299" s="2256"/>
      <c r="I299" s="2256"/>
      <c r="J299" s="2371">
        <f>J298/5.33</f>
        <v>1433.5834896810507</v>
      </c>
      <c r="K299" s="2296"/>
      <c r="L299" s="2175"/>
      <c r="M299" s="2175"/>
      <c r="N299" s="2175"/>
      <c r="O299" s="2175"/>
      <c r="P299" s="2175"/>
      <c r="Q299" s="2175"/>
      <c r="R299" s="2175"/>
      <c r="S299" s="2175"/>
      <c r="T299" s="2175">
        <v>296</v>
      </c>
      <c r="U299" s="2175"/>
      <c r="V299" s="2175"/>
      <c r="W299" s="2175"/>
      <c r="X299" s="2175"/>
      <c r="Y299" s="2175"/>
      <c r="Z299" s="2175"/>
      <c r="AA299" s="2175"/>
      <c r="AB299" s="2175"/>
      <c r="AC299" s="2175"/>
      <c r="AD299" s="2175"/>
      <c r="AE299" s="2175"/>
      <c r="AF299" s="2175"/>
      <c r="AG299" s="2175"/>
      <c r="AH299" s="2175"/>
      <c r="AI299" s="2175"/>
      <c r="AJ299" s="2175"/>
      <c r="AK299" s="2175"/>
      <c r="AL299" s="2175"/>
      <c r="AM299" s="2175"/>
      <c r="AN299" s="2175"/>
      <c r="AO299" s="2414"/>
      <c r="AP299" s="2414"/>
      <c r="AQ299" s="2414"/>
      <c r="AR299" s="2414"/>
      <c r="AS299" s="2374"/>
      <c r="AT299" s="2414"/>
      <c r="AU299" s="2175"/>
      <c r="AV299" s="2175"/>
      <c r="AW299" s="2415"/>
      <c r="AX299" s="2177"/>
      <c r="AY299" s="2177"/>
      <c r="AZ299" s="2177"/>
      <c r="BA299" s="2174"/>
      <c r="BB299" s="2174"/>
      <c r="BC299" s="2174"/>
      <c r="BD299" s="2174"/>
      <c r="BE299" s="2174"/>
      <c r="BF299" s="2174"/>
      <c r="BG299" s="2174"/>
      <c r="BH299" s="2174"/>
      <c r="BI299" s="2174"/>
      <c r="BJ299" s="2174"/>
      <c r="BK299" s="2174"/>
      <c r="BL299" s="2174"/>
      <c r="BM299" s="2174"/>
      <c r="BN299" s="2174"/>
      <c r="BO299" s="2174"/>
      <c r="BP299" s="2174"/>
      <c r="BQ299" s="2174"/>
      <c r="BR299" s="2174"/>
      <c r="BS299" s="2174"/>
      <c r="BT299" s="2174"/>
      <c r="BU299" s="2174"/>
      <c r="BV299" s="2174"/>
      <c r="BW299" s="2174"/>
      <c r="BX299" s="2174"/>
      <c r="BY299" s="2174"/>
      <c r="BZ299" s="2174"/>
      <c r="CA299" s="2174"/>
      <c r="CB299" s="2174"/>
      <c r="CC299" s="2174"/>
      <c r="CD299" s="2174"/>
      <c r="CE299" s="2174"/>
      <c r="CF299" s="2174"/>
      <c r="CG299" s="2174"/>
      <c r="CH299" s="2174"/>
      <c r="CI299" s="2174"/>
      <c r="CJ299" s="2174"/>
      <c r="CK299" s="2174"/>
      <c r="CL299" s="2174"/>
      <c r="CM299" s="2174"/>
      <c r="CN299" s="2174"/>
      <c r="CO299" s="2174"/>
      <c r="CP299" s="2174"/>
      <c r="CQ299" s="2174"/>
      <c r="CR299" s="2174"/>
      <c r="CS299" s="2174"/>
      <c r="CT299" s="2174"/>
      <c r="CU299" s="2174"/>
      <c r="CV299" s="2174"/>
      <c r="CW299" s="2174"/>
      <c r="CX299" s="2174"/>
      <c r="CY299" s="2174"/>
      <c r="CZ299" s="2174"/>
    </row>
    <row r="300" spans="1:104">
      <c r="A300" s="2174" t="s">
        <v>308</v>
      </c>
      <c r="B300" s="2240"/>
      <c r="C300" s="2256"/>
      <c r="D300" s="2256"/>
      <c r="E300" s="2256"/>
      <c r="F300" s="2256"/>
      <c r="G300" s="2256"/>
      <c r="H300" s="2256"/>
      <c r="I300" s="2256"/>
      <c r="J300" s="2371"/>
      <c r="K300" s="2296"/>
      <c r="L300" s="2175"/>
      <c r="M300" s="2175"/>
      <c r="N300" s="2175"/>
      <c r="O300" s="2175"/>
      <c r="P300" s="2175"/>
      <c r="Q300" s="2175"/>
      <c r="R300" s="2175"/>
      <c r="S300" s="2175"/>
      <c r="T300" s="2175">
        <v>297</v>
      </c>
      <c r="U300" s="2175"/>
      <c r="V300" s="2175"/>
      <c r="W300" s="2175"/>
      <c r="X300" s="2175"/>
      <c r="Y300" s="2175"/>
      <c r="Z300" s="2175"/>
      <c r="AA300" s="2175"/>
      <c r="AB300" s="2175"/>
      <c r="AC300" s="2175"/>
      <c r="AD300" s="2175"/>
      <c r="AE300" s="2175"/>
      <c r="AF300" s="2175"/>
      <c r="AG300" s="2175"/>
      <c r="AH300" s="2175"/>
      <c r="AI300" s="2175"/>
      <c r="AJ300" s="2175"/>
      <c r="AK300" s="2175"/>
      <c r="AL300" s="2175"/>
      <c r="AM300" s="2175"/>
      <c r="AN300" s="2175"/>
      <c r="AO300" s="2414">
        <v>43.930419999999998</v>
      </c>
      <c r="AP300" s="2414">
        <v>94.256249999999994</v>
      </c>
      <c r="AQ300" s="2414">
        <v>145.86268899999999</v>
      </c>
      <c r="AR300" s="2414">
        <v>280.31695200000001</v>
      </c>
      <c r="AS300" s="2374">
        <v>238.60755499999999</v>
      </c>
      <c r="AT300" s="2414">
        <f>561.919138</f>
        <v>561.91913799999998</v>
      </c>
      <c r="AU300" s="2414">
        <v>916.36779999999999</v>
      </c>
      <c r="AV300" s="2340">
        <f>1353.162552</f>
        <v>1353.162552</v>
      </c>
      <c r="AW300" s="2415">
        <v>453.94429400000001</v>
      </c>
      <c r="AX300" s="2447">
        <f>985.142161-AW300</f>
        <v>531.19786699999997</v>
      </c>
      <c r="AY300" s="2177"/>
      <c r="AZ300" s="2177"/>
      <c r="BA300" s="2174"/>
      <c r="BB300" s="2174"/>
      <c r="BC300" s="2174"/>
      <c r="BD300" s="2174"/>
      <c r="BE300" s="2174"/>
      <c r="BF300" s="2174"/>
      <c r="BG300" s="2174"/>
      <c r="BH300" s="2174"/>
      <c r="BI300" s="2174"/>
      <c r="BJ300" s="2174"/>
      <c r="BK300" s="2174"/>
      <c r="BL300" s="2174"/>
      <c r="BM300" s="2174"/>
      <c r="BN300" s="2174"/>
      <c r="BO300" s="2174"/>
      <c r="BP300" s="2174"/>
      <c r="BQ300" s="2174"/>
      <c r="BR300" s="2174"/>
      <c r="BS300" s="2174"/>
      <c r="BT300" s="2174"/>
      <c r="BU300" s="2174"/>
      <c r="BV300" s="2174"/>
      <c r="BW300" s="2174"/>
      <c r="BX300" s="2174"/>
      <c r="BY300" s="2174"/>
      <c r="BZ300" s="2174"/>
      <c r="CA300" s="2174"/>
      <c r="CB300" s="2174"/>
      <c r="CC300" s="2174"/>
      <c r="CD300" s="2174"/>
      <c r="CE300" s="2174"/>
      <c r="CF300" s="2174"/>
      <c r="CG300" s="2174"/>
      <c r="CH300" s="2174"/>
      <c r="CI300" s="2174"/>
      <c r="CJ300" s="2174"/>
      <c r="CK300" s="2174"/>
      <c r="CL300" s="2174"/>
      <c r="CM300" s="2174"/>
      <c r="CN300" s="2174"/>
      <c r="CO300" s="2174"/>
      <c r="CP300" s="2174"/>
      <c r="CQ300" s="2174"/>
      <c r="CR300" s="2174"/>
      <c r="CS300" s="2174"/>
      <c r="CT300" s="2174"/>
      <c r="CU300" s="2174"/>
      <c r="CV300" s="2174"/>
      <c r="CW300" s="2174"/>
      <c r="CX300" s="2174"/>
      <c r="CY300" s="2174"/>
      <c r="CZ300" s="2174"/>
    </row>
    <row r="301" spans="1:104">
      <c r="A301" s="2174" t="s">
        <v>309</v>
      </c>
      <c r="B301" s="2240"/>
      <c r="C301" s="2256"/>
      <c r="D301" s="2256"/>
      <c r="E301" s="2256"/>
      <c r="F301" s="2256"/>
      <c r="G301" s="2256"/>
      <c r="H301" s="2256"/>
      <c r="I301" s="2256"/>
      <c r="J301" s="2371"/>
      <c r="K301" s="2296"/>
      <c r="L301" s="2175"/>
      <c r="M301" s="2175"/>
      <c r="N301" s="2175"/>
      <c r="O301" s="2175"/>
      <c r="P301" s="2175"/>
      <c r="Q301" s="2175"/>
      <c r="R301" s="2175"/>
      <c r="S301" s="2175"/>
      <c r="T301" s="2175">
        <v>298</v>
      </c>
      <c r="U301" s="2175"/>
      <c r="V301" s="2175"/>
      <c r="W301" s="2175"/>
      <c r="X301" s="2175"/>
      <c r="Y301" s="2175"/>
      <c r="Z301" s="2175"/>
      <c r="AA301" s="2175"/>
      <c r="AB301" s="2175"/>
      <c r="AC301" s="2175"/>
      <c r="AD301" s="2175"/>
      <c r="AE301" s="2175"/>
      <c r="AF301" s="2175"/>
      <c r="AG301" s="2175"/>
      <c r="AH301" s="2175"/>
      <c r="AI301" s="2175"/>
      <c r="AJ301" s="2175"/>
      <c r="AK301" s="2175"/>
      <c r="AL301" s="2175"/>
      <c r="AM301" s="2175"/>
      <c r="AN301" s="2175"/>
      <c r="AO301" s="2414">
        <v>-6.8223659999999997</v>
      </c>
      <c r="AP301" s="2414">
        <v>-13.804805</v>
      </c>
      <c r="AQ301" s="2414">
        <v>-18.176448000000001</v>
      </c>
      <c r="AR301" s="2414">
        <v>-36.175460999999999</v>
      </c>
      <c r="AS301" s="2374">
        <v>-16.445668999999999</v>
      </c>
      <c r="AT301" s="2414">
        <v>-20.613510000000002</v>
      </c>
      <c r="AU301" s="2414">
        <v>-20.408000000000001</v>
      </c>
      <c r="AV301" s="2340">
        <v>-10.785549</v>
      </c>
      <c r="AW301" s="2415">
        <v>4.5234360000000002</v>
      </c>
      <c r="AX301" s="2447">
        <f>19.429-AW301</f>
        <v>14.905563999999998</v>
      </c>
      <c r="AY301" s="2177"/>
      <c r="AZ301" s="2177"/>
      <c r="BA301" s="2174"/>
      <c r="BB301" s="2174"/>
      <c r="BC301" s="2174"/>
      <c r="BD301" s="2174"/>
      <c r="BE301" s="2174"/>
      <c r="BF301" s="2174"/>
      <c r="BG301" s="2174"/>
      <c r="BH301" s="2174"/>
      <c r="BI301" s="2174"/>
      <c r="BJ301" s="2174"/>
      <c r="BK301" s="2174"/>
      <c r="BL301" s="2174"/>
      <c r="BM301" s="2174"/>
      <c r="BN301" s="2174"/>
      <c r="BO301" s="2174"/>
      <c r="BP301" s="2174"/>
      <c r="BQ301" s="2174"/>
      <c r="BR301" s="2174"/>
      <c r="BS301" s="2174"/>
      <c r="BT301" s="2174"/>
      <c r="BU301" s="2174"/>
      <c r="BV301" s="2174"/>
      <c r="BW301" s="2174"/>
      <c r="BX301" s="2174"/>
      <c r="BY301" s="2174"/>
      <c r="BZ301" s="2174"/>
      <c r="CA301" s="2174"/>
      <c r="CB301" s="2174"/>
      <c r="CC301" s="2174"/>
      <c r="CD301" s="2174"/>
      <c r="CE301" s="2174"/>
      <c r="CF301" s="2174"/>
      <c r="CG301" s="2174"/>
      <c r="CH301" s="2174"/>
      <c r="CI301" s="2174"/>
      <c r="CJ301" s="2174"/>
      <c r="CK301" s="2174"/>
      <c r="CL301" s="2174"/>
      <c r="CM301" s="2174"/>
      <c r="CN301" s="2174"/>
      <c r="CO301" s="2174"/>
      <c r="CP301" s="2174"/>
      <c r="CQ301" s="2174"/>
      <c r="CR301" s="2174"/>
      <c r="CS301" s="2174"/>
      <c r="CT301" s="2174"/>
      <c r="CU301" s="2174"/>
      <c r="CV301" s="2174"/>
      <c r="CW301" s="2174"/>
      <c r="CX301" s="2174"/>
      <c r="CY301" s="2174"/>
      <c r="CZ301" s="2174"/>
    </row>
    <row r="302" spans="1:104">
      <c r="A302" s="2174" t="s">
        <v>310</v>
      </c>
      <c r="B302" s="2240"/>
      <c r="C302" s="2256"/>
      <c r="D302" s="2256"/>
      <c r="E302" s="2256"/>
      <c r="F302" s="2256"/>
      <c r="G302" s="2256"/>
      <c r="H302" s="2256"/>
      <c r="I302" s="2256"/>
      <c r="J302" s="2371"/>
      <c r="K302" s="2296"/>
      <c r="L302" s="2175"/>
      <c r="M302" s="2175"/>
      <c r="N302" s="2175"/>
      <c r="O302" s="2175"/>
      <c r="P302" s="2175"/>
      <c r="Q302" s="2175"/>
      <c r="R302" s="2175"/>
      <c r="S302" s="2175"/>
      <c r="T302" s="2175">
        <v>299</v>
      </c>
      <c r="U302" s="2175"/>
      <c r="V302" s="2175"/>
      <c r="W302" s="2175"/>
      <c r="X302" s="2175"/>
      <c r="Y302" s="2175"/>
      <c r="Z302" s="2175"/>
      <c r="AA302" s="2175"/>
      <c r="AB302" s="2175"/>
      <c r="AC302" s="2175"/>
      <c r="AD302" s="2175"/>
      <c r="AE302" s="2175"/>
      <c r="AF302" s="2175"/>
      <c r="AG302" s="2175"/>
      <c r="AH302" s="2175"/>
      <c r="AI302" s="2175"/>
      <c r="AJ302" s="2175"/>
      <c r="AK302" s="2175"/>
      <c r="AL302" s="2175"/>
      <c r="AM302" s="2175"/>
      <c r="AN302" s="2175"/>
      <c r="AO302" s="2414">
        <v>1.5652999999999999</v>
      </c>
      <c r="AP302" s="2414">
        <v>1.5653999999999999</v>
      </c>
      <c r="AQ302" s="2414">
        <v>1.5721000000000001</v>
      </c>
      <c r="AR302" s="2414">
        <v>1.5633999999999999</v>
      </c>
      <c r="AS302" s="2374">
        <v>1.5633999999999999</v>
      </c>
      <c r="AT302" s="2414">
        <v>1.5545</v>
      </c>
      <c r="AU302" s="2414">
        <v>1.55</v>
      </c>
      <c r="AV302" s="2414">
        <v>1.6162000000000001</v>
      </c>
      <c r="AW302" s="3063">
        <f>AW312/AW301</f>
        <v>1.5375599433704819</v>
      </c>
      <c r="AX302" s="3063">
        <f>AX312/AX301</f>
        <v>1.6580878827083185</v>
      </c>
      <c r="AY302" s="2177"/>
      <c r="AZ302" s="2177"/>
      <c r="BA302" s="2174"/>
      <c r="BB302" s="2174"/>
      <c r="BC302" s="2174"/>
      <c r="BD302" s="2174"/>
      <c r="BE302" s="2174"/>
      <c r="BF302" s="2174"/>
      <c r="BG302" s="2174"/>
      <c r="BH302" s="2174"/>
      <c r="BI302" s="2174"/>
      <c r="BJ302" s="2174"/>
      <c r="BK302" s="2174"/>
      <c r="BL302" s="2174"/>
      <c r="BM302" s="2174"/>
      <c r="BN302" s="2174"/>
      <c r="BO302" s="2174"/>
      <c r="BP302" s="2174"/>
      <c r="BQ302" s="2174"/>
      <c r="BR302" s="2174"/>
      <c r="BS302" s="2174"/>
      <c r="BT302" s="2174"/>
      <c r="BU302" s="2174"/>
      <c r="BV302" s="2174"/>
      <c r="BW302" s="2174"/>
      <c r="BX302" s="2174"/>
      <c r="BY302" s="2174"/>
      <c r="BZ302" s="2174"/>
      <c r="CA302" s="2174"/>
      <c r="CB302" s="2174"/>
      <c r="CC302" s="2174"/>
      <c r="CD302" s="2174"/>
      <c r="CE302" s="2174"/>
      <c r="CF302" s="2174"/>
      <c r="CG302" s="2174"/>
      <c r="CH302" s="2174"/>
      <c r="CI302" s="2174"/>
      <c r="CJ302" s="2174"/>
      <c r="CK302" s="2174"/>
      <c r="CL302" s="2174"/>
      <c r="CM302" s="2174"/>
      <c r="CN302" s="2174"/>
      <c r="CO302" s="2174"/>
      <c r="CP302" s="2174"/>
      <c r="CQ302" s="2174"/>
      <c r="CR302" s="2174"/>
      <c r="CS302" s="2174"/>
      <c r="CT302" s="2174"/>
      <c r="CU302" s="2174"/>
      <c r="CV302" s="2174"/>
      <c r="CW302" s="2174"/>
      <c r="CX302" s="2174"/>
      <c r="CY302" s="2174"/>
      <c r="CZ302" s="2174"/>
    </row>
    <row r="303" spans="1:104" s="3066" customFormat="1">
      <c r="A303" s="2217" t="s">
        <v>311</v>
      </c>
      <c r="B303" s="2379"/>
      <c r="C303" s="2381"/>
      <c r="D303" s="2220">
        <f>SUMIF($AG$1:AZ$1,D$5,$AG$303:AZ$303)</f>
        <v>0</v>
      </c>
      <c r="E303" s="2220">
        <f>SUMIF($AG$1:BA$1,E$5,$AG$303:BA$303)</f>
        <v>0</v>
      </c>
      <c r="F303" s="2220">
        <f>SUMIF($AG$1:BB$1,F$5,$AG$303:BB$303)</f>
        <v>0</v>
      </c>
      <c r="G303" s="2220">
        <f>SUMIF($AG$1:BC$1,G$5,$AG$303:BC$303)</f>
        <v>0</v>
      </c>
      <c r="H303" s="2220">
        <f>SUMIF($AG$1:BD$1,H$5,$AG$303:BD$303)</f>
        <v>0</v>
      </c>
      <c r="I303" s="2220">
        <f>SUMIF($AG$1:BE$1,I$5,$AG$303:BE$303)</f>
        <v>0</v>
      </c>
      <c r="J303" s="2220">
        <f>SUMIF($AG$1:BF$1,J$5,$AG$303:BF$303)</f>
        <v>438.24752275679998</v>
      </c>
      <c r="K303" s="2908">
        <f>SUMIF($AG$1:BG$1,K$5,$AG$303:BG$303)</f>
        <v>2186.9813165424002</v>
      </c>
      <c r="L303" s="2227">
        <f>SUMIF($AG$1:BH$1,L$5,$AG$303:BH$303)</f>
        <v>3938.4959708254632</v>
      </c>
      <c r="M303" s="2227">
        <f>SUMIF($AG$1:BI$1,M$5,$AG$303:BI$303)</f>
        <v>7497.3266101445961</v>
      </c>
      <c r="N303" s="2227">
        <f>SUMIF($AG$1:CJ$1,N$5,$AG$303:CJ$303)</f>
        <v>14620.48024702703</v>
      </c>
      <c r="O303" s="2227">
        <f>SUMIF($AG$1:CK$1,O$5,$AG$303:CK$303)</f>
        <v>26266.112730151515</v>
      </c>
      <c r="P303" s="2227">
        <f>SUMIF($AG$1:CL$1,P$5,$AG$303:CL$303)</f>
        <v>41612.33718709035</v>
      </c>
      <c r="Q303" s="2227">
        <f>SUMIF($AG$1:CM$1,Q$5,$AG$303:CM$303)</f>
        <v>56585.955475430943</v>
      </c>
      <c r="R303" s="2383"/>
      <c r="S303" s="2383"/>
      <c r="T303" s="2175">
        <v>300</v>
      </c>
      <c r="U303" s="2383"/>
      <c r="V303" s="2383"/>
      <c r="W303" s="2383"/>
      <c r="X303" s="2383"/>
      <c r="Y303" s="2383"/>
      <c r="Z303" s="2383"/>
      <c r="AA303" s="2383"/>
      <c r="AB303" s="2383"/>
      <c r="AC303" s="2383"/>
      <c r="AD303" s="2383"/>
      <c r="AE303" s="2383"/>
      <c r="AF303" s="2383"/>
      <c r="AG303" s="2383"/>
      <c r="AH303" s="2383"/>
      <c r="AI303" s="2383"/>
      <c r="AJ303" s="2383"/>
      <c r="AK303" s="2383"/>
      <c r="AL303" s="2383"/>
      <c r="AM303" s="2383"/>
      <c r="AN303" s="2383"/>
      <c r="AO303" s="2227">
        <f>AO300*AO$302</f>
        <v>68.764286425999998</v>
      </c>
      <c r="AP303" s="2227">
        <f>AP300*AP$302-AO303</f>
        <v>78.78444732399997</v>
      </c>
      <c r="AQ303" s="2227">
        <f>AQ300*AQ$302-AP303-AO303</f>
        <v>81.76199962690005</v>
      </c>
      <c r="AR303" s="2227">
        <f>AR300*AR$302-AQ303-AP303-AO303</f>
        <v>208.93678937989995</v>
      </c>
      <c r="AS303" s="2226">
        <f>AS300*AS$302</f>
        <v>373.03905148699994</v>
      </c>
      <c r="AT303" s="2227">
        <f>AT300*AT$302-AS303</f>
        <v>500.46424853400003</v>
      </c>
      <c r="AU303" s="2227">
        <f>AU300*AU$302-AT303-AS303</f>
        <v>546.86678997900015</v>
      </c>
      <c r="AV303" s="2227">
        <f>AV300*AV$302-AU303-AT303-AS303</f>
        <v>766.6112265424</v>
      </c>
      <c r="AW303" s="2228">
        <f>AW300*AW302</f>
        <v>697.96656297599338</v>
      </c>
      <c r="AX303" s="2228">
        <f>AX300*AX302</f>
        <v>880.77274659320494</v>
      </c>
      <c r="AY303" s="3064">
        <f t="shared" ref="AY303:BG303" si="908">AY316*AVERAGE(AV314:AY314)*3</f>
        <v>1071.0952221305033</v>
      </c>
      <c r="AZ303" s="3064">
        <f t="shared" si="908"/>
        <v>1288.6614391257617</v>
      </c>
      <c r="BA303" s="3065">
        <f t="shared" si="908"/>
        <v>1379.0856571904974</v>
      </c>
      <c r="BB303" s="3065">
        <f t="shared" si="908"/>
        <v>1651.271800784526</v>
      </c>
      <c r="BC303" s="3065">
        <f t="shared" si="908"/>
        <v>2014.9978866330093</v>
      </c>
      <c r="BD303" s="3065">
        <f t="shared" si="908"/>
        <v>2451.9712655365629</v>
      </c>
      <c r="BE303" s="3065">
        <f t="shared" si="908"/>
        <v>2696.4373752763945</v>
      </c>
      <c r="BF303" s="3065">
        <f t="shared" si="908"/>
        <v>3225.5586324784222</v>
      </c>
      <c r="BG303" s="3065">
        <f t="shared" si="908"/>
        <v>3925.3408442703503</v>
      </c>
      <c r="BH303" s="3065">
        <f>BH316*AVERAGE(BE314:BH314)*3</f>
        <v>4773.1433950018618</v>
      </c>
      <c r="BI303" s="3065">
        <f t="shared" ref="BI303" si="909">BI316*AVERAGE(BF314:BI314)*3</f>
        <v>5028.33764522606</v>
      </c>
      <c r="BJ303" s="3065">
        <f t="shared" ref="BJ303" si="910">BJ316*AVERAGE(BG314:BJ314)*3</f>
        <v>5918.0800333184598</v>
      </c>
      <c r="BK303" s="3065">
        <f>BK316*AVERAGE(BH314:BK314)*3</f>
        <v>7031.9911712294415</v>
      </c>
      <c r="BL303" s="3065">
        <f t="shared" ref="BL303" si="911">BL316*AVERAGE(BI314:BL314)*3</f>
        <v>8287.703880377554</v>
      </c>
      <c r="BM303" s="3065">
        <f t="shared" ref="BM303" si="912">BM316*AVERAGE(BJ314:BM314)*3</f>
        <v>8497.7579466155439</v>
      </c>
      <c r="BN303" s="3065">
        <f t="shared" ref="BN303" si="913">BN316*AVERAGE(BK314:BN314)*3</f>
        <v>9615.17160147699</v>
      </c>
      <c r="BO303" s="3065">
        <f t="shared" ref="BO303" si="914">BO316*AVERAGE(BL314:BO314)*3</f>
        <v>11000.043332137482</v>
      </c>
      <c r="BP303" s="3065">
        <f t="shared" ref="BP303" si="915">BP316*AVERAGE(BM314:BP314)*3</f>
        <v>12499.364306860331</v>
      </c>
      <c r="BQ303" s="3065">
        <f t="shared" ref="BQ303" si="916">BQ316*AVERAGE(BN314:BQ314)*3</f>
        <v>12063.751519032998</v>
      </c>
      <c r="BR303" s="3065">
        <f t="shared" ref="BR303" si="917">BR316*AVERAGE(BO314:BR314)*3</f>
        <v>13276.68635132899</v>
      </c>
      <c r="BS303" s="3065">
        <f t="shared" ref="BS303" si="918">BS316*AVERAGE(BP314:BS314)*3</f>
        <v>14816.606311813895</v>
      </c>
      <c r="BT303" s="3065">
        <f t="shared" ref="BT303" si="919">BT316*AVERAGE(BQ314:BT314)*3</f>
        <v>16428.911293255056</v>
      </c>
      <c r="BU303" s="3065">
        <f t="shared" ref="BU303" si="920">BU316*AVERAGE(BR314:BU314)*3</f>
        <v>15496.50693360787</v>
      </c>
      <c r="BV303" s="3065">
        <f t="shared" ref="BV303" si="921">BV316*AVERAGE(BS314:BV314)*3</f>
        <v>16686.642954322146</v>
      </c>
      <c r="BW303" s="3065">
        <f t="shared" ref="BW303" si="922">BW316*AVERAGE(BT314:BW314)*3</f>
        <v>18235.860986659711</v>
      </c>
      <c r="BX303" s="3065">
        <f t="shared" ref="BX303" si="923">BX316*AVERAGE(BU314:BX314)*3</f>
        <v>19858.777363326677</v>
      </c>
      <c r="BY303" s="3065">
        <f t="shared" ref="BY303" si="924">BY316*AVERAGE(BV314:BY314)*3</f>
        <v>18440.84325099337</v>
      </c>
      <c r="BZ303" s="3065">
        <f t="shared" ref="BZ303" si="925">BZ316*AVERAGE(BW314:BZ314)*3</f>
        <v>19588.052408022664</v>
      </c>
      <c r="CA303" s="3065">
        <f t="shared" ref="CA303" si="926">CA316*AVERAGE(BX314:CA314)*3</f>
        <v>21152.720814491524</v>
      </c>
      <c r="CB303" s="3065">
        <f t="shared" ref="CB303" si="927">CB316*AVERAGE(BY314:CB314)*3</f>
        <v>22791.305106796441</v>
      </c>
      <c r="CC303" s="3065">
        <f>CC316*AVERAGE(BZ314:CC314)*3</f>
        <v>20962.954540068626</v>
      </c>
      <c r="CD303" s="3065">
        <f t="shared" ref="CD303" si="928">CD316*AVERAGE(CA314:CD314)*3</f>
        <v>22076.901635770053</v>
      </c>
      <c r="CE303" s="3065">
        <f t="shared" ref="CE303" si="929">CE316*AVERAGE(CB314:CE314)*3</f>
        <v>23657.018744122524</v>
      </c>
      <c r="CF303" s="3065">
        <f>CF316*AVERAGE(CC314:CF314)*3</f>
        <v>25333.104821167497</v>
      </c>
      <c r="CG303" s="3065">
        <f t="shared" ref="CG303" si="930">CG316*AVERAGE(CD314:CG314)*3</f>
        <v>23194.057081968029</v>
      </c>
      <c r="CH303" s="3065">
        <f t="shared" ref="CH303" si="931">CH316*AVERAGE(CE314:CH314)*3</f>
        <v>24350.083086496234</v>
      </c>
      <c r="CI303" s="3065">
        <f t="shared" ref="CI303" si="932">CI316*AVERAGE(CF314:CI314)*3</f>
        <v>26046.729948093067</v>
      </c>
      <c r="CJ303" s="3065">
        <f t="shared" ref="CJ303" si="933">CJ316*AVERAGE(CG314:CJ314)*3</f>
        <v>27852.166288133347</v>
      </c>
      <c r="CK303" s="3065">
        <f t="shared" ref="CK303" si="934">CK316*AVERAGE(CH314:CK314)*3</f>
        <v>25465.228995065991</v>
      </c>
      <c r="CL303" s="3065">
        <f t="shared" ref="CL303" si="935">CL316*AVERAGE(CI314:CL314)*3</f>
        <v>26698.896410768881</v>
      </c>
      <c r="CM303" s="3065">
        <f t="shared" ref="CM303" si="936">CM316*AVERAGE(CJ314:CM314)*3</f>
        <v>28522.566792724785</v>
      </c>
      <c r="CN303" s="3065">
        <f t="shared" ref="CN303" si="937">CN316*AVERAGE(CK314:CN314)*3</f>
        <v>30461.856971849367</v>
      </c>
      <c r="CO303" s="3065">
        <f t="shared" ref="CO303" si="938">CO316*AVERAGE(CL314:CO314)*3</f>
        <v>27817.970161855083</v>
      </c>
      <c r="CP303" s="3065">
        <f t="shared" ref="CP303" si="939">CP316*AVERAGE(CM314:CP314)*3</f>
        <v>29131.922234777834</v>
      </c>
      <c r="CQ303" s="3065">
        <f t="shared" ref="CQ303" si="940">CQ316*AVERAGE(CN314:CQ314)*3</f>
        <v>31087.018419162541</v>
      </c>
      <c r="CR303" s="3065">
        <f t="shared" ref="CR303" si="941">CR316*AVERAGE(CO314:CR314)*3</f>
        <v>33164.79441639877</v>
      </c>
      <c r="CS303" s="3065">
        <f t="shared" ref="CS303" si="942">CS316*AVERAGE(CP314:CS314)*3</f>
        <v>30254.634883717717</v>
      </c>
      <c r="CT303" s="3065">
        <f t="shared" ref="CT303" si="943">CT316*AVERAGE(CQ314:CT314)*3</f>
        <v>31651.589533182843</v>
      </c>
      <c r="CU303" s="3065">
        <f t="shared" ref="CU303" si="944">CU316*AVERAGE(CR314:CU314)*3</f>
        <v>33742.63908394071</v>
      </c>
      <c r="CV303" s="3065">
        <f t="shared" ref="CV303" si="945">CV316*AVERAGE(CS314:CV314)*3</f>
        <v>35963.664615941409</v>
      </c>
      <c r="CW303" s="3065">
        <f t="shared" ref="CW303" si="946">CW316*AVERAGE(CT314:CW314)*3</f>
        <v>32777.639006390113</v>
      </c>
      <c r="CX303" s="3065">
        <f t="shared" ref="CX303" si="947">CX316*AVERAGE(CU314:CX314)*3</f>
        <v>34260.390754630134</v>
      </c>
      <c r="CY303" s="3065">
        <f t="shared" ref="CY303" si="948">CY316*AVERAGE(CV314:CY314)*3</f>
        <v>36492.049767942342</v>
      </c>
      <c r="CZ303" s="3065">
        <f t="shared" ref="CZ303" si="949">CZ316*AVERAGE(CW314:CZ314)*3</f>
        <v>38861.223705699194</v>
      </c>
    </row>
    <row r="304" spans="1:104" s="3075" customFormat="1">
      <c r="A304" s="3067" t="s">
        <v>31</v>
      </c>
      <c r="B304" s="2684"/>
      <c r="C304" s="2685"/>
      <c r="D304" s="2685"/>
      <c r="E304" s="2685"/>
      <c r="F304" s="2685"/>
      <c r="G304" s="2685"/>
      <c r="H304" s="2685"/>
      <c r="I304" s="2685"/>
      <c r="J304" s="2685"/>
      <c r="K304" s="2921">
        <f>K303/J303-1</f>
        <v>3.9902879148869443</v>
      </c>
      <c r="L304" s="3068"/>
      <c r="M304" s="3068"/>
      <c r="N304" s="3068"/>
      <c r="O304" s="3068"/>
      <c r="P304" s="3068"/>
      <c r="Q304" s="3068"/>
      <c r="R304" s="3068"/>
      <c r="S304" s="3068"/>
      <c r="T304" s="2175">
        <v>301</v>
      </c>
      <c r="U304" s="3068"/>
      <c r="V304" s="3068"/>
      <c r="W304" s="3068"/>
      <c r="X304" s="3068"/>
      <c r="Y304" s="3068"/>
      <c r="Z304" s="3068"/>
      <c r="AA304" s="3068"/>
      <c r="AB304" s="3068"/>
      <c r="AC304" s="3068"/>
      <c r="AD304" s="3068"/>
      <c r="AE304" s="3068"/>
      <c r="AF304" s="3068"/>
      <c r="AG304" s="3068"/>
      <c r="AH304" s="3068"/>
      <c r="AI304" s="3068"/>
      <c r="AJ304" s="3068"/>
      <c r="AK304" s="3068"/>
      <c r="AL304" s="3068"/>
      <c r="AM304" s="3068"/>
      <c r="AN304" s="3068"/>
      <c r="AO304" s="3069"/>
      <c r="AP304" s="3069"/>
      <c r="AQ304" s="3069"/>
      <c r="AR304" s="3069"/>
      <c r="AS304" s="3070">
        <f>AS303/AO303-1</f>
        <v>4.4248952599608842</v>
      </c>
      <c r="AT304" s="3071">
        <f t="shared" ref="AT304:BH304" si="950">AT303/AP303-1</f>
        <v>5.3523228953532875</v>
      </c>
      <c r="AU304" s="3071">
        <f t="shared" si="950"/>
        <v>5.68852024748033</v>
      </c>
      <c r="AV304" s="3071">
        <f t="shared" si="950"/>
        <v>2.6691059952515439</v>
      </c>
      <c r="AW304" s="3072">
        <f t="shared" si="950"/>
        <v>0.87102814087097502</v>
      </c>
      <c r="AX304" s="3073">
        <f t="shared" si="950"/>
        <v>0.75991142059244998</v>
      </c>
      <c r="AY304" s="3073">
        <f t="shared" si="950"/>
        <v>0.95860352421772355</v>
      </c>
      <c r="AZ304" s="3073">
        <f t="shared" si="950"/>
        <v>0.68098430404930665</v>
      </c>
      <c r="BA304" s="3074">
        <f t="shared" si="950"/>
        <v>0.9758620689655173</v>
      </c>
      <c r="BB304" s="3074">
        <f t="shared" si="950"/>
        <v>0.87479892761394096</v>
      </c>
      <c r="BC304" s="3074">
        <f t="shared" si="950"/>
        <v>0.88124999999999987</v>
      </c>
      <c r="BD304" s="3074">
        <f t="shared" si="950"/>
        <v>0.9027272727272726</v>
      </c>
      <c r="BE304" s="3074">
        <f t="shared" si="950"/>
        <v>0.95523560209424119</v>
      </c>
      <c r="BF304" s="3074">
        <f t="shared" si="950"/>
        <v>0.95337837837837847</v>
      </c>
      <c r="BG304" s="3074">
        <f t="shared" si="950"/>
        <v>0.9480620155038757</v>
      </c>
      <c r="BH304" s="3074">
        <f t="shared" si="950"/>
        <v>0.94665551839464923</v>
      </c>
      <c r="BI304" s="3074">
        <f t="shared" ref="BI304" si="951">BI303/BE303-1</f>
        <v>0.86480787253983138</v>
      </c>
      <c r="BJ304" s="3074">
        <f t="shared" ref="BJ304" si="952">BJ303/BF303-1</f>
        <v>0.83474576271186396</v>
      </c>
      <c r="BK304" s="3074">
        <f t="shared" ref="BK304" si="953">BK303/BG303-1</f>
        <v>0.79143454038997252</v>
      </c>
      <c r="BL304" s="3074">
        <f t="shared" ref="BL304" si="954">BL303/BH303-1</f>
        <v>0.7363199037883339</v>
      </c>
      <c r="BM304" s="3074">
        <f t="shared" ref="BM304" si="955">BM303/BI303-1</f>
        <v>0.68997361477572539</v>
      </c>
      <c r="BN304" s="3074">
        <f t="shared" ref="BN304" si="956">BN303/BJ303-1</f>
        <v>0.62471131639722866</v>
      </c>
      <c r="BO304" s="3074">
        <f t="shared" ref="BO304" si="957">BO303/BK303-1</f>
        <v>0.56428571428571406</v>
      </c>
      <c r="BP304" s="3074">
        <f t="shared" ref="BP304" si="958">BP303/BL303-1</f>
        <v>0.50818181818181829</v>
      </c>
      <c r="BQ304" s="3074">
        <f t="shared" ref="BQ304" si="959">BQ303/BM303-1</f>
        <v>0.41963934426229499</v>
      </c>
      <c r="BR304" s="3074">
        <f t="shared" ref="BR304" si="960">BR303/BN303-1</f>
        <v>0.38080597014925388</v>
      </c>
      <c r="BS304" s="3074">
        <f t="shared" ref="BS304" si="961">BS303/BO303-1</f>
        <v>0.34695890410958907</v>
      </c>
      <c r="BT304" s="3074">
        <f t="shared" ref="BT304" si="962">BT303/BP303-1</f>
        <v>0.31437974683544323</v>
      </c>
      <c r="BU304" s="3074">
        <f t="shared" ref="BU304" si="963">BU303/BQ303-1</f>
        <v>0.28455123674911653</v>
      </c>
      <c r="BV304" s="3074">
        <f t="shared" ref="BV304" si="964">BV303/BR303-1</f>
        <v>0.2568379272326351</v>
      </c>
      <c r="BW304" s="3074">
        <f t="shared" ref="BW304" si="965">BW303/BS303-1</f>
        <v>0.23077178423236511</v>
      </c>
      <c r="BX304" s="3074">
        <f t="shared" ref="BX304" si="966">BX303/BT303-1</f>
        <v>0.20877013752455786</v>
      </c>
      <c r="BY304" s="3074">
        <f t="shared" ref="BY304" si="967">BY303/BU303-1</f>
        <v>0.19000000000000017</v>
      </c>
      <c r="BZ304" s="3074">
        <f t="shared" ref="BZ304" si="968">BZ303/BV303-1</f>
        <v>0.17387616320687194</v>
      </c>
      <c r="CA304" s="3074">
        <f t="shared" ref="CA304" si="969">CA303/BW303-1</f>
        <v>0.15995185694635516</v>
      </c>
      <c r="CB304" s="3074">
        <f t="shared" ref="CB304" si="970">CB303/BX303-1</f>
        <v>0.14766909814323625</v>
      </c>
      <c r="CC304" s="3074">
        <f t="shared" ref="CC304" si="971">CC303/BY303-1</f>
        <v>0.13676767676767687</v>
      </c>
      <c r="CD304" s="3074">
        <f t="shared" ref="CD304" si="972">CD303/BZ303-1</f>
        <v>0.1270595552791165</v>
      </c>
      <c r="CE304" s="3074">
        <f t="shared" ref="CE304" si="973">CE303/CA303-1</f>
        <v>0.11839129120048386</v>
      </c>
      <c r="CF304" s="3074">
        <f t="shared" ref="CF304" si="974">CF303/CB303-1</f>
        <v>0.11152497421541185</v>
      </c>
      <c r="CG304" s="3074">
        <f t="shared" ref="CG304" si="975">CG303/CC303-1</f>
        <v>0.10643072939145437</v>
      </c>
      <c r="CH304" s="3074">
        <f t="shared" ref="CH304" si="976">CH303/CD303-1</f>
        <v>0.10296650717703359</v>
      </c>
      <c r="CI304" s="3074">
        <f t="shared" ref="CI304" si="977">CI303/CE303-1</f>
        <v>0.10101489244346373</v>
      </c>
      <c r="CJ304" s="3074">
        <f t="shared" ref="CJ304" si="978">CJ303/CF303-1</f>
        <v>9.9437533802055222E-2</v>
      </c>
      <c r="CK304" s="3074">
        <f t="shared" ref="CK304" si="979">CK303/CG303-1</f>
        <v>9.7920424403183048E-2</v>
      </c>
      <c r="CL304" s="3074">
        <f t="shared" ref="CL304" si="980">CL303/CH303-1</f>
        <v>9.6460176991150615E-2</v>
      </c>
      <c r="CM304" s="3074">
        <f t="shared" ref="CM304" si="981">CM303/CI303-1</f>
        <v>9.50536535513542E-2</v>
      </c>
      <c r="CN304" s="3074">
        <f t="shared" ref="CN304" si="982">CN303/CJ303-1</f>
        <v>9.3697942799799483E-2</v>
      </c>
      <c r="CO304" s="3074">
        <f t="shared" ref="CO304" si="983">CO303/CK303-1</f>
        <v>9.2390340068999377E-2</v>
      </c>
      <c r="CP304" s="3074">
        <f t="shared" ref="CP304" si="984">CP303/CL303-1</f>
        <v>9.1128329297820887E-2</v>
      </c>
      <c r="CQ304" s="3074">
        <f t="shared" ref="CQ304" si="985">CQ303/CM303-1</f>
        <v>8.9909566872917956E-2</v>
      </c>
      <c r="CR304" s="3074">
        <f t="shared" ref="CR304" si="986">CR303/CN303-1</f>
        <v>8.8731867103416073E-2</v>
      </c>
      <c r="CS304" s="3074">
        <f t="shared" ref="CS304" si="987">CS303/CO303-1</f>
        <v>8.759318913943881E-2</v>
      </c>
      <c r="CT304" s="3074">
        <f t="shared" ref="CT304" si="988">CT303/CP303-1</f>
        <v>8.6491625169760278E-2</v>
      </c>
      <c r="CU304" s="3074">
        <f t="shared" ref="CU304" si="989">CU303/CQ303-1</f>
        <v>8.5425389755011016E-2</v>
      </c>
      <c r="CV304" s="3074">
        <f t="shared" ref="CV304" si="990">CV303/CR303-1</f>
        <v>8.4392810170977661E-2</v>
      </c>
      <c r="CW304" s="3074"/>
      <c r="CX304" s="3074"/>
      <c r="CY304" s="3074"/>
      <c r="CZ304" s="3074"/>
    </row>
    <row r="305" spans="1:105" s="2919" customFormat="1" outlineLevel="1">
      <c r="A305" s="3076" t="s">
        <v>312</v>
      </c>
      <c r="B305" s="2954"/>
      <c r="C305" s="2955"/>
      <c r="D305" s="2955"/>
      <c r="E305" s="2955"/>
      <c r="F305" s="2955"/>
      <c r="G305" s="2955"/>
      <c r="H305" s="2955"/>
      <c r="I305" s="2955"/>
      <c r="J305" s="2955"/>
      <c r="K305" s="3077"/>
      <c r="L305" s="3078"/>
      <c r="M305" s="3078"/>
      <c r="N305" s="3078"/>
      <c r="O305" s="3078"/>
      <c r="P305" s="3078"/>
      <c r="Q305" s="3078"/>
      <c r="R305" s="3078"/>
      <c r="S305" s="3078"/>
      <c r="T305" s="2175">
        <v>302</v>
      </c>
      <c r="U305" s="3078"/>
      <c r="V305" s="3078"/>
      <c r="W305" s="3078"/>
      <c r="X305" s="3078"/>
      <c r="Y305" s="3078"/>
      <c r="Z305" s="3078"/>
      <c r="AA305" s="3078"/>
      <c r="AB305" s="3078"/>
      <c r="AC305" s="3078"/>
      <c r="AD305" s="3078"/>
      <c r="AE305" s="3078"/>
      <c r="AF305" s="3078"/>
      <c r="AG305" s="3078"/>
      <c r="AH305" s="3078"/>
      <c r="AI305" s="3078"/>
      <c r="AJ305" s="3078"/>
      <c r="AK305" s="3078"/>
      <c r="AL305" s="3078"/>
      <c r="AM305" s="3078"/>
      <c r="AN305" s="3078"/>
      <c r="AO305" s="3079"/>
      <c r="AP305" s="3079"/>
      <c r="AQ305" s="3079"/>
      <c r="AR305" s="3079"/>
      <c r="AS305" s="3080"/>
      <c r="AT305" s="3079"/>
      <c r="AU305" s="3079">
        <f>AU306*AU303</f>
        <v>76.561350597060027</v>
      </c>
      <c r="AV305" s="3079"/>
      <c r="AW305" s="3081"/>
      <c r="AX305" s="3082"/>
      <c r="AY305" s="3082"/>
      <c r="AZ305" s="3082"/>
      <c r="BA305" s="3083"/>
      <c r="BB305" s="3083"/>
      <c r="BC305" s="3083"/>
      <c r="BD305" s="3083"/>
      <c r="BE305" s="3083"/>
      <c r="BF305" s="3083"/>
      <c r="BG305" s="3083"/>
      <c r="BH305" s="3083"/>
      <c r="BI305" s="3083"/>
      <c r="BJ305" s="3083"/>
      <c r="BK305" s="3083"/>
      <c r="BL305" s="3083"/>
      <c r="BM305" s="3083"/>
      <c r="BN305" s="3083"/>
      <c r="BO305" s="3083"/>
      <c r="BP305" s="3083"/>
      <c r="BQ305" s="3083"/>
      <c r="BR305" s="3083"/>
      <c r="BS305" s="3083"/>
      <c r="BT305" s="3083"/>
      <c r="BU305" s="3083"/>
      <c r="BV305" s="3083"/>
      <c r="BW305" s="3083"/>
      <c r="BX305" s="3083"/>
      <c r="BY305" s="3083"/>
      <c r="BZ305" s="3083"/>
      <c r="CA305" s="3083"/>
      <c r="CB305" s="3083"/>
      <c r="CC305" s="3083"/>
      <c r="CD305" s="3083"/>
      <c r="CE305" s="3083"/>
      <c r="CF305" s="3083"/>
      <c r="CG305" s="3083"/>
      <c r="CH305" s="3083"/>
      <c r="CI305" s="3083"/>
      <c r="CJ305" s="3083"/>
      <c r="CK305" s="3083"/>
      <c r="CL305" s="3083"/>
      <c r="CM305" s="3083"/>
      <c r="CN305" s="3083"/>
      <c r="CO305" s="3083"/>
      <c r="CP305" s="3083"/>
      <c r="CQ305" s="3083"/>
      <c r="CR305" s="3083"/>
      <c r="CS305" s="3083"/>
      <c r="CT305" s="3083"/>
      <c r="CU305" s="3083"/>
      <c r="CV305" s="3083"/>
      <c r="CW305" s="3083"/>
      <c r="CX305" s="3083"/>
      <c r="CY305" s="3083"/>
      <c r="CZ305" s="3083"/>
    </row>
    <row r="306" spans="1:105" s="3075" customFormat="1" outlineLevel="1">
      <c r="A306" s="3084" t="s">
        <v>313</v>
      </c>
      <c r="B306" s="2684"/>
      <c r="C306" s="2685"/>
      <c r="D306" s="2685"/>
      <c r="E306" s="2685"/>
      <c r="F306" s="2685"/>
      <c r="G306" s="2685"/>
      <c r="H306" s="2685"/>
      <c r="I306" s="2685"/>
      <c r="J306" s="2685"/>
      <c r="K306" s="2921"/>
      <c r="L306" s="3068"/>
      <c r="M306" s="3068"/>
      <c r="N306" s="3068"/>
      <c r="O306" s="3068"/>
      <c r="P306" s="3068"/>
      <c r="Q306" s="3068"/>
      <c r="R306" s="3068"/>
      <c r="S306" s="3068"/>
      <c r="T306" s="2175">
        <v>303</v>
      </c>
      <c r="U306" s="3068"/>
      <c r="V306" s="3068"/>
      <c r="W306" s="3068"/>
      <c r="X306" s="3068"/>
      <c r="Y306" s="3068"/>
      <c r="Z306" s="3068"/>
      <c r="AA306" s="3068"/>
      <c r="AB306" s="3068"/>
      <c r="AC306" s="3068"/>
      <c r="AD306" s="3068"/>
      <c r="AE306" s="3068"/>
      <c r="AF306" s="3068"/>
      <c r="AG306" s="3068"/>
      <c r="AH306" s="3068"/>
      <c r="AI306" s="3068"/>
      <c r="AJ306" s="3068"/>
      <c r="AK306" s="3068"/>
      <c r="AL306" s="3068"/>
      <c r="AM306" s="3068"/>
      <c r="AN306" s="3068"/>
      <c r="AO306" s="3069"/>
      <c r="AP306" s="3069"/>
      <c r="AQ306" s="3069"/>
      <c r="AR306" s="3069"/>
      <c r="AS306" s="3085"/>
      <c r="AT306" s="3069"/>
      <c r="AU306" s="3069">
        <f>14%</f>
        <v>0.14000000000000001</v>
      </c>
      <c r="AV306" s="3069"/>
      <c r="AW306" s="3086"/>
      <c r="AX306" s="3087"/>
      <c r="AY306" s="3087"/>
      <c r="AZ306" s="3087"/>
      <c r="BA306" s="3088"/>
      <c r="BB306" s="3088"/>
      <c r="BC306" s="3088"/>
      <c r="BD306" s="3088"/>
      <c r="BE306" s="3088"/>
      <c r="BF306" s="3088"/>
      <c r="BG306" s="3088"/>
      <c r="BH306" s="3088"/>
      <c r="BI306" s="3088"/>
      <c r="BJ306" s="3088"/>
      <c r="BK306" s="3088"/>
      <c r="BL306" s="3088"/>
      <c r="BM306" s="3088"/>
      <c r="BN306" s="3088"/>
      <c r="BO306" s="3088"/>
      <c r="BP306" s="3088"/>
      <c r="BQ306" s="3088"/>
      <c r="BR306" s="3088"/>
      <c r="BS306" s="3088"/>
      <c r="BT306" s="3088"/>
      <c r="BU306" s="3088"/>
      <c r="BV306" s="3088"/>
      <c r="BW306" s="3088"/>
      <c r="BX306" s="3088"/>
      <c r="BY306" s="3088"/>
      <c r="BZ306" s="3088"/>
      <c r="CA306" s="3088"/>
      <c r="CB306" s="3088"/>
      <c r="CC306" s="3088"/>
      <c r="CD306" s="3088"/>
      <c r="CE306" s="3088"/>
      <c r="CF306" s="3088"/>
      <c r="CG306" s="3088"/>
      <c r="CH306" s="3088"/>
      <c r="CI306" s="3088"/>
      <c r="CJ306" s="3088"/>
      <c r="CK306" s="3088"/>
      <c r="CL306" s="3088"/>
      <c r="CM306" s="3088"/>
      <c r="CN306" s="3088"/>
      <c r="CO306" s="3088"/>
      <c r="CP306" s="3088"/>
      <c r="CQ306" s="3088"/>
      <c r="CR306" s="3088"/>
      <c r="CS306" s="3088"/>
      <c r="CT306" s="3088"/>
      <c r="CU306" s="3088"/>
      <c r="CV306" s="3088"/>
      <c r="CW306" s="3088"/>
      <c r="CX306" s="3088"/>
      <c r="CY306" s="3088"/>
      <c r="CZ306" s="3088"/>
    </row>
    <row r="307" spans="1:105" s="2919" customFormat="1" outlineLevel="1">
      <c r="A307" s="3076" t="s">
        <v>314</v>
      </c>
      <c r="B307" s="2954"/>
      <c r="C307" s="2955"/>
      <c r="D307" s="2955"/>
      <c r="E307" s="2955"/>
      <c r="F307" s="2955"/>
      <c r="G307" s="2955"/>
      <c r="H307" s="2955"/>
      <c r="I307" s="2955"/>
      <c r="J307" s="2955"/>
      <c r="K307" s="3077"/>
      <c r="L307" s="3078"/>
      <c r="M307" s="3078"/>
      <c r="N307" s="3078"/>
      <c r="O307" s="3078"/>
      <c r="P307" s="3078"/>
      <c r="Q307" s="3078"/>
      <c r="R307" s="3078"/>
      <c r="S307" s="3078"/>
      <c r="T307" s="2175">
        <v>304</v>
      </c>
      <c r="U307" s="3078"/>
      <c r="V307" s="3078"/>
      <c r="W307" s="3078"/>
      <c r="X307" s="3078"/>
      <c r="Y307" s="3078"/>
      <c r="Z307" s="3078"/>
      <c r="AA307" s="3078"/>
      <c r="AB307" s="3078"/>
      <c r="AC307" s="3078"/>
      <c r="AD307" s="3078"/>
      <c r="AE307" s="3078"/>
      <c r="AF307" s="3078"/>
      <c r="AG307" s="3078"/>
      <c r="AH307" s="3078"/>
      <c r="AI307" s="3078"/>
      <c r="AJ307" s="3078"/>
      <c r="AK307" s="3078"/>
      <c r="AL307" s="3078"/>
      <c r="AM307" s="3078"/>
      <c r="AN307" s="3078"/>
      <c r="AO307" s="3079"/>
      <c r="AP307" s="3079"/>
      <c r="AQ307" s="3079"/>
      <c r="AR307" s="3079"/>
      <c r="AS307" s="3080"/>
      <c r="AT307" s="3079"/>
      <c r="AU307" s="3079"/>
      <c r="AV307" s="3079"/>
      <c r="AW307" s="3081"/>
      <c r="AX307" s="3082"/>
      <c r="AY307" s="3082"/>
      <c r="AZ307" s="3082"/>
      <c r="BA307" s="3083"/>
      <c r="BB307" s="3083"/>
      <c r="BC307" s="3083"/>
      <c r="BD307" s="3083"/>
      <c r="BE307" s="3083"/>
      <c r="BF307" s="3083"/>
      <c r="BG307" s="3083"/>
      <c r="BH307" s="3083"/>
      <c r="BI307" s="3083"/>
      <c r="BJ307" s="3083"/>
      <c r="BK307" s="3083"/>
      <c r="BL307" s="3083"/>
      <c r="BM307" s="3083"/>
      <c r="BN307" s="3083"/>
      <c r="BO307" s="3083"/>
      <c r="BP307" s="3083"/>
      <c r="BQ307" s="3083"/>
      <c r="BR307" s="3083"/>
      <c r="BS307" s="3083"/>
      <c r="BT307" s="3083"/>
      <c r="BU307" s="3083"/>
      <c r="BV307" s="3083"/>
      <c r="BW307" s="3083"/>
      <c r="BX307" s="3083"/>
      <c r="BY307" s="3083"/>
      <c r="BZ307" s="3083"/>
      <c r="CA307" s="3083"/>
      <c r="CB307" s="3083"/>
      <c r="CC307" s="3083"/>
      <c r="CD307" s="3083"/>
      <c r="CE307" s="3083"/>
      <c r="CF307" s="3083"/>
      <c r="CG307" s="3083"/>
      <c r="CH307" s="3083"/>
      <c r="CI307" s="3083"/>
      <c r="CJ307" s="3083"/>
      <c r="CK307" s="3083"/>
      <c r="CL307" s="3083"/>
      <c r="CM307" s="3083"/>
      <c r="CN307" s="3083"/>
      <c r="CO307" s="3083"/>
      <c r="CP307" s="3083"/>
      <c r="CQ307" s="3083"/>
      <c r="CR307" s="3083"/>
      <c r="CS307" s="3083"/>
      <c r="CT307" s="3083"/>
      <c r="CU307" s="3083"/>
      <c r="CV307" s="3083"/>
      <c r="CW307" s="3083"/>
      <c r="CX307" s="3083"/>
      <c r="CY307" s="3083"/>
      <c r="CZ307" s="3083"/>
    </row>
    <row r="308" spans="1:105" s="2919" customFormat="1" outlineLevel="1">
      <c r="A308" s="3076" t="s">
        <v>315</v>
      </c>
      <c r="B308" s="2954"/>
      <c r="C308" s="2955"/>
      <c r="D308" s="2955"/>
      <c r="E308" s="2955"/>
      <c r="F308" s="2955"/>
      <c r="G308" s="2955"/>
      <c r="H308" s="2955"/>
      <c r="I308" s="2955"/>
      <c r="J308" s="2955"/>
      <c r="K308" s="3077"/>
      <c r="L308" s="3078"/>
      <c r="M308" s="3078"/>
      <c r="N308" s="3078"/>
      <c r="O308" s="3078"/>
      <c r="P308" s="3078"/>
      <c r="Q308" s="3078"/>
      <c r="R308" s="3078"/>
      <c r="S308" s="3078"/>
      <c r="T308" s="2175">
        <v>305</v>
      </c>
      <c r="U308" s="3078"/>
      <c r="V308" s="3078"/>
      <c r="W308" s="3078"/>
      <c r="X308" s="3078"/>
      <c r="Y308" s="3078"/>
      <c r="Z308" s="3078"/>
      <c r="AA308" s="3078"/>
      <c r="AB308" s="3078"/>
      <c r="AC308" s="3078"/>
      <c r="AD308" s="3078"/>
      <c r="AE308" s="3078"/>
      <c r="AF308" s="3078"/>
      <c r="AG308" s="3078"/>
      <c r="AH308" s="3078"/>
      <c r="AI308" s="3078"/>
      <c r="AJ308" s="3078"/>
      <c r="AK308" s="3078"/>
      <c r="AL308" s="3078"/>
      <c r="AM308" s="3078"/>
      <c r="AN308" s="3078"/>
      <c r="AO308" s="3079"/>
      <c r="AP308" s="3079"/>
      <c r="AQ308" s="3079"/>
      <c r="AR308" s="3079"/>
      <c r="AS308" s="3080"/>
      <c r="AT308" s="3079"/>
      <c r="AU308" s="3079"/>
      <c r="AV308" s="3079"/>
      <c r="AW308" s="3081"/>
      <c r="AX308" s="3082"/>
      <c r="AY308" s="3082"/>
      <c r="AZ308" s="3082"/>
      <c r="BA308" s="3083"/>
      <c r="BB308" s="3083"/>
      <c r="BC308" s="3083"/>
      <c r="BD308" s="3083"/>
      <c r="BE308" s="3083"/>
      <c r="BF308" s="3083"/>
      <c r="BG308" s="3083"/>
      <c r="BH308" s="3083"/>
      <c r="BI308" s="3083"/>
      <c r="BJ308" s="3083"/>
      <c r="BK308" s="3083"/>
      <c r="BL308" s="3083"/>
      <c r="BM308" s="3083"/>
      <c r="BN308" s="3083"/>
      <c r="BO308" s="3083"/>
      <c r="BP308" s="3083"/>
      <c r="BQ308" s="3083"/>
      <c r="BR308" s="3083"/>
      <c r="BS308" s="3083"/>
      <c r="BT308" s="3083"/>
      <c r="BU308" s="3083"/>
      <c r="BV308" s="3083"/>
      <c r="BW308" s="3083"/>
      <c r="BX308" s="3083"/>
      <c r="BY308" s="3083"/>
      <c r="BZ308" s="3083"/>
      <c r="CA308" s="3083"/>
      <c r="CB308" s="3083"/>
      <c r="CC308" s="3083"/>
      <c r="CD308" s="3083"/>
      <c r="CE308" s="3083"/>
      <c r="CF308" s="3083"/>
      <c r="CG308" s="3083"/>
      <c r="CH308" s="3083"/>
      <c r="CI308" s="3083"/>
      <c r="CJ308" s="3083"/>
      <c r="CK308" s="3083"/>
      <c r="CL308" s="3083"/>
      <c r="CM308" s="3083"/>
      <c r="CN308" s="3083"/>
      <c r="CO308" s="3083"/>
      <c r="CP308" s="3083"/>
      <c r="CQ308" s="3083"/>
      <c r="CR308" s="3083"/>
      <c r="CS308" s="3083"/>
      <c r="CT308" s="3083"/>
      <c r="CU308" s="3083"/>
      <c r="CV308" s="3083"/>
      <c r="CW308" s="3083"/>
      <c r="CX308" s="3083"/>
      <c r="CY308" s="3083"/>
      <c r="CZ308" s="3083"/>
    </row>
    <row r="309" spans="1:105" s="3075" customFormat="1" outlineLevel="1">
      <c r="A309" s="3084" t="s">
        <v>191</v>
      </c>
      <c r="B309" s="2684"/>
      <c r="C309" s="2685"/>
      <c r="D309" s="2685"/>
      <c r="E309" s="2685"/>
      <c r="F309" s="2685"/>
      <c r="G309" s="2685"/>
      <c r="H309" s="2685"/>
      <c r="I309" s="2685"/>
      <c r="J309" s="2685"/>
      <c r="K309" s="2921"/>
      <c r="L309" s="3068"/>
      <c r="M309" s="3068"/>
      <c r="N309" s="3068"/>
      <c r="O309" s="3068"/>
      <c r="P309" s="3068"/>
      <c r="Q309" s="3068"/>
      <c r="R309" s="3068"/>
      <c r="S309" s="3068"/>
      <c r="T309" s="2175">
        <v>306</v>
      </c>
      <c r="U309" s="3068"/>
      <c r="V309" s="3068"/>
      <c r="W309" s="3068"/>
      <c r="X309" s="3068"/>
      <c r="Y309" s="3068"/>
      <c r="Z309" s="3068"/>
      <c r="AA309" s="3068"/>
      <c r="AB309" s="3068"/>
      <c r="AC309" s="3068"/>
      <c r="AD309" s="3068"/>
      <c r="AE309" s="3068"/>
      <c r="AF309" s="3068"/>
      <c r="AG309" s="3068"/>
      <c r="AH309" s="3068"/>
      <c r="AI309" s="3068"/>
      <c r="AJ309" s="3068"/>
      <c r="AK309" s="3068"/>
      <c r="AL309" s="3068"/>
      <c r="AM309" s="3068"/>
      <c r="AN309" s="3068"/>
      <c r="AO309" s="3069"/>
      <c r="AP309" s="3069"/>
      <c r="AQ309" s="3069"/>
      <c r="AR309" s="3069"/>
      <c r="AS309" s="3085"/>
      <c r="AT309" s="3069"/>
      <c r="AU309" s="3069"/>
      <c r="AV309" s="3069"/>
      <c r="AW309" s="3086"/>
      <c r="AX309" s="3087"/>
      <c r="AY309" s="3087"/>
      <c r="AZ309" s="3087"/>
      <c r="BA309" s="3088"/>
      <c r="BB309" s="3088"/>
      <c r="BC309" s="3088"/>
      <c r="BD309" s="3088"/>
      <c r="BE309" s="3088"/>
      <c r="BF309" s="3088"/>
      <c r="BG309" s="3088"/>
      <c r="BH309" s="3088"/>
      <c r="BI309" s="3088"/>
      <c r="BJ309" s="3088"/>
      <c r="BK309" s="3088"/>
      <c r="BL309" s="3088"/>
      <c r="BM309" s="3088"/>
      <c r="BN309" s="3088"/>
      <c r="BO309" s="3088"/>
      <c r="BP309" s="3088"/>
      <c r="BQ309" s="3088"/>
      <c r="BR309" s="3088"/>
      <c r="BS309" s="3088"/>
      <c r="BT309" s="3088"/>
      <c r="BU309" s="3088"/>
      <c r="BV309" s="3088"/>
      <c r="BW309" s="3088"/>
      <c r="BX309" s="3088"/>
      <c r="BY309" s="3088"/>
      <c r="BZ309" s="3088"/>
      <c r="CA309" s="3088"/>
      <c r="CB309" s="3088"/>
      <c r="CC309" s="3088"/>
      <c r="CD309" s="3088"/>
      <c r="CE309" s="3088"/>
      <c r="CF309" s="3088"/>
      <c r="CG309" s="3088"/>
      <c r="CH309" s="3088"/>
      <c r="CI309" s="3088"/>
      <c r="CJ309" s="3088"/>
      <c r="CK309" s="3088"/>
      <c r="CL309" s="3088"/>
      <c r="CM309" s="3088"/>
      <c r="CN309" s="3088"/>
      <c r="CO309" s="3088"/>
      <c r="CP309" s="3088"/>
      <c r="CQ309" s="3088"/>
      <c r="CR309" s="3088"/>
      <c r="CS309" s="3088"/>
      <c r="CT309" s="3088"/>
      <c r="CU309" s="3088"/>
      <c r="CV309" s="3088"/>
      <c r="CW309" s="3088"/>
      <c r="CX309" s="3088"/>
      <c r="CY309" s="3088"/>
      <c r="CZ309" s="3088"/>
    </row>
    <row r="310" spans="1:105" s="2919" customFormat="1" outlineLevel="1">
      <c r="A310" s="3076" t="s">
        <v>49</v>
      </c>
      <c r="B310" s="2954"/>
      <c r="C310" s="2955"/>
      <c r="D310" s="2955"/>
      <c r="E310" s="2955"/>
      <c r="F310" s="2955"/>
      <c r="G310" s="2955"/>
      <c r="H310" s="2955"/>
      <c r="I310" s="2955"/>
      <c r="J310" s="2955"/>
      <c r="K310" s="3077"/>
      <c r="L310" s="3078"/>
      <c r="M310" s="3078"/>
      <c r="N310" s="3078"/>
      <c r="O310" s="3078"/>
      <c r="P310" s="3078"/>
      <c r="Q310" s="3078"/>
      <c r="R310" s="3078"/>
      <c r="S310" s="3078"/>
      <c r="T310" s="2175">
        <v>307</v>
      </c>
      <c r="U310" s="3078"/>
      <c r="V310" s="3078"/>
      <c r="W310" s="3078"/>
      <c r="X310" s="3078"/>
      <c r="Y310" s="3078"/>
      <c r="Z310" s="3078"/>
      <c r="AA310" s="3078"/>
      <c r="AB310" s="3078"/>
      <c r="AC310" s="3078"/>
      <c r="AD310" s="3078"/>
      <c r="AE310" s="3078"/>
      <c r="AF310" s="3078"/>
      <c r="AG310" s="3078"/>
      <c r="AH310" s="3078"/>
      <c r="AI310" s="3078"/>
      <c r="AJ310" s="3078"/>
      <c r="AK310" s="3078"/>
      <c r="AL310" s="3078"/>
      <c r="AM310" s="3078"/>
      <c r="AN310" s="3078"/>
      <c r="AO310" s="3079"/>
      <c r="AP310" s="3079"/>
      <c r="AQ310" s="3079"/>
      <c r="AR310" s="3079"/>
      <c r="AS310" s="3080"/>
      <c r="AT310" s="3079"/>
      <c r="AU310" s="3079"/>
      <c r="AV310" s="3079"/>
      <c r="AW310" s="3081"/>
      <c r="AX310" s="3082"/>
      <c r="AY310" s="3082"/>
      <c r="AZ310" s="3082"/>
      <c r="BA310" s="3083"/>
      <c r="BB310" s="3083"/>
      <c r="BC310" s="3083"/>
      <c r="BD310" s="3083"/>
      <c r="BE310" s="3083"/>
      <c r="BF310" s="3083"/>
      <c r="BG310" s="3083"/>
      <c r="BH310" s="3083"/>
      <c r="BI310" s="3083"/>
      <c r="BJ310" s="3083"/>
      <c r="BK310" s="3083"/>
      <c r="BL310" s="3083"/>
      <c r="BM310" s="3083"/>
      <c r="BN310" s="3083"/>
      <c r="BO310" s="3083"/>
      <c r="BP310" s="3083"/>
      <c r="BQ310" s="3083"/>
      <c r="BR310" s="3083"/>
      <c r="BS310" s="3083"/>
      <c r="BT310" s="3083"/>
      <c r="BU310" s="3083"/>
      <c r="BV310" s="3083"/>
      <c r="BW310" s="3083"/>
      <c r="BX310" s="3083"/>
      <c r="BY310" s="3083"/>
      <c r="BZ310" s="3083"/>
      <c r="CA310" s="3083"/>
      <c r="CB310" s="3083"/>
      <c r="CC310" s="3083"/>
      <c r="CD310" s="3083"/>
      <c r="CE310" s="3083"/>
      <c r="CF310" s="3083"/>
      <c r="CG310" s="3083"/>
      <c r="CH310" s="3083"/>
      <c r="CI310" s="3083"/>
      <c r="CJ310" s="3083"/>
      <c r="CK310" s="3083"/>
      <c r="CL310" s="3083"/>
      <c r="CM310" s="3083"/>
      <c r="CN310" s="3083"/>
      <c r="CO310" s="3083"/>
      <c r="CP310" s="3083"/>
      <c r="CQ310" s="3083"/>
      <c r="CR310" s="3083"/>
      <c r="CS310" s="3083"/>
      <c r="CT310" s="3083"/>
      <c r="CU310" s="3083"/>
      <c r="CV310" s="3083"/>
      <c r="CW310" s="3083"/>
      <c r="CX310" s="3083"/>
      <c r="CY310" s="3083"/>
      <c r="CZ310" s="3083"/>
    </row>
    <row r="311" spans="1:105" s="2919" customFormat="1" outlineLevel="1">
      <c r="A311" s="3076" t="s">
        <v>8</v>
      </c>
      <c r="B311" s="2954"/>
      <c r="C311" s="2955"/>
      <c r="D311" s="2955"/>
      <c r="E311" s="2955"/>
      <c r="F311" s="2955"/>
      <c r="G311" s="2955"/>
      <c r="H311" s="2955"/>
      <c r="I311" s="2955"/>
      <c r="J311" s="2955"/>
      <c r="K311" s="3077"/>
      <c r="L311" s="3078"/>
      <c r="M311" s="3078"/>
      <c r="N311" s="3078"/>
      <c r="O311" s="3078"/>
      <c r="P311" s="3078"/>
      <c r="Q311" s="3078"/>
      <c r="R311" s="3078"/>
      <c r="S311" s="3078"/>
      <c r="T311" s="2175">
        <v>308</v>
      </c>
      <c r="U311" s="3078"/>
      <c r="V311" s="3078"/>
      <c r="W311" s="3078"/>
      <c r="X311" s="3078"/>
      <c r="Y311" s="3078"/>
      <c r="Z311" s="3078"/>
      <c r="AA311" s="3078"/>
      <c r="AB311" s="3078"/>
      <c r="AC311" s="3078"/>
      <c r="AD311" s="3078"/>
      <c r="AE311" s="3078"/>
      <c r="AF311" s="3078"/>
      <c r="AG311" s="3078"/>
      <c r="AH311" s="3078"/>
      <c r="AI311" s="3078"/>
      <c r="AJ311" s="3078"/>
      <c r="AK311" s="3078"/>
      <c r="AL311" s="3078"/>
      <c r="AM311" s="3078"/>
      <c r="AN311" s="3078"/>
      <c r="AO311" s="3079"/>
      <c r="AP311" s="3079"/>
      <c r="AQ311" s="3079"/>
      <c r="AR311" s="3079"/>
      <c r="AS311" s="3080"/>
      <c r="AT311" s="3079"/>
      <c r="AU311" s="3079"/>
      <c r="AV311" s="3079"/>
      <c r="AW311" s="3081"/>
      <c r="AX311" s="3082"/>
      <c r="AY311" s="3082"/>
      <c r="AZ311" s="3082"/>
      <c r="BA311" s="3083"/>
      <c r="BB311" s="3083"/>
      <c r="BC311" s="3083"/>
      <c r="BD311" s="3083"/>
      <c r="BE311" s="3083"/>
      <c r="BF311" s="3083"/>
      <c r="BG311" s="3083"/>
      <c r="BH311" s="3083"/>
      <c r="BI311" s="3083"/>
      <c r="BJ311" s="3083"/>
      <c r="BK311" s="3083"/>
      <c r="BL311" s="3083"/>
      <c r="BM311" s="3083"/>
      <c r="BN311" s="3083"/>
      <c r="BO311" s="3083"/>
      <c r="BP311" s="3083"/>
      <c r="BQ311" s="3083"/>
      <c r="BR311" s="3083"/>
      <c r="BS311" s="3083"/>
      <c r="BT311" s="3083"/>
      <c r="BU311" s="3083"/>
      <c r="BV311" s="3083"/>
      <c r="BW311" s="3083"/>
      <c r="BX311" s="3083"/>
      <c r="BY311" s="3083"/>
      <c r="BZ311" s="3083"/>
      <c r="CA311" s="3083"/>
      <c r="CB311" s="3083"/>
      <c r="CC311" s="3083"/>
      <c r="CD311" s="3083"/>
      <c r="CE311" s="3083"/>
      <c r="CF311" s="3083"/>
      <c r="CG311" s="3083"/>
      <c r="CH311" s="3083"/>
      <c r="CI311" s="3083"/>
      <c r="CJ311" s="3083"/>
      <c r="CK311" s="3083"/>
      <c r="CL311" s="3083"/>
      <c r="CM311" s="3083"/>
      <c r="CN311" s="3083"/>
      <c r="CO311" s="3083"/>
      <c r="CP311" s="3083"/>
      <c r="CQ311" s="3083"/>
      <c r="CR311" s="3083"/>
      <c r="CS311" s="3083"/>
      <c r="CT311" s="3083"/>
      <c r="CU311" s="3083"/>
      <c r="CV311" s="3083"/>
      <c r="CW311" s="3083"/>
      <c r="CX311" s="3083"/>
      <c r="CY311" s="3083"/>
      <c r="CZ311" s="3083"/>
    </row>
    <row r="312" spans="1:105" s="2501" customFormat="1">
      <c r="A312" s="3089" t="s">
        <v>9</v>
      </c>
      <c r="B312" s="2495"/>
      <c r="C312" s="2496"/>
      <c r="D312" s="2496"/>
      <c r="E312" s="2496"/>
      <c r="F312" s="2496"/>
      <c r="G312" s="2496"/>
      <c r="H312" s="2496"/>
      <c r="I312" s="2496"/>
      <c r="J312" s="3090">
        <f>SUMIF($AG$1:BF$1,J$5,$AG$312:BF$312)</f>
        <v>-56.556715727399997</v>
      </c>
      <c r="K312" s="3091">
        <f>SUMIF($AG$1:BG$1,K$5,$AG$312:BG$312)</f>
        <v>-17.4316042938</v>
      </c>
      <c r="L312" s="3092">
        <f>SUMIF($AG$1:BH$1,L$5,$AG$312:BH$312)</f>
        <v>74.389224656697039</v>
      </c>
      <c r="M312" s="3092">
        <f>SUMIF($AG$1:BI$1,M$5,$AG$312:BI$312)</f>
        <v>230.28422634606824</v>
      </c>
      <c r="N312" s="3092">
        <f>SUMIF($AG$1:CJ$1,N$5,$AG$312:CJ$312)</f>
        <v>511.71680864594612</v>
      </c>
      <c r="O312" s="3092">
        <f>SUMIF($AG$1:CK$1,O$5,$AG$312:CK$312)</f>
        <v>1092.0830286079483</v>
      </c>
      <c r="P312" s="3092">
        <f>SUMIF($AG$1:CL$1,P$5,$AG$312:CL$312)</f>
        <v>1943.053396336059</v>
      </c>
      <c r="Q312" s="3092">
        <f>SUMIF($AG$1:CM$1,Q$5,$AG$312:CM$312)</f>
        <v>2809.8624156358919</v>
      </c>
      <c r="R312" s="2682"/>
      <c r="S312" s="2682"/>
      <c r="T312" s="2682">
        <v>309</v>
      </c>
      <c r="U312" s="2682"/>
      <c r="V312" s="2682"/>
      <c r="W312" s="2682"/>
      <c r="X312" s="2682"/>
      <c r="Y312" s="2682"/>
      <c r="Z312" s="2682"/>
      <c r="AA312" s="2682"/>
      <c r="AB312" s="2682"/>
      <c r="AC312" s="2682"/>
      <c r="AD312" s="2682"/>
      <c r="AE312" s="2682"/>
      <c r="AF312" s="2682"/>
      <c r="AG312" s="2682"/>
      <c r="AH312" s="2682"/>
      <c r="AI312" s="2682"/>
      <c r="AJ312" s="2682"/>
      <c r="AK312" s="2682"/>
      <c r="AL312" s="2682"/>
      <c r="AM312" s="2682"/>
      <c r="AN312" s="2682"/>
      <c r="AO312" s="3092">
        <f>AO301*AO$302</f>
        <v>-10.6790494998</v>
      </c>
      <c r="AP312" s="3092">
        <f>AP301*AP$302-AO312</f>
        <v>-10.930992247200001</v>
      </c>
      <c r="AQ312" s="3092">
        <f>AQ301*AQ$302-AP312-AO312</f>
        <v>-6.9651521538000001</v>
      </c>
      <c r="AR312" s="3092">
        <f>AR301*AR$302-AQ312-AP312-AO312</f>
        <v>-27.981521826599995</v>
      </c>
      <c r="AS312" s="2683">
        <f>AS301*AS$302</f>
        <v>-25.711158914599995</v>
      </c>
      <c r="AT312" s="3092">
        <f>AT301*AT$302-SUM($AS$312:AS312)</f>
        <v>-6.3325423804000103</v>
      </c>
      <c r="AU312" s="3092">
        <f>AU301*AU$302-SUM($AS$312:AT312)</f>
        <v>0.41130129500000123</v>
      </c>
      <c r="AV312" s="3092">
        <f>AV301*AV$302-SUM($AS$312:AU312)</f>
        <v>14.200795706200005</v>
      </c>
      <c r="AW312" s="3093">
        <f>'FS Quarter'!BR10/0.45</f>
        <v>6.9550539999999996</v>
      </c>
      <c r="AX312" s="3093">
        <f>'FS Quarter'!BS10/0.45</f>
        <v>24.714735053333332</v>
      </c>
      <c r="AY312" s="3094">
        <f t="shared" ref="AY312:BH312" si="991">AY313*AY303</f>
        <v>16.946206820848477</v>
      </c>
      <c r="AZ312" s="3094">
        <f t="shared" si="991"/>
        <v>25.773228782515236</v>
      </c>
      <c r="BA312" s="3095">
        <f t="shared" si="991"/>
        <v>34.477141429762433</v>
      </c>
      <c r="BB312" s="3095">
        <f t="shared" si="991"/>
        <v>49.538154023535782</v>
      </c>
      <c r="BC312" s="3095">
        <f t="shared" si="991"/>
        <v>60.449936598990284</v>
      </c>
      <c r="BD312" s="3095">
        <f t="shared" si="991"/>
        <v>85.81899429377971</v>
      </c>
      <c r="BE312" s="3095">
        <f t="shared" si="991"/>
        <v>94.375308134673816</v>
      </c>
      <c r="BF312" s="3095">
        <f t="shared" si="991"/>
        <v>112.89455213674479</v>
      </c>
      <c r="BG312" s="3095">
        <f t="shared" si="991"/>
        <v>137.38692954946228</v>
      </c>
      <c r="BH312" s="3095">
        <f t="shared" si="991"/>
        <v>167.06001882506519</v>
      </c>
      <c r="BI312" s="3095">
        <f t="shared" ref="BI312:BL312" si="992">BI313*BI303</f>
        <v>201.13350580904239</v>
      </c>
      <c r="BJ312" s="3095">
        <f t="shared" si="992"/>
        <v>236.7232013327384</v>
      </c>
      <c r="BK312" s="3095">
        <f t="shared" si="992"/>
        <v>281.27964684917765</v>
      </c>
      <c r="BL312" s="3095">
        <f t="shared" si="992"/>
        <v>372.94667461698992</v>
      </c>
      <c r="BM312" s="3095">
        <f t="shared" ref="BM312:CZ312" si="993">BM313*BM303</f>
        <v>382.39910759769947</v>
      </c>
      <c r="BN312" s="3095">
        <f t="shared" si="993"/>
        <v>432.68272206646452</v>
      </c>
      <c r="BO312" s="3095">
        <f t="shared" si="993"/>
        <v>528.00207994259915</v>
      </c>
      <c r="BP312" s="3095">
        <f t="shared" si="993"/>
        <v>599.96948672929591</v>
      </c>
      <c r="BQ312" s="3095">
        <f t="shared" si="993"/>
        <v>579.06007291358389</v>
      </c>
      <c r="BR312" s="3095">
        <f t="shared" si="993"/>
        <v>637.28094486379155</v>
      </c>
      <c r="BS312" s="3095">
        <f t="shared" si="993"/>
        <v>755.64692190250867</v>
      </c>
      <c r="BT312" s="3095">
        <f t="shared" si="993"/>
        <v>837.87447595600793</v>
      </c>
      <c r="BU312" s="3095">
        <f t="shared" si="993"/>
        <v>867.8043882820408</v>
      </c>
      <c r="BV312" s="3095">
        <f t="shared" si="993"/>
        <v>934.45200544204022</v>
      </c>
      <c r="BW312" s="3095">
        <f t="shared" si="993"/>
        <v>1021.2082152529438</v>
      </c>
      <c r="BX312" s="3095">
        <f t="shared" si="993"/>
        <v>1112.0915323462939</v>
      </c>
      <c r="BY312" s="3095">
        <f t="shared" si="993"/>
        <v>1032.6872220556288</v>
      </c>
      <c r="BZ312" s="3095">
        <f t="shared" si="993"/>
        <v>1096.9309348492693</v>
      </c>
      <c r="CA312" s="3095">
        <f t="shared" si="993"/>
        <v>1184.5523656115254</v>
      </c>
      <c r="CB312" s="3095">
        <f t="shared" si="993"/>
        <v>1276.3130859806008</v>
      </c>
      <c r="CC312" s="3095">
        <f t="shared" si="993"/>
        <v>1173.925454243843</v>
      </c>
      <c r="CD312" s="3095">
        <f t="shared" si="993"/>
        <v>1236.306491603123</v>
      </c>
      <c r="CE312" s="3095">
        <f t="shared" si="993"/>
        <v>1324.7930496708614</v>
      </c>
      <c r="CF312" s="3095">
        <f t="shared" si="993"/>
        <v>1418.65386998538</v>
      </c>
      <c r="CG312" s="3095">
        <f t="shared" si="993"/>
        <v>1298.8671965902097</v>
      </c>
      <c r="CH312" s="3095">
        <f t="shared" si="993"/>
        <v>1363.6046528437892</v>
      </c>
      <c r="CI312" s="3095">
        <f t="shared" si="993"/>
        <v>1458.6168770932118</v>
      </c>
      <c r="CJ312" s="3095">
        <f t="shared" si="993"/>
        <v>1559.7213121354675</v>
      </c>
      <c r="CK312" s="3095">
        <f t="shared" si="993"/>
        <v>1426.0528237236956</v>
      </c>
      <c r="CL312" s="3095">
        <f t="shared" si="993"/>
        <v>1495.1381990030573</v>
      </c>
      <c r="CM312" s="3095">
        <f t="shared" si="993"/>
        <v>1597.263740392588</v>
      </c>
      <c r="CN312" s="3095">
        <f t="shared" si="993"/>
        <v>1705.8639904235647</v>
      </c>
      <c r="CO312" s="3095">
        <f t="shared" si="993"/>
        <v>1557.8063290638847</v>
      </c>
      <c r="CP312" s="3095">
        <f t="shared" si="993"/>
        <v>1631.3876451475587</v>
      </c>
      <c r="CQ312" s="3095">
        <f t="shared" si="993"/>
        <v>1740.8730314731024</v>
      </c>
      <c r="CR312" s="3095">
        <f t="shared" si="993"/>
        <v>1857.2284873183312</v>
      </c>
      <c r="CS312" s="3095">
        <f t="shared" si="993"/>
        <v>1694.2595534881923</v>
      </c>
      <c r="CT312" s="3095">
        <f t="shared" si="993"/>
        <v>1772.4890138582393</v>
      </c>
      <c r="CU312" s="3095">
        <f t="shared" si="993"/>
        <v>1889.5877887006798</v>
      </c>
      <c r="CV312" s="3095">
        <f t="shared" si="993"/>
        <v>2013.965218492719</v>
      </c>
      <c r="CW312" s="3095">
        <f t="shared" si="993"/>
        <v>1835.5477843578462</v>
      </c>
      <c r="CX312" s="3095">
        <f t="shared" si="993"/>
        <v>1918.5818822592876</v>
      </c>
      <c r="CY312" s="3095">
        <f t="shared" si="993"/>
        <v>2043.5547870047712</v>
      </c>
      <c r="CZ312" s="3095">
        <f t="shared" si="993"/>
        <v>2176.2285275191548</v>
      </c>
    </row>
    <row r="313" spans="1:105" s="3103" customFormat="1">
      <c r="A313" s="3096" t="s">
        <v>203</v>
      </c>
      <c r="B313" s="3097"/>
      <c r="C313" s="2534"/>
      <c r="D313" s="2534"/>
      <c r="E313" s="2534">
        <v>1</v>
      </c>
      <c r="F313" s="2534">
        <v>2</v>
      </c>
      <c r="G313" s="2534">
        <v>3</v>
      </c>
      <c r="H313" s="2534">
        <v>4</v>
      </c>
      <c r="I313" s="2534">
        <v>5</v>
      </c>
      <c r="J313" s="2207">
        <f>J312/J303</f>
        <v>-0.12905199183244542</v>
      </c>
      <c r="K313" s="2208">
        <f t="shared" ref="K313:S313" si="994">K312/K303</f>
        <v>-7.9706233253785744E-3</v>
      </c>
      <c r="L313" s="2276">
        <f t="shared" si="994"/>
        <v>1.8887723945317611E-2</v>
      </c>
      <c r="M313" s="2276">
        <f t="shared" si="994"/>
        <v>3.0715512117942385E-2</v>
      </c>
      <c r="N313" s="2276">
        <f t="shared" ref="N313" si="995">N312/N303</f>
        <v>3.5000000000000003E-2</v>
      </c>
      <c r="O313" s="2276">
        <f t="shared" ref="O313:Q313" si="996">O312/O303</f>
        <v>4.1577641877487241E-2</v>
      </c>
      <c r="P313" s="2276">
        <f t="shared" si="996"/>
        <v>4.6694166386281814E-2</v>
      </c>
      <c r="Q313" s="2276">
        <f t="shared" si="996"/>
        <v>4.9656533887740148E-2</v>
      </c>
      <c r="R313" s="2276" t="e">
        <f t="shared" si="994"/>
        <v>#DIV/0!</v>
      </c>
      <c r="S313" s="2276" t="e">
        <f t="shared" si="994"/>
        <v>#DIV/0!</v>
      </c>
      <c r="T313" s="2175">
        <v>310</v>
      </c>
      <c r="U313" s="3098"/>
      <c r="V313" s="3098"/>
      <c r="W313" s="3098"/>
      <c r="X313" s="3098"/>
      <c r="Y313" s="3098"/>
      <c r="Z313" s="3098"/>
      <c r="AA313" s="3098"/>
      <c r="AB313" s="3098"/>
      <c r="AC313" s="3098"/>
      <c r="AD313" s="3098"/>
      <c r="AE313" s="3098"/>
      <c r="AF313" s="3098"/>
      <c r="AG313" s="3098"/>
      <c r="AH313" s="3098"/>
      <c r="AI313" s="3098"/>
      <c r="AJ313" s="3098"/>
      <c r="AK313" s="3098"/>
      <c r="AL313" s="3098"/>
      <c r="AM313" s="3098"/>
      <c r="AN313" s="3098"/>
      <c r="AO313" s="3098"/>
      <c r="AP313" s="3098"/>
      <c r="AQ313" s="3098"/>
      <c r="AR313" s="3098"/>
      <c r="AS313" s="3099"/>
      <c r="AT313" s="3098"/>
      <c r="AU313" s="3098">
        <f>AU312/AU303</f>
        <v>7.5210508763166135E-4</v>
      </c>
      <c r="AV313" s="3098">
        <v>1E-3</v>
      </c>
      <c r="AW313" s="3100">
        <f>AW312/AW300</f>
        <v>1.5321382142981623E-2</v>
      </c>
      <c r="AX313" s="3101">
        <f>AW313+0.05%</f>
        <v>1.5821382142981621E-2</v>
      </c>
      <c r="AY313" s="3101">
        <f t="shared" ref="AY313" si="997">AX313</f>
        <v>1.5821382142981621E-2</v>
      </c>
      <c r="AZ313" s="3101">
        <v>0.02</v>
      </c>
      <c r="BA313" s="3102">
        <f>AZ313+0.5%</f>
        <v>2.5000000000000001E-2</v>
      </c>
      <c r="BB313" s="3102">
        <f>BA313+0.5%</f>
        <v>3.0000000000000002E-2</v>
      </c>
      <c r="BC313" s="3102">
        <f>BB313</f>
        <v>3.0000000000000002E-2</v>
      </c>
      <c r="BD313" s="3102">
        <f t="shared" ref="BD313" si="998">BC313+0.5%</f>
        <v>3.5000000000000003E-2</v>
      </c>
      <c r="BE313" s="3102">
        <v>3.5000000000000003E-2</v>
      </c>
      <c r="BF313" s="3102">
        <v>3.5000000000000003E-2</v>
      </c>
      <c r="BG313" s="3102">
        <v>3.5000000000000003E-2</v>
      </c>
      <c r="BH313" s="3102">
        <v>3.5000000000000003E-2</v>
      </c>
      <c r="BI313" s="3102">
        <f t="shared" ref="BI313" si="999">BH313+0.5%</f>
        <v>0.04</v>
      </c>
      <c r="BJ313" s="3102">
        <f>BI313</f>
        <v>0.04</v>
      </c>
      <c r="BK313" s="3102">
        <f t="shared" ref="BK313" si="1000">BJ313</f>
        <v>0.04</v>
      </c>
      <c r="BL313" s="3102">
        <f t="shared" ref="BL313" si="1001">BK313+0.5%</f>
        <v>4.4999999999999998E-2</v>
      </c>
      <c r="BM313" s="3102">
        <f>BL313</f>
        <v>4.4999999999999998E-2</v>
      </c>
      <c r="BN313" s="3102">
        <f t="shared" ref="BN313:BT313" si="1002">BM313</f>
        <v>4.4999999999999998E-2</v>
      </c>
      <c r="BO313" s="3102">
        <f>BN313+0.3%</f>
        <v>4.8000000000000001E-2</v>
      </c>
      <c r="BP313" s="3102">
        <f t="shared" si="1002"/>
        <v>4.8000000000000001E-2</v>
      </c>
      <c r="BQ313" s="3102">
        <f>BP313</f>
        <v>4.8000000000000001E-2</v>
      </c>
      <c r="BR313" s="3102">
        <f t="shared" si="1002"/>
        <v>4.8000000000000001E-2</v>
      </c>
      <c r="BS313" s="3102">
        <f>BR313+0.3%</f>
        <v>5.1000000000000004E-2</v>
      </c>
      <c r="BT313" s="3102">
        <f t="shared" si="1002"/>
        <v>5.1000000000000004E-2</v>
      </c>
      <c r="BU313" s="3102">
        <f t="shared" ref="BU313" si="1003">BT313+0.5%</f>
        <v>5.6000000000000001E-2</v>
      </c>
      <c r="BV313" s="3102">
        <f t="shared" ref="BV313:CZ313" si="1004">BU313</f>
        <v>5.6000000000000001E-2</v>
      </c>
      <c r="BW313" s="3102">
        <f t="shared" si="1004"/>
        <v>5.6000000000000001E-2</v>
      </c>
      <c r="BX313" s="3102">
        <f t="shared" si="1004"/>
        <v>5.6000000000000001E-2</v>
      </c>
      <c r="BY313" s="3102">
        <f t="shared" si="1004"/>
        <v>5.6000000000000001E-2</v>
      </c>
      <c r="BZ313" s="3102">
        <f t="shared" si="1004"/>
        <v>5.6000000000000001E-2</v>
      </c>
      <c r="CA313" s="3102">
        <f t="shared" si="1004"/>
        <v>5.6000000000000001E-2</v>
      </c>
      <c r="CB313" s="3102">
        <f t="shared" si="1004"/>
        <v>5.6000000000000001E-2</v>
      </c>
      <c r="CC313" s="3102">
        <f t="shared" si="1004"/>
        <v>5.6000000000000001E-2</v>
      </c>
      <c r="CD313" s="3102">
        <f t="shared" si="1004"/>
        <v>5.6000000000000001E-2</v>
      </c>
      <c r="CE313" s="3102">
        <f t="shared" si="1004"/>
        <v>5.6000000000000001E-2</v>
      </c>
      <c r="CF313" s="3102">
        <f t="shared" si="1004"/>
        <v>5.6000000000000001E-2</v>
      </c>
      <c r="CG313" s="3102">
        <f t="shared" si="1004"/>
        <v>5.6000000000000001E-2</v>
      </c>
      <c r="CH313" s="3102">
        <f t="shared" si="1004"/>
        <v>5.6000000000000001E-2</v>
      </c>
      <c r="CI313" s="3102">
        <f t="shared" si="1004"/>
        <v>5.6000000000000001E-2</v>
      </c>
      <c r="CJ313" s="3102">
        <f t="shared" si="1004"/>
        <v>5.6000000000000001E-2</v>
      </c>
      <c r="CK313" s="3102">
        <f t="shared" si="1004"/>
        <v>5.6000000000000001E-2</v>
      </c>
      <c r="CL313" s="3102">
        <f t="shared" si="1004"/>
        <v>5.6000000000000001E-2</v>
      </c>
      <c r="CM313" s="3102">
        <f t="shared" si="1004"/>
        <v>5.6000000000000001E-2</v>
      </c>
      <c r="CN313" s="3102">
        <f t="shared" si="1004"/>
        <v>5.6000000000000001E-2</v>
      </c>
      <c r="CO313" s="3102">
        <f t="shared" si="1004"/>
        <v>5.6000000000000001E-2</v>
      </c>
      <c r="CP313" s="3102">
        <f t="shared" si="1004"/>
        <v>5.6000000000000001E-2</v>
      </c>
      <c r="CQ313" s="3102">
        <f t="shared" si="1004"/>
        <v>5.6000000000000001E-2</v>
      </c>
      <c r="CR313" s="3102">
        <f t="shared" si="1004"/>
        <v>5.6000000000000001E-2</v>
      </c>
      <c r="CS313" s="3102">
        <f t="shared" si="1004"/>
        <v>5.6000000000000001E-2</v>
      </c>
      <c r="CT313" s="3102">
        <f t="shared" si="1004"/>
        <v>5.6000000000000001E-2</v>
      </c>
      <c r="CU313" s="3102">
        <f t="shared" si="1004"/>
        <v>5.6000000000000001E-2</v>
      </c>
      <c r="CV313" s="3102">
        <f t="shared" si="1004"/>
        <v>5.6000000000000001E-2</v>
      </c>
      <c r="CW313" s="3102">
        <f t="shared" si="1004"/>
        <v>5.6000000000000001E-2</v>
      </c>
      <c r="CX313" s="3102">
        <f t="shared" si="1004"/>
        <v>5.6000000000000001E-2</v>
      </c>
      <c r="CY313" s="3102">
        <f t="shared" si="1004"/>
        <v>5.6000000000000001E-2</v>
      </c>
      <c r="CZ313" s="3102">
        <f t="shared" si="1004"/>
        <v>5.6000000000000001E-2</v>
      </c>
    </row>
    <row r="314" spans="1:105">
      <c r="A314" s="2174" t="s">
        <v>4</v>
      </c>
      <c r="B314" s="2240"/>
      <c r="C314" s="2256"/>
      <c r="D314" s="2256"/>
      <c r="E314" s="2256"/>
      <c r="F314" s="2256">
        <v>1</v>
      </c>
      <c r="G314" s="2256">
        <v>2</v>
      </c>
      <c r="H314" s="2256">
        <v>3</v>
      </c>
      <c r="I314" s="2256">
        <v>4</v>
      </c>
      <c r="J314" s="2256">
        <v>5</v>
      </c>
      <c r="K314" s="2296"/>
      <c r="L314" s="2175"/>
      <c r="M314" s="2175"/>
      <c r="N314" s="2175"/>
      <c r="O314" s="2175"/>
      <c r="P314" s="2175"/>
      <c r="Q314" s="2175"/>
      <c r="R314" s="2175"/>
      <c r="S314" s="2175"/>
      <c r="T314" s="2175">
        <v>311</v>
      </c>
      <c r="U314" s="2175"/>
      <c r="V314" s="2175"/>
      <c r="W314" s="2175"/>
      <c r="X314" s="2175"/>
      <c r="Y314" s="2175"/>
      <c r="Z314" s="2175"/>
      <c r="AA314" s="2175"/>
      <c r="AB314" s="2175"/>
      <c r="AC314" s="2175"/>
      <c r="AD314" s="2175"/>
      <c r="AE314" s="2175"/>
      <c r="AF314" s="2175"/>
      <c r="AG314" s="2175"/>
      <c r="AH314" s="2175"/>
      <c r="AI314" s="2175"/>
      <c r="AJ314" s="2175"/>
      <c r="AK314" s="2175"/>
      <c r="AL314" s="2175"/>
      <c r="AM314" s="2175"/>
      <c r="AN314" s="2175"/>
      <c r="AO314" s="2414">
        <v>5</v>
      </c>
      <c r="AP314" s="2414">
        <v>5</v>
      </c>
      <c r="AQ314" s="2414">
        <v>9</v>
      </c>
      <c r="AR314" s="2414">
        <v>38</v>
      </c>
      <c r="AS314" s="2374">
        <v>55</v>
      </c>
      <c r="AT314" s="2414">
        <v>61</v>
      </c>
      <c r="AU314" s="2414">
        <v>76</v>
      </c>
      <c r="AV314" s="2453">
        <f>AV315+AU314</f>
        <v>87</v>
      </c>
      <c r="AW314" s="2415">
        <f t="shared" ref="AW314:BH314" si="1005">AW315+AV314</f>
        <v>95</v>
      </c>
      <c r="AX314" s="3104">
        <v>115</v>
      </c>
      <c r="AY314" s="3104">
        <f t="shared" si="1005"/>
        <v>135</v>
      </c>
      <c r="AZ314" s="3104">
        <f t="shared" si="1005"/>
        <v>150</v>
      </c>
      <c r="BA314" s="2679">
        <f t="shared" si="1005"/>
        <v>173</v>
      </c>
      <c r="BB314" s="2679">
        <f t="shared" si="1005"/>
        <v>208</v>
      </c>
      <c r="BC314" s="2679">
        <f t="shared" si="1005"/>
        <v>243</v>
      </c>
      <c r="BD314" s="2679">
        <f t="shared" si="1005"/>
        <v>273</v>
      </c>
      <c r="BE314" s="2679">
        <f t="shared" si="1005"/>
        <v>343</v>
      </c>
      <c r="BF314" s="2679">
        <f t="shared" si="1005"/>
        <v>380</v>
      </c>
      <c r="BG314" s="2679">
        <f t="shared" si="1005"/>
        <v>440</v>
      </c>
      <c r="BH314" s="2679">
        <f t="shared" si="1005"/>
        <v>500</v>
      </c>
      <c r="BI314" s="2679">
        <f t="shared" ref="BI314" si="1006">BI315+BH314</f>
        <v>575</v>
      </c>
      <c r="BJ314" s="2679">
        <f t="shared" ref="BJ314" si="1007">BJ315+BI314</f>
        <v>650</v>
      </c>
      <c r="BK314" s="2679">
        <f t="shared" ref="BK314" si="1008">BK315+BJ314</f>
        <v>725</v>
      </c>
      <c r="BL314" s="2679">
        <f t="shared" ref="BL314" si="1009">BL315+BK314</f>
        <v>800</v>
      </c>
      <c r="BM314" s="2679">
        <f t="shared" ref="BM314" si="1010">BM315+BL314</f>
        <v>875</v>
      </c>
      <c r="BN314" s="2679">
        <f t="shared" ref="BN314" si="1011">BN315+BM314</f>
        <v>950</v>
      </c>
      <c r="BO314" s="2679">
        <f t="shared" ref="BO314" si="1012">BO315+BN314</f>
        <v>1025</v>
      </c>
      <c r="BP314" s="2679">
        <f t="shared" ref="BP314" si="1013">BP315+BO314</f>
        <v>1100</v>
      </c>
      <c r="BQ314" s="2679">
        <f t="shared" ref="BQ314" si="1014">BQ315+BP314</f>
        <v>1170</v>
      </c>
      <c r="BR314" s="2679">
        <f t="shared" ref="BR314" si="1015">BR315+BQ314</f>
        <v>1240</v>
      </c>
      <c r="BS314" s="2679">
        <f t="shared" ref="BS314" si="1016">BS315+BR314</f>
        <v>1310</v>
      </c>
      <c r="BT314" s="2679">
        <f t="shared" ref="BT314" si="1017">BT315+BS314</f>
        <v>1370</v>
      </c>
      <c r="BU314" s="2679">
        <f t="shared" ref="BU314" si="1018">BU315+BT314</f>
        <v>1426</v>
      </c>
      <c r="BV314" s="2679">
        <f t="shared" ref="BV314" si="1019">BV315+BU314</f>
        <v>1482</v>
      </c>
      <c r="BW314" s="2679">
        <f t="shared" ref="BW314" si="1020">BW315+BV314</f>
        <v>1538</v>
      </c>
      <c r="BX314" s="2679">
        <f t="shared" ref="BX314" si="1021">BX315+BW314</f>
        <v>1586</v>
      </c>
      <c r="BY314" s="2679">
        <f t="shared" ref="BY314" si="1022">BY315+BX314</f>
        <v>1631</v>
      </c>
      <c r="BZ314" s="2679">
        <f t="shared" ref="BZ314" si="1023">BZ315+BY314</f>
        <v>1676</v>
      </c>
      <c r="CA314" s="2679">
        <f t="shared" ref="CA314" si="1024">CA315+BZ314</f>
        <v>1721</v>
      </c>
      <c r="CB314" s="2679">
        <f t="shared" ref="CB314" si="1025">CB315+CA314</f>
        <v>1759</v>
      </c>
      <c r="CC314" s="2679">
        <f t="shared" ref="CC314" si="1026">CC315+CB314</f>
        <v>1795</v>
      </c>
      <c r="CD314" s="2679">
        <f t="shared" ref="CD314" si="1027">CD315+CC314</f>
        <v>1831</v>
      </c>
      <c r="CE314" s="2679">
        <f t="shared" ref="CE314" si="1028">CE315+CD314</f>
        <v>1867</v>
      </c>
      <c r="CF314" s="2679">
        <f t="shared" ref="CF314" si="1029">CF315+CE314</f>
        <v>1903</v>
      </c>
      <c r="CG314" s="2679">
        <f t="shared" ref="CG314" si="1030">CG315+CF314</f>
        <v>1939</v>
      </c>
      <c r="CH314" s="2679">
        <f t="shared" ref="CH314" si="1031">CH315+CG314</f>
        <v>1975</v>
      </c>
      <c r="CI314" s="2679">
        <f t="shared" ref="CI314" si="1032">CI315+CH314</f>
        <v>2011</v>
      </c>
      <c r="CJ314" s="2679">
        <f t="shared" ref="CJ314" si="1033">CJ315+CI314</f>
        <v>2047</v>
      </c>
      <c r="CK314" s="2679">
        <f t="shared" ref="CK314" si="1034">CK315+CJ314</f>
        <v>2083</v>
      </c>
      <c r="CL314" s="2679">
        <f t="shared" ref="CL314" si="1035">CL315+CK314</f>
        <v>2119</v>
      </c>
      <c r="CM314" s="2679">
        <f t="shared" ref="CM314" si="1036">CM315+CL314</f>
        <v>2155</v>
      </c>
      <c r="CN314" s="2679">
        <f t="shared" ref="CN314" si="1037">CN315+CM314</f>
        <v>2191</v>
      </c>
      <c r="CO314" s="2679">
        <f t="shared" ref="CO314" si="1038">CO315+CN314</f>
        <v>2227</v>
      </c>
      <c r="CP314" s="2679">
        <f t="shared" ref="CP314" si="1039">CP315+CO314</f>
        <v>2263</v>
      </c>
      <c r="CQ314" s="2679">
        <f t="shared" ref="CQ314" si="1040">CQ315+CP314</f>
        <v>2299</v>
      </c>
      <c r="CR314" s="2679">
        <f t="shared" ref="CR314" si="1041">CR315+CQ314</f>
        <v>2335</v>
      </c>
      <c r="CS314" s="2679">
        <f t="shared" ref="CS314" si="1042">CS315+CR314</f>
        <v>2371</v>
      </c>
      <c r="CT314" s="2679">
        <f t="shared" ref="CT314" si="1043">CT315+CS314</f>
        <v>2407</v>
      </c>
      <c r="CU314" s="2679">
        <f t="shared" ref="CU314" si="1044">CU315+CT314</f>
        <v>2443</v>
      </c>
      <c r="CV314" s="2679">
        <f t="shared" ref="CV314" si="1045">CV315+CU314</f>
        <v>2479</v>
      </c>
      <c r="CW314" s="2679">
        <f t="shared" ref="CW314" si="1046">CW315+CV314</f>
        <v>2515</v>
      </c>
      <c r="CX314" s="2679">
        <f t="shared" ref="CX314" si="1047">CX315+CW314</f>
        <v>2551</v>
      </c>
      <c r="CY314" s="2679">
        <f t="shared" ref="CY314" si="1048">CY315+CX314</f>
        <v>2587</v>
      </c>
      <c r="CZ314" s="2679">
        <f t="shared" ref="CZ314" si="1049">CZ315+CY314</f>
        <v>2623</v>
      </c>
    </row>
    <row r="315" spans="1:105">
      <c r="A315" s="2441" t="s">
        <v>316</v>
      </c>
      <c r="B315" s="2240"/>
      <c r="C315" s="2256"/>
      <c r="D315" s="2256"/>
      <c r="E315" s="2256"/>
      <c r="F315" s="2256"/>
      <c r="G315" s="2256">
        <v>1</v>
      </c>
      <c r="H315" s="2256">
        <v>2</v>
      </c>
      <c r="I315" s="2256">
        <v>3</v>
      </c>
      <c r="J315" s="2256">
        <v>4</v>
      </c>
      <c r="K315" s="2296">
        <v>5</v>
      </c>
      <c r="L315" s="2175"/>
      <c r="M315" s="2175"/>
      <c r="N315" s="2175"/>
      <c r="O315" s="2175"/>
      <c r="P315" s="2175"/>
      <c r="Q315" s="2175"/>
      <c r="R315" s="2175"/>
      <c r="S315" s="2175"/>
      <c r="T315" s="2175">
        <v>312</v>
      </c>
      <c r="U315" s="2175"/>
      <c r="V315" s="2175"/>
      <c r="W315" s="2175"/>
      <c r="X315" s="2175"/>
      <c r="Y315" s="2175"/>
      <c r="Z315" s="2175"/>
      <c r="AA315" s="2175"/>
      <c r="AB315" s="2175"/>
      <c r="AC315" s="2175"/>
      <c r="AD315" s="2175"/>
      <c r="AE315" s="2175"/>
      <c r="AF315" s="2175"/>
      <c r="AG315" s="2175"/>
      <c r="AH315" s="2175"/>
      <c r="AI315" s="2175"/>
      <c r="AJ315" s="2175"/>
      <c r="AK315" s="2175"/>
      <c r="AL315" s="2175"/>
      <c r="AM315" s="2175"/>
      <c r="AN315" s="2175"/>
      <c r="AO315" s="2414"/>
      <c r="AP315" s="2414"/>
      <c r="AQ315" s="2414">
        <f t="shared" ref="AQ315:AT315" si="1050">AQ314-AP314</f>
        <v>4</v>
      </c>
      <c r="AR315" s="2414">
        <f t="shared" si="1050"/>
        <v>29</v>
      </c>
      <c r="AS315" s="2374">
        <f t="shared" si="1050"/>
        <v>17</v>
      </c>
      <c r="AT315" s="2414">
        <f t="shared" si="1050"/>
        <v>6</v>
      </c>
      <c r="AU315" s="2453">
        <f>AU314-AT314</f>
        <v>15</v>
      </c>
      <c r="AV315" s="2175">
        <v>11</v>
      </c>
      <c r="AW315" s="2415">
        <f>95-AV314</f>
        <v>8</v>
      </c>
      <c r="AX315" s="2177">
        <f>20</f>
        <v>20</v>
      </c>
      <c r="AY315" s="2177">
        <f>20</f>
        <v>20</v>
      </c>
      <c r="AZ315" s="2177">
        <v>15</v>
      </c>
      <c r="BA315" s="2174">
        <f t="shared" ref="BA315:BD315" si="1051">AW315+15</f>
        <v>23</v>
      </c>
      <c r="BB315" s="2174">
        <f t="shared" si="1051"/>
        <v>35</v>
      </c>
      <c r="BC315" s="2174">
        <f>AY315+15</f>
        <v>35</v>
      </c>
      <c r="BD315" s="2174">
        <f t="shared" si="1051"/>
        <v>30</v>
      </c>
      <c r="BE315" s="2174">
        <v>70</v>
      </c>
      <c r="BF315" s="2174">
        <v>37</v>
      </c>
      <c r="BG315" s="2174">
        <f t="shared" ref="BG315" si="1052">BC315+25</f>
        <v>60</v>
      </c>
      <c r="BH315" s="2174">
        <f>BD315+30</f>
        <v>60</v>
      </c>
      <c r="BI315" s="2174">
        <v>75</v>
      </c>
      <c r="BJ315" s="2174">
        <v>75</v>
      </c>
      <c r="BK315" s="2174">
        <v>75</v>
      </c>
      <c r="BL315" s="2174">
        <v>75</v>
      </c>
      <c r="BM315" s="2174">
        <v>75</v>
      </c>
      <c r="BN315" s="2174">
        <v>75</v>
      </c>
      <c r="BO315" s="2174">
        <v>75</v>
      </c>
      <c r="BP315" s="2174">
        <v>75</v>
      </c>
      <c r="BQ315" s="2174">
        <v>70</v>
      </c>
      <c r="BR315" s="2174">
        <v>70</v>
      </c>
      <c r="BS315" s="2174">
        <v>70</v>
      </c>
      <c r="BT315" s="3105">
        <f>ROUND(BP315*0.8,0)</f>
        <v>60</v>
      </c>
      <c r="BU315" s="3105">
        <f t="shared" ref="BU315:BX315" si="1053">ROUND(BQ315*0.8,0)</f>
        <v>56</v>
      </c>
      <c r="BV315" s="3105">
        <f t="shared" si="1053"/>
        <v>56</v>
      </c>
      <c r="BW315" s="3105">
        <f t="shared" si="1053"/>
        <v>56</v>
      </c>
      <c r="BX315" s="3105">
        <f t="shared" si="1053"/>
        <v>48</v>
      </c>
      <c r="BY315" s="3105">
        <f t="shared" ref="BY315" si="1054">ROUND(BU315*0.8,0)</f>
        <v>45</v>
      </c>
      <c r="BZ315" s="3105">
        <f t="shared" ref="BZ315" si="1055">ROUND(BV315*0.8,0)</f>
        <v>45</v>
      </c>
      <c r="CA315" s="3105">
        <f t="shared" ref="CA315" si="1056">ROUND(BW315*0.8,0)</f>
        <v>45</v>
      </c>
      <c r="CB315" s="3105">
        <f t="shared" ref="CB315" si="1057">ROUND(BX315*0.8,0)</f>
        <v>38</v>
      </c>
      <c r="CC315" s="3105">
        <f t="shared" ref="CC315" si="1058">ROUND(BY315*0.8,0)</f>
        <v>36</v>
      </c>
      <c r="CD315" s="3105">
        <f>CC315</f>
        <v>36</v>
      </c>
      <c r="CE315" s="3105">
        <f t="shared" ref="CE315:DA315" si="1059">CD315</f>
        <v>36</v>
      </c>
      <c r="CF315" s="3105">
        <f t="shared" si="1059"/>
        <v>36</v>
      </c>
      <c r="CG315" s="3105">
        <f t="shared" si="1059"/>
        <v>36</v>
      </c>
      <c r="CH315" s="3105">
        <f t="shared" si="1059"/>
        <v>36</v>
      </c>
      <c r="CI315" s="3105">
        <f t="shared" si="1059"/>
        <v>36</v>
      </c>
      <c r="CJ315" s="3105">
        <f t="shared" si="1059"/>
        <v>36</v>
      </c>
      <c r="CK315" s="3105">
        <f t="shared" si="1059"/>
        <v>36</v>
      </c>
      <c r="CL315" s="3105">
        <f t="shared" si="1059"/>
        <v>36</v>
      </c>
      <c r="CM315" s="3105">
        <f t="shared" si="1059"/>
        <v>36</v>
      </c>
      <c r="CN315" s="3105">
        <f t="shared" si="1059"/>
        <v>36</v>
      </c>
      <c r="CO315" s="3105">
        <f t="shared" si="1059"/>
        <v>36</v>
      </c>
      <c r="CP315" s="3105">
        <f t="shared" si="1059"/>
        <v>36</v>
      </c>
      <c r="CQ315" s="3105">
        <f t="shared" si="1059"/>
        <v>36</v>
      </c>
      <c r="CR315" s="3105">
        <f t="shared" si="1059"/>
        <v>36</v>
      </c>
      <c r="CS315" s="3105">
        <f t="shared" si="1059"/>
        <v>36</v>
      </c>
      <c r="CT315" s="3105">
        <f t="shared" si="1059"/>
        <v>36</v>
      </c>
      <c r="CU315" s="3105">
        <f t="shared" si="1059"/>
        <v>36</v>
      </c>
      <c r="CV315" s="3105">
        <f t="shared" si="1059"/>
        <v>36</v>
      </c>
      <c r="CW315" s="3105">
        <f t="shared" si="1059"/>
        <v>36</v>
      </c>
      <c r="CX315" s="3105">
        <f t="shared" si="1059"/>
        <v>36</v>
      </c>
      <c r="CY315" s="3105">
        <f t="shared" si="1059"/>
        <v>36</v>
      </c>
      <c r="CZ315" s="3105">
        <f t="shared" si="1059"/>
        <v>36</v>
      </c>
      <c r="DA315" s="3105">
        <f t="shared" si="1059"/>
        <v>36</v>
      </c>
    </row>
    <row r="316" spans="1:105">
      <c r="A316" s="2174" t="s">
        <v>6</v>
      </c>
      <c r="B316" s="2240"/>
      <c r="C316" s="2256"/>
      <c r="D316" s="2256"/>
      <c r="E316" s="2256"/>
      <c r="F316" s="2256"/>
      <c r="G316" s="2256"/>
      <c r="H316" s="2256">
        <v>1</v>
      </c>
      <c r="I316" s="2256">
        <v>2</v>
      </c>
      <c r="J316" s="2256">
        <v>3</v>
      </c>
      <c r="K316" s="2296">
        <v>4</v>
      </c>
      <c r="L316" s="2175">
        <v>5</v>
      </c>
      <c r="M316" s="2175"/>
      <c r="N316" s="2175"/>
      <c r="O316" s="2175"/>
      <c r="P316" s="2175"/>
      <c r="Q316" s="2175"/>
      <c r="R316" s="2175"/>
      <c r="S316" s="2175"/>
      <c r="T316" s="2175">
        <v>313</v>
      </c>
      <c r="U316" s="2175"/>
      <c r="V316" s="2175"/>
      <c r="W316" s="2175"/>
      <c r="X316" s="2175"/>
      <c r="Y316" s="2175"/>
      <c r="Z316" s="2175"/>
      <c r="AA316" s="2175"/>
      <c r="AB316" s="2175"/>
      <c r="AC316" s="2175"/>
      <c r="AD316" s="2175"/>
      <c r="AE316" s="2175"/>
      <c r="AF316" s="2175"/>
      <c r="AG316" s="2175"/>
      <c r="AH316" s="2175"/>
      <c r="AI316" s="2175"/>
      <c r="AJ316" s="2175"/>
      <c r="AK316" s="2175"/>
      <c r="AL316" s="2175"/>
      <c r="AM316" s="2175"/>
      <c r="AN316" s="2175"/>
      <c r="AO316" s="2414">
        <f>AO303/AO314/3</f>
        <v>4.5842857617333328</v>
      </c>
      <c r="AP316" s="2414">
        <f>AP303/AP314/3</f>
        <v>5.2522964882666647</v>
      </c>
      <c r="AQ316" s="2414">
        <f t="shared" ref="AQ316:AT316" si="1060">AQ303/AVERAGE(AN314:AQ314)/3</f>
        <v>4.3032631382578979</v>
      </c>
      <c r="AR316" s="2414">
        <f t="shared" si="1060"/>
        <v>4.8874102778923962</v>
      </c>
      <c r="AS316" s="2374">
        <f t="shared" si="1060"/>
        <v>4.648461700772585</v>
      </c>
      <c r="AT316" s="2414">
        <f t="shared" si="1060"/>
        <v>4.0937770841227001</v>
      </c>
      <c r="AU316" s="2179">
        <f>AU303/AVERAGE(AR314:AU314)/3</f>
        <v>3.1702422607478269</v>
      </c>
      <c r="AV316" s="2179">
        <f>AV303/AVERAGE(AS314:AV314)/3</f>
        <v>3.6636139858657106</v>
      </c>
      <c r="AW316" s="2179">
        <f>AW303/AVERAGE(AT314:AW314)/3</f>
        <v>2.9173106080501294</v>
      </c>
      <c r="AX316" s="2179">
        <f>AX303/AVERAGE(AU314:AX314)/3</f>
        <v>3.1484280485905445</v>
      </c>
      <c r="AY316" s="3106">
        <f t="shared" ref="AY316" si="1061">AX316*(1+AY317)</f>
        <v>3.3058494510200718</v>
      </c>
      <c r="AZ316" s="3106">
        <f>AY316*(1+AZ317)</f>
        <v>3.4711419235710754</v>
      </c>
      <c r="BA316" s="3107">
        <f>AW316*(1+BA317)</f>
        <v>3.2090416688551424</v>
      </c>
      <c r="BB316" s="3107">
        <f t="shared" ref="BB316:CZ316" si="1062">AX316*(1+BB317)</f>
        <v>3.3058494510200718</v>
      </c>
      <c r="BC316" s="3107">
        <f t="shared" si="1062"/>
        <v>3.4711419235710754</v>
      </c>
      <c r="BD316" s="3107">
        <f t="shared" si="1062"/>
        <v>3.6446990197496292</v>
      </c>
      <c r="BE316" s="3107">
        <f t="shared" si="1062"/>
        <v>3.3694937522978998</v>
      </c>
      <c r="BF316" s="3107">
        <f t="shared" si="1062"/>
        <v>3.4711419235710754</v>
      </c>
      <c r="BG316" s="3107">
        <f t="shared" si="1062"/>
        <v>3.6446990197496292</v>
      </c>
      <c r="BH316" s="3107">
        <f t="shared" si="1062"/>
        <v>3.8269339707371106</v>
      </c>
      <c r="BI316" s="3107">
        <f t="shared" si="1062"/>
        <v>3.5379684399127949</v>
      </c>
      <c r="BJ316" s="3107">
        <f t="shared" si="1062"/>
        <v>3.6446990197496292</v>
      </c>
      <c r="BK316" s="3107">
        <f t="shared" si="1062"/>
        <v>3.8269339707371106</v>
      </c>
      <c r="BL316" s="3107">
        <f t="shared" si="1062"/>
        <v>4.0182806692739659</v>
      </c>
      <c r="BM316" s="3107">
        <f t="shared" si="1062"/>
        <v>3.7148668619084346</v>
      </c>
      <c r="BN316" s="3107">
        <f t="shared" si="1062"/>
        <v>3.8269339707371106</v>
      </c>
      <c r="BO316" s="3107">
        <f t="shared" si="1062"/>
        <v>4.0182806692739659</v>
      </c>
      <c r="BP316" s="3107">
        <f t="shared" si="1062"/>
        <v>4.2191947027376644</v>
      </c>
      <c r="BQ316" s="3107">
        <f t="shared" si="1062"/>
        <v>3.7891641991466032</v>
      </c>
      <c r="BR316" s="3107">
        <f t="shared" si="1062"/>
        <v>3.9034726501518531</v>
      </c>
      <c r="BS316" s="3107">
        <f t="shared" si="1062"/>
        <v>4.0986462826594456</v>
      </c>
      <c r="BT316" s="3107">
        <f t="shared" si="1062"/>
        <v>4.3035785967924181</v>
      </c>
      <c r="BU316" s="3107">
        <f t="shared" si="1062"/>
        <v>3.8649474831295354</v>
      </c>
      <c r="BV316" s="3107">
        <f t="shared" si="1062"/>
        <v>3.9815421031548901</v>
      </c>
      <c r="BW316" s="3107">
        <f t="shared" si="1062"/>
        <v>4.1806192083126348</v>
      </c>
      <c r="BX316" s="3107">
        <f t="shared" si="1062"/>
        <v>4.3896501687282665</v>
      </c>
      <c r="BY316" s="3107">
        <f t="shared" si="1062"/>
        <v>3.9422464327921261</v>
      </c>
      <c r="BZ316" s="3107">
        <f t="shared" si="1062"/>
        <v>4.0611729452179883</v>
      </c>
      <c r="CA316" s="3107">
        <f t="shared" si="1062"/>
        <v>4.2642315924788878</v>
      </c>
      <c r="CB316" s="3107">
        <f t="shared" si="1062"/>
        <v>4.4774431721028316</v>
      </c>
      <c r="CC316" s="3107">
        <f t="shared" si="1062"/>
        <v>4.0210913614479686</v>
      </c>
      <c r="CD316" s="3107">
        <f t="shared" si="1062"/>
        <v>4.1423964041223478</v>
      </c>
      <c r="CE316" s="3107">
        <f t="shared" si="1062"/>
        <v>4.3495162243284655</v>
      </c>
      <c r="CF316" s="3107">
        <f t="shared" si="1062"/>
        <v>4.5669920355448888</v>
      </c>
      <c r="CG316" s="3107">
        <f t="shared" si="1062"/>
        <v>4.101513188676928</v>
      </c>
      <c r="CH316" s="3107">
        <f t="shared" si="1062"/>
        <v>4.2252443322047952</v>
      </c>
      <c r="CI316" s="3107">
        <f t="shared" si="1062"/>
        <v>4.4365065488150348</v>
      </c>
      <c r="CJ316" s="3107">
        <f t="shared" si="1062"/>
        <v>4.6583318762557866</v>
      </c>
      <c r="CK316" s="3107">
        <f t="shared" si="1062"/>
        <v>4.1835434524504667</v>
      </c>
      <c r="CL316" s="3107">
        <f t="shared" si="1062"/>
        <v>4.3097492188488911</v>
      </c>
      <c r="CM316" s="3107">
        <f t="shared" si="1062"/>
        <v>4.5252366797913357</v>
      </c>
      <c r="CN316" s="3107">
        <f t="shared" si="1062"/>
        <v>4.751498513780902</v>
      </c>
      <c r="CO316" s="3107">
        <f t="shared" si="1062"/>
        <v>4.267214321499476</v>
      </c>
      <c r="CP316" s="3107">
        <f t="shared" si="1062"/>
        <v>4.3959442032258691</v>
      </c>
      <c r="CQ316" s="3107">
        <f t="shared" si="1062"/>
        <v>4.6157414133871626</v>
      </c>
      <c r="CR316" s="3107">
        <f t="shared" si="1062"/>
        <v>4.8465284840565204</v>
      </c>
      <c r="CS316" s="3107">
        <f t="shared" si="1062"/>
        <v>4.352558607929466</v>
      </c>
      <c r="CT316" s="3107">
        <f t="shared" si="1062"/>
        <v>4.4838630872903869</v>
      </c>
      <c r="CU316" s="3107">
        <f t="shared" si="1062"/>
        <v>4.7080562416549059</v>
      </c>
      <c r="CV316" s="3107">
        <f t="shared" si="1062"/>
        <v>4.9434590537376506</v>
      </c>
      <c r="CW316" s="3107">
        <f t="shared" si="1062"/>
        <v>4.4396097800880554</v>
      </c>
      <c r="CX316" s="3107">
        <f t="shared" si="1062"/>
        <v>4.573540349036195</v>
      </c>
      <c r="CY316" s="3107">
        <f t="shared" si="1062"/>
        <v>4.8022173664880041</v>
      </c>
      <c r="CZ316" s="3107">
        <f t="shared" si="1062"/>
        <v>5.0423282348124037</v>
      </c>
    </row>
    <row r="317" spans="1:105">
      <c r="A317" s="2174" t="s">
        <v>317</v>
      </c>
      <c r="B317" s="2240"/>
      <c r="C317" s="2256"/>
      <c r="D317" s="2256"/>
      <c r="E317" s="2256"/>
      <c r="F317" s="2256"/>
      <c r="G317" s="2256"/>
      <c r="H317" s="2256"/>
      <c r="I317" s="2256"/>
      <c r="J317" s="2246">
        <f>J312*0.45</f>
        <v>-25.45052207733</v>
      </c>
      <c r="K317" s="2247">
        <f>SUM(AS51:AV51)</f>
        <v>-44.596454899999998</v>
      </c>
      <c r="L317" s="2414">
        <f>L312*0.45</f>
        <v>33.475151095513667</v>
      </c>
      <c r="M317" s="2414">
        <f t="shared" ref="M317" si="1063">M312*0.45</f>
        <v>103.62790185573071</v>
      </c>
      <c r="N317" s="2414">
        <f>N312*0.45</f>
        <v>230.27256389067577</v>
      </c>
      <c r="O317" s="2414">
        <f t="shared" ref="O317:Q317" si="1064">O312*0.45</f>
        <v>491.43736287357677</v>
      </c>
      <c r="P317" s="2414">
        <f t="shared" si="1064"/>
        <v>874.37402835122657</v>
      </c>
      <c r="Q317" s="2414">
        <f t="shared" si="1064"/>
        <v>1264.4380870361515</v>
      </c>
      <c r="R317" s="2175"/>
      <c r="S317" s="2175"/>
      <c r="T317" s="2175">
        <v>314</v>
      </c>
      <c r="U317" s="2175"/>
      <c r="V317" s="2175"/>
      <c r="W317" s="2175"/>
      <c r="X317" s="2175"/>
      <c r="Y317" s="2175"/>
      <c r="Z317" s="2175"/>
      <c r="AA317" s="2175"/>
      <c r="AB317" s="2175"/>
      <c r="AC317" s="2175"/>
      <c r="AD317" s="2175"/>
      <c r="AE317" s="2175"/>
      <c r="AF317" s="2175"/>
      <c r="AG317" s="2175"/>
      <c r="AH317" s="2175"/>
      <c r="AI317" s="2175"/>
      <c r="AJ317" s="2175"/>
      <c r="AK317" s="2175"/>
      <c r="AL317" s="2175"/>
      <c r="AM317" s="2175"/>
      <c r="AN317" s="2175"/>
      <c r="AO317" s="2414"/>
      <c r="AP317" s="2414"/>
      <c r="AQ317" s="2414"/>
      <c r="AR317" s="2414"/>
      <c r="AS317" s="3108">
        <f>AS312*0.45</f>
        <v>-11.570021511569998</v>
      </c>
      <c r="AT317" s="3108">
        <f>AT312*0.45</f>
        <v>-2.8496440711800046</v>
      </c>
      <c r="AU317" s="3108">
        <f>AU312*0.45</f>
        <v>0.18508558275000056</v>
      </c>
      <c r="AV317" s="3108">
        <f>AV312*0.45</f>
        <v>6.390358067790002</v>
      </c>
      <c r="AW317" s="2415">
        <v>0.05</v>
      </c>
      <c r="AX317" s="3109">
        <f>AX316/AW316-1</f>
        <v>7.922277453167359E-2</v>
      </c>
      <c r="AY317" s="3109">
        <v>0.05</v>
      </c>
      <c r="AZ317" s="3109">
        <v>0.05</v>
      </c>
      <c r="BA317" s="2911">
        <v>0.1</v>
      </c>
      <c r="BB317" s="2911">
        <v>0.05</v>
      </c>
      <c r="BC317" s="2911">
        <v>0.05</v>
      </c>
      <c r="BD317" s="2911">
        <v>0.05</v>
      </c>
      <c r="BE317" s="2911">
        <v>0.05</v>
      </c>
      <c r="BF317" s="2911">
        <v>0.05</v>
      </c>
      <c r="BG317" s="2911">
        <v>0.05</v>
      </c>
      <c r="BH317" s="2911">
        <v>0.05</v>
      </c>
      <c r="BI317" s="2911">
        <v>0.05</v>
      </c>
      <c r="BJ317" s="2911">
        <v>0.05</v>
      </c>
      <c r="BK317" s="2911">
        <v>0.05</v>
      </c>
      <c r="BL317" s="2911">
        <v>0.05</v>
      </c>
      <c r="BM317" s="2911">
        <v>0.05</v>
      </c>
      <c r="BN317" s="2911">
        <v>0.05</v>
      </c>
      <c r="BO317" s="2911">
        <v>0.05</v>
      </c>
      <c r="BP317" s="2911">
        <v>0.05</v>
      </c>
      <c r="BQ317" s="2911">
        <v>0.02</v>
      </c>
      <c r="BR317" s="2911">
        <v>0.02</v>
      </c>
      <c r="BS317" s="2911">
        <v>0.02</v>
      </c>
      <c r="BT317" s="2911">
        <v>0.02</v>
      </c>
      <c r="BU317" s="2911">
        <v>0.02</v>
      </c>
      <c r="BV317" s="2911">
        <v>0.02</v>
      </c>
      <c r="BW317" s="2911">
        <v>0.02</v>
      </c>
      <c r="BX317" s="2911">
        <v>0.02</v>
      </c>
      <c r="BY317" s="2911">
        <v>0.02</v>
      </c>
      <c r="BZ317" s="2911">
        <v>0.02</v>
      </c>
      <c r="CA317" s="2911">
        <v>0.02</v>
      </c>
      <c r="CB317" s="2911">
        <v>0.02</v>
      </c>
      <c r="CC317" s="2911">
        <v>0.02</v>
      </c>
      <c r="CD317" s="2911">
        <v>0.02</v>
      </c>
      <c r="CE317" s="2911">
        <v>0.02</v>
      </c>
      <c r="CF317" s="2911">
        <v>0.02</v>
      </c>
      <c r="CG317" s="2911">
        <v>0.02</v>
      </c>
      <c r="CH317" s="2911">
        <v>0.02</v>
      </c>
      <c r="CI317" s="2911">
        <v>0.02</v>
      </c>
      <c r="CJ317" s="2911">
        <v>0.02</v>
      </c>
      <c r="CK317" s="2911">
        <v>0.02</v>
      </c>
      <c r="CL317" s="2911">
        <v>0.02</v>
      </c>
      <c r="CM317" s="2911">
        <v>0.02</v>
      </c>
      <c r="CN317" s="2911">
        <v>0.02</v>
      </c>
      <c r="CO317" s="2911">
        <v>0.02</v>
      </c>
      <c r="CP317" s="2911">
        <v>0.02</v>
      </c>
      <c r="CQ317" s="2911">
        <v>0.02</v>
      </c>
      <c r="CR317" s="2911">
        <v>0.02</v>
      </c>
      <c r="CS317" s="2911">
        <v>0.02</v>
      </c>
      <c r="CT317" s="2911">
        <v>0.02</v>
      </c>
      <c r="CU317" s="2911">
        <v>0.02</v>
      </c>
      <c r="CV317" s="2911">
        <v>0.02</v>
      </c>
      <c r="CW317" s="2911">
        <v>0.02</v>
      </c>
      <c r="CX317" s="2911">
        <v>0.02</v>
      </c>
      <c r="CY317" s="2911">
        <v>0.02</v>
      </c>
      <c r="CZ317" s="2911">
        <v>0.02</v>
      </c>
    </row>
    <row r="318" spans="1:105">
      <c r="A318" s="2180" t="s">
        <v>318</v>
      </c>
      <c r="B318" s="2300"/>
      <c r="C318" s="2301"/>
      <c r="D318" s="2301"/>
      <c r="E318" s="2301"/>
      <c r="F318" s="2301"/>
      <c r="G318" s="2301"/>
      <c r="H318" s="2301"/>
      <c r="I318" s="2301"/>
      <c r="J318" s="2301"/>
      <c r="K318" s="2364"/>
      <c r="L318" s="2183"/>
      <c r="M318" s="2183"/>
      <c r="N318" s="2183">
        <f>N317*12.8</f>
        <v>2947.4888178006499</v>
      </c>
      <c r="O318" s="2183">
        <f t="shared" ref="O318:Q318" si="1065">O317*12.8</f>
        <v>6290.3982447817834</v>
      </c>
      <c r="P318" s="2183">
        <f t="shared" si="1065"/>
        <v>11191.987562895702</v>
      </c>
      <c r="Q318" s="2183">
        <f t="shared" si="1065"/>
        <v>16184.807514062741</v>
      </c>
      <c r="R318" s="2175"/>
      <c r="S318" s="2175"/>
      <c r="T318" s="2175">
        <v>315</v>
      </c>
      <c r="U318" s="2175"/>
      <c r="V318" s="2175"/>
      <c r="W318" s="2175"/>
      <c r="X318" s="2175"/>
      <c r="Y318" s="2175"/>
      <c r="Z318" s="2175"/>
      <c r="AA318" s="2175"/>
      <c r="AB318" s="2175"/>
      <c r="AC318" s="2175"/>
      <c r="AD318" s="2175"/>
      <c r="AE318" s="2175"/>
      <c r="AF318" s="2175"/>
      <c r="AG318" s="2175"/>
      <c r="AH318" s="2175"/>
      <c r="AI318" s="2175"/>
      <c r="AJ318" s="2175"/>
      <c r="AK318" s="2175"/>
      <c r="AL318" s="2175"/>
      <c r="AM318" s="2175"/>
      <c r="AN318" s="2175"/>
      <c r="AO318" s="2175"/>
      <c r="AP318" s="2175"/>
      <c r="AQ318" s="2175"/>
      <c r="AR318" s="2175"/>
      <c r="AS318" s="2375"/>
      <c r="AT318" s="2175"/>
      <c r="AU318" s="2175"/>
      <c r="AV318" s="2175"/>
      <c r="AW318" s="2376"/>
      <c r="AX318" s="2177"/>
      <c r="AY318" s="2177"/>
      <c r="AZ318" s="2177"/>
      <c r="BA318" s="2174"/>
      <c r="BB318" s="2174"/>
      <c r="BC318" s="2174"/>
      <c r="BD318" s="2174"/>
      <c r="BE318" s="2174"/>
      <c r="BF318" s="2174"/>
      <c r="BG318" s="2174"/>
      <c r="BH318" s="2174"/>
      <c r="BI318" s="2174"/>
      <c r="BJ318" s="2174"/>
      <c r="BK318" s="2174"/>
      <c r="BL318" s="2174"/>
    </row>
    <row r="319" spans="1:105">
      <c r="A319" s="2180" t="s">
        <v>319</v>
      </c>
      <c r="B319" s="2300"/>
      <c r="C319" s="2301"/>
      <c r="D319" s="2301"/>
      <c r="E319" s="2301"/>
      <c r="F319" s="2301"/>
      <c r="G319" s="2301"/>
      <c r="H319" s="2301"/>
      <c r="I319" s="2301"/>
      <c r="J319" s="2301"/>
      <c r="K319" s="2364"/>
      <c r="L319" s="2181"/>
      <c r="M319" s="2181"/>
      <c r="N319" s="2365">
        <f>(N318/(1+0.5)^(1/3))</f>
        <v>2574.8686512593358</v>
      </c>
      <c r="O319" s="2365">
        <f t="shared" ref="O319:Q319" si="1066">(O318/(1+0.5)^(1/3))</f>
        <v>5495.169022052869</v>
      </c>
      <c r="P319" s="2365">
        <f t="shared" si="1066"/>
        <v>9777.1016965173039</v>
      </c>
      <c r="Q319" s="2365">
        <f t="shared" si="1066"/>
        <v>14138.731669802472</v>
      </c>
      <c r="R319" s="2175"/>
      <c r="S319" s="2175"/>
      <c r="T319" s="2175">
        <v>316</v>
      </c>
      <c r="U319" s="2175"/>
      <c r="V319" s="2175"/>
      <c r="W319" s="2175"/>
      <c r="X319" s="2175"/>
      <c r="Y319" s="2175"/>
      <c r="Z319" s="2175"/>
      <c r="AA319" s="2175"/>
      <c r="AB319" s="2175"/>
      <c r="AC319" s="2175"/>
      <c r="AD319" s="2175"/>
      <c r="AE319" s="2175"/>
      <c r="AF319" s="2175"/>
      <c r="AG319" s="2175"/>
      <c r="AH319" s="2175"/>
      <c r="AI319" s="2175"/>
      <c r="AJ319" s="2175"/>
      <c r="AK319" s="2175"/>
      <c r="AL319" s="2175"/>
      <c r="AM319" s="2175"/>
      <c r="AN319" s="2175"/>
      <c r="AO319" s="2175"/>
      <c r="AP319" s="2175"/>
      <c r="AQ319" s="2175"/>
      <c r="AR319" s="2175"/>
      <c r="AS319" s="2445">
        <f>AS51/0.45</f>
        <v>-45.533333333333331</v>
      </c>
      <c r="AT319" s="2179">
        <f>AT51/0.45</f>
        <v>-59.291732326666661</v>
      </c>
      <c r="AU319" s="2179">
        <f>AU51/0.45</f>
        <v>0.33845451111109998</v>
      </c>
      <c r="AV319" s="2175"/>
      <c r="AW319" s="2446"/>
      <c r="AX319" s="2447">
        <f>AX312*0.8</f>
        <v>19.771788042666667</v>
      </c>
      <c r="AY319" s="2177"/>
      <c r="AZ319" s="2177"/>
      <c r="BA319" s="2174"/>
      <c r="BB319" s="2174"/>
      <c r="BC319" s="2174"/>
      <c r="BD319" s="2174"/>
      <c r="BE319" s="2174"/>
      <c r="BF319" s="2174"/>
      <c r="BG319" s="2174"/>
      <c r="BH319" s="2174"/>
      <c r="BI319" s="2174"/>
      <c r="BJ319" s="2174"/>
      <c r="BK319" s="2174"/>
      <c r="BL319" s="2174"/>
    </row>
    <row r="320" spans="1:105">
      <c r="B320" s="3110"/>
      <c r="C320" s="3111"/>
      <c r="D320" s="3111"/>
      <c r="E320" s="3111"/>
      <c r="F320" s="3111"/>
      <c r="G320" s="3111"/>
      <c r="H320" s="3111"/>
      <c r="I320" s="3111"/>
      <c r="J320" s="3111"/>
      <c r="K320" s="3112"/>
      <c r="AO320" s="3113"/>
    </row>
    <row r="321" spans="2:41">
      <c r="B321" s="3110"/>
      <c r="C321" s="3111"/>
      <c r="D321" s="3111"/>
      <c r="E321" s="3111"/>
      <c r="F321" s="3111"/>
      <c r="G321" s="3111"/>
      <c r="H321" s="3111"/>
      <c r="I321" s="3111"/>
      <c r="J321" s="3111"/>
      <c r="K321" s="3112"/>
      <c r="AO321" s="3113"/>
    </row>
    <row r="322" spans="2:41">
      <c r="K322" s="3117">
        <f>K312+[1]Milestones!R80</f>
        <v>4451.1913763872026</v>
      </c>
      <c r="L322" s="3117">
        <f t="shared" ref="L322:Q322" ca="1" si="1067">L312+L98+L177</f>
        <v>5251.7095680213724</v>
      </c>
      <c r="M322" s="3117">
        <f t="shared" ca="1" si="1067"/>
        <v>6294.8053334565693</v>
      </c>
      <c r="N322" s="3117">
        <f t="shared" ca="1" si="1067"/>
        <v>7372.6967830000158</v>
      </c>
      <c r="O322" s="3117">
        <f t="shared" ca="1" si="1067"/>
        <v>9135.3339761058342</v>
      </c>
      <c r="P322" s="3117">
        <f t="shared" ca="1" si="1067"/>
        <v>10696.76837093271</v>
      </c>
      <c r="Q322" s="3117">
        <f t="shared" ca="1" si="1067"/>
        <v>12255.382724817533</v>
      </c>
      <c r="R322" s="3118">
        <f ca="1">(Q322/M322)^(1/4)-1</f>
        <v>0.18123455651537435</v>
      </c>
    </row>
    <row r="323" spans="2:41">
      <c r="L323" s="3120">
        <f t="shared" ref="L323:Q323" ca="1" si="1068">L322/K322-1</f>
        <v>0.17984357982916221</v>
      </c>
      <c r="M323" s="3120">
        <f t="shared" ca="1" si="1068"/>
        <v>0.19862023059820344</v>
      </c>
      <c r="N323" s="3120">
        <f t="shared" ca="1" si="1068"/>
        <v>0.17123507280114092</v>
      </c>
      <c r="O323" s="3120">
        <f t="shared" ca="1" si="1068"/>
        <v>0.23907631698215392</v>
      </c>
      <c r="P323" s="3120">
        <f t="shared" ca="1" si="1068"/>
        <v>0.17092252991635859</v>
      </c>
      <c r="Q323" s="3120">
        <f t="shared" ca="1" si="1068"/>
        <v>0.14570890009361936</v>
      </c>
    </row>
    <row r="326" spans="2:41">
      <c r="L326" s="3113">
        <f ca="1">L312+L98</f>
        <v>5338.384308065255</v>
      </c>
      <c r="M326" s="3117">
        <f ca="1">M312+M98</f>
        <v>6329.7211231602269</v>
      </c>
      <c r="N326" s="3113">
        <f t="shared" ref="N326:Q326" ca="1" si="1069">N312+N98</f>
        <v>7345.9008686781999</v>
      </c>
      <c r="O326" s="3113">
        <f t="shared" ca="1" si="1069"/>
        <v>9046.1216218975769</v>
      </c>
      <c r="P326" s="3113">
        <f t="shared" ca="1" si="1069"/>
        <v>10516.713167415544</v>
      </c>
      <c r="Q326" s="3113">
        <f t="shared" ca="1" si="1069"/>
        <v>12047.157011532698</v>
      </c>
    </row>
    <row r="327" spans="2:41">
      <c r="M327" s="3397">
        <f ca="1">M326/L326-1</f>
        <v>0.18569978440803814</v>
      </c>
    </row>
  </sheetData>
  <sheetProtection algorithmName="SHA-512" hashValue="RuwFBjGkQaqcrY0g6SMI4f4jkj+5hdL33GFvvpQcKs/eGnSJ4vxEmzufgHHiL20dlmZ2w/AewR4d0YsVgFzcZA==" saltValue="s49yDYIIsvM1yPIWYXjZCA==" spinCount="100000" sheet="1" objects="1" scenarios="1"/>
  <phoneticPr fontId="64" type="noConversion"/>
  <conditionalFormatting sqref="A124:Q124 R124:S125 U124:AH125 AJ124:XFD125 B125">
    <cfRule type="cellIs" dxfId="49" priority="46" operator="greaterThan">
      <formula>0</formula>
    </cfRule>
    <cfRule type="cellIs" dxfId="48" priority="45" operator="lessThan">
      <formula>0</formula>
    </cfRule>
  </conditionalFormatting>
  <conditionalFormatting sqref="A98:S98 U98:XFD98 U128:XFD128 A128:S129 U129:AR129 AT129:AV129 AX129:XFD129">
    <cfRule type="cellIs" dxfId="47" priority="42" operator="greaterThan">
      <formula>0</formula>
    </cfRule>
    <cfRule type="cellIs" dxfId="46" priority="41" operator="lessThan">
      <formula>0</formula>
    </cfRule>
  </conditionalFormatting>
  <conditionalFormatting sqref="A177:S177 U177:XFD177">
    <cfRule type="cellIs" dxfId="45" priority="23" operator="lessThan">
      <formula>0</formula>
    </cfRule>
    <cfRule type="cellIs" dxfId="44" priority="24" operator="greaterThan">
      <formula>0</formula>
    </cfRule>
  </conditionalFormatting>
  <conditionalFormatting sqref="I114:J116 K114 L114:Q116">
    <cfRule type="colorScale" priority="40">
      <colorScale>
        <cfvo type="min"/>
        <cfvo type="percentile" val="50"/>
        <cfvo type="max"/>
        <color rgb="FFF8696B"/>
        <color rgb="FFFFEB84"/>
        <color rgb="FF63BE7B"/>
      </colorScale>
    </cfRule>
  </conditionalFormatting>
  <conditionalFormatting sqref="I119:K119 L119:Q120">
    <cfRule type="colorScale" priority="37">
      <colorScale>
        <cfvo type="min"/>
        <cfvo type="percentile" val="50"/>
        <cfvo type="max"/>
        <color rgb="FFF8696B"/>
        <color rgb="FFFFEB84"/>
        <color rgb="FF63BE7B"/>
      </colorScale>
    </cfRule>
  </conditionalFormatting>
  <conditionalFormatting sqref="I120:K120">
    <cfRule type="colorScale" priority="36">
      <colorScale>
        <cfvo type="min"/>
        <cfvo type="percentile" val="50"/>
        <cfvo type="max"/>
        <color rgb="FFF8696B"/>
        <color rgb="FFFFEB84"/>
        <color rgb="FF63BE7B"/>
      </colorScale>
    </cfRule>
  </conditionalFormatting>
  <conditionalFormatting sqref="K115">
    <cfRule type="colorScale" priority="39">
      <colorScale>
        <cfvo type="min"/>
        <cfvo type="percentile" val="50"/>
        <cfvo type="max"/>
        <color rgb="FFF8696B"/>
        <color rgb="FFFFEB84"/>
        <color rgb="FF63BE7B"/>
      </colorScale>
    </cfRule>
  </conditionalFormatting>
  <conditionalFormatting sqref="K116">
    <cfRule type="colorScale" priority="38">
      <colorScale>
        <cfvo type="min"/>
        <cfvo type="percentile" val="50"/>
        <cfvo type="max"/>
        <color rgb="FFF8696B"/>
        <color rgb="FFFFEB84"/>
        <color rgb="FF63BE7B"/>
      </colorScale>
    </cfRule>
  </conditionalFormatting>
  <conditionalFormatting sqref="AF212">
    <cfRule type="colorScale" priority="32">
      <colorScale>
        <cfvo type="min"/>
        <cfvo type="percentile" val="50"/>
        <cfvo type="max"/>
        <color rgb="FFF8696B"/>
        <color rgb="FFFFEB84"/>
        <color rgb="FF63BE7B"/>
      </colorScale>
    </cfRule>
  </conditionalFormatting>
  <conditionalFormatting sqref="AF213">
    <cfRule type="colorScale" priority="31">
      <colorScale>
        <cfvo type="min"/>
        <cfvo type="percentile" val="50"/>
        <cfvo type="max"/>
        <color rgb="FFF8696B"/>
        <color rgb="FFFFEB84"/>
        <color rgb="FF63BE7B"/>
      </colorScale>
    </cfRule>
  </conditionalFormatting>
  <conditionalFormatting sqref="AF214">
    <cfRule type="colorScale" priority="30">
      <colorScale>
        <cfvo type="min"/>
        <cfvo type="percentile" val="50"/>
        <cfvo type="max"/>
        <color rgb="FFF8696B"/>
        <color rgb="FFFFEB84"/>
        <color rgb="FF63BE7B"/>
      </colorScale>
    </cfRule>
  </conditionalFormatting>
  <conditionalFormatting sqref="AF215">
    <cfRule type="colorScale" priority="29">
      <colorScale>
        <cfvo type="min"/>
        <cfvo type="percentile" val="50"/>
        <cfvo type="max"/>
        <color rgb="FFF8696B"/>
        <color rgb="FFFFEB84"/>
        <color rgb="FF63BE7B"/>
      </colorScale>
    </cfRule>
  </conditionalFormatting>
  <conditionalFormatting sqref="AF217">
    <cfRule type="colorScale" priority="27">
      <colorScale>
        <cfvo type="min"/>
        <cfvo type="percentile" val="50"/>
        <cfvo type="max"/>
        <color rgb="FFF8696B"/>
        <color rgb="FFFFEB84"/>
        <color rgb="FF63BE7B"/>
      </colorScale>
    </cfRule>
  </conditionalFormatting>
  <conditionalFormatting sqref="AF219">
    <cfRule type="colorScale" priority="26">
      <colorScale>
        <cfvo type="min"/>
        <cfvo type="percentile" val="50"/>
        <cfvo type="max"/>
        <color rgb="FFF8696B"/>
        <color rgb="FFFFEB84"/>
        <color rgb="FF63BE7B"/>
      </colorScale>
    </cfRule>
  </conditionalFormatting>
  <conditionalFormatting sqref="AF220">
    <cfRule type="colorScale" priority="25">
      <colorScale>
        <cfvo type="min"/>
        <cfvo type="percentile" val="50"/>
        <cfvo type="max"/>
        <color rgb="FFF8696B"/>
        <color rgb="FFFFEB84"/>
        <color rgb="FF63BE7B"/>
      </colorScale>
    </cfRule>
  </conditionalFormatting>
  <conditionalFormatting sqref="AF209:AW209">
    <cfRule type="colorScale" priority="35">
      <colorScale>
        <cfvo type="min"/>
        <cfvo type="percentile" val="50"/>
        <cfvo type="max"/>
        <color rgb="FFF8696B"/>
        <color rgb="FFFFEB84"/>
        <color rgb="FF63BE7B"/>
      </colorScale>
    </cfRule>
  </conditionalFormatting>
  <conditionalFormatting sqref="AF210:AW210">
    <cfRule type="colorScale" priority="34">
      <colorScale>
        <cfvo type="min"/>
        <cfvo type="percentile" val="50"/>
        <cfvo type="max"/>
        <color rgb="FFF8696B"/>
        <color rgb="FFFFEB84"/>
        <color rgb="FF63BE7B"/>
      </colorScale>
    </cfRule>
  </conditionalFormatting>
  <conditionalFormatting sqref="AF211:AW211">
    <cfRule type="colorScale" priority="33">
      <colorScale>
        <cfvo type="min"/>
        <cfvo type="percentile" val="50"/>
        <cfvo type="max"/>
        <color rgb="FFF8696B"/>
        <color rgb="FFFFEB84"/>
        <color rgb="FF63BE7B"/>
      </colorScale>
    </cfRule>
  </conditionalFormatting>
  <conditionalFormatting sqref="AG217:AP217">
    <cfRule type="colorScale" priority="17">
      <colorScale>
        <cfvo type="min"/>
        <cfvo type="percentile" val="50"/>
        <cfvo type="max"/>
        <color rgb="FFF8696B"/>
        <color rgb="FFFFEB84"/>
        <color rgb="FF63BE7B"/>
      </colorScale>
    </cfRule>
  </conditionalFormatting>
  <conditionalFormatting sqref="AG212:AW212">
    <cfRule type="colorScale" priority="22">
      <colorScale>
        <cfvo type="min"/>
        <cfvo type="percentile" val="50"/>
        <cfvo type="max"/>
        <color rgb="FFF8696B"/>
        <color rgb="FFFFEB84"/>
        <color rgb="FF63BE7B"/>
      </colorScale>
    </cfRule>
  </conditionalFormatting>
  <conditionalFormatting sqref="AG213:AW213">
    <cfRule type="colorScale" priority="21">
      <colorScale>
        <cfvo type="min"/>
        <cfvo type="percentile" val="50"/>
        <cfvo type="max"/>
        <color rgb="FFF8696B"/>
        <color rgb="FFFFEB84"/>
        <color rgb="FF63BE7B"/>
      </colorScale>
    </cfRule>
  </conditionalFormatting>
  <conditionalFormatting sqref="AG214:AW214">
    <cfRule type="colorScale" priority="20">
      <colorScale>
        <cfvo type="min"/>
        <cfvo type="percentile" val="50"/>
        <cfvo type="max"/>
        <color rgb="FFF8696B"/>
        <color rgb="FFFFEB84"/>
        <color rgb="FF63BE7B"/>
      </colorScale>
    </cfRule>
  </conditionalFormatting>
  <conditionalFormatting sqref="AG215:AW215">
    <cfRule type="colorScale" priority="19">
      <colorScale>
        <cfvo type="min"/>
        <cfvo type="percentile" val="50"/>
        <cfvo type="max"/>
        <color rgb="FFF8696B"/>
        <color rgb="FFFFEB84"/>
        <color rgb="FF63BE7B"/>
      </colorScale>
    </cfRule>
  </conditionalFormatting>
  <conditionalFormatting sqref="AG219:AW219">
    <cfRule type="colorScale" priority="16">
      <colorScale>
        <cfvo type="min"/>
        <cfvo type="percentile" val="50"/>
        <cfvo type="max"/>
        <color rgb="FFF8696B"/>
        <color rgb="FFFFEB84"/>
        <color rgb="FF63BE7B"/>
      </colorScale>
    </cfRule>
  </conditionalFormatting>
  <conditionalFormatting sqref="AG220:AW220">
    <cfRule type="colorScale" priority="15">
      <colorScale>
        <cfvo type="min"/>
        <cfvo type="percentile" val="50"/>
        <cfvo type="max"/>
        <color rgb="FFF8696B"/>
        <color rgb="FFFFEB84"/>
        <color rgb="FF63BE7B"/>
      </colorScale>
    </cfRule>
  </conditionalFormatting>
  <conditionalFormatting sqref="AK216:AQ216 AQ217 AR216:AR217">
    <cfRule type="colorScale" priority="18">
      <colorScale>
        <cfvo type="min"/>
        <cfvo type="percentile" val="50"/>
        <cfvo type="max"/>
        <color rgb="FFF8696B"/>
        <color rgb="FFFFEB84"/>
        <color rgb="FF63BE7B"/>
      </colorScale>
    </cfRule>
  </conditionalFormatting>
  <conditionalFormatting sqref="AO138:AW138">
    <cfRule type="colorScale" priority="13">
      <colorScale>
        <cfvo type="min"/>
        <cfvo type="percentile" val="50"/>
        <cfvo type="max"/>
        <color rgb="FFF8696B"/>
        <color rgb="FFFFEB84"/>
        <color rgb="FF63BE7B"/>
      </colorScale>
    </cfRule>
  </conditionalFormatting>
  <conditionalFormatting sqref="AO139:AW139">
    <cfRule type="colorScale" priority="12">
      <colorScale>
        <cfvo type="min"/>
        <cfvo type="percentile" val="50"/>
        <cfvo type="max"/>
        <color rgb="FFF8696B"/>
        <color rgb="FFFFEB84"/>
        <color rgb="FF63BE7B"/>
      </colorScale>
    </cfRule>
  </conditionalFormatting>
  <conditionalFormatting sqref="AO140:AW140">
    <cfRule type="colorScale" priority="11">
      <colorScale>
        <cfvo type="min"/>
        <cfvo type="percentile" val="50"/>
        <cfvo type="max"/>
        <color rgb="FFF8696B"/>
        <color rgb="FFFFEB84"/>
        <color rgb="FF63BE7B"/>
      </colorScale>
    </cfRule>
  </conditionalFormatting>
  <conditionalFormatting sqref="AO141:AW141">
    <cfRule type="colorScale" priority="10">
      <colorScale>
        <cfvo type="min"/>
        <cfvo type="percentile" val="50"/>
        <cfvo type="max"/>
        <color rgb="FFF8696B"/>
        <color rgb="FFFFEB84"/>
        <color rgb="FF63BE7B"/>
      </colorScale>
    </cfRule>
  </conditionalFormatting>
  <conditionalFormatting sqref="AO142:AW142">
    <cfRule type="colorScale" priority="9">
      <colorScale>
        <cfvo type="min"/>
        <cfvo type="percentile" val="50"/>
        <cfvo type="max"/>
        <color rgb="FFF8696B"/>
        <color rgb="FFFFEB84"/>
        <color rgb="FF63BE7B"/>
      </colorScale>
    </cfRule>
  </conditionalFormatting>
  <conditionalFormatting sqref="AO143:AW143">
    <cfRule type="colorScale" priority="8">
      <colorScale>
        <cfvo type="min"/>
        <cfvo type="percentile" val="50"/>
        <cfvo type="max"/>
        <color rgb="FFF8696B"/>
        <color rgb="FFFFEB84"/>
        <color rgb="FF63BE7B"/>
      </colorScale>
    </cfRule>
  </conditionalFormatting>
  <conditionalFormatting sqref="AP144:AW144">
    <cfRule type="colorScale" priority="7">
      <colorScale>
        <cfvo type="min"/>
        <cfvo type="percentile" val="50"/>
        <cfvo type="max"/>
        <color rgb="FFF8696B"/>
        <color rgb="FFFFEB84"/>
        <color rgb="FF63BE7B"/>
      </colorScale>
    </cfRule>
  </conditionalFormatting>
  <conditionalFormatting sqref="AS216:AS217">
    <cfRule type="colorScale" priority="5">
      <colorScale>
        <cfvo type="min"/>
        <cfvo type="percentile" val="50"/>
        <cfvo type="max"/>
        <color rgb="FFF8696B"/>
        <color rgb="FFFFEB84"/>
        <color rgb="FF63BE7B"/>
      </colorScale>
    </cfRule>
  </conditionalFormatting>
  <conditionalFormatting sqref="AT216:AT217">
    <cfRule type="colorScale" priority="4">
      <colorScale>
        <cfvo type="min"/>
        <cfvo type="percentile" val="50"/>
        <cfvo type="max"/>
        <color rgb="FFF8696B"/>
        <color rgb="FFFFEB84"/>
        <color rgb="FF63BE7B"/>
      </colorScale>
    </cfRule>
  </conditionalFormatting>
  <conditionalFormatting sqref="AU216">
    <cfRule type="colorScale" priority="3">
      <colorScale>
        <cfvo type="min"/>
        <cfvo type="percentile" val="50"/>
        <cfvo type="max"/>
        <color rgb="FFF8696B"/>
        <color rgb="FFFFEB84"/>
        <color rgb="FF63BE7B"/>
      </colorScale>
    </cfRule>
  </conditionalFormatting>
  <conditionalFormatting sqref="AU217:AV217">
    <cfRule type="colorScale" priority="2">
      <colorScale>
        <cfvo type="min"/>
        <cfvo type="percentile" val="50"/>
        <cfvo type="max"/>
        <color rgb="FFF8696B"/>
        <color rgb="FFFFEB84"/>
        <color rgb="FF63BE7B"/>
      </colorScale>
    </cfRule>
  </conditionalFormatting>
  <conditionalFormatting sqref="AW216:AW217">
    <cfRule type="colorScale" priority="1">
      <colorScale>
        <cfvo type="min"/>
        <cfvo type="percentile" val="50"/>
        <cfvo type="max"/>
        <color rgb="FFF8696B"/>
        <color rgb="FFFFEB84"/>
        <color rgb="FF63BE7B"/>
      </colorScale>
    </cfRule>
  </conditionalFormatting>
  <hyperlinks>
    <hyperlink ref="A119" r:id="rId1" xr:uid="{63FDDF56-9CBA-416A-9BEB-50571DE2968F}"/>
    <hyperlink ref="H124" r:id="rId2" display="https://mwg.vn/uploads/2022/3/20220320---mwg---bao-cao-tai-chinh-hop-nhat-soat-xet-nam-2021_compressed-1.pdf" xr:uid="{6479F5A1-820F-45FA-BED5-921ADAB6C7B0}"/>
    <hyperlink ref="AO49" r:id="rId3" display="https://mwg.vn/uploads/2023/4/20230428---mwg---bao-cao-tai-chinh-hop-nhat-quy-1-nam-2023.pdf" xr:uid="{40636D39-A3C5-4E3C-A9DB-C6C80EE2864D}"/>
    <hyperlink ref="AP49" r:id="rId4" display="https://mwg.vn/uploads/2023/8/20230823---mwg---bao-cao-tai-chinh-hop-nhat-ban-nien-kiem-toan-1.pdf" xr:uid="{96531524-9AC0-42DD-B09E-EA544618D500}"/>
    <hyperlink ref="AQ49" r:id="rId5" display="https://mwg.vn/uploads/2023/10/20231030---mwg---bao-cao-tai-chinh--hop-nhat-quy-3-nam-2023_n.pdf" xr:uid="{B114EE92-2475-44A4-A834-3EE0E22B3BFB}"/>
    <hyperlink ref="AR49" r:id="rId6" display="https://mwg.vn/uploads/2024/1/20240130---mwg---bctc-hop-nhat-quy-4-nam-2023-1.pdf" xr:uid="{D44124A0-8A9B-4265-BA10-0196AE425941}"/>
  </hyperlinks>
  <pageMargins left="0.7" right="0.7" top="0.75" bottom="0.75" header="0.3" footer="0.3"/>
  <pageSetup paperSize="9" orientation="portrait" r:id="rId7"/>
  <drawing r:id="rId8"/>
  <legacyDrawing r:id="rId9"/>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0" tint="-0.249977111117893"/>
  </sheetPr>
  <dimension ref="A1:AW259"/>
  <sheetViews>
    <sheetView showGridLines="0" topLeftCell="N31" zoomScale="130" zoomScaleNormal="130" workbookViewId="0">
      <selection activeCell="S36" sqref="S36:AH41"/>
    </sheetView>
  </sheetViews>
  <sheetFormatPr baseColWidth="10" defaultColWidth="9.1640625" defaultRowHeight="10.5" customHeight="1"/>
  <cols>
    <col min="1" max="1" width="18.5" style="998" customWidth="1"/>
    <col min="2" max="2" width="0.1640625" style="998" customWidth="1"/>
    <col min="3" max="3" width="7.33203125" style="998" hidden="1" customWidth="1"/>
    <col min="4" max="8" width="8.6640625" style="998" customWidth="1"/>
    <col min="9" max="9" width="5.33203125" style="998" customWidth="1"/>
    <col min="10" max="10" width="17.83203125" style="998" customWidth="1"/>
    <col min="11" max="11" width="8.83203125" style="998" hidden="1" customWidth="1"/>
    <col min="12" max="12" width="7" style="998" hidden="1" customWidth="1"/>
    <col min="13" max="17" width="7.83203125" style="999" customWidth="1"/>
    <col min="18" max="18" width="9.83203125" style="999" bestFit="1" customWidth="1"/>
    <col min="19" max="19" width="8.5" style="999" customWidth="1"/>
    <col min="20" max="20" width="7.33203125" style="999" hidden="1" customWidth="1"/>
    <col min="21" max="21" width="8.1640625" style="999" hidden="1" customWidth="1"/>
    <col min="22" max="24" width="8.1640625" style="999" customWidth="1"/>
    <col min="25" max="25" width="8.6640625" style="999" customWidth="1"/>
    <col min="26" max="26" width="5.5" style="999" customWidth="1"/>
    <col min="27" max="27" width="14.33203125" style="999" hidden="1" customWidth="1"/>
    <col min="28" max="28" width="16.5" style="999" customWidth="1"/>
    <col min="29" max="30" width="10.1640625" style="999" hidden="1" customWidth="1"/>
    <col min="31" max="34" width="9.5" style="999" customWidth="1"/>
    <col min="35" max="38" width="10.5" style="999" customWidth="1"/>
    <col min="39" max="43" width="9.1640625" style="999"/>
    <col min="44" max="44" width="12.83203125" style="999" bestFit="1" customWidth="1"/>
    <col min="45" max="46" width="9.5" style="999" bestFit="1" customWidth="1"/>
    <col min="47" max="48" width="9.1640625" style="999"/>
    <col min="49" max="49" width="9.5" style="999" bestFit="1" customWidth="1"/>
    <col min="50" max="16384" width="9.1640625" style="999"/>
  </cols>
  <sheetData>
    <row r="1" spans="1:46" ht="10.5" customHeight="1">
      <c r="M1" s="998"/>
      <c r="AR1" s="1000" t="s">
        <v>320</v>
      </c>
      <c r="AS1" s="1000" t="s">
        <v>321</v>
      </c>
      <c r="AT1" s="999" t="s">
        <v>322</v>
      </c>
    </row>
    <row r="2" spans="1:46" ht="15" customHeight="1">
      <c r="A2" s="1893" t="s">
        <v>323</v>
      </c>
      <c r="B2" s="1894">
        <v>2020</v>
      </c>
      <c r="C2" s="1894">
        <f t="shared" ref="C2:H2" si="0">B2+1</f>
        <v>2021</v>
      </c>
      <c r="D2" s="1894">
        <f t="shared" si="0"/>
        <v>2022</v>
      </c>
      <c r="E2" s="1894">
        <f t="shared" si="0"/>
        <v>2023</v>
      </c>
      <c r="F2" s="1894">
        <f t="shared" si="0"/>
        <v>2024</v>
      </c>
      <c r="G2" s="1894">
        <f t="shared" si="0"/>
        <v>2025</v>
      </c>
      <c r="H2" s="1894">
        <f t="shared" si="0"/>
        <v>2026</v>
      </c>
      <c r="I2" s="1895"/>
      <c r="J2" s="1896" t="s">
        <v>324</v>
      </c>
      <c r="K2" s="1894">
        <f t="shared" ref="K2:Q2" si="1">B$2</f>
        <v>2020</v>
      </c>
      <c r="L2" s="1894">
        <f t="shared" si="1"/>
        <v>2021</v>
      </c>
      <c r="M2" s="1894">
        <f t="shared" si="1"/>
        <v>2022</v>
      </c>
      <c r="N2" s="1894">
        <f t="shared" si="1"/>
        <v>2023</v>
      </c>
      <c r="O2" s="1894">
        <f t="shared" si="1"/>
        <v>2024</v>
      </c>
      <c r="P2" s="1894">
        <f t="shared" si="1"/>
        <v>2025</v>
      </c>
      <c r="Q2" s="1894">
        <f t="shared" si="1"/>
        <v>2026</v>
      </c>
      <c r="S2" s="1002">
        <v>2021</v>
      </c>
      <c r="T2" s="1002">
        <v>2022</v>
      </c>
      <c r="AR2" s="1003">
        <v>44687</v>
      </c>
      <c r="AS2" s="999">
        <v>106500</v>
      </c>
      <c r="AT2" s="999">
        <f ca="1">Valuation!AJ44</f>
        <v>46300</v>
      </c>
    </row>
    <row r="3" spans="1:46" ht="15" customHeight="1">
      <c r="A3" s="1895" t="s">
        <v>325</v>
      </c>
      <c r="B3" s="1897">
        <f>VLOOKUP($A3,FS!$B$2:$P$326,MATCH(B$2,FS!$B$1:$AD$1,0),FALSE)</f>
        <v>108546.01966541199</v>
      </c>
      <c r="C3" s="1897">
        <f>VLOOKUP($A3,FS!$B$2:$P$326,MATCH(C$2,FS!$B$1:$AD$1,0),FALSE)</f>
        <v>122958.106103174</v>
      </c>
      <c r="D3" s="1897">
        <f ca="1">VLOOKUP($A3,FS!$B$2:$AD$326,MATCH(D$2,FS!$B$1:$AD$1,0),FALSE)</f>
        <v>133404.78146</v>
      </c>
      <c r="E3" s="1897">
        <f>VLOOKUP($A3,FS!$B$2:$AD$326,MATCH(E$2,FS!$B$1:$AD$1,0),FALSE)</f>
        <v>118279.788455442</v>
      </c>
      <c r="F3" s="1897">
        <f>VLOOKUP($A3,FS!$B$2:$AD$326,MATCH(F$2,FS!$B$1:$AD$1,0),FALSE)</f>
        <v>134341.15284880201</v>
      </c>
      <c r="G3" s="1897">
        <f ca="1">VLOOKUP($A3,FS!$B$2:$AD$326,MATCH(G$2,FS!$B$1:$AD$1,0),FALSE)</f>
        <v>159591.72685726223</v>
      </c>
      <c r="H3" s="1897">
        <f ca="1">VLOOKUP($A3,FS!$B$2:$AD$326,MATCH(H$2,FS!$B$1:$AD$1,0),FALSE)</f>
        <v>193997.30007748908</v>
      </c>
      <c r="I3" s="1898"/>
      <c r="J3" s="1895" t="s">
        <v>326</v>
      </c>
      <c r="K3" s="1897">
        <f>IFERROR(VLOOKUP($J3,FS!$B$2:$AD$326,MATCH(K$2,FS!$B$1:$AD$1,0),FALSE),"")</f>
        <v>5413.4423468240011</v>
      </c>
      <c r="L3" s="1897">
        <f>IFERROR(VLOOKUP($J3,FS!$B$2:$AD$326,MATCH(L$2,FS!$B$1:$AD$1,0),FALSE),"")</f>
        <v>6473.7942510289995</v>
      </c>
      <c r="M3" s="1897">
        <f>IFERROR(VLOOKUP($J3,FS!$B$2:$AD$326,MATCH(M$2,FS!$B$1:$AD$1,0),FALSE),"")</f>
        <v>6056.3553735580017</v>
      </c>
      <c r="N3" s="1897">
        <f>IFERROR(VLOOKUP($J3,FS!$B$2:$AD$326,MATCH(N$2,FS!$B$1:$AD$1,0),FALSE),"")</f>
        <v>689.69236789599802</v>
      </c>
      <c r="O3" s="1897">
        <f>IFERROR(VLOOKUP($J3,FS!$B$2:$AD$326,MATCH(O$2,FS!$B$1:$AD$1,0),FALSE),"")</f>
        <v>4825.7630130780026</v>
      </c>
      <c r="P3" s="1897">
        <f ca="1">IFERROR(VLOOKUP($J3,FS!$B$2:$AD$326,MATCH(P$2,FS!$B$1:$AD$1,0),FALSE),"")</f>
        <v>8678.9333924068342</v>
      </c>
      <c r="Q3" s="1897">
        <f ca="1">IFERROR(VLOOKUP($J3,FS!$B$2:$AD$326,MATCH(Q$2,FS!$B$1:$AD$1,0),FALSE),"")</f>
        <v>10875.319207148506</v>
      </c>
      <c r="S3" s="1004">
        <v>19829</v>
      </c>
      <c r="T3" s="1004">
        <v>22941</v>
      </c>
      <c r="U3" s="1005">
        <f>C3/S3-1</f>
        <v>5.2009231985059259</v>
      </c>
      <c r="V3" s="1005">
        <f ca="1">D3/T3-1</f>
        <v>4.8151249492175578</v>
      </c>
      <c r="AR3" s="1003">
        <v>44686</v>
      </c>
      <c r="AS3" s="999">
        <v>110000</v>
      </c>
      <c r="AT3" s="999">
        <f ca="1">ROUND(Valuation!AT35,-2)</f>
        <v>20100</v>
      </c>
    </row>
    <row r="4" spans="1:46" ht="15" customHeight="1">
      <c r="A4" s="1895" t="s">
        <v>327</v>
      </c>
      <c r="B4" s="1897">
        <f>VLOOKUP($A4,FS!$B$2:$P$326,MATCH(B$2,FS!$B$1:$AD$1,0),FALSE)</f>
        <v>-84591.522392949002</v>
      </c>
      <c r="C4" s="1897">
        <f>VLOOKUP($A4,FS!$B$2:$P$326,MATCH(C$2,FS!$B$1:$AD$1,0),FALSE)</f>
        <v>-95325.974107639995</v>
      </c>
      <c r="D4" s="1897">
        <f ca="1">VLOOKUP($A4,FS!$B$2:$AD$326,MATCH(D$2,FS!$B$1:$AD$1,0),FALSE)</f>
        <v>-102622.56609213899</v>
      </c>
      <c r="E4" s="1897">
        <f>VLOOKUP($A4,FS!$B$2:$AD$326,MATCH(E$2,FS!$B$1:$AD$1,0),FALSE)</f>
        <v>-95759.175291712003</v>
      </c>
      <c r="F4" s="1897">
        <f>VLOOKUP($A4,FS!$B$2:$AD$326,MATCH(F$2,FS!$B$1:$AD$1,0),FALSE)</f>
        <v>-106841.942771781</v>
      </c>
      <c r="G4" s="1897">
        <f ca="1">VLOOKUP($A4,FS!$B$2:$AD$326,MATCH(G$2,FS!$B$1:$AD$1,0),FALSE)</f>
        <v>-128254.876234799</v>
      </c>
      <c r="H4" s="1897">
        <f ca="1">VLOOKUP($A4,FS!$B$2:$AD$326,MATCH(H$2,FS!$B$1:$AD$1,0),FALSE)</f>
        <v>-155077.61902214473</v>
      </c>
      <c r="I4" s="1898"/>
      <c r="J4" s="1895" t="s">
        <v>328</v>
      </c>
      <c r="K4" s="1897">
        <f>IFERROR(VLOOKUP($J4,FS!$B$2:$AD$326,MATCH(K$2,FS!$B$1:$AD$1,0),FALSE),"")</f>
        <v>2195.5830710350001</v>
      </c>
      <c r="L4" s="1897">
        <f>IFERROR(VLOOKUP($J4,FS!$B$2:$AD$326,MATCH(L$2,FS!$B$1:$AD$1,0),FALSE),"")</f>
        <v>2920.7136084099998</v>
      </c>
      <c r="M4" s="1897">
        <f>IFERROR(VLOOKUP($J4,FS!$B$2:$AD$326,MATCH(M$2,FS!$B$1:$AD$1,0),FALSE),"")</f>
        <v>3582.4248188289998</v>
      </c>
      <c r="N4" s="1897">
        <f>IFERROR(VLOOKUP($J4,FS!$B$2:$AD$326,MATCH(N$2,FS!$B$1:$AD$1,0),FALSE),"")</f>
        <v>3380.5307272549999</v>
      </c>
      <c r="O4" s="1897">
        <f>IFERROR(VLOOKUP($J4,FS!$B$2:$AD$326,MATCH(O$2,FS!$B$1:$AD$1,0),FALSE),"")</f>
        <v>2913.4190814829999</v>
      </c>
      <c r="P4" s="1897">
        <f>IFERROR(VLOOKUP($J4,FS!$B$2:$AD$326,MATCH(P$2,FS!$B$1:$AD$1,0),FALSE),"")</f>
        <v>2760.8629524028656</v>
      </c>
      <c r="Q4" s="1897">
        <f>IFERROR(VLOOKUP($J4,FS!$B$2:$AD$326,MATCH(Q$2,FS!$B$1:$AD$1,0),FALSE),"")</f>
        <v>2338.3103848336509</v>
      </c>
      <c r="S4" s="1006">
        <v>-15817</v>
      </c>
      <c r="T4" s="1006">
        <v>-18261</v>
      </c>
      <c r="U4" s="1005"/>
      <c r="V4" s="1005"/>
      <c r="AR4" s="1003">
        <v>44685</v>
      </c>
      <c r="AS4" s="999">
        <v>108300</v>
      </c>
      <c r="AT4" s="999">
        <f ca="1">AT3</f>
        <v>20100</v>
      </c>
    </row>
    <row r="5" spans="1:46" ht="15" customHeight="1">
      <c r="A5" s="1895" t="s">
        <v>329</v>
      </c>
      <c r="B5" s="1897">
        <f>VLOOKUP($A5,FS!$B$2:$P$326,MATCH(B$2,FS!$B$1:$AD$1,0),FALSE)</f>
        <v>23954.497272462999</v>
      </c>
      <c r="C5" s="1897">
        <f>VLOOKUP($A5,FS!$B$2:$P$326,MATCH(C$2,FS!$B$1:$AD$1,0),FALSE)</f>
        <v>27632.131995534</v>
      </c>
      <c r="D5" s="1897">
        <f>VLOOKUP($A5,FS!$B$2:$AD$326,MATCH(D$2,FS!$B$1:$AD$1,0),FALSE)</f>
        <v>30782.215367861001</v>
      </c>
      <c r="E5" s="1897">
        <f>VLOOKUP($A5,FS!$B$2:$AD$326,MATCH(E$2,FS!$B$1:$AD$1,0),FALSE)</f>
        <v>22520.613163729999</v>
      </c>
      <c r="F5" s="1897">
        <f>VLOOKUP($A5,FS!$B$2:$AD$326,MATCH(F$2,FS!$B$1:$AD$1,0),FALSE)</f>
        <v>27499.210077021002</v>
      </c>
      <c r="G5" s="1897">
        <f ca="1">VLOOKUP($A5,FS!$B$2:$AD$326,MATCH(G$2,FS!$B$1:$AD$1,0),FALSE)</f>
        <v>31336.850622463226</v>
      </c>
      <c r="H5" s="1897">
        <f ca="1">VLOOKUP($A5,FS!$B$2:$AD$326,MATCH(H$2,FS!$B$1:$AD$1,0),FALSE)</f>
        <v>38919.681055344343</v>
      </c>
      <c r="I5" s="1898"/>
      <c r="J5" s="1895" t="s">
        <v>330</v>
      </c>
      <c r="K5" s="1897">
        <f>IFERROR(VLOOKUP($J5,FS!$B$2:$AD$326,MATCH(K$2,FS!$B$1:$AD$1,0),FALSE),"")</f>
        <v>5150.7383348699996</v>
      </c>
      <c r="L5" s="1897">
        <f>IFERROR(VLOOKUP($J5,FS!$B$2:$AD$326,MATCH(L$2,FS!$B$1:$AD$1,0),FALSE),"")</f>
        <v>-6997.1769937440004</v>
      </c>
      <c r="M5" s="1897">
        <f>IFERROR(VLOOKUP($J5,FS!$B$2:$AD$326,MATCH(M$2,FS!$B$1:$AD$1,0),FALSE),"")</f>
        <v>760.55792632900011</v>
      </c>
      <c r="N5" s="1897">
        <f>IFERROR(VLOOKUP($J5,FS!$B$2:$AD$326,MATCH(N$2,FS!$B$1:$AD$1,0),FALSE),"")</f>
        <v>1836.2681516709995</v>
      </c>
      <c r="O5" s="1897">
        <f>IFERROR(VLOOKUP($J5,FS!$B$2:$AD$326,MATCH(O$2,FS!$B$1:$AD$1,0),FALSE),"")</f>
        <v>3223.6769287949996</v>
      </c>
      <c r="P5" s="1897">
        <f ca="1">IFERROR(VLOOKUP($J5,FS!$B$2:$AD$326,MATCH(P$2,FS!$B$1:$AD$1,0),FALSE),"")</f>
        <v>-1654.9338967163935</v>
      </c>
      <c r="Q5" s="1897">
        <f ca="1">IFERROR(VLOOKUP($J5,FS!$B$2:$AD$326,MATCH(Q$2,FS!$B$1:$AD$1,0),FALSE),"")</f>
        <v>-3989.4709515164704</v>
      </c>
      <c r="S5" s="1004">
        <v>4012</v>
      </c>
      <c r="T5" s="1004">
        <v>4681</v>
      </c>
      <c r="U5" s="1005"/>
      <c r="V5" s="1005"/>
      <c r="AR5" s="1003">
        <v>44680</v>
      </c>
      <c r="AS5" s="999">
        <v>108000</v>
      </c>
      <c r="AT5" s="999">
        <f t="shared" ref="AT5:AT68" ca="1" si="2">AT4</f>
        <v>20100</v>
      </c>
    </row>
    <row r="6" spans="1:46" ht="15" customHeight="1">
      <c r="A6" s="1895" t="s">
        <v>331</v>
      </c>
      <c r="B6" s="1897">
        <f>VLOOKUP($A6,FS!$B$2:$P$326,MATCH(B$2,FS!$B$1:$AD$1,0),FALSE)</f>
        <v>-15333.798830787</v>
      </c>
      <c r="C6" s="1897">
        <f>VLOOKUP($A6,FS!$B$2:$P$326,MATCH(C$2,FS!$B$1:$AD$1,0),FALSE)</f>
        <v>-17914.173302345</v>
      </c>
      <c r="D6" s="1897">
        <f>VLOOKUP($A6,FS!$B$2:$AD$326,MATCH(D$2,FS!$B$1:$AD$1,0),FALSE)</f>
        <v>-21789.998975781</v>
      </c>
      <c r="E6" s="1897">
        <f>VLOOKUP($A6,FS!$B$2:$AD$326,MATCH(E$2,FS!$B$1:$AD$1,0),FALSE)</f>
        <v>-20917.223252948999</v>
      </c>
      <c r="F6" s="1897">
        <f>VLOOKUP($A6,FS!$B$2:$AD$326,MATCH(F$2,FS!$B$1:$AD$1,0),FALSE)</f>
        <v>-19849.837609882001</v>
      </c>
      <c r="G6" s="1897">
        <f ca="1">VLOOKUP($A6,FS!$B$2:$AD$326,MATCH(G$2,FS!$B$1:$AD$1,0),FALSE)</f>
        <v>-20550.33116467328</v>
      </c>
      <c r="H6" s="1897">
        <f ca="1">VLOOKUP($A6,FS!$B$2:$AD$326,MATCH(H$2,FS!$B$1:$AD$1,0),FALSE)</f>
        <v>-25157.038895568781</v>
      </c>
      <c r="I6" s="1899"/>
      <c r="J6" s="1895" t="s">
        <v>332</v>
      </c>
      <c r="K6" s="1897">
        <f>IFERROR(VLOOKUP($J6,FS!$B$2:$AD$326,MATCH(K$2,FS!$B$1:$AD$1,0),FALSE),"")</f>
        <v>-2058.3340517769998</v>
      </c>
      <c r="L6" s="1897">
        <f>IFERROR(VLOOKUP($J6,FS!$B$2:$AD$326,MATCH(L$2,FS!$B$1:$AD$1,0),FALSE),"")</f>
        <v>-2118.2381580259998</v>
      </c>
      <c r="M6" s="1897">
        <f>IFERROR(VLOOKUP($J6,FS!$B$2:$AD$326,MATCH(M$2,FS!$B$1:$AD$1,0),FALSE),"")</f>
        <v>-3127.7219537379997</v>
      </c>
      <c r="N6" s="1897">
        <f>IFERROR(VLOOKUP($J6,FS!$B$2:$AD$326,MATCH(N$2,FS!$B$1:$AD$1,0),FALSE),"")</f>
        <v>-2297.6638289819998</v>
      </c>
      <c r="O6" s="1897">
        <f>IFERROR(VLOOKUP($J6,FS!$B$2:$AD$326,MATCH(O$2,FS!$B$1:$AD$1,0),FALSE),"")</f>
        <v>-2100.4365188319998</v>
      </c>
      <c r="P6" s="1897">
        <f ca="1">IFERROR(VLOOKUP($J6,FS!$B$2:$AD$326,MATCH(P$2,FS!$B$1:$AD$1,0),FALSE),"")</f>
        <v>-3070.9689297018726</v>
      </c>
      <c r="Q6" s="1897">
        <f ca="1">IFERROR(VLOOKUP($J6,FS!$B$2:$AD$326,MATCH(Q$2,FS!$B$1:$AD$1,0),FALSE),"")</f>
        <v>-3410.2579818692088</v>
      </c>
      <c r="S6" s="1007">
        <v>-1615</v>
      </c>
      <c r="T6" s="1007">
        <v>-1869</v>
      </c>
      <c r="U6" s="1005"/>
      <c r="V6" s="1005"/>
      <c r="AR6" s="1003">
        <v>44679</v>
      </c>
      <c r="AS6" s="999">
        <v>106200</v>
      </c>
      <c r="AT6" s="999">
        <f t="shared" ca="1" si="2"/>
        <v>20100</v>
      </c>
    </row>
    <row r="7" spans="1:46" ht="15" customHeight="1">
      <c r="A7" s="1895" t="s">
        <v>333</v>
      </c>
      <c r="B7" s="1897">
        <f>VLOOKUP($A7,FS!$B$2:$P$326,MATCH(B$2,FS!$B$1:$AD$1,0),FALSE)</f>
        <v>-3404.431838167</v>
      </c>
      <c r="C7" s="1897">
        <f>VLOOKUP($A7,FS!$B$2:$P$326,MATCH(C$2,FS!$B$1:$AD$1,0),FALSE)</f>
        <v>-3823.390074765</v>
      </c>
      <c r="D7" s="1897">
        <f>VLOOKUP($A7,FS!$B$2:$AD$326,MATCH(D$2,FS!$B$1:$AD$1,0),FALSE)</f>
        <v>-2348.039543287</v>
      </c>
      <c r="E7" s="1897">
        <f>VLOOKUP($A7,FS!$B$2:$AD$326,MATCH(E$2,FS!$B$1:$AD$1,0),FALSE)</f>
        <v>-1196.355624265</v>
      </c>
      <c r="F7" s="1897">
        <f>VLOOKUP($A7,FS!$B$2:$AD$326,MATCH(F$2,FS!$B$1:$AD$1,0),FALSE)</f>
        <v>-3565.7675831020001</v>
      </c>
      <c r="G7" s="1897">
        <f ca="1">VLOOKUP($A7,FS!$B$2:$AD$326,MATCH(G$2,FS!$B$1:$AD$1,0),FALSE)</f>
        <v>-3691.6022251246195</v>
      </c>
      <c r="H7" s="1897">
        <f ca="1">VLOOKUP($A7,FS!$B$2:$AD$326,MATCH(H$2,FS!$B$1:$AD$1,0),FALSE)</f>
        <v>-4519.1379165740464</v>
      </c>
      <c r="I7" s="1899"/>
      <c r="J7" s="1895" t="s">
        <v>334</v>
      </c>
      <c r="K7" s="1897">
        <f>IFERROR(VLOOKUP($J7,FS!$B$2:$AD$326,MATCH(K$2,FS!$B$1:$AD$1,0),FALSE),"")</f>
        <v>10796.136158245001</v>
      </c>
      <c r="L7" s="1897">
        <f>IFERROR(VLOOKUP($J7,FS!$B$2:$AD$326,MATCH(L$2,FS!$B$1:$AD$1,0),FALSE),"")</f>
        <v>173.60093640800096</v>
      </c>
      <c r="M7" s="1897">
        <f>IFERROR(VLOOKUP($J7,FS!$B$2:$AD$326,MATCH(M$2,FS!$B$1:$AD$1,0),FALSE),"")</f>
        <v>7924.4126814149995</v>
      </c>
      <c r="N7" s="1897">
        <f>IFERROR(VLOOKUP($J7,FS!$B$2:$AD$326,MATCH(N$2,FS!$B$1:$AD$1,0),FALSE),"")</f>
        <v>3437.9401760699975</v>
      </c>
      <c r="O7" s="1897">
        <f>IFERROR(VLOOKUP($J7,FS!$B$2:$AD$326,MATCH(O$2,FS!$B$1:$AD$1,0),FALSE),"")</f>
        <v>8519.3327067410028</v>
      </c>
      <c r="P7" s="1897">
        <f ca="1">IFERROR(VLOOKUP($J7,FS!$B$2:$AD$326,MATCH(P$2,FS!$B$1:$AD$1,0),FALSE),"")</f>
        <v>7934.9118289852977</v>
      </c>
      <c r="Q7" s="1897">
        <f ca="1">IFERROR(VLOOKUP($J7,FS!$B$2:$AD$326,MATCH(Q$2,FS!$B$1:$AD$1,0),FALSE),"")</f>
        <v>7067.6729630497321</v>
      </c>
      <c r="S7" s="1008">
        <v>-567</v>
      </c>
      <c r="T7" s="1008">
        <v>-656</v>
      </c>
      <c r="U7" s="1005"/>
      <c r="V7" s="1005"/>
      <c r="AR7" s="1003">
        <v>44678</v>
      </c>
      <c r="AS7" s="999">
        <v>107000</v>
      </c>
      <c r="AT7" s="999">
        <f t="shared" ca="1" si="2"/>
        <v>20100</v>
      </c>
    </row>
    <row r="8" spans="1:46" ht="15" customHeight="1">
      <c r="A8" s="1900" t="s">
        <v>335</v>
      </c>
      <c r="B8" s="1897">
        <f>VLOOKUP($A8,FS!$B$2:$P$326,MATCH(B$2,FS!$B$1:$AD$1,0),FALSE)</f>
        <v>5216.2666035090006</v>
      </c>
      <c r="C8" s="1897">
        <f>VLOOKUP($A8,FS!$B$2:$P$326,MATCH(C$2,FS!$B$1:$AD$1,0),FALSE)</f>
        <v>5894.5686184240003</v>
      </c>
      <c r="D8" s="1897">
        <f>VLOOKUP($A8,FS!$B$2:$AD$326,MATCH(D$2,FS!$B$1:$AD$1,0),FALSE)</f>
        <v>6644.1768487930021</v>
      </c>
      <c r="E8" s="1897">
        <f>VLOOKUP($A8,FS!$B$2:$AD$326,MATCH(E$2,FS!$B$1:$AD$1,0),FALSE)</f>
        <v>407.03428651599825</v>
      </c>
      <c r="F8" s="1897">
        <f>VLOOKUP($A8,FS!$B$2:$AD$326,MATCH(F$2,FS!$B$1:$AD$1,0),FALSE)</f>
        <v>4083.6048840370022</v>
      </c>
      <c r="G8" s="1897">
        <f ca="1">VLOOKUP($A8,FS!$B$2:$AD$326,MATCH(G$2,FS!$B$1:$AD$1,0),FALSE)</f>
        <v>7094.9172326653243</v>
      </c>
      <c r="H8" s="1897">
        <f ca="1">VLOOKUP($A8,FS!$B$2:$AD$326,MATCH(H$2,FS!$B$1:$AD$1,0),FALSE)</f>
        <v>9243.5042432015143</v>
      </c>
      <c r="I8" s="1898"/>
      <c r="J8" s="1901"/>
      <c r="K8" s="1897" t="str">
        <f>IFERROR(VLOOKUP($J8,FS!$B$2:$AD$326,MATCH(K$2,FS!$B$1:$AD$1,0),FALSE),"")</f>
        <v/>
      </c>
      <c r="L8" s="1897" t="str">
        <f>IFERROR(VLOOKUP($J8,FS!$B$2:$AD$326,MATCH(L$2,FS!$B$1:$AD$1,0),FALSE),"")</f>
        <v/>
      </c>
      <c r="M8" s="1897" t="str">
        <f>IFERROR(VLOOKUP($J8,FS!$B$2:$AD$326,MATCH(M$2,FS!$B$1:$AD$1,0),FALSE),"")</f>
        <v/>
      </c>
      <c r="N8" s="1897" t="str">
        <f>IFERROR(VLOOKUP($J8,FS!$B$2:$AD$326,MATCH(N$2,FS!$B$1:$AD$1,0),FALSE),"")</f>
        <v/>
      </c>
      <c r="O8" s="1897" t="str">
        <f>IFERROR(VLOOKUP($J8,FS!$B$2:$AD$326,MATCH(O$2,FS!$B$1:$AD$1,0),FALSE),"")</f>
        <v/>
      </c>
      <c r="P8" s="1897" t="str">
        <f>IFERROR(VLOOKUP($J8,FS!$B$2:$AD$326,MATCH(P$2,FS!$B$1:$AD$1,0),FALSE),"")</f>
        <v/>
      </c>
      <c r="Q8" s="1897" t="str">
        <f>IFERROR(VLOOKUP($J8,FS!$B$2:$AD$326,MATCH(Q$2,FS!$B$1:$AD$1,0),FALSE),"")</f>
        <v/>
      </c>
      <c r="S8" s="1004">
        <v>1830</v>
      </c>
      <c r="T8" s="1004">
        <v>2156</v>
      </c>
      <c r="U8" s="1005"/>
      <c r="V8" s="1005"/>
      <c r="AR8" s="1003">
        <v>44677</v>
      </c>
      <c r="AS8" s="999">
        <v>107400</v>
      </c>
      <c r="AT8" s="999">
        <f t="shared" ca="1" si="2"/>
        <v>20100</v>
      </c>
    </row>
    <row r="9" spans="1:46" ht="15" customHeight="1">
      <c r="A9" s="1895" t="s">
        <v>336</v>
      </c>
      <c r="B9" s="1897">
        <f>VLOOKUP($A9,FS!$B$2:$P$326,MATCH(B$2,FS!$B$1:$AD$1,0),FALSE)</f>
        <v>794.12178266700005</v>
      </c>
      <c r="C9" s="1897">
        <f>VLOOKUP($A9,FS!$B$2:$P$326,MATCH(C$2,FS!$B$1:$AD$1,0),FALSE)</f>
        <v>1287.9560261629999</v>
      </c>
      <c r="D9" s="1897">
        <f>VLOOKUP($A9,FS!$B$2:$AD$326,MATCH(D$2,FS!$B$1:$AD$1,0),FALSE)</f>
        <v>1313.1373043230001</v>
      </c>
      <c r="E9" s="1897">
        <f>VLOOKUP($A9,FS!$B$2:$AD$326,MATCH(E$2,FS!$B$1:$AD$1,0),FALSE)</f>
        <v>2166.9637150909998</v>
      </c>
      <c r="F9" s="1897">
        <f>VLOOKUP($A9,FS!$B$2:$AD$326,MATCH(F$2,FS!$B$1:$AD$1,0),FALSE)</f>
        <v>2376.5026052630001</v>
      </c>
      <c r="G9" s="1897">
        <f ca="1">VLOOKUP($A9,FS!$B$2:$AD$326,MATCH(G$2,FS!$B$1:$AD$1,0),FALSE)</f>
        <v>2769.9215903782415</v>
      </c>
      <c r="H9" s="1897">
        <f ca="1">VLOOKUP($A9,FS!$B$2:$AD$326,MATCH(H$2,FS!$B$1:$AD$1,0),FALSE)</f>
        <v>2800.1984874241816</v>
      </c>
      <c r="I9" s="1899"/>
      <c r="J9" s="1895" t="s">
        <v>337</v>
      </c>
      <c r="K9" s="1897">
        <f>IFERROR(VLOOKUP($J9,FS!$B$2:$AD$326,MATCH(K$2,FS!$B$1:$AD$1,0),FALSE),"")</f>
        <v>-3911.3581600020002</v>
      </c>
      <c r="L9" s="1897">
        <f>IFERROR(VLOOKUP($J9,FS!$B$2:$AD$326,MATCH(L$2,FS!$B$1:$AD$1,0),FALSE),"")</f>
        <v>-4976.8765900159997</v>
      </c>
      <c r="M9" s="1897">
        <f>IFERROR(VLOOKUP($J9,FS!$B$2:$AD$326,MATCH(M$2,FS!$B$1:$AD$1,0),FALSE),"")</f>
        <v>-4411.5596853890002</v>
      </c>
      <c r="N9" s="1897">
        <f>IFERROR(VLOOKUP($J9,FS!$B$2:$AD$326,MATCH(N$2,FS!$B$1:$AD$1,0),FALSE),"")</f>
        <v>-523.38333079400002</v>
      </c>
      <c r="O9" s="1897">
        <f>IFERROR(VLOOKUP($J9,FS!$B$2:$AD$326,MATCH(O$2,FS!$B$1:$AD$1,0),FALSE),"")</f>
        <v>-303.747827395</v>
      </c>
      <c r="P9" s="1897">
        <f>IFERROR(VLOOKUP($J9,FS!$B$2:$AD$326,MATCH(P$2,FS!$B$1:$AD$1,0),FALSE),"")</f>
        <v>-2344.2200000000003</v>
      </c>
      <c r="Q9" s="1897">
        <f>IFERROR(VLOOKUP($J9,FS!$B$2:$AD$326,MATCH(Q$2,FS!$B$1:$AD$1,0),FALSE),"")</f>
        <v>-2268.84</v>
      </c>
      <c r="S9" s="1008">
        <v>1</v>
      </c>
      <c r="T9" s="1008">
        <v>2</v>
      </c>
      <c r="U9" s="1005"/>
      <c r="V9" s="1005"/>
      <c r="AR9" s="1003">
        <v>44676</v>
      </c>
      <c r="AS9" s="999">
        <v>107000</v>
      </c>
      <c r="AT9" s="999">
        <f t="shared" ca="1" si="2"/>
        <v>20100</v>
      </c>
    </row>
    <row r="10" spans="1:46" ht="15" customHeight="1">
      <c r="A10" s="1895" t="s">
        <v>338</v>
      </c>
      <c r="B10" s="1897">
        <f>VLOOKUP($A10,FS!$B$2:$P$326,MATCH(B$2,FS!$B$1:$AD$1,0),FALSE)</f>
        <v>-594.15151375100004</v>
      </c>
      <c r="C10" s="1897">
        <f>VLOOKUP($A10,FS!$B$2:$P$326,MATCH(C$2,FS!$B$1:$AD$1,0),FALSE)</f>
        <v>-714.70722574499996</v>
      </c>
      <c r="D10" s="1897">
        <f>VLOOKUP($A10,FS!$B$2:$AD$326,MATCH(D$2,FS!$B$1:$AD$1,0),FALSE)</f>
        <v>-1382.6204545319999</v>
      </c>
      <c r="E10" s="1897">
        <f>VLOOKUP($A10,FS!$B$2:$AD$326,MATCH(E$2,FS!$B$1:$AD$1,0),FALSE)</f>
        <v>-1556.146106982</v>
      </c>
      <c r="F10" s="1897">
        <f>VLOOKUP($A10,FS!$B$2:$AD$326,MATCH(F$2,FS!$B$1:$AD$1,0),FALSE)</f>
        <v>-1188.4656095099999</v>
      </c>
      <c r="G10" s="1897">
        <f ca="1">VLOOKUP($A10,FS!$B$2:$AD$326,MATCH(G$2,FS!$B$1:$AD$1,0),FALSE)</f>
        <v>-1233.9314900178645</v>
      </c>
      <c r="H10" s="1897">
        <f ca="1">VLOOKUP($A10,FS!$B$2:$AD$326,MATCH(H$2,FS!$B$1:$AD$1,0),FALSE)</f>
        <v>-1290.0114253329207</v>
      </c>
      <c r="I10" s="1899"/>
      <c r="J10" s="1895" t="s">
        <v>339</v>
      </c>
      <c r="K10" s="1897">
        <f>IFERROR(VLOOKUP($J10,FS!$B$2:$AD$326,MATCH(K$2,FS!$B$1:$AD$1,0),FALSE),"")</f>
        <v>-4662.9027326250007</v>
      </c>
      <c r="L10" s="1897">
        <f>IFERROR(VLOOKUP($J10,FS!$B$2:$AD$326,MATCH(L$2,FS!$B$1:$AD$1,0),FALSE),"")</f>
        <v>-6277.993014419998</v>
      </c>
      <c r="M10" s="1897">
        <f>IFERROR(VLOOKUP($J10,FS!$B$2:$AD$326,MATCH(M$2,FS!$B$1:$AD$1,0),FALSE),"")</f>
        <v>6013.5572289350021</v>
      </c>
      <c r="N10" s="1897">
        <f>IFERROR(VLOOKUP($J10,FS!$B$2:$AD$326,MATCH(N$2,FS!$B$1:$AD$1,0),FALSE),"")</f>
        <v>-10308.024366148005</v>
      </c>
      <c r="O10" s="1897">
        <f>IFERROR(VLOOKUP($J10,FS!$B$2:$AD$326,MATCH(O$2,FS!$B$1:$AD$1,0),FALSE),"")</f>
        <v>-10639.537843021997</v>
      </c>
      <c r="P10" s="1897">
        <f ca="1">IFERROR(VLOOKUP($J10,FS!$B$2:$AD$326,MATCH(P$2,FS!$B$1:$AD$1,0),FALSE),"")</f>
        <v>-2500</v>
      </c>
      <c r="Q10" s="1897">
        <f ca="1">IFERROR(VLOOKUP($J10,FS!$B$2:$AD$326,MATCH(Q$2,FS!$B$1:$AD$1,0),FALSE),"")</f>
        <v>0</v>
      </c>
      <c r="S10" s="1008">
        <v>-139</v>
      </c>
      <c r="T10" s="1008">
        <v>-145</v>
      </c>
      <c r="U10" s="1005"/>
      <c r="V10" s="1005"/>
      <c r="AR10" s="1003">
        <v>44673</v>
      </c>
      <c r="AS10" s="999">
        <v>115000</v>
      </c>
      <c r="AT10" s="999">
        <f t="shared" ca="1" si="2"/>
        <v>20100</v>
      </c>
    </row>
    <row r="11" spans="1:46" ht="15" customHeight="1">
      <c r="A11" s="1895" t="s">
        <v>340</v>
      </c>
      <c r="B11" s="1897">
        <f>VLOOKUP($A11,FS!$B$2:$P$326,MATCH(B$2,FS!$B$1:$AD$1,0),FALSE)</f>
        <v>-594.00382102100002</v>
      </c>
      <c r="C11" s="1897">
        <f>VLOOKUP($A11,FS!$B$2:$P$326,MATCH(C$2,FS!$B$1:$AD$1,0),FALSE)</f>
        <v>-674.427746189</v>
      </c>
      <c r="D11" s="1897">
        <f>VLOOKUP($A11,FS!$B$2:$AD$326,MATCH(D$2,FS!$B$1:$AD$1,0),FALSE)</f>
        <v>-1362.1439091029999</v>
      </c>
      <c r="E11" s="1897">
        <f>VLOOKUP($A11,FS!$B$2:$AD$326,MATCH(E$2,FS!$B$1:$AD$1,0),FALSE)</f>
        <v>-1447.7183547970001</v>
      </c>
      <c r="F11" s="1897">
        <f>VLOOKUP($A11,FS!$B$2:$AD$326,MATCH(F$2,FS!$B$1:$AD$1,0),FALSE)</f>
        <v>-1137.2361297479999</v>
      </c>
      <c r="G11" s="1897">
        <f ca="1">VLOOKUP($A11,FS!$B$2:$AD$326,MATCH(G$2,FS!$B$1:$AD$1,0),FALSE)</f>
        <v>-1189.0917862278645</v>
      </c>
      <c r="H11" s="1897">
        <f ca="1">VLOOKUP($A11,FS!$B$2:$AD$326,MATCH(H$2,FS!$B$1:$AD$1,0),FALSE)</f>
        <v>-1221.8457800872538</v>
      </c>
      <c r="I11" s="1899"/>
      <c r="J11" s="1895" t="s">
        <v>341</v>
      </c>
      <c r="K11" s="1897">
        <f>IFERROR(VLOOKUP($J11,FS!$B$2:$AD$326,MATCH(K$2,FS!$B$1:$AD$1,0),FALSE),"")</f>
        <v>-8574.2608926270004</v>
      </c>
      <c r="L11" s="1897">
        <f>IFERROR(VLOOKUP($J11,FS!$B$2:$AD$326,MATCH(L$2,FS!$B$1:$AD$1,0),FALSE),"")</f>
        <v>-11254.869604435999</v>
      </c>
      <c r="M11" s="1897">
        <f>IFERROR(VLOOKUP($J11,FS!$B$2:$AD$326,MATCH(M$2,FS!$B$1:$AD$1,0),FALSE),"")</f>
        <v>1601.9975435459999</v>
      </c>
      <c r="N11" s="1897">
        <f>IFERROR(VLOOKUP($J11,FS!$B$2:$AD$326,MATCH(N$2,FS!$B$1:$AD$1,0),FALSE),"")</f>
        <v>-10831.407696941998</v>
      </c>
      <c r="O11" s="1897">
        <f>IFERROR(VLOOKUP($J11,FS!$B$2:$AD$326,MATCH(O$2,FS!$B$1:$AD$1,0),FALSE),"")</f>
        <v>-10943.285670416994</v>
      </c>
      <c r="P11" s="1897">
        <f ca="1">IFERROR(VLOOKUP($J11,FS!$B$2:$AD$326,MATCH(P$2,FS!$B$1:$AD$1,0),FALSE),"")</f>
        <v>-4844.22</v>
      </c>
      <c r="Q11" s="1897">
        <f ca="1">IFERROR(VLOOKUP($J11,FS!$B$2:$AD$326,MATCH(Q$2,FS!$B$1:$AD$1,0),FALSE),"")</f>
        <v>-2268.84</v>
      </c>
      <c r="S11" s="1008">
        <v>-131</v>
      </c>
      <c r="T11" s="1008">
        <v>-137</v>
      </c>
      <c r="U11" s="1005"/>
      <c r="V11" s="1005"/>
      <c r="AR11" s="1003">
        <v>44673</v>
      </c>
      <c r="AS11" s="999">
        <v>115000</v>
      </c>
      <c r="AT11" s="999">
        <f t="shared" ca="1" si="2"/>
        <v>20100</v>
      </c>
    </row>
    <row r="12" spans="1:46" ht="15" customHeight="1">
      <c r="A12" s="1895" t="s">
        <v>342</v>
      </c>
      <c r="B12" s="1897">
        <f>VLOOKUP($A12,FS!$B$2:$P$326,MATCH(B$2,FS!$B$1:$AD$1,0),FALSE)</f>
        <v>-3.7069394710000001</v>
      </c>
      <c r="C12" s="1897">
        <f>VLOOKUP($A12,FS!$B$2:$P$326,MATCH(C$2,FS!$B$1:$AD$1,0),FALSE)</f>
        <v>-2.2105004859999999</v>
      </c>
      <c r="D12" s="1897">
        <f>VLOOKUP($A12,FS!$B$2:$AD$326,MATCH(D$2,FS!$B$1:$AD$1,0),FALSE)</f>
        <v>0</v>
      </c>
      <c r="E12" s="1897">
        <f>VLOOKUP($A12,FS!$B$2:$AD$326,MATCH(E$2,FS!$B$1:$AD$1,0),FALSE)</f>
        <v>0</v>
      </c>
      <c r="F12" s="1897">
        <f>VLOOKUP($A12,FS!$B$2:$AD$326,MATCH(F$2,FS!$B$1:$AD$1,0),FALSE)</f>
        <v>-44.596454899000001</v>
      </c>
      <c r="G12" s="1897">
        <f>VLOOKUP($A12,FS!$B$2:$AD$326,MATCH(G$2,FS!$B$1:$AD$1,0),FALSE)</f>
        <v>30.026059381131859</v>
      </c>
      <c r="H12" s="1897">
        <f>VLOOKUP($A12,FS!$B$2:$AD$326,MATCH(H$2,FS!$B$1:$AD$1,0),FALSE)</f>
        <v>103.6279018557307</v>
      </c>
      <c r="I12" s="1899"/>
      <c r="J12" s="1901"/>
      <c r="K12" s="1897" t="str">
        <f>IFERROR(VLOOKUP($J12,FS!$B$2:$AD$326,MATCH(K$2,FS!$B$1:$AD$1,0),FALSE),"")</f>
        <v/>
      </c>
      <c r="L12" s="1897" t="str">
        <f>IFERROR(VLOOKUP($J12,FS!$B$2:$AD$326,MATCH(L$2,FS!$B$1:$AD$1,0),FALSE),"")</f>
        <v/>
      </c>
      <c r="M12" s="1897" t="str">
        <f>IFERROR(VLOOKUP($J12,FS!$B$2:$AD$326,MATCH(M$2,FS!$B$1:$AD$1,0),FALSE),"")</f>
        <v/>
      </c>
      <c r="N12" s="1897" t="str">
        <f>IFERROR(VLOOKUP($J12,FS!$B$2:$AD$326,MATCH(N$2,FS!$B$1:$AD$1,0),FALSE),"")</f>
        <v/>
      </c>
      <c r="O12" s="1897" t="str">
        <f>IFERROR(VLOOKUP($J12,FS!$B$2:$AD$326,MATCH(O$2,FS!$B$1:$AD$1,0),FALSE),"")</f>
        <v/>
      </c>
      <c r="P12" s="1897" t="str">
        <f>IFERROR(VLOOKUP($J12,FS!$B$2:$AD$326,MATCH(P$2,FS!$B$1:$AD$1,0),FALSE),"")</f>
        <v/>
      </c>
      <c r="Q12" s="1897" t="str">
        <f>IFERROR(VLOOKUP($J12,FS!$B$2:$AD$326,MATCH(Q$2,FS!$B$1:$AD$1,0),FALSE),"")</f>
        <v/>
      </c>
      <c r="S12" s="1008" t="s">
        <v>343</v>
      </c>
      <c r="T12" s="1008" t="s">
        <v>343</v>
      </c>
      <c r="U12" s="1005"/>
      <c r="V12" s="1005"/>
      <c r="AR12" s="1003">
        <v>44672</v>
      </c>
      <c r="AS12" s="999">
        <v>119000</v>
      </c>
      <c r="AT12" s="999">
        <f t="shared" ca="1" si="2"/>
        <v>20100</v>
      </c>
    </row>
    <row r="13" spans="1:46" ht="15" customHeight="1">
      <c r="A13" s="1895" t="s">
        <v>344</v>
      </c>
      <c r="B13" s="1897">
        <f>VLOOKUP($A13,FS!$B$2:$P$326,MATCH(B$2,FS!$B$1:$AD$1,0),FALSE)</f>
        <v>-2.7945256009999966</v>
      </c>
      <c r="C13" s="1897">
        <f>VLOOKUP($A13,FS!$B$2:$P$326,MATCH(C$2,FS!$B$1:$AD$1,0),FALSE)</f>
        <v>5.9768321869999994</v>
      </c>
      <c r="D13" s="1897">
        <f>VLOOKUP($A13,FS!$B$2:$AD$326,MATCH(D$2,FS!$B$1:$AD$1,0),FALSE)</f>
        <v>-518.33832502600001</v>
      </c>
      <c r="E13" s="1897">
        <f>VLOOKUP($A13,FS!$B$2:$AD$326,MATCH(E$2,FS!$B$1:$AD$1,0),FALSE)</f>
        <v>-328.15952672900005</v>
      </c>
      <c r="F13" s="1897">
        <f>VLOOKUP($A13,FS!$B$2:$AD$326,MATCH(F$2,FS!$B$1:$AD$1,0),FALSE)</f>
        <v>-401.28241181300001</v>
      </c>
      <c r="G13" s="1897">
        <f>VLOOKUP($A13,FS!$B$2:$AD$326,MATCH(G$2,FS!$B$1:$AD$1,0),FALSE)</f>
        <v>18</v>
      </c>
      <c r="H13" s="1897">
        <f>VLOOKUP($A13,FS!$B$2:$AD$326,MATCH(H$2,FS!$B$1:$AD$1,0),FALSE)</f>
        <v>18</v>
      </c>
      <c r="I13" s="1899"/>
      <c r="J13" s="1895" t="s">
        <v>345</v>
      </c>
      <c r="K13" s="1897">
        <f>IFERROR(VLOOKUP($J13,FS!$B$2:$AD$326,MATCH(K$2,FS!$B$1:$AD$1,0),FALSE),"")</f>
        <v>-678.90884100000005</v>
      </c>
      <c r="L13" s="1897">
        <f>IFERROR(VLOOKUP($J13,FS!$B$2:$AD$326,MATCH(L$2,FS!$B$1:$AD$1,0),FALSE),"")</f>
        <v>-239.51944106299999</v>
      </c>
      <c r="M13" s="1897">
        <f>IFERROR(VLOOKUP($J13,FS!$B$2:$AD$326,MATCH(M$2,FS!$B$1:$AD$1,0),FALSE),"")</f>
        <v>-731.85481500000003</v>
      </c>
      <c r="N13" s="1897">
        <f>IFERROR(VLOOKUP($J13,FS!$B$2:$AD$326,MATCH(N$2,FS!$B$1:$AD$1,0),FALSE),"")</f>
        <v>-731.28002349999997</v>
      </c>
      <c r="O13" s="1897">
        <f>IFERROR(VLOOKUP($J13,FS!$B$2:$AD$326,MATCH(O$2,FS!$B$1:$AD$1,0),FALSE),"")</f>
        <v>-730.95769399999995</v>
      </c>
      <c r="P13" s="1897">
        <f ca="1">IFERROR(VLOOKUP($J13,FS!$B$2:$AD$326,MATCH(P$2,FS!$B$1:$AD$1,0),FALSE),"")</f>
        <v>-1468.4567630000001</v>
      </c>
      <c r="Q13" s="1897">
        <f ca="1">IFERROR(VLOOKUP($J13,FS!$B$2:$AD$326,MATCH(Q$2,FS!$B$1:$AD$1,0),FALSE),"")</f>
        <v>-1468.4567630000001</v>
      </c>
      <c r="S13" s="1008">
        <v>-3</v>
      </c>
      <c r="T13" s="1008">
        <v>-3</v>
      </c>
      <c r="U13" s="1005"/>
      <c r="V13" s="1005"/>
      <c r="AR13" s="1003">
        <v>44671</v>
      </c>
      <c r="AS13" s="999">
        <v>118900</v>
      </c>
      <c r="AT13" s="999">
        <f t="shared" ca="1" si="2"/>
        <v>20100</v>
      </c>
    </row>
    <row r="14" spans="1:46" ht="15" customHeight="1">
      <c r="A14" s="1895" t="s">
        <v>346</v>
      </c>
      <c r="B14" s="1897">
        <f>VLOOKUP($A14,FS!$B$2:$P$326,MATCH(B$2,FS!$B$1:$AD$1,0),FALSE)</f>
        <v>5413.4423468240011</v>
      </c>
      <c r="C14" s="1897">
        <f>VLOOKUP($A14,FS!$B$2:$P$326,MATCH(C$2,FS!$B$1:$AD$1,0),FALSE)</f>
        <v>6473.7942510289995</v>
      </c>
      <c r="D14" s="1897">
        <f>VLOOKUP($A14,FS!$B$2:$AD$326,MATCH(D$2,FS!$B$1:$AD$1,0),FALSE)</f>
        <v>6056.3553735580017</v>
      </c>
      <c r="E14" s="1897">
        <f>VLOOKUP($A14,FS!$B$2:$AD$326,MATCH(E$2,FS!$B$1:$AD$1,0),FALSE)</f>
        <v>689.69236789599802</v>
      </c>
      <c r="F14" s="1897">
        <f>VLOOKUP($A14,FS!$B$2:$AD$326,MATCH(F$2,FS!$B$1:$AD$1,0),FALSE)</f>
        <v>4825.7630130780026</v>
      </c>
      <c r="G14" s="1897">
        <f ca="1">VLOOKUP($A14,FS!$B$2:$AD$326,MATCH(G$2,FS!$B$1:$AD$1,0),FALSE)</f>
        <v>8678.9333924068342</v>
      </c>
      <c r="H14" s="1897">
        <f ca="1">VLOOKUP($A14,FS!$B$2:$AD$326,MATCH(H$2,FS!$B$1:$AD$1,0),FALSE)</f>
        <v>10875.319207148506</v>
      </c>
      <c r="I14" s="1898"/>
      <c r="J14" s="1895" t="s">
        <v>347</v>
      </c>
      <c r="K14" s="1897">
        <f>IFERROR(VLOOKUP($J14,FS!$B$2:$AD$326,MATCH(K$2,FS!$B$1:$AD$1,0),FALSE),"")</f>
        <v>2594.1647017319992</v>
      </c>
      <c r="L14" s="1897">
        <f>IFERROR(VLOOKUP($J14,FS!$B$2:$AD$326,MATCH(L$2,FS!$B$1:$AD$1,0),FALSE),"")</f>
        <v>7891.0772902130047</v>
      </c>
      <c r="M14" s="1897">
        <f>IFERROR(VLOOKUP($J14,FS!$B$2:$AD$326,MATCH(M$2,FS!$B$1:$AD$1,0),FALSE),"")</f>
        <v>-8062.0914359180024</v>
      </c>
      <c r="N14" s="1897">
        <f>IFERROR(VLOOKUP($J14,FS!$B$2:$AD$326,MATCH(N$2,FS!$B$1:$AD$1,0),FALSE),"")</f>
        <v>8440.4031863249984</v>
      </c>
      <c r="O14" s="1897">
        <f>IFERROR(VLOOKUP($J14,FS!$B$2:$AD$326,MATCH(O$2,FS!$B$1:$AD$1,0),FALSE),"")</f>
        <v>1725.9406591499865</v>
      </c>
      <c r="P14" s="1897">
        <f ca="1">IFERROR(VLOOKUP($J14,FS!$B$2:$AD$326,MATCH(P$2,FS!$B$1:$AD$1,0),FALSE),"")</f>
        <v>203.5187401141344</v>
      </c>
      <c r="Q14" s="1897">
        <f ca="1">IFERROR(VLOOKUP($J14,FS!$B$2:$AD$326,MATCH(Q$2,FS!$B$1:$AD$1,0),FALSE),"")</f>
        <v>37.592562443811055</v>
      </c>
      <c r="S14" s="1004">
        <v>1689</v>
      </c>
      <c r="T14" s="1004">
        <v>2010</v>
      </c>
      <c r="U14" s="1005"/>
      <c r="V14" s="1005"/>
      <c r="AR14" s="1003">
        <v>44670</v>
      </c>
      <c r="AS14" s="999">
        <v>118900</v>
      </c>
      <c r="AT14" s="999">
        <f t="shared" ca="1" si="2"/>
        <v>20100</v>
      </c>
    </row>
    <row r="15" spans="1:46" ht="15" customHeight="1">
      <c r="A15" s="1895" t="s">
        <v>348</v>
      </c>
      <c r="B15" s="1897">
        <f>VLOOKUP($A15,FS!$B$2:$P$326,MATCH(B$2,FS!$B$1:$AD$1,0),FALSE)</f>
        <v>-1489.8626978460002</v>
      </c>
      <c r="C15" s="1897">
        <f>VLOOKUP($A15,FS!$B$2:$P$326,MATCH(C$2,FS!$B$1:$AD$1,0),FALSE)</f>
        <v>-1570.1570766530001</v>
      </c>
      <c r="D15" s="1897">
        <f>VLOOKUP($A15,FS!$B$2:$AD$326,MATCH(D$2,FS!$B$1:$AD$1,0),FALSE)</f>
        <v>-1954.640948619</v>
      </c>
      <c r="E15" s="1897">
        <f>VLOOKUP($A15,FS!$B$2:$AD$326,MATCH(E$2,FS!$B$1:$AD$1,0),FALSE)</f>
        <v>-521.86321295700009</v>
      </c>
      <c r="F15" s="1897">
        <f>VLOOKUP($A15,FS!$B$2:$AD$326,MATCH(F$2,FS!$B$1:$AD$1,0),FALSE)</f>
        <v>-1092.4747843579999</v>
      </c>
      <c r="G15" s="1897">
        <f ca="1">VLOOKUP($A15,FS!$B$2:$AD$326,MATCH(G$2,FS!$B$1:$AD$1,0),FALSE)</f>
        <v>-1881.8771434740081</v>
      </c>
      <c r="H15" s="1897">
        <f ca="1">VLOOKUP($A15,FS!$B$2:$AD$326,MATCH(H$2,FS!$B$1:$AD$1,0),FALSE)</f>
        <v>-2188.412201781955</v>
      </c>
      <c r="I15" s="1899"/>
      <c r="J15" s="1895" t="s">
        <v>349</v>
      </c>
      <c r="K15" s="1897">
        <f>IFERROR(VLOOKUP($J15,FS!$B$2:$AD$326,MATCH(K$2,FS!$B$1:$AD$1,0),FALSE),"")</f>
        <v>2014.4153807320004</v>
      </c>
      <c r="L15" s="1897">
        <f>IFERROR(VLOOKUP($J15,FS!$B$2:$AD$326,MATCH(L$2,FS!$B$1:$AD$1,0),FALSE),"")</f>
        <v>7877.4908791500047</v>
      </c>
      <c r="M15" s="1897">
        <f t="shared" ref="M15:O15" si="3">M16-M13-M14</f>
        <v>187.60272999999779</v>
      </c>
      <c r="N15" s="1897">
        <f t="shared" si="3"/>
        <v>-9.3400600000022678</v>
      </c>
      <c r="O15" s="1897">
        <f t="shared" si="3"/>
        <v>1762.4925485419953</v>
      </c>
      <c r="P15" s="1897">
        <f ca="1">P16-P13-P14</f>
        <v>-747.56555999999807</v>
      </c>
      <c r="Q15" s="1897">
        <f ca="1">Q16-Q13-Q14</f>
        <v>-1.0658141036401503E-13</v>
      </c>
      <c r="S15" s="1008">
        <v>-351</v>
      </c>
      <c r="T15" s="1008">
        <v>-417</v>
      </c>
      <c r="U15" s="1005"/>
      <c r="V15" s="1005"/>
      <c r="AR15" s="1003">
        <v>44669</v>
      </c>
      <c r="AS15" s="999">
        <v>123500</v>
      </c>
      <c r="AT15" s="999">
        <f t="shared" ca="1" si="2"/>
        <v>20100</v>
      </c>
    </row>
    <row r="16" spans="1:46" ht="15" customHeight="1">
      <c r="A16" s="1895" t="s">
        <v>350</v>
      </c>
      <c r="B16" s="1897">
        <f>VLOOKUP($A16,FS!$B$2:$P$326,MATCH(B$2,FS!$B$1:$AD$1,0),FALSE)</f>
        <v>3923.5796489780009</v>
      </c>
      <c r="C16" s="1897">
        <f>VLOOKUP($A16,FS!$B$2:$P$326,MATCH(C$2,FS!$B$1:$AD$1,0),FALSE)</f>
        <v>4903.6371743759992</v>
      </c>
      <c r="D16" s="1897">
        <f>VLOOKUP($A16,FS!$B$2:$AD$326,MATCH(D$2,FS!$B$1:$AD$1,0),FALSE)</f>
        <v>4101.7144249390021</v>
      </c>
      <c r="E16" s="1897">
        <f>VLOOKUP($A16,FS!$B$2:$AD$326,MATCH(E$2,FS!$B$1:$AD$1,0),FALSE)</f>
        <v>167.82915493899793</v>
      </c>
      <c r="F16" s="1897">
        <f>VLOOKUP($A16,FS!$B$2:$AD$326,MATCH(F$2,FS!$B$1:$AD$1,0),FALSE)</f>
        <v>3733.2882287200027</v>
      </c>
      <c r="G16" s="1897">
        <f ca="1">VLOOKUP($A16,FS!$B$2:$AD$326,MATCH(G$2,FS!$B$1:$AD$1,0),FALSE)</f>
        <v>6797.0562489328258</v>
      </c>
      <c r="H16" s="1897">
        <f ca="1">VLOOKUP($A16,FS!$B$2:$AD$326,MATCH(H$2,FS!$B$1:$AD$1,0),FALSE)</f>
        <v>8686.9070053665509</v>
      </c>
      <c r="I16" s="1898"/>
      <c r="J16" s="1895" t="s">
        <v>351</v>
      </c>
      <c r="K16" s="1897">
        <f>IFERROR(VLOOKUP($J16,FS!$B$2:$AD$326,MATCH(K$2,FS!$B$1:$AD$1,0),FALSE),"")</f>
        <v>2014.4153807320004</v>
      </c>
      <c r="L16" s="1897">
        <f>IFERROR(VLOOKUP($J16,FS!$B$2:$AD$326,MATCH(L$2,FS!$B$1:$AD$1,0),FALSE),"")</f>
        <v>7877.4908791500047</v>
      </c>
      <c r="M16" s="1897">
        <f>IFERROR(VLOOKUP($J16,FS!$B$2:$AD$326,MATCH(M$2,FS!$B$1:$AD$1,0),FALSE),"")</f>
        <v>-8606.3435209180043</v>
      </c>
      <c r="N16" s="1897">
        <f>IFERROR(VLOOKUP($J16,FS!$B$2:$AD$326,MATCH(N$2,FS!$B$1:$AD$1,0),FALSE),"")</f>
        <v>7699.7831028249966</v>
      </c>
      <c r="O16" s="1897">
        <f>IFERROR(VLOOKUP($J16,FS!$B$2:$AD$326,MATCH(O$2,FS!$B$1:$AD$1,0),FALSE),"")</f>
        <v>2757.4755136919821</v>
      </c>
      <c r="P16" s="1897">
        <f ca="1">IFERROR(VLOOKUP($J16,FS!$B$2:$AD$326,MATCH(P$2,FS!$B$1:$AD$1,0),FALSE),"")</f>
        <v>-2012.5035828858638</v>
      </c>
      <c r="Q16" s="1897">
        <f ca="1">IFERROR(VLOOKUP($J16,FS!$B$2:$AD$326,MATCH(Q$2,FS!$B$1:$AD$1,0),FALSE),"")</f>
        <v>-1430.8642005561892</v>
      </c>
      <c r="S16" s="1004">
        <v>1338</v>
      </c>
      <c r="T16" s="1004">
        <v>1593</v>
      </c>
      <c r="U16" s="1005">
        <f>C16/S16-1</f>
        <v>2.6649007282331834</v>
      </c>
      <c r="V16" s="1005">
        <f>D16/T16-1</f>
        <v>1.5748364249460152</v>
      </c>
      <c r="AR16" s="1003">
        <v>44666</v>
      </c>
      <c r="AS16" s="999">
        <v>117100</v>
      </c>
      <c r="AT16" s="999">
        <f t="shared" ca="1" si="2"/>
        <v>20100</v>
      </c>
    </row>
    <row r="17" spans="1:49" ht="15" customHeight="1">
      <c r="A17" s="1895" t="s">
        <v>352</v>
      </c>
      <c r="B17" s="1897">
        <f>VLOOKUP($A17,FS!$B$2:$P$326,MATCH(B$2,FS!$B$1:$AD$1,0),FALSE)</f>
        <v>2.1049263479999998</v>
      </c>
      <c r="C17" s="1897">
        <f>VLOOKUP($A17,FS!$B$2:$P$326,MATCH(C$2,FS!$B$1:$AD$1,0),FALSE)</f>
        <v>2.55739567</v>
      </c>
      <c r="D17" s="1897">
        <f>VLOOKUP($A17,FS!$B$2:$AD$326,MATCH(D$2,FS!$B$1:$AD$1,0),FALSE)</f>
        <v>1.9513976340000001</v>
      </c>
      <c r="E17" s="1897">
        <f>VLOOKUP($A17,FS!$B$2:$AD$326,MATCH(E$2,FS!$B$1:$AD$1,0),FALSE)</f>
        <v>0.159762235</v>
      </c>
      <c r="F17" s="1897">
        <f>VLOOKUP($A17,FS!$B$2:$AD$326,MATCH(F$2,FS!$B$1:$AD$1,0),FALSE)</f>
        <v>11.419787059000001</v>
      </c>
      <c r="G17" s="1897">
        <f ca="1">VLOOKUP($A17,FS!$B$2:$AD$326,MATCH(G$2,FS!$B$1:$AD$1,0),FALSE)</f>
        <v>39.651327209022213</v>
      </c>
      <c r="H17" s="1897">
        <f ca="1">VLOOKUP($A17,FS!$B$2:$AD$326,MATCH(H$2,FS!$B$1:$AD$1,0),FALSE)</f>
        <v>87.063558680764473</v>
      </c>
      <c r="I17" s="1899"/>
      <c r="J17" s="1902"/>
      <c r="K17" s="1897" t="str">
        <f>IFERROR(VLOOKUP($J17,FS!$B$2:$AD$326,MATCH(K$2,FS!$B$1:$AD$1,0),FALSE),"")</f>
        <v/>
      </c>
      <c r="L17" s="1897" t="str">
        <f>IFERROR(VLOOKUP($J17,FS!$B$2:$AD$326,MATCH(L$2,FS!$B$1:$AD$1,0),FALSE),"")</f>
        <v/>
      </c>
      <c r="M17" s="1897" t="str">
        <f>IFERROR(VLOOKUP($J17,FS!$B$2:$AD$326,MATCH(M$2,FS!$B$1:$AD$1,0),FALSE),"")</f>
        <v/>
      </c>
      <c r="N17" s="1897" t="str">
        <f>IFERROR(VLOOKUP($J17,FS!$B$2:$AD$326,MATCH(N$2,FS!$B$1:$AD$1,0),FALSE),"")</f>
        <v/>
      </c>
      <c r="O17" s="1897" t="str">
        <f>IFERROR(VLOOKUP($J17,FS!$B$2:$AD$326,MATCH(O$2,FS!$B$1:$AD$1,0),FALSE),"")</f>
        <v/>
      </c>
      <c r="P17" s="1897" t="str">
        <f>IFERROR(VLOOKUP($J17,FS!$B$2:$AD$326,MATCH(P$2,FS!$B$1:$AD$1,0),FALSE),"")</f>
        <v/>
      </c>
      <c r="Q17" s="1897" t="str">
        <f>IFERROR(VLOOKUP($J17,FS!$B$2:$AD$326,MATCH(Q$2,FS!$B$1:$AD$1,0),FALSE),"")</f>
        <v/>
      </c>
      <c r="S17" s="1008" t="s">
        <v>343</v>
      </c>
      <c r="T17" s="1008" t="s">
        <v>343</v>
      </c>
      <c r="AR17" s="1003">
        <v>44665</v>
      </c>
      <c r="AS17" s="999">
        <v>117000</v>
      </c>
      <c r="AT17" s="999">
        <f t="shared" ca="1" si="2"/>
        <v>20100</v>
      </c>
    </row>
    <row r="18" spans="1:49" ht="15" customHeight="1">
      <c r="A18" s="1895" t="s">
        <v>353</v>
      </c>
      <c r="B18" s="1897">
        <f>VLOOKUP($A18,FS!$B$2:$P$326,MATCH(B$2,FS!$B$1:$AD$1,0),FALSE)</f>
        <v>3921.474722630001</v>
      </c>
      <c r="C18" s="1897">
        <f>VLOOKUP($A18,FS!$B$2:$P$326,MATCH(C$2,FS!$B$1:$AD$1,0),FALSE)</f>
        <v>4901.0797787059992</v>
      </c>
      <c r="D18" s="1897">
        <f>VLOOKUP($A18,FS!$B$2:$AD$326,MATCH(D$2,FS!$B$1:$AD$1,0),FALSE)</f>
        <v>4099.7630273050017</v>
      </c>
      <c r="E18" s="1897">
        <f>VLOOKUP($A18,FS!$B$2:$AD$326,MATCH(E$2,FS!$B$1:$AD$1,0),FALSE)</f>
        <v>167.66939270399794</v>
      </c>
      <c r="F18" s="1897">
        <f>VLOOKUP($A18,FS!$B$2:$AD$326,MATCH(F$2,FS!$B$1:$AD$1,0),FALSE)</f>
        <v>3721.8684416610026</v>
      </c>
      <c r="G18" s="1897">
        <f ca="1">VLOOKUP($A18,FS!$B$2:$AD$326,MATCH(G$2,FS!$B$1:$AD$1,0),FALSE)</f>
        <v>6757.4049217238035</v>
      </c>
      <c r="H18" s="1897">
        <f ca="1">VLOOKUP($A18,FS!$B$2:$AD$326,MATCH(H$2,FS!$B$1:$AD$1,0),FALSE)</f>
        <v>8599.8434466857871</v>
      </c>
      <c r="I18" s="1898"/>
      <c r="J18" s="1895" t="s">
        <v>354</v>
      </c>
      <c r="K18" s="1897">
        <f ca="1">IFERROR(VLOOKUP($J18,FS!$B$2:$AD$326,MATCH(K$2,FS!$B$1:$AD$1,0),FALSE),"")</f>
        <v>3115.2368164680001</v>
      </c>
      <c r="L18" s="1897">
        <f ca="1">IFERROR(VLOOKUP($J18,FS!$B$2:$AD$326,MATCH(L$2,FS!$B$1:$AD$1,0),FALSE),"")</f>
        <v>7347.8573979250004</v>
      </c>
      <c r="M18" s="1897">
        <f ca="1">IFERROR(VLOOKUP($J18,FS!$B$2:$AD$326,MATCH(M$2,FS!$B$1:$AD$1,0),FALSE),"")</f>
        <v>4142.015762555</v>
      </c>
      <c r="N18" s="1897">
        <f ca="1">IFERROR(VLOOKUP($J18,FS!$B$2:$AD$326,MATCH(N$2,FS!$B$1:$AD$1,0),FALSE),"")</f>
        <v>5061.0205474220002</v>
      </c>
      <c r="O18" s="1897">
        <f ca="1">IFERROR(VLOOKUP($J18,FS!$B$2:$AD$326,MATCH(O$2,FS!$B$1:$AD$1,0),FALSE),"")</f>
        <v>5365.7048571719997</v>
      </c>
      <c r="P18" s="1897">
        <f ca="1">IFERROR(VLOOKUP($J18,FS!$B$2:$AD$326,MATCH(P$2,FS!$B$1:$AD$1,0),FALSE),"")</f>
        <v>5697.3315407299997</v>
      </c>
      <c r="Q18" s="1897">
        <f ca="1">IFERROR(VLOOKUP($J18,FS!$B$2:$AD$326,MATCH(Q$2,FS!$B$1:$AD$1,0),FALSE),"")</f>
        <v>6775.623920371434</v>
      </c>
      <c r="S18" s="1004">
        <v>1338</v>
      </c>
      <c r="T18" s="1004">
        <v>1593</v>
      </c>
      <c r="AR18" s="1003">
        <v>44664</v>
      </c>
      <c r="AS18" s="999">
        <v>116000</v>
      </c>
      <c r="AT18" s="999">
        <f t="shared" ca="1" si="2"/>
        <v>20100</v>
      </c>
      <c r="AW18" s="999">
        <f>0.5%*26000</f>
        <v>130</v>
      </c>
    </row>
    <row r="19" spans="1:49" ht="15" customHeight="1">
      <c r="A19" s="1895" t="s">
        <v>205</v>
      </c>
      <c r="B19" s="1897">
        <f>VLOOKUP($A19,FS!$B$2:$P$326,MATCH(B$2,FS!$B$1:$AD$1,0),FALSE)</f>
        <v>7411.8496745440007</v>
      </c>
      <c r="C19" s="1897">
        <f>VLOOKUP($A19,FS!$B$2:$P$326,MATCH(C$2,FS!$B$1:$AD$1,0),FALSE)</f>
        <v>8815.2822268340005</v>
      </c>
      <c r="D19" s="1897">
        <f>VLOOKUP($A19,FS!$B$2:$AD$326,MATCH(D$2,FS!$B$1:$AD$1,0),FALSE)</f>
        <v>10232.642667622002</v>
      </c>
      <c r="E19" s="1897">
        <f>VLOOKUP($A19,FS!$B$2:$AD$326,MATCH(E$2,FS!$B$1:$AD$1,0),FALSE)</f>
        <v>3793.6060137709983</v>
      </c>
      <c r="F19" s="1897">
        <f>VLOOKUP($A19,FS!$B$2:$AD$326,MATCH(F$2,FS!$B$1:$AD$1,0),FALSE)</f>
        <v>7003.0649655200023</v>
      </c>
      <c r="G19" s="1897">
        <f ca="1">VLOOKUP($A19,FS!$B$2:$AD$326,MATCH(G$2,FS!$B$1:$AD$1,0),FALSE)</f>
        <v>9861.8211850681892</v>
      </c>
      <c r="H19" s="1897">
        <f ca="1">VLOOKUP($A19,FS!$B$2:$AD$326,MATCH(H$2,FS!$B$1:$AD$1,0),FALSE)</f>
        <v>11587.855628035164</v>
      </c>
      <c r="I19" s="1898"/>
      <c r="J19" s="1895" t="s">
        <v>355</v>
      </c>
      <c r="K19" s="1897">
        <f>IFERROR(VLOOKUP($J19,FS!$B$2:$AD$326,MATCH(K$2,FS!$B$1:$AD$1,0),FALSE),"")</f>
        <v>4236.2906463500003</v>
      </c>
      <c r="L19" s="1897">
        <f>IFERROR(VLOOKUP($J19,FS!$B$2:$AD$326,MATCH(L$2,FS!$B$1:$AD$1,0),FALSE),"")</f>
        <v>-3203.7777888779929</v>
      </c>
      <c r="M19" s="1897">
        <f>IFERROR(VLOOKUP($J19,FS!$B$2:$AD$326,MATCH(M$2,FS!$B$1:$AD$1,0),FALSE),"")</f>
        <v>920.0667040429953</v>
      </c>
      <c r="N19" s="1897">
        <f>IFERROR(VLOOKUP($J19,FS!$B$2:$AD$326,MATCH(N$2,FS!$B$1:$AD$1,0),FALSE),"")</f>
        <v>306.31558195299567</v>
      </c>
      <c r="O19" s="1897">
        <f>IFERROR(VLOOKUP($J19,FS!$B$2:$AD$326,MATCH(O$2,FS!$B$1:$AD$1,0),FALSE),"")</f>
        <v>333.52255001599133</v>
      </c>
      <c r="P19" s="1897">
        <f ca="1">IFERROR(VLOOKUP($J19,FS!$B$2:$AD$326,MATCH(P$2,FS!$B$1:$AD$1,0),FALSE),"")</f>
        <v>1078.1882460994339</v>
      </c>
      <c r="Q19" s="1897">
        <f ca="1">IFERROR(VLOOKUP($J19,FS!$B$2:$AD$326,MATCH(Q$2,FS!$B$1:$AD$1,0),FALSE),"")</f>
        <v>3367.9687624935427</v>
      </c>
      <c r="S19" s="1007">
        <v>1895</v>
      </c>
      <c r="T19" s="1007">
        <v>2231</v>
      </c>
      <c r="AR19" s="1003">
        <v>44663</v>
      </c>
      <c r="AS19" s="999">
        <v>112400</v>
      </c>
      <c r="AT19" s="999">
        <f t="shared" ca="1" si="2"/>
        <v>20100</v>
      </c>
    </row>
    <row r="20" spans="1:49" ht="15" customHeight="1" thickBot="1">
      <c r="A20" s="1903" t="s">
        <v>356</v>
      </c>
      <c r="B20" s="1904">
        <f ca="1">VLOOKUP($A20,FS!$B$2:$P$326,MATCH(B$2,FS!$B$1:$AD$1,0),FALSE)</f>
        <v>2678.8238457955367</v>
      </c>
      <c r="C20" s="1904">
        <f ca="1">VLOOKUP($A20,FS!$B$2:$P$326,MATCH(C$2,FS!$B$1:$AD$1,0),FALSE)</f>
        <v>3337.571729856917</v>
      </c>
      <c r="D20" s="1904">
        <f ca="1">VLOOKUP($A20,FS!$B$2:$AD$326,MATCH(D$2,FS!$B$1:$AD$1,0),FALSE)</f>
        <v>2791.885420534511</v>
      </c>
      <c r="E20" s="1904">
        <f ca="1">VLOOKUP($A20,FS!$B$2:$AD$326,MATCH(E$2,FS!$B$1:$AD$1,0),FALSE)</f>
        <v>114.18068064970186</v>
      </c>
      <c r="F20" s="1904">
        <f ca="1">VLOOKUP($A20,FS!$B$2:$AD$326,MATCH(F$2,FS!$B$1:$AD$1,0),FALSE)</f>
        <v>2534.5441115047679</v>
      </c>
      <c r="G20" s="1904">
        <f ca="1">VLOOKUP($A20,FS!$B$2:$AD$326,MATCH(G$2,FS!$B$1:$AD$1,0),FALSE)</f>
        <v>4601.7050634290981</v>
      </c>
      <c r="H20" s="1904">
        <f ca="1">VLOOKUP($A20,FS!$B$2:$AD$326,MATCH(H$2,FS!$B$1:$AD$1,0),FALSE)</f>
        <v>5856.3817903066083</v>
      </c>
      <c r="I20" s="1901"/>
      <c r="J20" s="1903" t="s">
        <v>357</v>
      </c>
      <c r="K20" s="1904">
        <f ca="1">IFERROR(VLOOKUP($J20,FS!$B$2:$AD$326,MATCH(K$2,FS!$B$1:$AD$1,0),FALSE),"")</f>
        <v>7351.5643373960002</v>
      </c>
      <c r="L20" s="1904">
        <f ca="1">IFERROR(VLOOKUP($J20,FS!$B$2:$AD$326,MATCH(L$2,FS!$B$1:$AD$1,0),FALSE),"")</f>
        <v>4144.2262630410078</v>
      </c>
      <c r="M20" s="1904">
        <f ca="1">IFERROR(VLOOKUP($J20,FS!$B$2:$AD$326,MATCH(M$2,FS!$B$1:$AD$1,0),FALSE),"")</f>
        <v>5062.0205474219956</v>
      </c>
      <c r="N20" s="1904">
        <f ca="1">IFERROR(VLOOKUP($J20,FS!$B$2:$AD$326,MATCH(N$2,FS!$B$1:$AD$1,0),FALSE),"")</f>
        <v>5367.7048571719961</v>
      </c>
      <c r="O20" s="1904">
        <f ca="1">IFERROR(VLOOKUP($J20,FS!$B$2:$AD$326,MATCH(O$2,FS!$B$1:$AD$1,0),FALSE),"")</f>
        <v>5699.3315407299906</v>
      </c>
      <c r="P20" s="1904">
        <f ca="1">IFERROR(VLOOKUP($J20,FS!$B$2:$AD$326,MATCH(P$2,FS!$B$1:$AD$1,0),FALSE),"")</f>
        <v>6775.623920371434</v>
      </c>
      <c r="Q20" s="1904">
        <f ca="1">IFERROR(VLOOKUP($J20,FS!$B$2:$AD$326,MATCH(Q$2,FS!$B$1:$AD$1,0),FALSE),"")</f>
        <v>10143.696816406977</v>
      </c>
      <c r="S20" s="1009">
        <v>5792</v>
      </c>
      <c r="T20" s="1009">
        <v>6893</v>
      </c>
      <c r="AR20" s="1003">
        <v>44659</v>
      </c>
      <c r="AS20" s="999">
        <v>114500</v>
      </c>
      <c r="AT20" s="999">
        <f t="shared" ca="1" si="2"/>
        <v>20100</v>
      </c>
    </row>
    <row r="21" spans="1:49" ht="15" customHeight="1">
      <c r="A21" s="1895"/>
      <c r="B21" s="1905"/>
      <c r="C21" s="1905"/>
      <c r="D21" s="1905"/>
      <c r="E21" s="1905"/>
      <c r="F21" s="1905"/>
      <c r="G21" s="1905"/>
      <c r="H21" s="1905"/>
      <c r="I21" s="1898"/>
      <c r="J21" s="1901"/>
      <c r="K21" s="1901"/>
      <c r="L21" s="1901"/>
      <c r="M21" s="1901"/>
      <c r="N21" s="1901"/>
      <c r="O21" s="1901"/>
      <c r="P21" s="1901"/>
      <c r="Q21" s="1901"/>
      <c r="AR21" s="1003">
        <v>44658</v>
      </c>
      <c r="AS21" s="999">
        <v>115100</v>
      </c>
      <c r="AT21" s="999">
        <f t="shared" ca="1" si="2"/>
        <v>20100</v>
      </c>
    </row>
    <row r="22" spans="1:49" ht="15" customHeight="1" thickBot="1">
      <c r="A22" s="1896" t="s">
        <v>358</v>
      </c>
      <c r="B22" s="1894">
        <f t="shared" ref="B22:H22" si="4">B$2</f>
        <v>2020</v>
      </c>
      <c r="C22" s="1894">
        <f t="shared" si="4"/>
        <v>2021</v>
      </c>
      <c r="D22" s="1894">
        <f t="shared" si="4"/>
        <v>2022</v>
      </c>
      <c r="E22" s="1894">
        <f t="shared" si="4"/>
        <v>2023</v>
      </c>
      <c r="F22" s="1894">
        <f t="shared" si="4"/>
        <v>2024</v>
      </c>
      <c r="G22" s="1894">
        <f t="shared" si="4"/>
        <v>2025</v>
      </c>
      <c r="H22" s="1894">
        <f t="shared" si="4"/>
        <v>2026</v>
      </c>
      <c r="I22" s="1898"/>
      <c r="J22" s="1896" t="s">
        <v>359</v>
      </c>
      <c r="K22" s="1894">
        <f t="shared" ref="K22:Q22" si="5">B$2</f>
        <v>2020</v>
      </c>
      <c r="L22" s="1894">
        <f t="shared" si="5"/>
        <v>2021</v>
      </c>
      <c r="M22" s="1894">
        <f t="shared" si="5"/>
        <v>2022</v>
      </c>
      <c r="N22" s="1894">
        <f t="shared" si="5"/>
        <v>2023</v>
      </c>
      <c r="O22" s="1894">
        <f t="shared" si="5"/>
        <v>2024</v>
      </c>
      <c r="P22" s="1894">
        <f t="shared" si="5"/>
        <v>2025</v>
      </c>
      <c r="Q22" s="1894">
        <f t="shared" si="5"/>
        <v>2026</v>
      </c>
      <c r="AR22" s="1003">
        <v>44657</v>
      </c>
      <c r="AS22" s="999">
        <v>118100</v>
      </c>
      <c r="AT22" s="999">
        <f t="shared" ca="1" si="2"/>
        <v>20100</v>
      </c>
    </row>
    <row r="23" spans="1:49" ht="15" customHeight="1" thickBot="1">
      <c r="A23" s="1895" t="s">
        <v>360</v>
      </c>
      <c r="B23" s="1897">
        <f ca="1">VLOOKUP($A23,FS!$B$2:$P$326,MATCH(B$2,FS!$B$1:$AD$1,0),FALSE)</f>
        <v>7347.8573979250004</v>
      </c>
      <c r="C23" s="1897">
        <f ca="1">VLOOKUP($A23,FS!$B$2:$P$326,MATCH(C$2,FS!$B$1:$AD$1,0),FALSE)</f>
        <v>4142.015762555</v>
      </c>
      <c r="D23" s="1897">
        <f ca="1">VLOOKUP($A23,FS!$B$2:$AD$326,MATCH(D$2,FS!$B$1:$AD$1,0),FALSE)</f>
        <v>5061.0205474220002</v>
      </c>
      <c r="E23" s="1897">
        <f ca="1">VLOOKUP($A23,FS!$B$2:$AD$326,MATCH(E$2,FS!$B$1:$AD$1,0),FALSE)+FS!N6</f>
        <v>5365.7048571719997</v>
      </c>
      <c r="F23" s="1897">
        <f ca="1">VLOOKUP($A23,FS!$B$2:$AD$326,MATCH(F$2,FS!$B$1:$AD$1,0),FALSE)+FS!O6</f>
        <v>5697.3315407299997</v>
      </c>
      <c r="G23" s="1897">
        <f ca="1">VLOOKUP($A23,FS!$B$2:$AD$326,MATCH(G$2,FS!$B$1:$AD$1,0),FALSE)+FS!P6</f>
        <v>6775.623920371434</v>
      </c>
      <c r="H23" s="1897">
        <f ca="1">VLOOKUP($A23,FS!$B$2:$AD$326,MATCH(H$2,FS!$B$1:$AD$1,0),FALSE)+FS!Q6</f>
        <v>10143.696816406977</v>
      </c>
      <c r="I23" s="1898"/>
      <c r="J23" s="1895" t="s">
        <v>361</v>
      </c>
      <c r="K23" s="1901"/>
      <c r="L23" s="1901"/>
      <c r="M23" s="1901"/>
      <c r="N23" s="1901"/>
      <c r="O23" s="1901"/>
      <c r="P23" s="1901"/>
      <c r="Q23" s="1901"/>
      <c r="S23" s="1010"/>
      <c r="T23" s="1011">
        <f t="shared" ref="T23:Z23" si="6">B2</f>
        <v>2020</v>
      </c>
      <c r="U23" s="1011">
        <f t="shared" si="6"/>
        <v>2021</v>
      </c>
      <c r="V23" s="1011">
        <f t="shared" si="6"/>
        <v>2022</v>
      </c>
      <c r="W23" s="1011">
        <f t="shared" si="6"/>
        <v>2023</v>
      </c>
      <c r="X23" s="1011">
        <f t="shared" si="6"/>
        <v>2024</v>
      </c>
      <c r="Y23" s="1011">
        <f t="shared" si="6"/>
        <v>2025</v>
      </c>
      <c r="Z23" s="1011">
        <f t="shared" si="6"/>
        <v>2026</v>
      </c>
      <c r="AA23" s="1012"/>
      <c r="AB23" s="1013">
        <f>K22</f>
        <v>2020</v>
      </c>
      <c r="AC23" s="1013">
        <f t="shared" ref="AC23:AH23" si="7">AB23+1</f>
        <v>2021</v>
      </c>
      <c r="AD23" s="1013">
        <f t="shared" si="7"/>
        <v>2022</v>
      </c>
      <c r="AE23" s="1013">
        <f t="shared" si="7"/>
        <v>2023</v>
      </c>
      <c r="AF23" s="1013">
        <f t="shared" si="7"/>
        <v>2024</v>
      </c>
      <c r="AG23" s="1013">
        <f t="shared" si="7"/>
        <v>2025</v>
      </c>
      <c r="AH23" s="1013">
        <f t="shared" si="7"/>
        <v>2026</v>
      </c>
      <c r="AI23" s="2027"/>
      <c r="AJ23" s="2027"/>
      <c r="AK23" s="2027"/>
      <c r="AL23" s="2027"/>
      <c r="AR23" s="1003">
        <v>44656</v>
      </c>
      <c r="AS23" s="999">
        <v>117800</v>
      </c>
      <c r="AT23" s="999">
        <f t="shared" ca="1" si="2"/>
        <v>20100</v>
      </c>
    </row>
    <row r="24" spans="1:49" ht="15" customHeight="1">
      <c r="A24" s="1895" t="s">
        <v>362</v>
      </c>
      <c r="B24" s="1897">
        <f ca="1">VLOOKUP($A24,FS!$B$2:$P$326,MATCH(B$2,FS!$B$1:$AD$1,0),FALSE)</f>
        <v>8057.3188219180001</v>
      </c>
      <c r="C24" s="1897">
        <f ca="1">VLOOKUP($A24,FS!$B$2:$P$326,MATCH(C$2,FS!$B$1:$AD$1,0),FALSE)</f>
        <v>14236.626334707</v>
      </c>
      <c r="D24" s="1897">
        <f ca="1">VLOOKUP($A24,FS!$B$2:$AD$326,MATCH(D$2,FS!$B$1:$AD$1,0),FALSE)</f>
        <v>10059.049605640001</v>
      </c>
      <c r="E24" s="1897">
        <f ca="1">VLOOKUP($A24,FS!$B$2:$AD$326,MATCH(E$2,FS!$B$1:$AD$1,0),FALSE)</f>
        <v>18937.008073822999</v>
      </c>
      <c r="F24" s="1897">
        <f ca="1">VLOOKUP($A24,FS!$B$2:$AD$326,MATCH(F$2,FS!$B$1:$AD$1,0),FALSE)</f>
        <v>28524.44175632</v>
      </c>
      <c r="G24" s="1897">
        <f ca="1">VLOOKUP($A24,FS!$B$2:$AD$326,MATCH(G$2,FS!$B$1:$AD$1,0),FALSE)</f>
        <v>31024.44175632</v>
      </c>
      <c r="H24" s="1897">
        <f ca="1">VLOOKUP($A24,FS!$B$2:$AD$326,MATCH(H$2,FS!$B$1:$AD$1,0),FALSE)</f>
        <v>31024.44175632</v>
      </c>
      <c r="I24" s="1898"/>
      <c r="J24" s="1895" t="s">
        <v>363</v>
      </c>
      <c r="K24" s="1906">
        <f ca="1">IFERROR(VLOOKUP($J24,FS!$B$2:$AD$326,MATCH(K$2,FS!$B$1:$AD$1,0),FALSE),"")</f>
        <v>1.2683224377538875</v>
      </c>
      <c r="L24" s="1906">
        <f ca="1">IFERROR(VLOOKUP($J24,FS!$B$2:$AD$326,MATCH(L$2,FS!$B$1:$AD$1,0),FALSE),"")</f>
        <v>1.219802879523527</v>
      </c>
      <c r="M24" s="1906">
        <f ca="1">IFERROR(VLOOKUP($J24,FS!$B$2:$AD$326,MATCH(M$2,FS!$B$1:$AD$1,0),FALSE),"")</f>
        <v>1.7165573326125994</v>
      </c>
      <c r="N24" s="1906">
        <f ca="1">IFERROR(VLOOKUP($J24,FS!$B$2:$AD$326,MATCH(N$2,FS!$B$1:$AD$1,0),FALSE),"")</f>
        <v>1.6886790539931402</v>
      </c>
      <c r="O24" s="1906">
        <f ca="1">IFERROR(VLOOKUP($J24,FS!$B$2:$AD$326,MATCH(O$2,FS!$B$1:$AD$1,0),FALSE),"")</f>
        <v>1.5624387985617412</v>
      </c>
      <c r="P24" s="1906">
        <f ca="1">IFERROR(VLOOKUP($J24,FS!$B$2:$AD$326,MATCH(P$2,FS!$B$1:$AD$1,0),FALSE),"")</f>
        <v>1.6425289388256328</v>
      </c>
      <c r="Q24" s="1906">
        <f ca="1">IFERROR(VLOOKUP($J24,FS!$B$2:$AD$326,MATCH(Q$2,FS!$B$1:$AD$1,0),FALSE),"")</f>
        <v>1.7447644598534915</v>
      </c>
      <c r="S24" s="1014" t="s">
        <v>364</v>
      </c>
      <c r="T24" s="1015">
        <f t="shared" ref="T24:Z25" ca="1" si="8">K42</f>
        <v>32.999556928218858</v>
      </c>
      <c r="U24" s="1015">
        <f t="shared" ca="1" si="8"/>
        <v>26.486322139296686</v>
      </c>
      <c r="V24" s="1015">
        <f t="shared" ca="1" si="8"/>
        <v>31.663190527022302</v>
      </c>
      <c r="W24" s="1015">
        <f t="shared" ca="1" si="8"/>
        <v>774.21153470966658</v>
      </c>
      <c r="X24" s="1015">
        <f t="shared" ca="1" si="8"/>
        <v>34.878067262169921</v>
      </c>
      <c r="Y24" s="1015">
        <f t="shared" ca="1" si="8"/>
        <v>19.210270710858225</v>
      </c>
      <c r="Z24" s="1015">
        <f t="shared" ca="1" si="8"/>
        <v>15.09464429834788</v>
      </c>
      <c r="AA24" s="1016" t="s">
        <v>325</v>
      </c>
      <c r="AB24" s="1017">
        <f>VLOOKUP(AA24,$A$3:$E$20,MATCH(AB$23,$A$2:$E$2,0),FALSE)</f>
        <v>108546.01966541199</v>
      </c>
      <c r="AC24" s="1017">
        <f t="shared" ref="AC24:AE27" si="9">VLOOKUP($AA24,$A$3:$E$20,MATCH(AC$23,$A$2:$E$2,0),FALSE)</f>
        <v>122958.106103174</v>
      </c>
      <c r="AD24" s="1017">
        <f t="shared" ca="1" si="9"/>
        <v>133404.78146</v>
      </c>
      <c r="AE24" s="1017">
        <f t="shared" si="9"/>
        <v>118279.788455442</v>
      </c>
      <c r="AF24" s="1017">
        <f>VLOOKUP($AA24,$A$3:$F$20,MATCH(AF$23,$A$2:$F$2,0),FALSE)</f>
        <v>134341.15284880201</v>
      </c>
      <c r="AG24" s="1017">
        <f t="shared" ref="AG24:AH28" ca="1" si="10">VLOOKUP($AA24,$A$3:$I$20,MATCH(AG$23,$A$2:$I$2,0),FALSE)</f>
        <v>159591.72685726223</v>
      </c>
      <c r="AH24" s="1017">
        <f t="shared" ca="1" si="10"/>
        <v>193997.30007748908</v>
      </c>
      <c r="AI24" s="1017"/>
      <c r="AJ24" s="1017"/>
      <c r="AK24" s="1017"/>
      <c r="AL24" s="1017"/>
      <c r="AR24" s="1003">
        <v>44655</v>
      </c>
      <c r="AS24" s="999">
        <v>116600</v>
      </c>
      <c r="AT24" s="999">
        <f t="shared" ca="1" si="2"/>
        <v>20100</v>
      </c>
    </row>
    <row r="25" spans="1:49" ht="15" customHeight="1">
      <c r="A25" s="1895" t="s">
        <v>365</v>
      </c>
      <c r="B25" s="1897">
        <f ca="1">VLOOKUP($A25,FS!$B$2:$P$326,MATCH(B$2,FS!$B$1:$AD$1,0),FALSE)</f>
        <v>1595.2510184959999</v>
      </c>
      <c r="C25" s="1897">
        <f ca="1">VLOOKUP($A25,FS!$B$2:$P$326,MATCH(C$2,FS!$B$1:$AD$1,0),FALSE)</f>
        <v>3162.1219715860002</v>
      </c>
      <c r="D25" s="1897">
        <f ca="1">VLOOKUP($A25,FS!$B$2:$AD$326,MATCH(D$2,FS!$B$1:$AD$1,0),FALSE)</f>
        <v>3072.0938533670001</v>
      </c>
      <c r="E25" s="1897">
        <f ca="1">VLOOKUP($A25,FS!$B$2:$AD$326,MATCH(E$2,FS!$B$1:$AD$1,0),FALSE)</f>
        <v>5158.8533377849999</v>
      </c>
      <c r="F25" s="1897">
        <f ca="1">VLOOKUP($A25,FS!$B$2:$AD$326,MATCH(F$2,FS!$B$1:$AD$1,0),FALSE)</f>
        <v>8763.6673655979994</v>
      </c>
      <c r="G25" s="1897">
        <f ca="1">VLOOKUP($A25,FS!$B$2:$AD$326,MATCH(G$2,FS!$B$1:$AD$1,0),FALSE)</f>
        <v>10410.873949046139</v>
      </c>
      <c r="H25" s="1897">
        <f ca="1">VLOOKUP($A25,FS!$B$2:$AD$326,MATCH(H$2,FS!$B$1:$AD$1,0),FALSE)</f>
        <v>12655.301608261983</v>
      </c>
      <c r="I25" s="1898"/>
      <c r="J25" s="1895" t="s">
        <v>366</v>
      </c>
      <c r="K25" s="1906">
        <f ca="1">IFERROR(VLOOKUP($J25,FS!$B$2:$AD$326,MATCH(K$2,FS!$B$1:$AD$1,0),FALSE),"")</f>
        <v>0.57780336385509012</v>
      </c>
      <c r="L25" s="1906">
        <f ca="1">IFERROR(VLOOKUP($J25,FS!$B$2:$AD$326,MATCH(L$2,FS!$B$1:$AD$1,0),FALSE),"")</f>
        <v>0.50573295496490511</v>
      </c>
      <c r="M25" s="1906">
        <f ca="1">IFERROR(VLOOKUP($J25,FS!$B$2:$AD$326,MATCH(M$2,FS!$B$1:$AD$1,0),FALSE),"")</f>
        <v>0.69968843472115327</v>
      </c>
      <c r="N25" s="1906">
        <f ca="1">IFERROR(VLOOKUP($J25,FS!$B$2:$AD$326,MATCH(N$2,FS!$B$1:$AD$1,0),FALSE),"")</f>
        <v>0.95772902703663232</v>
      </c>
      <c r="O25" s="1906">
        <f ca="1">IFERROR(VLOOKUP($J25,FS!$B$2:$AD$326,MATCH(O$2,FS!$B$1:$AD$1,0),FALSE),"")</f>
        <v>1.0211013837550449</v>
      </c>
      <c r="P25" s="1906">
        <f ca="1">IFERROR(VLOOKUP($J25,FS!$B$2:$AD$326,MATCH(P$2,FS!$B$1:$AD$1,0),FALSE),"")</f>
        <v>1.0841941900705117</v>
      </c>
      <c r="Q25" s="1906">
        <f ca="1">IFERROR(VLOOKUP($J25,FS!$B$2:$AD$326,MATCH(Q$2,FS!$B$1:$AD$1,0),FALSE),"")</f>
        <v>1.1179218764641103</v>
      </c>
      <c r="S25" s="1014" t="s">
        <v>367</v>
      </c>
      <c r="T25" s="1015">
        <f t="shared" ca="1" si="8"/>
        <v>2.5878158810960374</v>
      </c>
      <c r="U25" s="1015">
        <f t="shared" ca="1" si="8"/>
        <v>3.0932490342140522</v>
      </c>
      <c r="V25" s="1015">
        <f t="shared" ca="1" si="8"/>
        <v>5.4071445763994994</v>
      </c>
      <c r="W25" s="1015">
        <f t="shared" ca="1" si="8"/>
        <v>5.5397849793622145</v>
      </c>
      <c r="X25" s="1015">
        <f t="shared" ca="1" si="8"/>
        <v>4.6001155093360282</v>
      </c>
      <c r="Y25" s="1015">
        <f t="shared" ca="1" si="8"/>
        <v>3.9831211130519413</v>
      </c>
      <c r="Z25" s="1015">
        <f t="shared" ca="1" si="8"/>
        <v>3.261645602907695</v>
      </c>
      <c r="AA25" s="1016" t="s">
        <v>329</v>
      </c>
      <c r="AB25" s="1017">
        <f>VLOOKUP(AA25,$A$3:$E$20,MATCH(AB$23,$A$2:$E$2,0),FALSE)</f>
        <v>23954.497272462999</v>
      </c>
      <c r="AC25" s="1017">
        <f t="shared" si="9"/>
        <v>27632.131995534</v>
      </c>
      <c r="AD25" s="1017">
        <f t="shared" si="9"/>
        <v>30782.215367861001</v>
      </c>
      <c r="AE25" s="1017">
        <f t="shared" si="9"/>
        <v>22520.613163729999</v>
      </c>
      <c r="AF25" s="1017">
        <f>VLOOKUP($AA25,$A$3:$F$20,MATCH(AF$23,$A$2:$F$2,0),FALSE)</f>
        <v>27499.210077021002</v>
      </c>
      <c r="AG25" s="1017">
        <f t="shared" ca="1" si="10"/>
        <v>31336.850622463226</v>
      </c>
      <c r="AH25" s="1017">
        <f t="shared" ca="1" si="10"/>
        <v>38919.681055344343</v>
      </c>
      <c r="AI25" s="1017"/>
      <c r="AJ25" s="1017"/>
      <c r="AK25" s="1017"/>
      <c r="AL25" s="1017"/>
      <c r="AR25" s="1003">
        <v>44652</v>
      </c>
      <c r="AS25" s="999">
        <v>117200</v>
      </c>
      <c r="AT25" s="999">
        <f t="shared" ca="1" si="2"/>
        <v>20100</v>
      </c>
    </row>
    <row r="26" spans="1:49" ht="15" customHeight="1">
      <c r="A26" s="1895" t="s">
        <v>368</v>
      </c>
      <c r="B26" s="1897">
        <f ca="1">VLOOKUP($A26,FS!$B$2:$P$326,MATCH(B$2,FS!$B$1:$AD$1,0),FALSE)</f>
        <v>19422.177452674001</v>
      </c>
      <c r="C26" s="1897">
        <f ca="1">VLOOKUP($A26,FS!$B$2:$P$326,MATCH(C$2,FS!$B$1:$AD$1,0),FALSE)</f>
        <v>29167.232293921999</v>
      </c>
      <c r="D26" s="1897">
        <f ca="1">VLOOKUP($A26,FS!$B$2:$AD$326,MATCH(D$2,FS!$B$1:$AD$1,0),FALSE)</f>
        <v>25696.077735282001</v>
      </c>
      <c r="E26" s="1897">
        <f ca="1">VLOOKUP($A26,FS!$B$2:$AD$326,MATCH(E$2,FS!$B$1:$AD$1,0),FALSE)</f>
        <v>21824.235626176</v>
      </c>
      <c r="F26" s="1897">
        <f ca="1">VLOOKUP($A26,FS!$B$2:$AD$326,MATCH(F$2,FS!$B$1:$AD$1,0),FALSE)</f>
        <v>22244.676326705001</v>
      </c>
      <c r="G26" s="1897">
        <f ca="1">VLOOKUP($A26,FS!$B$2:$AD$326,MATCH(G$2,FS!$B$1:$AD$1,0),FALSE)</f>
        <v>24181.170031966289</v>
      </c>
      <c r="H26" s="1897">
        <f ca="1">VLOOKUP($A26,FS!$B$2:$AD$326,MATCH(H$2,FS!$B$1:$AD$1,0),FALSE)</f>
        <v>29394.26617716733</v>
      </c>
      <c r="I26" s="1905"/>
      <c r="J26" s="1895"/>
      <c r="K26" s="1906"/>
      <c r="L26" s="1906"/>
      <c r="M26" s="1906"/>
      <c r="N26" s="1906"/>
      <c r="O26" s="1906"/>
      <c r="P26" s="1906"/>
      <c r="Q26" s="1906"/>
      <c r="S26" s="1014" t="s">
        <v>369</v>
      </c>
      <c r="T26" s="1018">
        <f t="shared" ref="T26:Z26" ca="1" si="11">K39</f>
        <v>8.5192260645039875E-2</v>
      </c>
      <c r="U26" s="1018">
        <f t="shared" ca="1" si="11"/>
        <v>7.7830243633743107E-2</v>
      </c>
      <c r="V26" s="1018">
        <f t="shared" ca="1" si="11"/>
        <v>7.3427438831649081E-2</v>
      </c>
      <c r="W26" s="1018">
        <f t="shared" ca="1" si="11"/>
        <v>2.789528712980039E-3</v>
      </c>
      <c r="X26" s="1018">
        <f t="shared" ca="1" si="11"/>
        <v>5.3003942339139819E-2</v>
      </c>
      <c r="Y26" s="1018">
        <f t="shared" ca="1" si="11"/>
        <v>8.7693034560660341E-2</v>
      </c>
      <c r="Z26" s="1018">
        <f t="shared" ca="1" si="11"/>
        <v>9.7786178342009977E-2</v>
      </c>
      <c r="AA26" s="1016" t="s">
        <v>350</v>
      </c>
      <c r="AB26" s="1017">
        <f>VLOOKUP(AA26,$A$3:$E$20,MATCH(AB$23,$A$2:$E$2,0),FALSE)</f>
        <v>3923.5796489780009</v>
      </c>
      <c r="AC26" s="1017">
        <f t="shared" si="9"/>
        <v>4903.6371743759992</v>
      </c>
      <c r="AD26" s="1017">
        <f t="shared" si="9"/>
        <v>4101.7144249390021</v>
      </c>
      <c r="AE26" s="1017">
        <f t="shared" si="9"/>
        <v>167.82915493899793</v>
      </c>
      <c r="AF26" s="1017">
        <f>VLOOKUP($AA26,$A$3:$F$20,MATCH(AF$23,$A$2:$F$2,0),FALSE)</f>
        <v>3733.2882287200027</v>
      </c>
      <c r="AG26" s="1017">
        <f t="shared" ca="1" si="10"/>
        <v>6797.0562489328258</v>
      </c>
      <c r="AH26" s="1017">
        <f t="shared" ca="1" si="10"/>
        <v>8686.9070053665509</v>
      </c>
      <c r="AI26" s="1017"/>
      <c r="AJ26" s="1017"/>
      <c r="AK26" s="1017"/>
      <c r="AL26" s="1017"/>
      <c r="AR26" s="1003">
        <v>44651</v>
      </c>
      <c r="AS26" s="999">
        <v>110500</v>
      </c>
      <c r="AT26" s="999">
        <f t="shared" ca="1" si="2"/>
        <v>20100</v>
      </c>
    </row>
    <row r="27" spans="1:49" ht="15" customHeight="1">
      <c r="A27" s="1895" t="s">
        <v>370</v>
      </c>
      <c r="B27" s="1897">
        <f ca="1">VLOOKUP($A27,FS!$B$2:$P$326,MATCH(B$2,FS!$B$1:$AD$1,0),FALSE)</f>
        <v>894.62927925400004</v>
      </c>
      <c r="C27" s="1897">
        <f ca="1">VLOOKUP($A27,FS!$B$2:$P$326,MATCH(C$2,FS!$B$1:$AD$1,0),FALSE)</f>
        <v>1247.2614078869999</v>
      </c>
      <c r="D27" s="1897">
        <f ca="1">VLOOKUP($A27,FS!$B$2:$AD$326,MATCH(D$2,FS!$B$1:$AD$1,0),FALSE)</f>
        <v>742.89830817699999</v>
      </c>
      <c r="E27" s="1897">
        <f ca="1">VLOOKUP($A27,FS!$B$2:$AD$326,MATCH(E$2,FS!$B$1:$AD$1,0),FALSE)</f>
        <v>661.17731466199996</v>
      </c>
      <c r="F27" s="1897">
        <f ca="1">VLOOKUP($A27,FS!$B$2:$AD$326,MATCH(F$2,FS!$B$1:$AD$1,0),FALSE)</f>
        <v>544.07677151500002</v>
      </c>
      <c r="G27" s="1897">
        <f ca="1">VLOOKUP($A27,FS!$B$2:$AD$326,MATCH(G$2,FS!$B$1:$AD$1,0),FALSE)</f>
        <v>646.34067571780008</v>
      </c>
      <c r="H27" s="1897">
        <f ca="1">VLOOKUP($A27,FS!$B$2:$AD$326,MATCH(H$2,FS!$B$1:$AD$1,0),FALSE)</f>
        <v>785.68199297485899</v>
      </c>
      <c r="I27" s="1901"/>
      <c r="J27" s="1907" t="s">
        <v>371</v>
      </c>
      <c r="K27" s="1906"/>
      <c r="L27" s="1906"/>
      <c r="M27" s="1906"/>
      <c r="N27" s="1906"/>
      <c r="O27" s="1906"/>
      <c r="P27" s="1906"/>
      <c r="Q27" s="1906"/>
      <c r="S27" s="1014" t="s">
        <v>372</v>
      </c>
      <c r="T27" s="1018">
        <f t="shared" ref="T27:Z27" ca="1" si="12">K38</f>
        <v>0.25329758970295913</v>
      </c>
      <c r="U27" s="1018">
        <f t="shared" ca="1" si="12"/>
        <v>0.24050547720068927</v>
      </c>
      <c r="V27" s="1018">
        <f t="shared" ca="1" si="12"/>
        <v>0.17130467201351224</v>
      </c>
      <c r="W27" s="1018">
        <f t="shared" ca="1" si="12"/>
        <v>7.1777639345075826E-3</v>
      </c>
      <c r="X27" s="1018">
        <f t="shared" ca="1" si="12"/>
        <v>0.1323492087578749</v>
      </c>
      <c r="Y27" s="1018">
        <f t="shared" ca="1" si="12"/>
        <v>0.20734330988894184</v>
      </c>
      <c r="Z27" s="1018">
        <f t="shared" ca="1" si="12"/>
        <v>0.21607965967536477</v>
      </c>
      <c r="AA27" s="1016" t="s">
        <v>356</v>
      </c>
      <c r="AB27" s="1017">
        <f ca="1">VLOOKUP(AA27,$A$3:$E$20,MATCH(AB$23,$A$2:$E$2,0),FALSE)</f>
        <v>2678.8238457955367</v>
      </c>
      <c r="AC27" s="1017">
        <f t="shared" ca="1" si="9"/>
        <v>3337.571729856917</v>
      </c>
      <c r="AD27" s="1017">
        <f t="shared" ca="1" si="9"/>
        <v>2791.885420534511</v>
      </c>
      <c r="AE27" s="1017">
        <f t="shared" ca="1" si="9"/>
        <v>114.18068064970186</v>
      </c>
      <c r="AF27" s="1017">
        <f ca="1">VLOOKUP($AA27,$A$3:$F$20,MATCH(AF$23,$A$2:$F$2,0),FALSE)</f>
        <v>2534.5441115047679</v>
      </c>
      <c r="AG27" s="1017">
        <f t="shared" ca="1" si="10"/>
        <v>4601.7050634290981</v>
      </c>
      <c r="AH27" s="1017">
        <f t="shared" ca="1" si="10"/>
        <v>5856.3817903066083</v>
      </c>
      <c r="AI27" s="1017"/>
      <c r="AJ27" s="1017"/>
      <c r="AK27" s="1017"/>
      <c r="AL27" s="1017"/>
      <c r="AR27" s="1003">
        <v>44650</v>
      </c>
      <c r="AS27" s="999">
        <v>108300</v>
      </c>
      <c r="AT27" s="999">
        <f t="shared" ca="1" si="2"/>
        <v>20100</v>
      </c>
    </row>
    <row r="28" spans="1:49" ht="15" customHeight="1">
      <c r="A28" s="1907" t="s">
        <v>373</v>
      </c>
      <c r="B28" s="1908">
        <f ca="1">VLOOKUP($A28,FS!$B$2:$P$326,MATCH(B$2,FS!$B$1:$AD$1,0),FALSE)</f>
        <v>37317.233970267</v>
      </c>
      <c r="C28" s="1908">
        <f ca="1">VLOOKUP($A28,FS!$B$2:$P$326,MATCH(C$2,FS!$B$1:$AD$1,0),FALSE)</f>
        <v>51955.257770657001</v>
      </c>
      <c r="D28" s="1908">
        <f ca="1">VLOOKUP($A28,FS!$B$2:$AD$326,MATCH(D$2,FS!$B$1:$AD$1,0),FALSE)</f>
        <v>44631.140049887996</v>
      </c>
      <c r="E28" s="1908">
        <f ca="1">VLOOKUP($A28,FS!$B$2:$AD$326,MATCH(E$2,FS!$B$1:$AD$1,0),FALSE)</f>
        <v>51946.979209618003</v>
      </c>
      <c r="F28" s="1908">
        <f ca="1">VLOOKUP($A28,FS!$B$2:$AD$326,MATCH(F$2,FS!$B$1:$AD$1,0),FALSE)</f>
        <v>65774.193760868002</v>
      </c>
      <c r="G28" s="1908">
        <f ca="1">VLOOKUP($A28,FS!$B$2:$AD$326,MATCH(G$2,FS!$B$1:$AD$1,0),FALSE)</f>
        <v>73038.450333421657</v>
      </c>
      <c r="H28" s="1908">
        <f ca="1">VLOOKUP($A28,FS!$B$2:$AD$326,MATCH(H$2,FS!$B$1:$AD$1,0),FALSE)</f>
        <v>84003.388351131158</v>
      </c>
      <c r="I28" s="1895"/>
      <c r="J28" s="1895" t="s">
        <v>374</v>
      </c>
      <c r="K28" s="1906">
        <f ca="1">IFERROR(VLOOKUP($J28,FS!$B$2:$AD$326,MATCH(K$2,FS!$B$1:$AD$1,0),FALSE),"")</f>
        <v>0.36392649903456648</v>
      </c>
      <c r="L28" s="1906">
        <f ca="1">IFERROR(VLOOKUP($J28,FS!$B$2:$AD$326,MATCH(L$2,FS!$B$1:$AD$1,0),FALSE),"")</f>
        <v>0.3914074070797543</v>
      </c>
      <c r="M28" s="1906">
        <f ca="1">IFERROR(VLOOKUP($J28,FS!$B$2:$AD$326,MATCH(M$2,FS!$B$1:$AD$1,0),FALSE),"")</f>
        <v>0.29711871414954066</v>
      </c>
      <c r="N28" s="1906">
        <f ca="1">IFERROR(VLOOKUP($J28,FS!$B$2:$AD$326,MATCH(N$2,FS!$B$1:$AD$1,0),FALSE),"")</f>
        <v>0.41781198183894624</v>
      </c>
      <c r="O28" s="1906">
        <f ca="1">IFERROR(VLOOKUP($J28,FS!$B$2:$AD$326,MATCH(O$2,FS!$B$1:$AD$1,0),FALSE),"")</f>
        <v>0.38878878331327738</v>
      </c>
      <c r="P28" s="1906">
        <f ca="1">IFERROR(VLOOKUP($J28,FS!$B$2:$AD$326,MATCH(P$2,FS!$B$1:$AD$1,0),FALSE),"")</f>
        <v>0.35692528169272736</v>
      </c>
      <c r="Q28" s="1906">
        <f ca="1">IFERROR(VLOOKUP($J28,FS!$B$2:$AD$326,MATCH(Q$2,FS!$B$1:$AD$1,0),FALSE),"")</f>
        <v>0.3131643226118091</v>
      </c>
      <c r="Y28" s="1020"/>
      <c r="AA28" s="1016" t="s">
        <v>375</v>
      </c>
      <c r="AB28" s="1021">
        <f ca="1">FS!K108</f>
        <v>-0.50181466686630283</v>
      </c>
      <c r="AC28" s="1021">
        <f ca="1">FS!L108</f>
        <v>0.2459093699256476</v>
      </c>
      <c r="AD28" s="1021">
        <f ca="1">FS!M108</f>
        <v>-0.16349800198775044</v>
      </c>
      <c r="AE28" s="1021">
        <f ca="1">FS!N108</f>
        <v>-0.9591026623765091</v>
      </c>
      <c r="AF28" s="1017" t="e">
        <f>VLOOKUP($AA28,$A$3:$F$20,MATCH(AF$23,$A$2:$F$2,0),FALSE)</f>
        <v>#N/A</v>
      </c>
      <c r="AG28" s="1017" t="e">
        <f t="shared" si="10"/>
        <v>#N/A</v>
      </c>
      <c r="AH28" s="1017" t="e">
        <f t="shared" si="10"/>
        <v>#N/A</v>
      </c>
      <c r="AI28" s="1017"/>
      <c r="AJ28" s="1017"/>
      <c r="AK28" s="1017"/>
      <c r="AL28" s="1017"/>
      <c r="AR28" s="1003">
        <v>44649</v>
      </c>
      <c r="AS28" s="999">
        <v>110500</v>
      </c>
      <c r="AT28" s="999">
        <f t="shared" ca="1" si="2"/>
        <v>20100</v>
      </c>
    </row>
    <row r="29" spans="1:49" ht="15" customHeight="1">
      <c r="A29" s="1895" t="s">
        <v>376</v>
      </c>
      <c r="B29" s="1897">
        <f ca="1">VLOOKUP($A29,FS!$B$2:$P$326,MATCH(B$2,FS!$B$1:$AD$1,0),FALSE)</f>
        <v>7294.9616661359996</v>
      </c>
      <c r="C29" s="1897">
        <f ca="1">VLOOKUP($A29,FS!$B$2:$P$326,MATCH(C$2,FS!$B$1:$AD$1,0),FALSE)</f>
        <v>9647.1688732319999</v>
      </c>
      <c r="D29" s="1897">
        <f ca="1">VLOOKUP($A29,FS!$B$2:$AD$326,MATCH(D$2,FS!$B$1:$AD$1,0),FALSE)</f>
        <v>9727.5029114400004</v>
      </c>
      <c r="E29" s="1897">
        <f ca="1">VLOOKUP($A29,FS!$B$2:$AD$326,MATCH(E$2,FS!$B$1:$AD$1,0),FALSE)</f>
        <v>6500.1356089139999</v>
      </c>
      <c r="F29" s="1897">
        <f ca="1">VLOOKUP($A29,FS!$B$2:$AD$326,MATCH(F$2,FS!$B$1:$AD$1,0),FALSE)</f>
        <v>3586.6286640449998</v>
      </c>
      <c r="G29" s="1897">
        <f>VLOOKUP($A29,FS!$B$2:$AD$326,MATCH(G$2,FS!$B$1:$AD$1,0),FALSE)</f>
        <v>3161.1499438606556</v>
      </c>
      <c r="H29" s="1897">
        <f>VLOOKUP($A29,FS!$B$2:$AD$326,MATCH(H$2,FS!$B$1:$AD$1,0),FALSE)</f>
        <v>3084.1128689527918</v>
      </c>
      <c r="I29" s="1901"/>
      <c r="J29" s="1895" t="s">
        <v>377</v>
      </c>
      <c r="K29" s="1906">
        <f ca="1">IFERROR(VLOOKUP($J29,FS!$B$2:$AD$326,MATCH(K$2,FS!$B$1:$AD$1,0),FALSE),"")</f>
        <v>1.0820431848683318</v>
      </c>
      <c r="L29" s="1906">
        <f ca="1">IFERROR(VLOOKUP($J29,FS!$B$2:$AD$326,MATCH(L$2,FS!$B$1:$AD$1,0),FALSE),"")</f>
        <v>1.209499300330964</v>
      </c>
      <c r="M29" s="1906">
        <f ca="1">IFERROR(VLOOKUP($J29,FS!$B$2:$AD$326,MATCH(M$2,FS!$B$1:$AD$1,0),FALSE),"")</f>
        <v>0.69317171736249239</v>
      </c>
      <c r="N29" s="1906">
        <f ca="1">IFERROR(VLOOKUP($J29,FS!$B$2:$AD$326,MATCH(N$2,FS!$B$1:$AD$1,0),FALSE),"")</f>
        <v>1.075097048193113</v>
      </c>
      <c r="O29" s="1906">
        <f ca="1">IFERROR(VLOOKUP($J29,FS!$B$2:$AD$326,MATCH(O$2,FS!$B$1:$AD$1,0),FALSE),"")</f>
        <v>0.97079359712933</v>
      </c>
      <c r="P29" s="1906">
        <f ca="1">IFERROR(VLOOKUP($J29,FS!$B$2:$AD$326,MATCH(P$2,FS!$B$1:$AD$1,0),FALSE),"")</f>
        <v>0.84392186517414269</v>
      </c>
      <c r="Q29" s="1906">
        <f ca="1">IFERROR(VLOOKUP($J29,FS!$B$2:$AD$326,MATCH(Q$2,FS!$B$1:$AD$1,0),FALSE),"")</f>
        <v>0.69200414005089272</v>
      </c>
      <c r="Y29" s="1020"/>
      <c r="AA29" s="1016" t="s">
        <v>378</v>
      </c>
      <c r="AB29" s="1017" t="e">
        <f>VLOOKUP(AA29,$A$3:$E$20,MATCH(AB$23,$A$2:$E$2,0),FALSE)</f>
        <v>#N/A</v>
      </c>
      <c r="AC29" s="1015">
        <f t="shared" ref="AC29:AH29" ca="1" si="13">K29</f>
        <v>1.0820431848683318</v>
      </c>
      <c r="AD29" s="1015">
        <f t="shared" ca="1" si="13"/>
        <v>1.209499300330964</v>
      </c>
      <c r="AE29" s="1015">
        <f t="shared" ca="1" si="13"/>
        <v>0.69317171736249239</v>
      </c>
      <c r="AF29" s="1015">
        <f t="shared" ca="1" si="13"/>
        <v>1.075097048193113</v>
      </c>
      <c r="AG29" s="1015">
        <f t="shared" ca="1" si="13"/>
        <v>0.97079359712933</v>
      </c>
      <c r="AH29" s="1015">
        <f t="shared" ca="1" si="13"/>
        <v>0.84392186517414269</v>
      </c>
      <c r="AI29" s="1015"/>
      <c r="AJ29" s="1015"/>
      <c r="AK29" s="1015"/>
      <c r="AL29" s="1015"/>
      <c r="AR29" s="1003">
        <v>44648</v>
      </c>
      <c r="AS29" s="999">
        <v>108200</v>
      </c>
      <c r="AT29" s="999">
        <f t="shared" ca="1" si="2"/>
        <v>20100</v>
      </c>
    </row>
    <row r="30" spans="1:49" ht="15" customHeight="1">
      <c r="A30" s="1895" t="s">
        <v>379</v>
      </c>
      <c r="B30" s="1897">
        <f ca="1">VLOOKUP($A30,FS!$B$2:$P$326,MATCH(B$2,FS!$B$1:$AD$1,0),FALSE)</f>
        <v>-5695.9921249930003</v>
      </c>
      <c r="C30" s="1897">
        <f ca="1">VLOOKUP($A30,FS!$B$2:$P$326,MATCH(C$2,FS!$B$1:$AD$1,0),FALSE)</f>
        <v>-8420.1329161350004</v>
      </c>
      <c r="D30" s="1897">
        <f ca="1">VLOOKUP($A30,FS!$B$2:$AD$326,MATCH(D$2,FS!$B$1:$AD$1,0),FALSE)</f>
        <v>-11187.963413617999</v>
      </c>
      <c r="E30" s="1897">
        <f ca="1">VLOOKUP($A30,FS!$B$2:$AD$326,MATCH(E$2,FS!$B$1:$AD$1,0),FALSE)</f>
        <v>-13707.967349864</v>
      </c>
      <c r="F30" s="1897">
        <f ca="1">VLOOKUP($A30,FS!$B$2:$AD$326,MATCH(F$2,FS!$B$1:$AD$1,0),FALSE)</f>
        <v>-15651.465285845999</v>
      </c>
      <c r="G30" s="1897">
        <f>VLOOKUP($A30,FS!$B$2:$AD$326,MATCH(G$2,FS!$B$1:$AD$1,0),FALSE)</f>
        <v>-18446.576070218867</v>
      </c>
      <c r="H30" s="1897">
        <f>VLOOKUP($A30,FS!$B$2:$AD$326,MATCH(H$2,FS!$B$1:$AD$1,0),FALSE)</f>
        <v>-20790.927455052515</v>
      </c>
      <c r="I30" s="1909"/>
      <c r="J30" s="1895"/>
      <c r="K30" s="1906"/>
      <c r="L30" s="1906"/>
      <c r="M30" s="1906"/>
      <c r="N30" s="1906"/>
      <c r="O30" s="1906"/>
      <c r="P30" s="1906"/>
      <c r="Q30" s="1906"/>
      <c r="S30" s="998"/>
      <c r="T30" s="998"/>
      <c r="U30" s="998"/>
      <c r="V30" s="998"/>
      <c r="W30" s="998"/>
      <c r="X30" s="998"/>
      <c r="Y30" s="998"/>
      <c r="Z30" s="998"/>
      <c r="AA30" s="998"/>
      <c r="AB30" s="998"/>
      <c r="AC30" s="998"/>
      <c r="AR30" s="1003">
        <v>44645</v>
      </c>
      <c r="AS30" s="999">
        <v>108200</v>
      </c>
      <c r="AT30" s="999">
        <f t="shared" ca="1" si="2"/>
        <v>20100</v>
      </c>
    </row>
    <row r="31" spans="1:49" ht="15" customHeight="1">
      <c r="A31" s="1895" t="s">
        <v>380</v>
      </c>
      <c r="B31" s="1897">
        <f ca="1">VLOOKUP($A31,FS!$B$2:$P$326,MATCH(B$2,FS!$B$1:$AD$1,0),FALSE)</f>
        <v>52.757540272999996</v>
      </c>
      <c r="C31" s="1897">
        <f ca="1">VLOOKUP($A31,FS!$B$2:$P$326,MATCH(C$2,FS!$B$1:$AD$1,0),FALSE)</f>
        <v>0</v>
      </c>
      <c r="D31" s="1897">
        <f ca="1">VLOOKUP($A31,FS!$B$2:$AD$326,MATCH(D$2,FS!$B$1:$AD$1,0),FALSE)</f>
        <v>241.03484</v>
      </c>
      <c r="E31" s="1897">
        <f ca="1">VLOOKUP($A31,FS!$B$2:$AD$326,MATCH(E$2,FS!$B$1:$AD$1,0),FALSE)</f>
        <v>746.63225272900002</v>
      </c>
      <c r="F31" s="1897">
        <f ca="1">VLOOKUP($A31,FS!$B$2:$AD$326,MATCH(F$2,FS!$B$1:$AD$1,0),FALSE)</f>
        <v>242.03579783000001</v>
      </c>
      <c r="G31" s="1897">
        <f ca="1">VLOOKUP($A31,FS!$B$2:$AD$326,MATCH(G$2,FS!$B$1:$AD$1,0),FALSE)</f>
        <v>242.03579783000001</v>
      </c>
      <c r="H31" s="1897">
        <f ca="1">VLOOKUP($A31,FS!$B$2:$AD$326,MATCH(H$2,FS!$B$1:$AD$1,0),FALSE)</f>
        <v>242.03579783000001</v>
      </c>
      <c r="I31" s="1909"/>
      <c r="J31" s="1895" t="s">
        <v>381</v>
      </c>
      <c r="K31" s="1910">
        <f ca="1">IFERROR(VLOOKUP($J31,FS!$B$2:$AD$326,MATCH(K$2,FS!$B$1:$AD$1,0),FALSE),"")</f>
        <v>64.562967470282047</v>
      </c>
      <c r="L31" s="1910">
        <f ca="1">IFERROR(VLOOKUP($J31,FS!$B$2:$AD$326,MATCH(L$2,FS!$B$1:$AD$1,0),FALSE),"")</f>
        <v>85.757281684057489</v>
      </c>
      <c r="M31" s="1910">
        <f ca="1">IFERROR(VLOOKUP($J31,FS!$B$2:$AD$326,MATCH(M$2,FS!$B$1:$AD$1,0),FALSE),"")</f>
        <v>69.61781332202942</v>
      </c>
      <c r="N31" s="1910">
        <f ca="1">IFERROR(VLOOKUP($J31,FS!$B$2:$AD$326,MATCH(N$2,FS!$B$1:$AD$1,0),FALSE),"")</f>
        <v>66.808407465023265</v>
      </c>
      <c r="O31" s="1910">
        <f ca="1">IFERROR(VLOOKUP($J31,FS!$B$2:$AD$326,MATCH(O$2,FS!$B$1:$AD$1,0),FALSE),"")</f>
        <v>60.042897222868262</v>
      </c>
      <c r="P31" s="1910">
        <f ca="1">IFERROR(VLOOKUP($J31,FS!$B$2:$AD$326,MATCH(P$2,FS!$B$1:$AD$1,0),FALSE),"")</f>
        <v>54.942897222868261</v>
      </c>
      <c r="Q31" s="1910">
        <f ca="1">IFERROR(VLOOKUP($J31,FS!$B$2:$AD$326,MATCH(Q$2,FS!$B$1:$AD$1,0),FALSE),"")</f>
        <v>54.942897222868261</v>
      </c>
      <c r="S31" s="998"/>
      <c r="T31" s="998"/>
      <c r="U31" s="998"/>
      <c r="V31" s="998"/>
      <c r="W31" s="998"/>
      <c r="X31" s="998"/>
      <c r="Y31" s="998"/>
      <c r="Z31" s="998"/>
      <c r="AA31" s="998"/>
      <c r="AB31" s="998"/>
      <c r="AC31" s="998"/>
      <c r="AR31" s="1003">
        <v>44644</v>
      </c>
      <c r="AS31" s="999">
        <v>107000</v>
      </c>
      <c r="AT31" s="999">
        <f t="shared" ca="1" si="2"/>
        <v>20100</v>
      </c>
    </row>
    <row r="32" spans="1:49" ht="15" customHeight="1">
      <c r="A32" s="1895" t="s">
        <v>382</v>
      </c>
      <c r="B32" s="1897">
        <f ca="1">VLOOKUP($A32,FS!$B$2:$P$326,MATCH(B$2,FS!$B$1:$AD$1,0),FALSE)</f>
        <v>793.81315555100002</v>
      </c>
      <c r="C32" s="1897">
        <f ca="1">VLOOKUP($A32,FS!$B$2:$P$326,MATCH(C$2,FS!$B$1:$AD$1,0),FALSE)</f>
        <v>806.89105241699997</v>
      </c>
      <c r="D32" s="1897">
        <f ca="1">VLOOKUP($A32,FS!$B$2:$AD$326,MATCH(D$2,FS!$B$1:$AD$1,0),FALSE)</f>
        <v>670.59008197900005</v>
      </c>
      <c r="E32" s="1897">
        <f ca="1">VLOOKUP($A32,FS!$B$2:$AD$326,MATCH(E$2,FS!$B$1:$AD$1,0),FALSE)</f>
        <v>452.06753147000001</v>
      </c>
      <c r="F32" s="1897">
        <f ca="1">VLOOKUP($A32,FS!$B$2:$AD$326,MATCH(F$2,FS!$B$1:$AD$1,0),FALSE)</f>
        <v>201.617281507</v>
      </c>
      <c r="G32" s="1897">
        <f ca="1">VLOOKUP($A32,FS!$B$2:$AD$326,MATCH(G$2,FS!$B$1:$AD$1,0),FALSE)</f>
        <v>201.617281507</v>
      </c>
      <c r="H32" s="1897">
        <f ca="1">VLOOKUP($A32,FS!$B$2:$AD$326,MATCH(H$2,FS!$B$1:$AD$1,0),FALSE)</f>
        <v>201.617281507</v>
      </c>
      <c r="I32" s="1909"/>
      <c r="J32" s="1895" t="s">
        <v>383</v>
      </c>
      <c r="K32" s="1910">
        <f ca="1">IFERROR(VLOOKUP($J32,FS!$B$2:$AD$326,MATCH(K$2,FS!$B$1:$AD$1,0),FALSE),"")</f>
        <v>5.302914148789819</v>
      </c>
      <c r="L32" s="1910">
        <f ca="1">IFERROR(VLOOKUP($J32,FS!$B$2:$AD$326,MATCH(L$2,FS!$B$1:$AD$1,0),FALSE),"")</f>
        <v>9.2972477437688372</v>
      </c>
      <c r="M32" s="1910">
        <f ca="1">IFERROR(VLOOKUP($J32,FS!$B$2:$AD$326,MATCH(M$2,FS!$B$1:$AD$1,0),FALSE),"")</f>
        <v>8.3231557202911262</v>
      </c>
      <c r="N32" s="1910">
        <f ca="1">IFERROR(VLOOKUP($J32,FS!$B$2:$AD$326,MATCH(N$2,FS!$B$1:$AD$1,0),FALSE),"")</f>
        <v>15.792295397949998</v>
      </c>
      <c r="O32" s="1910">
        <f ca="1">IFERROR(VLOOKUP($J32,FS!$B$2:$AD$326,MATCH(O$2,FS!$B$1:$AD$1,0),FALSE),"")</f>
        <v>23.654917302451402</v>
      </c>
      <c r="P32" s="1910">
        <f ca="1">IFERROR(VLOOKUP($J32,FS!$B$2:$AD$326,MATCH(P$2,FS!$B$1:$AD$1,0),FALSE),"")</f>
        <v>23.654917302451402</v>
      </c>
      <c r="Q32" s="1910">
        <f ca="1">IFERROR(VLOOKUP($J32,FS!$B$2:$AD$326,MATCH(Q$2,FS!$B$1:$AD$1,0),FALSE),"")</f>
        <v>23.654917302451402</v>
      </c>
      <c r="S32" s="998"/>
      <c r="T32" s="998"/>
      <c r="U32" s="998"/>
      <c r="V32" s="998"/>
      <c r="W32" s="998"/>
      <c r="X32" s="998"/>
      <c r="Y32" s="998"/>
      <c r="Z32" s="998"/>
      <c r="AA32" s="998"/>
      <c r="AB32" s="998"/>
      <c r="AC32" s="998"/>
      <c r="AR32" s="1003">
        <v>44643</v>
      </c>
      <c r="AS32" s="999">
        <v>105100</v>
      </c>
      <c r="AT32" s="999">
        <f t="shared" ca="1" si="2"/>
        <v>20100</v>
      </c>
    </row>
    <row r="33" spans="1:46" ht="15" customHeight="1">
      <c r="A33" s="1907" t="s">
        <v>384</v>
      </c>
      <c r="B33" s="1908">
        <f ca="1">VLOOKUP($A33,FS!$B$2:$P$326,MATCH(B$2,FS!$B$1:$AD$1,0),FALSE)</f>
        <v>8713.6459821869994</v>
      </c>
      <c r="C33" s="1908">
        <f ca="1">VLOOKUP($A33,FS!$B$2:$P$326,MATCH(C$2,FS!$B$1:$AD$1,0),FALSE)</f>
        <v>11016.147044285</v>
      </c>
      <c r="D33" s="1908">
        <f ca="1">VLOOKUP($A33,FS!$B$2:$AD$326,MATCH(D$2,FS!$B$1:$AD$1,0),FALSE)</f>
        <v>11203.069784187001</v>
      </c>
      <c r="E33" s="1908">
        <f ca="1">VLOOKUP($A33,FS!$B$2:$AD$326,MATCH(E$2,FS!$B$1:$AD$1,0),FALSE)</f>
        <v>8160.8992366770008</v>
      </c>
      <c r="F33" s="1908">
        <f ca="1">VLOOKUP($A33,FS!$B$2:$AD$326,MATCH(F$2,FS!$B$1:$AD$1,0),FALSE)</f>
        <v>4444.5159691939998</v>
      </c>
      <c r="G33" s="1908">
        <f ca="1">VLOOKUP($A33,FS!$B$2:$AD$326,MATCH(G$2,FS!$B$1:$AD$1,0),FALSE)</f>
        <v>4019.0372490096552</v>
      </c>
      <c r="H33" s="1908">
        <f ca="1">VLOOKUP($A33,FS!$B$2:$AD$326,MATCH(H$2,FS!$B$1:$AD$1,0),FALSE)</f>
        <v>3942.0001741017913</v>
      </c>
      <c r="I33" s="1909"/>
      <c r="J33" s="1895" t="s">
        <v>385</v>
      </c>
      <c r="K33" s="1910">
        <f ca="1">IFERROR(VLOOKUP($J33,FS!$B$2:$AD$326,MATCH(K$2,FS!$B$1:$AD$1,0),FALSE),"")</f>
        <v>37.660767233336976</v>
      </c>
      <c r="L33" s="1910">
        <f ca="1">IFERROR(VLOOKUP($J33,FS!$B$2:$AD$326,MATCH(L$2,FS!$B$1:$AD$1,0),FALSE),"")</f>
        <v>46.635954505568613</v>
      </c>
      <c r="M33" s="1910">
        <f ca="1">IFERROR(VLOOKUP($J33,FS!$B$2:$AD$326,MATCH(M$2,FS!$B$1:$AD$1,0),FALSE),"")</f>
        <v>31.107032761298615</v>
      </c>
      <c r="N33" s="1910">
        <f ca="1">IFERROR(VLOOKUP($J33,FS!$B$2:$AD$326,MATCH(N$2,FS!$B$1:$AD$1,0),FALSE),"")</f>
        <v>30.215177207637232</v>
      </c>
      <c r="O33" s="1910">
        <f ca="1">IFERROR(VLOOKUP($J33,FS!$B$2:$AD$326,MATCH(O$2,FS!$B$1:$AD$1,0),FALSE),"")</f>
        <v>31.216149702993171</v>
      </c>
      <c r="P33" s="1910">
        <f ca="1">IFERROR(VLOOKUP($J33,FS!$B$2:$AD$326,MATCH(P$2,FS!$B$1:$AD$1,0),FALSE),"")</f>
        <v>31.216149702993171</v>
      </c>
      <c r="Q33" s="1910">
        <f ca="1">IFERROR(VLOOKUP($J33,FS!$B$2:$AD$326,MATCH(Q$2,FS!$B$1:$AD$1,0),FALSE),"")</f>
        <v>31.216149702993171</v>
      </c>
      <c r="S33" s="998"/>
      <c r="T33" s="998"/>
      <c r="U33" s="998"/>
      <c r="V33" s="998"/>
      <c r="W33" s="998"/>
      <c r="X33" s="998"/>
      <c r="Y33" s="998"/>
      <c r="Z33" s="998"/>
      <c r="AA33" s="998"/>
      <c r="AB33" s="998"/>
      <c r="AC33" s="998"/>
      <c r="AR33" s="1003">
        <v>44642</v>
      </c>
      <c r="AS33" s="999">
        <v>107000</v>
      </c>
      <c r="AT33" s="999">
        <f t="shared" ca="1" si="2"/>
        <v>20100</v>
      </c>
    </row>
    <row r="34" spans="1:46" ht="15" customHeight="1">
      <c r="A34" s="1907" t="s">
        <v>386</v>
      </c>
      <c r="B34" s="1908">
        <f ca="1">VLOOKUP($A34,FS!$B$2:$P$326,MATCH(B$2,FS!$B$1:$AD$1,0),FALSE)</f>
        <v>46030.879952454001</v>
      </c>
      <c r="C34" s="1908">
        <f ca="1">VLOOKUP($A34,FS!$B$2:$P$326,MATCH(C$2,FS!$B$1:$AD$1,0),FALSE)</f>
        <v>62971.404814941998</v>
      </c>
      <c r="D34" s="1908">
        <f ca="1">VLOOKUP($A34,FS!$B$2:$AD$326,MATCH(D$2,FS!$B$1:$AD$1,0),FALSE)</f>
        <v>55834.209834074994</v>
      </c>
      <c r="E34" s="1908">
        <f ca="1">VLOOKUP($A34,FS!$B$2:$AD$326,MATCH(E$2,FS!$B$1:$AD$1,0),FALSE)</f>
        <v>60107.878446295006</v>
      </c>
      <c r="F34" s="1908">
        <f ca="1">VLOOKUP($A34,FS!$B$2:$AD$326,MATCH(F$2,FS!$B$1:$AD$1,0),FALSE)</f>
        <v>70218.709730062008</v>
      </c>
      <c r="G34" s="1908">
        <f ca="1">VLOOKUP($A34,FS!$B$2:$AD$326,MATCH(G$2,FS!$B$1:$AD$1,0),FALSE)</f>
        <v>77057.487582431306</v>
      </c>
      <c r="H34" s="1908">
        <f ca="1">VLOOKUP($A34,FS!$B$2:$AD$326,MATCH(H$2,FS!$B$1:$AD$1,0),FALSE)</f>
        <v>87945.388525232949</v>
      </c>
      <c r="I34" s="1901"/>
      <c r="J34" s="1895" t="s">
        <v>387</v>
      </c>
      <c r="K34" s="1910">
        <f ca="1">IFERROR(VLOOKUP($J34,FS!$B$2:$AD$326,MATCH(K$2,FS!$B$1:$AD$1,0),FALSE),"")</f>
        <v>32.205114385734895</v>
      </c>
      <c r="L34" s="1910">
        <f ca="1">IFERROR(VLOOKUP($J34,FS!$B$2:$AD$326,MATCH(L$2,FS!$B$1:$AD$1,0),FALSE),"")</f>
        <v>48.418574922257712</v>
      </c>
      <c r="M34" s="1910">
        <f ca="1">IFERROR(VLOOKUP($J34,FS!$B$2:$AD$326,MATCH(M$2,FS!$B$1:$AD$1,0),FALSE),"")</f>
        <v>46.833936281021934</v>
      </c>
      <c r="N34" s="1910">
        <f ca="1">IFERROR(VLOOKUP($J34,FS!$B$2:$AD$326,MATCH(N$2,FS!$B$1:$AD$1,0),FALSE),"")</f>
        <v>52.385525655336032</v>
      </c>
      <c r="O34" s="1910">
        <f ca="1">IFERROR(VLOOKUP($J34,FS!$B$2:$AD$326,MATCH(O$2,FS!$B$1:$AD$1,0),FALSE),"")</f>
        <v>52.481664822326501</v>
      </c>
      <c r="P34" s="1910">
        <f ca="1">IFERROR(VLOOKUP($J34,FS!$B$2:$AD$326,MATCH(P$2,FS!$B$1:$AD$1,0),FALSE),"")</f>
        <v>47.381664822326492</v>
      </c>
      <c r="Q34" s="1910">
        <f ca="1">IFERROR(VLOOKUP($J34,FS!$B$2:$AD$326,MATCH(Q$2,FS!$B$1:$AD$1,0),FALSE),"")</f>
        <v>47.381664822326492</v>
      </c>
      <c r="S34" s="998"/>
      <c r="T34" s="998"/>
      <c r="U34" s="998"/>
      <c r="V34" s="998"/>
      <c r="W34" s="998"/>
      <c r="X34" s="998"/>
      <c r="Y34" s="998"/>
      <c r="Z34" s="998"/>
      <c r="AA34" s="998"/>
      <c r="AB34" s="998"/>
      <c r="AC34" s="998"/>
      <c r="AR34" s="1003">
        <v>44641</v>
      </c>
      <c r="AS34" s="999">
        <v>105600</v>
      </c>
      <c r="AT34" s="999">
        <f t="shared" ca="1" si="2"/>
        <v>20100</v>
      </c>
    </row>
    <row r="35" spans="1:46" ht="15" customHeight="1" thickBot="1">
      <c r="A35" s="1895" t="s">
        <v>388</v>
      </c>
      <c r="B35" s="1897">
        <f ca="1">VLOOKUP($A35,FS!$B$2:$P$326,MATCH(B$2,FS!$B$1:$AD$1,0),FALSE)</f>
        <v>8728.1688623409991</v>
      </c>
      <c r="C35" s="1897">
        <f ca="1">VLOOKUP($A35,FS!$B$2:$P$326,MATCH(C$2,FS!$B$1:$AD$1,0),FALSE)</f>
        <v>12179.774771734001</v>
      </c>
      <c r="D35" s="1897">
        <f ca="1">VLOOKUP($A35,FS!$B$2:$AD$326,MATCH(D$2,FS!$B$1:$AD$1,0),FALSE)</f>
        <v>8745.9822615800003</v>
      </c>
      <c r="E35" s="1897">
        <f ca="1">VLOOKUP($A35,FS!$B$2:$AD$326,MATCH(E$2,FS!$B$1:$AD$1,0),FALSE)</f>
        <v>7927.0697279349997</v>
      </c>
      <c r="F35" s="1897">
        <f ca="1">VLOOKUP($A35,FS!$B$2:$AD$326,MATCH(F$2,FS!$B$1:$AD$1,0),FALSE)</f>
        <v>9137.5180277330001</v>
      </c>
      <c r="G35" s="1897">
        <f ca="1">VLOOKUP($A35,FS!$B$2:$AD$326,MATCH(G$2,FS!$B$1:$AD$1,0),FALSE)</f>
        <v>10968.831278587251</v>
      </c>
      <c r="H35" s="1897">
        <f ca="1">VLOOKUP($A35,FS!$B$2:$AD$326,MATCH(H$2,FS!$B$1:$AD$1,0),FALSE)</f>
        <v>13262.811427339759</v>
      </c>
      <c r="I35" s="1901"/>
      <c r="J35" s="1895"/>
      <c r="K35" s="1906"/>
      <c r="L35" s="1906"/>
      <c r="M35" s="1906"/>
      <c r="N35" s="1906"/>
      <c r="O35" s="1906"/>
      <c r="P35" s="1906"/>
      <c r="Q35" s="1906"/>
      <c r="S35" s="998"/>
      <c r="T35" s="998"/>
      <c r="U35" s="998"/>
      <c r="V35" s="998"/>
      <c r="W35" s="998"/>
      <c r="X35" s="998"/>
      <c r="Y35" s="998"/>
      <c r="Z35" s="998"/>
      <c r="AA35" s="998"/>
      <c r="AB35" s="998"/>
      <c r="AC35" s="998"/>
      <c r="AR35" s="1003">
        <v>44638</v>
      </c>
      <c r="AS35" s="999">
        <v>103500</v>
      </c>
      <c r="AT35" s="999">
        <f t="shared" ca="1" si="2"/>
        <v>20100</v>
      </c>
    </row>
    <row r="36" spans="1:46" ht="15" customHeight="1" thickBot="1">
      <c r="A36" s="1895" t="s">
        <v>389</v>
      </c>
      <c r="B36" s="1897">
        <f ca="1">VLOOKUP($A36,FS!$B$2:$P$326,MATCH(B$2,FS!$B$1:$AD$1,0),FALSE)</f>
        <v>15625.180321923999</v>
      </c>
      <c r="C36" s="1897">
        <f ca="1">VLOOKUP($A36,FS!$B$2:$P$326,MATCH(C$2,FS!$B$1:$AD$1,0),FALSE)</f>
        <v>24647.474278786001</v>
      </c>
      <c r="D36" s="1897">
        <f ca="1">VLOOKUP($A36,FS!$B$2:$AD$326,MATCH(D$2,FS!$B$1:$AD$1,0),FALSE)</f>
        <v>10688.138631456</v>
      </c>
      <c r="E36" s="1897">
        <f ca="1">VLOOKUP($A36,FS!$B$2:$AD$326,MATCH(E$2,FS!$B$1:$AD$1,0),FALSE)</f>
        <v>19128.541817780999</v>
      </c>
      <c r="F36" s="1897">
        <f ca="1">VLOOKUP($A36,FS!$B$2:$AD$326,MATCH(F$2,FS!$B$1:$AD$1,0),FALSE)</f>
        <v>27300.246721779</v>
      </c>
      <c r="G36" s="1897">
        <f ca="1">VLOOKUP($A36,FS!$B$2:$AD$326,MATCH(G$2,FS!$B$1:$AD$1,0),FALSE)</f>
        <v>27503.765461893134</v>
      </c>
      <c r="H36" s="1897">
        <f ca="1">VLOOKUP($A36,FS!$B$2:$AD$326,MATCH(H$2,FS!$B$1:$AD$1,0),FALSE)</f>
        <v>27541.358024336943</v>
      </c>
      <c r="I36" s="1909"/>
      <c r="J36" s="1895" t="s">
        <v>390</v>
      </c>
      <c r="K36" s="1911">
        <f>IFERROR(VLOOKUP($J36,FS!$B$2:$AD$326,MATCH(K$2,FS!$B$1:$AD$1,0),FALSE),"")</f>
        <v>0.22068517432791743</v>
      </c>
      <c r="L36" s="1911">
        <f>IFERROR(VLOOKUP($J36,FS!$B$2:$AD$326,MATCH(L$2,FS!$B$1:$AD$1,0),FALSE),"")</f>
        <v>0.22472802217974888</v>
      </c>
      <c r="M36" s="1911">
        <f ca="1">IFERROR(VLOOKUP($J36,FS!$B$2:$AD$326,MATCH(M$2,FS!$B$1:$AD$1,0),FALSE),"")</f>
        <v>0.23074296911232317</v>
      </c>
      <c r="N36" s="1911">
        <f>IFERROR(VLOOKUP($J36,FS!$B$2:$AD$326,MATCH(N$2,FS!$B$1:$AD$1,0),FALSE),"")</f>
        <v>0.19040119582403459</v>
      </c>
      <c r="O36" s="1911">
        <f>IFERROR(VLOOKUP($J36,FS!$B$2:$AD$326,MATCH(O$2,FS!$B$1:$AD$1,0),FALSE),"")</f>
        <v>0.20469684451770898</v>
      </c>
      <c r="P36" s="1911">
        <f ca="1">IFERROR(VLOOKUP($J36,FS!$B$2:$AD$326,MATCH(P$2,FS!$B$1:$AD$1,0),FALSE),"")</f>
        <v>0.19635636031741605</v>
      </c>
      <c r="Q36" s="1911">
        <f ca="1">IFERROR(VLOOKUP($J36,FS!$B$2:$AD$326,MATCH(Q$2,FS!$B$1:$AD$1,0),FALSE),"")</f>
        <v>0.20061970470619181</v>
      </c>
      <c r="S36" s="1022"/>
      <c r="T36" s="1022">
        <v>2021</v>
      </c>
      <c r="U36" s="1022">
        <v>2022</v>
      </c>
      <c r="V36" s="1022">
        <v>2023</v>
      </c>
      <c r="W36" s="1022">
        <v>2024</v>
      </c>
      <c r="X36" s="1022" t="s">
        <v>391</v>
      </c>
      <c r="Y36" s="1022" t="s">
        <v>2</v>
      </c>
      <c r="AB36" s="1916"/>
      <c r="AC36" s="1917">
        <v>2021</v>
      </c>
      <c r="AD36" s="1917">
        <f>U36</f>
        <v>2022</v>
      </c>
      <c r="AE36" s="1917">
        <f>V36</f>
        <v>2023</v>
      </c>
      <c r="AF36" s="1917">
        <f>W36</f>
        <v>2024</v>
      </c>
      <c r="AG36" s="1917" t="str">
        <f>X36</f>
        <v>2025E</v>
      </c>
      <c r="AH36" s="1917" t="str">
        <f>Y36</f>
        <v>2026F</v>
      </c>
      <c r="AR36" s="1003">
        <v>44637</v>
      </c>
      <c r="AS36" s="999">
        <v>103000</v>
      </c>
      <c r="AT36" s="999">
        <f t="shared" ca="1" si="2"/>
        <v>20100</v>
      </c>
    </row>
    <row r="37" spans="1:46" ht="15" customHeight="1">
      <c r="A37" s="1895" t="s">
        <v>392</v>
      </c>
      <c r="B37" s="1897">
        <f>VLOOKUP($A37,FS!$B$2:$P$326,MATCH(B$2,FS!$B$1:$AD$1,0),FALSE)</f>
        <v>5069.1341373510022</v>
      </c>
      <c r="C37" s="1897">
        <f>VLOOKUP($A37,FS!$B$2:$P$326,MATCH(C$2,FS!$B$1:$AD$1,0),FALSE)</f>
        <v>5765.8796468229975</v>
      </c>
      <c r="D37" s="1897">
        <f>VLOOKUP($A37,FS!$B$2:$AD$326,MATCH(D$2,FS!$B$1:$AD$1,0),FALSE)</f>
        <v>6566.257423463001</v>
      </c>
      <c r="E37" s="1897">
        <f>VLOOKUP($A37,FS!$B$2:$AD$326,MATCH(E$2,FS!$B$1:$AD$1,0),FALSE)</f>
        <v>3706.2902418270023</v>
      </c>
      <c r="F37" s="1897">
        <f>VLOOKUP($A37,FS!$B$2:$AD$326,MATCH(F$2,FS!$B$1:$AD$1,0),FALSE)</f>
        <v>5659.3681566949999</v>
      </c>
      <c r="G37" s="1897">
        <f ca="1">VLOOKUP($A37,FS!$B$2:$AD$326,MATCH(G$2,FS!$B$1:$AD$1,0),FALSE)</f>
        <v>5859.0852020365828</v>
      </c>
      <c r="H37" s="1897">
        <f ca="1">VLOOKUP($A37,FS!$B$2:$AD$326,MATCH(H$2,FS!$B$1:$AD$1,0),FALSE)</f>
        <v>7172.4992234415495</v>
      </c>
      <c r="I37" s="1909"/>
      <c r="J37" s="1895" t="s">
        <v>393</v>
      </c>
      <c r="K37" s="1911">
        <f>IFERROR(VLOOKUP($J37,FS!$B$2:$AD$326,MATCH(K$2,FS!$B$1:$AD$1,0),FALSE),"")</f>
        <v>3.612730097996926E-2</v>
      </c>
      <c r="L37" s="1911">
        <f>IFERROR(VLOOKUP($J37,FS!$B$2:$AD$326,MATCH(L$2,FS!$B$1:$AD$1,0),FALSE),"")</f>
        <v>3.9859753326010966E-2</v>
      </c>
      <c r="M37" s="1911">
        <f ca="1">IFERROR(VLOOKUP($J37,FS!$B$2:$AD$326,MATCH(M$2,FS!$B$1:$AD$1,0),FALSE),"")</f>
        <v>3.0731754757487999E-2</v>
      </c>
      <c r="N37" s="1911">
        <f>IFERROR(VLOOKUP($J37,FS!$B$2:$AD$326,MATCH(N$2,FS!$B$1:$AD$1,0),FALSE),"")</f>
        <v>1.4175658825020796E-3</v>
      </c>
      <c r="O37" s="1911">
        <f>IFERROR(VLOOKUP($J37,FS!$B$2:$AD$326,MATCH(O$2,FS!$B$1:$AD$1,0),FALSE),"")</f>
        <v>2.7704604008050183E-2</v>
      </c>
      <c r="P37" s="1911">
        <f ca="1">IFERROR(VLOOKUP($J37,FS!$B$2:$AD$326,MATCH(P$2,FS!$B$1:$AD$1,0),FALSE),"")</f>
        <v>4.2341824697263795E-2</v>
      </c>
      <c r="Q37" s="1911">
        <f ca="1">IFERROR(VLOOKUP($J37,FS!$B$2:$AD$326,MATCH(Q$2,FS!$B$1:$AD$1,0),FALSE),"")</f>
        <v>4.4329706873501427E-2</v>
      </c>
      <c r="S37" s="1023" t="str">
        <f>S24</f>
        <v>P/E (x)</v>
      </c>
      <c r="T37" s="1024">
        <f t="shared" ref="T37:Y38" ca="1" si="14">U24</f>
        <v>26.486322139296686</v>
      </c>
      <c r="U37" s="1024">
        <f ca="1">V24</f>
        <v>31.663190527022302</v>
      </c>
      <c r="V37" s="1024">
        <f t="shared" ca="1" si="14"/>
        <v>774.21153470966658</v>
      </c>
      <c r="W37" s="1024">
        <f ca="1">X24</f>
        <v>34.878067262169921</v>
      </c>
      <c r="X37" s="1024">
        <f ca="1">Y24</f>
        <v>19.210270710858225</v>
      </c>
      <c r="Y37" s="1024">
        <f ca="1">Z24</f>
        <v>15.09464429834788</v>
      </c>
      <c r="AB37" s="1025" t="s">
        <v>394</v>
      </c>
      <c r="AC37" s="1026">
        <f t="shared" ref="AC37:AH38" si="15">AC24</f>
        <v>122958.106103174</v>
      </c>
      <c r="AD37" s="1026">
        <f t="shared" ca="1" si="15"/>
        <v>133404.78146</v>
      </c>
      <c r="AE37" s="1026">
        <f t="shared" si="15"/>
        <v>118279.788455442</v>
      </c>
      <c r="AF37" s="1026">
        <f t="shared" si="15"/>
        <v>134341.15284880201</v>
      </c>
      <c r="AG37" s="1026">
        <f t="shared" ca="1" si="15"/>
        <v>159591.72685726223</v>
      </c>
      <c r="AH37" s="1026">
        <f t="shared" ca="1" si="15"/>
        <v>193997.30007748908</v>
      </c>
      <c r="AM37" s="1025" t="s">
        <v>395</v>
      </c>
      <c r="AN37" s="1025" t="s">
        <v>396</v>
      </c>
      <c r="AR37" s="1003">
        <v>44636</v>
      </c>
      <c r="AS37" s="999">
        <v>102800</v>
      </c>
      <c r="AT37" s="999">
        <f t="shared" ca="1" si="2"/>
        <v>20100</v>
      </c>
    </row>
    <row r="38" spans="1:46" ht="15" customHeight="1">
      <c r="A38" s="1907" t="s">
        <v>397</v>
      </c>
      <c r="B38" s="1897">
        <f ca="1">VLOOKUP($A38,FS!$B$2:$P$326,MATCH(B$2,FS!$B$1:$AD$1,0),FALSE)</f>
        <v>29422.513439368995</v>
      </c>
      <c r="C38" s="1897">
        <f ca="1">VLOOKUP($A38,FS!$B$2:$P$326,MATCH(C$2,FS!$B$1:$AD$1,0),FALSE)</f>
        <v>42593.158815096001</v>
      </c>
      <c r="D38" s="1897">
        <f ca="1">VLOOKUP($A38,FS!$B$2:$AD$326,MATCH(D$2,FS!$B$1:$AD$1,0),FALSE)</f>
        <v>26000.378316499002</v>
      </c>
      <c r="E38" s="1897">
        <f ca="1">VLOOKUP($A38,FS!$B$2:$AD$326,MATCH(E$2,FS!$B$1:$AD$1,0),FALSE)</f>
        <v>30761.901787543</v>
      </c>
      <c r="F38" s="1897">
        <f ca="1">VLOOKUP($A38,FS!$B$2:$AD$326,MATCH(F$2,FS!$B$1:$AD$1,0),FALSE)</f>
        <v>42097.132906207</v>
      </c>
      <c r="G38" s="1897">
        <f ca="1">VLOOKUP($A38,FS!$B$2:$AD$326,MATCH(G$2,FS!$B$1:$AD$1,0),FALSE)</f>
        <v>44467.070629295777</v>
      </c>
      <c r="H38" s="1897">
        <f ca="1">VLOOKUP($A38,FS!$B$2:$AD$326,MATCH(H$2,FS!$B$1:$AD$1,0),FALSE)</f>
        <v>48145.97631028371</v>
      </c>
      <c r="I38" s="1909"/>
      <c r="J38" s="1895" t="s">
        <v>398</v>
      </c>
      <c r="K38" s="1911">
        <f ca="1">IFERROR(VLOOKUP($J38,FS!$B$2:$AD$326,MATCH(K$2,FS!$B$1:$AD$1,0),FALSE),"")</f>
        <v>0.25329758970295913</v>
      </c>
      <c r="L38" s="1911">
        <f ca="1">IFERROR(VLOOKUP($J38,FS!$B$2:$AD$326,MATCH(L$2,FS!$B$1:$AD$1,0),FALSE),"")</f>
        <v>0.24050547720068927</v>
      </c>
      <c r="M38" s="1911">
        <f ca="1">IFERROR(VLOOKUP($J38,FS!$B$2:$AD$326,MATCH(M$2,FS!$B$1:$AD$1,0),FALSE),"")</f>
        <v>0.17130467201351224</v>
      </c>
      <c r="N38" s="1911">
        <f ca="1">IFERROR(VLOOKUP($J38,FS!$B$2:$AD$326,MATCH(N$2,FS!$B$1:$AD$1,0),FALSE),"")</f>
        <v>7.1777639345075826E-3</v>
      </c>
      <c r="O38" s="1911">
        <f ca="1">IFERROR(VLOOKUP($J38,FS!$B$2:$AD$326,MATCH(O$2,FS!$B$1:$AD$1,0),FALSE),"")</f>
        <v>0.1323492087578749</v>
      </c>
      <c r="P38" s="1911">
        <f ca="1">IFERROR(VLOOKUP($J38,FS!$B$2:$AD$326,MATCH(P$2,FS!$B$1:$AD$1,0),FALSE),"")</f>
        <v>0.20734330988894184</v>
      </c>
      <c r="Q38" s="1911">
        <f ca="1">IFERROR(VLOOKUP($J38,FS!$B$2:$AD$326,MATCH(Q$2,FS!$B$1:$AD$1,0),FALSE),"")</f>
        <v>0.21607965967536477</v>
      </c>
      <c r="S38" s="1027" t="str">
        <f>S25</f>
        <v>P/B (x)</v>
      </c>
      <c r="T38" s="1028">
        <f t="shared" ca="1" si="14"/>
        <v>3.0932490342140522</v>
      </c>
      <c r="U38" s="1028">
        <f t="shared" ca="1" si="14"/>
        <v>5.4071445763994994</v>
      </c>
      <c r="V38" s="1028">
        <f t="shared" ca="1" si="14"/>
        <v>5.5397849793622145</v>
      </c>
      <c r="W38" s="1028">
        <f t="shared" ca="1" si="14"/>
        <v>4.6001155093360282</v>
      </c>
      <c r="X38" s="1028">
        <f t="shared" ca="1" si="14"/>
        <v>3.9831211130519413</v>
      </c>
      <c r="Y38" s="1028">
        <f t="shared" ca="1" si="14"/>
        <v>3.261645602907695</v>
      </c>
      <c r="AB38" s="1025" t="s">
        <v>329</v>
      </c>
      <c r="AC38" s="1026">
        <f t="shared" si="15"/>
        <v>27632.131995534</v>
      </c>
      <c r="AD38" s="1026">
        <f t="shared" si="15"/>
        <v>30782.215367861001</v>
      </c>
      <c r="AE38" s="1026">
        <f t="shared" si="15"/>
        <v>22520.613163729999</v>
      </c>
      <c r="AF38" s="1026">
        <f t="shared" si="15"/>
        <v>27499.210077021002</v>
      </c>
      <c r="AG38" s="1026">
        <f t="shared" ca="1" si="15"/>
        <v>31336.850622463226</v>
      </c>
      <c r="AH38" s="1026">
        <f t="shared" ca="1" si="15"/>
        <v>38919.681055344343</v>
      </c>
      <c r="AM38" s="1025" t="s">
        <v>158</v>
      </c>
      <c r="AN38" s="1025" t="s">
        <v>329</v>
      </c>
      <c r="AR38" s="1003">
        <v>44635</v>
      </c>
      <c r="AS38" s="999">
        <v>102900</v>
      </c>
      <c r="AT38" s="999">
        <f t="shared" ca="1" si="2"/>
        <v>20100</v>
      </c>
    </row>
    <row r="39" spans="1:46" ht="15" customHeight="1">
      <c r="A39" s="1895" t="s">
        <v>399</v>
      </c>
      <c r="B39" s="1897">
        <f ca="1">VLOOKUP($A39,FS!$B$2:$P$326,MATCH(B$2,FS!$B$1:$AD$1,0),FALSE)</f>
        <v>1126.676666653</v>
      </c>
      <c r="C39" s="1897">
        <f ca="1">VLOOKUP($A39,FS!$B$2:$P$326,MATCH(C$2,FS!$B$1:$AD$1,0),FALSE)</f>
        <v>0</v>
      </c>
      <c r="D39" s="1897">
        <f ca="1">VLOOKUP($A39,FS!$B$2:$AD$326,MATCH(D$2,FS!$B$1:$AD$1,0),FALSE)</f>
        <v>5901.25</v>
      </c>
      <c r="E39" s="1897">
        <f ca="1">VLOOKUP($A39,FS!$B$2:$AD$326,MATCH(E$2,FS!$B$1:$AD$1,0),FALSE)</f>
        <v>5985.25</v>
      </c>
      <c r="F39" s="1897">
        <f ca="1">VLOOKUP($A39,FS!$B$2:$AD$326,MATCH(F$2,FS!$B$1:$AD$1,0),FALSE)</f>
        <v>0</v>
      </c>
      <c r="G39" s="1897">
        <f ca="1">VLOOKUP($A39,FS!$B$2:$AD$326,MATCH(G$2,FS!$B$1:$AD$1,0),FALSE)</f>
        <v>0</v>
      </c>
      <c r="H39" s="1897">
        <f ca="1">VLOOKUP($A39,FS!$B$2:$AD$326,MATCH(H$2,FS!$B$1:$AD$1,0),FALSE)</f>
        <v>0</v>
      </c>
      <c r="I39" s="1909"/>
      <c r="J39" s="1895" t="s">
        <v>400</v>
      </c>
      <c r="K39" s="1911">
        <f ca="1">IFERROR(VLOOKUP($J39,FS!$B$2:$AD$326,MATCH(K$2,FS!$B$1:$AD$1,0),FALSE),"")</f>
        <v>8.5192260645039875E-2</v>
      </c>
      <c r="L39" s="1911">
        <f ca="1">IFERROR(VLOOKUP($J39,FS!$B$2:$AD$326,MATCH(L$2,FS!$B$1:$AD$1,0),FALSE),"")</f>
        <v>7.7830243633743107E-2</v>
      </c>
      <c r="M39" s="1911">
        <f ca="1">IFERROR(VLOOKUP($J39,FS!$B$2:$AD$326,MATCH(M$2,FS!$B$1:$AD$1,0),FALSE),"")</f>
        <v>7.3427438831649081E-2</v>
      </c>
      <c r="N39" s="1911">
        <f ca="1">IFERROR(VLOOKUP($J39,FS!$B$2:$AD$326,MATCH(N$2,FS!$B$1:$AD$1,0),FALSE),"")</f>
        <v>2.789528712980039E-3</v>
      </c>
      <c r="O39" s="1911">
        <f ca="1">IFERROR(VLOOKUP($J39,FS!$B$2:$AD$326,MATCH(O$2,FS!$B$1:$AD$1,0),FALSE),"")</f>
        <v>5.3003942339139819E-2</v>
      </c>
      <c r="P39" s="1911">
        <f ca="1">IFERROR(VLOOKUP($J39,FS!$B$2:$AD$326,MATCH(P$2,FS!$B$1:$AD$1,0),FALSE),"")</f>
        <v>8.7693034560660341E-2</v>
      </c>
      <c r="Q39" s="1911">
        <f ca="1">IFERROR(VLOOKUP($J39,FS!$B$2:$AD$326,MATCH(Q$2,FS!$B$1:$AD$1,0),FALSE),"")</f>
        <v>9.7786178342009977E-2</v>
      </c>
      <c r="S39" s="1027" t="s">
        <v>401</v>
      </c>
      <c r="T39" s="1028"/>
      <c r="U39" s="1028">
        <f ca="1">Valuation_Senario!$C$420/FS!M67</f>
        <v>0.94664747858281151</v>
      </c>
      <c r="V39" s="1028">
        <f ca="1">Valuation_Senario!$C$420/FS!N67</f>
        <v>1.0676997452322512</v>
      </c>
      <c r="W39" s="1028">
        <f ca="1">Valuation_Senario!$C$420/FS!O67</f>
        <v>0.94004925015146745</v>
      </c>
      <c r="X39" s="1028">
        <f ca="1">Valuation_Senario!$C$420/FS!P67</f>
        <v>0.79131482870005232</v>
      </c>
      <c r="Y39" s="1028">
        <f ca="1">Valuation_Senario!$C$420/FS!Q67</f>
        <v>0.65097452361221819</v>
      </c>
      <c r="AB39" s="1025" t="s">
        <v>402</v>
      </c>
      <c r="AC39" s="1026" t="e">
        <f>FS!#REF!</f>
        <v>#REF!</v>
      </c>
      <c r="AD39" s="1026">
        <f>FS!AB80</f>
        <v>4099.7630273050017</v>
      </c>
      <c r="AE39" s="1026">
        <f>FS!AC80</f>
        <v>167.66939270399794</v>
      </c>
      <c r="AF39" s="1026">
        <f>FS!AD80</f>
        <v>3721.8684416610026</v>
      </c>
      <c r="AG39" s="1026">
        <f ca="1">FS!P104</f>
        <v>6757.4049217238035</v>
      </c>
      <c r="AH39" s="1026">
        <f ca="1">FS!Q104</f>
        <v>8599.8434466857871</v>
      </c>
      <c r="AM39" s="1025" t="s">
        <v>403</v>
      </c>
      <c r="AN39" s="1025" t="s">
        <v>404</v>
      </c>
      <c r="AR39" s="1003">
        <v>44634</v>
      </c>
      <c r="AS39" s="999">
        <v>98500</v>
      </c>
      <c r="AT39" s="999">
        <f t="shared" ca="1" si="2"/>
        <v>20100</v>
      </c>
    </row>
    <row r="40" spans="1:46" ht="15" customHeight="1">
      <c r="A40" s="1895" t="s">
        <v>405</v>
      </c>
      <c r="B40" s="1897">
        <f ca="1">VLOOKUP($A40,FS!$B$2:$P$326,MATCH(B$2,FS!$B$1:$AD$1,0),FALSE)</f>
        <v>1126.676666653</v>
      </c>
      <c r="C40" s="1897">
        <f ca="1">VLOOKUP($A40,FS!$B$2:$P$326,MATCH(C$2,FS!$B$1:$AD$1,0),FALSE)</f>
        <v>0</v>
      </c>
      <c r="D40" s="1897">
        <f ca="1">VLOOKUP($A40,FS!$B$2:$AD$326,MATCH(D$2,FS!$B$1:$AD$1,0),FALSE)</f>
        <v>5901.25</v>
      </c>
      <c r="E40" s="1897">
        <f ca="1">VLOOKUP($A40,FS!$B$2:$AD$326,MATCH(E$2,FS!$B$1:$AD$1,0),FALSE)</f>
        <v>5985.25</v>
      </c>
      <c r="F40" s="1897">
        <f ca="1">VLOOKUP($A40,FS!$B$2:$AD$326,MATCH(F$2,FS!$B$1:$AD$1,0),FALSE)</f>
        <v>0</v>
      </c>
      <c r="G40" s="1897">
        <f ca="1">VLOOKUP($A40,FS!$B$2:$AD$326,MATCH(G$2,FS!$B$1:$AD$1,0),FALSE)</f>
        <v>0</v>
      </c>
      <c r="H40" s="1897">
        <f ca="1">VLOOKUP($A40,FS!$B$2:$AD$326,MATCH(H$2,FS!$B$1:$AD$1,0),FALSE)</f>
        <v>0</v>
      </c>
      <c r="I40" s="1909"/>
      <c r="J40" s="1895"/>
      <c r="K40" s="1906"/>
      <c r="L40" s="1906"/>
      <c r="M40" s="1906"/>
      <c r="N40" s="1906"/>
      <c r="O40" s="1906"/>
      <c r="P40" s="1906"/>
      <c r="Q40" s="1906"/>
      <c r="S40" s="1027" t="str">
        <f>S26</f>
        <v>ROA (%)</v>
      </c>
      <c r="T40" s="1029">
        <f t="shared" ref="T40:Y41" ca="1" si="16">U26</f>
        <v>7.7830243633743107E-2</v>
      </c>
      <c r="U40" s="1029">
        <f t="shared" ca="1" si="16"/>
        <v>7.3427438831649081E-2</v>
      </c>
      <c r="V40" s="1029">
        <f t="shared" ca="1" si="16"/>
        <v>2.789528712980039E-3</v>
      </c>
      <c r="W40" s="1029">
        <f t="shared" ca="1" si="16"/>
        <v>5.3003942339139819E-2</v>
      </c>
      <c r="X40" s="1029">
        <f t="shared" ca="1" si="16"/>
        <v>8.7693034560660341E-2</v>
      </c>
      <c r="Y40" s="1029">
        <f t="shared" ca="1" si="16"/>
        <v>9.7786178342009977E-2</v>
      </c>
      <c r="AB40" s="1030" t="s">
        <v>356</v>
      </c>
      <c r="AC40" s="1031">
        <f t="shared" ref="AC40:AH40" ca="1" si="17">AC27</f>
        <v>3337.571729856917</v>
      </c>
      <c r="AD40" s="1031">
        <f t="shared" ca="1" si="17"/>
        <v>2791.885420534511</v>
      </c>
      <c r="AE40" s="1031">
        <f t="shared" ca="1" si="17"/>
        <v>114.18068064970186</v>
      </c>
      <c r="AF40" s="1031">
        <f t="shared" ca="1" si="17"/>
        <v>2534.5441115047679</v>
      </c>
      <c r="AG40" s="1031">
        <f t="shared" ca="1" si="17"/>
        <v>4601.7050634290981</v>
      </c>
      <c r="AH40" s="1031">
        <f t="shared" ca="1" si="17"/>
        <v>5856.3817903066083</v>
      </c>
      <c r="AM40" s="1032" t="s">
        <v>356</v>
      </c>
      <c r="AN40" s="1032" t="s">
        <v>356</v>
      </c>
      <c r="AR40" s="1003">
        <v>44631</v>
      </c>
      <c r="AS40" s="999">
        <v>104500</v>
      </c>
      <c r="AT40" s="999">
        <f t="shared" ca="1" si="2"/>
        <v>20100</v>
      </c>
    </row>
    <row r="41" spans="1:46" ht="15" customHeight="1">
      <c r="A41" s="1895" t="s">
        <v>406</v>
      </c>
      <c r="B41" s="1897">
        <f ca="1">VLOOKUP($A41,FS!$B$2:$P$326,MATCH(B$2,FS!$B$1:$AD$1,0),FALSE)</f>
        <v>30549.190106021993</v>
      </c>
      <c r="C41" s="1897">
        <f ca="1">VLOOKUP($A41,FS!$B$2:$P$326,MATCH(C$2,FS!$B$1:$AD$1,0),FALSE)</f>
        <v>42593.158815096001</v>
      </c>
      <c r="D41" s="1897">
        <f ca="1">VLOOKUP($A41,FS!$B$2:$AD$326,MATCH(D$2,FS!$B$1:$AD$1,0),FALSE)</f>
        <v>31901.628316499002</v>
      </c>
      <c r="E41" s="1897">
        <f ca="1">VLOOKUP($A41,FS!$B$2:$AD$326,MATCH(E$2,FS!$B$1:$AD$1,0),FALSE)</f>
        <v>36747.151787543</v>
      </c>
      <c r="F41" s="1897">
        <f ca="1">VLOOKUP($A41,FS!$B$2:$AD$326,MATCH(F$2,FS!$B$1:$AD$1,0),FALSE)</f>
        <v>42097.132906207</v>
      </c>
      <c r="G41" s="1897">
        <f ca="1">VLOOKUP($A41,FS!$B$2:$AD$326,MATCH(G$2,FS!$B$1:$AD$1,0),FALSE)</f>
        <v>44467.070629295777</v>
      </c>
      <c r="H41" s="1897">
        <f ca="1">VLOOKUP($A41,FS!$B$2:$AD$326,MATCH(H$2,FS!$B$1:$AD$1,0),FALSE)</f>
        <v>48145.97631028371</v>
      </c>
      <c r="I41" s="1909"/>
      <c r="J41" s="1907" t="s">
        <v>407</v>
      </c>
      <c r="K41" s="1906"/>
      <c r="L41" s="1906"/>
      <c r="M41" s="1906"/>
      <c r="N41" s="1906"/>
      <c r="O41" s="1906"/>
      <c r="P41" s="1906"/>
      <c r="Q41" s="1906"/>
      <c r="S41" s="1033" t="str">
        <f>S27</f>
        <v>ROE (%)</v>
      </c>
      <c r="T41" s="1034">
        <f t="shared" ca="1" si="16"/>
        <v>0.24050547720068927</v>
      </c>
      <c r="U41" s="1034">
        <f t="shared" ca="1" si="16"/>
        <v>0.17130467201351224</v>
      </c>
      <c r="V41" s="1034">
        <f t="shared" ca="1" si="16"/>
        <v>7.1777639345075826E-3</v>
      </c>
      <c r="W41" s="1034">
        <f t="shared" ca="1" si="16"/>
        <v>0.1323492087578749</v>
      </c>
      <c r="X41" s="1034">
        <f t="shared" ca="1" si="16"/>
        <v>0.20734330988894184</v>
      </c>
      <c r="Y41" s="1034">
        <f t="shared" ca="1" si="16"/>
        <v>0.21607965967536477</v>
      </c>
      <c r="AB41" s="1035" t="s">
        <v>375</v>
      </c>
      <c r="AC41" s="1036">
        <f ca="1">AB28</f>
        <v>-0.50181466686630283</v>
      </c>
      <c r="AD41" s="1036">
        <f ca="1">FS!M108</f>
        <v>-0.16349800198775044</v>
      </c>
      <c r="AE41" s="1036">
        <f ca="1">FS!N108</f>
        <v>-0.9591026623765091</v>
      </c>
      <c r="AF41" s="1036">
        <f ca="1">FS!O108</f>
        <v>21.197661610378447</v>
      </c>
      <c r="AG41" s="1036">
        <f ca="1">FS!P108</f>
        <v>0.81559478193380075</v>
      </c>
      <c r="AH41" s="1036">
        <f ca="1">FS!Q108</f>
        <v>0.27265474635667997</v>
      </c>
      <c r="AR41" s="1003">
        <v>44630</v>
      </c>
      <c r="AS41" s="999">
        <v>108300</v>
      </c>
      <c r="AT41" s="999">
        <f t="shared" ca="1" si="2"/>
        <v>20100</v>
      </c>
    </row>
    <row r="42" spans="1:46" ht="15" customHeight="1">
      <c r="A42" s="1895" t="s">
        <v>408</v>
      </c>
      <c r="B42" s="1897">
        <f ca="1">VLOOKUP($A42,FS!$B$2:$P$326,MATCH(B$2,FS!$B$1:$AD$1,0),FALSE)</f>
        <v>4532.09987</v>
      </c>
      <c r="C42" s="1897">
        <f ca="1">VLOOKUP($A42,FS!$B$2:$P$326,MATCH(C$2,FS!$B$1:$AD$1,0),FALSE)</f>
        <v>7130.6549500000001</v>
      </c>
      <c r="D42" s="1897">
        <f ca="1">VLOOKUP($A42,FS!$B$2:$AD$326,MATCH(D$2,FS!$B$1:$AD$1,0),FALSE)</f>
        <v>14638.792799999999</v>
      </c>
      <c r="E42" s="1897">
        <f ca="1">VLOOKUP($A42,FS!$B$2:$AD$326,MATCH(E$2,FS!$B$1:$AD$1,0),FALSE)</f>
        <v>14633.767159999999</v>
      </c>
      <c r="F42" s="1897">
        <f ca="1">VLOOKUP($A42,FS!$B$2:$AD$326,MATCH(F$2,FS!$B$1:$AD$1,0),FALSE)</f>
        <v>14622.441769999999</v>
      </c>
      <c r="G42" s="1897">
        <f ca="1">VLOOKUP($A42,FS!$B$2:$AD$326,MATCH(G$2,FS!$B$1:$AD$1,0),FALSE)</f>
        <v>14684.567630000001</v>
      </c>
      <c r="H42" s="1897">
        <f ca="1">VLOOKUP($A42,FS!$B$2:$AD$326,MATCH(H$2,FS!$B$1:$AD$1,0),FALSE)</f>
        <v>14684.567630000001</v>
      </c>
      <c r="I42" s="1901"/>
      <c r="J42" s="1895" t="s">
        <v>409</v>
      </c>
      <c r="K42" s="1906">
        <f ca="1">IFERROR(VLOOKUP($J42,FS!$B$2:$AD$326,MATCH(K$2,FS!$B$1:$AD$1,0),FALSE),"")</f>
        <v>32.999556928218858</v>
      </c>
      <c r="L42" s="1906">
        <f ca="1">IFERROR(VLOOKUP($J42,FS!$B$2:$AD$326,MATCH(L$2,FS!$B$1:$AD$1,0),FALSE),"")</f>
        <v>26.486322139296686</v>
      </c>
      <c r="M42" s="1906">
        <f ca="1">IFERROR(VLOOKUP($J42,FS!$B$2:$AD$326,MATCH(M$2,FS!$B$1:$AD$1,0),FALSE),"")</f>
        <v>31.663190527022302</v>
      </c>
      <c r="N42" s="1906">
        <f ca="1">IFERROR(VLOOKUP($J42,FS!$B$2:$AD$326,MATCH(N$2,FS!$B$1:$AD$1,0),FALSE),"")</f>
        <v>774.21153470966658</v>
      </c>
      <c r="O42" s="1906">
        <f ca="1">IFERROR(VLOOKUP($J42,FS!$B$2:$AD$326,MATCH(O$2,FS!$B$1:$AD$1,0),FALSE),"")</f>
        <v>34.878067262169921</v>
      </c>
      <c r="P42" s="1906">
        <f ca="1">IFERROR(VLOOKUP($J42,FS!$B$2:$AD$326,MATCH(P$2,FS!$B$1:$AD$1,0),FALSE),"")</f>
        <v>19.210270710858225</v>
      </c>
      <c r="Q42" s="1906">
        <f ca="1">IFERROR(VLOOKUP($J42,FS!$B$2:$AD$326,MATCH(Q$2,FS!$B$1:$AD$1,0),FALSE),"")</f>
        <v>15.09464429834788</v>
      </c>
      <c r="S42" s="998"/>
      <c r="T42" s="998"/>
      <c r="U42" s="998"/>
      <c r="V42" s="998"/>
      <c r="W42" s="998"/>
      <c r="X42" s="998"/>
      <c r="AM42" s="1035" t="s">
        <v>410</v>
      </c>
      <c r="AR42" s="1003">
        <v>44629</v>
      </c>
      <c r="AS42" s="999">
        <v>110500</v>
      </c>
      <c r="AT42" s="999">
        <f t="shared" ca="1" si="2"/>
        <v>20100</v>
      </c>
    </row>
    <row r="43" spans="1:46" ht="15" customHeight="1">
      <c r="A43" s="1895" t="s">
        <v>411</v>
      </c>
      <c r="B43" s="1897">
        <f ca="1">VLOOKUP($A43,FS!$B$2:$P$326,MATCH(B$2,FS!$B$1:$AD$1,0),FALSE)</f>
        <v>558.11043098599998</v>
      </c>
      <c r="C43" s="1897">
        <f ca="1">VLOOKUP($A43,FS!$B$2:$P$326,MATCH(C$2,FS!$B$1:$AD$1,0),FALSE)</f>
        <v>558.11043098599998</v>
      </c>
      <c r="D43" s="1897">
        <f ca="1">VLOOKUP($A43,FS!$B$2:$AD$326,MATCH(D$2,FS!$B$1:$AD$1,0),FALSE)</f>
        <v>558.11043098599998</v>
      </c>
      <c r="E43" s="1897">
        <f ca="1">VLOOKUP($A43,FS!$B$2:$AD$326,MATCH(E$2,FS!$B$1:$AD$1,0),FALSE)</f>
        <v>558.11043098599998</v>
      </c>
      <c r="F43" s="1897">
        <f ca="1">VLOOKUP($A43,FS!$B$2:$AD$326,MATCH(F$2,FS!$B$1:$AD$1,0),FALSE)</f>
        <v>558.11043098599998</v>
      </c>
      <c r="G43" s="1897">
        <f ca="1">VLOOKUP($A43,FS!$B$2:$AD$326,MATCH(G$2,FS!$B$1:$AD$1,0),FALSE)</f>
        <v>558.11043098599998</v>
      </c>
      <c r="H43" s="1897">
        <f ca="1">VLOOKUP($A43,FS!$B$2:$AD$326,MATCH(H$2,FS!$B$1:$AD$1,0),FALSE)</f>
        <v>558.11043098599998</v>
      </c>
      <c r="I43" s="1901"/>
      <c r="J43" s="1895" t="s">
        <v>412</v>
      </c>
      <c r="K43" s="1906">
        <f ca="1">IFERROR(VLOOKUP($J43,FS!$B$2:$AD$326,MATCH(K$2,FS!$B$1:$AD$1,0),FALSE),"")</f>
        <v>2.5878158810960374</v>
      </c>
      <c r="L43" s="1906">
        <f ca="1">IFERROR(VLOOKUP($J43,FS!$B$2:$AD$326,MATCH(L$2,FS!$B$1:$AD$1,0),FALSE),"")</f>
        <v>3.0932490342140522</v>
      </c>
      <c r="M43" s="1906">
        <f ca="1">IFERROR(VLOOKUP($J43,FS!$B$2:$AD$326,MATCH(M$2,FS!$B$1:$AD$1,0),FALSE),"")</f>
        <v>5.4071445763994994</v>
      </c>
      <c r="N43" s="1906">
        <f ca="1">IFERROR(VLOOKUP($J43,FS!$B$2:$AD$326,MATCH(N$2,FS!$B$1:$AD$1,0),FALSE),"")</f>
        <v>5.5397849793622145</v>
      </c>
      <c r="O43" s="1906">
        <f ca="1">IFERROR(VLOOKUP($J43,FS!$B$2:$AD$326,MATCH(O$2,FS!$B$1:$AD$1,0),FALSE),"")</f>
        <v>4.6001155093360282</v>
      </c>
      <c r="P43" s="1906">
        <f ca="1">IFERROR(VLOOKUP($J43,FS!$B$2:$AD$326,MATCH(P$2,FS!$B$1:$AD$1,0),FALSE),"")</f>
        <v>3.9831211130519413</v>
      </c>
      <c r="Q43" s="1906">
        <f ca="1">IFERROR(VLOOKUP($J43,FS!$B$2:$AD$326,MATCH(Q$2,FS!$B$1:$AD$1,0),FALSE),"")</f>
        <v>3.261645602907695</v>
      </c>
      <c r="S43" s="998" t="s">
        <v>413</v>
      </c>
      <c r="T43" s="998" t="s">
        <v>414</v>
      </c>
      <c r="U43" s="998" t="s">
        <v>415</v>
      </c>
      <c r="V43" s="998"/>
      <c r="W43" s="998"/>
      <c r="X43" s="998"/>
      <c r="Y43" s="998"/>
      <c r="Z43" s="998"/>
      <c r="AA43" s="998"/>
      <c r="AB43" s="998"/>
      <c r="AC43" s="998"/>
      <c r="AR43" s="1003">
        <v>44628</v>
      </c>
      <c r="AS43" s="999">
        <v>106000</v>
      </c>
      <c r="AT43" s="999">
        <f t="shared" ca="1" si="2"/>
        <v>20100</v>
      </c>
    </row>
    <row r="44" spans="1:46" ht="15" customHeight="1">
      <c r="A44" s="1895" t="s">
        <v>416</v>
      </c>
      <c r="B44" s="1897">
        <f ca="1">VLOOKUP($A44,FS!$B$2:$P$326,MATCH(B$2,FS!$B$1:$AD$1,0),FALSE)</f>
        <v>10389.683597845</v>
      </c>
      <c r="C44" s="1897">
        <f ca="1">VLOOKUP($A44,FS!$B$2:$P$326,MATCH(C$2,FS!$B$1:$AD$1,0),FALSE)</f>
        <v>12674.574164064999</v>
      </c>
      <c r="D44" s="1897">
        <f ca="1">VLOOKUP($A44,FS!$B$2:$AD$326,MATCH(D$2,FS!$B$1:$AD$1,0),FALSE)</f>
        <v>8723.93422637</v>
      </c>
      <c r="E44" s="1897">
        <f ca="1">VLOOKUP($A44,FS!$B$2:$AD$326,MATCH(E$2,FS!$B$1:$AD$1,0),FALSE)</f>
        <v>8160.3235955740001</v>
      </c>
      <c r="F44" s="1897">
        <f ca="1">VLOOKUP($A44,FS!$B$2:$AD$326,MATCH(F$2,FS!$B$1:$AD$1,0),FALSE)</f>
        <v>12582.145266842001</v>
      </c>
      <c r="G44" s="1897">
        <f ca="1">VLOOKUP($A44,FS!$B$2:$AD$326,MATCH(G$2,FS!$B$1:$AD$1,0),FALSE)</f>
        <v>17053.972668913502</v>
      </c>
      <c r="H44" s="1897">
        <f ca="1">VLOOKUP($A44,FS!$B$2:$AD$326,MATCH(H$2,FS!$B$1:$AD$1,0),FALSE)</f>
        <v>24175.904372046454</v>
      </c>
      <c r="I44" s="1899"/>
      <c r="J44" s="1895"/>
      <c r="K44" s="1906"/>
      <c r="L44" s="1906"/>
      <c r="M44" s="1906"/>
      <c r="N44" s="1906"/>
      <c r="O44" s="1906"/>
      <c r="P44" s="1906"/>
      <c r="Q44" s="1906"/>
      <c r="S44" s="998" t="s">
        <v>417</v>
      </c>
      <c r="T44" s="998"/>
      <c r="U44" s="998" t="s">
        <v>418</v>
      </c>
      <c r="V44" s="998"/>
      <c r="W44" s="998"/>
      <c r="X44" s="998"/>
      <c r="Y44" s="998"/>
      <c r="Z44" s="998"/>
      <c r="AA44" s="998"/>
      <c r="AB44" s="998"/>
      <c r="AC44" s="998"/>
      <c r="AR44" s="1003">
        <v>44627</v>
      </c>
      <c r="AS44" s="999">
        <v>108000</v>
      </c>
      <c r="AT44" s="999">
        <f t="shared" ca="1" si="2"/>
        <v>20100</v>
      </c>
    </row>
    <row r="45" spans="1:46" ht="15" customHeight="1">
      <c r="A45" s="1895" t="s">
        <v>419</v>
      </c>
      <c r="B45" s="1897">
        <f>VLOOKUP($A45,FS!$B$2:$P$326,MATCH(B$2,FS!$B$1:$AD$1,0),FALSE)</f>
        <v>9.2806338260000008</v>
      </c>
      <c r="C45" s="1897">
        <f>VLOOKUP($A45,FS!$B$2:$P$326,MATCH(C$2,FS!$B$1:$AD$1,0),FALSE)</f>
        <v>11.838029496000001</v>
      </c>
      <c r="D45" s="1897">
        <f>VLOOKUP($A45,FS!$B$2:$AD$326,MATCH(D$2,FS!$B$1:$AD$1,0),FALSE)</f>
        <v>14.508097129999999</v>
      </c>
      <c r="E45" s="1897">
        <f>VLOOKUP($A45,FS!$B$2:$AD$326,MATCH(E$2,FS!$B$1:$AD$1,0),FALSE)</f>
        <v>13.401030472</v>
      </c>
      <c r="F45" s="1897">
        <f>VLOOKUP($A45,FS!$B$2:$AD$326,MATCH(F$2,FS!$B$1:$AD$1,0),FALSE)</f>
        <v>364.02065139799998</v>
      </c>
      <c r="G45" s="1897">
        <f ca="1">VLOOKUP($A45,FS!$B$2:$AD$326,MATCH(G$2,FS!$B$1:$AD$1,0),FALSE)</f>
        <v>403.6719786070222</v>
      </c>
      <c r="H45" s="1897">
        <f ca="1">VLOOKUP($A45,FS!$B$2:$AD$326,MATCH(H$2,FS!$B$1:$AD$1,0),FALSE)</f>
        <v>490.73553728778666</v>
      </c>
      <c r="I45" s="1899"/>
      <c r="J45" s="1895" t="s">
        <v>420</v>
      </c>
      <c r="K45" s="1911">
        <f>IFERROR(VLOOKUP($J45,FS!$B$2:$AD$326,MATCH(K$2,FS!$B$1:$AD$1,0),FALSE),"")</f>
        <v>6.2361857946711119E-2</v>
      </c>
      <c r="L45" s="1911">
        <f>IFERROR(VLOOKUP($J45,FS!$B$2:$AD$326,MATCH(L$2,FS!$B$1:$AD$1,0),FALSE),"")</f>
        <v>0.132773974413678</v>
      </c>
      <c r="M45" s="1911">
        <f ca="1">IFERROR(VLOOKUP($J45,FS!$B$2:$AD$326,MATCH(M$2,FS!$B$1:$AD$1,0),FALSE),"")</f>
        <v>8.4961257845499016E-2</v>
      </c>
      <c r="N45" s="1911">
        <f ca="1">IFERROR(VLOOKUP($J45,FS!$B$2:$AD$326,MATCH(N$2,FS!$B$1:$AD$1,0),FALSE),"")</f>
        <v>-0.11337669339155632</v>
      </c>
      <c r="O45" s="1911">
        <f>IFERROR(VLOOKUP($J45,FS!$B$2:$AD$326,MATCH(O$2,FS!$B$1:$AD$1,0),FALSE),"")</f>
        <v>0.13579128440367993</v>
      </c>
      <c r="P45" s="1911">
        <f ca="1">IFERROR(VLOOKUP($J45,FS!$B$2:$AD$326,MATCH(P$2,FS!$B$1:$AD$1,0),FALSE),"")</f>
        <v>0.1879585925310554</v>
      </c>
      <c r="Q45" s="1911">
        <f ca="1">IFERROR(VLOOKUP($J45,FS!$B$2:$AD$326,MATCH(Q$2,FS!$B$1:$AD$1,0),FALSE),"")</f>
        <v>0.2155849422633227</v>
      </c>
      <c r="S45" s="1037" t="s">
        <v>421</v>
      </c>
      <c r="T45" s="1037" t="s">
        <v>422</v>
      </c>
      <c r="U45" s="1037" t="s">
        <v>423</v>
      </c>
      <c r="V45" s="1037" t="s">
        <v>424</v>
      </c>
      <c r="W45" s="1037" t="s">
        <v>425</v>
      </c>
      <c r="X45" s="1037" t="s">
        <v>426</v>
      </c>
      <c r="Y45" s="1037" t="s">
        <v>427</v>
      </c>
      <c r="Z45" s="1037" t="s">
        <v>428</v>
      </c>
      <c r="AA45" s="1037" t="s">
        <v>429</v>
      </c>
      <c r="AB45" s="1037" t="s">
        <v>430</v>
      </c>
      <c r="AC45" s="1037"/>
      <c r="AD45" s="1037" t="s">
        <v>427</v>
      </c>
      <c r="AE45" s="1037" t="s">
        <v>428</v>
      </c>
      <c r="AR45" s="1003">
        <v>44624</v>
      </c>
      <c r="AS45" s="999">
        <v>105599.97</v>
      </c>
      <c r="AT45" s="999">
        <f t="shared" ca="1" si="2"/>
        <v>20100</v>
      </c>
    </row>
    <row r="46" spans="1:46" ht="15" customHeight="1">
      <c r="A46" s="1895" t="s">
        <v>431</v>
      </c>
      <c r="B46" s="1897">
        <f ca="1">VLOOKUP($A46,FS!$B$2:$P$326,MATCH(B$2,FS!$B$1:$AD$1,0),FALSE)</f>
        <v>15481.689846432</v>
      </c>
      <c r="C46" s="1897">
        <f ca="1">VLOOKUP($A46,FS!$B$2:$P$326,MATCH(C$2,FS!$B$1:$AD$1,0),FALSE)</f>
        <v>20378.245999846</v>
      </c>
      <c r="D46" s="1897">
        <f ca="1">VLOOKUP($A46,FS!$B$2:$AD$326,MATCH(D$2,FS!$B$1:$AD$1,0),FALSE)</f>
        <v>23932.581517576</v>
      </c>
      <c r="E46" s="1897">
        <f ca="1">VLOOKUP($A46,FS!$B$2:$AD$326,MATCH(E$2,FS!$B$1:$AD$1,0),FALSE)</f>
        <v>23359.557967337998</v>
      </c>
      <c r="F46" s="1897">
        <f ca="1">VLOOKUP($A46,FS!$B$2:$AD$326,MATCH(F$2,FS!$B$1:$AD$1,0),FALSE)</f>
        <v>28121.576823855004</v>
      </c>
      <c r="G46" s="1897">
        <f ca="1">VLOOKUP($A46,FS!$B$2:$AD$326,MATCH(G$2,FS!$B$1:$AD$1,0),FALSE)</f>
        <v>32590.416953135526</v>
      </c>
      <c r="H46" s="1897">
        <f ca="1">VLOOKUP($A46,FS!$B$2:$AD$326,MATCH(H$2,FS!$B$1:$AD$1,0),FALSE)</f>
        <v>39799.41221494924</v>
      </c>
      <c r="I46" s="1899"/>
      <c r="J46" s="1895" t="s">
        <v>432</v>
      </c>
      <c r="K46" s="1911">
        <f>IFERROR(VLOOKUP($J46,FS!$B$2:$AD$326,MATCH(K$2,FS!$B$1:$AD$1,0),FALSE),"")</f>
        <v>4.8130543494043998E-2</v>
      </c>
      <c r="L46" s="1911">
        <f>IFERROR(VLOOKUP($J46,FS!$B$2:$AD$326,MATCH(L$2,FS!$B$1:$AD$1,0),FALSE),"")</f>
        <v>0.1300359177306436</v>
      </c>
      <c r="M46" s="1911">
        <f>IFERROR(VLOOKUP($J46,FS!$B$2:$AD$326,MATCH(M$2,FS!$B$1:$AD$1,0),FALSE),"")</f>
        <v>0.12716931108852214</v>
      </c>
      <c r="N46" s="2016">
        <f>IFERROR(VLOOKUP($J46,FS!$B$2:$AD$326,MATCH(N$2,FS!$B$1:$AD$1,0),FALSE),"")</f>
        <v>-0.93873819198687625</v>
      </c>
      <c r="O46" s="2016">
        <f>IFERROR(VLOOKUP($J46,FS!$B$2:$AD$326,MATCH(O$2,FS!$B$1:$AD$1,0),FALSE),"")</f>
        <v>9.0325820681853006</v>
      </c>
      <c r="P46" s="2016">
        <f ca="1">IFERROR(VLOOKUP($J46,FS!$B$2:$AD$326,MATCH(P$2,FS!$B$1:$AD$1,0),FALSE),"")</f>
        <v>0.73741520890027323</v>
      </c>
      <c r="Q46" s="2016">
        <f ca="1">IFERROR(VLOOKUP($J46,FS!$B$2:$AD$326,MATCH(Q$2,FS!$B$1:$AD$1,0),FALSE),"")</f>
        <v>0.30283468292540427</v>
      </c>
      <c r="S46" s="998" t="s">
        <v>433</v>
      </c>
      <c r="T46" s="998" t="s">
        <v>433</v>
      </c>
      <c r="U46" s="1038">
        <f>AVERAGE(U47:U61)</f>
        <v>23153889.451495934</v>
      </c>
      <c r="V46" s="1039">
        <f>AVERAGE(V47:V61)</f>
        <v>12.634551760827273</v>
      </c>
      <c r="W46" s="1040">
        <f>AVERAGE(W47:W61)</f>
        <v>1.2023499461674945</v>
      </c>
      <c r="X46" s="1039">
        <f>AVERAGE(X47:X61)</f>
        <v>0.36431767472438453</v>
      </c>
      <c r="Y46" s="1038">
        <f>AVERAGE(Y47:Y61)</f>
        <v>4.9214732646942136E-2</v>
      </c>
      <c r="Z46" s="1038">
        <f>MEDIAN(Z47:Z61)</f>
        <v>3.1175339221954351E-2</v>
      </c>
      <c r="AA46" s="1038">
        <f>MEDIAN(AA47:AA61)</f>
        <v>4.7499975481653633</v>
      </c>
      <c r="AB46" s="1038">
        <f>MEDIAN(AB47:AB61)</f>
        <v>0.65003140000000004</v>
      </c>
      <c r="AC46" s="1041">
        <f>MEDIAN(AC47:AC63)</f>
        <v>9.5275106430053711</v>
      </c>
      <c r="AD46" s="998">
        <f>MEDIAN(AD47:AD63)</f>
        <v>5.0165672302246094</v>
      </c>
      <c r="AE46" s="998">
        <f>MEDIAN(AE47:AE63)</f>
        <v>3.117533922195435</v>
      </c>
      <c r="AR46" s="1003">
        <v>44623</v>
      </c>
      <c r="AS46" s="999">
        <v>103412.4</v>
      </c>
      <c r="AT46" s="999">
        <f t="shared" ca="1" si="2"/>
        <v>20100</v>
      </c>
    </row>
    <row r="47" spans="1:46" ht="15" customHeight="1">
      <c r="A47" s="1895" t="s">
        <v>434</v>
      </c>
      <c r="B47" s="2014">
        <f ca="1">VLOOKUP($A47,FS!$B$2:$P$326,MATCH(B$2,FS!$B$1:$AD$1,0),FALSE)</f>
        <v>46030.879952453994</v>
      </c>
      <c r="C47" s="2014">
        <f ca="1">VLOOKUP($A47,FS!$B$2:$P$326,MATCH(C$2,FS!$B$1:$AD$1,0),FALSE)</f>
        <v>62971.404814941998</v>
      </c>
      <c r="D47" s="2014">
        <f ca="1">VLOOKUP($A47,FS!$B$2:$AD$326,MATCH(D$2,FS!$B$1:$AD$1,0),FALSE)</f>
        <v>55834.209834075002</v>
      </c>
      <c r="E47" s="2014">
        <f ca="1">VLOOKUP($A47,FS!$B$2:$AD$326,MATCH(E$2,FS!$B$1:$AD$1,0),FALSE)</f>
        <v>60106.709754880998</v>
      </c>
      <c r="F47" s="2014">
        <f ca="1">VLOOKUP($A47,FS!$B$2:$AD$326,MATCH(F$2,FS!$B$1:$AD$1,0),FALSE)</f>
        <v>70218.709730062008</v>
      </c>
      <c r="G47" s="2014">
        <f ca="1">VLOOKUP($A47,FS!$B$2:$AD$326,MATCH(G$2,FS!$B$1:$AD$1,0),FALSE)</f>
        <v>77057.487582431306</v>
      </c>
      <c r="H47" s="2014">
        <f ca="1">VLOOKUP($A47,FS!$B$2:$AD$326,MATCH(H$2,FS!$B$1:$AD$1,0),FALSE)</f>
        <v>87945.388525232949</v>
      </c>
      <c r="I47" s="1899"/>
      <c r="J47" s="1895" t="s">
        <v>435</v>
      </c>
      <c r="K47" s="1911">
        <f>IFERROR(VLOOKUP($J47,FS!$B$2:$AD$326,MATCH(K$2,FS!$B$1:$AD$1,0),FALSE),"")</f>
        <v>7.123753896023155E-2</v>
      </c>
      <c r="L47" s="1911">
        <f>IFERROR(VLOOKUP($J47,FS!$B$2:$AD$326,MATCH(L$2,FS!$B$1:$AD$1,0),FALSE),"")</f>
        <v>0.19587387031600945</v>
      </c>
      <c r="M47" s="1911">
        <f>IFERROR(VLOOKUP($J47,FS!$B$2:$AD$326,MATCH(M$2,FS!$B$1:$AD$1,0),FALSE),"")</f>
        <v>-6.4481332165390759E-2</v>
      </c>
      <c r="N47" s="1911">
        <f>IFERROR(VLOOKUP($J47,FS!$B$2:$AD$326,MATCH(N$2,FS!$B$1:$AD$1,0),FALSE),"")</f>
        <v>-0.88612088866066396</v>
      </c>
      <c r="O47" s="1911">
        <f>IFERROR(VLOOKUP($J47,FS!$B$2:$AD$326,MATCH(O$2,FS!$B$1:$AD$1,0),FALSE),"")</f>
        <v>5.9969789977517953</v>
      </c>
      <c r="P47" s="1911">
        <f ca="1">IFERROR(VLOOKUP($J47,FS!$B$2:$AD$326,MATCH(P$2,FS!$B$1:$AD$1,0),FALSE),"")</f>
        <v>0.79845826844098888</v>
      </c>
      <c r="Q47" s="1911">
        <f ca="1">IFERROR(VLOOKUP($J47,FS!$B$2:$AD$326,MATCH(Q$2,FS!$B$1:$AD$1,0),FALSE),"")</f>
        <v>0.2530709380329248</v>
      </c>
      <c r="S47" s="998" t="s">
        <v>436</v>
      </c>
      <c r="T47" s="998" t="s">
        <v>437</v>
      </c>
      <c r="U47" s="1039">
        <v>78127381.276342377</v>
      </c>
      <c r="V47" s="1041">
        <v>9.3060271304819953</v>
      </c>
      <c r="W47" s="1041">
        <v>3.8070054465176115</v>
      </c>
      <c r="X47" s="1041">
        <v>0.54928851060176598</v>
      </c>
      <c r="Y47" s="1038">
        <f>AD47/10^2</f>
        <v>0.16983808517456056</v>
      </c>
      <c r="Z47" s="1038">
        <f>AE47/10^2</f>
        <v>-3.6734728813171393E-2</v>
      </c>
      <c r="AA47" s="1041">
        <v>4.5829597937964772</v>
      </c>
      <c r="AB47" s="1041">
        <v>1.1355310000000001</v>
      </c>
      <c r="AC47" s="999">
        <v>42.098350524902344</v>
      </c>
      <c r="AD47" s="998">
        <v>16.983808517456055</v>
      </c>
      <c r="AE47" s="998">
        <v>-3.6734728813171391</v>
      </c>
      <c r="AR47" s="1003">
        <v>44622</v>
      </c>
      <c r="AS47" s="999">
        <v>102815.79</v>
      </c>
      <c r="AT47" s="999">
        <f t="shared" ca="1" si="2"/>
        <v>20100</v>
      </c>
    </row>
    <row r="48" spans="1:46" ht="15" customHeight="1">
      <c r="A48" s="1903" t="s">
        <v>438</v>
      </c>
      <c r="B48" s="1904">
        <f ca="1">VLOOKUP($A48,FS!$B$2:$P$326,MATCH(B$2,FS!$B$1:$AD$1,0),FALSE)</f>
        <v>453.20998700000001</v>
      </c>
      <c r="C48" s="1904">
        <f ca="1">VLOOKUP($A48,FS!$B$2:$P$326,MATCH(C$2,FS!$B$1:$AD$1,0),FALSE)</f>
        <v>713.06549500000006</v>
      </c>
      <c r="D48" s="1904">
        <f ca="1">VLOOKUP($A48,FS!$B$2:$AD$326,MATCH(D$2,FS!$B$1:$AD$1,0),FALSE)</f>
        <v>1463.8792799999999</v>
      </c>
      <c r="E48" s="1904">
        <f ca="1">VLOOKUP($A48,FS!$B$2:$AD$326,MATCH(E$2,FS!$B$1:$AD$1,0),FALSE)</f>
        <v>1463.8792799999999</v>
      </c>
      <c r="F48" s="1904">
        <f ca="1">VLOOKUP($A48,FS!$B$2:$AD$326,MATCH(F$2,FS!$B$1:$AD$1,0),FALSE)</f>
        <v>1463.376716</v>
      </c>
      <c r="G48" s="1904">
        <f ca="1">VLOOKUP($A48,FS!$B$2:$AD$326,MATCH(G$2,FS!$B$1:$AD$1,0),FALSE)</f>
        <v>1468.4567630000001</v>
      </c>
      <c r="H48" s="1904">
        <f ca="1">VLOOKUP($A48,FS!$B$2:$AD$326,MATCH(H$2,FS!$B$1:$AD$1,0),FALSE)</f>
        <v>1468.4567630000001</v>
      </c>
      <c r="I48" s="2017"/>
      <c r="J48" s="1903" t="s">
        <v>375</v>
      </c>
      <c r="K48" s="2018">
        <f ca="1">IFERROR(VLOOKUP($J48,FS!$B$2:$AD$326,MATCH(K$2,FS!$B$1:$AD$1,0),FALSE),"")</f>
        <v>-0.50181466686630283</v>
      </c>
      <c r="L48" s="2018">
        <f ca="1">IFERROR(VLOOKUP($J48,FS!$B$2:$AD$326,MATCH(L$2,FS!$B$1:$AD$1,0),FALSE),"")</f>
        <v>0.2459093699256476</v>
      </c>
      <c r="M48" s="2018">
        <f ca="1">IFERROR(VLOOKUP($J48,FS!$B$2:$AD$326,MATCH(M$2,FS!$B$1:$AD$1,0),FALSE),"")</f>
        <v>-0.16349800198775044</v>
      </c>
      <c r="N48" s="2019">
        <f ca="1">IFERROR(VLOOKUP($J48,FS!$B$2:$AD$326,MATCH(N$2,FS!$B$1:$AD$1,0),FALSE),"")</f>
        <v>-0.9591026623765091</v>
      </c>
      <c r="O48" s="2019">
        <f ca="1">IFERROR(VLOOKUP($J48,FS!$B$2:$AD$326,MATCH(O$2,FS!$B$1:$AD$1,0),FALSE),"")</f>
        <v>21.197661610378447</v>
      </c>
      <c r="P48" s="2019">
        <f ca="1">IFERROR(VLOOKUP($J48,FS!$B$2:$AD$326,MATCH(P$2,FS!$B$1:$AD$1,0),FALSE),"")</f>
        <v>0.81559478193380075</v>
      </c>
      <c r="Q48" s="2019">
        <f ca="1">IFERROR(VLOOKUP($J48,FS!$B$2:$AD$326,MATCH(Q$2,FS!$B$1:$AD$1,0),FALSE),"")</f>
        <v>0.27265474635667997</v>
      </c>
      <c r="S48" s="998" t="s">
        <v>439</v>
      </c>
      <c r="T48" s="998" t="s">
        <v>440</v>
      </c>
      <c r="U48" s="1039">
        <v>78617122.404964179</v>
      </c>
      <c r="V48" s="1041">
        <v>10.255281690140846</v>
      </c>
      <c r="W48" s="1041">
        <v>0.58218151089727588</v>
      </c>
      <c r="X48" s="1041">
        <v>0.24421147229845364</v>
      </c>
      <c r="Y48" s="1038">
        <f t="shared" ref="Y48:Y61" si="18">AD48/10^2</f>
        <v>3.0493710041046139E-2</v>
      </c>
      <c r="Z48" s="1038">
        <f t="shared" ref="Z48:Z61" si="19">AE48/10^2</f>
        <v>3.1175339221954351E-2</v>
      </c>
      <c r="AA48" s="1041">
        <v>8.1075138438947558</v>
      </c>
      <c r="AB48" s="1041">
        <v>0.63027469999999997</v>
      </c>
      <c r="AC48" s="999">
        <v>6.009148120880127</v>
      </c>
      <c r="AD48" s="998">
        <v>3.0493710041046138</v>
      </c>
      <c r="AE48" s="998">
        <v>3.117533922195435</v>
      </c>
      <c r="AR48" s="1003">
        <v>44621</v>
      </c>
      <c r="AS48" s="999">
        <v>104406.75</v>
      </c>
      <c r="AT48" s="999">
        <f t="shared" ca="1" si="2"/>
        <v>20100</v>
      </c>
    </row>
    <row r="49" spans="1:46" ht="15" customHeight="1">
      <c r="I49" s="1901"/>
      <c r="J49" s="1915" t="s">
        <v>441</v>
      </c>
      <c r="S49" s="998" t="s">
        <v>442</v>
      </c>
      <c r="T49" s="998" t="s">
        <v>443</v>
      </c>
      <c r="U49" s="1039">
        <v>43348022.871760994</v>
      </c>
      <c r="V49" s="1041">
        <v>8.7556507256721385</v>
      </c>
      <c r="W49" s="1041">
        <v>0.73861553337213948</v>
      </c>
      <c r="X49" s="1041">
        <v>0.28851436332957986</v>
      </c>
      <c r="Y49" s="1038">
        <f t="shared" si="18"/>
        <v>5.6785178184509275E-2</v>
      </c>
      <c r="Z49" s="1038">
        <f t="shared" si="19"/>
        <v>2.6419460773468021E-2</v>
      </c>
      <c r="AA49" s="1041">
        <v>5.3090201403808361</v>
      </c>
      <c r="AB49" s="1041">
        <v>0.65003140000000004</v>
      </c>
      <c r="AC49" s="999">
        <v>8.5934734344482422</v>
      </c>
      <c r="AD49" s="998">
        <v>5.6785178184509277</v>
      </c>
      <c r="AE49" s="998">
        <v>2.6419460773468022</v>
      </c>
      <c r="AR49" s="1003">
        <v>44620</v>
      </c>
      <c r="AS49" s="999">
        <v>102418.05</v>
      </c>
      <c r="AT49" s="999">
        <f t="shared" ca="1" si="2"/>
        <v>20100</v>
      </c>
    </row>
    <row r="50" spans="1:46" ht="15" customHeight="1">
      <c r="A50" s="2015"/>
      <c r="B50" s="2015"/>
      <c r="C50" s="2015"/>
      <c r="D50" s="2015"/>
      <c r="E50" s="2015"/>
      <c r="F50" s="2015"/>
      <c r="G50" s="2015"/>
      <c r="H50" s="2015"/>
      <c r="I50" s="1912"/>
      <c r="J50" s="1903"/>
      <c r="K50" s="1914"/>
      <c r="L50" s="1914"/>
      <c r="M50" s="1914"/>
      <c r="N50" s="1914"/>
      <c r="O50" s="1914"/>
      <c r="P50" s="1914"/>
      <c r="Q50" s="1914"/>
      <c r="S50" s="998" t="s">
        <v>444</v>
      </c>
      <c r="T50" s="998" t="s">
        <v>445</v>
      </c>
      <c r="U50" s="1039">
        <v>42125013.207828455</v>
      </c>
      <c r="V50" s="1041">
        <v>38.989849875402662</v>
      </c>
      <c r="W50" s="1041">
        <v>1.71580128027729</v>
      </c>
      <c r="X50" s="1041">
        <v>0.28095711273058877</v>
      </c>
      <c r="Y50" s="1038">
        <f t="shared" si="18"/>
        <v>1.2657370567321779E-2</v>
      </c>
      <c r="Z50" s="1038">
        <f t="shared" si="19"/>
        <v>-0.39299648284912109</v>
      </c>
      <c r="AA50" s="1041">
        <v>9.7057627230274299</v>
      </c>
      <c r="AB50" s="1041">
        <v>0.5476666</v>
      </c>
      <c r="AC50" s="999">
        <v>4.1859989166259766</v>
      </c>
      <c r="AD50" s="998">
        <v>1.265737056732178</v>
      </c>
      <c r="AE50" s="998">
        <v>-39.299648284912109</v>
      </c>
      <c r="AR50" s="1003">
        <v>44617</v>
      </c>
      <c r="AS50" s="999">
        <v>107190.93</v>
      </c>
      <c r="AT50" s="999">
        <f t="shared" ca="1" si="2"/>
        <v>20100</v>
      </c>
    </row>
    <row r="51" spans="1:46" ht="15" customHeight="1">
      <c r="I51" s="1912"/>
      <c r="J51" s="1915" t="s">
        <v>441</v>
      </c>
      <c r="K51" s="1901"/>
      <c r="L51" s="1901"/>
      <c r="M51" s="1902"/>
      <c r="N51" s="1902"/>
      <c r="O51" s="1902"/>
      <c r="P51" s="1902"/>
      <c r="Q51" s="1902"/>
      <c r="S51" s="998" t="s">
        <v>446</v>
      </c>
      <c r="T51" s="998" t="s">
        <v>447</v>
      </c>
      <c r="U51" s="1039">
        <v>24627942.099752866</v>
      </c>
      <c r="V51" s="1041">
        <v>10.266438523588365</v>
      </c>
      <c r="W51" s="1041">
        <v>0.63073953494513235</v>
      </c>
      <c r="X51" s="1041">
        <v>0.18041454110236821</v>
      </c>
      <c r="Y51" s="1038">
        <f t="shared" si="18"/>
        <v>3.3769879341125492E-2</v>
      </c>
      <c r="Z51" s="1038">
        <f t="shared" si="19"/>
        <v>6.3136968612670902E-2</v>
      </c>
      <c r="AA51" s="1041">
        <v>4.7499975481653633</v>
      </c>
      <c r="AB51" s="1041">
        <v>0.55983479999999997</v>
      </c>
      <c r="AC51" s="999">
        <v>6.2453899383544922</v>
      </c>
      <c r="AD51" s="998">
        <v>3.3769879341125488</v>
      </c>
      <c r="AE51" s="998">
        <v>6.3136968612670898</v>
      </c>
      <c r="AR51" s="1003">
        <v>44616</v>
      </c>
      <c r="AS51" s="999">
        <v>108384.15</v>
      </c>
      <c r="AT51" s="999">
        <f t="shared" ca="1" si="2"/>
        <v>20100</v>
      </c>
    </row>
    <row r="52" spans="1:46" ht="15" customHeight="1">
      <c r="A52" s="1903"/>
      <c r="B52" s="1913"/>
      <c r="C52" s="1913"/>
      <c r="D52" s="1913"/>
      <c r="E52" s="1913"/>
      <c r="F52" s="1913"/>
      <c r="G52" s="1913"/>
      <c r="H52" s="1913"/>
      <c r="I52" s="1912"/>
      <c r="K52" s="1901"/>
      <c r="L52" s="1901"/>
      <c r="M52" s="1902"/>
      <c r="N52" s="1902"/>
      <c r="O52" s="1902"/>
      <c r="P52" s="1902"/>
      <c r="Q52" s="1902"/>
      <c r="S52" s="998" t="s">
        <v>448</v>
      </c>
      <c r="T52" s="998" t="s">
        <v>449</v>
      </c>
      <c r="U52" s="1039">
        <v>23575609.020081092</v>
      </c>
      <c r="V52" s="1041">
        <v>4.4850074069028922</v>
      </c>
      <c r="W52" s="1041">
        <v>0.40694900925143801</v>
      </c>
      <c r="X52" s="1041">
        <v>0.2283746625659471</v>
      </c>
      <c r="Y52" s="1038">
        <f t="shared" si="18"/>
        <v>9.31431770324707E-2</v>
      </c>
      <c r="Z52" s="1038">
        <f t="shared" si="19"/>
        <v>-0.46578884124755859</v>
      </c>
      <c r="AA52" s="1041">
        <v>0.91312186999055711</v>
      </c>
      <c r="AB52" s="1041">
        <v>0.67585709999999999</v>
      </c>
      <c r="AC52" s="999">
        <v>21.558076858520508</v>
      </c>
      <c r="AD52" s="998">
        <v>9.3143177032470703</v>
      </c>
      <c r="AE52" s="998">
        <v>-46.578884124755859</v>
      </c>
      <c r="AR52" s="1003">
        <v>44615</v>
      </c>
      <c r="AS52" s="999">
        <v>108980.76</v>
      </c>
      <c r="AT52" s="999">
        <f t="shared" ca="1" si="2"/>
        <v>20100</v>
      </c>
    </row>
    <row r="53" spans="1:46" ht="10.5" customHeight="1">
      <c r="A53" s="1901"/>
      <c r="B53" s="1901"/>
      <c r="C53" s="1901"/>
      <c r="D53" s="1901"/>
      <c r="E53" s="1912"/>
      <c r="F53" s="1912"/>
      <c r="G53" s="1912"/>
      <c r="H53" s="1912"/>
      <c r="I53" s="1915" t="s">
        <v>450</v>
      </c>
      <c r="S53" s="998" t="s">
        <v>451</v>
      </c>
      <c r="T53" s="998" t="s">
        <v>452</v>
      </c>
      <c r="U53" s="1039">
        <v>15930655.282544738</v>
      </c>
      <c r="V53" s="1041">
        <v>9.739172050729838</v>
      </c>
      <c r="W53" s="1041">
        <v>1.2471706342615476</v>
      </c>
      <c r="X53" s="1041">
        <v>0.19360742262820063</v>
      </c>
      <c r="Y53" s="1038">
        <f t="shared" si="18"/>
        <v>3.9281699657440189E-2</v>
      </c>
      <c r="Z53" s="1038">
        <f t="shared" si="19"/>
        <v>-0.1199562644958496</v>
      </c>
      <c r="AA53" s="1041">
        <v>3.1371143257013361</v>
      </c>
      <c r="AB53" s="1041">
        <v>0.5256748</v>
      </c>
      <c r="AC53" s="999">
        <v>13.296627998352051</v>
      </c>
      <c r="AD53" s="998">
        <v>3.928169965744019</v>
      </c>
      <c r="AE53" s="998">
        <v>-11.995626449584961</v>
      </c>
      <c r="AR53" s="1003">
        <v>44614</v>
      </c>
      <c r="AS53" s="999">
        <v>109378.5</v>
      </c>
      <c r="AT53" s="999">
        <f t="shared" ca="1" si="2"/>
        <v>20100</v>
      </c>
    </row>
    <row r="54" spans="1:46" ht="10.5" customHeight="1">
      <c r="A54" s="1901"/>
      <c r="B54" s="1901"/>
      <c r="C54" s="1901"/>
      <c r="D54" s="1901"/>
      <c r="E54" s="1912"/>
      <c r="F54" s="1912"/>
      <c r="G54" s="1912"/>
      <c r="H54" s="1912"/>
      <c r="I54" s="1901"/>
      <c r="S54" s="998" t="s">
        <v>453</v>
      </c>
      <c r="T54" s="998" t="s">
        <v>454</v>
      </c>
      <c r="U54" s="1039">
        <v>9210582.3155054152</v>
      </c>
      <c r="V54" s="1041">
        <v>9.4614264919941782</v>
      </c>
      <c r="W54" s="1041">
        <v>0.50683683930616097</v>
      </c>
      <c r="X54" s="1041">
        <v>0.12411245620376345</v>
      </c>
      <c r="Y54" s="1038">
        <f t="shared" si="18"/>
        <v>2.437552928924561E-2</v>
      </c>
      <c r="Z54" s="1038">
        <f t="shared" si="19"/>
        <v>4.5960000716150006E-5</v>
      </c>
      <c r="AA54" s="1041">
        <v>6.7776468514281385</v>
      </c>
      <c r="AB54" s="1041">
        <v>0.8856948</v>
      </c>
      <c r="AC54" s="999">
        <v>5.4282941818237305</v>
      </c>
      <c r="AD54" s="998">
        <v>2.437552928924561</v>
      </c>
      <c r="AE54" s="998">
        <v>4.5960000716150006E-3</v>
      </c>
      <c r="AR54" s="1003">
        <v>44613</v>
      </c>
      <c r="AS54" s="999">
        <v>105898.28</v>
      </c>
      <c r="AT54" s="999">
        <f t="shared" ca="1" si="2"/>
        <v>20100</v>
      </c>
    </row>
    <row r="55" spans="1:46" ht="10.5" customHeight="1">
      <c r="S55" s="998" t="s">
        <v>455</v>
      </c>
      <c r="T55" s="998" t="s">
        <v>456</v>
      </c>
      <c r="U55" s="1039">
        <v>8416212.5555942934</v>
      </c>
      <c r="V55" s="1041">
        <v>8.2853700977111497</v>
      </c>
      <c r="W55" s="1041">
        <v>0.77066457365880436</v>
      </c>
      <c r="X55" s="1041">
        <v>0.17086690549108743</v>
      </c>
      <c r="Y55" s="1038">
        <f t="shared" si="18"/>
        <v>5.0165672302246091E-2</v>
      </c>
      <c r="Z55" s="1038">
        <f t="shared" si="19"/>
        <v>0.19125350952148437</v>
      </c>
      <c r="AA55" s="1041">
        <v>4.4127046037735846</v>
      </c>
      <c r="AB55" s="1041">
        <v>0.72767190000000004</v>
      </c>
      <c r="AC55" s="999">
        <v>9.5275106430053711</v>
      </c>
      <c r="AD55" s="998">
        <v>5.0165672302246094</v>
      </c>
      <c r="AE55" s="998">
        <v>19.125350952148438</v>
      </c>
      <c r="AM55" s="999">
        <f>95*1.07</f>
        <v>101.65</v>
      </c>
      <c r="AR55" s="1003">
        <v>44610</v>
      </c>
      <c r="AS55" s="999">
        <v>106395.45</v>
      </c>
      <c r="AT55" s="999">
        <f t="shared" ca="1" si="2"/>
        <v>20100</v>
      </c>
    </row>
    <row r="56" spans="1:46" ht="10.5" customHeight="1">
      <c r="S56" s="998" t="s">
        <v>457</v>
      </c>
      <c r="T56" s="998" t="s">
        <v>458</v>
      </c>
      <c r="U56" s="1039">
        <v>7370141.1034106305</v>
      </c>
      <c r="V56" s="1041">
        <v>14.278885550396067</v>
      </c>
      <c r="W56" s="1041">
        <v>1.3379820529133115</v>
      </c>
      <c r="X56" s="1041">
        <v>0.39211087495083574</v>
      </c>
      <c r="Y56" s="1038">
        <f t="shared" si="18"/>
        <v>6.6248569488525394E-2</v>
      </c>
      <c r="Z56" s="1038">
        <f t="shared" si="19"/>
        <v>1.0024939775466918E-2</v>
      </c>
      <c r="AA56" s="1041">
        <v>4.9110129342264512</v>
      </c>
      <c r="AB56" s="1041">
        <v>0.33001649999999999</v>
      </c>
      <c r="AC56" s="999">
        <v>9.6707010269165039</v>
      </c>
      <c r="AD56" s="998">
        <v>6.6248569488525391</v>
      </c>
      <c r="AE56" s="998">
        <v>1.0024939775466919</v>
      </c>
      <c r="AM56" s="999">
        <f>AM55/84</f>
        <v>1.2101190476190478</v>
      </c>
      <c r="AR56" s="1003">
        <v>44609</v>
      </c>
      <c r="AS56" s="999">
        <v>107290.37</v>
      </c>
      <c r="AT56" s="999">
        <f t="shared" ca="1" si="2"/>
        <v>20100</v>
      </c>
    </row>
    <row r="57" spans="1:46" ht="10.5" customHeight="1">
      <c r="S57" s="998" t="s">
        <v>459</v>
      </c>
      <c r="T57" s="998" t="s">
        <v>460</v>
      </c>
      <c r="U57" s="1039">
        <v>3909074.5696446071</v>
      </c>
      <c r="V57" s="1041" t="s">
        <v>461</v>
      </c>
      <c r="W57" s="1041">
        <v>1.0917059143155696</v>
      </c>
      <c r="X57" s="1041">
        <v>0.37909208488308072</v>
      </c>
      <c r="Y57" s="1038">
        <f t="shared" si="18"/>
        <v>-0.10002927780151367</v>
      </c>
      <c r="Z57" s="1038">
        <f t="shared" si="19"/>
        <v>3.5293118953704829E-2</v>
      </c>
      <c r="AA57" s="1041" t="s">
        <v>461</v>
      </c>
      <c r="AB57" s="1041">
        <v>1.053518</v>
      </c>
      <c r="AC57" s="999">
        <v>-18.618278503417969</v>
      </c>
      <c r="AD57" s="998">
        <v>-10.002927780151367</v>
      </c>
      <c r="AE57" s="998">
        <v>3.529311895370483</v>
      </c>
      <c r="AR57" s="1003">
        <v>44608</v>
      </c>
      <c r="AS57" s="999">
        <v>105699.41</v>
      </c>
      <c r="AT57" s="999">
        <f t="shared" ca="1" si="2"/>
        <v>20100</v>
      </c>
    </row>
    <row r="58" spans="1:46" ht="10.5" customHeight="1">
      <c r="S58" s="998" t="s">
        <v>462</v>
      </c>
      <c r="T58" s="998" t="s">
        <v>463</v>
      </c>
      <c r="U58" s="1039">
        <v>3784356.4874210581</v>
      </c>
      <c r="V58" s="1041">
        <v>15.21572271056124</v>
      </c>
      <c r="W58" s="1041">
        <v>1.3862181535159366</v>
      </c>
      <c r="X58" s="1041">
        <v>0.73183357138477745</v>
      </c>
      <c r="Y58" s="1038">
        <f t="shared" si="18"/>
        <v>7.0244250297546384E-2</v>
      </c>
      <c r="Z58" s="1038">
        <f t="shared" si="19"/>
        <v>6.4862799644470212E-2</v>
      </c>
      <c r="AA58" s="1041">
        <v>4.6301187930054919</v>
      </c>
      <c r="AB58" s="1041">
        <v>0.5436822</v>
      </c>
      <c r="AC58" s="999">
        <v>9.6018896102905273</v>
      </c>
      <c r="AD58" s="998">
        <v>7.0244250297546387</v>
      </c>
      <c r="AE58" s="998">
        <v>6.4862799644470215</v>
      </c>
      <c r="AR58" s="1003">
        <v>44607</v>
      </c>
      <c r="AS58" s="999">
        <v>104903.92</v>
      </c>
      <c r="AT58" s="999">
        <f t="shared" ca="1" si="2"/>
        <v>20100</v>
      </c>
    </row>
    <row r="59" spans="1:46" ht="10.5" customHeight="1">
      <c r="S59" s="998" t="s">
        <v>464</v>
      </c>
      <c r="T59" s="998" t="s">
        <v>465</v>
      </c>
      <c r="U59" s="1039">
        <v>3185108.0152477426</v>
      </c>
      <c r="V59" s="1041">
        <v>13.151412168072634</v>
      </c>
      <c r="W59" s="1041">
        <v>1.2806398356159743</v>
      </c>
      <c r="X59" s="1041">
        <v>0.70549415985078257</v>
      </c>
      <c r="Y59" s="1038">
        <f t="shared" si="18"/>
        <v>7.4292511940002443E-2</v>
      </c>
      <c r="Z59" s="1038">
        <f t="shared" si="19"/>
        <v>4.3579421043395995E-2</v>
      </c>
      <c r="AA59" s="1041" t="s">
        <v>461</v>
      </c>
      <c r="AB59" s="1041">
        <v>0.67203740000000001</v>
      </c>
      <c r="AC59" s="999">
        <v>10.186874389648438</v>
      </c>
      <c r="AD59" s="998">
        <v>7.4292511940002441</v>
      </c>
      <c r="AE59" s="998">
        <v>4.3579421043395996</v>
      </c>
      <c r="AR59" s="1003">
        <v>44606</v>
      </c>
      <c r="AS59" s="999">
        <v>104009.01</v>
      </c>
      <c r="AT59" s="999">
        <f t="shared" ca="1" si="2"/>
        <v>20100</v>
      </c>
    </row>
    <row r="60" spans="1:46" ht="10.5" customHeight="1">
      <c r="S60" s="998" t="s">
        <v>466</v>
      </c>
      <c r="T60" s="998" t="s">
        <v>467</v>
      </c>
      <c r="U60" s="1039">
        <v>2601689.0419416982</v>
      </c>
      <c r="V60" s="1041">
        <v>8.1392190404735043</v>
      </c>
      <c r="W60" s="1041">
        <v>2.0169544515877731</v>
      </c>
      <c r="X60" s="1041">
        <v>0.56226815557851662</v>
      </c>
      <c r="Y60" s="1038">
        <f t="shared" si="18"/>
        <v>9.4261703491210935E-2</v>
      </c>
      <c r="Z60" s="1038">
        <f t="shared" si="19"/>
        <v>0.10129735946655273</v>
      </c>
      <c r="AA60" s="1041">
        <v>6.8906290535757391</v>
      </c>
      <c r="AB60" s="1041">
        <v>0.36493540000000002</v>
      </c>
      <c r="AC60" s="999">
        <v>25.456695556640625</v>
      </c>
      <c r="AD60" s="998">
        <v>9.4261703491210938</v>
      </c>
      <c r="AE60" s="998">
        <v>10.129735946655273</v>
      </c>
      <c r="AR60" s="1003">
        <v>44603</v>
      </c>
      <c r="AS60" s="999">
        <v>104207.88</v>
      </c>
      <c r="AT60" s="999">
        <f t="shared" ca="1" si="2"/>
        <v>20100</v>
      </c>
    </row>
    <row r="61" spans="1:46" ht="10.5" customHeight="1">
      <c r="S61" s="998" t="s">
        <v>468</v>
      </c>
      <c r="T61" s="998" t="s">
        <v>469</v>
      </c>
      <c r="U61" s="1039">
        <v>2479431.5203988645</v>
      </c>
      <c r="V61" s="1041">
        <v>16.554261189454323</v>
      </c>
      <c r="W61" s="1041">
        <v>0.51578442207645325</v>
      </c>
      <c r="X61" s="1041">
        <v>0.43361882726602047</v>
      </c>
      <c r="Y61" s="1038">
        <f t="shared" si="18"/>
        <v>2.269293069839478E-2</v>
      </c>
      <c r="Z61" s="1038">
        <f t="shared" si="19"/>
        <v>9.0275850296020504E-2</v>
      </c>
      <c r="AA61" s="1041">
        <v>4.311446432957637</v>
      </c>
      <c r="AB61" s="1041">
        <v>0.89701149999999996</v>
      </c>
      <c r="AC61" s="999">
        <v>3.1232280731201172</v>
      </c>
      <c r="AD61" s="998">
        <v>2.269293069839478</v>
      </c>
      <c r="AE61" s="998">
        <v>9.0275850296020508</v>
      </c>
      <c r="AR61" s="1003">
        <v>44602</v>
      </c>
      <c r="AS61" s="999">
        <v>102716.36</v>
      </c>
      <c r="AT61" s="999">
        <f t="shared" ca="1" si="2"/>
        <v>20100</v>
      </c>
    </row>
    <row r="62" spans="1:46" ht="10.5" customHeight="1">
      <c r="S62" s="998"/>
      <c r="T62" s="998"/>
      <c r="U62" s="1039"/>
      <c r="V62" s="1041"/>
      <c r="W62" s="1041"/>
      <c r="X62" s="1041"/>
      <c r="Y62" s="1038"/>
      <c r="Z62" s="1038"/>
      <c r="AA62" s="1041"/>
      <c r="AB62" s="1041"/>
      <c r="AD62" s="998"/>
      <c r="AE62" s="998"/>
      <c r="AL62" s="999">
        <f>100800/85700-1</f>
        <v>0.17619603267211192</v>
      </c>
      <c r="AR62" s="1003">
        <v>44601</v>
      </c>
      <c r="AS62" s="999">
        <v>102716.36</v>
      </c>
      <c r="AT62" s="999">
        <f t="shared" ca="1" si="2"/>
        <v>20100</v>
      </c>
    </row>
    <row r="63" spans="1:46" ht="10.5" customHeight="1">
      <c r="S63" s="998"/>
      <c r="T63" s="998"/>
      <c r="U63" s="1039"/>
      <c r="V63" s="1041"/>
      <c r="W63" s="1041"/>
      <c r="X63" s="1041"/>
      <c r="Y63" s="1038"/>
      <c r="Z63" s="1038"/>
      <c r="AA63" s="1041"/>
      <c r="AB63" s="1041"/>
      <c r="AD63" s="998"/>
      <c r="AE63" s="998"/>
      <c r="AR63" s="1003">
        <v>44600</v>
      </c>
      <c r="AS63" s="999">
        <v>104406.75</v>
      </c>
      <c r="AT63" s="999">
        <f t="shared" ca="1" si="2"/>
        <v>20100</v>
      </c>
    </row>
    <row r="64" spans="1:46" ht="10.5" customHeight="1">
      <c r="S64" s="998"/>
      <c r="T64" s="998"/>
      <c r="U64" s="1039"/>
      <c r="V64" s="1041"/>
      <c r="W64" s="1041"/>
      <c r="X64" s="1041"/>
      <c r="Y64" s="1038"/>
      <c r="Z64" s="1038"/>
      <c r="AA64" s="1041"/>
      <c r="AB64" s="1041"/>
      <c r="AD64" s="998"/>
      <c r="AE64" s="998"/>
      <c r="AR64" s="1003">
        <v>44599</v>
      </c>
      <c r="AS64" s="999">
        <v>106693.75</v>
      </c>
      <c r="AT64" s="999">
        <f t="shared" ca="1" si="2"/>
        <v>20100</v>
      </c>
    </row>
    <row r="65" spans="18:46" ht="10.5" customHeight="1">
      <c r="S65" s="998"/>
      <c r="T65" s="998"/>
      <c r="U65" s="1039"/>
      <c r="V65" s="1039"/>
      <c r="W65" s="1039"/>
      <c r="X65" s="1039"/>
      <c r="Y65" s="1042"/>
      <c r="Z65" s="1039"/>
      <c r="AA65" s="1039"/>
      <c r="AB65" s="1039"/>
      <c r="AC65" s="998"/>
      <c r="AD65" s="998"/>
      <c r="AR65" s="1003">
        <v>44589</v>
      </c>
      <c r="AS65" s="999">
        <v>103412.4</v>
      </c>
      <c r="AT65" s="999">
        <f t="shared" ca="1" si="2"/>
        <v>20100</v>
      </c>
    </row>
    <row r="66" spans="18:46" ht="10.5" customHeight="1">
      <c r="AR66" s="1003">
        <v>44588</v>
      </c>
      <c r="AS66" s="999">
        <v>100429.35</v>
      </c>
      <c r="AT66" s="999">
        <f t="shared" ca="1" si="2"/>
        <v>20100</v>
      </c>
    </row>
    <row r="67" spans="18:46" ht="10.5" customHeight="1">
      <c r="AR67" s="1003">
        <v>44587</v>
      </c>
      <c r="AS67" s="999">
        <v>100429.35</v>
      </c>
      <c r="AT67" s="999">
        <f t="shared" ca="1" si="2"/>
        <v>20100</v>
      </c>
    </row>
    <row r="68" spans="18:46" ht="15" customHeight="1">
      <c r="AR68" s="1003">
        <v>44586</v>
      </c>
      <c r="AS68" s="999">
        <v>96451.95</v>
      </c>
      <c r="AT68" s="999">
        <f t="shared" ca="1" si="2"/>
        <v>20100</v>
      </c>
    </row>
    <row r="69" spans="18:46" ht="15" customHeight="1">
      <c r="AR69" s="1003">
        <v>44585</v>
      </c>
      <c r="AS69" s="999">
        <v>96352.52</v>
      </c>
      <c r="AT69" s="999">
        <f t="shared" ref="AT69:AT74" ca="1" si="20">AT68</f>
        <v>20100</v>
      </c>
    </row>
    <row r="70" spans="18:46" ht="15" customHeight="1">
      <c r="AR70" s="1003">
        <v>44582</v>
      </c>
      <c r="AS70" s="999">
        <v>94960.43</v>
      </c>
      <c r="AT70" s="999">
        <f t="shared" ca="1" si="20"/>
        <v>20100</v>
      </c>
    </row>
    <row r="71" spans="18:46" ht="15" customHeight="1">
      <c r="AR71" s="1003">
        <v>44581</v>
      </c>
      <c r="AS71" s="999">
        <v>93866.64</v>
      </c>
      <c r="AT71" s="999">
        <f t="shared" ca="1" si="20"/>
        <v>20100</v>
      </c>
    </row>
    <row r="72" spans="18:46" ht="15" customHeight="1">
      <c r="AR72" s="1003">
        <v>44580</v>
      </c>
      <c r="AS72" s="999">
        <v>93071.16</v>
      </c>
      <c r="AT72" s="999">
        <f t="shared" ca="1" si="20"/>
        <v>20100</v>
      </c>
    </row>
    <row r="73" spans="18:46" ht="15" customHeight="1">
      <c r="R73" s="1043">
        <f>166187000000/23000</f>
        <v>7225521.7391304346</v>
      </c>
      <c r="AR73" s="1003">
        <v>44579</v>
      </c>
      <c r="AS73" s="999">
        <v>92772.86</v>
      </c>
      <c r="AT73" s="999">
        <f t="shared" ca="1" si="20"/>
        <v>20100</v>
      </c>
    </row>
    <row r="74" spans="18:46" ht="10.5" customHeight="1">
      <c r="AR74" s="1003">
        <v>44578</v>
      </c>
      <c r="AS74" s="999">
        <v>92971.73</v>
      </c>
      <c r="AT74" s="999">
        <f t="shared" ca="1" si="20"/>
        <v>20100</v>
      </c>
    </row>
    <row r="75" spans="18:46" ht="10.5" customHeight="1">
      <c r="AR75" s="1003">
        <v>44575</v>
      </c>
      <c r="AS75" s="999">
        <v>93369.47</v>
      </c>
      <c r="AT75" s="999">
        <v>100000</v>
      </c>
    </row>
    <row r="76" spans="18:46" ht="10.5" customHeight="1">
      <c r="AR76" s="1003">
        <v>44574</v>
      </c>
      <c r="AS76" s="999">
        <v>93568.34</v>
      </c>
      <c r="AT76" s="999">
        <v>100000</v>
      </c>
    </row>
    <row r="77" spans="18:46" s="1044" customFormat="1" ht="10.5" customHeight="1">
      <c r="AR77" s="1003">
        <v>44573</v>
      </c>
      <c r="AS77" s="999">
        <v>92176.25</v>
      </c>
      <c r="AT77" s="999">
        <v>100000</v>
      </c>
    </row>
    <row r="78" spans="18:46" ht="10.5" customHeight="1">
      <c r="AR78" s="1003">
        <v>44572</v>
      </c>
      <c r="AS78" s="999">
        <v>93568.34</v>
      </c>
      <c r="AT78" s="999">
        <v>100000</v>
      </c>
    </row>
    <row r="79" spans="18:46" ht="10.5" customHeight="1">
      <c r="AR79" s="1003">
        <v>44571</v>
      </c>
      <c r="AS79" s="999">
        <v>92673.42</v>
      </c>
      <c r="AT79" s="999">
        <v>100000</v>
      </c>
    </row>
    <row r="80" spans="18:46" ht="10.5" customHeight="1">
      <c r="AR80" s="1003">
        <v>44568</v>
      </c>
      <c r="AS80" s="999">
        <v>93369.47</v>
      </c>
      <c r="AT80" s="999">
        <v>100000</v>
      </c>
    </row>
    <row r="81" spans="44:46" ht="10.5" customHeight="1">
      <c r="AR81" s="1003">
        <v>44567</v>
      </c>
      <c r="AS81" s="999">
        <v>94065.51</v>
      </c>
      <c r="AT81" s="999">
        <v>100000</v>
      </c>
    </row>
    <row r="82" spans="44:46" ht="10.5" customHeight="1">
      <c r="AR82" s="1003">
        <v>44566</v>
      </c>
      <c r="AS82" s="999">
        <v>94562.69</v>
      </c>
      <c r="AT82" s="999">
        <v>100000</v>
      </c>
    </row>
    <row r="83" spans="44:46" ht="10.5" customHeight="1">
      <c r="AR83" s="1003">
        <v>44565</v>
      </c>
      <c r="AS83" s="999">
        <v>95954.78</v>
      </c>
      <c r="AT83" s="999">
        <v>100000</v>
      </c>
    </row>
    <row r="84" spans="44:46" ht="10.5" customHeight="1">
      <c r="AR84" s="1003">
        <v>44561</v>
      </c>
      <c r="AS84" s="999">
        <v>95656.47</v>
      </c>
      <c r="AT84" s="999">
        <v>100000</v>
      </c>
    </row>
    <row r="85" spans="44:46" ht="10.5" customHeight="1">
      <c r="AR85" s="1003">
        <v>44560</v>
      </c>
      <c r="AS85" s="999">
        <v>91977.38</v>
      </c>
      <c r="AT85" s="999">
        <v>100000</v>
      </c>
    </row>
    <row r="86" spans="44:46" ht="10.5" customHeight="1">
      <c r="AR86" s="1003">
        <v>44559</v>
      </c>
      <c r="AS86" s="999">
        <v>92673.42</v>
      </c>
      <c r="AT86" s="999">
        <v>100000</v>
      </c>
    </row>
    <row r="87" spans="44:46" ht="10.5" customHeight="1">
      <c r="AR87" s="1003">
        <v>44558</v>
      </c>
      <c r="AS87" s="999">
        <v>95059.86</v>
      </c>
      <c r="AT87" s="999">
        <v>100000</v>
      </c>
    </row>
    <row r="88" spans="44:46" ht="10.5" customHeight="1">
      <c r="AR88" s="1003">
        <v>44557</v>
      </c>
      <c r="AS88" s="999">
        <v>95457.600000000006</v>
      </c>
      <c r="AT88" s="999">
        <v>100000</v>
      </c>
    </row>
    <row r="89" spans="44:46" ht="10.5" customHeight="1">
      <c r="AR89" s="1003">
        <v>44554</v>
      </c>
      <c r="AS89" s="999">
        <v>94164.95</v>
      </c>
      <c r="AT89" s="999">
        <v>100000</v>
      </c>
    </row>
    <row r="90" spans="44:46" ht="10.5" customHeight="1">
      <c r="AR90" s="1003">
        <v>44553</v>
      </c>
      <c r="AS90" s="999">
        <v>93170.6</v>
      </c>
      <c r="AT90" s="999">
        <v>100000</v>
      </c>
    </row>
    <row r="91" spans="44:46" ht="10.5" customHeight="1">
      <c r="AR91" s="1003">
        <v>44552</v>
      </c>
      <c r="AS91" s="999">
        <v>93966.080000000002</v>
      </c>
      <c r="AT91" s="999">
        <v>100000</v>
      </c>
    </row>
    <row r="92" spans="44:46" ht="10.5" customHeight="1">
      <c r="AR92" s="1003">
        <v>44551</v>
      </c>
      <c r="AS92" s="999">
        <v>94264.38</v>
      </c>
      <c r="AT92" s="999">
        <v>100000</v>
      </c>
    </row>
    <row r="93" spans="44:46" ht="10.5" customHeight="1">
      <c r="AR93" s="1003">
        <v>44550</v>
      </c>
      <c r="AS93" s="999">
        <v>93667.77</v>
      </c>
      <c r="AT93" s="999">
        <v>100000</v>
      </c>
    </row>
    <row r="94" spans="44:46" ht="10.5" customHeight="1">
      <c r="AR94" s="1003">
        <v>44547</v>
      </c>
      <c r="AS94" s="999">
        <v>94960.43</v>
      </c>
      <c r="AT94" s="999">
        <v>100000</v>
      </c>
    </row>
    <row r="95" spans="44:46" ht="10.5" customHeight="1">
      <c r="AR95" s="1003">
        <v>44546</v>
      </c>
      <c r="AS95" s="999">
        <v>93170.6</v>
      </c>
      <c r="AT95" s="999">
        <v>100000</v>
      </c>
    </row>
    <row r="96" spans="44:46" ht="10.5" customHeight="1">
      <c r="AR96" s="1003">
        <v>44545</v>
      </c>
      <c r="AS96" s="999">
        <v>95457.600000000006</v>
      </c>
      <c r="AT96" s="999">
        <v>100000</v>
      </c>
    </row>
    <row r="97" spans="44:46" ht="10.5" customHeight="1">
      <c r="AR97" s="1003">
        <v>44544</v>
      </c>
      <c r="AS97" s="999">
        <v>95656.47</v>
      </c>
      <c r="AT97" s="999">
        <v>100000</v>
      </c>
    </row>
    <row r="98" spans="44:46" ht="10.5" customHeight="1">
      <c r="AR98" s="1003">
        <v>44543</v>
      </c>
      <c r="AS98" s="999">
        <v>97943.48</v>
      </c>
      <c r="AT98" s="999">
        <v>100000</v>
      </c>
    </row>
    <row r="99" spans="44:46" ht="10.5" customHeight="1">
      <c r="AR99" s="1003">
        <v>44540</v>
      </c>
      <c r="AS99" s="999">
        <v>96750.25</v>
      </c>
      <c r="AT99" s="999">
        <v>100000</v>
      </c>
    </row>
    <row r="100" spans="44:46" ht="10.5" customHeight="1">
      <c r="AR100" s="1003">
        <v>44539</v>
      </c>
      <c r="AS100" s="999">
        <v>97943.48</v>
      </c>
      <c r="AT100" s="999">
        <v>100000</v>
      </c>
    </row>
    <row r="101" spans="44:46" ht="10.5" customHeight="1">
      <c r="AR101" s="1003">
        <v>44538</v>
      </c>
      <c r="AS101" s="999">
        <v>95457.62</v>
      </c>
      <c r="AT101" s="999">
        <v>100000</v>
      </c>
    </row>
    <row r="102" spans="44:46" ht="10.5" customHeight="1">
      <c r="AR102" s="1003">
        <v>44537</v>
      </c>
      <c r="AS102" s="999">
        <v>92690.73</v>
      </c>
      <c r="AT102" s="999">
        <v>100000</v>
      </c>
    </row>
    <row r="103" spans="44:46" ht="10.5" customHeight="1">
      <c r="AR103" s="1003">
        <v>44536</v>
      </c>
      <c r="AS103" s="999">
        <v>90121.48</v>
      </c>
      <c r="AT103" s="999">
        <v>100000</v>
      </c>
    </row>
    <row r="104" spans="44:46" ht="10.5" customHeight="1">
      <c r="AR104" s="1003">
        <v>44533</v>
      </c>
      <c r="AS104" s="999">
        <v>92888.36</v>
      </c>
      <c r="AT104" s="999">
        <v>100000</v>
      </c>
    </row>
    <row r="105" spans="44:46" ht="10.5" customHeight="1">
      <c r="AR105" s="1003">
        <v>44532</v>
      </c>
      <c r="AS105" s="999">
        <v>96248.16</v>
      </c>
      <c r="AT105" s="999">
        <v>100000</v>
      </c>
    </row>
    <row r="106" spans="44:46" ht="10.5" customHeight="1">
      <c r="AR106" s="1003">
        <v>44531</v>
      </c>
      <c r="AS106" s="999">
        <v>96149.34</v>
      </c>
      <c r="AT106" s="999">
        <v>100000</v>
      </c>
    </row>
    <row r="107" spans="44:46" ht="10.5" customHeight="1">
      <c r="AR107" s="1003">
        <v>44530</v>
      </c>
      <c r="AS107" s="999">
        <v>96742.24</v>
      </c>
      <c r="AT107" s="999">
        <v>100000</v>
      </c>
    </row>
    <row r="108" spans="44:46" ht="10.5" customHeight="1">
      <c r="AR108" s="1003">
        <v>44529</v>
      </c>
      <c r="AS108" s="999">
        <v>96939.88</v>
      </c>
      <c r="AT108" s="999">
        <v>100000</v>
      </c>
    </row>
    <row r="109" spans="44:46" ht="10.5" customHeight="1">
      <c r="AR109" s="1003">
        <v>44526</v>
      </c>
      <c r="AS109" s="999">
        <v>100299.67</v>
      </c>
      <c r="AT109" s="999">
        <v>100000</v>
      </c>
    </row>
    <row r="110" spans="44:46" ht="10.5" customHeight="1">
      <c r="AR110" s="1003">
        <v>44525</v>
      </c>
      <c r="AS110" s="999">
        <v>102868.92</v>
      </c>
      <c r="AT110" s="999">
        <v>100000</v>
      </c>
    </row>
    <row r="111" spans="44:46" ht="10.5" customHeight="1">
      <c r="AR111" s="1003">
        <v>44524</v>
      </c>
      <c r="AS111" s="999">
        <v>104450</v>
      </c>
      <c r="AT111" s="999">
        <v>100000</v>
      </c>
    </row>
    <row r="112" spans="44:46" ht="10.5" customHeight="1">
      <c r="AR112" s="1003">
        <v>44523</v>
      </c>
      <c r="AS112" s="999">
        <v>104450</v>
      </c>
      <c r="AT112" s="999">
        <v>100000</v>
      </c>
    </row>
    <row r="113" spans="44:46" ht="10.5" customHeight="1">
      <c r="AR113" s="1003">
        <v>44522</v>
      </c>
      <c r="AS113" s="999">
        <v>102770.11</v>
      </c>
      <c r="AT113" s="999">
        <v>100000</v>
      </c>
    </row>
    <row r="114" spans="44:46" ht="10.5" customHeight="1">
      <c r="AR114" s="1003">
        <v>44519</v>
      </c>
      <c r="AS114" s="999">
        <v>101090.21</v>
      </c>
      <c r="AT114" s="999">
        <v>100000</v>
      </c>
    </row>
    <row r="115" spans="44:46" ht="10.5" customHeight="1">
      <c r="AR115" s="1003">
        <v>44518</v>
      </c>
      <c r="AS115" s="999">
        <v>104944.09</v>
      </c>
      <c r="AT115" s="999">
        <v>100000</v>
      </c>
    </row>
    <row r="116" spans="44:46" ht="10.5" customHeight="1">
      <c r="AR116" s="1003">
        <v>44517</v>
      </c>
      <c r="AS116" s="999">
        <v>105141.72</v>
      </c>
      <c r="AT116" s="999">
        <v>100000</v>
      </c>
    </row>
    <row r="117" spans="44:46" ht="10.5" customHeight="1">
      <c r="AR117" s="1003">
        <v>44516</v>
      </c>
      <c r="AS117" s="999">
        <v>106722.8</v>
      </c>
      <c r="AT117" s="999">
        <v>100000</v>
      </c>
    </row>
    <row r="118" spans="44:46" ht="10.5" customHeight="1">
      <c r="AR118" s="1003">
        <v>44515</v>
      </c>
      <c r="AS118" s="999">
        <v>109489.69</v>
      </c>
      <c r="AT118" s="999">
        <v>100000</v>
      </c>
    </row>
    <row r="119" spans="44:46" ht="10.5" customHeight="1">
      <c r="AR119" s="1003">
        <v>44512</v>
      </c>
      <c r="AS119" s="999">
        <v>108600.33</v>
      </c>
      <c r="AT119" s="999">
        <v>100000</v>
      </c>
    </row>
    <row r="120" spans="44:46" ht="10.5" customHeight="1">
      <c r="AR120" s="1003">
        <v>44511</v>
      </c>
      <c r="AS120" s="999">
        <v>103264.19</v>
      </c>
      <c r="AT120" s="999">
        <v>100000</v>
      </c>
    </row>
    <row r="121" spans="44:46" ht="10.5" customHeight="1">
      <c r="AR121" s="1003">
        <v>44510</v>
      </c>
      <c r="AS121" s="999">
        <v>101781.93</v>
      </c>
      <c r="AT121" s="999">
        <v>100000</v>
      </c>
    </row>
    <row r="122" spans="44:46" ht="10.5" customHeight="1">
      <c r="AR122" s="1003">
        <v>44509</v>
      </c>
      <c r="AS122" s="999">
        <v>104746.45</v>
      </c>
      <c r="AT122" s="999">
        <v>100000</v>
      </c>
    </row>
    <row r="123" spans="44:46" ht="10.5" customHeight="1">
      <c r="AR123" s="1003">
        <v>44508</v>
      </c>
      <c r="AS123" s="999">
        <v>106722.8</v>
      </c>
      <c r="AT123" s="999">
        <v>100000</v>
      </c>
    </row>
    <row r="124" spans="44:46" ht="10.5" customHeight="1">
      <c r="AR124" s="1003">
        <v>44505</v>
      </c>
      <c r="AS124" s="999">
        <v>106722.8</v>
      </c>
      <c r="AT124" s="999">
        <v>100000</v>
      </c>
    </row>
    <row r="125" spans="44:46" ht="10.5" customHeight="1">
      <c r="AR125" s="1003">
        <v>44504</v>
      </c>
      <c r="AS125" s="999">
        <v>102770.11</v>
      </c>
      <c r="AT125" s="999">
        <v>100000</v>
      </c>
    </row>
    <row r="126" spans="44:46" ht="10.5" customHeight="1">
      <c r="AR126" s="1003">
        <v>44503</v>
      </c>
      <c r="AS126" s="999">
        <v>103264.19</v>
      </c>
      <c r="AT126" s="999">
        <v>100000</v>
      </c>
    </row>
    <row r="127" spans="44:46" ht="10.5" customHeight="1">
      <c r="AR127" s="1003">
        <v>44502</v>
      </c>
      <c r="AS127" s="999">
        <v>103758.28</v>
      </c>
      <c r="AT127" s="999">
        <v>100000</v>
      </c>
    </row>
    <row r="128" spans="44:46" ht="10.5" customHeight="1">
      <c r="AR128" s="1003">
        <v>44501</v>
      </c>
      <c r="AS128" s="999">
        <v>99904.4</v>
      </c>
      <c r="AT128" s="999">
        <v>100000</v>
      </c>
    </row>
    <row r="129" spans="44:46" ht="10.5" customHeight="1">
      <c r="AR129" s="1003">
        <v>44498</v>
      </c>
      <c r="AS129" s="999">
        <v>102770.11</v>
      </c>
      <c r="AT129" s="999">
        <v>100000</v>
      </c>
    </row>
    <row r="130" spans="44:46" ht="10.5" customHeight="1">
      <c r="AR130" s="1003">
        <v>44497</v>
      </c>
      <c r="AS130" s="999">
        <v>100398.49</v>
      </c>
      <c r="AT130" s="999">
        <v>100000</v>
      </c>
    </row>
    <row r="131" spans="44:46" ht="10.5" customHeight="1">
      <c r="AR131" s="1003">
        <v>44496</v>
      </c>
      <c r="AS131" s="999">
        <v>100694.94</v>
      </c>
      <c r="AT131" s="999">
        <v>100000</v>
      </c>
    </row>
    <row r="132" spans="44:46" ht="10.5" customHeight="1">
      <c r="AR132" s="1003">
        <v>44495</v>
      </c>
      <c r="AS132" s="999">
        <v>97137.51</v>
      </c>
      <c r="AT132" s="999">
        <v>100000</v>
      </c>
    </row>
    <row r="133" spans="44:46" ht="10.5" customHeight="1">
      <c r="AR133" s="1003">
        <v>44494</v>
      </c>
      <c r="AS133" s="999">
        <v>97928.05</v>
      </c>
      <c r="AT133" s="999">
        <v>100000</v>
      </c>
    </row>
    <row r="134" spans="44:46" ht="10.5" customHeight="1">
      <c r="AR134" s="1003">
        <v>44491</v>
      </c>
      <c r="AS134" s="999">
        <v>97829.24</v>
      </c>
      <c r="AT134" s="999">
        <v>100000</v>
      </c>
    </row>
    <row r="135" spans="44:46" ht="10.5" customHeight="1">
      <c r="AR135" s="1003">
        <v>44490</v>
      </c>
      <c r="AS135" s="999">
        <v>96841.06</v>
      </c>
      <c r="AT135" s="999">
        <v>100000</v>
      </c>
    </row>
    <row r="136" spans="44:46" ht="10.5" customHeight="1">
      <c r="AR136" s="1003">
        <v>44489</v>
      </c>
      <c r="AS136" s="999">
        <v>97829.24</v>
      </c>
      <c r="AT136" s="999">
        <v>100000</v>
      </c>
    </row>
    <row r="137" spans="44:46" ht="10.5" customHeight="1">
      <c r="AR137" s="1003">
        <v>44488</v>
      </c>
      <c r="AS137" s="999">
        <v>96841.06</v>
      </c>
      <c r="AT137" s="999">
        <v>100000</v>
      </c>
    </row>
    <row r="138" spans="44:46" ht="10.5" customHeight="1">
      <c r="AR138" s="1003">
        <v>44487</v>
      </c>
      <c r="AS138" s="999">
        <v>97829.24</v>
      </c>
      <c r="AT138" s="999">
        <v>100000</v>
      </c>
    </row>
    <row r="139" spans="44:46" ht="10.5" customHeight="1">
      <c r="AR139" s="1003">
        <v>44484</v>
      </c>
      <c r="AS139" s="999">
        <v>99311.5</v>
      </c>
      <c r="AT139" s="999">
        <v>100000</v>
      </c>
    </row>
    <row r="140" spans="44:46" ht="10.5" customHeight="1">
      <c r="AR140" s="1003">
        <v>44483</v>
      </c>
      <c r="AS140" s="999">
        <v>99805.58</v>
      </c>
      <c r="AT140" s="999">
        <v>100000</v>
      </c>
    </row>
    <row r="141" spans="44:46" ht="10.5" customHeight="1">
      <c r="AR141" s="1003">
        <v>44482</v>
      </c>
      <c r="AS141" s="999">
        <v>99805.58</v>
      </c>
      <c r="AT141" s="999">
        <v>100000</v>
      </c>
    </row>
    <row r="142" spans="44:46" ht="10.5" customHeight="1">
      <c r="AR142" s="1003">
        <v>44481</v>
      </c>
      <c r="AS142" s="999">
        <v>98817.41</v>
      </c>
      <c r="AT142" s="999">
        <v>100000</v>
      </c>
    </row>
    <row r="143" spans="44:46" ht="10.5" customHeight="1">
      <c r="AR143" s="1003">
        <v>44480</v>
      </c>
      <c r="AS143" s="999">
        <v>100793.76</v>
      </c>
      <c r="AT143" s="999">
        <v>100000</v>
      </c>
    </row>
    <row r="144" spans="44:46" ht="10.5" customHeight="1">
      <c r="AR144" s="1003">
        <v>44477</v>
      </c>
      <c r="AS144" s="999">
        <v>98323.32</v>
      </c>
      <c r="AT144" s="999">
        <v>100000</v>
      </c>
    </row>
    <row r="145" spans="44:46" ht="10.5" customHeight="1">
      <c r="AR145" s="1003">
        <v>44476</v>
      </c>
      <c r="AS145" s="999">
        <v>95852.89</v>
      </c>
      <c r="AT145" s="999">
        <v>100000</v>
      </c>
    </row>
    <row r="146" spans="44:46" ht="10.5" customHeight="1">
      <c r="AR146" s="1003">
        <v>44475</v>
      </c>
      <c r="AS146" s="999">
        <v>96939.88</v>
      </c>
      <c r="AT146" s="999">
        <v>100000</v>
      </c>
    </row>
    <row r="147" spans="44:46" ht="10.5" customHeight="1">
      <c r="AR147" s="1003">
        <v>44474</v>
      </c>
      <c r="AS147" s="999">
        <v>95852.89</v>
      </c>
      <c r="AT147" s="999">
        <v>100000</v>
      </c>
    </row>
    <row r="148" spans="44:46" ht="10.5" customHeight="1">
      <c r="AR148" s="1003">
        <v>44473</v>
      </c>
      <c r="AS148" s="999">
        <v>97631.6</v>
      </c>
      <c r="AT148" s="999">
        <v>100000</v>
      </c>
    </row>
    <row r="149" spans="44:46" ht="10.5" customHeight="1">
      <c r="AR149" s="1003">
        <v>44470</v>
      </c>
      <c r="AS149" s="999">
        <v>97829.24</v>
      </c>
      <c r="AT149" s="999">
        <v>100000</v>
      </c>
    </row>
    <row r="150" spans="44:46" ht="10.5" customHeight="1">
      <c r="AR150" s="1003">
        <v>44469</v>
      </c>
      <c r="AS150" s="999">
        <v>97532.78</v>
      </c>
      <c r="AT150" s="999">
        <v>100000</v>
      </c>
    </row>
    <row r="151" spans="44:46" ht="10.5" customHeight="1">
      <c r="AR151" s="1003">
        <v>44468</v>
      </c>
      <c r="AS151" s="999">
        <v>92196.64</v>
      </c>
      <c r="AT151" s="999">
        <v>100000</v>
      </c>
    </row>
    <row r="152" spans="44:46" ht="10.5" customHeight="1">
      <c r="AR152" s="1003">
        <v>44467</v>
      </c>
      <c r="AS152" s="999">
        <v>91900.19</v>
      </c>
      <c r="AT152" s="999">
        <v>100000</v>
      </c>
    </row>
    <row r="153" spans="44:46" ht="10.5" customHeight="1">
      <c r="AR153" s="1003">
        <v>44466</v>
      </c>
      <c r="AS153" s="999">
        <v>89923.839999999997</v>
      </c>
      <c r="AT153" s="999">
        <v>100000</v>
      </c>
    </row>
    <row r="154" spans="44:46" ht="10.5" customHeight="1">
      <c r="AR154" s="1003">
        <v>44463</v>
      </c>
      <c r="AS154" s="999">
        <v>90912.02</v>
      </c>
      <c r="AT154" s="999">
        <v>100000</v>
      </c>
    </row>
    <row r="155" spans="44:46" ht="10.5" customHeight="1">
      <c r="AR155" s="1003">
        <v>44462</v>
      </c>
      <c r="AS155" s="999">
        <v>91109.65</v>
      </c>
      <c r="AT155" s="999">
        <v>100000</v>
      </c>
    </row>
    <row r="156" spans="44:46" ht="10.5" customHeight="1">
      <c r="AR156" s="1003">
        <v>44461</v>
      </c>
      <c r="AS156" s="999">
        <v>91999.01</v>
      </c>
      <c r="AT156" s="999">
        <v>100000</v>
      </c>
    </row>
    <row r="157" spans="44:46" ht="10.5" customHeight="1">
      <c r="AR157" s="1003">
        <v>44460</v>
      </c>
      <c r="AS157" s="999">
        <v>89034.49</v>
      </c>
      <c r="AT157" s="999">
        <v>100000</v>
      </c>
    </row>
    <row r="158" spans="44:46" ht="10.5" customHeight="1">
      <c r="AR158" s="1003">
        <v>44459</v>
      </c>
      <c r="AS158" s="999">
        <v>89923.839999999997</v>
      </c>
      <c r="AT158" s="999">
        <v>100000</v>
      </c>
    </row>
    <row r="159" spans="44:46" ht="10.5" customHeight="1">
      <c r="AR159" s="1003">
        <v>44456</v>
      </c>
      <c r="AS159" s="999">
        <v>91406.1</v>
      </c>
      <c r="AT159" s="999">
        <v>100000</v>
      </c>
    </row>
    <row r="160" spans="44:46" ht="10.5" customHeight="1">
      <c r="AR160" s="1003">
        <v>44455</v>
      </c>
      <c r="AS160" s="999">
        <v>91900.19</v>
      </c>
      <c r="AT160" s="999">
        <v>100000</v>
      </c>
    </row>
    <row r="161" spans="44:46" ht="10.5" customHeight="1">
      <c r="AR161" s="1003">
        <v>44454</v>
      </c>
      <c r="AS161" s="999">
        <v>90813.2</v>
      </c>
      <c r="AT161" s="999">
        <v>100000</v>
      </c>
    </row>
    <row r="162" spans="44:46" ht="10.5" customHeight="1">
      <c r="AR162" s="1003">
        <v>44453</v>
      </c>
      <c r="AS162" s="999">
        <v>87947.49</v>
      </c>
      <c r="AT162" s="999">
        <v>100000</v>
      </c>
    </row>
    <row r="163" spans="44:46" ht="10.5" customHeight="1">
      <c r="AR163" s="1003">
        <v>44452</v>
      </c>
      <c r="AS163" s="999">
        <v>90912.02</v>
      </c>
      <c r="AT163" s="999">
        <v>100000</v>
      </c>
    </row>
    <row r="164" spans="44:46" ht="10.5" customHeight="1">
      <c r="AR164" s="1003">
        <v>44449</v>
      </c>
      <c r="AS164" s="999">
        <v>92888.36</v>
      </c>
      <c r="AT164" s="999">
        <v>100000</v>
      </c>
    </row>
    <row r="165" spans="44:46" ht="10.5" customHeight="1">
      <c r="AR165" s="1003">
        <v>44448</v>
      </c>
      <c r="AS165" s="999">
        <v>89429.759999999995</v>
      </c>
      <c r="AT165" s="999">
        <v>100000</v>
      </c>
    </row>
    <row r="166" spans="44:46" ht="10.5" customHeight="1">
      <c r="AR166" s="1003">
        <v>44447</v>
      </c>
      <c r="AS166" s="999">
        <v>85180.61</v>
      </c>
      <c r="AT166" s="999">
        <v>100000</v>
      </c>
    </row>
    <row r="167" spans="44:46" ht="10.5" customHeight="1">
      <c r="AR167" s="1003">
        <v>44446</v>
      </c>
      <c r="AS167" s="999">
        <v>85180.61</v>
      </c>
      <c r="AT167" s="999">
        <v>100000</v>
      </c>
    </row>
    <row r="168" spans="44:46" ht="10.5" customHeight="1">
      <c r="AR168" s="1003">
        <v>44445</v>
      </c>
      <c r="AS168" s="999">
        <v>85477.06</v>
      </c>
      <c r="AT168" s="999">
        <v>100000</v>
      </c>
    </row>
    <row r="169" spans="44:46" ht="10.5" customHeight="1">
      <c r="AR169" s="1003">
        <v>44440</v>
      </c>
      <c r="AS169" s="999">
        <v>84291.25</v>
      </c>
      <c r="AT169" s="999">
        <v>100000</v>
      </c>
    </row>
    <row r="170" spans="44:46" ht="10.5" customHeight="1">
      <c r="AR170" s="1003">
        <v>44439</v>
      </c>
      <c r="AS170" s="999">
        <v>84982.97</v>
      </c>
      <c r="AT170" s="999">
        <v>100000</v>
      </c>
    </row>
    <row r="171" spans="44:46" ht="10.5" customHeight="1">
      <c r="AR171" s="1003">
        <v>44438</v>
      </c>
      <c r="AS171" s="999">
        <v>85378.240000000005</v>
      </c>
      <c r="AT171" s="999">
        <v>100000</v>
      </c>
    </row>
    <row r="172" spans="44:46" ht="10.5" customHeight="1">
      <c r="AR172" s="1003">
        <v>44435</v>
      </c>
      <c r="AS172" s="999">
        <v>84785.34</v>
      </c>
      <c r="AT172" s="999">
        <v>100000</v>
      </c>
    </row>
    <row r="173" spans="44:46" ht="10.5" customHeight="1">
      <c r="AR173" s="1003">
        <v>44434</v>
      </c>
      <c r="AS173" s="999">
        <v>85180.61</v>
      </c>
      <c r="AT173" s="999">
        <v>100000</v>
      </c>
    </row>
    <row r="174" spans="44:46" ht="10.5" customHeight="1">
      <c r="AR174" s="1003">
        <v>44433</v>
      </c>
      <c r="AS174" s="999">
        <v>87947.49</v>
      </c>
      <c r="AT174" s="999">
        <v>100000</v>
      </c>
    </row>
    <row r="175" spans="44:46" ht="10.5" customHeight="1">
      <c r="AR175" s="1003">
        <v>44432</v>
      </c>
      <c r="AS175" s="999">
        <v>87255.77</v>
      </c>
      <c r="AT175" s="999">
        <v>100000</v>
      </c>
    </row>
    <row r="176" spans="44:46" ht="10.5" customHeight="1">
      <c r="AR176" s="1003">
        <v>44431</v>
      </c>
      <c r="AS176" s="999">
        <v>87453.41</v>
      </c>
      <c r="AT176" s="999">
        <v>100000</v>
      </c>
    </row>
    <row r="177" spans="44:46" ht="10.5" customHeight="1">
      <c r="AR177" s="1003">
        <v>44428</v>
      </c>
      <c r="AS177" s="999">
        <v>90417.93</v>
      </c>
      <c r="AT177" s="999">
        <v>100000</v>
      </c>
    </row>
    <row r="178" spans="44:46" ht="10.5" customHeight="1">
      <c r="AR178" s="1003">
        <v>44427</v>
      </c>
      <c r="AS178" s="999">
        <v>92888.36</v>
      </c>
      <c r="AT178" s="999">
        <v>100000</v>
      </c>
    </row>
    <row r="179" spans="44:46" ht="10.5" customHeight="1">
      <c r="AR179" s="1003">
        <v>44426</v>
      </c>
      <c r="AS179" s="999">
        <v>93580.09</v>
      </c>
      <c r="AT179" s="999">
        <v>100000</v>
      </c>
    </row>
    <row r="180" spans="44:46" ht="10.5" customHeight="1">
      <c r="AR180" s="1003">
        <v>44425</v>
      </c>
      <c r="AS180" s="999">
        <v>94370.63</v>
      </c>
      <c r="AT180" s="999">
        <v>100000</v>
      </c>
    </row>
    <row r="181" spans="44:46" ht="10.5" customHeight="1">
      <c r="AR181" s="1003">
        <v>44424</v>
      </c>
      <c r="AS181" s="999">
        <v>93382.45</v>
      </c>
      <c r="AT181" s="999">
        <v>100000</v>
      </c>
    </row>
    <row r="182" spans="44:46" ht="10.5" customHeight="1">
      <c r="AR182" s="1003">
        <v>44421</v>
      </c>
      <c r="AS182" s="999">
        <v>93382.45</v>
      </c>
      <c r="AT182" s="999">
        <v>100000</v>
      </c>
    </row>
    <row r="183" spans="44:46" ht="10.5" customHeight="1">
      <c r="AR183" s="1003">
        <v>44420</v>
      </c>
      <c r="AS183" s="999">
        <v>93382.45</v>
      </c>
      <c r="AT183" s="999">
        <v>100000</v>
      </c>
    </row>
    <row r="184" spans="44:46" ht="10.5" customHeight="1">
      <c r="AR184" s="1003">
        <v>44419</v>
      </c>
      <c r="AS184" s="999">
        <v>94271.81</v>
      </c>
      <c r="AT184" s="999">
        <v>100000</v>
      </c>
    </row>
    <row r="185" spans="44:46" ht="10.5" customHeight="1">
      <c r="AR185" s="1003">
        <v>44418</v>
      </c>
      <c r="AS185" s="999">
        <v>94667.08</v>
      </c>
      <c r="AT185" s="999">
        <v>100000</v>
      </c>
    </row>
    <row r="186" spans="44:46" ht="10.5" customHeight="1">
      <c r="AR186" s="1003">
        <v>44417</v>
      </c>
      <c r="AS186" s="999">
        <v>95358.8</v>
      </c>
      <c r="AT186" s="999">
        <v>100000</v>
      </c>
    </row>
    <row r="187" spans="44:46" ht="10.5" customHeight="1">
      <c r="AR187" s="1003">
        <v>44414</v>
      </c>
      <c r="AS187" s="999">
        <v>95062.35</v>
      </c>
      <c r="AT187" s="999">
        <v>100000</v>
      </c>
    </row>
    <row r="188" spans="44:46" ht="10.5" customHeight="1">
      <c r="AR188" s="1003">
        <v>44413</v>
      </c>
      <c r="AS188" s="999">
        <v>94667.08</v>
      </c>
      <c r="AT188" s="999">
        <v>100000</v>
      </c>
    </row>
    <row r="189" spans="44:46" ht="10.5" customHeight="1">
      <c r="AR189" s="1003">
        <v>44412</v>
      </c>
      <c r="AS189" s="999">
        <v>95358.8</v>
      </c>
      <c r="AT189" s="999">
        <v>100000</v>
      </c>
    </row>
    <row r="190" spans="44:46" ht="10.5" customHeight="1">
      <c r="AR190" s="1003">
        <v>44411</v>
      </c>
      <c r="AS190" s="999">
        <v>95358.8</v>
      </c>
      <c r="AT190" s="999">
        <v>100000</v>
      </c>
    </row>
    <row r="191" spans="44:46" ht="10.5" customHeight="1">
      <c r="AR191" s="1003">
        <v>44410</v>
      </c>
      <c r="AS191" s="999">
        <v>94469.440000000002</v>
      </c>
      <c r="AT191" s="999">
        <v>100000</v>
      </c>
    </row>
    <row r="192" spans="44:46" ht="10.5" customHeight="1">
      <c r="AR192" s="1003">
        <v>44407</v>
      </c>
      <c r="AS192" s="999">
        <v>94667.08</v>
      </c>
      <c r="AT192" s="999">
        <v>100000</v>
      </c>
    </row>
    <row r="193" spans="44:46" ht="10.5" customHeight="1">
      <c r="AR193" s="1003">
        <v>44406</v>
      </c>
      <c r="AS193" s="999">
        <v>91900.19</v>
      </c>
      <c r="AT193" s="999">
        <v>100000</v>
      </c>
    </row>
    <row r="194" spans="44:46" ht="10.5" customHeight="1">
      <c r="AR194" s="1003">
        <v>44405</v>
      </c>
      <c r="AS194" s="999">
        <v>89034.49</v>
      </c>
      <c r="AT194" s="999">
        <v>100000</v>
      </c>
    </row>
    <row r="195" spans="44:46" ht="10.5" customHeight="1">
      <c r="AR195" s="1003">
        <v>44404</v>
      </c>
      <c r="AS195" s="999">
        <v>89034.49</v>
      </c>
      <c r="AT195" s="999">
        <v>100000</v>
      </c>
    </row>
    <row r="196" spans="44:46" ht="10.5" customHeight="1">
      <c r="AR196" s="1003">
        <v>44403</v>
      </c>
      <c r="AS196" s="999">
        <v>89627.39</v>
      </c>
      <c r="AT196" s="999">
        <v>100000</v>
      </c>
    </row>
    <row r="197" spans="44:46" ht="10.5" customHeight="1">
      <c r="AR197" s="1003">
        <v>44400</v>
      </c>
      <c r="AS197" s="999">
        <v>89923.839999999997</v>
      </c>
      <c r="AT197" s="999">
        <v>100000</v>
      </c>
    </row>
    <row r="198" spans="44:46" ht="10.5" customHeight="1">
      <c r="AR198" s="1003">
        <v>44399</v>
      </c>
      <c r="AS198" s="999">
        <v>91999.01</v>
      </c>
      <c r="AT198" s="999">
        <v>100000</v>
      </c>
    </row>
    <row r="199" spans="44:46" ht="10.5" customHeight="1">
      <c r="AR199" s="1003">
        <v>44398</v>
      </c>
      <c r="AS199" s="999">
        <v>90121.48</v>
      </c>
      <c r="AT199" s="999">
        <v>100000</v>
      </c>
    </row>
    <row r="200" spans="44:46" ht="10.5" customHeight="1">
      <c r="AR200" s="1003">
        <v>44397</v>
      </c>
      <c r="AS200" s="999">
        <v>90912.02</v>
      </c>
      <c r="AT200" s="999">
        <v>100000</v>
      </c>
    </row>
    <row r="201" spans="44:46" ht="10.5" customHeight="1">
      <c r="AR201" s="1003">
        <v>44396</v>
      </c>
      <c r="AS201" s="999">
        <v>90516.75</v>
      </c>
      <c r="AT201" s="999">
        <v>100000</v>
      </c>
    </row>
    <row r="202" spans="44:46" ht="10.5" customHeight="1">
      <c r="AR202" s="1003">
        <v>44393</v>
      </c>
      <c r="AS202" s="999">
        <v>94864.71</v>
      </c>
      <c r="AT202" s="999">
        <v>100000</v>
      </c>
    </row>
    <row r="203" spans="44:46" ht="10.5" customHeight="1">
      <c r="AR203" s="1003">
        <v>44392</v>
      </c>
      <c r="AS203" s="999">
        <v>93975.360000000001</v>
      </c>
      <c r="AT203" s="999">
        <v>100000</v>
      </c>
    </row>
    <row r="204" spans="44:46" ht="10.5" customHeight="1">
      <c r="AR204" s="1003">
        <v>44391</v>
      </c>
      <c r="AS204" s="999">
        <v>94864.71</v>
      </c>
      <c r="AT204" s="999">
        <v>100000</v>
      </c>
    </row>
    <row r="205" spans="44:46" ht="10.5" customHeight="1">
      <c r="AR205" s="1003">
        <v>44390</v>
      </c>
      <c r="AS205" s="999">
        <v>98026.87</v>
      </c>
      <c r="AT205" s="999">
        <v>100000</v>
      </c>
    </row>
    <row r="206" spans="44:46" ht="10.5" customHeight="1">
      <c r="AR206" s="1003">
        <v>44389</v>
      </c>
      <c r="AS206" s="999">
        <v>100892.57</v>
      </c>
      <c r="AT206" s="999">
        <v>100000</v>
      </c>
    </row>
    <row r="207" spans="44:46" ht="10.5" customHeight="1">
      <c r="AR207" s="1003">
        <v>44386</v>
      </c>
      <c r="AS207" s="999">
        <v>104252.37</v>
      </c>
      <c r="AT207" s="999">
        <v>100000</v>
      </c>
    </row>
    <row r="208" spans="44:46" ht="10.5" customHeight="1">
      <c r="AR208" s="1003">
        <v>44385</v>
      </c>
      <c r="AS208" s="999">
        <v>104351.18</v>
      </c>
      <c r="AT208" s="999">
        <v>100000</v>
      </c>
    </row>
    <row r="209" spans="44:46" ht="10.5" customHeight="1">
      <c r="AR209" s="1003">
        <v>44384</v>
      </c>
      <c r="AS209" s="999">
        <v>105240.54</v>
      </c>
      <c r="AT209" s="999">
        <v>100000</v>
      </c>
    </row>
    <row r="210" spans="44:46" ht="10.5" customHeight="1">
      <c r="AR210" s="1003">
        <v>44383</v>
      </c>
      <c r="AS210" s="999">
        <v>98422.14</v>
      </c>
      <c r="AT210" s="999">
        <v>100000</v>
      </c>
    </row>
    <row r="211" spans="44:46" ht="10.5" customHeight="1">
      <c r="AR211" s="1003">
        <v>44382</v>
      </c>
      <c r="AS211" s="999">
        <v>98125.69</v>
      </c>
      <c r="AT211" s="999">
        <v>100000</v>
      </c>
    </row>
    <row r="212" spans="44:46" ht="10.5" customHeight="1">
      <c r="AR212" s="1003">
        <v>44379</v>
      </c>
      <c r="AS212" s="999">
        <v>98323.32</v>
      </c>
      <c r="AT212" s="999">
        <v>100000</v>
      </c>
    </row>
    <row r="213" spans="44:46" ht="10.5" customHeight="1">
      <c r="AR213" s="1003">
        <v>44378</v>
      </c>
      <c r="AS213" s="999">
        <v>99015.039999999994</v>
      </c>
      <c r="AT213" s="999">
        <v>100000</v>
      </c>
    </row>
    <row r="214" spans="44:46" ht="10.5" customHeight="1">
      <c r="AR214" s="1003">
        <v>44377</v>
      </c>
      <c r="AS214" s="999">
        <v>98916.23</v>
      </c>
      <c r="AT214" s="999">
        <v>100000</v>
      </c>
    </row>
    <row r="215" spans="44:46" ht="10.5" customHeight="1">
      <c r="AR215" s="1003">
        <v>44376</v>
      </c>
      <c r="AS215" s="999">
        <v>97433.97</v>
      </c>
      <c r="AT215" s="999">
        <v>100000</v>
      </c>
    </row>
    <row r="216" spans="44:46" ht="10.5" customHeight="1">
      <c r="AR216" s="1003">
        <v>44375</v>
      </c>
      <c r="AS216" s="999">
        <v>96939.88</v>
      </c>
      <c r="AT216" s="999">
        <v>100000</v>
      </c>
    </row>
    <row r="217" spans="44:46" ht="10.5" customHeight="1">
      <c r="AR217" s="1003">
        <v>44372</v>
      </c>
      <c r="AS217" s="999">
        <v>96248.16</v>
      </c>
      <c r="AT217" s="999">
        <v>100000</v>
      </c>
    </row>
    <row r="218" spans="44:46" ht="10.5" customHeight="1">
      <c r="AR218" s="1003">
        <v>44371</v>
      </c>
      <c r="AS218" s="999">
        <v>96939.88</v>
      </c>
      <c r="AT218" s="999">
        <v>100000</v>
      </c>
    </row>
    <row r="219" spans="44:46" ht="10.5" customHeight="1">
      <c r="AR219" s="1003">
        <v>44370</v>
      </c>
      <c r="AS219" s="999">
        <v>97631.6</v>
      </c>
      <c r="AT219" s="999">
        <v>100000</v>
      </c>
    </row>
    <row r="220" spans="44:46" ht="10.5" customHeight="1">
      <c r="AR220" s="1003">
        <v>44369</v>
      </c>
      <c r="AS220" s="999">
        <v>97335.15</v>
      </c>
      <c r="AT220" s="999">
        <v>100000</v>
      </c>
    </row>
    <row r="221" spans="44:46" ht="10.5" customHeight="1">
      <c r="AR221" s="1003">
        <v>44368</v>
      </c>
      <c r="AS221" s="999">
        <v>96939.88</v>
      </c>
      <c r="AT221" s="999">
        <v>100000</v>
      </c>
    </row>
    <row r="222" spans="44:46" ht="10.5" customHeight="1">
      <c r="AR222" s="1003">
        <v>44365</v>
      </c>
      <c r="AS222" s="999">
        <v>96841.06</v>
      </c>
      <c r="AT222" s="999">
        <v>100000</v>
      </c>
    </row>
    <row r="223" spans="44:46" ht="10.5" customHeight="1">
      <c r="AR223" s="1003">
        <v>44364</v>
      </c>
      <c r="AS223" s="999">
        <v>94370.63</v>
      </c>
      <c r="AT223" s="999">
        <v>100000</v>
      </c>
    </row>
    <row r="224" spans="44:46" ht="10.5" customHeight="1">
      <c r="AR224" s="1003">
        <v>44363</v>
      </c>
      <c r="AS224" s="999">
        <v>93975.360000000001</v>
      </c>
      <c r="AT224" s="999">
        <v>100000</v>
      </c>
    </row>
    <row r="225" spans="44:46" ht="10.5" customHeight="1">
      <c r="AR225" s="1003">
        <v>44362</v>
      </c>
      <c r="AS225" s="999">
        <v>94864.71</v>
      </c>
      <c r="AT225" s="999">
        <v>100000</v>
      </c>
    </row>
    <row r="226" spans="44:46" ht="10.5" customHeight="1">
      <c r="AR226" s="1003">
        <v>44361</v>
      </c>
      <c r="AS226" s="999">
        <v>95852.89</v>
      </c>
      <c r="AT226" s="999">
        <v>100000</v>
      </c>
    </row>
    <row r="227" spans="44:46" ht="10.5" customHeight="1">
      <c r="AR227" s="1003">
        <v>44358</v>
      </c>
      <c r="AS227" s="999">
        <v>95754.07</v>
      </c>
      <c r="AT227" s="999">
        <v>100000</v>
      </c>
    </row>
    <row r="228" spans="44:46" ht="10.5" customHeight="1">
      <c r="AR228" s="1003">
        <v>44357</v>
      </c>
      <c r="AS228" s="999">
        <v>94667.08</v>
      </c>
      <c r="AT228" s="999">
        <v>100000</v>
      </c>
    </row>
    <row r="229" spans="44:46" ht="10.5" customHeight="1">
      <c r="AR229" s="1003">
        <v>44356</v>
      </c>
      <c r="AS229" s="999">
        <v>94667.08</v>
      </c>
      <c r="AT229" s="999">
        <v>100000</v>
      </c>
    </row>
    <row r="230" spans="44:46" ht="10.5" customHeight="1">
      <c r="AR230" s="1003">
        <v>44355</v>
      </c>
      <c r="AS230" s="999">
        <v>94864.71</v>
      </c>
      <c r="AT230" s="999">
        <v>100000</v>
      </c>
    </row>
    <row r="231" spans="44:46" ht="10.5" customHeight="1">
      <c r="AR231" s="1003">
        <v>44354</v>
      </c>
      <c r="AS231" s="999">
        <v>98422.14</v>
      </c>
      <c r="AT231" s="999">
        <v>100000</v>
      </c>
    </row>
    <row r="232" spans="44:46" ht="10.5" customHeight="1">
      <c r="AR232" s="1003">
        <v>44351</v>
      </c>
      <c r="AS232" s="999">
        <v>99410.31</v>
      </c>
      <c r="AT232" s="999">
        <v>100000</v>
      </c>
    </row>
    <row r="233" spans="44:46" ht="10.5" customHeight="1">
      <c r="AR233" s="1003">
        <v>44350</v>
      </c>
      <c r="AS233" s="999">
        <v>100003.22</v>
      </c>
      <c r="AT233" s="999">
        <v>100000</v>
      </c>
    </row>
    <row r="234" spans="44:46" ht="10.5" customHeight="1">
      <c r="AR234" s="1003">
        <v>44349</v>
      </c>
      <c r="AS234" s="999">
        <v>99311.5</v>
      </c>
      <c r="AT234" s="999">
        <v>100000</v>
      </c>
    </row>
    <row r="235" spans="44:46" ht="10.5" customHeight="1">
      <c r="AR235" s="1003">
        <v>44348</v>
      </c>
      <c r="AS235" s="999">
        <v>99311.5</v>
      </c>
      <c r="AT235" s="999">
        <v>100000</v>
      </c>
    </row>
    <row r="236" spans="44:46" ht="10.5" customHeight="1">
      <c r="AR236" s="1003">
        <v>44347</v>
      </c>
      <c r="AS236" s="999">
        <v>99706.77</v>
      </c>
      <c r="AT236" s="999">
        <v>100000</v>
      </c>
    </row>
    <row r="237" spans="44:46" ht="10.5" customHeight="1">
      <c r="AR237" s="1003">
        <v>44344</v>
      </c>
      <c r="AS237" s="999">
        <v>99805.58</v>
      </c>
      <c r="AT237" s="999">
        <v>100000</v>
      </c>
    </row>
    <row r="238" spans="44:46" ht="10.5" customHeight="1">
      <c r="AR238" s="1003">
        <v>44343</v>
      </c>
      <c r="AS238" s="999">
        <v>100398.49</v>
      </c>
      <c r="AT238" s="999">
        <v>100000</v>
      </c>
    </row>
    <row r="239" spans="44:46" ht="10.5" customHeight="1">
      <c r="AR239" s="1003">
        <v>44342</v>
      </c>
      <c r="AS239" s="999">
        <v>100596.12</v>
      </c>
      <c r="AT239" s="999">
        <v>100000</v>
      </c>
    </row>
    <row r="240" spans="44:46" ht="10.5" customHeight="1">
      <c r="AR240" s="1003">
        <v>44341</v>
      </c>
      <c r="AS240" s="999">
        <v>100694.94</v>
      </c>
      <c r="AT240" s="999">
        <v>100000</v>
      </c>
    </row>
    <row r="241" spans="44:46" ht="10.5" customHeight="1">
      <c r="AR241" s="1003">
        <v>44340</v>
      </c>
      <c r="AS241" s="999">
        <v>100694.94</v>
      </c>
      <c r="AT241" s="999">
        <v>100000</v>
      </c>
    </row>
    <row r="242" spans="44:46" ht="10.5" customHeight="1">
      <c r="AR242" s="1003">
        <v>44337</v>
      </c>
      <c r="AS242" s="999">
        <v>100596.12</v>
      </c>
      <c r="AT242" s="999">
        <v>100000</v>
      </c>
    </row>
    <row r="243" spans="44:46" ht="10.5" customHeight="1">
      <c r="AR243" s="1003">
        <v>44336</v>
      </c>
      <c r="AS243" s="999">
        <v>98125.69</v>
      </c>
      <c r="AT243" s="999">
        <v>100000</v>
      </c>
    </row>
    <row r="244" spans="44:46" ht="10.5" customHeight="1">
      <c r="AR244" s="1003">
        <v>44335</v>
      </c>
      <c r="AS244" s="999">
        <v>92394.28</v>
      </c>
      <c r="AT244" s="999">
        <v>100000</v>
      </c>
    </row>
    <row r="245" spans="44:46" ht="10.5" customHeight="1">
      <c r="AR245" s="1003">
        <v>44334</v>
      </c>
      <c r="AS245" s="999">
        <v>92394.28</v>
      </c>
      <c r="AT245" s="999">
        <v>100000</v>
      </c>
    </row>
    <row r="246" spans="44:46" ht="10.5" customHeight="1">
      <c r="AR246" s="1003">
        <v>44333</v>
      </c>
      <c r="AS246" s="999">
        <v>92888.36</v>
      </c>
      <c r="AT246" s="999">
        <v>100000</v>
      </c>
    </row>
    <row r="247" spans="44:46" ht="10.5" customHeight="1">
      <c r="AR247" s="1003">
        <v>44330</v>
      </c>
      <c r="AS247" s="999">
        <v>93086</v>
      </c>
      <c r="AT247" s="999">
        <v>100000</v>
      </c>
    </row>
    <row r="248" spans="44:46" ht="10.5" customHeight="1">
      <c r="AR248" s="1003">
        <v>44329</v>
      </c>
      <c r="AS248" s="999">
        <v>93184.82</v>
      </c>
      <c r="AT248" s="999">
        <v>100000</v>
      </c>
    </row>
    <row r="249" spans="44:46" ht="10.5" customHeight="1">
      <c r="AR249" s="1003">
        <v>44328</v>
      </c>
      <c r="AS249" s="999">
        <v>94667.08</v>
      </c>
      <c r="AT249" s="999">
        <v>100000</v>
      </c>
    </row>
    <row r="250" spans="44:46" ht="10.5" customHeight="1">
      <c r="AR250" s="1003">
        <v>44327</v>
      </c>
      <c r="AS250" s="999">
        <v>92888.36</v>
      </c>
      <c r="AT250" s="999">
        <v>100000</v>
      </c>
    </row>
    <row r="251" spans="44:46" ht="10.5" customHeight="1">
      <c r="AR251" s="1003">
        <v>44326</v>
      </c>
      <c r="AS251" s="999">
        <v>92493.1</v>
      </c>
    </row>
    <row r="252" spans="44:46" ht="10.5" customHeight="1">
      <c r="AR252" s="1003">
        <v>44323</v>
      </c>
      <c r="AS252" s="999">
        <v>94370.63</v>
      </c>
    </row>
    <row r="253" spans="44:46" ht="10.5" customHeight="1">
      <c r="AR253" s="1003">
        <v>44322</v>
      </c>
      <c r="AS253" s="999">
        <v>94864.71</v>
      </c>
    </row>
    <row r="254" spans="44:46" ht="10.5" customHeight="1">
      <c r="AR254" s="1003">
        <v>44321</v>
      </c>
      <c r="AS254" s="999">
        <v>95852.89</v>
      </c>
    </row>
    <row r="255" spans="44:46" ht="10.5" customHeight="1">
      <c r="AR255" s="1003">
        <v>44320</v>
      </c>
      <c r="AS255" s="999">
        <v>94074.17</v>
      </c>
    </row>
    <row r="256" spans="44:46" ht="10.5" customHeight="1">
      <c r="AR256" s="1003">
        <v>44315</v>
      </c>
      <c r="AS256" s="999">
        <v>96841.06</v>
      </c>
    </row>
    <row r="257" spans="44:45" ht="10.5" customHeight="1">
      <c r="AR257" s="1003">
        <v>44314</v>
      </c>
      <c r="AS257" s="999">
        <v>94568.26</v>
      </c>
    </row>
    <row r="258" spans="44:45" ht="10.5" customHeight="1">
      <c r="AR258" s="1003">
        <v>44313</v>
      </c>
      <c r="AS258" s="999">
        <v>94864.71</v>
      </c>
    </row>
    <row r="259" spans="44:45" ht="10.5" customHeight="1">
      <c r="AR259" s="1003">
        <v>44312</v>
      </c>
      <c r="AS259" s="999">
        <v>93876.54</v>
      </c>
    </row>
  </sheetData>
  <pageMargins left="0.7" right="0.64311594202898548" top="0.75" bottom="0.75" header="0.3" footer="0.3"/>
  <pageSetup orientation="portrait" r:id="rId1"/>
  <headerFooter>
    <oddFooter>&amp;LBSC Research&amp;R11</oddFooter>
  </headerFooter>
  <ignoredErrors>
    <ignoredError sqref="K26:M27 B20:C20 K30:M30" emptyCellReference="1"/>
  </ignoredErrors>
  <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7">
    <tabColor theme="8"/>
  </sheetPr>
  <dimension ref="A1:AZ329"/>
  <sheetViews>
    <sheetView showGridLines="0" zoomScale="85" zoomScaleNormal="85" zoomScalePageLayoutView="55" workbookViewId="0">
      <pane xSplit="4" ySplit="1" topLeftCell="O299" activePane="bottomRight" state="frozen"/>
      <selection pane="topRight" activeCell="S5" sqref="S5"/>
      <selection pane="bottomLeft" activeCell="S5" sqref="S5"/>
      <selection pane="bottomRight" activeCell="V83" sqref="V83"/>
    </sheetView>
  </sheetViews>
  <sheetFormatPr baseColWidth="10" defaultColWidth="8.83203125" defaultRowHeight="15" outlineLevelRow="3" outlineLevelCol="1"/>
  <cols>
    <col min="1" max="1" width="2.1640625" bestFit="1" customWidth="1"/>
    <col min="2" max="2" width="13.83203125" style="989" hidden="1" customWidth="1" outlineLevel="1"/>
    <col min="3" max="3" width="32.5" customWidth="1" collapsed="1"/>
    <col min="4" max="4" width="5.5" customWidth="1"/>
    <col min="5" max="5" width="18.5" style="1240" hidden="1" customWidth="1" outlineLevel="1"/>
    <col min="6" max="6" width="18.5" style="1240" hidden="1" customWidth="1" outlineLevel="1" collapsed="1"/>
    <col min="7" max="7" width="14.33203125" style="1240" hidden="1" customWidth="1" outlineLevel="1" collapsed="1"/>
    <col min="8" max="10" width="14.33203125" style="1240" hidden="1" customWidth="1" outlineLevel="1"/>
    <col min="11" max="11" width="15.1640625" style="1240" customWidth="1" collapsed="1"/>
    <col min="12" max="12" width="17" style="1240" customWidth="1"/>
    <col min="13" max="15" width="18.83203125" style="1240" customWidth="1"/>
    <col min="16" max="22" width="18.83203125" customWidth="1"/>
    <col min="23" max="23" width="17.6640625" customWidth="1"/>
    <col min="24" max="25" width="14" customWidth="1" outlineLevel="1"/>
    <col min="26" max="26" width="10.83203125" customWidth="1"/>
    <col min="27" max="27" width="14.83203125" customWidth="1"/>
    <col min="28" max="28" width="8.83203125" hidden="1" customWidth="1" outlineLevel="1"/>
    <col min="29" max="29" width="8.83203125" style="988" hidden="1" customWidth="1" outlineLevel="1"/>
    <col min="30" max="30" width="10.6640625" style="988" customWidth="1" collapsed="1"/>
    <col min="31" max="32" width="10.6640625" style="988" customWidth="1"/>
    <col min="33" max="34" width="13.6640625" style="988" customWidth="1"/>
    <col min="35" max="35" width="15.83203125" style="988" customWidth="1"/>
    <col min="36" max="36" width="20.5" customWidth="1"/>
    <col min="37" max="37" width="6.33203125" customWidth="1"/>
    <col min="38" max="38" width="47.6640625" customWidth="1"/>
    <col min="39" max="41" width="9.5" bestFit="1" customWidth="1"/>
    <col min="42" max="42" width="9" bestFit="1" customWidth="1"/>
  </cols>
  <sheetData>
    <row r="1" spans="1:42" s="1231" customFormat="1">
      <c r="A1" s="1601"/>
      <c r="B1" s="1230"/>
      <c r="C1" s="1601"/>
      <c r="D1" s="1601"/>
      <c r="E1" s="1602">
        <f>F1-1</f>
        <v>2014</v>
      </c>
      <c r="F1" s="1602">
        <f>G1-1</f>
        <v>2015</v>
      </c>
      <c r="G1" s="1602">
        <f>H1-1</f>
        <v>2016</v>
      </c>
      <c r="H1" s="1602">
        <f>I1-1</f>
        <v>2017</v>
      </c>
      <c r="I1" s="1602">
        <f>YEAR(Hist_Year)</f>
        <v>2018</v>
      </c>
      <c r="J1" s="1602">
        <f t="shared" ref="J1:O1" si="0">I1+1</f>
        <v>2019</v>
      </c>
      <c r="K1" s="1602">
        <v>2020</v>
      </c>
      <c r="L1" s="1602">
        <v>2021</v>
      </c>
      <c r="M1" s="1602">
        <f t="shared" si="0"/>
        <v>2022</v>
      </c>
      <c r="N1" s="1602">
        <f t="shared" si="0"/>
        <v>2023</v>
      </c>
      <c r="O1" s="1602">
        <f t="shared" si="0"/>
        <v>2024</v>
      </c>
      <c r="P1" s="1603">
        <f>O1+1</f>
        <v>2025</v>
      </c>
      <c r="Q1" s="1603">
        <f>P1+1</f>
        <v>2026</v>
      </c>
      <c r="R1" s="1603">
        <f t="shared" ref="R1:U1" si="1">Q1+1</f>
        <v>2027</v>
      </c>
      <c r="S1" s="1603">
        <f t="shared" si="1"/>
        <v>2028</v>
      </c>
      <c r="T1" s="1603">
        <f t="shared" si="1"/>
        <v>2029</v>
      </c>
      <c r="U1" s="1603">
        <f t="shared" si="1"/>
        <v>2030</v>
      </c>
      <c r="V1" s="1603"/>
      <c r="W1" s="1601"/>
      <c r="X1" s="1601"/>
      <c r="Y1" s="1601"/>
      <c r="Z1" s="1601"/>
      <c r="AA1" s="1601"/>
      <c r="AB1" s="1601"/>
      <c r="AC1" s="1604"/>
      <c r="AD1" s="1604"/>
      <c r="AE1" s="1604"/>
      <c r="AF1" s="1604"/>
      <c r="AG1" s="1604"/>
      <c r="AH1" s="1604"/>
      <c r="AI1" s="1604"/>
      <c r="AJ1" s="1601"/>
      <c r="AK1" s="1601"/>
      <c r="AL1" s="1601"/>
      <c r="AM1" s="1601"/>
      <c r="AN1" s="1601"/>
      <c r="AO1" s="1601"/>
      <c r="AP1" s="1601"/>
    </row>
    <row r="2" spans="1:42">
      <c r="A2" s="999">
        <v>1</v>
      </c>
      <c r="B2" s="1221"/>
      <c r="C2" s="1222" t="str">
        <f>"Balance Sheet ($MM) - "&amp;Company_Name</f>
        <v>Balance Sheet ($MM) - Phu Nhuan Jewelry</v>
      </c>
      <c r="D2" s="1222">
        <v>0</v>
      </c>
      <c r="E2" s="1605">
        <v>1</v>
      </c>
      <c r="F2" s="1605">
        <v>2</v>
      </c>
      <c r="G2" s="1605">
        <v>3</v>
      </c>
      <c r="H2" s="1605">
        <v>4</v>
      </c>
      <c r="I2" s="1605">
        <v>5</v>
      </c>
      <c r="J2" s="1605">
        <v>6</v>
      </c>
      <c r="K2" s="1605">
        <v>7</v>
      </c>
      <c r="L2" s="1605">
        <v>8</v>
      </c>
      <c r="M2" s="1605">
        <v>9</v>
      </c>
      <c r="N2" s="1605">
        <v>10</v>
      </c>
      <c r="O2" s="1605">
        <v>11</v>
      </c>
      <c r="P2" s="1605">
        <v>12</v>
      </c>
      <c r="Q2" s="1605">
        <v>13</v>
      </c>
      <c r="R2" s="1605">
        <v>14</v>
      </c>
      <c r="S2" s="1605">
        <v>15</v>
      </c>
      <c r="T2" s="1605">
        <v>16</v>
      </c>
      <c r="U2" s="1605">
        <v>17</v>
      </c>
      <c r="V2" s="1605"/>
      <c r="W2" s="999"/>
      <c r="X2" s="999"/>
      <c r="Y2" s="999"/>
      <c r="Z2" s="999"/>
      <c r="AA2" s="999"/>
      <c r="AB2" s="999"/>
      <c r="AC2" s="1189"/>
      <c r="AD2" s="1189"/>
      <c r="AE2" s="1189"/>
      <c r="AF2" s="1189"/>
      <c r="AG2" s="1189"/>
      <c r="AH2" s="1189"/>
      <c r="AI2" s="1189"/>
      <c r="AJ2" s="999"/>
      <c r="AK2" s="999"/>
      <c r="AL2" s="999"/>
      <c r="AM2" s="999"/>
      <c r="AN2" s="999"/>
      <c r="AO2" s="999"/>
      <c r="AP2" s="999"/>
    </row>
    <row r="3" spans="1:42" s="5" customFormat="1">
      <c r="A3" s="1000"/>
      <c r="B3" s="1001" t="s">
        <v>386</v>
      </c>
      <c r="C3" s="1000" t="s">
        <v>470</v>
      </c>
      <c r="D3" s="1606">
        <v>1</v>
      </c>
      <c r="E3" s="1607">
        <f ca="1">E5+E13</f>
        <v>3407.1994911840002</v>
      </c>
      <c r="F3" s="1607">
        <f ca="1">F5+F13</f>
        <v>7265.7622338740002</v>
      </c>
      <c r="G3" s="1607">
        <f ca="1">G5+G13</f>
        <v>14854.263232991001</v>
      </c>
      <c r="H3" s="1607">
        <f ca="1">H5+H13</f>
        <v>22822.66421522</v>
      </c>
      <c r="I3" s="1607">
        <f t="shared" ref="I3:Q3" ca="1" si="2">I5+I13</f>
        <v>28122.531486856002</v>
      </c>
      <c r="J3" s="1607">
        <f t="shared" ca="1" si="2"/>
        <v>41708.095544883006</v>
      </c>
      <c r="K3" s="1607">
        <f t="shared" ca="1" si="2"/>
        <v>46030.879952454001</v>
      </c>
      <c r="L3" s="1607">
        <f t="shared" ca="1" si="2"/>
        <v>62971.404814941998</v>
      </c>
      <c r="M3" s="1607">
        <f t="shared" ca="1" si="2"/>
        <v>55834.209834074994</v>
      </c>
      <c r="N3" s="1607">
        <f t="shared" ca="1" si="2"/>
        <v>60107.878446295006</v>
      </c>
      <c r="O3" s="1607">
        <f t="shared" ref="O3" ca="1" si="3">O5+O13</f>
        <v>70218.709730062008</v>
      </c>
      <c r="P3" s="1608">
        <f t="shared" ca="1" si="2"/>
        <v>77057.487582431306</v>
      </c>
      <c r="Q3" s="1608">
        <f t="shared" ca="1" si="2"/>
        <v>87945.388525232949</v>
      </c>
      <c r="R3" s="1608">
        <f t="shared" ref="R3" ca="1" si="4">R5+R13</f>
        <v>100084.98256870263</v>
      </c>
      <c r="S3" s="1608">
        <f t="shared" ref="S3:U3" ca="1" si="5">S5+S13</f>
        <v>114327.25868803302</v>
      </c>
      <c r="T3" s="1608">
        <f t="shared" ca="1" si="5"/>
        <v>131267.4684366679</v>
      </c>
      <c r="U3" s="1608">
        <f t="shared" ca="1" si="5"/>
        <v>150992.61598130208</v>
      </c>
      <c r="V3" s="1608"/>
      <c r="W3" s="1000"/>
      <c r="X3" s="1000"/>
      <c r="Y3" s="1000"/>
      <c r="Z3" s="1000"/>
      <c r="AA3" s="1000"/>
      <c r="AB3" s="1000"/>
      <c r="AC3" s="1206"/>
      <c r="AD3" s="1206"/>
      <c r="AE3" s="1206"/>
      <c r="AF3" s="1206"/>
      <c r="AG3" s="1206"/>
      <c r="AH3" s="1206"/>
      <c r="AI3" s="1206"/>
      <c r="AJ3" s="1000"/>
      <c r="AK3" s="1000"/>
      <c r="AL3" s="1000"/>
      <c r="AM3" s="1000"/>
      <c r="AN3" s="1000"/>
      <c r="AO3" s="1000"/>
      <c r="AP3" s="1000"/>
    </row>
    <row r="4" spans="1:42">
      <c r="A4" s="999"/>
      <c r="B4" s="1198"/>
      <c r="C4" s="1000"/>
      <c r="D4" s="1606">
        <v>2</v>
      </c>
      <c r="E4" s="1609"/>
      <c r="F4" s="1609"/>
      <c r="G4" s="1609"/>
      <c r="H4" s="1609"/>
      <c r="I4" s="1609"/>
      <c r="J4" s="1609"/>
      <c r="K4" s="1609"/>
      <c r="L4" s="1609"/>
      <c r="M4" s="1609"/>
      <c r="N4" s="1609"/>
      <c r="O4" s="1609"/>
      <c r="P4" s="1610"/>
      <c r="Q4" s="1610"/>
      <c r="R4" s="1610"/>
      <c r="S4" s="1610"/>
      <c r="T4" s="1610"/>
      <c r="U4" s="1610"/>
      <c r="V4" s="1610"/>
      <c r="W4" s="999" t="e">
        <f>#REF!/10^3-edit!P4</f>
        <v>#REF!</v>
      </c>
      <c r="X4" s="999"/>
      <c r="Y4" s="999"/>
      <c r="Z4" s="999"/>
      <c r="AA4" s="999"/>
      <c r="AB4" s="999"/>
      <c r="AC4" s="1189"/>
      <c r="AD4" s="1189"/>
      <c r="AE4" s="1189"/>
      <c r="AF4" s="1189"/>
      <c r="AG4" s="1189"/>
      <c r="AH4" s="1189"/>
      <c r="AI4" s="1189"/>
      <c r="AJ4" s="999"/>
      <c r="AK4" s="999"/>
      <c r="AL4" s="999"/>
      <c r="AM4" s="999"/>
      <c r="AN4" s="999"/>
      <c r="AO4" s="999"/>
      <c r="AP4" s="999"/>
    </row>
    <row r="5" spans="1:42" s="5" customFormat="1">
      <c r="A5" s="1000"/>
      <c r="B5" s="1001" t="s">
        <v>373</v>
      </c>
      <c r="C5" s="1611" t="str">
        <f>'FS Year'!B32</f>
        <v>Current Assets</v>
      </c>
      <c r="D5" s="1606">
        <v>3</v>
      </c>
      <c r="E5" s="1607">
        <f ca="1">SUM(E7:E11)</f>
        <v>2837.6866223930001</v>
      </c>
      <c r="F5" s="1607">
        <f ca="1">SUM(F7:F11)</f>
        <v>6176.4323263639999</v>
      </c>
      <c r="G5" s="1607">
        <f ca="1">SUM(G7:G11)</f>
        <v>12288.439407269001</v>
      </c>
      <c r="H5" s="1607">
        <f ca="1">SUM(H7:H11)</f>
        <v>18862.861306281</v>
      </c>
      <c r="I5" s="1607">
        <f ca="1">SUM(I7:I11)</f>
        <v>23371.994756394</v>
      </c>
      <c r="J5" s="1607">
        <f t="shared" ref="J5:K5" ca="1" si="6">SUM(J6:J11)</f>
        <v>35011.896908246003</v>
      </c>
      <c r="K5" s="1607">
        <f t="shared" ca="1" si="6"/>
        <v>37317.233970267</v>
      </c>
      <c r="L5" s="1607">
        <f t="shared" ref="L5:Q5" ca="1" si="7">SUM(L6:L11)</f>
        <v>51955.257770657001</v>
      </c>
      <c r="M5" s="1607">
        <f t="shared" ca="1" si="7"/>
        <v>44631.140049887996</v>
      </c>
      <c r="N5" s="1607">
        <f t="shared" ca="1" si="7"/>
        <v>51946.979209618003</v>
      </c>
      <c r="O5" s="1607">
        <f t="shared" ca="1" si="7"/>
        <v>65774.193760868002</v>
      </c>
      <c r="P5" s="1608">
        <f t="shared" ca="1" si="7"/>
        <v>73038.450333421657</v>
      </c>
      <c r="Q5" s="1608">
        <f t="shared" ca="1" si="7"/>
        <v>84003.388351131158</v>
      </c>
      <c r="R5" s="1608">
        <f t="shared" ref="R5" ca="1" si="8">SUM(R6:R11)</f>
        <v>96126.178268159623</v>
      </c>
      <c r="S5" s="1608">
        <f t="shared" ref="S5:U5" ca="1" si="9">SUM(S6:S11)</f>
        <v>113469.37138288403</v>
      </c>
      <c r="T5" s="1608">
        <f t="shared" ca="1" si="9"/>
        <v>130409.58113151891</v>
      </c>
      <c r="U5" s="1608">
        <f t="shared" ca="1" si="9"/>
        <v>150134.72867615308</v>
      </c>
      <c r="V5" s="1608"/>
      <c r="W5" s="1000"/>
      <c r="X5" s="1000"/>
      <c r="Y5" s="1000"/>
      <c r="Z5" s="1000"/>
      <c r="AA5" s="1000"/>
      <c r="AB5" s="1000"/>
      <c r="AC5" s="1206"/>
      <c r="AD5" s="1206"/>
      <c r="AE5" s="1206"/>
      <c r="AF5" s="1206"/>
      <c r="AG5" s="1206"/>
      <c r="AH5" s="1206"/>
      <c r="AI5" s="1206"/>
      <c r="AJ5" s="1000"/>
      <c r="AK5" s="1000"/>
      <c r="AL5" s="1000"/>
      <c r="AM5" s="1000"/>
      <c r="AN5" s="1000"/>
      <c r="AO5" s="1000"/>
      <c r="AP5" s="1000"/>
    </row>
    <row r="6" spans="1:42">
      <c r="A6" s="999"/>
      <c r="B6" s="1198"/>
      <c r="C6" s="1612" t="s">
        <v>471</v>
      </c>
      <c r="D6" s="1606">
        <v>4</v>
      </c>
      <c r="E6" s="1609"/>
      <c r="F6" s="1609"/>
      <c r="G6" s="1609"/>
      <c r="H6" s="1609"/>
      <c r="I6" s="1609"/>
      <c r="J6" s="1609">
        <f>MAX(J61,0)</f>
        <v>0</v>
      </c>
      <c r="K6" s="1609">
        <f>MAX(K61,0)</f>
        <v>0</v>
      </c>
      <c r="L6" s="1609">
        <f t="shared" ref="L6:Q6" si="10">MAX(L61,0)</f>
        <v>0</v>
      </c>
      <c r="M6" s="1609">
        <f t="shared" si="10"/>
        <v>0</v>
      </c>
      <c r="N6" s="1609">
        <f t="shared" si="10"/>
        <v>0</v>
      </c>
      <c r="O6" s="1609">
        <f t="shared" ref="O6" si="11">MAX(O61,0)</f>
        <v>0</v>
      </c>
      <c r="P6" s="1613">
        <f t="shared" ca="1" si="10"/>
        <v>0</v>
      </c>
      <c r="Q6" s="1613">
        <f t="shared" ca="1" si="10"/>
        <v>0</v>
      </c>
      <c r="R6" s="1613">
        <f t="shared" ref="R6" ca="1" si="12">MAX(R61,0)</f>
        <v>0</v>
      </c>
      <c r="S6" s="1613">
        <f t="shared" ref="S6:U6" ca="1" si="13">MAX(S61,0)</f>
        <v>869.8254392795061</v>
      </c>
      <c r="T6" s="1613">
        <f t="shared" ca="1" si="13"/>
        <v>0</v>
      </c>
      <c r="U6" s="1613">
        <f t="shared" ca="1" si="13"/>
        <v>0</v>
      </c>
      <c r="V6" s="1613"/>
      <c r="W6" s="999"/>
      <c r="X6" s="999"/>
      <c r="Y6" s="999"/>
      <c r="Z6" s="999"/>
      <c r="AA6" s="999"/>
      <c r="AB6" s="999"/>
      <c r="AC6" s="1189"/>
      <c r="AD6" s="1189"/>
      <c r="AE6" s="1189"/>
      <c r="AF6" s="1189"/>
      <c r="AG6" s="1189"/>
      <c r="AH6" s="1189"/>
      <c r="AI6" s="1189"/>
      <c r="AJ6" s="999"/>
      <c r="AK6" s="999"/>
      <c r="AL6" s="999"/>
      <c r="AM6" s="999"/>
      <c r="AN6" s="999"/>
      <c r="AO6" s="999"/>
      <c r="AP6" s="999"/>
    </row>
    <row r="7" spans="1:42">
      <c r="A7" s="999"/>
      <c r="B7" s="1001" t="s">
        <v>360</v>
      </c>
      <c r="C7" s="1614" t="str">
        <f>'FS Year'!B33</f>
        <v>Cash And Cash Equivalents</v>
      </c>
      <c r="D7" s="1606">
        <v>5</v>
      </c>
      <c r="E7" s="1615">
        <f ca="1">OFFSET('FS Year'!$B$1,MATCH(FS!$C7,'FS Year'!$B$2:$B$355,0),MATCH(FS!E$1,'FS Year'!$C$1:$Q$1,0))</f>
        <v>212.92062019100001</v>
      </c>
      <c r="F7" s="1615">
        <f ca="1">OFFSET('FS Year'!$B$1,MATCH(FS!$C7,'FS Year'!$B$2:$B$355,0),MATCH(FS!F$1,'FS Year'!$C$1:$Q$1,0))</f>
        <v>343.87296870500001</v>
      </c>
      <c r="G7" s="1615">
        <f ca="1">OFFSET('FS Year'!$B$1,MATCH(FS!$C7,'FS Year'!$B$2:$B$355,0),MATCH(FS!G$1,'FS Year'!$C$1:$Q$1,0))</f>
        <v>996.98346201200002</v>
      </c>
      <c r="H7" s="1615">
        <f ca="1">OFFSET('FS Year'!$B$1,MATCH(FS!$C7,'FS Year'!$B$2:$B$355,0),MATCH(FS!H$1,'FS Year'!$C$1:$Q$1,0))</f>
        <v>3410.9833513929998</v>
      </c>
      <c r="I7" s="1615">
        <f ca="1">OFFSET('FS Year'!$B$1,MATCH(FS!$C7,'FS Year'!$B$2:$B$355,0),MATCH(FS!I$1,'FS Year'!$C$1:$X$1,0))</f>
        <v>3749.5502582119998</v>
      </c>
      <c r="J7" s="1615">
        <f ca="1">OFFSET('FS Year'!$B$1,MATCH(FS!$C7,'FS Year'!$B$2:$B$355,0),MATCH(FS!J$1,'FS Year'!$C$1:$X$1,0))</f>
        <v>3115.2368164680001</v>
      </c>
      <c r="K7" s="1615">
        <f ca="1">OFFSET('FS Year'!$B$1,MATCH(FS!$C7,'FS Year'!$B$2:$B$355,0),MATCH(FS!K$1,'FS Year'!$C$1:$X$1,0))</f>
        <v>7347.8573979250004</v>
      </c>
      <c r="L7" s="1615">
        <f ca="1">OFFSET('FS Year'!$B$1,MATCH(FS!$C7,'FS Year'!$B$2:$B$355,0),MATCH(FS!L$1,'FS Year'!$C$1:$X$1,0))</f>
        <v>4142.015762555</v>
      </c>
      <c r="M7" s="1615">
        <f ca="1">OFFSET('FS Year'!$B$1,MATCH(FS!$C7,'FS Year'!$B$2:$B$355,0),MATCH(FS!M$1,'FS Year'!$C$1:$X$1,0))</f>
        <v>5061.0205474220002</v>
      </c>
      <c r="N7" s="1615">
        <f ca="1">OFFSET('FS Year'!$B$1,MATCH(FS!$C7,'FS Year'!$B$2:$B$355,0),MATCH(FS!N$1,'FS Year'!$C$1:$X$1,0))</f>
        <v>5365.7048571719997</v>
      </c>
      <c r="O7" s="1615">
        <f ca="1">OFFSET('FS Year'!$B$1,MATCH(FS!$C7,'FS Year'!$B$2:$B$355,0),MATCH(FS!O$1,'FS Year'!$C$1:$X$1,0))</f>
        <v>5697.3315407299997</v>
      </c>
      <c r="P7" s="1613">
        <f ca="1">P178</f>
        <v>6775.623920371434</v>
      </c>
      <c r="Q7" s="1613">
        <f ca="1">Q178</f>
        <v>10143.696816406977</v>
      </c>
      <c r="R7" s="1613">
        <f t="shared" ref="R7" ca="1" si="14">R178</f>
        <v>15951.405562774024</v>
      </c>
      <c r="S7" s="1613">
        <f t="shared" ref="S7:U7" ca="1" si="15">S178</f>
        <v>24942.144580748478</v>
      </c>
      <c r="T7" s="1613">
        <f t="shared" ca="1" si="15"/>
        <v>36366.763114727059</v>
      </c>
      <c r="U7" s="1613">
        <f t="shared" ca="1" si="15"/>
        <v>50204.836561887758</v>
      </c>
      <c r="V7" s="1613"/>
      <c r="W7" s="999"/>
      <c r="X7" s="999"/>
      <c r="Y7" s="999"/>
      <c r="Z7" s="999"/>
      <c r="AA7" s="999"/>
      <c r="AB7" s="999"/>
      <c r="AC7" s="1189"/>
      <c r="AD7" s="1189"/>
      <c r="AE7" s="1189"/>
      <c r="AF7" s="1189"/>
      <c r="AG7" s="1189"/>
      <c r="AH7" s="1189"/>
      <c r="AI7" s="1189"/>
      <c r="AJ7" s="999"/>
      <c r="AK7" s="999"/>
      <c r="AL7" s="999"/>
      <c r="AM7" s="999"/>
      <c r="AN7" s="999"/>
      <c r="AO7" s="999"/>
      <c r="AP7" s="999"/>
    </row>
    <row r="8" spans="1:42">
      <c r="A8" s="999"/>
      <c r="B8" s="1001" t="s">
        <v>362</v>
      </c>
      <c r="C8" s="1614" t="str">
        <f>'FS Year'!B36</f>
        <v>Short-Term Investments</v>
      </c>
      <c r="D8" s="1606">
        <v>6</v>
      </c>
      <c r="E8" s="1615">
        <f ca="1">OFFSET('FS Year'!$B$1,MATCH(FS!$C8,'FS Year'!$B$2:$B$355,0),MATCH(FS!E$1,'FS Year'!$C$1:$Q$1,0))</f>
        <v>0</v>
      </c>
      <c r="F8" s="1615">
        <f ca="1">OFFSET('FS Year'!$B$1,MATCH(FS!$C8,'FS Year'!$B$2:$B$355,0),MATCH(FS!F$1,'FS Year'!$C$1:$Q$1,0))</f>
        <v>0</v>
      </c>
      <c r="G8" s="1615">
        <f ca="1">OFFSET('FS Year'!$B$1,MATCH(FS!$C8,'FS Year'!$B$2:$B$355,0),MATCH(FS!G$1,'FS Year'!$C$1:$Q$1,0))</f>
        <v>0</v>
      </c>
      <c r="H8" s="1615">
        <f ca="1">OFFSET('FS Year'!$B$1,MATCH(FS!$C8,'FS Year'!$B$2:$B$355,0),MATCH(FS!H$1,'FS Year'!$C$1:$Q$1,0))</f>
        <v>0</v>
      </c>
      <c r="I8" s="1615">
        <f ca="1">OFFSET('FS Year'!$B$1,MATCH(FS!$C8,'FS Year'!$B$2:$B$355,0),MATCH(FS!I$1,'FS Year'!$C$1:$X$1,0))</f>
        <v>50.922451739000003</v>
      </c>
      <c r="J8" s="1615">
        <f ca="1">OFFSET('FS Year'!$B$1,MATCH(FS!$C8,'FS Year'!$B$2:$B$355,0),MATCH(FS!J$1,'FS Year'!$C$1:$X$1,0))</f>
        <v>3137</v>
      </c>
      <c r="K8" s="1615">
        <f ca="1">OFFSET('FS Year'!$B$1,MATCH(FS!$C8,'FS Year'!$B$2:$B$355,0),MATCH(FS!K$1,'FS Year'!$C$1:$X$1,0))</f>
        <v>8057.3188219180001</v>
      </c>
      <c r="L8" s="1615">
        <f ca="1">OFFSET('FS Year'!$B$1,MATCH(FS!$C8,'FS Year'!$B$2:$B$355,0),MATCH(FS!L$1,'FS Year'!$C$1:$X$1,0))</f>
        <v>14236.626334707</v>
      </c>
      <c r="M8" s="1615">
        <f ca="1">OFFSET('FS Year'!$B$1,MATCH(FS!$C8,'FS Year'!$B$2:$B$355,0),MATCH(FS!M$1,'FS Year'!$C$1:$X$1,0))</f>
        <v>10059.049605640001</v>
      </c>
      <c r="N8" s="1615">
        <f ca="1">OFFSET('FS Year'!$B$1,MATCH(FS!$C8,'FS Year'!$B$2:$B$355,0),MATCH(FS!N$1,'FS Year'!$C$1:$X$1,0))</f>
        <v>18937.008073822999</v>
      </c>
      <c r="O8" s="1615">
        <f ca="1">OFFSET('FS Year'!$B$1,MATCH(FS!$C8,'FS Year'!$B$2:$B$355,0),MATCH(FS!O$1,'FS Year'!$C$1:$X$1,0))</f>
        <v>28524.44175632</v>
      </c>
      <c r="P8" s="1613">
        <f ca="1">O8+2500</f>
        <v>31024.44175632</v>
      </c>
      <c r="Q8" s="1613">
        <f ca="1">P8</f>
        <v>31024.44175632</v>
      </c>
      <c r="R8" s="1613">
        <f t="shared" ref="R8" ca="1" si="16">Q8</f>
        <v>31024.44175632</v>
      </c>
      <c r="S8" s="1613">
        <f t="shared" ref="S8:U8" ca="1" si="17">R8</f>
        <v>31024.44175632</v>
      </c>
      <c r="T8" s="1613">
        <f t="shared" ca="1" si="17"/>
        <v>31024.44175632</v>
      </c>
      <c r="U8" s="1613">
        <f t="shared" ca="1" si="17"/>
        <v>31024.44175632</v>
      </c>
      <c r="V8" s="1613"/>
      <c r="W8" s="999"/>
      <c r="X8" s="999"/>
      <c r="Y8" s="999"/>
      <c r="Z8" s="999"/>
      <c r="AA8" s="999"/>
      <c r="AB8" s="999"/>
      <c r="AC8" s="1189"/>
      <c r="AD8" s="1189"/>
      <c r="AE8" s="1189"/>
      <c r="AF8" s="1189"/>
      <c r="AG8" s="1189"/>
      <c r="AH8" s="1189"/>
      <c r="AI8" s="1189"/>
      <c r="AJ8" s="999"/>
      <c r="AK8" s="999"/>
      <c r="AL8" s="999"/>
      <c r="AM8" s="999"/>
      <c r="AN8" s="999"/>
      <c r="AO8" s="999"/>
      <c r="AP8" s="999"/>
    </row>
    <row r="9" spans="1:42">
      <c r="A9" s="999"/>
      <c r="B9" s="1001" t="s">
        <v>365</v>
      </c>
      <c r="C9" s="1614" t="str">
        <f>'FS Year'!B40</f>
        <v>Accounts Receivable</v>
      </c>
      <c r="D9" s="1606">
        <v>7</v>
      </c>
      <c r="E9" s="1615">
        <f ca="1">OFFSET('FS Year'!$B$1,MATCH(FS!$C9,'FS Year'!$B$2:$B$355,0),MATCH(FS!E$1,'FS Year'!$C$1:$Q$1,0))</f>
        <v>296.73554923699999</v>
      </c>
      <c r="F9" s="1615">
        <f ca="1">OFFSET('FS Year'!$B$1,MATCH(FS!$C9,'FS Year'!$B$2:$B$355,0),MATCH(FS!F$1,'FS Year'!$C$1:$Q$1,0))</f>
        <v>636.32297995500005</v>
      </c>
      <c r="G9" s="1615">
        <f ca="1">OFFSET('FS Year'!$B$1,MATCH(FS!$C9,'FS Year'!$B$2:$B$355,0),MATCH(FS!G$1,'FS Year'!$C$1:$Q$1,0))</f>
        <v>1410.642874572</v>
      </c>
      <c r="H9" s="1615">
        <f ca="1">OFFSET('FS Year'!$B$1,MATCH(FS!$C9,'FS Year'!$B$2:$B$355,0),MATCH(FS!H$1,'FS Year'!$C$1:$Q$1,0))</f>
        <v>2765.8478155540001</v>
      </c>
      <c r="I9" s="1615">
        <f ca="1">OFFSET('FS Year'!$B$1,MATCH(FS!$C9,'FS Year'!$B$2:$B$355,0),MATCH(FS!I$1,'FS Year'!$C$1:$X$1,0))</f>
        <v>1542.5297360730001</v>
      </c>
      <c r="J9" s="1615">
        <f ca="1">OFFSET('FS Year'!$B$1,MATCH(FS!$C9,'FS Year'!$B$2:$B$355,0),MATCH(FS!J$1,'FS Year'!$C$1:$X$1,0))</f>
        <v>1815.085561979</v>
      </c>
      <c r="K9" s="1615">
        <f ca="1">OFFSET('FS Year'!$B$1,MATCH(FS!$C9,'FS Year'!$B$2:$B$355,0),MATCH(FS!K$1,'FS Year'!$C$1:$X$1,0))</f>
        <v>1595.2510184959999</v>
      </c>
      <c r="L9" s="1615">
        <f ca="1">OFFSET('FS Year'!$B$1,MATCH(FS!$C9,'FS Year'!$B$2:$B$355,0),MATCH(FS!L$1,'FS Year'!$C$1:$X$1,0))</f>
        <v>3162.1219715860002</v>
      </c>
      <c r="M9" s="1615">
        <f ca="1">OFFSET('FS Year'!$B$1,MATCH(FS!$C9,'FS Year'!$B$2:$B$355,0),MATCH(FS!M$1,'FS Year'!$C$1:$X$1,0))</f>
        <v>3072.0938533670001</v>
      </c>
      <c r="N9" s="1615">
        <f ca="1">OFFSET('FS Year'!$B$1,MATCH(FS!$C9,'FS Year'!$B$2:$B$355,0),MATCH(FS!N$1,'FS Year'!$C$1:$X$1,0))</f>
        <v>5158.8533377849999</v>
      </c>
      <c r="O9" s="1615">
        <f ca="1">OFFSET('FS Year'!$B$1,MATCH(FS!$C9,'FS Year'!$B$2:$B$355,0),MATCH(FS!O$1,'FS Year'!$C$1:$X$1,0))</f>
        <v>8763.6673655979994</v>
      </c>
      <c r="P9" s="1212">
        <f t="shared" ref="P9:U9" ca="1" si="18">CHOOSE($K$184,P182*P64,P183/Days_in_Year*P64)</f>
        <v>10410.873949046139</v>
      </c>
      <c r="Q9" s="1212">
        <f t="shared" ca="1" si="18"/>
        <v>12655.301608261983</v>
      </c>
      <c r="R9" s="1212">
        <f t="shared" ca="1" si="18"/>
        <v>14521.037358813592</v>
      </c>
      <c r="S9" s="1212">
        <f t="shared" ca="1" si="18"/>
        <v>16731.714849263386</v>
      </c>
      <c r="T9" s="1212">
        <f t="shared" ca="1" si="18"/>
        <v>18618.230605982928</v>
      </c>
      <c r="U9" s="1212">
        <f t="shared" ca="1" si="18"/>
        <v>20357.515393141446</v>
      </c>
      <c r="V9" s="1212"/>
      <c r="W9" s="999"/>
      <c r="X9" s="999"/>
      <c r="Y9" s="999"/>
      <c r="Z9" s="999"/>
      <c r="AA9" s="999"/>
      <c r="AB9" s="999"/>
      <c r="AC9" s="1189"/>
      <c r="AD9" s="1189"/>
      <c r="AE9" s="1189"/>
      <c r="AF9" s="1189"/>
      <c r="AG9" s="1189"/>
      <c r="AH9" s="1189"/>
      <c r="AI9" s="1189"/>
      <c r="AJ9" s="999"/>
      <c r="AK9" s="999"/>
      <c r="AL9" s="999"/>
      <c r="AM9" s="999"/>
      <c r="AN9" s="999"/>
      <c r="AO9" s="999"/>
      <c r="AP9" s="999"/>
    </row>
    <row r="10" spans="1:42">
      <c r="A10" s="999"/>
      <c r="B10" s="1001" t="s">
        <v>368</v>
      </c>
      <c r="C10" s="1614" t="str">
        <f>'FS Year'!B49</f>
        <v>Inventories</v>
      </c>
      <c r="D10" s="1606">
        <v>8</v>
      </c>
      <c r="E10" s="1615">
        <f ca="1">OFFSET('FS Year'!$B$1,MATCH(FS!$C10,'FS Year'!$B$2:$B$355,0),MATCH(FS!E$1,'FS Year'!$C$1:$Q$1,0))</f>
        <v>2195.306348135</v>
      </c>
      <c r="F10" s="1615">
        <f ca="1">OFFSET('FS Year'!$B$1,MATCH(FS!$C10,'FS Year'!$B$2:$B$355,0),MATCH(FS!F$1,'FS Year'!$C$1:$Q$1,0))</f>
        <v>4932.6848422989997</v>
      </c>
      <c r="G10" s="1615">
        <f ca="1">OFFSET('FS Year'!$B$1,MATCH(FS!$C10,'FS Year'!$B$2:$B$355,0),MATCH(FS!G$1,'FS Year'!$C$1:$Q$1,0))</f>
        <v>9370.7317497780004</v>
      </c>
      <c r="H10" s="1615">
        <f ca="1">OFFSET('FS Year'!$B$1,MATCH(FS!$C10,'FS Year'!$B$2:$B$355,0),MATCH(FS!H$1,'FS Year'!$C$1:$Q$1,0))</f>
        <v>12050.162650982</v>
      </c>
      <c r="I10" s="1615">
        <f ca="1">OFFSET('FS Year'!$B$1,MATCH(FS!$C10,'FS Year'!$B$2:$B$355,0),MATCH(FS!I$1,'FS Year'!$C$1:$X$1,0))</f>
        <v>17446.005298980999</v>
      </c>
      <c r="J10" s="1615">
        <f ca="1">OFFSET('FS Year'!$B$1,MATCH(FS!$C10,'FS Year'!$B$2:$B$355,0),MATCH(FS!J$1,'FS Year'!$C$1:$X$1,0))</f>
        <v>25745.428436580001</v>
      </c>
      <c r="K10" s="1615">
        <f ca="1">OFFSET('FS Year'!$B$1,MATCH(FS!$C10,'FS Year'!$B$2:$B$355,0),MATCH(FS!K$1,'FS Year'!$C$1:$X$1,0))</f>
        <v>19422.177452674001</v>
      </c>
      <c r="L10" s="1615">
        <f ca="1">OFFSET('FS Year'!$B$1,MATCH(FS!$C10,'FS Year'!$B$2:$B$355,0),MATCH(FS!L$1,'FS Year'!$C$1:$X$1,0))</f>
        <v>29167.232293921999</v>
      </c>
      <c r="M10" s="1615">
        <f ca="1">OFFSET('FS Year'!$B$1,MATCH(FS!$C10,'FS Year'!$B$2:$B$355,0),MATCH(FS!M$1,'FS Year'!$C$1:$X$1,0))</f>
        <v>25696.077735282001</v>
      </c>
      <c r="N10" s="1615">
        <f ca="1">OFFSET('FS Year'!$B$1,MATCH(FS!$C10,'FS Year'!$B$2:$B$355,0),MATCH(FS!N$1,'FS Year'!$C$1:$X$1,0))</f>
        <v>21824.235626176</v>
      </c>
      <c r="O10" s="1615">
        <f ca="1">OFFSET('FS Year'!$B$1,MATCH(FS!$C10,'FS Year'!$B$2:$B$355,0),MATCH(FS!O$1,'FS Year'!$C$1:$X$1,0))</f>
        <v>22244.676326705001</v>
      </c>
      <c r="P10" s="1212">
        <f t="shared" ref="P10:U10" ca="1" si="19">P187*P64/Days_in_Year</f>
        <v>24181.170031966289</v>
      </c>
      <c r="Q10" s="1212">
        <f t="shared" ca="1" si="19"/>
        <v>29394.26617716733</v>
      </c>
      <c r="R10" s="1212">
        <f t="shared" ca="1" si="19"/>
        <v>33727.780696660702</v>
      </c>
      <c r="S10" s="1212">
        <f t="shared" ca="1" si="19"/>
        <v>38862.485865894334</v>
      </c>
      <c r="T10" s="1212">
        <f t="shared" ca="1" si="19"/>
        <v>43244.265772604129</v>
      </c>
      <c r="U10" s="1212">
        <f t="shared" ca="1" si="19"/>
        <v>47284.074666471854</v>
      </c>
      <c r="V10" s="1212"/>
      <c r="W10" s="999"/>
      <c r="X10" s="999"/>
      <c r="Y10" s="999"/>
      <c r="Z10" s="999"/>
      <c r="AA10" s="999"/>
      <c r="AB10" s="999"/>
      <c r="AC10" s="1189"/>
      <c r="AD10" s="1189"/>
      <c r="AE10" s="1189"/>
      <c r="AF10" s="1189"/>
      <c r="AG10" s="1189"/>
      <c r="AH10" s="1189"/>
      <c r="AI10" s="1189"/>
      <c r="AJ10" s="999"/>
      <c r="AK10" s="999"/>
      <c r="AL10" s="999"/>
      <c r="AM10" s="999"/>
      <c r="AN10" s="999"/>
      <c r="AO10" s="999"/>
      <c r="AP10" s="999"/>
    </row>
    <row r="11" spans="1:42">
      <c r="A11" s="999"/>
      <c r="B11" s="1001" t="s">
        <v>370</v>
      </c>
      <c r="C11" s="1614" t="s">
        <v>472</v>
      </c>
      <c r="D11" s="1606">
        <v>9</v>
      </c>
      <c r="E11" s="1615">
        <f ca="1">OFFSET('FS Year'!$B$1,MATCH(FS!$C11,'FS Year'!$B$2:$B$355,0),MATCH(FS!E$1,'FS Year'!$C$1:$Q$1,0))</f>
        <v>132.72410482999999</v>
      </c>
      <c r="F11" s="1615">
        <f ca="1">OFFSET('FS Year'!$B$1,MATCH(FS!$C11,'FS Year'!$B$2:$B$355,0),MATCH(FS!F$1,'FS Year'!$C$1:$Q$1,0))</f>
        <v>263.55153540499998</v>
      </c>
      <c r="G11" s="1615">
        <f ca="1">OFFSET('FS Year'!$B$1,MATCH(FS!$C11,'FS Year'!$B$2:$B$355,0),MATCH(FS!G$1,'FS Year'!$C$1:$Q$1,0))</f>
        <v>510.08132090700002</v>
      </c>
      <c r="H11" s="1615">
        <f ca="1">OFFSET('FS Year'!$B$1,MATCH(FS!$C11,'FS Year'!$B$2:$B$355,0),MATCH(FS!H$1,'FS Year'!$C$1:$Q$1,0))</f>
        <v>635.86748835200001</v>
      </c>
      <c r="I11" s="1615">
        <f ca="1">OFFSET('FS Year'!$B$1,MATCH(FS!$C11,'FS Year'!$B$2:$B$355,0),MATCH(FS!I$1,'FS Year'!$C$1:$X$1,0))</f>
        <v>582.98701138900003</v>
      </c>
      <c r="J11" s="1615">
        <f ca="1">OFFSET('FS Year'!$B$1,MATCH(FS!$C11,'FS Year'!$B$2:$B$355,0),MATCH(FS!J$1,'FS Year'!$C$1:$X$1,0))</f>
        <v>1199.146093219</v>
      </c>
      <c r="K11" s="1615">
        <f ca="1">OFFSET('FS Year'!$B$1,MATCH(FS!$C11,'FS Year'!$B$2:$B$355,0),MATCH(FS!K$1,'FS Year'!$C$1:$X$1,0))</f>
        <v>894.62927925400004</v>
      </c>
      <c r="L11" s="1615">
        <f ca="1">OFFSET('FS Year'!$B$1,MATCH(FS!$C11,'FS Year'!$B$2:$B$355,0),MATCH(FS!L$1,'FS Year'!$C$1:$X$1,0))</f>
        <v>1247.2614078869999</v>
      </c>
      <c r="M11" s="1615">
        <f ca="1">OFFSET('FS Year'!$B$1,MATCH(FS!$C11,'FS Year'!$B$2:$B$355,0),MATCH(FS!M$1,'FS Year'!$C$1:$X$1,0))</f>
        <v>742.89830817699999</v>
      </c>
      <c r="N11" s="1615">
        <f ca="1">OFFSET('FS Year'!$B$1,MATCH(FS!$C11,'FS Year'!$B$2:$B$355,0),MATCH(FS!N$1,'FS Year'!$C$1:$X$1,0))</f>
        <v>661.17731466199996</v>
      </c>
      <c r="O11" s="1615">
        <f ca="1">OFFSET('FS Year'!$B$1,MATCH(FS!$C11,'FS Year'!$B$2:$B$355,0),MATCH(FS!O$1,'FS Year'!$C$1:$X$1,0))</f>
        <v>544.07677151500002</v>
      </c>
      <c r="P11" s="1613">
        <f ca="1">P64*P190</f>
        <v>646.34067571780008</v>
      </c>
      <c r="Q11" s="1613">
        <f ca="1">Q64*Q190</f>
        <v>785.68199297485899</v>
      </c>
      <c r="R11" s="1613">
        <f t="shared" ref="R11" ca="1" si="20">R64*R190</f>
        <v>901.51289359131215</v>
      </c>
      <c r="S11" s="1613">
        <f t="shared" ref="S11:U11" ca="1" si="21">S64*S190</f>
        <v>1038.7588913783052</v>
      </c>
      <c r="T11" s="1613">
        <f t="shared" ca="1" si="21"/>
        <v>1155.8798818847845</v>
      </c>
      <c r="U11" s="1613">
        <f t="shared" ca="1" si="21"/>
        <v>1263.8602983320247</v>
      </c>
      <c r="V11" s="1613"/>
      <c r="W11" s="999"/>
      <c r="X11" s="999"/>
      <c r="Y11" s="999"/>
      <c r="Z11" s="999"/>
      <c r="AA11" s="999"/>
      <c r="AB11" s="999"/>
      <c r="AC11" s="1189"/>
      <c r="AD11" s="1189"/>
      <c r="AE11" s="1189"/>
      <c r="AF11" s="1189"/>
      <c r="AG11" s="1189"/>
      <c r="AH11" s="1189"/>
      <c r="AI11" s="1189"/>
      <c r="AJ11" s="999"/>
      <c r="AK11" s="999"/>
      <c r="AL11" s="999"/>
      <c r="AM11" s="999"/>
      <c r="AN11" s="999"/>
      <c r="AO11" s="999"/>
      <c r="AP11" s="999"/>
    </row>
    <row r="12" spans="1:42">
      <c r="A12" s="999"/>
      <c r="B12" s="1198"/>
      <c r="C12" s="1614"/>
      <c r="D12" s="1606">
        <v>10</v>
      </c>
      <c r="E12" s="1615"/>
      <c r="F12" s="1615"/>
      <c r="G12" s="1616"/>
      <c r="H12" s="1616"/>
      <c r="I12" s="1616"/>
      <c r="J12" s="1609"/>
      <c r="K12" s="1192"/>
      <c r="L12" s="1192"/>
      <c r="M12" s="1192"/>
      <c r="N12" s="1192"/>
      <c r="O12" s="1192"/>
      <c r="P12" s="999"/>
      <c r="Q12" s="999"/>
      <c r="R12" s="999"/>
      <c r="S12" s="999"/>
      <c r="T12" s="999"/>
      <c r="U12" s="999"/>
      <c r="V12" s="999"/>
      <c r="W12" s="999"/>
      <c r="X12" s="999"/>
      <c r="Y12" s="999"/>
      <c r="Z12" s="999"/>
      <c r="AA12" s="999"/>
      <c r="AB12" s="999"/>
      <c r="AC12" s="1189"/>
      <c r="AD12" s="1189"/>
      <c r="AE12" s="1189"/>
      <c r="AF12" s="1189"/>
      <c r="AG12" s="1189"/>
      <c r="AH12" s="1189"/>
      <c r="AI12" s="1189"/>
      <c r="AJ12" s="999"/>
      <c r="AK12" s="999"/>
      <c r="AL12" s="999"/>
      <c r="AM12" s="999"/>
      <c r="AN12" s="999"/>
      <c r="AO12" s="999"/>
      <c r="AP12" s="999"/>
    </row>
    <row r="13" spans="1:42" s="5" customFormat="1">
      <c r="A13" s="1000"/>
      <c r="B13" s="1001" t="s">
        <v>384</v>
      </c>
      <c r="C13" s="1617" t="str">
        <f>'FS Year'!B58</f>
        <v>Long-Term Assets</v>
      </c>
      <c r="D13" s="1606">
        <v>11</v>
      </c>
      <c r="E13" s="1618">
        <f ca="1">SUM(E14:E21)</f>
        <v>569.51286879100007</v>
      </c>
      <c r="F13" s="1618">
        <f ca="1">SUM(F14:F16,F18:F21)</f>
        <v>1089.3299075099999</v>
      </c>
      <c r="G13" s="1618">
        <f t="shared" ref="G13:P13" ca="1" si="22">SUM(G14:G16,G18:G21)</f>
        <v>2565.823825722</v>
      </c>
      <c r="H13" s="1618">
        <f t="shared" ca="1" si="22"/>
        <v>3959.8029089389997</v>
      </c>
      <c r="I13" s="1618">
        <f t="shared" ca="1" si="22"/>
        <v>4750.5367304619995</v>
      </c>
      <c r="J13" s="1618">
        <f t="shared" ca="1" si="22"/>
        <v>6696.1986366370002</v>
      </c>
      <c r="K13" s="1618">
        <f t="shared" ca="1" si="22"/>
        <v>8713.6459821869994</v>
      </c>
      <c r="L13" s="1618">
        <f ca="1">SUM(L14:L16,L18:L21)</f>
        <v>11016.147044285</v>
      </c>
      <c r="M13" s="1618">
        <f ca="1">SUM(M14:M16,M18:M21)</f>
        <v>11203.069784187001</v>
      </c>
      <c r="N13" s="1618">
        <f ca="1">SUM(N14:N16,N18:N21)</f>
        <v>8160.8992366770008</v>
      </c>
      <c r="O13" s="1618">
        <f ca="1">SUM(O14:O16,O18:O21)</f>
        <v>4444.5159691939998</v>
      </c>
      <c r="P13" s="1619">
        <f t="shared" ca="1" si="22"/>
        <v>4019.0372490096552</v>
      </c>
      <c r="Q13" s="1619">
        <f ca="1">SUM(Q14:Q16,Q18:Q21)</f>
        <v>3942.0001741017913</v>
      </c>
      <c r="R13" s="1619">
        <f t="shared" ref="R13" ca="1" si="23">SUM(R14:R16,R18:R21)</f>
        <v>3958.8043005430013</v>
      </c>
      <c r="S13" s="1619">
        <f t="shared" ref="S13" ca="1" si="24">SUM(S14:S16,S18:S21)</f>
        <v>857.8873051490001</v>
      </c>
      <c r="T13" s="1619">
        <f t="shared" ref="T13" ca="1" si="25">SUM(T14:T16,T18:T21)</f>
        <v>857.8873051490001</v>
      </c>
      <c r="U13" s="1619">
        <f t="shared" ref="U13" ca="1" si="26">SUM(U14:U16,U18:U21)</f>
        <v>857.8873051490001</v>
      </c>
      <c r="V13" s="1619"/>
      <c r="W13" s="1000"/>
      <c r="X13" s="1000"/>
      <c r="Y13" s="1000"/>
      <c r="Z13" s="1000"/>
      <c r="AA13" s="1000"/>
      <c r="AB13" s="1000"/>
      <c r="AC13" s="1206"/>
      <c r="AD13" s="1206"/>
      <c r="AE13" s="1206"/>
      <c r="AF13" s="1206"/>
      <c r="AG13" s="1206"/>
      <c r="AH13" s="1206"/>
      <c r="AI13" s="1206"/>
      <c r="AJ13" s="1000"/>
      <c r="AK13" s="1000"/>
      <c r="AL13" s="1000"/>
      <c r="AM13" s="1000"/>
      <c r="AN13" s="1000"/>
      <c r="AO13" s="1000"/>
      <c r="AP13" s="1000"/>
    </row>
    <row r="14" spans="1:42">
      <c r="A14" s="999"/>
      <c r="B14" s="1198"/>
      <c r="C14" s="1620" t="str">
        <f>'FS Year'!B59</f>
        <v>Long-Term Trade Receivables</v>
      </c>
      <c r="D14" s="1606">
        <v>12</v>
      </c>
      <c r="E14" s="1615">
        <f ca="1">OFFSET('FS Year'!$B$1,MATCH(FS!$C14,'FS Year'!$B$2:$B$355,0),MATCH(FS!E$1,'FS Year'!$C$1:$Q$1,0))</f>
        <v>0</v>
      </c>
      <c r="F14" s="1615">
        <f ca="1">OFFSET('FS Year'!$B$1,MATCH(FS!$C14,'FS Year'!$B$2:$B$355,0),MATCH(FS!F$1,'FS Year'!$C$1:$Q$1,0))</f>
        <v>112.464049268</v>
      </c>
      <c r="G14" s="1615">
        <f ca="1">OFFSET('FS Year'!$B$1,MATCH(FS!$C14,'FS Year'!$B$2:$B$355,0),MATCH(FS!G$1,'FS Year'!$C$1:$Q$1,0))</f>
        <v>179.685175407</v>
      </c>
      <c r="H14" s="1615">
        <f ca="1">OFFSET('FS Year'!$B$1,MATCH(FS!$C14,'FS Year'!$B$2:$B$355,0),MATCH(FS!H$1,'FS Year'!$C$1:$Q$1,0))</f>
        <v>242.11597011800001</v>
      </c>
      <c r="I14" s="1615">
        <f ca="1">OFFSET('FS Year'!$B$1,MATCH(FS!$C14,'FS Year'!$B$2:$B$355,0),MATCH(FS!I$1,'FS Year'!$C$1:$X$1,0))</f>
        <v>313.77564533200001</v>
      </c>
      <c r="J14" s="1615">
        <f ca="1">OFFSET('FS Year'!$B$1,MATCH(FS!$C14,'FS Year'!$B$2:$B$355,0),MATCH(FS!J$1,'FS Year'!$C$1:$X$1,0))</f>
        <v>374.563598474</v>
      </c>
      <c r="K14" s="1615">
        <f ca="1">OFFSET('FS Year'!$B$1,MATCH(FS!$C14,'FS Year'!$B$2:$B$355,0),MATCH(FS!K$1,'FS Year'!$C$1:$X$1,0))</f>
        <v>439.49325775699998</v>
      </c>
      <c r="L14" s="1615">
        <f ca="1">OFFSET('FS Year'!$B$1,MATCH(FS!$C14,'FS Year'!$B$2:$B$355,0),MATCH(FS!L$1,'FS Year'!$C$1:$X$1,0))</f>
        <v>482.38917946399999</v>
      </c>
      <c r="M14" s="1615">
        <f ca="1">OFFSET('FS Year'!$B$1,MATCH(FS!$C14,'FS Year'!$B$2:$B$355,0),MATCH(FS!M$1,'FS Year'!$C$1:$X$1,0))</f>
        <v>494.62157681000002</v>
      </c>
      <c r="N14" s="1615">
        <f ca="1">OFFSET('FS Year'!$B$1,MATCH(FS!$C14,'FS Year'!$B$2:$B$355,0),MATCH(FS!N$1,'FS Year'!$C$1:$X$1,0))</f>
        <v>457.56998663000002</v>
      </c>
      <c r="O14" s="1615">
        <f ca="1">OFFSET('FS Year'!$B$1,MATCH(FS!$C14,'FS Year'!$B$2:$B$355,0),MATCH(FS!O$1,'FS Year'!$C$1:$X$1,0))</f>
        <v>389.70780247200003</v>
      </c>
      <c r="P14" s="1613">
        <f ca="1">O14</f>
        <v>389.70780247200003</v>
      </c>
      <c r="Q14" s="1613">
        <f ca="1">P14</f>
        <v>389.70780247200003</v>
      </c>
      <c r="R14" s="1613">
        <f t="shared" ref="R14" ca="1" si="27">Q14</f>
        <v>389.70780247200003</v>
      </c>
      <c r="S14" s="1613">
        <f t="shared" ref="S14:U14" ca="1" si="28">R14</f>
        <v>389.70780247200003</v>
      </c>
      <c r="T14" s="1613">
        <f t="shared" ca="1" si="28"/>
        <v>389.70780247200003</v>
      </c>
      <c r="U14" s="1613">
        <f t="shared" ca="1" si="28"/>
        <v>389.70780247200003</v>
      </c>
      <c r="V14" s="1613"/>
      <c r="W14" s="999"/>
      <c r="X14" s="999"/>
      <c r="Y14" s="999"/>
      <c r="Z14" s="999"/>
      <c r="AA14" s="999"/>
      <c r="AB14" s="999"/>
      <c r="AC14" s="1189"/>
      <c r="AD14" s="1189"/>
      <c r="AE14" s="1189"/>
      <c r="AF14" s="1189"/>
      <c r="AG14" s="1189"/>
      <c r="AH14" s="1189"/>
      <c r="AI14" s="1189"/>
      <c r="AJ14" s="999"/>
      <c r="AK14" s="999"/>
      <c r="AL14" s="999"/>
      <c r="AM14" s="999"/>
      <c r="AN14" s="999"/>
      <c r="AO14" s="999"/>
      <c r="AP14" s="999"/>
    </row>
    <row r="15" spans="1:42">
      <c r="A15" s="999"/>
      <c r="B15" s="1001" t="s">
        <v>376</v>
      </c>
      <c r="C15" s="1620" t="str">
        <f>'FS Year'!B67</f>
        <v>Net PPE</v>
      </c>
      <c r="D15" s="1606">
        <v>13</v>
      </c>
      <c r="E15" s="1615">
        <f ca="1">OFFSET('FS Year'!$B$1,MATCH(FS!$C15,'FS Year'!$B$2:$B$355,0),MATCH(FS!E$1,'FS Year'!$C$1:$Q$1,0))</f>
        <v>434.41926159799999</v>
      </c>
      <c r="F15" s="1615">
        <f ca="1">OFFSET('FS Year'!$B$1,MATCH(FS!$C15,'FS Year'!$B$2:$B$355,0),MATCH(FS!F$1,'FS Year'!$C$1:$Q$1,0))</f>
        <v>849.14698968599998</v>
      </c>
      <c r="G15" s="1615">
        <f ca="1">OFFSET('FS Year'!$B$1,MATCH(FS!$C15,'FS Year'!$B$2:$B$355,0),MATCH(FS!G$1,'FS Year'!$C$1:$Q$1,0))</f>
        <v>2096.126249031</v>
      </c>
      <c r="H15" s="1615">
        <f ca="1">OFFSET('FS Year'!$B$1,MATCH(FS!$C15,'FS Year'!$B$2:$B$355,0),MATCH(FS!H$1,'FS Year'!$C$1:$Q$1,0))</f>
        <v>3463.6579949349998</v>
      </c>
      <c r="I15" s="1615">
        <f ca="1">OFFSET('FS Year'!$B$1,MATCH(FS!$C15,'FS Year'!$B$2:$B$355,0),MATCH(FS!I$1,'FS Year'!$C$1:$X$1,0))</f>
        <v>3333.1476596020002</v>
      </c>
      <c r="J15" s="1615">
        <f ca="1">OFFSET('FS Year'!$B$1,MATCH(FS!$C15,'FS Year'!$B$2:$B$355,0),MATCH(FS!J$1,'FS Year'!$C$1:$X$1,0))</f>
        <v>5403.7769889210003</v>
      </c>
      <c r="K15" s="1615">
        <f ca="1">OFFSET('FS Year'!$B$1,MATCH(FS!$C15,'FS Year'!$B$2:$B$355,0),MATCH(FS!K$1,'FS Year'!$C$1:$X$1,0))</f>
        <v>7294.9616661359996</v>
      </c>
      <c r="L15" s="1615">
        <f ca="1">OFFSET('FS Year'!$B$1,MATCH(FS!$C15,'FS Year'!$B$2:$B$355,0),MATCH(FS!L$1,'FS Year'!$C$1:$X$1,0))</f>
        <v>9647.1688732319999</v>
      </c>
      <c r="M15" s="1615">
        <f ca="1">OFFSET('FS Year'!$B$1,MATCH(FS!$C15,'FS Year'!$B$2:$B$355,0),MATCH(FS!M$1,'FS Year'!$C$1:$X$1,0))</f>
        <v>9727.5029114400004</v>
      </c>
      <c r="N15" s="1615">
        <f ca="1">OFFSET('FS Year'!$B$1,MATCH(FS!$C15,'FS Year'!$B$2:$B$355,0),MATCH(FS!N$1,'FS Year'!$C$1:$X$1,0))</f>
        <v>6500.1356089139999</v>
      </c>
      <c r="O15" s="1615">
        <f ca="1">OFFSET('FS Year'!$B$1,MATCH(FS!$C15,'FS Year'!$B$2:$B$355,0),MATCH(FS!O$1,'FS Year'!$C$1:$X$1,0))</f>
        <v>3586.6286640449998</v>
      </c>
      <c r="P15" s="1212">
        <f>'Fixed Asset &amp; Interest'!H4</f>
        <v>3161.1499438606556</v>
      </c>
      <c r="Q15" s="1212">
        <f>'Fixed Asset &amp; Interest'!I4</f>
        <v>3084.1128689527918</v>
      </c>
      <c r="R15" s="1212">
        <f>'Fixed Asset &amp; Interest'!J4</f>
        <v>3100.9169953940018</v>
      </c>
      <c r="S15" s="1212">
        <f>'Fixed Asset &amp; Interest'!R4</f>
        <v>0</v>
      </c>
      <c r="T15" s="1212">
        <f>'Fixed Asset &amp; Interest'!S4</f>
        <v>0</v>
      </c>
      <c r="U15" s="1212">
        <f>'Fixed Asset &amp; Interest'!T4</f>
        <v>0</v>
      </c>
      <c r="V15" s="1212"/>
      <c r="W15" s="1214"/>
      <c r="X15" s="999"/>
      <c r="Y15" s="999"/>
      <c r="Z15" s="999"/>
      <c r="AA15" s="999"/>
      <c r="AB15" s="999"/>
      <c r="AC15" s="1189"/>
      <c r="AD15" s="1189"/>
      <c r="AE15" s="1189"/>
      <c r="AF15" s="1189"/>
      <c r="AG15" s="1189"/>
      <c r="AH15" s="1189"/>
      <c r="AI15" s="1189"/>
      <c r="AJ15" s="999"/>
      <c r="AK15" s="999"/>
      <c r="AL15" s="999"/>
      <c r="AM15" s="999"/>
      <c r="AN15" s="999"/>
      <c r="AO15" s="999"/>
      <c r="AP15" s="999"/>
    </row>
    <row r="16" spans="1:42">
      <c r="A16" s="999"/>
      <c r="B16" s="1198"/>
      <c r="C16" s="1620" t="str">
        <f>'FS Year'!B78</f>
        <v>Investment Properties</v>
      </c>
      <c r="D16" s="1606">
        <v>14</v>
      </c>
      <c r="E16" s="1615">
        <f ca="1">OFFSET('FS Year'!$B$1,MATCH(FS!$C16,'FS Year'!$B$2:$B$355,0),MATCH(FS!E$1,'FS Year'!$C$1:$Q$1,0))</f>
        <v>0</v>
      </c>
      <c r="F16" s="1615">
        <f ca="1">OFFSET('FS Year'!$B$1,MATCH(FS!$C16,'FS Year'!$B$2:$B$355,0),MATCH(FS!F$1,'FS Year'!$C$1:$Q$1,0))</f>
        <v>0</v>
      </c>
      <c r="G16" s="1615">
        <f ca="1">OFFSET('FS Year'!$B$1,MATCH(FS!$C16,'FS Year'!$B$2:$B$355,0),MATCH(FS!G$1,'FS Year'!$C$1:$Q$1,0))</f>
        <v>0</v>
      </c>
      <c r="H16" s="1615">
        <f ca="1">OFFSET('FS Year'!$B$1,MATCH(FS!$C16,'FS Year'!$B$2:$B$355,0),MATCH(FS!H$1,'FS Year'!$C$1:$Q$1,0))</f>
        <v>0</v>
      </c>
      <c r="I16" s="1615">
        <f ca="1">OFFSET('FS Year'!$B$1,MATCH(FS!$C16,'FS Year'!$B$2:$B$355,0),MATCH(FS!I$1,'FS Year'!$C$1:$X$1,0))</f>
        <v>0</v>
      </c>
      <c r="J16" s="1615">
        <f ca="1">OFFSET('FS Year'!$B$1,MATCH(FS!$C16,'FS Year'!$B$2:$B$355,0),MATCH(FS!J$1,'FS Year'!$C$1:$X$1,0))</f>
        <v>0</v>
      </c>
      <c r="K16" s="1615">
        <f ca="1">OFFSET('FS Year'!$B$1,MATCH(FS!$C16,'FS Year'!$B$2:$B$355,0),MATCH(FS!K$1,'FS Year'!$C$1:$X$1,0))</f>
        <v>0</v>
      </c>
      <c r="L16" s="1615">
        <f ca="1">OFFSET('FS Year'!$B$1,MATCH(FS!$C16,'FS Year'!$B$2:$B$355,0),MATCH(FS!L$1,'FS Year'!$C$1:$X$1,0))</f>
        <v>0</v>
      </c>
      <c r="M16" s="1615">
        <f ca="1">OFFSET('FS Year'!$B$1,MATCH(FS!$C16,'FS Year'!$B$2:$B$355,0),MATCH(FS!M$1,'FS Year'!$C$1:$X$1,0))</f>
        <v>0</v>
      </c>
      <c r="N16" s="1615">
        <f ca="1">OFFSET('FS Year'!$B$1,MATCH(FS!$C16,'FS Year'!$B$2:$B$355,0),MATCH(FS!N$1,'FS Year'!$C$1:$X$1,0))</f>
        <v>0</v>
      </c>
      <c r="O16" s="1615">
        <f ca="1">OFFSET('FS Year'!$B$1,MATCH(FS!$C16,'FS Year'!$B$2:$B$355,0),MATCH(FS!O$1,'FS Year'!$C$1:$X$1,0))</f>
        <v>0</v>
      </c>
      <c r="P16" s="1212">
        <f ca="1">O16</f>
        <v>0</v>
      </c>
      <c r="Q16" s="1212">
        <f ca="1">P16</f>
        <v>0</v>
      </c>
      <c r="R16" s="1212">
        <f t="shared" ref="R16" ca="1" si="29">Q16</f>
        <v>0</v>
      </c>
      <c r="S16" s="1212">
        <f t="shared" ref="S16:U16" ca="1" si="30">R16</f>
        <v>0</v>
      </c>
      <c r="T16" s="1212">
        <f t="shared" ca="1" si="30"/>
        <v>0</v>
      </c>
      <c r="U16" s="1212">
        <f t="shared" ca="1" si="30"/>
        <v>0</v>
      </c>
      <c r="V16" s="1212"/>
      <c r="W16" s="999"/>
      <c r="X16" s="999"/>
      <c r="Y16" s="999"/>
      <c r="Z16" s="999"/>
      <c r="AA16" s="999"/>
      <c r="AB16" s="999"/>
      <c r="AC16" s="1189"/>
      <c r="AD16" s="1189"/>
      <c r="AE16" s="1189"/>
      <c r="AF16" s="1189"/>
      <c r="AG16" s="1189"/>
      <c r="AH16" s="1189"/>
      <c r="AI16" s="1189"/>
      <c r="AJ16" s="999"/>
      <c r="AK16" s="999"/>
      <c r="AL16" s="999"/>
      <c r="AM16" s="999"/>
      <c r="AN16" s="999"/>
      <c r="AO16" s="999"/>
      <c r="AP16" s="999"/>
    </row>
    <row r="17" spans="1:44">
      <c r="A17" s="999"/>
      <c r="B17" s="1001" t="s">
        <v>379</v>
      </c>
      <c r="C17" s="1620" t="str">
        <f>'FS Year'!B70</f>
        <v>Depreciation.</v>
      </c>
      <c r="D17" s="1606">
        <v>15</v>
      </c>
      <c r="E17" s="1615"/>
      <c r="F17" s="1615">
        <f ca="1">OFFSET('FS Year'!$B$1,MATCH(FS!$C17,'FS Year'!$B$2:$B$355,0),MATCH(FS!F$1,'FS Year'!$C$1:$Q$1,0))</f>
        <v>-355.84410715500002</v>
      </c>
      <c r="G17" s="1615">
        <f ca="1">OFFSET('FS Year'!$B$1,MATCH(FS!$C17,'FS Year'!$B$2:$B$355,0),MATCH(FS!G$1,'FS Year'!$C$1:$Q$1,0))</f>
        <v>-714.67834106600003</v>
      </c>
      <c r="H17" s="1615">
        <f ca="1">OFFSET('FS Year'!$B$1,MATCH(FS!$C17,'FS Year'!$B$2:$B$355,0),MATCH(FS!H$1,'FS Year'!$C$1:$Q$1,0))</f>
        <v>-1396.851573079</v>
      </c>
      <c r="I17" s="1615">
        <f ca="1">OFFSET('FS Year'!$B$1,MATCH(FS!$C17,'FS Year'!$B$2:$B$355,0),MATCH(FS!I$1,'FS Year'!$C$1:$X$1,0))</f>
        <v>-2483.4028022060002</v>
      </c>
      <c r="J17" s="1615">
        <f ca="1">OFFSET('FS Year'!$B$1,MATCH(FS!$C17,'FS Year'!$B$2:$B$355,0),MATCH(FS!J$1,'FS Year'!$C$1:$X$1,0))</f>
        <v>-3773.1768165509998</v>
      </c>
      <c r="K17" s="1615">
        <f ca="1">OFFSET('FS Year'!$B$1,MATCH(FS!$C17,'FS Year'!$B$2:$B$355,0),MATCH(FS!K$1,'FS Year'!$C$1:$X$1,0))</f>
        <v>-5695.9921249930003</v>
      </c>
      <c r="L17" s="1615">
        <f ca="1">OFFSET('FS Year'!$B$1,MATCH(FS!$C17,'FS Year'!$B$2:$B$355,0),MATCH(FS!L$1,'FS Year'!$C$1:$X$1,0))</f>
        <v>-8420.1329161350004</v>
      </c>
      <c r="M17" s="1615">
        <f ca="1">OFFSET('FS Year'!$B$1,MATCH(FS!$C17,'FS Year'!$B$2:$B$355,0),MATCH(FS!M$1,'FS Year'!$C$1:$X$1,0))</f>
        <v>-11187.963413617999</v>
      </c>
      <c r="N17" s="1615">
        <f ca="1">OFFSET('FS Year'!$B$1,MATCH(FS!$C17,'FS Year'!$B$2:$B$355,0),MATCH(FS!N$1,'FS Year'!$C$1:$X$1,0))</f>
        <v>-13707.967349864</v>
      </c>
      <c r="O17" s="1615">
        <f ca="1">OFFSET('FS Year'!$B$1,MATCH(FS!$C17,'FS Year'!$B$2:$B$355,0),MATCH(FS!O$1,'FS Year'!$C$1:$X$1,0))</f>
        <v>-15651.465285845999</v>
      </c>
      <c r="P17" s="1212">
        <f>'Fixed Asset &amp; Interest'!H6</f>
        <v>-18446.576070218867</v>
      </c>
      <c r="Q17" s="1212">
        <f>'Fixed Asset &amp; Interest'!I6</f>
        <v>-20790.927455052515</v>
      </c>
      <c r="R17" s="1212">
        <f>'Fixed Asset &amp; Interest'!J6</f>
        <v>-22803.777561499246</v>
      </c>
      <c r="S17" s="1212">
        <f>'Fixed Asset &amp; Interest'!R6</f>
        <v>0</v>
      </c>
      <c r="T17" s="1212">
        <f>'Fixed Asset &amp; Interest'!S6</f>
        <v>0</v>
      </c>
      <c r="U17" s="1212">
        <f>'Fixed Asset &amp; Interest'!T6</f>
        <v>0</v>
      </c>
      <c r="V17" s="1212"/>
      <c r="W17" s="999"/>
      <c r="X17" s="999"/>
      <c r="Y17" s="999"/>
      <c r="Z17" s="999"/>
      <c r="AA17" s="999"/>
      <c r="AB17" s="999"/>
      <c r="AC17" s="1189"/>
      <c r="AD17" s="1189"/>
      <c r="AE17" s="1189"/>
      <c r="AF17" s="1189"/>
      <c r="AG17" s="1189"/>
      <c r="AH17" s="1189"/>
      <c r="AI17" s="1189"/>
      <c r="AJ17" s="999"/>
      <c r="AK17" s="999"/>
      <c r="AL17" s="999"/>
      <c r="AM17" s="999"/>
      <c r="AN17" s="999"/>
      <c r="AO17" s="999"/>
      <c r="AP17" s="999"/>
    </row>
    <row r="18" spans="1:44">
      <c r="A18" s="999"/>
      <c r="B18" s="1001"/>
      <c r="C18" s="1620" t="s">
        <v>473</v>
      </c>
      <c r="D18" s="1606">
        <v>16</v>
      </c>
      <c r="E18" s="1615">
        <f ca="1">OFFSET('FS Year'!$B$1,MATCH(FS!$C18,'FS Year'!$B$2:$B$355,0),MATCH(FS!E$1,'FS Year'!$C$1:$Q$1,0))</f>
        <v>0</v>
      </c>
      <c r="F18" s="1615">
        <f ca="1">OFFSET('FS Year'!$B$1,MATCH(FS!$C18,'FS Year'!$B$2:$B$355,0),MATCH(FS!F$1,'FS Year'!$C$1:$Q$1,0))</f>
        <v>42.854581813999999</v>
      </c>
      <c r="G18" s="1615">
        <f ca="1">OFFSET('FS Year'!$B$1,MATCH(FS!$C18,'FS Year'!$B$2:$B$355,0),MATCH(FS!G$1,'FS Year'!$C$1:$Q$1,0))</f>
        <v>80.420562146999998</v>
      </c>
      <c r="H18" s="1615">
        <f ca="1">OFFSET('FS Year'!$B$1,MATCH(FS!$C18,'FS Year'!$B$2:$B$355,0),MATCH(FS!H$1,'FS Year'!$C$1:$Q$1,0))</f>
        <v>35.457406785000003</v>
      </c>
      <c r="I18" s="1615">
        <f ca="1">OFFSET('FS Year'!$B$1,MATCH(FS!$C18,'FS Year'!$B$2:$B$355,0),MATCH(FS!I$1,'FS Year'!$C$1:$X$1,0))</f>
        <v>256.83199720699997</v>
      </c>
      <c r="J18" s="1615">
        <f ca="1">OFFSET('FS Year'!$B$1,MATCH(FS!$C18,'FS Year'!$B$2:$B$355,0),MATCH(FS!J$1,'FS Year'!$C$1:$X$1,0))</f>
        <v>87.43043831</v>
      </c>
      <c r="K18" s="1615">
        <f ca="1">OFFSET('FS Year'!$B$1,MATCH(FS!$C18,'FS Year'!$B$2:$B$355,0),MATCH(FS!K$1,'FS Year'!$C$1:$X$1,0))</f>
        <v>132.62036247</v>
      </c>
      <c r="L18" s="1615">
        <f ca="1">OFFSET('FS Year'!$B$1,MATCH(FS!$C18,'FS Year'!$B$2:$B$355,0),MATCH(FS!L$1,'FS Year'!$C$1:$X$1,0))</f>
        <v>79.697939172000005</v>
      </c>
      <c r="M18" s="1615">
        <f ca="1">OFFSET('FS Year'!$B$1,MATCH(FS!$C18,'FS Year'!$B$2:$B$355,0),MATCH(FS!M$1,'FS Year'!$C$1:$X$1,0))</f>
        <v>69.320373958000005</v>
      </c>
      <c r="N18" s="1615">
        <f ca="1">OFFSET('FS Year'!$B$1,MATCH(FS!$C18,'FS Year'!$B$2:$B$355,0),MATCH(FS!N$1,'FS Year'!$C$1:$X$1,0))</f>
        <v>4.4938569340000001</v>
      </c>
      <c r="O18" s="1615">
        <f ca="1">OFFSET('FS Year'!$B$1,MATCH(FS!$C18,'FS Year'!$B$2:$B$355,0),MATCH(FS!O$1,'FS Year'!$C$1:$X$1,0))</f>
        <v>24.526423340000001</v>
      </c>
      <c r="P18" s="1212">
        <f ca="1">O18</f>
        <v>24.526423340000001</v>
      </c>
      <c r="Q18" s="1212">
        <f t="shared" ref="Q18" ca="1" si="31">P18</f>
        <v>24.526423340000001</v>
      </c>
      <c r="R18" s="1212">
        <f t="shared" ref="R18:R21" ca="1" si="32">Q18</f>
        <v>24.526423340000001</v>
      </c>
      <c r="S18" s="1212">
        <f t="shared" ref="S18:S21" ca="1" si="33">R18</f>
        <v>24.526423340000001</v>
      </c>
      <c r="T18" s="1212">
        <f t="shared" ref="T18:T21" ca="1" si="34">S18</f>
        <v>24.526423340000001</v>
      </c>
      <c r="U18" s="1212">
        <f t="shared" ref="U18:U21" ca="1" si="35">T18</f>
        <v>24.526423340000001</v>
      </c>
      <c r="V18" s="1212"/>
      <c r="W18" s="999"/>
      <c r="X18" s="999"/>
      <c r="Y18" s="999"/>
      <c r="Z18" s="999"/>
      <c r="AA18" s="999"/>
      <c r="AB18" s="999"/>
      <c r="AC18" s="1189"/>
      <c r="AD18" s="1189"/>
      <c r="AE18" s="1189"/>
      <c r="AF18" s="1189"/>
      <c r="AG18" s="1189"/>
      <c r="AH18" s="1189"/>
      <c r="AI18" s="1189"/>
      <c r="AJ18" s="999"/>
      <c r="AK18" s="999"/>
      <c r="AL18" s="999"/>
      <c r="AM18" s="999"/>
      <c r="AN18" s="999"/>
      <c r="AO18" s="999"/>
      <c r="AP18" s="999"/>
    </row>
    <row r="19" spans="1:44">
      <c r="A19" s="999"/>
      <c r="B19" s="1001" t="s">
        <v>380</v>
      </c>
      <c r="C19" s="1620" t="str">
        <f>'FS Year'!B84</f>
        <v>Long-Term Investments</v>
      </c>
      <c r="D19" s="1606">
        <v>17</v>
      </c>
      <c r="E19" s="1615">
        <f ca="1">OFFSET('FS Year'!$B$1,MATCH(FS!$C19,'FS Year'!$B$2:$B$355,0),MATCH(FS!E$1,'FS Year'!$C$1:$Q$1,0))</f>
        <v>0</v>
      </c>
      <c r="F19" s="1615">
        <f ca="1">OFFSET('FS Year'!$B$1,MATCH(FS!$C19,'FS Year'!$B$2:$B$355,0),MATCH(FS!F$1,'FS Year'!$C$1:$Q$1,0))</f>
        <v>0</v>
      </c>
      <c r="G19" s="1615">
        <f ca="1">OFFSET('FS Year'!$B$1,MATCH(FS!$C19,'FS Year'!$B$2:$B$355,0),MATCH(FS!G$1,'FS Year'!$C$1:$Q$1,0))</f>
        <v>0</v>
      </c>
      <c r="H19" s="1615">
        <f ca="1">OFFSET('FS Year'!$B$1,MATCH(FS!$C19,'FS Year'!$B$2:$B$355,0),MATCH(FS!H$1,'FS Year'!$C$1:$Q$1,0))</f>
        <v>0</v>
      </c>
      <c r="I19" s="1615">
        <f ca="1">OFFSET('FS Year'!$B$1,MATCH(FS!$C19,'FS Year'!$B$2:$B$355,0),MATCH(FS!I$1,'FS Year'!$C$1:$X$1,0))</f>
        <v>59.937763115000003</v>
      </c>
      <c r="J19" s="1615">
        <f ca="1">OFFSET('FS Year'!$B$1,MATCH(FS!$C19,'FS Year'!$B$2:$B$355,0),MATCH(FS!J$1,'FS Year'!$C$1:$X$1,0))</f>
        <v>56.464479744000002</v>
      </c>
      <c r="K19" s="1615">
        <f ca="1">OFFSET('FS Year'!$B$1,MATCH(FS!$C19,'FS Year'!$B$2:$B$355,0),MATCH(FS!K$1,'FS Year'!$C$1:$X$1,0))</f>
        <v>52.757540272999996</v>
      </c>
      <c r="L19" s="1615">
        <f ca="1">OFFSET('FS Year'!$B$1,MATCH(FS!$C19,'FS Year'!$B$2:$B$355,0),MATCH(FS!L$1,'FS Year'!$C$1:$X$1,0))</f>
        <v>0</v>
      </c>
      <c r="M19" s="1615">
        <f ca="1">OFFSET('FS Year'!$B$1,MATCH(FS!$C19,'FS Year'!$B$2:$B$355,0),MATCH(FS!M$1,'FS Year'!$C$1:$X$1,0))</f>
        <v>241.03484</v>
      </c>
      <c r="N19" s="1615">
        <f ca="1">OFFSET('FS Year'!$B$1,MATCH(FS!$C19,'FS Year'!$B$2:$B$355,0),MATCH(FS!N$1,'FS Year'!$C$1:$X$1,0))</f>
        <v>746.63225272900002</v>
      </c>
      <c r="O19" s="1615">
        <f ca="1">OFFSET('FS Year'!$B$1,MATCH(FS!$C19,'FS Year'!$B$2:$B$355,0),MATCH(FS!O$1,'FS Year'!$C$1:$X$1,0))</f>
        <v>242.03579783000001</v>
      </c>
      <c r="P19" s="1212">
        <f t="shared" ref="P19:Q21" ca="1" si="36">O19</f>
        <v>242.03579783000001</v>
      </c>
      <c r="Q19" s="1212">
        <f t="shared" ca="1" si="36"/>
        <v>242.03579783000001</v>
      </c>
      <c r="R19" s="1212">
        <f t="shared" ca="1" si="32"/>
        <v>242.03579783000001</v>
      </c>
      <c r="S19" s="1212">
        <f t="shared" ca="1" si="33"/>
        <v>242.03579783000001</v>
      </c>
      <c r="T19" s="1212">
        <f t="shared" ca="1" si="34"/>
        <v>242.03579783000001</v>
      </c>
      <c r="U19" s="1212">
        <f t="shared" ca="1" si="35"/>
        <v>242.03579783000001</v>
      </c>
      <c r="V19" s="1212"/>
      <c r="W19" s="999"/>
      <c r="X19" s="999"/>
      <c r="Y19" s="999"/>
      <c r="Z19" s="999"/>
      <c r="AA19" s="999"/>
      <c r="AB19" s="999"/>
      <c r="AC19" s="1189"/>
      <c r="AD19" s="1189"/>
      <c r="AE19" s="1189"/>
      <c r="AF19" s="1189"/>
      <c r="AG19" s="1189"/>
      <c r="AH19" s="1189"/>
      <c r="AI19" s="1189"/>
      <c r="AJ19" s="999"/>
      <c r="AK19" s="999"/>
      <c r="AL19" s="999"/>
      <c r="AM19" s="999"/>
      <c r="AN19" s="999"/>
      <c r="AO19" s="999"/>
      <c r="AP19" s="999"/>
    </row>
    <row r="20" spans="1:44">
      <c r="A20" s="999"/>
      <c r="B20" s="1001" t="s">
        <v>474</v>
      </c>
      <c r="C20" s="1620" t="str">
        <f>'FS Year'!B90</f>
        <v>Good Will (Before 2015)</v>
      </c>
      <c r="D20" s="1606">
        <v>18</v>
      </c>
      <c r="E20" s="1615">
        <f ca="1">OFFSET('FS Year'!$B$1,MATCH(FS!$C20,'FS Year'!$B$2:$B$355,0),MATCH(FS!E$1,'FS Year'!$C$1:$Q$1,0))</f>
        <v>22.546549263999999</v>
      </c>
      <c r="F20" s="1615">
        <f ca="1">OFFSET('FS Year'!$B$1,MATCH(FS!$C20,'FS Year'!$B$2:$B$355,0),MATCH(FS!F$1,'FS Year'!$C$1:$Q$1,0))</f>
        <v>0</v>
      </c>
      <c r="G20" s="1615">
        <f ca="1">OFFSET('FS Year'!$B$1,MATCH(FS!$C20,'FS Year'!$B$2:$B$355,0),MATCH(FS!G$1,'FS Year'!$C$1:$Q$1,0))</f>
        <v>0</v>
      </c>
      <c r="H20" s="1615">
        <f ca="1">OFFSET('FS Year'!$B$1,MATCH(FS!$C20,'FS Year'!$B$2:$B$355,0),MATCH(FS!H$1,'FS Year'!$C$1:$Q$1,0))</f>
        <v>0</v>
      </c>
      <c r="I20" s="1615">
        <f ca="1">OFFSET('FS Year'!$B$1,MATCH(FS!$C20,'FS Year'!$B$2:$B$355,0),MATCH(FS!I$1,'FS Year'!$C$1:$X$1,0))</f>
        <v>0</v>
      </c>
      <c r="J20" s="1615">
        <f ca="1">OFFSET('FS Year'!$B$1,MATCH(FS!$C20,'FS Year'!$B$2:$B$355,0),MATCH(FS!J$1,'FS Year'!$C$1:$X$1,0))</f>
        <v>0</v>
      </c>
      <c r="K20" s="1615">
        <f ca="1">OFFSET('FS Year'!$B$1,MATCH(FS!$C20,'FS Year'!$B$2:$B$355,0),MATCH(FS!K$1,'FS Year'!$C$1:$X$1,0))</f>
        <v>0</v>
      </c>
      <c r="L20" s="1615">
        <f ca="1">OFFSET('FS Year'!$B$1,MATCH(FS!$C20,'FS Year'!$B$2:$B$355,0),MATCH(FS!L$1,'FS Year'!$C$1:$X$1,0))</f>
        <v>0</v>
      </c>
      <c r="M20" s="1615">
        <f ca="1">OFFSET('FS Year'!$B$1,MATCH(FS!$C20,'FS Year'!$B$2:$B$355,0),MATCH(FS!M$1,'FS Year'!$C$1:$X$1,0))</f>
        <v>0</v>
      </c>
      <c r="N20" s="1615">
        <f ca="1">OFFSET('FS Year'!$B$1,MATCH(FS!$C20,'FS Year'!$B$2:$B$355,0),MATCH(FS!N$1,'FS Year'!$C$1:$X$1,0))</f>
        <v>0</v>
      </c>
      <c r="O20" s="1615">
        <f ca="1">OFFSET('FS Year'!$B$1,MATCH(FS!$C20,'FS Year'!$B$2:$B$355,0),MATCH(FS!O$1,'FS Year'!$C$1:$X$1,0))</f>
        <v>0</v>
      </c>
      <c r="P20" s="1212">
        <f t="shared" ca="1" si="36"/>
        <v>0</v>
      </c>
      <c r="Q20" s="1212">
        <f t="shared" ca="1" si="36"/>
        <v>0</v>
      </c>
      <c r="R20" s="1212">
        <f t="shared" ca="1" si="32"/>
        <v>0</v>
      </c>
      <c r="S20" s="1212">
        <f t="shared" ca="1" si="33"/>
        <v>0</v>
      </c>
      <c r="T20" s="1212">
        <f t="shared" ca="1" si="34"/>
        <v>0</v>
      </c>
      <c r="U20" s="1212">
        <f t="shared" ca="1" si="35"/>
        <v>0</v>
      </c>
      <c r="V20" s="1212"/>
      <c r="W20" s="1214">
        <f ca="1">P7+P8-P29</f>
        <v>10296.300214798299</v>
      </c>
      <c r="X20" s="999"/>
      <c r="Y20" s="999"/>
      <c r="Z20" s="999"/>
      <c r="AA20" s="999"/>
      <c r="AB20" s="999"/>
      <c r="AC20" s="1189"/>
      <c r="AD20" s="1189"/>
      <c r="AE20" s="1189"/>
      <c r="AF20" s="1189"/>
      <c r="AG20" s="1189"/>
      <c r="AH20" s="1189"/>
      <c r="AI20" s="1189"/>
      <c r="AJ20" s="999"/>
      <c r="AK20" s="999"/>
      <c r="AL20" s="999"/>
      <c r="AM20" s="999"/>
      <c r="AN20" s="999"/>
      <c r="AO20" s="999"/>
      <c r="AP20" s="999"/>
    </row>
    <row r="21" spans="1:44">
      <c r="A21" s="999"/>
      <c r="B21" s="1001" t="s">
        <v>382</v>
      </c>
      <c r="C21" s="1620" t="str">
        <f>'FS Year'!B91</f>
        <v>Other Long-Term Assets</v>
      </c>
      <c r="D21" s="1606">
        <v>19</v>
      </c>
      <c r="E21" s="1615">
        <f ca="1">OFFSET('FS Year'!$B$1,MATCH(FS!$C21,'FS Year'!$B$2:$B$355,0),MATCH(FS!E$1,'FS Year'!$C$1:$Q$1,0))</f>
        <v>112.547057929</v>
      </c>
      <c r="F21" s="1615">
        <f ca="1">OFFSET('FS Year'!$B$1,MATCH(FS!$C21,'FS Year'!$B$2:$B$355,0),MATCH(FS!F$1,'FS Year'!$C$1:$Q$1,0))</f>
        <v>84.864286742000004</v>
      </c>
      <c r="G21" s="1615">
        <f ca="1">OFFSET('FS Year'!$B$1,MATCH(FS!$C21,'FS Year'!$B$2:$B$355,0),MATCH(FS!G$1,'FS Year'!$C$1:$Q$1,0))</f>
        <v>209.59183913699999</v>
      </c>
      <c r="H21" s="1615">
        <f ca="1">OFFSET('FS Year'!$B$1,MATCH(FS!$C21,'FS Year'!$B$2:$B$355,0),MATCH(FS!H$1,'FS Year'!$C$1:$Q$1,0))</f>
        <v>218.57153710099999</v>
      </c>
      <c r="I21" s="1615">
        <f ca="1">OFFSET('FS Year'!$B$1,MATCH(FS!$C21,'FS Year'!$B$2:$B$355,0),MATCH(FS!I$1,'FS Year'!$C$1:$X$1,0))</f>
        <v>786.84366520599997</v>
      </c>
      <c r="J21" s="1615">
        <f ca="1">OFFSET('FS Year'!$B$1,MATCH(FS!$C21,'FS Year'!$B$2:$B$355,0),MATCH(FS!J$1,'FS Year'!$C$1:$X$1,0))</f>
        <v>773.96313118800003</v>
      </c>
      <c r="K21" s="1615">
        <f ca="1">OFFSET('FS Year'!$B$1,MATCH(FS!$C21,'FS Year'!$B$2:$B$355,0),MATCH(FS!K$1,'FS Year'!$C$1:$X$1,0))</f>
        <v>793.81315555100002</v>
      </c>
      <c r="L21" s="1615">
        <f ca="1">OFFSET('FS Year'!$B$1,MATCH(FS!$C21,'FS Year'!$B$2:$B$355,0),MATCH(FS!L$1,'FS Year'!$C$1:$X$1,0))</f>
        <v>806.89105241699997</v>
      </c>
      <c r="M21" s="1615">
        <f ca="1">OFFSET('FS Year'!$B$1,MATCH(FS!$C21,'FS Year'!$B$2:$B$355,0),MATCH(FS!M$1,'FS Year'!$C$1:$X$1,0))</f>
        <v>670.59008197900005</v>
      </c>
      <c r="N21" s="1615">
        <f ca="1">OFFSET('FS Year'!$B$1,MATCH(FS!$C21,'FS Year'!$B$2:$B$355,0),MATCH(FS!N$1,'FS Year'!$C$1:$X$1,0))</f>
        <v>452.06753147000001</v>
      </c>
      <c r="O21" s="1615">
        <f ca="1">OFFSET('FS Year'!$B$1,MATCH(FS!$C21,'FS Year'!$B$2:$B$355,0),MATCH(FS!O$1,'FS Year'!$C$1:$X$1,0))</f>
        <v>201.617281507</v>
      </c>
      <c r="P21" s="1212">
        <f t="shared" ca="1" si="36"/>
        <v>201.617281507</v>
      </c>
      <c r="Q21" s="1212">
        <f t="shared" ca="1" si="36"/>
        <v>201.617281507</v>
      </c>
      <c r="R21" s="1212">
        <f t="shared" ca="1" si="32"/>
        <v>201.617281507</v>
      </c>
      <c r="S21" s="1212">
        <f t="shared" ca="1" si="33"/>
        <v>201.617281507</v>
      </c>
      <c r="T21" s="1212">
        <f t="shared" ca="1" si="34"/>
        <v>201.617281507</v>
      </c>
      <c r="U21" s="1212">
        <f t="shared" ca="1" si="35"/>
        <v>201.617281507</v>
      </c>
      <c r="V21" s="1212"/>
      <c r="W21" s="999"/>
      <c r="X21" s="999"/>
      <c r="Y21" s="999"/>
      <c r="Z21" s="999"/>
      <c r="AA21" s="999"/>
      <c r="AB21" s="999"/>
      <c r="AC21" s="1189"/>
      <c r="AD21" s="1189"/>
      <c r="AE21" s="1189"/>
      <c r="AF21" s="1189"/>
      <c r="AG21" s="1189"/>
      <c r="AH21" s="1189"/>
      <c r="AI21" s="1189"/>
      <c r="AJ21" s="999"/>
      <c r="AK21" s="999"/>
      <c r="AL21" s="999"/>
      <c r="AM21" s="999"/>
      <c r="AN21" s="999"/>
      <c r="AO21" s="999"/>
      <c r="AP21" s="999"/>
    </row>
    <row r="22" spans="1:44">
      <c r="A22" s="999"/>
      <c r="B22" s="1198"/>
      <c r="C22" s="1620"/>
      <c r="D22" s="1606">
        <v>20</v>
      </c>
      <c r="E22" s="1615"/>
      <c r="F22" s="1615"/>
      <c r="G22" s="1615"/>
      <c r="H22" s="1615"/>
      <c r="I22" s="1615"/>
      <c r="J22" s="1192"/>
      <c r="K22" s="1192"/>
      <c r="L22" s="1192"/>
      <c r="M22" s="1192"/>
      <c r="N22" s="1192"/>
      <c r="O22" s="1192"/>
      <c r="P22" s="999"/>
      <c r="Q22" s="999"/>
      <c r="R22" s="999"/>
      <c r="S22" s="999"/>
      <c r="T22" s="999"/>
      <c r="U22" s="999"/>
      <c r="V22" s="999"/>
      <c r="W22" s="999"/>
      <c r="X22" s="999"/>
      <c r="Y22" s="999"/>
      <c r="Z22" s="999"/>
      <c r="AA22" s="999"/>
      <c r="AB22" s="999"/>
      <c r="AC22" s="1189"/>
      <c r="AD22" s="1189"/>
      <c r="AE22" s="1189"/>
      <c r="AF22" s="1189"/>
      <c r="AG22" s="1189"/>
      <c r="AH22" s="1189"/>
      <c r="AI22" s="1189"/>
      <c r="AJ22" s="999"/>
      <c r="AK22" s="999"/>
      <c r="AL22" s="999"/>
      <c r="AM22" s="999"/>
      <c r="AN22" s="999"/>
      <c r="AO22" s="999"/>
      <c r="AP22" s="999"/>
    </row>
    <row r="23" spans="1:44">
      <c r="A23" s="999"/>
      <c r="B23" s="1001" t="s">
        <v>434</v>
      </c>
      <c r="C23" s="1621" t="s">
        <v>475</v>
      </c>
      <c r="D23" s="1606">
        <v>21</v>
      </c>
      <c r="E23" s="1622">
        <f t="shared" ref="E23:K23" ca="1" si="37">E25+E43</f>
        <v>3398.1464743100005</v>
      </c>
      <c r="F23" s="1623">
        <f t="shared" ca="1" si="37"/>
        <v>7264.123379218001</v>
      </c>
      <c r="G23" s="1623">
        <f t="shared" ca="1" si="37"/>
        <v>14851.947202837002</v>
      </c>
      <c r="H23" s="1623">
        <f t="shared" ca="1" si="37"/>
        <v>22819.887962969002</v>
      </c>
      <c r="I23" s="1623">
        <f t="shared" ca="1" si="37"/>
        <v>28114.386032037997</v>
      </c>
      <c r="J23" s="1623">
        <f t="shared" ca="1" si="37"/>
        <v>41700.309479268995</v>
      </c>
      <c r="K23" s="1623">
        <f t="shared" ca="1" si="37"/>
        <v>46030.879952453994</v>
      </c>
      <c r="L23" s="1623">
        <f t="shared" ref="L23:Q23" ca="1" si="38">L25+L43</f>
        <v>62971.404814941998</v>
      </c>
      <c r="M23" s="1623">
        <f t="shared" ca="1" si="38"/>
        <v>55834.209834075002</v>
      </c>
      <c r="N23" s="1623">
        <f t="shared" ca="1" si="38"/>
        <v>60106.709754880998</v>
      </c>
      <c r="O23" s="1623">
        <f ca="1">O25+O43</f>
        <v>70218.709730062008</v>
      </c>
      <c r="P23" s="1218">
        <f t="shared" ca="1" si="38"/>
        <v>77057.487582431306</v>
      </c>
      <c r="Q23" s="1218">
        <f t="shared" ca="1" si="38"/>
        <v>87945.388525232949</v>
      </c>
      <c r="R23" s="1218">
        <f t="shared" ref="R23" ca="1" si="39">R25+R43</f>
        <v>100084.98256870263</v>
      </c>
      <c r="S23" s="1218">
        <f t="shared" ref="S23:U23" ca="1" si="40">S25+S43</f>
        <v>114327.25868803301</v>
      </c>
      <c r="T23" s="1218">
        <f t="shared" ca="1" si="40"/>
        <v>131267.46843666793</v>
      </c>
      <c r="U23" s="1218">
        <f t="shared" ca="1" si="40"/>
        <v>150992.61598130208</v>
      </c>
      <c r="V23" s="1218"/>
      <c r="W23" s="999"/>
      <c r="X23" s="999"/>
      <c r="Y23" s="999"/>
      <c r="Z23" s="999"/>
      <c r="AA23" s="999"/>
      <c r="AB23" s="999"/>
      <c r="AC23" s="1189"/>
      <c r="AD23" s="1189"/>
      <c r="AE23" s="1189"/>
      <c r="AF23" s="1189"/>
      <c r="AG23" s="1189"/>
      <c r="AH23" s="1189"/>
      <c r="AI23" s="1189"/>
      <c r="AJ23" s="999"/>
      <c r="AK23" s="999"/>
      <c r="AL23" s="999"/>
      <c r="AM23" s="999"/>
      <c r="AN23" s="999"/>
      <c r="AO23" s="999"/>
      <c r="AP23" s="999"/>
    </row>
    <row r="24" spans="1:44" s="5" customFormat="1">
      <c r="A24" s="1000"/>
      <c r="B24" s="1198"/>
      <c r="C24" s="1621"/>
      <c r="D24" s="1606">
        <v>22</v>
      </c>
      <c r="E24" s="1618"/>
      <c r="F24" s="1618"/>
      <c r="G24" s="1618"/>
      <c r="H24" s="1618"/>
      <c r="I24" s="1618"/>
      <c r="J24" s="1192"/>
      <c r="K24" s="1192"/>
      <c r="L24" s="1192"/>
      <c r="M24" s="1192"/>
      <c r="N24" s="1192"/>
      <c r="O24" s="1192"/>
      <c r="P24" s="999"/>
      <c r="Q24" s="999"/>
      <c r="R24" s="999"/>
      <c r="S24" s="999"/>
      <c r="T24" s="999"/>
      <c r="U24" s="999"/>
      <c r="V24" s="999"/>
      <c r="W24" s="999"/>
      <c r="X24" s="999"/>
      <c r="Y24" s="999"/>
      <c r="Z24" s="999"/>
      <c r="AA24" s="999"/>
      <c r="AB24" s="999"/>
      <c r="AC24" s="1189"/>
      <c r="AD24" s="1189"/>
      <c r="AE24" s="1189"/>
      <c r="AF24" s="1189"/>
      <c r="AG24" s="1189"/>
      <c r="AH24" s="1189"/>
      <c r="AI24" s="1189"/>
      <c r="AJ24" s="999"/>
      <c r="AK24" s="999"/>
      <c r="AL24" s="999"/>
      <c r="AM24" s="999"/>
      <c r="AN24" s="999"/>
      <c r="AO24" s="999"/>
      <c r="AP24" s="999"/>
      <c r="AQ24"/>
      <c r="AR24"/>
    </row>
    <row r="25" spans="1:44" s="5" customFormat="1">
      <c r="A25" s="1000"/>
      <c r="B25" s="1001" t="s">
        <v>406</v>
      </c>
      <c r="C25" s="1621" t="s">
        <v>476</v>
      </c>
      <c r="D25" s="1606">
        <v>23</v>
      </c>
      <c r="E25" s="1607">
        <f ca="1">E26+E35</f>
        <v>1923.1903266730001</v>
      </c>
      <c r="F25" s="1607">
        <f t="shared" ref="F25:K25" ca="1" si="41">F26+F35</f>
        <v>4782.2095455480003</v>
      </c>
      <c r="G25" s="1607">
        <f t="shared" ca="1" si="41"/>
        <v>11012.905506628002</v>
      </c>
      <c r="H25" s="1607">
        <f t="shared" ca="1" si="41"/>
        <v>16913.747880005001</v>
      </c>
      <c r="I25" s="1607">
        <f t="shared" ca="1" si="41"/>
        <v>19137.600144014999</v>
      </c>
      <c r="J25" s="1607">
        <f ca="1">J26+J35</f>
        <v>29564.503350529998</v>
      </c>
      <c r="K25" s="1607">
        <f t="shared" ca="1" si="41"/>
        <v>30549.190106021993</v>
      </c>
      <c r="L25" s="1607">
        <f t="shared" ref="L25:Q25" ca="1" si="42">L26+L35</f>
        <v>42593.158815096001</v>
      </c>
      <c r="M25" s="1607">
        <f t="shared" ca="1" si="42"/>
        <v>31901.628316499002</v>
      </c>
      <c r="N25" s="1607">
        <f t="shared" ca="1" si="42"/>
        <v>36747.151787543</v>
      </c>
      <c r="O25" s="1607">
        <f t="shared" ref="O25" ca="1" si="43">O26+O35</f>
        <v>42097.132906207</v>
      </c>
      <c r="P25" s="1608">
        <f t="shared" ca="1" si="42"/>
        <v>44467.070629295777</v>
      </c>
      <c r="Q25" s="1608">
        <f t="shared" ca="1" si="42"/>
        <v>48145.97631028371</v>
      </c>
      <c r="R25" s="1608">
        <f t="shared" ref="R25" ca="1" si="44">R26+R35</f>
        <v>51209.255924625177</v>
      </c>
      <c r="S25" s="1608">
        <f t="shared" ref="S25:U25" ca="1" si="45">S26+S35</f>
        <v>54583.831243718108</v>
      </c>
      <c r="T25" s="1608">
        <f t="shared" ca="1" si="45"/>
        <v>58555.052166150155</v>
      </c>
      <c r="U25" s="1608">
        <f t="shared" ca="1" si="45"/>
        <v>63029.446299561998</v>
      </c>
      <c r="V25" s="1608"/>
      <c r="W25" s="1000"/>
      <c r="X25" s="1000"/>
      <c r="Y25" s="1000"/>
      <c r="Z25" s="1000"/>
      <c r="AA25" s="1000"/>
      <c r="AB25" s="1000"/>
      <c r="AC25" s="1206"/>
      <c r="AD25" s="1206"/>
      <c r="AE25" s="1206"/>
      <c r="AF25" s="1206"/>
      <c r="AG25" s="1206"/>
      <c r="AH25" s="1206"/>
      <c r="AI25" s="1206"/>
      <c r="AJ25" s="1000"/>
      <c r="AK25" s="1000"/>
      <c r="AL25" s="1000"/>
      <c r="AM25" s="1000"/>
      <c r="AN25" s="1000"/>
      <c r="AO25" s="1000"/>
      <c r="AP25" s="1000"/>
    </row>
    <row r="26" spans="1:44">
      <c r="A26" s="999"/>
      <c r="B26" s="1001" t="s">
        <v>397</v>
      </c>
      <c r="C26" s="1621" t="s">
        <v>477</v>
      </c>
      <c r="D26" s="1606">
        <v>24</v>
      </c>
      <c r="E26" s="1607">
        <f ca="1">SUM(E28:E30,E33:E33)</f>
        <v>1923.1903266730001</v>
      </c>
      <c r="F26" s="1607">
        <f ca="1">SUM(F28:F30,F33:F33)</f>
        <v>4782.2095455480003</v>
      </c>
      <c r="G26" s="1607">
        <f ca="1">SUM(G28:G30,G33:G33)</f>
        <v>11012.905506628002</v>
      </c>
      <c r="H26" s="1607">
        <f ca="1">SUM(H28:H30,H33:H33)</f>
        <v>15713.814885175001</v>
      </c>
      <c r="I26" s="1607">
        <f ca="1">SUM(I28:I30,I33:I33)</f>
        <v>17929.433003626</v>
      </c>
      <c r="J26" s="1607">
        <f t="shared" ref="J26:K26" ca="1" si="46">SUM(J27:J29,J32:J33)</f>
        <v>28442.366683872999</v>
      </c>
      <c r="K26" s="1607">
        <f t="shared" ca="1" si="46"/>
        <v>29422.513439368995</v>
      </c>
      <c r="L26" s="1607">
        <f t="shared" ref="L26:Q26" ca="1" si="47">SUM(L27:L29,L32:L33)</f>
        <v>42593.158815096001</v>
      </c>
      <c r="M26" s="1607">
        <f t="shared" ca="1" si="47"/>
        <v>26000.378316499002</v>
      </c>
      <c r="N26" s="1607">
        <f t="shared" ca="1" si="47"/>
        <v>30761.901787543</v>
      </c>
      <c r="O26" s="1607">
        <f t="shared" ca="1" si="47"/>
        <v>42097.132906207</v>
      </c>
      <c r="P26" s="1608">
        <f t="shared" ca="1" si="47"/>
        <v>44467.070629295777</v>
      </c>
      <c r="Q26" s="1608">
        <f t="shared" ca="1" si="47"/>
        <v>48145.97631028371</v>
      </c>
      <c r="R26" s="1608">
        <f t="shared" ref="R26" ca="1" si="48">SUM(R27:R29,R32:R33)</f>
        <v>51209.255924625177</v>
      </c>
      <c r="S26" s="1608">
        <f t="shared" ref="S26:U26" ca="1" si="49">SUM(S27:S29,S32:S33)</f>
        <v>54583.831243718108</v>
      </c>
      <c r="T26" s="1608">
        <f t="shared" ca="1" si="49"/>
        <v>58555.052166150155</v>
      </c>
      <c r="U26" s="1608">
        <f t="shared" ca="1" si="49"/>
        <v>63029.446299561998</v>
      </c>
      <c r="V26" s="1608"/>
      <c r="W26" s="1624">
        <f ca="1">O26-N26</f>
        <v>11335.231118664</v>
      </c>
      <c r="X26" s="1000"/>
      <c r="Y26" s="1000"/>
      <c r="Z26" s="1000"/>
      <c r="AA26" s="1000"/>
      <c r="AB26" s="1000"/>
      <c r="AC26" s="1206"/>
      <c r="AD26" s="1206"/>
      <c r="AE26" s="1206"/>
      <c r="AF26" s="1206"/>
      <c r="AG26" s="1206"/>
      <c r="AH26" s="1206"/>
      <c r="AI26" s="1206"/>
      <c r="AJ26" s="1000"/>
      <c r="AK26" s="1000"/>
      <c r="AL26" s="1000"/>
      <c r="AM26" s="1000"/>
      <c r="AN26" s="1000"/>
      <c r="AO26" s="1000"/>
      <c r="AP26" s="1000"/>
      <c r="AQ26" s="5"/>
      <c r="AR26" s="5"/>
    </row>
    <row r="27" spans="1:44">
      <c r="A27" s="999"/>
      <c r="B27" s="1198"/>
      <c r="C27" s="1614" t="s">
        <v>478</v>
      </c>
      <c r="D27" s="1606">
        <v>25</v>
      </c>
      <c r="E27" s="1609"/>
      <c r="F27" s="1609"/>
      <c r="G27" s="1609"/>
      <c r="H27" s="1609"/>
      <c r="I27" s="1609"/>
      <c r="J27" s="1609">
        <f t="shared" ref="J27:K27" si="50">-MIN(J61,0)</f>
        <v>0</v>
      </c>
      <c r="K27" s="1609">
        <f t="shared" si="50"/>
        <v>0</v>
      </c>
      <c r="L27" s="1609">
        <f t="shared" ref="L27:Q27" si="51">-MIN(L61,0)</f>
        <v>0</v>
      </c>
      <c r="M27" s="1609">
        <f t="shared" si="51"/>
        <v>0</v>
      </c>
      <c r="N27" s="1609">
        <f t="shared" si="51"/>
        <v>0</v>
      </c>
      <c r="O27" s="1609">
        <f t="shared" si="51"/>
        <v>0</v>
      </c>
      <c r="P27" s="1212">
        <f t="shared" ca="1" si="51"/>
        <v>135.38868677880964</v>
      </c>
      <c r="Q27" s="1212">
        <f t="shared" ca="1" si="51"/>
        <v>169.30763516545994</v>
      </c>
      <c r="R27" s="1212">
        <f t="shared" ref="R27" ca="1" si="52">-MIN(R61,0)</f>
        <v>205.3978780394682</v>
      </c>
      <c r="S27" s="1212">
        <f t="shared" ref="S27:U27" ca="1" si="53">-MIN(S61,0)</f>
        <v>0</v>
      </c>
      <c r="T27" s="1212">
        <f t="shared" ca="1" si="53"/>
        <v>1044.4669322586851</v>
      </c>
      <c r="U27" s="1212">
        <f t="shared" ca="1" si="53"/>
        <v>2992.7974373466568</v>
      </c>
      <c r="V27" s="1212"/>
      <c r="W27" s="1624">
        <f t="shared" ref="W27:W61" si="54">O27-N27</f>
        <v>0</v>
      </c>
      <c r="X27" s="999"/>
      <c r="Y27" s="999"/>
      <c r="Z27" s="999"/>
      <c r="AA27" s="999"/>
      <c r="AB27" s="999"/>
      <c r="AC27" s="1189"/>
      <c r="AD27" s="1189"/>
      <c r="AE27" s="1189"/>
      <c r="AF27" s="1189"/>
      <c r="AG27" s="1189"/>
      <c r="AH27" s="1189"/>
      <c r="AI27" s="1189"/>
      <c r="AJ27" s="999"/>
      <c r="AK27" s="999"/>
      <c r="AL27" s="999"/>
      <c r="AM27" s="999"/>
      <c r="AN27" s="999"/>
      <c r="AO27" s="999"/>
      <c r="AP27" s="999"/>
    </row>
    <row r="28" spans="1:44">
      <c r="A28" s="999"/>
      <c r="B28" s="1001" t="s">
        <v>388</v>
      </c>
      <c r="C28" s="1614" t="s">
        <v>479</v>
      </c>
      <c r="D28" s="1606">
        <v>26</v>
      </c>
      <c r="E28" s="1615">
        <f ca="1">OFFSET('FS Year'!$B$1,MATCH(FS!$C28,'FS Year'!$B$2:$B$355,0),MATCH(FS!E$1,'FS Year'!$C$1:$Q$1,0))</f>
        <v>981.794284232</v>
      </c>
      <c r="F28" s="1615">
        <f ca="1">OFFSET('FS Year'!$B$1,MATCH(FS!$C28,'FS Year'!$B$2:$B$355,0),MATCH(FS!F$1,'FS Year'!$C$1:$Q$1,0))</f>
        <v>1971.2716368179999</v>
      </c>
      <c r="G28" s="1615">
        <f ca="1">OFFSET('FS Year'!$B$1,MATCH(FS!$C28,'FS Year'!$B$2:$B$355,0),MATCH(FS!G$1,'FS Year'!$C$1:$Q$1,0))</f>
        <v>4680.0388636850003</v>
      </c>
      <c r="H28" s="1615">
        <f ca="1">OFFSET('FS Year'!$B$1,MATCH(FS!$C28,'FS Year'!$B$2:$B$355,0),MATCH(FS!H$1,'FS Year'!$C$1:$Q$1,0))</f>
        <v>7373.2296694919996</v>
      </c>
      <c r="I28" s="1615">
        <f ca="1">OFFSET('FS Year'!$B$1,MATCH(FS!$C28,'FS Year'!$B$2:$B$355,0),MATCH(FS!I$1,'FS Year'!$C$1:$X$1,0))</f>
        <v>8244.6142438099996</v>
      </c>
      <c r="J28" s="1615">
        <f ca="1">OFFSET('FS Year'!$B$1,MATCH(FS!$C28,'FS Year'!$B$2:$B$355,0),MATCH(FS!J$1,'FS Year'!$C$1:$X$1,0))</f>
        <v>12055.385483995</v>
      </c>
      <c r="K28" s="1615">
        <f ca="1">OFFSET('FS Year'!$B$1,MATCH(FS!$C28,'FS Year'!$B$2:$B$355,0),MATCH(FS!K$1,'FS Year'!$C$1:$X$1,0))</f>
        <v>8728.1688623409991</v>
      </c>
      <c r="L28" s="1615">
        <f ca="1">OFFSET('FS Year'!$B$1,MATCH(FS!$C28,'FS Year'!$B$2:$B$355,0),MATCH(FS!L$1,'FS Year'!$C$1:$X$1,0))</f>
        <v>12179.774771734001</v>
      </c>
      <c r="M28" s="1615">
        <f ca="1">OFFSET('FS Year'!$B$1,MATCH(FS!$C28,'FS Year'!$B$2:$B$355,0),MATCH(FS!M$1,'FS Year'!$C$1:$X$1,0))</f>
        <v>8745.9822615800003</v>
      </c>
      <c r="N28" s="1615">
        <f ca="1">OFFSET('FS Year'!$B$1,MATCH(FS!$C28,'FS Year'!$B$2:$B$355,0),MATCH(FS!N$1,'FS Year'!$C$1:$X$1,0))</f>
        <v>7927.0697279349997</v>
      </c>
      <c r="O28" s="1615">
        <f ca="1">OFFSET('FS Year'!$B$1,MATCH(FS!$C28,'FS Year'!$B$2:$B$355,0),MATCH(FS!O$1,'FS Year'!$C$1:$X$1,0))</f>
        <v>9137.5180277330001</v>
      </c>
      <c r="P28" s="1212">
        <f t="shared" ref="P28:U28" ca="1" si="55">CHOOSE($K$194,P192*-P69,P193*-P69/Days_in_Year)</f>
        <v>10968.831278587251</v>
      </c>
      <c r="Q28" s="1212">
        <f t="shared" ca="1" si="55"/>
        <v>13262.811427339759</v>
      </c>
      <c r="R28" s="1212">
        <f t="shared" ca="1" si="55"/>
        <v>15140.504862599353</v>
      </c>
      <c r="S28" s="1212">
        <f t="shared" ca="1" si="55"/>
        <v>17382.769131258923</v>
      </c>
      <c r="T28" s="1212">
        <f t="shared" ca="1" si="55"/>
        <v>19290.207468652858</v>
      </c>
      <c r="U28" s="1212">
        <f t="shared" ca="1" si="55"/>
        <v>21050.11254709871</v>
      </c>
      <c r="V28" s="1212"/>
      <c r="W28" s="1624">
        <f t="shared" ca="1" si="54"/>
        <v>1210.4482997980003</v>
      </c>
      <c r="X28" s="999"/>
      <c r="Y28" s="999"/>
      <c r="Z28" s="999"/>
      <c r="AA28" s="999"/>
      <c r="AB28" s="999"/>
      <c r="AC28" s="1189"/>
      <c r="AD28" s="1189"/>
      <c r="AE28" s="1189"/>
      <c r="AF28" s="1189"/>
      <c r="AG28" s="1189"/>
      <c r="AH28" s="1189"/>
      <c r="AI28" s="1189"/>
      <c r="AJ28" s="999"/>
      <c r="AK28" s="999"/>
      <c r="AL28" s="999"/>
      <c r="AM28" s="999"/>
      <c r="AN28" s="999"/>
      <c r="AO28" s="999"/>
      <c r="AP28" s="999"/>
    </row>
    <row r="29" spans="1:44">
      <c r="A29" s="999"/>
      <c r="B29" s="1001" t="s">
        <v>389</v>
      </c>
      <c r="C29" s="1614" t="s">
        <v>480</v>
      </c>
      <c r="D29" s="1606">
        <v>27</v>
      </c>
      <c r="E29" s="1615">
        <f ca="1">OFFSET('FS Year'!$B$1,MATCH(FS!$C29,'FS Year'!$B$2:$B$355,0),MATCH(FS!E$1,'FS Year'!$C$1:$Q$1,0))</f>
        <v>618.69030527300004</v>
      </c>
      <c r="F29" s="1615">
        <f ca="1">OFFSET('FS Year'!$B$1,MATCH(FS!$C29,'FS Year'!$B$2:$B$355,0),MATCH(FS!F$1,'FS Year'!$C$1:$Q$1,0))</f>
        <v>2052.9459726810001</v>
      </c>
      <c r="G29" s="1615">
        <f ca="1">OFFSET('FS Year'!$B$1,MATCH(FS!$C29,'FS Year'!$B$2:$B$355,0),MATCH(FS!G$1,'FS Year'!$C$1:$Q$1,0))</f>
        <v>4788.9917467570003</v>
      </c>
      <c r="H29" s="1615">
        <f ca="1">OFFSET('FS Year'!$B$1,MATCH(FS!$C29,'FS Year'!$B$2:$B$355,0),MATCH(FS!H$1,'FS Year'!$C$1:$Q$1,0))</f>
        <v>5603.5059905259996</v>
      </c>
      <c r="I29" s="1615">
        <f ca="1">OFFSET('FS Year'!$B$1,MATCH(FS!$C29,'FS Year'!$B$2:$B$355,0),MATCH(FS!I$1,'FS Year'!$C$1:$X$1,0))</f>
        <v>5836.4546370890002</v>
      </c>
      <c r="J29" s="1615">
        <f ca="1">OFFSET('FS Year'!$B$1,MATCH(FS!$C29,'FS Year'!$B$2:$B$355,0),MATCH(FS!J$1,'FS Year'!$C$1:$X$1,0))</f>
        <v>13031.015620192</v>
      </c>
      <c r="K29" s="1615">
        <f ca="1">OFFSET('FS Year'!$B$1,MATCH(FS!$C29,'FS Year'!$B$2:$B$355,0),MATCH(FS!K$1,'FS Year'!$C$1:$X$1,0))</f>
        <v>15625.180321923999</v>
      </c>
      <c r="L29" s="1615">
        <f ca="1">OFFSET('FS Year'!$B$1,MATCH(FS!$C29,'FS Year'!$B$2:$B$355,0),MATCH(FS!L$1,'FS Year'!$C$1:$X$1,0))</f>
        <v>24647.474278786001</v>
      </c>
      <c r="M29" s="1615">
        <f ca="1">OFFSET('FS Year'!$B$1,MATCH(FS!$C29,'FS Year'!$B$2:$B$355,0),MATCH(FS!M$1,'FS Year'!$C$1:$X$1,0))</f>
        <v>10688.138631456</v>
      </c>
      <c r="N29" s="1615">
        <f ca="1">OFFSET('FS Year'!$B$1,MATCH(FS!$C29,'FS Year'!$B$2:$B$355,0),MATCH(FS!N$1,'FS Year'!$C$1:$X$1,0))</f>
        <v>19128.541817780999</v>
      </c>
      <c r="O29" s="1615">
        <f ca="1">OFFSET('FS Year'!$B$1,MATCH(FS!$C29,'FS Year'!$B$2:$B$355,0),MATCH(FS!O$1,'FS Year'!$C$1:$X$1,0))</f>
        <v>27300.246721779</v>
      </c>
      <c r="P29" s="1212">
        <f ca="1">P295</f>
        <v>27503.765461893134</v>
      </c>
      <c r="Q29" s="1212">
        <f ca="1">Q295</f>
        <v>27541.358024336943</v>
      </c>
      <c r="R29" s="1212">
        <f t="shared" ref="R29" ca="1" si="56">R295</f>
        <v>27549.416353488545</v>
      </c>
      <c r="S29" s="1212">
        <f t="shared" ref="S29:U29" ca="1" si="57">S295</f>
        <v>27495.642580514061</v>
      </c>
      <c r="T29" s="1212">
        <f t="shared" ca="1" si="57"/>
        <v>27353.926535086201</v>
      </c>
      <c r="U29" s="1212">
        <f t="shared" ca="1" si="57"/>
        <v>27100.711305254095</v>
      </c>
      <c r="V29" s="1212"/>
      <c r="W29" s="1624">
        <f t="shared" ca="1" si="54"/>
        <v>8171.7049039980011</v>
      </c>
      <c r="X29" s="999"/>
      <c r="Y29" s="999"/>
      <c r="Z29" s="999"/>
      <c r="AA29" s="999"/>
      <c r="AB29" s="999"/>
      <c r="AC29" s="1189"/>
      <c r="AD29" s="1189"/>
      <c r="AE29" s="1189"/>
      <c r="AF29" s="1189"/>
      <c r="AG29" s="1189"/>
      <c r="AH29" s="1189"/>
      <c r="AI29" s="1189"/>
      <c r="AJ29" s="999"/>
      <c r="AK29" s="999"/>
      <c r="AL29" s="999"/>
      <c r="AM29" s="999"/>
      <c r="AN29" s="999"/>
      <c r="AO29" s="999"/>
      <c r="AP29" s="999"/>
    </row>
    <row r="30" spans="1:44">
      <c r="A30" s="999"/>
      <c r="B30" s="1198"/>
      <c r="C30" s="1620" t="s">
        <v>481</v>
      </c>
      <c r="D30" s="1606">
        <v>28</v>
      </c>
      <c r="E30" s="1615"/>
      <c r="F30" s="1615"/>
      <c r="G30" s="1615"/>
      <c r="H30" s="1615"/>
      <c r="I30" s="1615"/>
      <c r="J30" s="1609"/>
      <c r="K30" s="1625">
        <f ca="1">K29/J29-1</f>
        <v>0.19907617160033575</v>
      </c>
      <c r="L30" s="1625">
        <f ca="1">L29/K29-1</f>
        <v>0.57742014946238052</v>
      </c>
      <c r="M30" s="1625">
        <f ca="1">M29/L29-1</f>
        <v>-0.56635968008067894</v>
      </c>
      <c r="N30" s="1625">
        <f ca="1">N29/M29-1</f>
        <v>0.78969813897101337</v>
      </c>
      <c r="O30" s="1625">
        <f ca="1">O29/N29-1</f>
        <v>0.42719957338316128</v>
      </c>
      <c r="P30" s="1212"/>
      <c r="Q30" s="1212"/>
      <c r="R30" s="1212"/>
      <c r="S30" s="1212"/>
      <c r="T30" s="1212"/>
      <c r="U30" s="1212"/>
      <c r="V30" s="1212"/>
      <c r="W30" s="1624">
        <f t="shared" ca="1" si="54"/>
        <v>-0.3624985655878521</v>
      </c>
      <c r="X30" s="999"/>
      <c r="Y30" s="999"/>
      <c r="Z30" s="999"/>
      <c r="AA30" s="999"/>
      <c r="AB30" s="999"/>
      <c r="AC30" s="1189"/>
      <c r="AD30" s="1189"/>
      <c r="AE30" s="1189"/>
      <c r="AF30" s="1189"/>
      <c r="AG30" s="1189"/>
      <c r="AH30" s="1189"/>
      <c r="AI30" s="1189"/>
      <c r="AJ30" s="999"/>
      <c r="AK30" s="999"/>
      <c r="AL30" s="999"/>
      <c r="AM30" s="999"/>
      <c r="AN30" s="999"/>
      <c r="AO30" s="999"/>
      <c r="AP30" s="999"/>
    </row>
    <row r="31" spans="1:44">
      <c r="A31" s="999"/>
      <c r="B31" s="1198"/>
      <c r="C31" s="1620" t="s">
        <v>482</v>
      </c>
      <c r="D31" s="1606">
        <v>29</v>
      </c>
      <c r="E31" s="1615"/>
      <c r="F31" s="1615"/>
      <c r="G31" s="1615"/>
      <c r="H31" s="1615"/>
      <c r="I31" s="1615"/>
      <c r="J31" s="1626"/>
      <c r="K31" s="1626"/>
      <c r="L31" s="1626"/>
      <c r="M31" s="1626"/>
      <c r="N31" s="1626"/>
      <c r="O31" s="1626"/>
      <c r="P31" s="1212"/>
      <c r="Q31" s="1212"/>
      <c r="R31" s="1212"/>
      <c r="S31" s="1212"/>
      <c r="T31" s="1212"/>
      <c r="U31" s="1212"/>
      <c r="V31" s="1212"/>
      <c r="W31" s="1624">
        <f t="shared" si="54"/>
        <v>0</v>
      </c>
      <c r="X31" s="999"/>
      <c r="Y31" s="999"/>
      <c r="Z31" s="999"/>
      <c r="AA31" s="999"/>
      <c r="AB31" s="999"/>
      <c r="AC31" s="1189"/>
      <c r="AD31" s="1189"/>
      <c r="AE31" s="1189"/>
      <c r="AF31" s="1189"/>
      <c r="AG31" s="1189"/>
      <c r="AH31" s="1189"/>
      <c r="AI31" s="1189"/>
      <c r="AJ31" s="999"/>
      <c r="AK31" s="999"/>
      <c r="AL31" s="999"/>
      <c r="AM31" s="999"/>
      <c r="AN31" s="999"/>
      <c r="AO31" s="999"/>
      <c r="AP31" s="999"/>
    </row>
    <row r="32" spans="1:44">
      <c r="A32" s="999"/>
      <c r="B32" s="1198"/>
      <c r="C32" s="1614" t="s">
        <v>483</v>
      </c>
      <c r="D32" s="1606">
        <v>30</v>
      </c>
      <c r="E32" s="1615">
        <f>'FS Year'!M111</f>
        <v>4.95</v>
      </c>
      <c r="F32" s="1615">
        <f>'FS Year'!N111</f>
        <v>4.95</v>
      </c>
      <c r="G32" s="1615">
        <f>'FS Year'!O111</f>
        <v>4.95</v>
      </c>
      <c r="H32" s="1615">
        <f>'FS Year'!P111</f>
        <v>4.95</v>
      </c>
      <c r="I32" s="1615">
        <f>'FS Year'!Q111</f>
        <v>4.980117753</v>
      </c>
      <c r="J32" s="1615">
        <f>'FS Year'!R111</f>
        <v>3.0117753000000001E-2</v>
      </c>
      <c r="K32" s="1615">
        <f>'FS Year'!S111</f>
        <v>3.0117753000000001E-2</v>
      </c>
      <c r="L32" s="1615">
        <f>'FS Year'!T111</f>
        <v>3.0117753000000001E-2</v>
      </c>
      <c r="M32" s="1615">
        <f>'FS Year'!U111</f>
        <v>0</v>
      </c>
      <c r="N32" s="1615">
        <f>'FS Year'!V111</f>
        <v>0</v>
      </c>
      <c r="O32" s="1615">
        <f>'FS Year'!W111</f>
        <v>0</v>
      </c>
      <c r="P32" s="1212">
        <f ca="1">O32+P104*P198</f>
        <v>0</v>
      </c>
      <c r="Q32" s="1212">
        <f ca="1">P32+Q104*Q198</f>
        <v>0</v>
      </c>
      <c r="R32" s="1212">
        <f t="shared" ref="R32" ca="1" si="58">Q32+R104*R198</f>
        <v>0</v>
      </c>
      <c r="S32" s="1212">
        <f t="shared" ref="S32:U32" ca="1" si="59">R32+S104*S198</f>
        <v>0</v>
      </c>
      <c r="T32" s="1212">
        <f t="shared" ca="1" si="59"/>
        <v>0</v>
      </c>
      <c r="U32" s="1212">
        <f t="shared" ca="1" si="59"/>
        <v>0</v>
      </c>
      <c r="V32" s="1212"/>
      <c r="W32" s="1624">
        <f t="shared" si="54"/>
        <v>0</v>
      </c>
      <c r="X32" s="999"/>
      <c r="Y32" s="999"/>
      <c r="Z32" s="999"/>
      <c r="AA32" s="999">
        <f>1713-1701</f>
        <v>12</v>
      </c>
      <c r="AB32" s="999"/>
      <c r="AC32" s="1189"/>
      <c r="AD32" s="1189"/>
      <c r="AE32" s="1189"/>
      <c r="AF32" s="1189"/>
      <c r="AG32" s="1189"/>
      <c r="AH32" s="1189"/>
      <c r="AI32" s="1189"/>
      <c r="AJ32" s="999"/>
      <c r="AK32" s="999"/>
      <c r="AL32" s="999"/>
      <c r="AM32" s="999"/>
      <c r="AN32" s="999"/>
      <c r="AO32" s="999"/>
      <c r="AP32" s="999"/>
    </row>
    <row r="33" spans="1:42">
      <c r="A33" s="999"/>
      <c r="B33" s="1001" t="s">
        <v>392</v>
      </c>
      <c r="C33" s="1614" t="s">
        <v>484</v>
      </c>
      <c r="D33" s="1606">
        <v>31</v>
      </c>
      <c r="E33" s="1615">
        <f>'FS Year'!M99-'FS Year'!M100-'FS Year'!M109</f>
        <v>322.70573716800004</v>
      </c>
      <c r="F33" s="1615">
        <f>'FS Year'!N99-'FS Year'!N100-'FS Year'!N109</f>
        <v>757.99193604900029</v>
      </c>
      <c r="G33" s="1615">
        <f>'FS Year'!O99-'FS Year'!O100-'FS Year'!O109</f>
        <v>1543.8748961859992</v>
      </c>
      <c r="H33" s="1615">
        <f>'FS Year'!P99-'FS Year'!P100-'FS Year'!P109</f>
        <v>2737.079225157001</v>
      </c>
      <c r="I33" s="1615">
        <f>'FS Year'!Q99-'FS Year'!Q100-'FS Year'!Q109</f>
        <v>3848.364122727</v>
      </c>
      <c r="J33" s="1615">
        <f>'FS Year'!R99-'FS Year'!R100-'FS Year'!R109-J32</f>
        <v>3355.9354619329988</v>
      </c>
      <c r="K33" s="1609">
        <f>'FS Year'!S99-'FS Year'!S100-'FS Year'!S109-K32</f>
        <v>5069.1341373510022</v>
      </c>
      <c r="L33" s="1609">
        <f>'FS Year'!T99-'FS Year'!T100-'FS Year'!T109-L32</f>
        <v>5765.8796468229975</v>
      </c>
      <c r="M33" s="1609">
        <f>'FS Year'!U99-'FS Year'!U100-'FS Year'!U109-M32</f>
        <v>6566.257423463001</v>
      </c>
      <c r="N33" s="1609">
        <f>'FS Year'!V99-'FS Year'!V100-'FS Year'!V109-N32</f>
        <v>3706.2902418270023</v>
      </c>
      <c r="O33" s="1609">
        <f>'FS Year'!W99-'FS Year'!W100-'FS Year'!W109-O32</f>
        <v>5659.3681566949999</v>
      </c>
      <c r="P33" s="1212">
        <f ca="1">P196*-P75</f>
        <v>5859.0852020365828</v>
      </c>
      <c r="Q33" s="1212">
        <f ca="1">Q196*-Q75</f>
        <v>7172.4992234415495</v>
      </c>
      <c r="R33" s="1212">
        <f t="shared" ref="R33" ca="1" si="60">R196*-R75</f>
        <v>8313.9368304978143</v>
      </c>
      <c r="S33" s="1212">
        <f t="shared" ref="S33:U33" ca="1" si="61">S196*-S75</f>
        <v>9705.4195319451264</v>
      </c>
      <c r="T33" s="1212">
        <f t="shared" ca="1" si="61"/>
        <v>10866.451230152405</v>
      </c>
      <c r="U33" s="1212">
        <f t="shared" ca="1" si="61"/>
        <v>11885.825009862532</v>
      </c>
      <c r="V33" s="1212"/>
      <c r="W33" s="1624">
        <f t="shared" si="54"/>
        <v>1953.0779148679976</v>
      </c>
      <c r="X33" s="999"/>
      <c r="Y33" s="999"/>
      <c r="Z33" s="999"/>
      <c r="AA33" s="999"/>
      <c r="AB33" s="999"/>
      <c r="AC33" s="1189"/>
      <c r="AD33" s="1189"/>
      <c r="AE33" s="1189"/>
      <c r="AF33" s="1189"/>
      <c r="AG33" s="1189"/>
      <c r="AH33" s="1189"/>
      <c r="AI33" s="1189"/>
      <c r="AJ33" s="999"/>
      <c r="AK33" s="999"/>
      <c r="AL33" s="999"/>
      <c r="AM33" s="999"/>
      <c r="AN33" s="999"/>
      <c r="AO33" s="999"/>
      <c r="AP33" s="999"/>
    </row>
    <row r="34" spans="1:42">
      <c r="A34" s="999"/>
      <c r="B34" s="1198"/>
      <c r="C34" s="999"/>
      <c r="D34" s="1606">
        <v>32</v>
      </c>
      <c r="E34" s="1615"/>
      <c r="F34" s="1615"/>
      <c r="G34" s="1615"/>
      <c r="H34" s="1615"/>
      <c r="I34" s="1200"/>
      <c r="J34" s="1609"/>
      <c r="K34" s="1192"/>
      <c r="L34" s="1192"/>
      <c r="M34" s="1192"/>
      <c r="N34" s="1192"/>
      <c r="O34" s="1192"/>
      <c r="P34" s="999"/>
      <c r="Q34" s="999"/>
      <c r="R34" s="999"/>
      <c r="S34" s="999"/>
      <c r="T34" s="999"/>
      <c r="U34" s="999"/>
      <c r="V34" s="999"/>
      <c r="W34" s="1624">
        <f t="shared" si="54"/>
        <v>0</v>
      </c>
      <c r="X34" s="999"/>
      <c r="Y34" s="999"/>
      <c r="Z34" s="999"/>
      <c r="AA34" s="999"/>
      <c r="AB34" s="999"/>
      <c r="AC34" s="1189"/>
      <c r="AD34" s="1189"/>
      <c r="AE34" s="1189"/>
      <c r="AF34" s="1189"/>
      <c r="AG34" s="1189"/>
      <c r="AH34" s="1189"/>
      <c r="AI34" s="1189"/>
      <c r="AJ34" s="999"/>
      <c r="AK34" s="999"/>
      <c r="AL34" s="999"/>
      <c r="AM34" s="999"/>
      <c r="AN34" s="999"/>
      <c r="AO34" s="999"/>
      <c r="AP34" s="999"/>
    </row>
    <row r="35" spans="1:42">
      <c r="A35" s="999"/>
      <c r="B35" s="1001" t="s">
        <v>405</v>
      </c>
      <c r="C35" s="1000" t="s">
        <v>485</v>
      </c>
      <c r="D35" s="1606">
        <v>33</v>
      </c>
      <c r="E35" s="1622">
        <f t="shared" ref="E35:K35" ca="1" si="62">E36+E40+E39</f>
        <v>0</v>
      </c>
      <c r="F35" s="1623">
        <f t="shared" ca="1" si="62"/>
        <v>0</v>
      </c>
      <c r="G35" s="1623">
        <f t="shared" ca="1" si="62"/>
        <v>0</v>
      </c>
      <c r="H35" s="1623">
        <f t="shared" ca="1" si="62"/>
        <v>1199.9329948300001</v>
      </c>
      <c r="I35" s="1623">
        <f t="shared" ca="1" si="62"/>
        <v>1208.167140389</v>
      </c>
      <c r="J35" s="1623">
        <f t="shared" ca="1" si="62"/>
        <v>1122.136666657</v>
      </c>
      <c r="K35" s="1623">
        <f t="shared" ca="1" si="62"/>
        <v>1126.676666653</v>
      </c>
      <c r="L35" s="1623">
        <f t="shared" ref="L35:Q35" ca="1" si="63">L36+L40+L39</f>
        <v>0</v>
      </c>
      <c r="M35" s="1623">
        <f t="shared" ca="1" si="63"/>
        <v>5901.25</v>
      </c>
      <c r="N35" s="1623">
        <f t="shared" ca="1" si="63"/>
        <v>5985.25</v>
      </c>
      <c r="O35" s="1623">
        <f t="shared" ca="1" si="63"/>
        <v>0</v>
      </c>
      <c r="P35" s="1218">
        <f t="shared" ca="1" si="63"/>
        <v>0</v>
      </c>
      <c r="Q35" s="1218">
        <f t="shared" ca="1" si="63"/>
        <v>0</v>
      </c>
      <c r="R35" s="1218">
        <f t="shared" ref="R35" ca="1" si="64">R36+R40+R39</f>
        <v>0</v>
      </c>
      <c r="S35" s="1218">
        <f t="shared" ref="S35:U35" ca="1" si="65">S36+S40+S39</f>
        <v>0</v>
      </c>
      <c r="T35" s="1218">
        <f t="shared" ca="1" si="65"/>
        <v>0</v>
      </c>
      <c r="U35" s="1218">
        <f t="shared" ca="1" si="65"/>
        <v>0</v>
      </c>
      <c r="V35" s="1218"/>
      <c r="W35" s="1624">
        <f t="shared" ca="1" si="54"/>
        <v>-5985.25</v>
      </c>
      <c r="X35" s="999"/>
      <c r="Y35" s="999"/>
      <c r="Z35" s="999"/>
      <c r="AA35" s="999"/>
      <c r="AB35" s="999"/>
      <c r="AC35" s="1189"/>
      <c r="AD35" s="1189"/>
      <c r="AE35" s="1189"/>
      <c r="AF35" s="1189"/>
      <c r="AG35" s="1189"/>
      <c r="AH35" s="1189"/>
      <c r="AI35" s="1189"/>
      <c r="AJ35" s="999"/>
      <c r="AK35" s="999"/>
      <c r="AL35" s="999"/>
      <c r="AM35" s="999"/>
      <c r="AN35" s="999"/>
      <c r="AO35" s="999"/>
      <c r="AP35" s="999"/>
    </row>
    <row r="36" spans="1:42">
      <c r="A36" s="999"/>
      <c r="B36" s="1001" t="s">
        <v>399</v>
      </c>
      <c r="C36" s="1614" t="s">
        <v>486</v>
      </c>
      <c r="D36" s="1606">
        <v>34</v>
      </c>
      <c r="E36" s="1615">
        <f ca="1">OFFSET('FS Year'!$B$1,MATCH(FS!$C36,'FS Year'!$B$2:$B$355,0),MATCH(FS!E$1,'FS Year'!$C$1:$Q$1,0))</f>
        <v>0</v>
      </c>
      <c r="F36" s="1627">
        <f ca="1">OFFSET('FS Year'!$B$1,MATCH(FS!$C36,'FS Year'!$B$2:$B$355,0),MATCH(FS!F$1,'FS Year'!$C$1:$Q$1,0))</f>
        <v>0</v>
      </c>
      <c r="G36" s="1627">
        <f ca="1">OFFSET('FS Year'!$B$1,MATCH(FS!$C36,'FS Year'!$B$2:$B$355,0),MATCH(FS!G$1,'FS Year'!$C$1:$Q$1,0))</f>
        <v>0</v>
      </c>
      <c r="H36" s="1627">
        <f ca="1">OFFSET('FS Year'!$B$1,MATCH(FS!$C36,'FS Year'!$B$2:$B$355,0),MATCH(FS!H$1,'FS Year'!$C$1:$Q$1,0))</f>
        <v>1199.9329948300001</v>
      </c>
      <c r="I36" s="1627">
        <f ca="1">OFFSET('FS Year'!$B$1,MATCH(FS!$C36,'FS Year'!$B$2:$B$355,0),MATCH(FS!I$1,'FS Year'!$C$1:$X$1,0))</f>
        <v>1208.167140389</v>
      </c>
      <c r="J36" s="1627">
        <f ca="1">OFFSET('FS Year'!$B$1,MATCH(FS!$C36,'FS Year'!$B$2:$B$355,0),MATCH(FS!J$1,'FS Year'!$C$1:$X$1,0))</f>
        <v>1122.136666657</v>
      </c>
      <c r="K36" s="1627">
        <f ca="1">OFFSET('FS Year'!$B$1,MATCH(FS!$C36,'FS Year'!$B$2:$B$355,0),MATCH(FS!K$1,'FS Year'!$C$1:$X$1,0))</f>
        <v>1126.676666653</v>
      </c>
      <c r="L36" s="1627">
        <f ca="1">OFFSET('FS Year'!$B$1,MATCH(FS!$C36,'FS Year'!$B$2:$B$355,0),MATCH(FS!L$1,'FS Year'!$C$1:$X$1,0))</f>
        <v>0</v>
      </c>
      <c r="M36" s="1627">
        <f ca="1">OFFSET('FS Year'!$B$1,MATCH(FS!$C36,'FS Year'!$B$2:$B$355,0),MATCH(FS!M$1,'FS Year'!$C$1:$X$1,0))</f>
        <v>5901.25</v>
      </c>
      <c r="N36" s="1627">
        <f ca="1">OFFSET('FS Year'!$B$1,MATCH(FS!$C36,'FS Year'!$B$2:$B$355,0),MATCH(FS!N$1,'FS Year'!$C$1:$X$1,0))</f>
        <v>5985.25</v>
      </c>
      <c r="O36" s="1627">
        <f ca="1">OFFSET('FS Year'!$B$1,MATCH(FS!$C36,'FS Year'!$B$2:$B$355,0),MATCH(FS!O$1,'FS Year'!$C$1:$X$1,0))</f>
        <v>0</v>
      </c>
      <c r="P36" s="1212">
        <f ca="1">O36*0.7</f>
        <v>0</v>
      </c>
      <c r="Q36" s="1212">
        <f ca="1">P36</f>
        <v>0</v>
      </c>
      <c r="R36" s="1212">
        <f t="shared" ref="R36" ca="1" si="66">Q36</f>
        <v>0</v>
      </c>
      <c r="S36" s="1212">
        <f t="shared" ref="S36:U36" ca="1" si="67">R36</f>
        <v>0</v>
      </c>
      <c r="T36" s="1212">
        <f t="shared" ca="1" si="67"/>
        <v>0</v>
      </c>
      <c r="U36" s="1212">
        <f t="shared" ca="1" si="67"/>
        <v>0</v>
      </c>
      <c r="V36" s="1212"/>
      <c r="W36" s="1624">
        <f t="shared" ca="1" si="54"/>
        <v>-5985.25</v>
      </c>
      <c r="X36" s="999"/>
      <c r="Y36" s="999"/>
      <c r="Z36" s="999"/>
      <c r="AA36" s="999"/>
      <c r="AB36" s="999"/>
      <c r="AC36" s="1189"/>
      <c r="AD36" s="1189"/>
      <c r="AE36" s="1189"/>
      <c r="AF36" s="1189"/>
      <c r="AG36" s="1189"/>
      <c r="AH36" s="1189"/>
      <c r="AI36" s="1189"/>
      <c r="AJ36" s="999"/>
      <c r="AK36" s="999"/>
      <c r="AL36" s="999"/>
      <c r="AM36" s="999"/>
      <c r="AN36" s="999"/>
      <c r="AO36" s="999"/>
      <c r="AP36" s="999"/>
    </row>
    <row r="37" spans="1:42">
      <c r="A37" s="999"/>
      <c r="B37" s="999"/>
      <c r="C37" s="1620" t="s">
        <v>481</v>
      </c>
      <c r="D37" s="1606">
        <v>35</v>
      </c>
      <c r="E37" s="1615"/>
      <c r="F37" s="1627"/>
      <c r="G37" s="1627"/>
      <c r="H37" s="1627"/>
      <c r="I37" s="1627"/>
      <c r="J37" s="1627"/>
      <c r="K37" s="1627"/>
      <c r="L37" s="1627"/>
      <c r="M37" s="1627"/>
      <c r="N37" s="1627"/>
      <c r="O37" s="1627"/>
      <c r="P37" s="1212"/>
      <c r="Q37" s="1212"/>
      <c r="R37" s="1212"/>
      <c r="S37" s="1212"/>
      <c r="T37" s="1212"/>
      <c r="U37" s="1212"/>
      <c r="V37" s="1212"/>
      <c r="W37" s="1624">
        <f t="shared" si="54"/>
        <v>0</v>
      </c>
      <c r="X37" s="999"/>
      <c r="Y37" s="999"/>
      <c r="Z37" s="999"/>
      <c r="AA37" s="999"/>
      <c r="AB37" s="999"/>
      <c r="AC37" s="1189"/>
      <c r="AD37" s="1189"/>
      <c r="AE37" s="1189"/>
      <c r="AF37" s="1189"/>
      <c r="AG37" s="1189"/>
      <c r="AH37" s="1189"/>
      <c r="AI37" s="1189"/>
      <c r="AJ37" s="999"/>
      <c r="AK37" s="999"/>
      <c r="AL37" s="999"/>
      <c r="AM37" s="999"/>
      <c r="AN37" s="999"/>
      <c r="AO37" s="999"/>
      <c r="AP37" s="999"/>
    </row>
    <row r="38" spans="1:42">
      <c r="A38" s="999"/>
      <c r="B38" s="1001"/>
      <c r="C38" s="1620" t="s">
        <v>482</v>
      </c>
      <c r="D38" s="1606">
        <v>36</v>
      </c>
      <c r="E38" s="1615"/>
      <c r="F38" s="1627"/>
      <c r="G38" s="1627"/>
      <c r="H38" s="1627"/>
      <c r="I38" s="1627"/>
      <c r="J38" s="1627">
        <f t="shared" ref="J38:Q38" ca="1" si="68">IFERROR(J272*(J30+J36),0)</f>
        <v>0</v>
      </c>
      <c r="K38" s="1627">
        <f t="shared" ca="1" si="68"/>
        <v>0</v>
      </c>
      <c r="L38" s="1627">
        <f ca="1">IFERROR(L272*(L30+L36),0)</f>
        <v>0</v>
      </c>
      <c r="M38" s="1627">
        <f ca="1">IFERROR(M272*(M30+M36),0)</f>
        <v>0</v>
      </c>
      <c r="N38" s="1627">
        <f ca="1">IFERROR(N272*(N30+N36),0)</f>
        <v>0</v>
      </c>
      <c r="O38" s="1627">
        <f ca="1">IFERROR(O272*(O30+O36),0)</f>
        <v>0</v>
      </c>
      <c r="P38" s="1212">
        <f t="shared" ca="1" si="68"/>
        <v>0</v>
      </c>
      <c r="Q38" s="1212">
        <f t="shared" ca="1" si="68"/>
        <v>0</v>
      </c>
      <c r="R38" s="1212">
        <f t="shared" ref="R38" ca="1" si="69">IFERROR(R272*(R30+R36),0)</f>
        <v>0</v>
      </c>
      <c r="S38" s="1212">
        <f t="shared" ref="S38:U38" ca="1" si="70">IFERROR(S272*(S30+S36),0)</f>
        <v>0</v>
      </c>
      <c r="T38" s="1212">
        <f t="shared" ca="1" si="70"/>
        <v>0</v>
      </c>
      <c r="U38" s="1212">
        <f t="shared" ca="1" si="70"/>
        <v>0</v>
      </c>
      <c r="V38" s="1212"/>
      <c r="W38" s="1624">
        <f t="shared" ca="1" si="54"/>
        <v>0</v>
      </c>
      <c r="X38" s="999"/>
      <c r="Y38" s="999"/>
      <c r="Z38" s="999"/>
      <c r="AA38" s="999"/>
      <c r="AB38" s="999"/>
      <c r="AC38" s="1189"/>
      <c r="AD38" s="1189"/>
      <c r="AE38" s="1189"/>
      <c r="AF38" s="1189"/>
      <c r="AG38" s="1189"/>
      <c r="AH38" s="1189"/>
      <c r="AI38" s="1189"/>
      <c r="AJ38" s="999"/>
      <c r="AK38" s="999"/>
      <c r="AL38" s="999"/>
      <c r="AM38" s="999"/>
      <c r="AN38" s="999"/>
      <c r="AO38" s="999"/>
      <c r="AP38" s="999"/>
    </row>
    <row r="39" spans="1:42" ht="18" customHeight="1">
      <c r="A39" s="999"/>
      <c r="B39" s="1001"/>
      <c r="C39" s="1628" t="s">
        <v>487</v>
      </c>
      <c r="D39" s="1606">
        <v>37</v>
      </c>
      <c r="E39" s="1615">
        <f>'FS Year'!M127</f>
        <v>0</v>
      </c>
      <c r="F39" s="1627">
        <f>'FS Year'!N127</f>
        <v>0</v>
      </c>
      <c r="G39" s="1627">
        <f>'FS Year'!O127</f>
        <v>0</v>
      </c>
      <c r="H39" s="1627">
        <f>'FS Year'!P127</f>
        <v>0</v>
      </c>
      <c r="I39" s="1627">
        <f>'FS Year'!Q127</f>
        <v>0</v>
      </c>
      <c r="J39" s="1627">
        <f>'FS Year'!R127</f>
        <v>0</v>
      </c>
      <c r="K39" s="1627">
        <f>'FS Year'!S127</f>
        <v>0</v>
      </c>
      <c r="L39" s="1627">
        <f>'FS Year'!T127</f>
        <v>0</v>
      </c>
      <c r="M39" s="1627">
        <f>'FS Year'!U127</f>
        <v>0</v>
      </c>
      <c r="N39" s="1627">
        <f>'FS Year'!V127</f>
        <v>0</v>
      </c>
      <c r="O39" s="1627">
        <f>'FS Year'!W127</f>
        <v>0</v>
      </c>
      <c r="P39" s="1212">
        <f t="shared" ref="P39:Q40" si="71">O39</f>
        <v>0</v>
      </c>
      <c r="Q39" s="1212">
        <f t="shared" si="71"/>
        <v>0</v>
      </c>
      <c r="R39" s="1212">
        <f t="shared" ref="R39:R40" si="72">Q39</f>
        <v>0</v>
      </c>
      <c r="S39" s="1212">
        <f t="shared" ref="S39:S40" si="73">R39</f>
        <v>0</v>
      </c>
      <c r="T39" s="1212">
        <f t="shared" ref="T39:T40" si="74">S39</f>
        <v>0</v>
      </c>
      <c r="U39" s="1212">
        <f t="shared" ref="U39:U40" si="75">T39</f>
        <v>0</v>
      </c>
      <c r="V39" s="1212"/>
      <c r="W39" s="1624">
        <f t="shared" si="54"/>
        <v>0</v>
      </c>
      <c r="X39" s="999"/>
      <c r="Y39" s="999"/>
      <c r="Z39" s="3400" t="s">
        <v>488</v>
      </c>
      <c r="AA39" s="3400"/>
      <c r="AB39" s="1525" t="s">
        <v>489</v>
      </c>
      <c r="AC39" s="1849"/>
      <c r="AD39" s="1849"/>
      <c r="AE39" s="1850"/>
      <c r="AF39" s="1850"/>
      <c r="AG39" s="1850" t="s">
        <v>490</v>
      </c>
      <c r="AH39" s="1850"/>
      <c r="AI39" s="1850"/>
      <c r="AJ39" s="3400" t="s">
        <v>491</v>
      </c>
      <c r="AK39" s="3405" t="s">
        <v>492</v>
      </c>
      <c r="AL39" s="999"/>
      <c r="AM39" s="999"/>
      <c r="AN39" s="999"/>
      <c r="AO39" s="999"/>
      <c r="AP39" s="999"/>
    </row>
    <row r="40" spans="1:42" ht="18" customHeight="1">
      <c r="A40" s="999"/>
      <c r="B40" s="1001" t="s">
        <v>493</v>
      </c>
      <c r="C40" s="1614" t="s">
        <v>494</v>
      </c>
      <c r="D40" s="1606">
        <v>38</v>
      </c>
      <c r="E40" s="1615">
        <f>'FS Year'!M121</f>
        <v>0</v>
      </c>
      <c r="F40" s="1627">
        <f>'FS Year'!N121</f>
        <v>0</v>
      </c>
      <c r="G40" s="1627">
        <f>'FS Year'!O121</f>
        <v>0</v>
      </c>
      <c r="H40" s="1627">
        <f>'FS Year'!P121</f>
        <v>0</v>
      </c>
      <c r="I40" s="1627">
        <f>'FS Year'!Q121</f>
        <v>0</v>
      </c>
      <c r="J40" s="1627">
        <f>'FS Year'!R121</f>
        <v>0</v>
      </c>
      <c r="K40" s="1627">
        <f>'FS Year'!S121</f>
        <v>0</v>
      </c>
      <c r="L40" s="1627">
        <f>'FS Year'!T121</f>
        <v>0</v>
      </c>
      <c r="M40" s="1627">
        <f>'FS Year'!U121</f>
        <v>0</v>
      </c>
      <c r="N40" s="1627">
        <f>'FS Year'!V121</f>
        <v>0</v>
      </c>
      <c r="O40" s="1627">
        <f>'FS Year'!W121</f>
        <v>0</v>
      </c>
      <c r="P40" s="1212">
        <f t="shared" si="71"/>
        <v>0</v>
      </c>
      <c r="Q40" s="1212">
        <f t="shared" si="71"/>
        <v>0</v>
      </c>
      <c r="R40" s="1212">
        <f t="shared" si="72"/>
        <v>0</v>
      </c>
      <c r="S40" s="1212">
        <f t="shared" si="73"/>
        <v>0</v>
      </c>
      <c r="T40" s="1212">
        <f t="shared" si="74"/>
        <v>0</v>
      </c>
      <c r="U40" s="1212">
        <f t="shared" si="75"/>
        <v>0</v>
      </c>
      <c r="V40" s="1212"/>
      <c r="W40" s="1624">
        <f t="shared" si="54"/>
        <v>0</v>
      </c>
      <c r="X40" s="999"/>
      <c r="Y40" s="999"/>
      <c r="Z40" s="3401"/>
      <c r="AA40" s="3401"/>
      <c r="AB40" s="1181">
        <v>2023</v>
      </c>
      <c r="AC40" s="1181">
        <v>2024</v>
      </c>
      <c r="AD40" s="1181" t="s">
        <v>495</v>
      </c>
      <c r="AE40" s="1851">
        <f>AB40</f>
        <v>2023</v>
      </c>
      <c r="AF40" s="1851"/>
      <c r="AG40" s="1851">
        <f>AC40</f>
        <v>2024</v>
      </c>
      <c r="AH40" s="1851"/>
      <c r="AI40" s="1851" t="str">
        <f>AD40</f>
        <v>2025F</v>
      </c>
      <c r="AJ40" s="3401"/>
      <c r="AK40" s="3406"/>
      <c r="AL40" s="999"/>
      <c r="AM40" s="999"/>
      <c r="AN40" s="999"/>
      <c r="AO40" s="999"/>
      <c r="AP40" s="999"/>
    </row>
    <row r="41" spans="1:42" ht="18" customHeight="1">
      <c r="A41" s="999"/>
      <c r="B41" s="1001"/>
      <c r="C41" s="1614" t="s">
        <v>496</v>
      </c>
      <c r="D41" s="1606">
        <v>39</v>
      </c>
      <c r="E41" s="1200">
        <f ca="1">SUM(E36,E29)/E43</f>
        <v>0.41946352524730462</v>
      </c>
      <c r="F41" s="1627">
        <f t="shared" ref="F41:K41" ca="1" si="76">SUM(F36,F29)/F43</f>
        <v>0.82716246826559392</v>
      </c>
      <c r="G41" s="1200">
        <f t="shared" ca="1" si="76"/>
        <v>1.2474445775064289</v>
      </c>
      <c r="H41" s="1200">
        <f ca="1">SUM(H36,H29)/H43</f>
        <v>1.1519264510810061</v>
      </c>
      <c r="I41" s="1200">
        <f t="shared" ca="1" si="76"/>
        <v>0.78475992023794072</v>
      </c>
      <c r="J41" s="1200">
        <f t="shared" ca="1" si="76"/>
        <v>1.1662309150879306</v>
      </c>
      <c r="K41" s="1200">
        <f t="shared" ca="1" si="76"/>
        <v>1.0820431848683318</v>
      </c>
      <c r="L41" s="1200">
        <f t="shared" ref="L41:Q41" ca="1" si="77">SUM(L36,L29)/L43</f>
        <v>1.209499300330964</v>
      </c>
      <c r="M41" s="1200">
        <f t="shared" ca="1" si="77"/>
        <v>0.69317171736249239</v>
      </c>
      <c r="N41" s="1200">
        <f t="shared" ca="1" si="77"/>
        <v>1.075097048193113</v>
      </c>
      <c r="O41" s="1200">
        <f t="shared" ca="1" si="77"/>
        <v>0.97079359712933</v>
      </c>
      <c r="P41" s="1208">
        <f t="shared" ca="1" si="77"/>
        <v>0.84392186517414269</v>
      </c>
      <c r="Q41" s="1208">
        <f t="shared" ca="1" si="77"/>
        <v>0.69200414005089272</v>
      </c>
      <c r="R41" s="1208">
        <f t="shared" ref="R41" ca="1" si="78">SUM(R36,R29)/R43</f>
        <v>0.56366254263816373</v>
      </c>
      <c r="S41" s="1208">
        <f t="shared" ref="S41:U41" ca="1" si="79">SUM(S36,S29)/S43</f>
        <v>0.46022874409309616</v>
      </c>
      <c r="T41" s="1208">
        <f t="shared" ca="1" si="79"/>
        <v>0.3761933372330693</v>
      </c>
      <c r="U41" s="1208">
        <f t="shared" ca="1" si="79"/>
        <v>0.3080915729083808</v>
      </c>
      <c r="V41" s="1208"/>
      <c r="W41" s="1624">
        <f t="shared" ca="1" si="54"/>
        <v>-0.10430345106378303</v>
      </c>
      <c r="X41" s="999"/>
      <c r="Y41" s="999"/>
      <c r="Z41" s="1526" t="s">
        <v>497</v>
      </c>
      <c r="AA41" s="1527" t="s">
        <v>6</v>
      </c>
      <c r="AB41" s="1528">
        <v>2.0699999999999998</v>
      </c>
      <c r="AC41" s="1528">
        <v>2.34</v>
      </c>
      <c r="AD41" s="1528">
        <v>2.6118642048531511</v>
      </c>
      <c r="AE41" s="1529">
        <f ca="1">Rev_Year!J85</f>
        <v>2.0643152378127163</v>
      </c>
      <c r="AF41" s="1529"/>
      <c r="AG41" s="1529">
        <f ca="1">Rev_Year!K85</f>
        <v>2.3963812660062023</v>
      </c>
      <c r="AH41" s="1529"/>
      <c r="AI41" s="1529">
        <f ca="1">Rev_Year!L85</f>
        <v>2.9530891597350846</v>
      </c>
      <c r="AJ41" s="1530">
        <f ca="1">AI41/AD41-1</f>
        <v>0.13064421735551845</v>
      </c>
      <c r="AK41" s="3407" t="s">
        <v>498</v>
      </c>
      <c r="AL41" s="999"/>
      <c r="AM41" s="999"/>
      <c r="AN41" s="999"/>
      <c r="AO41" s="999"/>
      <c r="AP41" s="999"/>
    </row>
    <row r="42" spans="1:42" ht="18" customHeight="1">
      <c r="A42" s="999"/>
      <c r="B42" s="1198"/>
      <c r="C42" s="999"/>
      <c r="D42" s="1606">
        <v>40</v>
      </c>
      <c r="E42" s="1615"/>
      <c r="F42" s="1627"/>
      <c r="G42" s="1627"/>
      <c r="H42" s="1627"/>
      <c r="I42" s="1627"/>
      <c r="J42" s="1627"/>
      <c r="K42" s="1627"/>
      <c r="L42" s="1627"/>
      <c r="M42" s="1627"/>
      <c r="N42" s="1627"/>
      <c r="O42" s="1627"/>
      <c r="P42" s="1212"/>
      <c r="Q42" s="1212"/>
      <c r="R42" s="1212"/>
      <c r="S42" s="1212"/>
      <c r="T42" s="1212"/>
      <c r="U42" s="1212"/>
      <c r="V42" s="1212"/>
      <c r="W42" s="1624">
        <f t="shared" si="54"/>
        <v>0</v>
      </c>
      <c r="X42" s="999"/>
      <c r="Y42" s="999"/>
      <c r="Z42" s="1531"/>
      <c r="AA42" s="1532" t="s">
        <v>31</v>
      </c>
      <c r="AB42" s="1533">
        <v>-0.23</v>
      </c>
      <c r="AC42" s="1533">
        <v>0.13</v>
      </c>
      <c r="AD42" s="1533">
        <v>8.0542627015479651E-2</v>
      </c>
      <c r="AE42" s="1534">
        <f>AB42</f>
        <v>-0.23</v>
      </c>
      <c r="AF42" s="1534"/>
      <c r="AG42" s="1534">
        <f ca="1">AG41/AE41-1</f>
        <v>0.1608601351726362</v>
      </c>
      <c r="AH42" s="1534"/>
      <c r="AI42" s="1534">
        <f ca="1">AI41/AG41-1</f>
        <v>0.23231190362987975</v>
      </c>
      <c r="AJ42" s="1530"/>
      <c r="AK42" s="3408"/>
      <c r="AL42" s="999"/>
      <c r="AM42" s="999"/>
      <c r="AN42" s="999"/>
      <c r="AO42" s="999"/>
      <c r="AP42" s="999"/>
    </row>
    <row r="43" spans="1:42" ht="18" customHeight="1">
      <c r="A43" s="999"/>
      <c r="B43" s="1001" t="s">
        <v>431</v>
      </c>
      <c r="C43" s="1000" t="s">
        <v>499</v>
      </c>
      <c r="D43" s="1606">
        <v>41</v>
      </c>
      <c r="E43" s="1629">
        <f ca="1">SUM(E44:E54)</f>
        <v>1474.9561476370002</v>
      </c>
      <c r="F43" s="1630">
        <f t="shared" ref="F43:K43" ca="1" si="80">SUM(F44:F55)</f>
        <v>2481.9138336700003</v>
      </c>
      <c r="G43" s="1630">
        <f t="shared" ca="1" si="80"/>
        <v>3839.0416962090003</v>
      </c>
      <c r="H43" s="1630">
        <f t="shared" ca="1" si="80"/>
        <v>5906.1400829640006</v>
      </c>
      <c r="I43" s="1630">
        <f ca="1">SUM(I44:I55)</f>
        <v>8976.7858880229978</v>
      </c>
      <c r="J43" s="1630">
        <f ca="1">SUM(J44:J55)</f>
        <v>12135.806128738999</v>
      </c>
      <c r="K43" s="1630">
        <f t="shared" ca="1" si="80"/>
        <v>15481.689846432</v>
      </c>
      <c r="L43" s="1630">
        <f t="shared" ref="L43:Q43" ca="1" si="81">SUM(L44:L55)</f>
        <v>20378.245999846</v>
      </c>
      <c r="M43" s="1630">
        <f t="shared" ca="1" si="81"/>
        <v>23932.581517576</v>
      </c>
      <c r="N43" s="1630">
        <f ca="1">SUM(N44:N55)</f>
        <v>23359.557967337998</v>
      </c>
      <c r="O43" s="1630">
        <f ca="1">SUM(O44:O55)</f>
        <v>28121.576823855004</v>
      </c>
      <c r="P43" s="1631">
        <f t="shared" ca="1" si="81"/>
        <v>32590.416953135526</v>
      </c>
      <c r="Q43" s="1631">
        <f t="shared" ca="1" si="81"/>
        <v>39799.41221494924</v>
      </c>
      <c r="R43" s="1631">
        <f t="shared" ref="R43" ca="1" si="82">SUM(R44:R55)</f>
        <v>48875.726644077455</v>
      </c>
      <c r="S43" s="1631">
        <f t="shared" ref="S43:U43" ca="1" si="83">SUM(S44:S55)</f>
        <v>59743.427444314904</v>
      </c>
      <c r="T43" s="1631">
        <f t="shared" ca="1" si="83"/>
        <v>72712.416270517759</v>
      </c>
      <c r="U43" s="1631">
        <f t="shared" ca="1" si="83"/>
        <v>87963.169681740081</v>
      </c>
      <c r="V43" s="1631"/>
      <c r="W43" s="1624">
        <f t="shared" ca="1" si="54"/>
        <v>4762.0188565170065</v>
      </c>
      <c r="X43" s="999"/>
      <c r="Y43" s="999"/>
      <c r="Z43" s="999"/>
      <c r="AA43" s="1535" t="str">
        <f>AA48</f>
        <v>SLCH</v>
      </c>
      <c r="AB43" s="1198">
        <v>3268</v>
      </c>
      <c r="AC43" s="1536">
        <v>3057</v>
      </c>
      <c r="AD43" s="1536">
        <v>3047</v>
      </c>
      <c r="AE43" s="1537">
        <f>AB43</f>
        <v>3268</v>
      </c>
      <c r="AF43" s="1537"/>
      <c r="AG43" s="1537">
        <f>Rev_Month!CG35</f>
        <v>3047</v>
      </c>
      <c r="AH43" s="1537"/>
      <c r="AI43" s="1537">
        <f>Rev_Month!CS35</f>
        <v>3029</v>
      </c>
      <c r="AJ43" s="1530">
        <f>AI43/AD43-1</f>
        <v>-5.9074499507713041E-3</v>
      </c>
      <c r="AK43" s="3408"/>
      <c r="AL43" s="999"/>
      <c r="AM43" s="999"/>
      <c r="AN43" s="999"/>
      <c r="AO43" s="999"/>
      <c r="AP43" s="999"/>
    </row>
    <row r="44" spans="1:42" ht="18" customHeight="1">
      <c r="A44" s="999"/>
      <c r="B44" s="1001" t="s">
        <v>408</v>
      </c>
      <c r="C44" s="1614" t="str">
        <f>'FS Year'!B131</f>
        <v>Paid-In Capital</v>
      </c>
      <c r="D44" s="1606">
        <v>42</v>
      </c>
      <c r="E44" s="1615">
        <f ca="1">OFFSET('FS Year'!$B$1,MATCH(FS!$C44,'FS Year'!$B$2:$B$355,0),MATCH(FS!E$1,'FS Year'!$C$1:$Q$1,0))</f>
        <v>1119.5677900000001</v>
      </c>
      <c r="F44" s="1615">
        <f ca="1">OFFSET('FS Year'!$B$1,MATCH(FS!$C44,'FS Year'!$B$2:$B$355,0),MATCH(FS!F$1,'FS Year'!$C$1:$Q$1,0))</f>
        <v>1468.8897400000001</v>
      </c>
      <c r="G44" s="1615">
        <f ca="1">OFFSET('FS Year'!$B$1,MATCH(FS!$C44,'FS Year'!$B$2:$B$355,0),MATCH(FS!G$1,'FS Year'!$C$1:$Q$1,0))</f>
        <v>1539.50927</v>
      </c>
      <c r="H44" s="1615">
        <f ca="1">OFFSET('FS Year'!$B$1,MATCH(FS!$C44,'FS Year'!$B$2:$B$355,0),MATCH(FS!H$1,'FS Year'!$C$1:$Q$1,0))</f>
        <v>3169.8843700000002</v>
      </c>
      <c r="I44" s="1615">
        <f ca="1">OFFSET('FS Year'!$B$1,MATCH(FS!$C44,'FS Year'!$B$2:$B$355,0),MATCH(FS!I$1,'FS Year'!$C$1:$X$1,0))</f>
        <v>4434.9617799999996</v>
      </c>
      <c r="J44" s="1615">
        <f ca="1">OFFSET('FS Year'!$B$1,MATCH(FS!$C44,'FS Year'!$B$2:$B$355,0),MATCH(FS!J$1,'FS Year'!$C$1:$X$1,0))</f>
        <v>4435.4617799999996</v>
      </c>
      <c r="K44" s="1615">
        <f ca="1">OFFSET('FS Year'!$B$1,MATCH(FS!$C44,'FS Year'!$B$2:$B$355,0),MATCH(FS!K$1,'FS Year'!$C$1:$X$1,0))</f>
        <v>4532.09987</v>
      </c>
      <c r="L44" s="1615">
        <f ca="1">OFFSET('FS Year'!$B$1,MATCH(FS!$C44,'FS Year'!$B$2:$B$355,0),MATCH(FS!L$1,'FS Year'!$C$1:$X$1,0))</f>
        <v>7130.6549500000001</v>
      </c>
      <c r="M44" s="1615">
        <f ca="1">OFFSET('FS Year'!$B$1,MATCH(FS!$C44,'FS Year'!$B$2:$B$355,0),MATCH(FS!M$1,'FS Year'!$C$1:$X$1,0))</f>
        <v>14638.792799999999</v>
      </c>
      <c r="N44" s="1615">
        <f ca="1">OFFSET('FS Year'!$B$1,MATCH(FS!$C44,'FS Year'!$B$2:$B$355,0),MATCH(FS!N$1,'FS Year'!$C$1:$X$1,0))</f>
        <v>14633.767159999999</v>
      </c>
      <c r="O44" s="1615">
        <f ca="1">OFFSET('FS Year'!$B$1,MATCH(FS!$C44,'FS Year'!$B$2:$B$355,0),MATCH(FS!O$1,'FS Year'!$C$1:$X$1,0))</f>
        <v>14622.441769999999</v>
      </c>
      <c r="P44" s="1613">
        <f ca="1">Valuation!P27*10</f>
        <v>14684.567630000001</v>
      </c>
      <c r="Q44" s="1613">
        <f ca="1">Valuation!Q27*10</f>
        <v>14684.567630000001</v>
      </c>
      <c r="R44" s="1613">
        <f ca="1">Valuation!R27*10</f>
        <v>14684.567630000001</v>
      </c>
      <c r="S44" s="1613">
        <f ca="1">Valuation!S27*10</f>
        <v>14684.567630000001</v>
      </c>
      <c r="T44" s="1613">
        <f ca="1">Valuation!T27*10</f>
        <v>14684.567630000001</v>
      </c>
      <c r="U44" s="1613">
        <f ca="1">Valuation!U27*10</f>
        <v>14684.567630000001</v>
      </c>
      <c r="V44" s="1613"/>
      <c r="W44" s="1624">
        <f t="shared" ca="1" si="54"/>
        <v>-11.32538999999997</v>
      </c>
      <c r="X44" s="999"/>
      <c r="Y44" s="999"/>
      <c r="Z44" s="999"/>
      <c r="AA44" s="1535" t="str">
        <f>AA49</f>
        <v>Thay đổi (+/-)</v>
      </c>
      <c r="AB44" s="1538">
        <f>AB43/3474-1</f>
        <v>-5.9297639608520414E-2</v>
      </c>
      <c r="AC44" s="1539">
        <v>-0.06</v>
      </c>
      <c r="AD44" s="1539">
        <v>0</v>
      </c>
      <c r="AE44" s="1539">
        <f>AB44</f>
        <v>-5.9297639608520414E-2</v>
      </c>
      <c r="AF44" s="1539"/>
      <c r="AG44" s="1539">
        <f>AG43/AE43-1</f>
        <v>-6.7625458996327992E-2</v>
      </c>
      <c r="AH44" s="1539"/>
      <c r="AI44" s="1539">
        <f>AI43/AG43-1</f>
        <v>-5.9074499507713041E-3</v>
      </c>
      <c r="AJ44" s="1530"/>
      <c r="AK44" s="3408"/>
      <c r="AL44" s="999"/>
      <c r="AM44" s="999"/>
      <c r="AN44" s="999"/>
      <c r="AO44" s="999"/>
      <c r="AP44" s="999"/>
    </row>
    <row r="45" spans="1:42" ht="18" customHeight="1">
      <c r="A45" s="999"/>
      <c r="B45" s="1001" t="s">
        <v>411</v>
      </c>
      <c r="C45" s="1614" t="s">
        <v>500</v>
      </c>
      <c r="D45" s="1606">
        <v>43</v>
      </c>
      <c r="E45" s="1615">
        <f ca="1">OFFSET('FS Year'!$B$1,MATCH(FS!$C45,'FS Year'!$B$2:$B$355,0),MATCH(FS!E$1,'FS Year'!$C$1:$Q$1,0))</f>
        <v>36.717698286000001</v>
      </c>
      <c r="F45" s="1615">
        <f ca="1">OFFSET('FS Year'!$B$1,MATCH(FS!$C45,'FS Year'!$B$2:$B$355,0),MATCH(FS!F$1,'FS Year'!$C$1:$Q$1,0))</f>
        <v>36.717698286000001</v>
      </c>
      <c r="G45" s="1615">
        <f ca="1">OFFSET('FS Year'!$B$1,MATCH(FS!$C45,'FS Year'!$B$2:$B$355,0),MATCH(FS!G$1,'FS Year'!$C$1:$Q$1,0))</f>
        <v>36.717698286000001</v>
      </c>
      <c r="H45" s="1615">
        <f ca="1">OFFSET('FS Year'!$B$1,MATCH(FS!$C45,'FS Year'!$B$2:$B$355,0),MATCH(FS!H$1,'FS Year'!$C$1:$Q$1,0))</f>
        <v>36.717698286000001</v>
      </c>
      <c r="I45" s="1615">
        <f ca="1">OFFSET('FS Year'!$B$1,MATCH(FS!$C45,'FS Year'!$B$2:$B$355,0),MATCH(FS!I$1,'FS Year'!$C$1:$X$1,0))</f>
        <v>551.45199548599999</v>
      </c>
      <c r="J45" s="1615">
        <f ca="1">OFFSET('FS Year'!$B$1,MATCH(FS!$C45,'FS Year'!$B$2:$B$355,0),MATCH(FS!J$1,'FS Year'!$C$1:$X$1,0))</f>
        <v>555.20699548599998</v>
      </c>
      <c r="K45" s="1615">
        <f ca="1">OFFSET('FS Year'!$B$1,MATCH(FS!$C45,'FS Year'!$B$2:$B$355,0),MATCH(FS!K$1,'FS Year'!$C$1:$X$1,0))</f>
        <v>558.11043098599998</v>
      </c>
      <c r="L45" s="1615">
        <f ca="1">OFFSET('FS Year'!$B$1,MATCH(FS!$C45,'FS Year'!$B$2:$B$355,0),MATCH(FS!L$1,'FS Year'!$C$1:$X$1,0))</f>
        <v>558.11043098599998</v>
      </c>
      <c r="M45" s="1615">
        <f ca="1">OFFSET('FS Year'!$B$1,MATCH(FS!$C45,'FS Year'!$B$2:$B$355,0),MATCH(FS!M$1,'FS Year'!$C$1:$X$1,0))</f>
        <v>558.11043098599998</v>
      </c>
      <c r="N45" s="1615">
        <f ca="1">OFFSET('FS Year'!$B$1,MATCH(FS!$C45,'FS Year'!$B$2:$B$355,0),MATCH(FS!N$1,'FS Year'!$C$1:$X$1,0))</f>
        <v>558.11043098599998</v>
      </c>
      <c r="O45" s="1615">
        <f ca="1">OFFSET('FS Year'!$B$1,MATCH(FS!$C45,'FS Year'!$B$2:$B$355,0),MATCH(FS!O$1,'FS Year'!$C$1:$X$1,0))</f>
        <v>558.11043098599998</v>
      </c>
      <c r="P45" s="1613">
        <f t="shared" ref="P45:Q47" ca="1" si="84">O45</f>
        <v>558.11043098599998</v>
      </c>
      <c r="Q45" s="1613">
        <f t="shared" ca="1" si="84"/>
        <v>558.11043098599998</v>
      </c>
      <c r="R45" s="1613">
        <f t="shared" ref="R45:R47" ca="1" si="85">Q45</f>
        <v>558.11043098599998</v>
      </c>
      <c r="S45" s="1613">
        <f t="shared" ref="S45:S47" ca="1" si="86">R45</f>
        <v>558.11043098599998</v>
      </c>
      <c r="T45" s="1613">
        <f t="shared" ref="T45:T47" ca="1" si="87">S45</f>
        <v>558.11043098599998</v>
      </c>
      <c r="U45" s="1613">
        <f t="shared" ref="U45:U47" ca="1" si="88">T45</f>
        <v>558.11043098599998</v>
      </c>
      <c r="V45" s="1613"/>
      <c r="W45" s="1624">
        <f t="shared" ca="1" si="54"/>
        <v>0</v>
      </c>
      <c r="X45" s="999"/>
      <c r="Y45" s="999"/>
      <c r="Z45" s="1540"/>
      <c r="AA45" s="1541" t="s">
        <v>501</v>
      </c>
      <c r="AB45" s="1542">
        <v>2.5000000000000001E-2</v>
      </c>
      <c r="AC45" s="1543">
        <v>0.06</v>
      </c>
      <c r="AD45" s="1543">
        <v>5.2777266086897201E-2</v>
      </c>
      <c r="AE45" s="1544">
        <f ca="1">Rev_Year!J99</f>
        <v>2.4997653028225125E-2</v>
      </c>
      <c r="AF45" s="1544"/>
      <c r="AG45" s="1556">
        <f ca="1">Rev_Year!K99</f>
        <v>4.9214513186483143E-2</v>
      </c>
      <c r="AH45" s="1556"/>
      <c r="AI45" s="1556">
        <f ca="1">Rev_Year!L99</f>
        <v>6.1460551385976406E-2</v>
      </c>
      <c r="AJ45" s="1545">
        <f ca="1">AI45-AD45</f>
        <v>8.6832852990792048E-3</v>
      </c>
      <c r="AK45" s="3408"/>
      <c r="AL45" s="999"/>
      <c r="AM45" s="999"/>
      <c r="AN45" s="999"/>
      <c r="AO45" s="999"/>
      <c r="AP45" s="999"/>
    </row>
    <row r="46" spans="1:42" ht="18" customHeight="1">
      <c r="A46" s="999"/>
      <c r="B46" s="1198"/>
      <c r="C46" s="1614" t="s">
        <v>502</v>
      </c>
      <c r="D46" s="1606">
        <v>44</v>
      </c>
      <c r="E46" s="1615">
        <f ca="1">OFFSET('FS Year'!$B$1,MATCH(FS!$C46,'FS Year'!$B$2:$B$355,0),MATCH(FS!E$1,'FS Year'!$C$1:$Q$1,0))</f>
        <v>1.130494084</v>
      </c>
      <c r="F46" s="1615">
        <f ca="1">OFFSET('FS Year'!$B$1,MATCH(FS!$C46,'FS Year'!$B$2:$B$355,0),MATCH(FS!F$1,'FS Year'!$C$1:$Q$1,0))</f>
        <v>1.130494084</v>
      </c>
      <c r="G46" s="1615">
        <f ca="1">OFFSET('FS Year'!$B$1,MATCH(FS!$C46,'FS Year'!$B$2:$B$355,0),MATCH(FS!G$1,'FS Year'!$C$1:$Q$1,0))</f>
        <v>1.130494084</v>
      </c>
      <c r="H46" s="1615">
        <f ca="1">OFFSET('FS Year'!$B$1,MATCH(FS!$C46,'FS Year'!$B$2:$B$355,0),MATCH(FS!H$1,'FS Year'!$C$1:$Q$1,0))</f>
        <v>1.130494084</v>
      </c>
      <c r="I46" s="1615">
        <f ca="1">OFFSET('FS Year'!$B$1,MATCH(FS!$C46,'FS Year'!$B$2:$B$355,0),MATCH(FS!I$1,'FS Year'!$C$1:$X$1,0))</f>
        <v>1.130494084</v>
      </c>
      <c r="J46" s="1615">
        <f ca="1">OFFSET('FS Year'!$B$1,MATCH(FS!$C46,'FS Year'!$B$2:$B$355,0),MATCH(FS!J$1,'FS Year'!$C$1:$X$1,0))</f>
        <v>1.130494084</v>
      </c>
      <c r="K46" s="1615">
        <f ca="1">OFFSET('FS Year'!$B$1,MATCH(FS!$C46,'FS Year'!$B$2:$B$355,0),MATCH(FS!K$1,'FS Year'!$C$1:$X$1,0))</f>
        <v>0</v>
      </c>
      <c r="L46" s="1615">
        <f ca="1">OFFSET('FS Year'!$B$1,MATCH(FS!$C46,'FS Year'!$B$2:$B$355,0),MATCH(FS!L$1,'FS Year'!$C$1:$X$1,0))</f>
        <v>0</v>
      </c>
      <c r="M46" s="1615">
        <f ca="1">OFFSET('FS Year'!$B$1,MATCH(FS!$C46,'FS Year'!$B$2:$B$355,0),MATCH(FS!M$1,'FS Year'!$C$1:$X$1,0))</f>
        <v>0</v>
      </c>
      <c r="N46" s="1615">
        <f ca="1">OFFSET('FS Year'!$B$1,MATCH(FS!$C46,'FS Year'!$B$2:$B$355,0),MATCH(FS!N$1,'FS Year'!$C$1:$X$1,0))</f>
        <v>0</v>
      </c>
      <c r="O46" s="1615">
        <f ca="1">OFFSET('FS Year'!$B$1,MATCH(FS!$C46,'FS Year'!$B$2:$B$355,0),MATCH(FS!O$1,'FS Year'!$C$1:$X$1,0))</f>
        <v>0</v>
      </c>
      <c r="P46" s="1613">
        <f t="shared" ca="1" si="84"/>
        <v>0</v>
      </c>
      <c r="Q46" s="1613">
        <f t="shared" ca="1" si="84"/>
        <v>0</v>
      </c>
      <c r="R46" s="1613">
        <f t="shared" ca="1" si="85"/>
        <v>0</v>
      </c>
      <c r="S46" s="1613">
        <f t="shared" ca="1" si="86"/>
        <v>0</v>
      </c>
      <c r="T46" s="1613">
        <f t="shared" ca="1" si="87"/>
        <v>0</v>
      </c>
      <c r="U46" s="1613">
        <f t="shared" ca="1" si="88"/>
        <v>0</v>
      </c>
      <c r="V46" s="1613"/>
      <c r="W46" s="1624">
        <f t="shared" ca="1" si="54"/>
        <v>0</v>
      </c>
      <c r="X46" s="999"/>
      <c r="Y46" s="999"/>
      <c r="Z46" s="1546" t="s">
        <v>7</v>
      </c>
      <c r="AA46" s="1547" t="s">
        <v>6</v>
      </c>
      <c r="AB46" s="1548">
        <v>1.54</v>
      </c>
      <c r="AC46" s="1548">
        <v>1.99</v>
      </c>
      <c r="AD46" s="1549">
        <v>2.1144249164953171</v>
      </c>
      <c r="AE46" s="1550">
        <f ca="1">Rev_Year!J106</f>
        <v>1.5363280793928782</v>
      </c>
      <c r="AF46" s="1550"/>
      <c r="AG46" s="1550">
        <f ca="1">Rev_Year!K106</f>
        <v>1.9744048943702903</v>
      </c>
      <c r="AH46" s="1550"/>
      <c r="AI46" s="1550">
        <f ca="1">Rev_Year!L106</f>
        <v>1.843771830660633</v>
      </c>
      <c r="AJ46" s="1530">
        <f ca="1">AI46/AD46-1</f>
        <v>-0.12800316706600989</v>
      </c>
      <c r="AK46" s="3407" t="s">
        <v>503</v>
      </c>
      <c r="AL46" s="999"/>
      <c r="AM46" s="999"/>
      <c r="AN46" s="999"/>
      <c r="AO46" s="999"/>
      <c r="AP46" s="999"/>
    </row>
    <row r="47" spans="1:42" ht="18" customHeight="1">
      <c r="A47" s="999"/>
      <c r="B47" s="1198"/>
      <c r="C47" s="1614" t="s">
        <v>504</v>
      </c>
      <c r="D47" s="1606">
        <v>45</v>
      </c>
      <c r="E47" s="1615">
        <f ca="1">OFFSET('FS Year'!$B$1,MATCH(FS!$C47,'FS Year'!$B$2:$B$355,0),MATCH(FS!E$1,'FS Year'!$C$1:$Q$1,0))</f>
        <v>0</v>
      </c>
      <c r="F47" s="1615">
        <f ca="1">OFFSET('FS Year'!$B$1,MATCH(FS!$C47,'FS Year'!$B$2:$B$355,0),MATCH(FS!F$1,'FS Year'!$C$1:$Q$1,0))</f>
        <v>0</v>
      </c>
      <c r="G47" s="1615">
        <f ca="1">OFFSET('FS Year'!$B$1,MATCH(FS!$C47,'FS Year'!$B$2:$B$355,0),MATCH(FS!G$1,'FS Year'!$C$1:$Q$1,0))</f>
        <v>0</v>
      </c>
      <c r="H47" s="1615">
        <f ca="1">OFFSET('FS Year'!$B$1,MATCH(FS!$C47,'FS Year'!$B$2:$B$355,0),MATCH(FS!H$1,'FS Year'!$C$1:$Q$1,0))</f>
        <v>0</v>
      </c>
      <c r="I47" s="1615">
        <f ca="1">OFFSET('FS Year'!$B$1,MATCH(FS!$C47,'FS Year'!$B$2:$B$355,0),MATCH(FS!I$1,'FS Year'!$C$1:$X$1,0))</f>
        <v>0</v>
      </c>
      <c r="J47" s="1615">
        <f ca="1">OFFSET('FS Year'!$B$1,MATCH(FS!$C47,'FS Year'!$B$2:$B$355,0),MATCH(FS!J$1,'FS Year'!$C$1:$X$1,0))</f>
        <v>0</v>
      </c>
      <c r="K47" s="1615">
        <f ca="1">OFFSET('FS Year'!$B$1,MATCH(FS!$C47,'FS Year'!$B$2:$B$355,0),MATCH(FS!K$1,'FS Year'!$C$1:$X$1,0))</f>
        <v>0</v>
      </c>
      <c r="L47" s="1615">
        <f ca="1">OFFSET('FS Year'!$B$1,MATCH(FS!$C47,'FS Year'!$B$2:$B$355,0),MATCH(FS!L$1,'FS Year'!$C$1:$X$1,0))</f>
        <v>0</v>
      </c>
      <c r="M47" s="1615">
        <f ca="1">OFFSET('FS Year'!$B$1,MATCH(FS!$C47,'FS Year'!$B$2:$B$355,0),MATCH(FS!M$1,'FS Year'!$C$1:$X$1,0))</f>
        <v>0</v>
      </c>
      <c r="N47" s="1615">
        <f ca="1">OFFSET('FS Year'!$B$1,MATCH(FS!$C47,'FS Year'!$B$2:$B$355,0),MATCH(FS!N$1,'FS Year'!$C$1:$X$1,0))</f>
        <v>0</v>
      </c>
      <c r="O47" s="1615">
        <f ca="1">OFFSET('FS Year'!$B$1,MATCH(FS!$C47,'FS Year'!$B$2:$B$355,0),MATCH(FS!O$1,'FS Year'!$C$1:$X$1,0))</f>
        <v>0</v>
      </c>
      <c r="P47" s="1613">
        <f t="shared" ca="1" si="84"/>
        <v>0</v>
      </c>
      <c r="Q47" s="1613">
        <f t="shared" ca="1" si="84"/>
        <v>0</v>
      </c>
      <c r="R47" s="1613">
        <f t="shared" ca="1" si="85"/>
        <v>0</v>
      </c>
      <c r="S47" s="1613">
        <f t="shared" ca="1" si="86"/>
        <v>0</v>
      </c>
      <c r="T47" s="1613">
        <f t="shared" ca="1" si="87"/>
        <v>0</v>
      </c>
      <c r="U47" s="1613">
        <f t="shared" ca="1" si="88"/>
        <v>0</v>
      </c>
      <c r="V47" s="1613"/>
      <c r="W47" s="1624">
        <f t="shared" ca="1" si="54"/>
        <v>0</v>
      </c>
      <c r="X47" s="999"/>
      <c r="Y47" s="999"/>
      <c r="Z47" s="1546"/>
      <c r="AA47" s="1532" t="s">
        <v>31</v>
      </c>
      <c r="AB47" s="1534">
        <v>0.31</v>
      </c>
      <c r="AC47" s="1534">
        <v>0.3</v>
      </c>
      <c r="AD47" s="1199">
        <v>7.0917582570967141E-2</v>
      </c>
      <c r="AE47" s="1534">
        <f>AB47</f>
        <v>0.31</v>
      </c>
      <c r="AF47" s="1534"/>
      <c r="AG47" s="1534">
        <f ca="1">AG46/AE46-1</f>
        <v>0.28514535459804269</v>
      </c>
      <c r="AH47" s="1534"/>
      <c r="AI47" s="1534">
        <f ca="1">AI46/AG46-1</f>
        <v>-6.6163259664791751E-2</v>
      </c>
      <c r="AJ47" s="1530"/>
      <c r="AK47" s="3409"/>
      <c r="AL47" s="999"/>
      <c r="AM47" s="999"/>
      <c r="AN47" s="999"/>
      <c r="AO47" s="999"/>
      <c r="AP47" s="999"/>
    </row>
    <row r="48" spans="1:42" ht="18" customHeight="1">
      <c r="A48" s="999"/>
      <c r="B48" s="1001" t="s">
        <v>416</v>
      </c>
      <c r="C48" s="1614" t="str">
        <f>'FS Year'!B144</f>
        <v>Retained Earnings</v>
      </c>
      <c r="D48" s="1606">
        <v>46</v>
      </c>
      <c r="E48" s="1615">
        <f ca="1">OFFSET('FS Year'!$B$1,MATCH(FS!$C48,'FS Year'!$B$2:$B$355,0),MATCH(FS!E$1,'FS Year'!$C$1:$Q$1,0))</f>
        <v>317.840559767</v>
      </c>
      <c r="F48" s="1615">
        <f ca="1">OFFSET('FS Year'!$B$1,MATCH(FS!$C48,'FS Year'!$B$2:$B$355,0),MATCH(FS!F$1,'FS Year'!$C$1:$Q$1,0))</f>
        <v>977.63019580000002</v>
      </c>
      <c r="G48" s="1615">
        <f ca="1">OFFSET('FS Year'!$B$1,MATCH(FS!$C48,'FS Year'!$B$2:$B$355,0),MATCH(FS!G$1,'FS Year'!$C$1:$Q$1,0))</f>
        <v>2261.7633983390001</v>
      </c>
      <c r="H48" s="1615">
        <f ca="1">OFFSET('FS Year'!$B$1,MATCH(FS!$C48,'FS Year'!$B$2:$B$355,0),MATCH(FS!H$1,'FS Year'!$C$1:$Q$1,0))</f>
        <v>2698.5727484590002</v>
      </c>
      <c r="I48" s="1615">
        <f ca="1">OFFSET('FS Year'!$B$1,MATCH(FS!$C48,'FS Year'!$B$2:$B$355,0),MATCH(FS!I$1,'FS Year'!$C$1:$X$1,0))</f>
        <v>3989.6039100550001</v>
      </c>
      <c r="J48" s="1615">
        <f ca="1">OFFSET('FS Year'!$B$1,MATCH(FS!$C48,'FS Year'!$B$2:$B$355,0),MATCH(FS!J$1,'FS Year'!$C$1:$X$1,0))</f>
        <v>7149.6941616020003</v>
      </c>
      <c r="K48" s="1615">
        <f ca="1">OFFSET('FS Year'!$B$1,MATCH(FS!$C48,'FS Year'!$B$2:$B$355,0),MATCH(FS!K$1,'FS Year'!$C$1:$X$1,0))</f>
        <v>10389.683597845</v>
      </c>
      <c r="L48" s="1615">
        <f ca="1">OFFSET('FS Year'!$B$1,MATCH(FS!$C48,'FS Year'!$B$2:$B$355,0),MATCH(FS!L$1,'FS Year'!$C$1:$X$1,0))</f>
        <v>12674.574164064999</v>
      </c>
      <c r="M48" s="1615">
        <f ca="1">OFFSET('FS Year'!$B$1,MATCH(FS!$C48,'FS Year'!$B$2:$B$355,0),MATCH(FS!M$1,'FS Year'!$C$1:$X$1,0))</f>
        <v>8723.93422637</v>
      </c>
      <c r="N48" s="1615">
        <f ca="1">OFFSET('FS Year'!$B$1,MATCH(FS!$C48,'FS Year'!$B$2:$B$355,0),MATCH(FS!N$1,'FS Year'!$C$1:$X$1,0))</f>
        <v>8160.3235955740001</v>
      </c>
      <c r="O48" s="1615">
        <f ca="1">OFFSET('FS Year'!$B$1,MATCH(FS!$C48,'FS Year'!$B$2:$B$355,0),MATCH(FS!O$1,'FS Year'!$C$1:$X$1,0))</f>
        <v>12582.145266842001</v>
      </c>
      <c r="P48" s="1613">
        <f ca="1">P264</f>
        <v>17053.972668913502</v>
      </c>
      <c r="Q48" s="1613">
        <f ca="1">Q264</f>
        <v>24175.904372046454</v>
      </c>
      <c r="R48" s="1613">
        <f t="shared" ref="R48" ca="1" si="89">R264</f>
        <v>33125.281690205084</v>
      </c>
      <c r="S48" s="1613">
        <f t="shared" ref="S48:U48" ca="1" si="90">S264</f>
        <v>43846.509321128957</v>
      </c>
      <c r="T48" s="1613">
        <f t="shared" ca="1" si="90"/>
        <v>56625.80343879365</v>
      </c>
      <c r="U48" s="1613">
        <f t="shared" ca="1" si="90"/>
        <v>71639.802641269314</v>
      </c>
      <c r="V48" s="1613"/>
      <c r="W48" s="1624">
        <f t="shared" ca="1" si="54"/>
        <v>4421.8216712680005</v>
      </c>
      <c r="X48" s="999"/>
      <c r="Y48" s="999"/>
      <c r="Z48" s="1546"/>
      <c r="AA48" s="1547" t="s">
        <v>4</v>
      </c>
      <c r="AB48" s="1366">
        <v>1698</v>
      </c>
      <c r="AC48" s="1366">
        <v>1758</v>
      </c>
      <c r="AD48" s="1551">
        <v>2050</v>
      </c>
      <c r="AE48" s="1366">
        <f>Rev_Year!J107</f>
        <v>1698</v>
      </c>
      <c r="AF48" s="1366"/>
      <c r="AG48" s="1366">
        <f>Rev_Month!CG41</f>
        <v>1770</v>
      </c>
      <c r="AH48" s="1366"/>
      <c r="AI48" s="1366">
        <f>Rev_Month!CS41</f>
        <v>2537</v>
      </c>
      <c r="AJ48" s="1552">
        <f>AI48/AD48-1</f>
        <v>0.23756097560975609</v>
      </c>
      <c r="AK48" s="3409"/>
      <c r="AL48" s="999"/>
      <c r="AM48" s="999"/>
      <c r="AN48" s="999"/>
      <c r="AO48" s="999"/>
      <c r="AP48" s="999"/>
    </row>
    <row r="49" spans="1:52" ht="18" customHeight="1">
      <c r="A49" s="999"/>
      <c r="B49" s="1198"/>
      <c r="C49" s="1614" t="s">
        <v>505</v>
      </c>
      <c r="D49" s="1606">
        <v>47</v>
      </c>
      <c r="E49" s="1615">
        <f ca="1">OFFSET('FS Year'!$B$1,MATCH(FS!$C49,'FS Year'!$B$2:$B$355,0),MATCH(FS!E$1,'FS Year'!$C$1:$Q$1,0))</f>
        <v>-0.30039450000000001</v>
      </c>
      <c r="F49" s="1615">
        <f ca="1">OFFSET('FS Year'!$B$1,MATCH(FS!$C49,'FS Year'!$B$2:$B$355,0),MATCH(FS!F$1,'FS Year'!$C$1:$Q$1,0))</f>
        <v>-2.4542945</v>
      </c>
      <c r="G49" s="1615">
        <f ca="1">OFFSET('FS Year'!$B$1,MATCH(FS!$C49,'FS Year'!$B$2:$B$355,0),MATCH(FS!G$1,'FS Year'!$C$1:$Q$1,0))</f>
        <v>-7.9164499999999999E-2</v>
      </c>
      <c r="H49" s="1615">
        <f ca="1">OFFSET('FS Year'!$B$1,MATCH(FS!$C49,'FS Year'!$B$2:$B$355,0),MATCH(FS!H$1,'FS Year'!$C$1:$Q$1,0))</f>
        <v>-7.9164499999999999E-2</v>
      </c>
      <c r="I49" s="1615">
        <f ca="1">OFFSET('FS Year'!$B$1,MATCH(FS!$C49,'FS Year'!$B$2:$B$355,0),MATCH(FS!I$1,'FS Year'!$C$1:$X$1,0))</f>
        <v>-0.80886449999999999</v>
      </c>
      <c r="J49" s="1615">
        <f ca="1">OFFSET('FS Year'!$B$1,MATCH(FS!$C49,'FS Year'!$B$2:$B$355,0),MATCH(FS!J$1,'FS Year'!$C$1:$X$1,0))</f>
        <v>-5.6589245000000004</v>
      </c>
      <c r="K49" s="1615">
        <f ca="1">OFFSET('FS Year'!$B$1,MATCH(FS!$C49,'FS Year'!$B$2:$B$355,0),MATCH(FS!K$1,'FS Year'!$C$1:$X$1,0))</f>
        <v>-6.0409300000000004</v>
      </c>
      <c r="L49" s="1615">
        <f ca="1">OFFSET('FS Year'!$B$1,MATCH(FS!$C49,'FS Year'!$B$2:$B$355,0),MATCH(FS!L$1,'FS Year'!$C$1:$X$1,0))</f>
        <v>-2.3199999999999998</v>
      </c>
      <c r="M49" s="1615">
        <f ca="1">OFFSET('FS Year'!$B$1,MATCH(FS!$C49,'FS Year'!$B$2:$B$355,0),MATCH(FS!M$1,'FS Year'!$C$1:$X$1,0))</f>
        <v>-5.0256400000000001</v>
      </c>
      <c r="N49" s="1615">
        <f ca="1">OFFSET('FS Year'!$B$1,MATCH(FS!$C49,'FS Year'!$B$2:$B$355,0),MATCH(FS!N$1,'FS Year'!$C$1:$X$1,0))</f>
        <v>-9.7832799999999995</v>
      </c>
      <c r="O49" s="1615">
        <f ca="1">OFFSET('FS Year'!$B$1,MATCH(FS!$C49,'FS Year'!$B$2:$B$355,0),MATCH(FS!O$1,'FS Year'!$C$1:$X$1,0))</f>
        <v>-7.5996800000000002</v>
      </c>
      <c r="P49" s="1613">
        <f ca="1">O49-4.76446-100</f>
        <v>-112.36413999999999</v>
      </c>
      <c r="Q49" s="1613">
        <f ca="1">P49</f>
        <v>-112.36413999999999</v>
      </c>
      <c r="R49" s="1613">
        <f t="shared" ref="R49" ca="1" si="91">Q49</f>
        <v>-112.36413999999999</v>
      </c>
      <c r="S49" s="1613">
        <f t="shared" ref="S49:U49" ca="1" si="92">R49</f>
        <v>-112.36413999999999</v>
      </c>
      <c r="T49" s="1613">
        <f t="shared" ca="1" si="92"/>
        <v>-112.36413999999999</v>
      </c>
      <c r="U49" s="1613">
        <f t="shared" ca="1" si="92"/>
        <v>-112.36413999999999</v>
      </c>
      <c r="V49" s="1613"/>
      <c r="W49" s="1624">
        <f t="shared" ca="1" si="54"/>
        <v>2.1835999999999993</v>
      </c>
      <c r="X49" s="999"/>
      <c r="Y49" s="999"/>
      <c r="Z49" s="1546"/>
      <c r="AA49" s="1547" t="s">
        <v>506</v>
      </c>
      <c r="AB49" s="1553">
        <v>-0.02</v>
      </c>
      <c r="AC49" s="1553">
        <v>0.04</v>
      </c>
      <c r="AD49" s="1188">
        <v>0.15819209039548032</v>
      </c>
      <c r="AE49" s="1553">
        <f>AE48/Rev_Year!I107-1</f>
        <v>-1.736111111111116E-2</v>
      </c>
      <c r="AF49" s="1553"/>
      <c r="AG49" s="1553">
        <f>AG48/Rev_Year!J107-1</f>
        <v>4.2402826855123754E-2</v>
      </c>
      <c r="AH49" s="1553"/>
      <c r="AI49" s="1553">
        <f>AI48/Rev_Year!K107-1</f>
        <v>0.43333333333333335</v>
      </c>
      <c r="AJ49" s="1530"/>
      <c r="AK49" s="3409"/>
      <c r="AL49" s="999"/>
      <c r="AM49" s="999"/>
      <c r="AN49" s="999"/>
      <c r="AO49" s="999"/>
      <c r="AP49" s="999"/>
    </row>
    <row r="50" spans="1:52" ht="18" customHeight="1">
      <c r="A50" s="999"/>
      <c r="B50" s="1001" t="s">
        <v>507</v>
      </c>
      <c r="C50" s="1614" t="s">
        <v>508</v>
      </c>
      <c r="D50" s="1606">
        <v>48</v>
      </c>
      <c r="E50" s="1615">
        <f ca="1">OFFSET('FS Year'!$B$1,MATCH(FS!$C50,'FS Year'!$B$2:$B$355,0),MATCH(FS!E$1,'FS Year'!$C$1:$Q$1,0))</f>
        <v>0</v>
      </c>
      <c r="F50" s="1615">
        <f ca="1">OFFSET('FS Year'!$B$1,MATCH(FS!$C50,'FS Year'!$B$2:$B$355,0),MATCH(FS!F$1,'FS Year'!$C$1:$Q$1,0))</f>
        <v>0</v>
      </c>
      <c r="G50" s="1615">
        <f ca="1">OFFSET('FS Year'!$B$1,MATCH(FS!$C50,'FS Year'!$B$2:$B$355,0),MATCH(FS!G$1,'FS Year'!$C$1:$Q$1,0))</f>
        <v>0</v>
      </c>
      <c r="H50" s="1615">
        <f ca="1">OFFSET('FS Year'!$B$1,MATCH(FS!$C50,'FS Year'!$B$2:$B$355,0),MATCH(FS!H$1,'FS Year'!$C$1:$Q$1,0))</f>
        <v>0</v>
      </c>
      <c r="I50" s="1615">
        <f ca="1">OFFSET('FS Year'!$B$1,MATCH(FS!$C50,'FS Year'!$B$2:$B$355,0),MATCH(FS!I$1,'FS Year'!$C$1:$X$1,0))</f>
        <v>0</v>
      </c>
      <c r="J50" s="1615">
        <f ca="1">OFFSET('FS Year'!$B$1,MATCH(FS!$C50,'FS Year'!$B$2:$B$355,0),MATCH(FS!J$1,'FS Year'!$C$1:$X$1,0))</f>
        <v>0</v>
      </c>
      <c r="K50" s="1615">
        <f ca="1">OFFSET('FS Year'!$B$1,MATCH(FS!$C50,'FS Year'!$B$2:$B$355,0),MATCH(FS!K$1,'FS Year'!$C$1:$X$1,0))</f>
        <v>0</v>
      </c>
      <c r="L50" s="1615">
        <f ca="1">OFFSET('FS Year'!$B$1,MATCH(FS!$C50,'FS Year'!$B$2:$B$355,0),MATCH(FS!L$1,'FS Year'!$C$1:$X$1,0))</f>
        <v>0</v>
      </c>
      <c r="M50" s="1615">
        <f ca="1">OFFSET('FS Year'!$B$1,MATCH(FS!$C50,'FS Year'!$B$2:$B$355,0),MATCH(FS!M$1,'FS Year'!$C$1:$X$1,0))</f>
        <v>0</v>
      </c>
      <c r="N50" s="1615">
        <f ca="1">OFFSET('FS Year'!$B$1,MATCH(FS!$C50,'FS Year'!$B$2:$B$355,0),MATCH(FS!N$1,'FS Year'!$C$1:$X$1,0))</f>
        <v>0</v>
      </c>
      <c r="O50" s="1615">
        <f ca="1">OFFSET('FS Year'!$B$1,MATCH(FS!$C50,'FS Year'!$B$2:$B$355,0),MATCH(FS!O$1,'FS Year'!$C$1:$X$1,0))</f>
        <v>0</v>
      </c>
      <c r="P50" s="1613">
        <f ca="1">O50+P89</f>
        <v>0</v>
      </c>
      <c r="Q50" s="1613">
        <f ca="1">P50+Q89</f>
        <v>0</v>
      </c>
      <c r="R50" s="1613">
        <f t="shared" ref="R50" ca="1" si="93">Q50+R89</f>
        <v>0</v>
      </c>
      <c r="S50" s="1613">
        <f t="shared" ref="S50:U50" ca="1" si="94">R50+S89</f>
        <v>0</v>
      </c>
      <c r="T50" s="1613">
        <f t="shared" ca="1" si="94"/>
        <v>0</v>
      </c>
      <c r="U50" s="1613">
        <f t="shared" ca="1" si="94"/>
        <v>0</v>
      </c>
      <c r="V50" s="1613"/>
      <c r="W50" s="1624">
        <f t="shared" ca="1" si="54"/>
        <v>0</v>
      </c>
      <c r="X50" s="999"/>
      <c r="Y50" s="999"/>
      <c r="Z50" s="1554"/>
      <c r="AA50" s="1541" t="s">
        <v>501</v>
      </c>
      <c r="AB50" s="1555">
        <v>-0.03</v>
      </c>
      <c r="AC50" s="1555">
        <v>8.0000000000000002E-3</v>
      </c>
      <c r="AD50" s="1555">
        <v>2.4649534515306666E-2</v>
      </c>
      <c r="AE50" s="1544">
        <f ca="1">Rev_Year!J125</f>
        <v>-3.1233097601197655E-2</v>
      </c>
      <c r="AF50" s="1544"/>
      <c r="AG50" s="1556">
        <f ca="1">Rev_Year!K122/Rev_Year!K102</f>
        <v>7.2276401184303025E-3</v>
      </c>
      <c r="AH50" s="1556"/>
      <c r="AI50" s="1556">
        <f ca="1">Rev_Year!L122/Rev_Year!L102</f>
        <v>1.9643802084335724E-2</v>
      </c>
      <c r="AJ50" s="1545">
        <f ca="1">AI50-AD50</f>
        <v>-5.0057324309709418E-3</v>
      </c>
      <c r="AK50" s="3410"/>
      <c r="AL50" s="999"/>
      <c r="AM50" s="999"/>
      <c r="AN50" s="999"/>
      <c r="AO50" s="999"/>
      <c r="AP50" s="999"/>
    </row>
    <row r="51" spans="1:52">
      <c r="A51" s="999"/>
      <c r="B51" s="1198"/>
      <c r="C51" s="1614" t="s">
        <v>509</v>
      </c>
      <c r="D51" s="1606">
        <v>49</v>
      </c>
      <c r="E51" s="1615">
        <f ca="1">OFFSET('FS Year'!$B$1,MATCH(FS!$C51,'FS Year'!$B$2:$B$355,0),MATCH(FS!E$1,'FS Year'!$C$1:$Q$1,0))</f>
        <v>0</v>
      </c>
      <c r="F51" s="1615">
        <f ca="1">OFFSET('FS Year'!$B$1,MATCH(FS!$C51,'FS Year'!$B$2:$B$355,0),MATCH(FS!F$1,'FS Year'!$C$1:$Q$1,0))</f>
        <v>0</v>
      </c>
      <c r="G51" s="1615">
        <f ca="1">OFFSET('FS Year'!$B$1,MATCH(FS!$C51,'FS Year'!$B$2:$B$355,0),MATCH(FS!G$1,'FS Year'!$C$1:$Q$1,0))</f>
        <v>0</v>
      </c>
      <c r="H51" s="1615">
        <f ca="1">OFFSET('FS Year'!$B$1,MATCH(FS!$C51,'FS Year'!$B$2:$B$355,0),MATCH(FS!H$1,'FS Year'!$C$1:$Q$1,0))</f>
        <v>0</v>
      </c>
      <c r="I51" s="1615">
        <f ca="1">OFFSET('FS Year'!$B$1,MATCH(FS!$C51,'FS Year'!$B$2:$B$355,0),MATCH(FS!I$1,'FS Year'!$C$1:$X$1,0))</f>
        <v>0</v>
      </c>
      <c r="J51" s="1615">
        <f ca="1">OFFSET('FS Year'!$B$1,MATCH(FS!$C51,'FS Year'!$B$2:$B$355,0),MATCH(FS!J$1,'FS Year'!$C$1:$X$1,0))</f>
        <v>0</v>
      </c>
      <c r="K51" s="1615">
        <f ca="1">OFFSET('FS Year'!$B$1,MATCH(FS!$C51,'FS Year'!$B$2:$B$355,0),MATCH(FS!K$1,'FS Year'!$C$1:$X$1,0))</f>
        <v>0</v>
      </c>
      <c r="L51" s="1615">
        <f ca="1">OFFSET('FS Year'!$B$1,MATCH(FS!$C51,'FS Year'!$B$2:$B$355,0),MATCH(FS!L$1,'FS Year'!$C$1:$X$1,0))</f>
        <v>0</v>
      </c>
      <c r="M51" s="1615">
        <f ca="1">OFFSET('FS Year'!$B$1,MATCH(FS!$C51,'FS Year'!$B$2:$B$355,0),MATCH(FS!M$1,'FS Year'!$C$1:$X$1,0))</f>
        <v>0</v>
      </c>
      <c r="N51" s="1615">
        <f ca="1">OFFSET('FS Year'!$B$1,MATCH(FS!$C51,'FS Year'!$B$2:$B$355,0),MATCH(FS!N$1,'FS Year'!$C$1:$X$1,0))</f>
        <v>0</v>
      </c>
      <c r="O51" s="1615">
        <f ca="1">OFFSET('FS Year'!$B$1,MATCH(FS!$C51,'FS Year'!$B$2:$B$355,0),MATCH(FS!O$1,'FS Year'!$C$1:$X$1,0))</f>
        <v>0</v>
      </c>
      <c r="P51" s="1613">
        <f ca="1">O51</f>
        <v>0</v>
      </c>
      <c r="Q51" s="1613">
        <f ca="1">P51</f>
        <v>0</v>
      </c>
      <c r="R51" s="1613">
        <f t="shared" ref="R51:R52" ca="1" si="95">Q51</f>
        <v>0</v>
      </c>
      <c r="S51" s="1613">
        <f t="shared" ref="S51:U51" ca="1" si="96">R51</f>
        <v>0</v>
      </c>
      <c r="T51" s="1613">
        <f t="shared" ca="1" si="96"/>
        <v>0</v>
      </c>
      <c r="U51" s="1613">
        <f t="shared" ca="1" si="96"/>
        <v>0</v>
      </c>
      <c r="V51" s="1613"/>
      <c r="W51" s="1624">
        <f t="shared" ca="1" si="54"/>
        <v>0</v>
      </c>
      <c r="X51" s="999"/>
      <c r="Y51" s="999"/>
      <c r="Z51" s="999"/>
      <c r="AA51" s="999"/>
      <c r="AB51" s="999"/>
      <c r="AC51" s="1194"/>
      <c r="AD51" s="1189"/>
      <c r="AE51" s="1189"/>
      <c r="AF51" s="1189"/>
      <c r="AG51" s="1259"/>
      <c r="AH51" s="1259"/>
      <c r="AI51" s="1259"/>
      <c r="AJ51" s="999"/>
      <c r="AK51" s="1557"/>
      <c r="AL51" s="1558"/>
      <c r="AM51" s="1558"/>
      <c r="AN51" s="999"/>
      <c r="AO51" s="999"/>
      <c r="AP51" s="999"/>
      <c r="AZ51">
        <f ca="1">SUM(Rev_Year!BA51:BD51)+AZ51</f>
        <v>386032604.59358376</v>
      </c>
    </row>
    <row r="52" spans="1:52">
      <c r="A52" s="999"/>
      <c r="B52" s="1198"/>
      <c r="C52" s="1614" t="s">
        <v>510</v>
      </c>
      <c r="D52" s="1606">
        <v>50</v>
      </c>
      <c r="E52" s="1615">
        <f ca="1">OFFSET('FS Year'!$B$1,MATCH(FS!$C52,'FS Year'!$B$2:$B$355,0),MATCH(FS!E$1,'FS Year'!$C$1:$Q$1,0))</f>
        <v>0</v>
      </c>
      <c r="F52" s="1615">
        <f ca="1">OFFSET('FS Year'!$B$1,MATCH(FS!$C52,'FS Year'!$B$2:$B$355,0),MATCH(FS!F$1,'FS Year'!$C$1:$Q$1,0))</f>
        <v>0</v>
      </c>
      <c r="G52" s="1615">
        <f ca="1">OFFSET('FS Year'!$B$1,MATCH(FS!$C52,'FS Year'!$B$2:$B$355,0),MATCH(FS!G$1,'FS Year'!$C$1:$Q$1,0))</f>
        <v>0</v>
      </c>
      <c r="H52" s="1615">
        <f ca="1">OFFSET('FS Year'!$B$1,MATCH(FS!$C52,'FS Year'!$B$2:$B$355,0),MATCH(FS!H$1,'FS Year'!$C$1:$Q$1,0))</f>
        <v>-8.6063365000000003E-2</v>
      </c>
      <c r="I52" s="1615">
        <f ca="1">OFFSET('FS Year'!$B$1,MATCH(FS!$C52,'FS Year'!$B$2:$B$355,0),MATCH(FS!I$1,'FS Year'!$C$1:$X$1,0))</f>
        <v>0.446572898</v>
      </c>
      <c r="J52" s="1615">
        <f ca="1">OFFSET('FS Year'!$B$1,MATCH(FS!$C52,'FS Year'!$B$2:$B$355,0),MATCH(FS!J$1,'FS Year'!$C$1:$X$1,0))</f>
        <v>-2.8377933000000001E-2</v>
      </c>
      <c r="K52" s="1615">
        <f ca="1">OFFSET('FS Year'!$B$1,MATCH(FS!$C52,'FS Year'!$B$2:$B$355,0),MATCH(FS!K$1,'FS Year'!$C$1:$X$1,0))</f>
        <v>-1.443756225</v>
      </c>
      <c r="L52" s="1615">
        <f ca="1">OFFSET('FS Year'!$B$1,MATCH(FS!$C52,'FS Year'!$B$2:$B$355,0),MATCH(FS!L$1,'FS Year'!$C$1:$X$1,0))</f>
        <v>5.3884252989999997</v>
      </c>
      <c r="M52" s="1615">
        <f ca="1">OFFSET('FS Year'!$B$1,MATCH(FS!$C52,'FS Year'!$B$2:$B$355,0),MATCH(FS!M$1,'FS Year'!$C$1:$X$1,0))</f>
        <v>2.2616030899999999</v>
      </c>
      <c r="N52" s="1615">
        <f ca="1">OFFSET('FS Year'!$B$1,MATCH(FS!$C52,'FS Year'!$B$2:$B$355,0),MATCH(FS!N$1,'FS Year'!$C$1:$X$1,0))</f>
        <v>3.7390303060000001</v>
      </c>
      <c r="O52" s="1615">
        <f ca="1">OFFSET('FS Year'!$B$1,MATCH(FS!$C52,'FS Year'!$B$2:$B$355,0),MATCH(FS!O$1,'FS Year'!$C$1:$X$1,0))</f>
        <v>2.4583846290000002</v>
      </c>
      <c r="P52" s="1613">
        <f ca="1">O52</f>
        <v>2.4583846290000002</v>
      </c>
      <c r="Q52" s="1613">
        <f t="shared" ref="Q52" ca="1" si="97">P52</f>
        <v>2.4583846290000002</v>
      </c>
      <c r="R52" s="1613">
        <f t="shared" ca="1" si="95"/>
        <v>2.4583846290000002</v>
      </c>
      <c r="S52" s="1613">
        <f t="shared" ref="S52:U52" ca="1" si="98">R52</f>
        <v>2.4583846290000002</v>
      </c>
      <c r="T52" s="1613">
        <f t="shared" ca="1" si="98"/>
        <v>2.4583846290000002</v>
      </c>
      <c r="U52" s="1613">
        <f t="shared" ca="1" si="98"/>
        <v>2.4583846290000002</v>
      </c>
      <c r="V52" s="1613"/>
      <c r="W52" s="1624">
        <f t="shared" ca="1" si="54"/>
        <v>-1.2806456769999999</v>
      </c>
      <c r="X52" s="999"/>
      <c r="Y52" s="999"/>
      <c r="Z52" s="999"/>
      <c r="AA52" s="999"/>
      <c r="AB52" s="999"/>
      <c r="AC52" s="1189"/>
      <c r="AD52" s="1189"/>
      <c r="AE52" s="1189"/>
      <c r="AF52" s="1189"/>
      <c r="AG52" s="1189"/>
      <c r="AH52" s="1189"/>
      <c r="AI52" s="1189"/>
      <c r="AJ52" s="999"/>
      <c r="AK52" s="1557"/>
      <c r="AL52" s="1559"/>
      <c r="AM52" s="1559"/>
      <c r="AN52" s="999"/>
      <c r="AO52" s="999"/>
      <c r="AP52" s="999"/>
    </row>
    <row r="53" spans="1:52">
      <c r="A53" s="999"/>
      <c r="B53" s="1198"/>
      <c r="C53" s="1614" t="s">
        <v>511</v>
      </c>
      <c r="D53" s="1606">
        <v>51</v>
      </c>
      <c r="E53" s="1615">
        <f ca="1">OFFSET('FS Year'!$B$1,MATCH(FS!$C53,'FS Year'!$B$2:$B$355,0),MATCH(FS!E$1,'FS Year'!$C$1:$Q$1,0))</f>
        <v>0</v>
      </c>
      <c r="F53" s="1615">
        <f ca="1">OFFSET('FS Year'!$B$1,MATCH(FS!$C53,'FS Year'!$B$2:$B$355,0),MATCH(FS!F$1,'FS Year'!$C$1:$Q$1,0))</f>
        <v>0</v>
      </c>
      <c r="G53" s="1615">
        <f ca="1">OFFSET('FS Year'!$B$1,MATCH(FS!$C53,'FS Year'!$B$2:$B$355,0),MATCH(FS!G$1,'FS Year'!$C$1:$Q$1,0))</f>
        <v>0</v>
      </c>
      <c r="H53" s="1615">
        <f ca="1">OFFSET('FS Year'!$B$1,MATCH(FS!$C53,'FS Year'!$B$2:$B$355,0),MATCH(FS!H$1,'FS Year'!$C$1:$Q$1,0))</f>
        <v>0</v>
      </c>
      <c r="I53" s="1615">
        <f ca="1">OFFSET('FS Year'!$B$1,MATCH(FS!$C53,'FS Year'!$B$2:$B$355,0),MATCH(FS!I$1,'FS Year'!$C$1:$X$1,0))</f>
        <v>0</v>
      </c>
      <c r="J53" s="1615">
        <f ca="1">OFFSET('FS Year'!$B$1,MATCH(FS!$C53,'FS Year'!$B$2:$B$355,0),MATCH(FS!J$1,'FS Year'!$C$1:$X$1,0))</f>
        <v>0</v>
      </c>
      <c r="K53" s="1615">
        <f ca="1">OFFSET('FS Year'!$B$1,MATCH(FS!$C53,'FS Year'!$B$2:$B$355,0),MATCH(FS!K$1,'FS Year'!$C$1:$X$1,0))</f>
        <v>0</v>
      </c>
      <c r="L53" s="1615">
        <f ca="1">OFFSET('FS Year'!$B$1,MATCH(FS!$C53,'FS Year'!$B$2:$B$355,0),MATCH(FS!L$1,'FS Year'!$C$1:$X$1,0))</f>
        <v>0</v>
      </c>
      <c r="M53" s="1615">
        <f ca="1">OFFSET('FS Year'!$B$1,MATCH(FS!$C53,'FS Year'!$B$2:$B$355,0),MATCH(FS!M$1,'FS Year'!$C$1:$X$1,0))</f>
        <v>0</v>
      </c>
      <c r="N53" s="1615">
        <f ca="1">OFFSET('FS Year'!$B$1,MATCH(FS!$C53,'FS Year'!$B$2:$B$355,0),MATCH(FS!N$1,'FS Year'!$C$1:$X$1,0))</f>
        <v>0</v>
      </c>
      <c r="O53" s="1615">
        <f ca="1">OFFSET('FS Year'!$B$1,MATCH(FS!$C53,'FS Year'!$B$2:$B$355,0),MATCH(FS!O$1,'FS Year'!$C$1:$X$1,0))</f>
        <v>0</v>
      </c>
      <c r="P53" s="1613">
        <v>0</v>
      </c>
      <c r="Q53" s="1613">
        <v>0</v>
      </c>
      <c r="R53" s="1613">
        <v>0</v>
      </c>
      <c r="S53" s="1613">
        <v>1</v>
      </c>
      <c r="T53" s="1613">
        <v>2</v>
      </c>
      <c r="U53" s="1613">
        <v>3</v>
      </c>
      <c r="V53" s="1613"/>
      <c r="W53" s="1624">
        <f t="shared" ca="1" si="54"/>
        <v>0</v>
      </c>
      <c r="X53" s="999"/>
      <c r="Y53" s="999"/>
      <c r="Z53" s="999"/>
      <c r="AA53" s="999">
        <f>1854-1770</f>
        <v>84</v>
      </c>
      <c r="AB53" s="999"/>
      <c r="AC53" s="1189"/>
      <c r="AD53" s="1189">
        <f>AA53/250</f>
        <v>0.33600000000000002</v>
      </c>
      <c r="AE53" s="1189"/>
      <c r="AF53" s="1189"/>
      <c r="AG53" s="1189"/>
      <c r="AH53" s="1189"/>
      <c r="AI53" s="1189"/>
      <c r="AJ53" s="999"/>
      <c r="AK53" s="1557"/>
      <c r="AL53" s="1558"/>
      <c r="AM53" s="1558"/>
      <c r="AN53" s="999"/>
      <c r="AO53" s="999"/>
      <c r="AP53" s="999"/>
    </row>
    <row r="54" spans="1:52">
      <c r="A54" s="999"/>
      <c r="B54" s="1198"/>
      <c r="C54" s="1614" t="str">
        <f>'FS Year'!B140</f>
        <v>Investment And Development Funds</v>
      </c>
      <c r="D54" s="1606">
        <v>52</v>
      </c>
      <c r="E54" s="1615">
        <f ca="1">OFFSET('FS Year'!$B$1,MATCH(FS!$C54,'FS Year'!$B$2:$B$355,0),MATCH(FS!E$1,'FS Year'!$C$1:$Q$1,0))</f>
        <v>0</v>
      </c>
      <c r="F54" s="1615">
        <f ca="1">OFFSET('FS Year'!$B$1,MATCH(FS!$C54,'FS Year'!$B$2:$B$355,0),MATCH(FS!F$1,'FS Year'!$C$1:$Q$1,0))</f>
        <v>0</v>
      </c>
      <c r="G54" s="1615">
        <f ca="1">OFFSET('FS Year'!$B$1,MATCH(FS!$C54,'FS Year'!$B$2:$B$355,0),MATCH(FS!G$1,'FS Year'!$C$1:$Q$1,0))</f>
        <v>0</v>
      </c>
      <c r="H54" s="1615">
        <f ca="1">OFFSET('FS Year'!$B$1,MATCH(FS!$C54,'FS Year'!$B$2:$B$355,0),MATCH(FS!H$1,'FS Year'!$C$1:$Q$1,0))</f>
        <v>0</v>
      </c>
      <c r="I54" s="1615">
        <f ca="1">OFFSET('FS Year'!$B$1,MATCH(FS!$C54,'FS Year'!$B$2:$B$355,0),MATCH(FS!I$1,'FS Year'!$C$1:$X$1,0))</f>
        <v>0</v>
      </c>
      <c r="J54" s="1615">
        <f ca="1">OFFSET('FS Year'!$B$1,MATCH(FS!$C54,'FS Year'!$B$2:$B$355,0),MATCH(FS!J$1,'FS Year'!$C$1:$X$1,0))</f>
        <v>0</v>
      </c>
      <c r="K54" s="1615">
        <f ca="1">OFFSET('FS Year'!$B$1,MATCH(FS!$C54,'FS Year'!$B$2:$B$355,0),MATCH(FS!K$1,'FS Year'!$C$1:$X$1,0))</f>
        <v>0</v>
      </c>
      <c r="L54" s="1615">
        <f ca="1">OFFSET('FS Year'!$B$1,MATCH(FS!$C54,'FS Year'!$B$2:$B$355,0),MATCH(FS!L$1,'FS Year'!$C$1:$X$1,0))</f>
        <v>0</v>
      </c>
      <c r="M54" s="1615">
        <f ca="1">OFFSET('FS Year'!$B$1,MATCH(FS!$C54,'FS Year'!$B$2:$B$355,0),MATCH(FS!M$1,'FS Year'!$C$1:$X$1,0))</f>
        <v>0</v>
      </c>
      <c r="N54" s="1615">
        <f ca="1">OFFSET('FS Year'!$B$1,MATCH(FS!$C54,'FS Year'!$B$2:$B$355,0),MATCH(FS!N$1,'FS Year'!$C$1:$X$1,0))</f>
        <v>0</v>
      </c>
      <c r="O54" s="1615">
        <f ca="1">OFFSET('FS Year'!$B$1,MATCH(FS!$C54,'FS Year'!$B$2:$B$355,0),MATCH(FS!O$1,'FS Year'!$C$1:$X$1,0))</f>
        <v>0</v>
      </c>
      <c r="P54" s="1613">
        <f t="shared" ref="P54:Q54" ca="1" si="99">O54</f>
        <v>0</v>
      </c>
      <c r="Q54" s="1613">
        <f t="shared" ca="1" si="99"/>
        <v>0</v>
      </c>
      <c r="R54" s="1613">
        <f t="shared" ref="R54" ca="1" si="100">Q54</f>
        <v>0</v>
      </c>
      <c r="S54" s="1613">
        <f t="shared" ref="S54" ca="1" si="101">R54</f>
        <v>0</v>
      </c>
      <c r="T54" s="1613">
        <f t="shared" ref="T54" ca="1" si="102">S54</f>
        <v>0</v>
      </c>
      <c r="U54" s="1613">
        <f t="shared" ref="U54" ca="1" si="103">T54</f>
        <v>0</v>
      </c>
      <c r="V54" s="1613"/>
      <c r="W54" s="1624">
        <f t="shared" ca="1" si="54"/>
        <v>0</v>
      </c>
      <c r="X54" s="999"/>
      <c r="Y54" s="999"/>
      <c r="Z54" s="999"/>
      <c r="AA54" s="999"/>
      <c r="AB54" s="999"/>
      <c r="AC54" s="1189"/>
      <c r="AD54" s="1189"/>
      <c r="AE54" s="1189">
        <f>94-87</f>
        <v>7</v>
      </c>
      <c r="AF54" s="1189"/>
      <c r="AG54" s="1189"/>
      <c r="AH54" s="1189"/>
      <c r="AI54" s="1189"/>
      <c r="AJ54" s="999"/>
      <c r="AK54" s="1560"/>
      <c r="AL54" s="1561"/>
      <c r="AM54" s="1561"/>
      <c r="AN54" s="999"/>
      <c r="AO54" s="999"/>
      <c r="AP54" s="999"/>
    </row>
    <row r="55" spans="1:52">
      <c r="A55" s="999"/>
      <c r="B55" s="1001" t="s">
        <v>419</v>
      </c>
      <c r="C55" s="1000" t="s">
        <v>512</v>
      </c>
      <c r="D55" s="1606">
        <v>53</v>
      </c>
      <c r="E55" s="1615"/>
      <c r="F55" s="1632"/>
      <c r="G55" s="1632"/>
      <c r="H55" s="1632"/>
      <c r="I55" s="1632"/>
      <c r="J55" s="1616">
        <f t="shared" ref="J55" si="104">I55</f>
        <v>0</v>
      </c>
      <c r="K55" s="1616">
        <f>'FS Year'!S147</f>
        <v>9.2806338260000008</v>
      </c>
      <c r="L55" s="1616">
        <f>'FS Year'!T147</f>
        <v>11.838029496000001</v>
      </c>
      <c r="M55" s="1616">
        <f>'FS Year'!U147</f>
        <v>14.508097129999999</v>
      </c>
      <c r="N55" s="1616">
        <f>'FS Year'!V147</f>
        <v>13.401030472</v>
      </c>
      <c r="O55" s="1616">
        <f>'FS Year'!W147</f>
        <v>364.02065139799998</v>
      </c>
      <c r="P55" s="1613">
        <f ca="1">O55+FS!P103</f>
        <v>403.6719786070222</v>
      </c>
      <c r="Q55" s="1613">
        <f ca="1">P55+FS!Q103</f>
        <v>490.73553728778666</v>
      </c>
      <c r="R55" s="1613">
        <f ca="1">Q55+FS!R103</f>
        <v>617.67264825737425</v>
      </c>
      <c r="S55" s="1613">
        <f ca="1">R55+FS!S103</f>
        <v>763.14581757094777</v>
      </c>
      <c r="T55" s="1613">
        <f ca="1">S55+FS!T103</f>
        <v>951.84052610910771</v>
      </c>
      <c r="U55" s="1613">
        <f ca="1">T55+FS!U103</f>
        <v>1187.594734855769</v>
      </c>
      <c r="V55" s="1613"/>
      <c r="W55" s="1624">
        <f t="shared" si="54"/>
        <v>350.61962092599998</v>
      </c>
      <c r="X55" s="999"/>
      <c r="Y55" s="999"/>
      <c r="Z55" s="999"/>
      <c r="AA55" s="999"/>
      <c r="AB55" s="999"/>
      <c r="AC55" s="1189"/>
      <c r="AD55" s="1189"/>
      <c r="AE55" s="1189">
        <f>150-87</f>
        <v>63</v>
      </c>
      <c r="AF55" s="1189"/>
      <c r="AG55" s="1189"/>
      <c r="AH55" s="1189"/>
      <c r="AI55" s="1189"/>
      <c r="AJ55" s="999"/>
      <c r="AK55" s="999"/>
      <c r="AL55" s="999"/>
      <c r="AM55" s="999"/>
      <c r="AN55" s="999"/>
      <c r="AO55" s="999"/>
      <c r="AP55" s="999"/>
    </row>
    <row r="56" spans="1:52">
      <c r="A56" s="999"/>
      <c r="B56" s="1198"/>
      <c r="C56" s="999"/>
      <c r="D56" s="1606">
        <v>54</v>
      </c>
      <c r="E56" s="1609"/>
      <c r="F56" s="1609"/>
      <c r="G56" s="1609"/>
      <c r="H56" s="1609"/>
      <c r="I56" s="1609"/>
      <c r="J56" s="1633"/>
      <c r="K56" s="1609"/>
      <c r="L56" s="1609"/>
      <c r="M56" s="1609"/>
      <c r="N56" s="1609"/>
      <c r="O56" s="1609"/>
      <c r="P56" s="1634"/>
      <c r="Q56" s="1634"/>
      <c r="R56" s="1634"/>
      <c r="S56" s="1634"/>
      <c r="T56" s="1634"/>
      <c r="U56" s="1634"/>
      <c r="V56" s="1634"/>
      <c r="W56" s="1624">
        <f t="shared" si="54"/>
        <v>0</v>
      </c>
      <c r="X56" s="999"/>
      <c r="Y56" s="999"/>
      <c r="Z56" s="999"/>
      <c r="AA56" s="999" t="s">
        <v>513</v>
      </c>
      <c r="AB56" s="999" t="e">
        <f>#REF!/#REF!</f>
        <v>#REF!</v>
      </c>
      <c r="AC56" s="1189" t="e">
        <f>#REF!/#REF!</f>
        <v>#REF!</v>
      </c>
      <c r="AD56" s="1189">
        <f ca="1">AB61/AB67</f>
        <v>0.77699997402326992</v>
      </c>
      <c r="AE56" s="1189">
        <f>AE54/AE55</f>
        <v>0.1111111111111111</v>
      </c>
      <c r="AF56" s="1189"/>
      <c r="AG56" s="1189"/>
      <c r="AH56" s="1189"/>
      <c r="AI56" s="1189"/>
      <c r="AJ56" s="999"/>
      <c r="AK56" s="999"/>
      <c r="AL56" s="999"/>
      <c r="AM56" s="999"/>
      <c r="AN56" s="999"/>
      <c r="AO56" s="999"/>
      <c r="AP56" s="999"/>
    </row>
    <row r="57" spans="1:52">
      <c r="A57" s="999"/>
      <c r="B57" s="1198"/>
      <c r="C57" s="1621" t="s">
        <v>514</v>
      </c>
      <c r="D57" s="1606">
        <v>55</v>
      </c>
      <c r="E57" s="1633">
        <f t="shared" ref="E57:P57" ca="1" si="105">E3-E23</f>
        <v>9.0530168739996952</v>
      </c>
      <c r="F57" s="1633">
        <f t="shared" ca="1" si="105"/>
        <v>1.6388546559992392</v>
      </c>
      <c r="G57" s="1633">
        <f t="shared" ca="1" si="105"/>
        <v>2.3160301539992361</v>
      </c>
      <c r="H57" s="1633">
        <f t="shared" ca="1" si="105"/>
        <v>2.7762522509983683</v>
      </c>
      <c r="I57" s="1633">
        <f t="shared" ca="1" si="105"/>
        <v>8.1454548180045094</v>
      </c>
      <c r="J57" s="1633">
        <f t="shared" ca="1" si="105"/>
        <v>7.7860656140110223</v>
      </c>
      <c r="K57" s="1633">
        <f t="shared" ca="1" si="105"/>
        <v>0</v>
      </c>
      <c r="L57" s="1633">
        <f ca="1">L3-L23</f>
        <v>0</v>
      </c>
      <c r="M57" s="1633">
        <f ca="1">M3-M23</f>
        <v>0</v>
      </c>
      <c r="N57" s="1633">
        <f ca="1">N3-N23</f>
        <v>1.1686914140082081</v>
      </c>
      <c r="O57" s="1633">
        <f ca="1">O3-O23</f>
        <v>0</v>
      </c>
      <c r="P57" s="1635">
        <f t="shared" ca="1" si="105"/>
        <v>0</v>
      </c>
      <c r="Q57" s="1635">
        <f ca="1">Q3-Q23</f>
        <v>0</v>
      </c>
      <c r="R57" s="1635">
        <f t="shared" ref="R57" ca="1" si="106">R3-R23</f>
        <v>0</v>
      </c>
      <c r="S57" s="1635">
        <f t="shared" ref="S57:U57" ca="1" si="107">S3-S23</f>
        <v>0</v>
      </c>
      <c r="T57" s="1635">
        <f t="shared" ca="1" si="107"/>
        <v>0</v>
      </c>
      <c r="U57" s="1635">
        <f t="shared" ca="1" si="107"/>
        <v>0</v>
      </c>
      <c r="V57" s="1635"/>
      <c r="W57" s="1624">
        <f t="shared" ca="1" si="54"/>
        <v>-1.1686914140082081</v>
      </c>
      <c r="X57" s="999"/>
      <c r="Y57" s="999"/>
      <c r="Z57" s="999"/>
      <c r="AA57" s="1636" t="s">
        <v>31</v>
      </c>
      <c r="AB57" s="999" t="e">
        <f>#REF!/#REF!</f>
        <v>#REF!</v>
      </c>
      <c r="AC57" s="1189" t="e">
        <f>#REF!/#REF!</f>
        <v>#REF!</v>
      </c>
      <c r="AD57" s="1189">
        <f ca="1">AB63/AB67</f>
        <v>0.20299999321328674</v>
      </c>
      <c r="AE57" s="1189"/>
      <c r="AF57" s="1189"/>
      <c r="AG57" s="1189"/>
      <c r="AH57" s="1189"/>
      <c r="AI57" s="1189"/>
      <c r="AJ57" s="999"/>
      <c r="AK57" s="999"/>
      <c r="AL57" s="999"/>
      <c r="AM57" s="999"/>
      <c r="AN57" s="999"/>
      <c r="AO57" s="999"/>
      <c r="AP57" s="999"/>
    </row>
    <row r="58" spans="1:52">
      <c r="A58" s="999"/>
      <c r="B58" s="1198">
        <f>1486.241</f>
        <v>1486.241</v>
      </c>
      <c r="C58" s="1621"/>
      <c r="D58" s="1606">
        <v>56</v>
      </c>
      <c r="E58" s="1633"/>
      <c r="F58" s="1633"/>
      <c r="G58" s="1633"/>
      <c r="H58" s="1637"/>
      <c r="I58" s="1637"/>
      <c r="J58" s="1633"/>
      <c r="K58" s="1633"/>
      <c r="L58" s="1633"/>
      <c r="M58" s="1633"/>
      <c r="N58" s="1633"/>
      <c r="O58" s="1633"/>
      <c r="P58" s="1635"/>
      <c r="Q58" s="1635"/>
      <c r="R58" s="1635"/>
      <c r="S58" s="1635"/>
      <c r="T58" s="1635"/>
      <c r="U58" s="1635"/>
      <c r="V58" s="1635"/>
      <c r="W58" s="1624">
        <f t="shared" si="54"/>
        <v>0</v>
      </c>
      <c r="X58" s="999"/>
      <c r="Y58" s="999"/>
      <c r="Z58" s="999"/>
      <c r="AA58" s="999"/>
      <c r="AB58" s="999"/>
      <c r="AC58" s="1189"/>
      <c r="AD58" s="1189"/>
      <c r="AE58" s="1189"/>
      <c r="AF58" s="1189"/>
      <c r="AG58" s="1189"/>
      <c r="AH58" s="1189"/>
      <c r="AI58" s="1189"/>
      <c r="AJ58" s="999"/>
      <c r="AK58" s="999"/>
      <c r="AL58" s="1562" t="s">
        <v>515</v>
      </c>
      <c r="AM58" s="1562" t="s">
        <v>516</v>
      </c>
      <c r="AN58" s="999"/>
      <c r="AO58" s="999"/>
      <c r="AP58" s="1562"/>
    </row>
    <row r="59" spans="1:52">
      <c r="A59" s="999"/>
      <c r="B59" s="1198"/>
      <c r="C59" s="1621" t="s">
        <v>517</v>
      </c>
      <c r="D59" s="1606">
        <v>57</v>
      </c>
      <c r="E59" s="1633"/>
      <c r="F59" s="1633"/>
      <c r="G59" s="1633"/>
      <c r="H59" s="1637"/>
      <c r="I59" s="1637"/>
      <c r="J59" s="1633"/>
      <c r="K59" s="1633"/>
      <c r="L59" s="1633"/>
      <c r="M59" s="1633"/>
      <c r="N59" s="1633"/>
      <c r="O59" s="1633"/>
      <c r="P59" s="1638">
        <f ca="1">SUM(P7:P11,P13)</f>
        <v>77057.487582431306</v>
      </c>
      <c r="Q59" s="1638">
        <f ca="1">SUM(Q7:Q11,Q13)</f>
        <v>87945.388525232949</v>
      </c>
      <c r="R59" s="1638">
        <f t="shared" ref="R59" ca="1" si="108">SUM(R7:R11,R13)</f>
        <v>100084.98256870263</v>
      </c>
      <c r="S59" s="1638">
        <f t="shared" ref="S59:U59" ca="1" si="109">SUM(S7:S11,S13)</f>
        <v>113457.4332487535</v>
      </c>
      <c r="T59" s="1638">
        <f t="shared" ca="1" si="109"/>
        <v>131267.4684366679</v>
      </c>
      <c r="U59" s="1638">
        <f t="shared" ca="1" si="109"/>
        <v>150992.61598130208</v>
      </c>
      <c r="V59" s="1638"/>
      <c r="W59" s="1624">
        <f t="shared" si="54"/>
        <v>0</v>
      </c>
      <c r="X59" s="999"/>
      <c r="Y59" s="999"/>
      <c r="Z59" s="999"/>
      <c r="AA59" s="999"/>
      <c r="AB59" s="999"/>
      <c r="AC59" s="1189"/>
      <c r="AD59" s="1189"/>
      <c r="AE59" s="1189"/>
      <c r="AF59" s="1189"/>
      <c r="AG59" s="1189"/>
      <c r="AH59" s="1189"/>
      <c r="AI59" s="1189"/>
      <c r="AJ59" s="999"/>
      <c r="AK59" s="999"/>
      <c r="AL59" s="999"/>
      <c r="AM59" s="999"/>
      <c r="AN59" s="999"/>
      <c r="AO59" s="999"/>
      <c r="AP59" s="1563"/>
    </row>
    <row r="60" spans="1:52" ht="24" customHeight="1">
      <c r="A60" s="999"/>
      <c r="B60" s="1198"/>
      <c r="C60" s="1621" t="s">
        <v>518</v>
      </c>
      <c r="D60" s="1606">
        <v>58</v>
      </c>
      <c r="E60" s="1633"/>
      <c r="F60" s="1633"/>
      <c r="G60" s="1633"/>
      <c r="H60" s="1637"/>
      <c r="I60" s="1637"/>
      <c r="J60" s="1633"/>
      <c r="K60" s="1633"/>
      <c r="L60" s="1633"/>
      <c r="M60" s="1633"/>
      <c r="N60" s="1633"/>
      <c r="O60" s="1633"/>
      <c r="P60" s="1638">
        <f ca="1">SUM(P28,P33,P29,P32,P35,P43)</f>
        <v>76922.098895652496</v>
      </c>
      <c r="Q60" s="1638">
        <f ca="1">SUM(Q28,Q33,Q29,Q32,Q35,Q43)</f>
        <v>87776.080890067489</v>
      </c>
      <c r="R60" s="1638">
        <f t="shared" ref="R60" ca="1" si="110">SUM(R28,R33,R29,R32,R35,R43)</f>
        <v>99879.584690663163</v>
      </c>
      <c r="S60" s="1638">
        <f t="shared" ref="S60:U60" ca="1" si="111">SUM(S28,S33,S29,S32,S35,S43)</f>
        <v>114327.25868803301</v>
      </c>
      <c r="T60" s="1638">
        <f t="shared" ca="1" si="111"/>
        <v>130223.00150440921</v>
      </c>
      <c r="U60" s="1638">
        <f t="shared" ca="1" si="111"/>
        <v>147999.81854395542</v>
      </c>
      <c r="V60" s="1638"/>
      <c r="W60" s="1624">
        <f t="shared" si="54"/>
        <v>0</v>
      </c>
      <c r="X60" s="999"/>
      <c r="Y60" s="999"/>
      <c r="Z60" s="999"/>
      <c r="AA60" s="1564"/>
      <c r="AB60" s="1565" t="s">
        <v>519</v>
      </c>
      <c r="AC60" s="1565">
        <v>2023</v>
      </c>
      <c r="AD60" s="1565">
        <v>2024</v>
      </c>
      <c r="AE60" s="1565" t="s">
        <v>495</v>
      </c>
      <c r="AF60" s="1565" t="s">
        <v>495</v>
      </c>
      <c r="AG60" s="1566" t="s">
        <v>520</v>
      </c>
      <c r="AH60" s="1566"/>
      <c r="AI60" s="1567" t="s">
        <v>521</v>
      </c>
      <c r="AK60" s="999"/>
      <c r="AL60" s="999"/>
      <c r="AM60" s="999"/>
      <c r="AN60" s="999" t="s">
        <v>495</v>
      </c>
      <c r="AO60" s="999" t="s">
        <v>495</v>
      </c>
      <c r="AP60" s="1568"/>
    </row>
    <row r="61" spans="1:52" ht="16.5" customHeight="1">
      <c r="A61" s="999"/>
      <c r="B61" s="1198"/>
      <c r="C61" s="1621" t="s">
        <v>522</v>
      </c>
      <c r="D61" s="1606">
        <v>59</v>
      </c>
      <c r="E61" s="1633"/>
      <c r="F61" s="1633"/>
      <c r="G61" s="1633"/>
      <c r="H61" s="1637"/>
      <c r="I61" s="1637"/>
      <c r="J61" s="1633"/>
      <c r="K61" s="1633"/>
      <c r="L61" s="1633"/>
      <c r="M61" s="1633"/>
      <c r="N61" s="1633"/>
      <c r="O61" s="1633"/>
      <c r="P61" s="1639">
        <f ca="1">P60-P59</f>
        <v>-135.38868677880964</v>
      </c>
      <c r="Q61" s="1639">
        <f ca="1">Q60-Q59</f>
        <v>-169.30763516545994</v>
      </c>
      <c r="R61" s="1639">
        <f t="shared" ref="R61" ca="1" si="112">R60-R59</f>
        <v>-205.3978780394682</v>
      </c>
      <c r="S61" s="1639">
        <f t="shared" ref="S61" ca="1" si="113">S60-S59</f>
        <v>869.8254392795061</v>
      </c>
      <c r="T61" s="1639">
        <f t="shared" ref="T61" ca="1" si="114">T60-T59</f>
        <v>-1044.4669322586851</v>
      </c>
      <c r="U61" s="1639">
        <f t="shared" ref="U61" ca="1" si="115">U60-U59</f>
        <v>-2992.7974373466568</v>
      </c>
      <c r="V61" s="1639"/>
      <c r="W61" s="1624">
        <f t="shared" si="54"/>
        <v>0</v>
      </c>
      <c r="X61" s="999"/>
      <c r="Y61" s="999"/>
      <c r="Z61" s="999"/>
      <c r="AA61" s="1871" t="s">
        <v>523</v>
      </c>
      <c r="AB61" s="1872">
        <f ca="1">Rev_Year!I8+Rev_Year!I15</f>
        <v>103655.51172900001</v>
      </c>
      <c r="AC61" s="1873">
        <f ca="1">Rev_Year!J8+Rev_Year!J15</f>
        <v>83505.679999999993</v>
      </c>
      <c r="AD61" s="1366">
        <f ca="1">Rev_Year!K8+Rev_Year!K15</f>
        <v>90798.886168975005</v>
      </c>
      <c r="AE61" s="1366">
        <f ca="1">Rev_Year!L8+Rev_Year!L15</f>
        <v>107657.81840730226</v>
      </c>
      <c r="AF61" s="1366">
        <f ca="1">Rev_Year!M8+Rev_Year!M15</f>
        <v>120831.54694497709</v>
      </c>
      <c r="AG61" s="1530">
        <f ca="1">AE61/AN61-1</f>
        <v>3.930357931798234E-2</v>
      </c>
      <c r="AH61" s="1530">
        <f ca="1">AF61/AO61-1</f>
        <v>3.9256806594841542E-2</v>
      </c>
      <c r="AI61" s="3402" t="s">
        <v>524</v>
      </c>
      <c r="AK61" s="999"/>
      <c r="AL61" s="999"/>
      <c r="AM61" s="1640"/>
      <c r="AN61" s="1640">
        <v>103586.49825679431</v>
      </c>
      <c r="AO61" s="1640">
        <v>116267.26539409018</v>
      </c>
      <c r="AP61" s="1563"/>
    </row>
    <row r="62" spans="1:52" ht="16.5" customHeight="1">
      <c r="A62" s="999">
        <v>2</v>
      </c>
      <c r="B62" s="1215">
        <f>21000000/L67-1</f>
        <v>169.78987848413121</v>
      </c>
      <c r="C62" s="1621"/>
      <c r="D62" s="1606">
        <v>60</v>
      </c>
      <c r="E62" s="1633"/>
      <c r="F62" s="1641">
        <f>1076/886-1</f>
        <v>0.21444695259593671</v>
      </c>
      <c r="G62" s="1641">
        <f>G104/1388-1</f>
        <v>0.13643546566210407</v>
      </c>
      <c r="H62" s="1641">
        <f>H104/2200-1</f>
        <v>2.5816501909090572E-3</v>
      </c>
      <c r="I62" s="1642">
        <f>I104/2603-1</f>
        <v>0.10592552090203644</v>
      </c>
      <c r="J62" s="1642">
        <f>J104/3571-1</f>
        <v>7.3724320091570261E-2</v>
      </c>
      <c r="K62" s="1633"/>
      <c r="L62" s="1633"/>
      <c r="M62" s="1633"/>
      <c r="N62" s="1633"/>
      <c r="O62" s="1633"/>
      <c r="P62" s="1635"/>
      <c r="Q62" s="1635"/>
      <c r="R62" s="1635"/>
      <c r="S62" s="1635"/>
      <c r="T62" s="1635"/>
      <c r="U62" s="1635"/>
      <c r="V62" s="1635"/>
      <c r="W62" s="999"/>
      <c r="X62" s="999"/>
      <c r="Y62" s="999"/>
      <c r="Z62" s="999"/>
      <c r="AA62" s="1834" t="s">
        <v>31</v>
      </c>
      <c r="AB62" s="1874" t="e">
        <f ca="1">AB61/#REF!-1</f>
        <v>#REF!</v>
      </c>
      <c r="AC62" s="1875">
        <f ca="1">AC61/AB61-1</f>
        <v>-0.19439228452877955</v>
      </c>
      <c r="AD62" s="1876">
        <f ca="1">AD61/AC61-1</f>
        <v>8.7337845389379609E-2</v>
      </c>
      <c r="AE62" s="1876">
        <f ca="1">AE61/AD61-1</f>
        <v>0.18567333752258919</v>
      </c>
      <c r="AF62" s="1876">
        <f ca="1">AF61/AE61-1</f>
        <v>0.12236666813955499</v>
      </c>
      <c r="AG62" s="1530"/>
      <c r="AH62" s="1530"/>
      <c r="AI62" s="3403"/>
      <c r="AK62" s="999"/>
      <c r="AL62" s="999"/>
      <c r="AM62" s="999"/>
      <c r="AN62" s="999">
        <v>0.14083445984152054</v>
      </c>
      <c r="AO62" s="999">
        <v>0.12241718129963064</v>
      </c>
      <c r="AP62" s="1570"/>
    </row>
    <row r="63" spans="1:52" ht="16.5" customHeight="1">
      <c r="A63" s="999"/>
      <c r="B63" s="1221">
        <f>L101/1229000-1</f>
        <v>-0.99601005925599995</v>
      </c>
      <c r="C63" s="1222" t="str">
        <f>"Income Statement ($MM) - "&amp;Company_Name</f>
        <v>Income Statement ($MM) - Phu Nhuan Jewelry</v>
      </c>
      <c r="D63" s="1606">
        <v>61</v>
      </c>
      <c r="E63" s="1643">
        <f t="shared" ref="E63:P63" si="116">E1</f>
        <v>2014</v>
      </c>
      <c r="F63" s="1643">
        <f>F1</f>
        <v>2015</v>
      </c>
      <c r="G63" s="1643">
        <f t="shared" si="116"/>
        <v>2016</v>
      </c>
      <c r="H63" s="1643">
        <f t="shared" si="116"/>
        <v>2017</v>
      </c>
      <c r="I63" s="1643">
        <f t="shared" si="116"/>
        <v>2018</v>
      </c>
      <c r="J63" s="1643">
        <f t="shared" si="116"/>
        <v>2019</v>
      </c>
      <c r="K63" s="1643">
        <f t="shared" si="116"/>
        <v>2020</v>
      </c>
      <c r="L63" s="1643">
        <f>L1</f>
        <v>2021</v>
      </c>
      <c r="M63" s="1643">
        <f t="shared" si="116"/>
        <v>2022</v>
      </c>
      <c r="N63" s="1643">
        <f>N1</f>
        <v>2023</v>
      </c>
      <c r="O63" s="1643">
        <f>O1</f>
        <v>2024</v>
      </c>
      <c r="P63" s="1644">
        <f t="shared" si="116"/>
        <v>2025</v>
      </c>
      <c r="Q63" s="1644">
        <f>Q1</f>
        <v>2026</v>
      </c>
      <c r="R63" s="1644">
        <f t="shared" ref="R63:U63" si="117">R1</f>
        <v>2027</v>
      </c>
      <c r="S63" s="1644">
        <f t="shared" si="117"/>
        <v>2028</v>
      </c>
      <c r="T63" s="1644">
        <f t="shared" si="117"/>
        <v>2029</v>
      </c>
      <c r="U63" s="1644">
        <f t="shared" si="117"/>
        <v>2030</v>
      </c>
      <c r="V63" s="1644"/>
      <c r="W63" s="999"/>
      <c r="X63" s="999"/>
      <c r="Y63" s="999"/>
      <c r="Z63" s="999"/>
      <c r="AA63" s="1871" t="s">
        <v>7</v>
      </c>
      <c r="AB63" s="1872">
        <f>Rev_Year!I23</f>
        <v>27081.169731000002</v>
      </c>
      <c r="AC63" s="1873">
        <f ca="1">Rev_Year!J23</f>
        <v>31580.760000000002</v>
      </c>
      <c r="AD63" s="1366">
        <f ca="1">Rev_Year!K23</f>
        <v>41083.417042057001</v>
      </c>
      <c r="AE63" s="1366">
        <f ca="1">Rev_Year!L23</f>
        <v>47646.751647932077</v>
      </c>
      <c r="AF63" s="1366">
        <f ca="1">Rev_Year!M23</f>
        <v>68350.825336556707</v>
      </c>
      <c r="AG63" s="1530">
        <f ca="1">AE63/AN63-1</f>
        <v>6.7881940820764264E-3</v>
      </c>
      <c r="AH63" s="1530">
        <f ca="1">AF63/AO63-1</f>
        <v>0.1034136221712918</v>
      </c>
      <c r="AI63" s="3403"/>
      <c r="AK63" s="999"/>
      <c r="AL63" s="999"/>
      <c r="AM63" s="1571"/>
      <c r="AN63" s="1571">
        <v>47325.496989337727</v>
      </c>
      <c r="AO63" s="1571">
        <v>61944.880834492782</v>
      </c>
      <c r="AP63" s="1572"/>
    </row>
    <row r="64" spans="1:52" ht="16.5" customHeight="1" thickBot="1">
      <c r="A64" s="1195"/>
      <c r="B64" s="1221"/>
      <c r="C64" s="1000" t="s">
        <v>525</v>
      </c>
      <c r="D64" s="1606">
        <v>62</v>
      </c>
      <c r="E64" s="1607">
        <f>'FS Year'!M2</f>
        <v>15836.649248254</v>
      </c>
      <c r="F64" s="1607">
        <f>'FS Year'!N2</f>
        <v>25388.072018729999</v>
      </c>
      <c r="G64" s="1607">
        <f>'FS Year'!O2</f>
        <v>45612.676802016002</v>
      </c>
      <c r="H64" s="1607">
        <f>'FS Year'!P2</f>
        <v>67698.540686709006</v>
      </c>
      <c r="I64" s="1607">
        <f>'FS Year'!Q2</f>
        <v>87738.378978635999</v>
      </c>
      <c r="J64" s="1607">
        <f>'FS Year'!R2</f>
        <v>103485.046672447</v>
      </c>
      <c r="K64" s="1607">
        <f>'FS Year'!S2</f>
        <v>109801.253690656</v>
      </c>
      <c r="L64" s="1607">
        <f>'FS Year'!T2</f>
        <v>124141.525689948</v>
      </c>
      <c r="M64" s="1607">
        <f>'FS Year'!U2</f>
        <v>134722.24888755701</v>
      </c>
      <c r="N64" s="1607">
        <f>'FS Year'!V2</f>
        <v>119234.18482508601</v>
      </c>
      <c r="O64" s="1607">
        <f>'FS Year'!W2</f>
        <v>135225.101298992</v>
      </c>
      <c r="P64" s="1608">
        <f ca="1">P67*O64/O67</f>
        <v>160641.82101401992</v>
      </c>
      <c r="Q64" s="1608">
        <f ca="1">Q67*P64/P67</f>
        <v>195273.77872240244</v>
      </c>
      <c r="R64" s="1608">
        <f t="shared" ref="R64:S64" ca="1" si="118">R67*Q64/Q67</f>
        <v>224062.4462220248</v>
      </c>
      <c r="S64" s="1608">
        <f t="shared" ca="1" si="118"/>
        <v>258173.6322260678</v>
      </c>
      <c r="T64" s="1608">
        <f t="shared" ref="T64:U64" ca="1" si="119">T67*S64/S67</f>
        <v>287282.9392846587</v>
      </c>
      <c r="U64" s="1608">
        <f t="shared" ca="1" si="119"/>
        <v>314120.44369001419</v>
      </c>
      <c r="V64" s="1608"/>
      <c r="W64" s="999"/>
      <c r="X64" s="999"/>
      <c r="Y64" s="999"/>
      <c r="Z64" s="999"/>
      <c r="AA64" s="1834" t="s">
        <v>31</v>
      </c>
      <c r="AB64" s="1877">
        <f>Rev_Year!I25</f>
        <v>-3.8221318622590594E-2</v>
      </c>
      <c r="AC64" s="1825">
        <f ca="1">Rev_Year!J25</f>
        <v>0.16615199098469113</v>
      </c>
      <c r="AD64" s="1878">
        <f ca="1">Rev_Year!K25</f>
        <v>0.30090020132691553</v>
      </c>
      <c r="AE64" s="1878">
        <f ca="1">Rev_Year!L25</f>
        <v>0.15975629775771094</v>
      </c>
      <c r="AF64" s="1878">
        <f ca="1">Rev_Year!M25</f>
        <v>0.43453274300018752</v>
      </c>
      <c r="AG64" s="1530"/>
      <c r="AH64" s="1530"/>
      <c r="AI64" s="3403"/>
      <c r="AK64" s="999"/>
      <c r="AL64" s="999"/>
      <c r="AM64" s="1561"/>
      <c r="AN64" s="1561">
        <v>0.15193672767994748</v>
      </c>
      <c r="AO64" s="1561">
        <v>0.30891136438458844</v>
      </c>
      <c r="AP64" s="1570"/>
    </row>
    <row r="65" spans="1:42" s="23" customFormat="1" ht="16.5" customHeight="1">
      <c r="A65" s="999"/>
      <c r="B65" s="1198"/>
      <c r="C65" s="1645" t="s">
        <v>526</v>
      </c>
      <c r="D65" s="1606">
        <v>63</v>
      </c>
      <c r="E65" s="1646">
        <f t="shared" ref="E65:H65" si="120">E64/D64-1</f>
        <v>254.42982658474193</v>
      </c>
      <c r="F65" s="1646">
        <f t="shared" si="120"/>
        <v>0.60312144448921545</v>
      </c>
      <c r="G65" s="1646">
        <f t="shared" si="120"/>
        <v>0.79661837922806189</v>
      </c>
      <c r="H65" s="1646">
        <f t="shared" si="120"/>
        <v>0.48420451140277843</v>
      </c>
      <c r="I65" s="1646">
        <f>I64/H64-1</f>
        <v>0.29601580903591529</v>
      </c>
      <c r="J65" s="1646">
        <f>J64/I64-1</f>
        <v>0.17947297268445395</v>
      </c>
      <c r="K65" s="1646">
        <f>K64/J64-1</f>
        <v>6.1034972890346095E-2</v>
      </c>
      <c r="L65" s="1646">
        <f>L64/K64-1</f>
        <v>0.13060207891335174</v>
      </c>
      <c r="M65" s="1646">
        <f t="shared" ref="M65:O65" si="121">M64/L64-1</f>
        <v>8.5231135502838118E-2</v>
      </c>
      <c r="N65" s="1646">
        <f t="shared" si="121"/>
        <v>-0.11496292698764088</v>
      </c>
      <c r="O65" s="1646">
        <f t="shared" si="121"/>
        <v>0.13411352203534843</v>
      </c>
      <c r="P65" s="1647">
        <f ca="1">P64/O64-1</f>
        <v>0.1879585925310554</v>
      </c>
      <c r="Q65" s="1647">
        <f ca="1">Q64/P64-1</f>
        <v>0.2155849422633227</v>
      </c>
      <c r="R65" s="1647">
        <f t="shared" ref="R65:S65" ca="1" si="122">R64/Q64-1</f>
        <v>0.14742720547517951</v>
      </c>
      <c r="S65" s="1647">
        <f t="shared" ca="1" si="122"/>
        <v>0.15223963934697937</v>
      </c>
      <c r="T65" s="1647">
        <f t="shared" ref="T65" ca="1" si="123">T64/S64-1</f>
        <v>0.1127508909705448</v>
      </c>
      <c r="U65" s="1647">
        <f t="shared" ref="U65" ca="1" si="124">U64/T64-1</f>
        <v>9.341837170067091E-2</v>
      </c>
      <c r="V65" s="1647"/>
      <c r="W65" s="1195"/>
      <c r="X65" s="1195"/>
      <c r="Y65" s="1195"/>
      <c r="Z65" s="1195"/>
      <c r="AA65" s="1871" t="s">
        <v>49</v>
      </c>
      <c r="AB65" s="1872">
        <f ca="1">AB67-AB61-AB63</f>
        <v>2668.0999999999913</v>
      </c>
      <c r="AC65" s="1873">
        <f ca="1">AC67-AC61-AC63</f>
        <v>3193.3484554420065</v>
      </c>
      <c r="AD65" s="1366">
        <f ca="1">AD67-AD61-AD63</f>
        <v>2458.8496377700067</v>
      </c>
      <c r="AE65" s="1366">
        <f ca="1">AE67-AE61-AE63</f>
        <v>4287.1568020278937</v>
      </c>
      <c r="AF65" s="1366">
        <f ca="1">AF67-AF61-AF63</f>
        <v>4814.9277959552855</v>
      </c>
      <c r="AG65" s="1530">
        <f ca="1">AE65/AN65-1</f>
        <v>4.3835627457504689E-3</v>
      </c>
      <c r="AH65" s="1530">
        <f ca="1">AF65/AO65-1</f>
        <v>1.8109295972732031E-2</v>
      </c>
      <c r="AI65" s="3403"/>
      <c r="AK65" s="1195"/>
      <c r="AL65" s="1195"/>
      <c r="AM65" s="1195"/>
      <c r="AN65" s="1195">
        <v>4268.4458020278689</v>
      </c>
      <c r="AO65" s="1195">
        <v>4729.2837959552853</v>
      </c>
      <c r="AP65" s="1573"/>
    </row>
    <row r="66" spans="1:42" ht="16.5" customHeight="1">
      <c r="A66" s="1648"/>
      <c r="B66" s="1198"/>
      <c r="C66" s="1620" t="s">
        <v>527</v>
      </c>
      <c r="D66" s="1606">
        <v>64</v>
      </c>
      <c r="E66" s="1210">
        <f>'FS Year'!M3</f>
        <v>-79.923391577999993</v>
      </c>
      <c r="F66" s="1210">
        <f>'FS Year'!N3</f>
        <v>-135.33893948599999</v>
      </c>
      <c r="G66" s="1210">
        <f>'FS Year'!O3</f>
        <v>-999.344129028</v>
      </c>
      <c r="H66" s="1210">
        <f>'FS Year'!P3</f>
        <v>-1358.7364945310001</v>
      </c>
      <c r="I66" s="1210">
        <f>'FS Year'!Q3</f>
        <v>-1222.0919761370001</v>
      </c>
      <c r="J66" s="1210">
        <f>'FS Year'!R3</f>
        <v>-1310.8026957239999</v>
      </c>
      <c r="K66" s="1210">
        <f>'FS Year'!S3</f>
        <v>-1255.2340252439999</v>
      </c>
      <c r="L66" s="1210">
        <f>'FS Year'!T3</f>
        <v>-1183.419586774</v>
      </c>
      <c r="M66" s="1210">
        <f>'FS Year'!U3</f>
        <v>-1317.4712970329999</v>
      </c>
      <c r="N66" s="1210">
        <f>'FS Year'!V3</f>
        <v>-954.39636964399995</v>
      </c>
      <c r="O66" s="1210">
        <f>'FS Year'!W3</f>
        <v>-883.94845019000002</v>
      </c>
      <c r="P66" s="1217">
        <f ca="1">$L$66*P67/$L$67</f>
        <v>-1536.0026389109703</v>
      </c>
      <c r="Q66" s="1217">
        <f ca="1">$L$66*Q67/$L$67</f>
        <v>-1867.1416791369031</v>
      </c>
      <c r="R66" s="1217">
        <f t="shared" ref="R66:S66" ca="1" si="125">$L$66*R67/$L$67</f>
        <v>-2142.4091591182914</v>
      </c>
      <c r="S66" s="1217">
        <f t="shared" ca="1" si="125"/>
        <v>-2468.568756836125</v>
      </c>
      <c r="T66" s="1217">
        <f t="shared" ref="T66" ca="1" si="126">$L$66*T67/$L$67</f>
        <v>-2746.902083591448</v>
      </c>
      <c r="U66" s="1217">
        <f t="shared" ref="U66" ca="1" si="127">$L$66*U67/$L$67</f>
        <v>-3003.5132034617413</v>
      </c>
      <c r="V66" s="1217"/>
      <c r="W66" s="999"/>
      <c r="X66" s="999"/>
      <c r="Y66" s="999"/>
      <c r="Z66" s="999"/>
      <c r="AA66" s="1879" t="s">
        <v>31</v>
      </c>
      <c r="AB66" s="1880" t="e">
        <f ca="1">AB65/#REF!-1</f>
        <v>#REF!</v>
      </c>
      <c r="AC66" s="1881">
        <f ca="1">AC65/AB65-1</f>
        <v>0.19686235727372181</v>
      </c>
      <c r="AD66" s="1881">
        <f ca="1">AD65/AC65-1</f>
        <v>-0.23000897895132288</v>
      </c>
      <c r="AE66" s="1881">
        <f ca="1">AE65/AD65-1</f>
        <v>0.74356200402560013</v>
      </c>
      <c r="AF66" s="1881">
        <f ca="1">AF65/AE65-1</f>
        <v>0.12310512964623732</v>
      </c>
      <c r="AG66" s="1574"/>
      <c r="AH66" s="1574"/>
      <c r="AI66" s="3403"/>
      <c r="AK66" s="999"/>
      <c r="AL66" s="999"/>
      <c r="AM66" s="999"/>
      <c r="AN66" s="999">
        <v>0.73595234798457665</v>
      </c>
      <c r="AO66" s="999">
        <v>0.1079638855220979</v>
      </c>
      <c r="AP66" s="1559"/>
    </row>
    <row r="67" spans="1:42" s="156" customFormat="1" ht="16.5" customHeight="1">
      <c r="A67" s="1648"/>
      <c r="B67" s="1001" t="s">
        <v>325</v>
      </c>
      <c r="C67" s="1621" t="s">
        <v>395</v>
      </c>
      <c r="D67" s="1606">
        <v>65</v>
      </c>
      <c r="E67" s="1649" t="str">
        <f>Rev_Year!A6</f>
        <v>Net revenue</v>
      </c>
      <c r="F67" s="1649">
        <f>Rev_Year!B6</f>
        <v>25252.733079244001</v>
      </c>
      <c r="G67" s="1649">
        <f>Rev_Year!C6</f>
        <v>44613.332672987999</v>
      </c>
      <c r="H67" s="1649">
        <f>Rev_Year!D6</f>
        <v>66339.804192177995</v>
      </c>
      <c r="I67" s="1649">
        <f>Rev_Year!E6</f>
        <v>86516.287002498997</v>
      </c>
      <c r="J67" s="1649">
        <f>Rev_Year!F6</f>
        <v>102174.243976723</v>
      </c>
      <c r="K67" s="1649">
        <f>Rev_Year!G6</f>
        <v>108546.01966541199</v>
      </c>
      <c r="L67" s="1649">
        <f>Rev_Year!H6</f>
        <v>122958.106103174</v>
      </c>
      <c r="M67" s="1649">
        <f ca="1">Rev_Year!I6</f>
        <v>133404.78146</v>
      </c>
      <c r="N67" s="1649">
        <f>Rev_Year!J6</f>
        <v>118279.788455442</v>
      </c>
      <c r="O67" s="1649">
        <f>Rev_Year!K6</f>
        <v>134341.15284880201</v>
      </c>
      <c r="P67" s="1650">
        <f ca="1">Rev_Year!L6</f>
        <v>159591.72685726223</v>
      </c>
      <c r="Q67" s="1650">
        <f ca="1">Rev_Year!M6</f>
        <v>193997.30007748908</v>
      </c>
      <c r="R67" s="1650">
        <f ca="1">Rev_Year!N6</f>
        <v>222597.77989764314</v>
      </c>
      <c r="S67" s="1650">
        <f ca="1">Rev_Year!O6</f>
        <v>256485.9856286986</v>
      </c>
      <c r="T67" s="1650">
        <f ca="1">Rev_Year!P6</f>
        <v>285405.00902979268</v>
      </c>
      <c r="U67" s="1650">
        <f ca="1">Rev_Year!Q6</f>
        <v>312067.08024857118</v>
      </c>
      <c r="V67" s="1650"/>
      <c r="W67" s="1852">
        <f ca="1">P67/150000</f>
        <v>1.0639448457150815</v>
      </c>
      <c r="X67" s="1648">
        <v>134342</v>
      </c>
      <c r="Y67" s="1648"/>
      <c r="Z67" s="1648"/>
      <c r="AA67" s="1871" t="s">
        <v>30</v>
      </c>
      <c r="AB67" s="1882">
        <f t="shared" ref="AB67:AE68" ca="1" si="128">M67</f>
        <v>133404.78146</v>
      </c>
      <c r="AC67" s="1521">
        <f t="shared" si="128"/>
        <v>118279.788455442</v>
      </c>
      <c r="AD67" s="1521">
        <f t="shared" si="128"/>
        <v>134341.15284880201</v>
      </c>
      <c r="AE67" s="1521">
        <f t="shared" ca="1" si="128"/>
        <v>159591.72685726223</v>
      </c>
      <c r="AF67" s="1521">
        <f ca="1">Q67</f>
        <v>193997.30007748908</v>
      </c>
      <c r="AG67" s="1530">
        <f ca="1">AE67/AN67-1</f>
        <v>2.8426815772055303E-2</v>
      </c>
      <c r="AH67" s="1530">
        <f ca="1">AF67/AO67-1</f>
        <v>6.0433932606014373E-2</v>
      </c>
      <c r="AI67" s="3403"/>
      <c r="AK67" s="1707">
        <f ca="1">AE67/150000</f>
        <v>1.0639448457150815</v>
      </c>
      <c r="AL67" s="1651" t="e">
        <f>#REF!/AC67-1</f>
        <v>#REF!</v>
      </c>
      <c r="AM67" s="1575"/>
      <c r="AN67" s="1575">
        <v>155180.4410481599</v>
      </c>
      <c r="AO67" s="2062">
        <v>182941.43002453825</v>
      </c>
      <c r="AP67" s="1558"/>
    </row>
    <row r="68" spans="1:42" s="156" customFormat="1" ht="16.5" customHeight="1">
      <c r="A68" s="1648"/>
      <c r="B68" s="1198"/>
      <c r="C68" s="1645" t="s">
        <v>526</v>
      </c>
      <c r="D68" s="1606">
        <v>66</v>
      </c>
      <c r="E68" s="1652" t="e">
        <f t="shared" ref="E68:H68" si="129">E67/D67-1</f>
        <v>#VALUE!</v>
      </c>
      <c r="F68" s="1652" t="e">
        <f t="shared" si="129"/>
        <v>#VALUE!</v>
      </c>
      <c r="G68" s="1652">
        <f t="shared" si="129"/>
        <v>0.76667343423738443</v>
      </c>
      <c r="H68" s="1652">
        <f t="shared" si="129"/>
        <v>0.4869950352833583</v>
      </c>
      <c r="I68" s="1652">
        <f>I67/H67-1</f>
        <v>0.30413841367201333</v>
      </c>
      <c r="J68" s="1652">
        <f>J67/I67-1</f>
        <v>0.18098276656014756</v>
      </c>
      <c r="K68" s="1652">
        <f>K67/J67-1</f>
        <v>6.2361857946711119E-2</v>
      </c>
      <c r="L68" s="1652">
        <f>L67/K67-1</f>
        <v>0.132773974413678</v>
      </c>
      <c r="M68" s="1652">
        <f t="shared" ref="M68:Q68" ca="1" si="130">M67/L67-1</f>
        <v>8.4961257845499016E-2</v>
      </c>
      <c r="N68" s="1652">
        <f t="shared" ca="1" si="130"/>
        <v>-0.11337669339155632</v>
      </c>
      <c r="O68" s="1652">
        <f t="shared" si="130"/>
        <v>0.13579128440367993</v>
      </c>
      <c r="P68" s="1653">
        <f ca="1">P67/O67-1</f>
        <v>0.1879585925310554</v>
      </c>
      <c r="Q68" s="1653">
        <f t="shared" ca="1" si="130"/>
        <v>0.2155849422633227</v>
      </c>
      <c r="R68" s="1653">
        <f t="shared" ref="R68" ca="1" si="131">R67/Q67-1</f>
        <v>0.14742720547517951</v>
      </c>
      <c r="S68" s="1653">
        <f t="shared" ref="S68" ca="1" si="132">S67/R67-1</f>
        <v>0.15223963934697937</v>
      </c>
      <c r="T68" s="1653">
        <f t="shared" ref="T68" ca="1" si="133">T67/S67-1</f>
        <v>0.11275089097054458</v>
      </c>
      <c r="U68" s="1653">
        <f t="shared" ref="U68" ca="1" si="134">U67/T67-1</f>
        <v>9.341837170067091E-2</v>
      </c>
      <c r="V68" s="1653"/>
      <c r="W68" s="1648"/>
      <c r="X68" s="1651">
        <f>O67/X67-1</f>
        <v>-6.3059296272482968E-6</v>
      </c>
      <c r="Y68" s="1648"/>
      <c r="Z68" s="1648"/>
      <c r="AA68" s="1883" t="s">
        <v>31</v>
      </c>
      <c r="AB68" s="1884">
        <f t="shared" ca="1" si="128"/>
        <v>8.4961257845499016E-2</v>
      </c>
      <c r="AC68" s="1885">
        <f t="shared" ca="1" si="128"/>
        <v>-0.11337669339155632</v>
      </c>
      <c r="AD68" s="1885">
        <f t="shared" si="128"/>
        <v>0.13579128440367993</v>
      </c>
      <c r="AE68" s="1885">
        <f t="shared" ca="1" si="128"/>
        <v>0.1879585925310554</v>
      </c>
      <c r="AF68" s="1885">
        <f ca="1">Q68</f>
        <v>0.2155849422633227</v>
      </c>
      <c r="AG68" s="1530"/>
      <c r="AH68" s="1530"/>
      <c r="AI68" s="3403"/>
      <c r="AK68" s="1648"/>
      <c r="AL68" s="1648"/>
      <c r="AM68" s="1576"/>
      <c r="AN68" s="1576">
        <v>0.15512214803465363</v>
      </c>
      <c r="AO68" s="1423">
        <v>0.17889489673355663</v>
      </c>
      <c r="AP68" s="1577"/>
    </row>
    <row r="69" spans="1:42" ht="16.5" customHeight="1" outlineLevel="1">
      <c r="A69" s="999"/>
      <c r="B69" s="1001" t="s">
        <v>327</v>
      </c>
      <c r="C69" s="1620" t="s">
        <v>528</v>
      </c>
      <c r="D69" s="1606">
        <v>67</v>
      </c>
      <c r="E69" s="1210" t="e">
        <f t="shared" ref="E69:H69" si="135">E70-E67</f>
        <v>#VALUE!</v>
      </c>
      <c r="F69" s="1210">
        <f t="shared" si="135"/>
        <v>-21330.302185370001</v>
      </c>
      <c r="G69" s="1210">
        <f t="shared" si="135"/>
        <v>-37399.226360426001</v>
      </c>
      <c r="H69" s="1210">
        <f t="shared" si="135"/>
        <v>-55198.024925234997</v>
      </c>
      <c r="I69" s="1210">
        <f t="shared" ref="I69:Q69" si="136">I70-I67</f>
        <v>-71224.159239435001</v>
      </c>
      <c r="J69" s="1210">
        <f t="shared" si="136"/>
        <v>-82686.444673011996</v>
      </c>
      <c r="K69" s="1210">
        <f t="shared" si="136"/>
        <v>-84591.522392949002</v>
      </c>
      <c r="L69" s="1210">
        <f t="shared" si="136"/>
        <v>-95325.974107639995</v>
      </c>
      <c r="M69" s="1210">
        <f t="shared" ca="1" si="136"/>
        <v>-102622.56609213899</v>
      </c>
      <c r="N69" s="1210">
        <f>N70-N67</f>
        <v>-95759.175291712003</v>
      </c>
      <c r="O69" s="1210">
        <f>O70-O67</f>
        <v>-106841.942771781</v>
      </c>
      <c r="P69" s="1217">
        <f t="shared" ca="1" si="136"/>
        <v>-128254.876234799</v>
      </c>
      <c r="Q69" s="1217">
        <f t="shared" ca="1" si="136"/>
        <v>-155077.61902214473</v>
      </c>
      <c r="R69" s="1217">
        <f t="shared" ref="R69:S69" ca="1" si="137">R70-R67</f>
        <v>-177032.86047218292</v>
      </c>
      <c r="S69" s="1217">
        <f t="shared" ca="1" si="137"/>
        <v>-203250.90676705533</v>
      </c>
      <c r="T69" s="1217">
        <f t="shared" ref="T69:U69" ca="1" si="138">T70-T67</f>
        <v>-225553.94541124883</v>
      </c>
      <c r="U69" s="1217">
        <f t="shared" ca="1" si="138"/>
        <v>-246131.92699272308</v>
      </c>
      <c r="V69" s="1217"/>
      <c r="W69" s="999"/>
      <c r="X69" s="999"/>
      <c r="Y69" s="999"/>
      <c r="Z69" s="999"/>
      <c r="AA69" s="1871" t="s">
        <v>529</v>
      </c>
      <c r="AB69" s="1882">
        <f>M70</f>
        <v>30782.215367861001</v>
      </c>
      <c r="AC69" s="1521">
        <f>N70</f>
        <v>22520.613163729999</v>
      </c>
      <c r="AD69" s="1521">
        <f>O70</f>
        <v>27499.210077021002</v>
      </c>
      <c r="AE69" s="1521">
        <f ca="1">P70</f>
        <v>31336.850622463226</v>
      </c>
      <c r="AF69" s="1521">
        <f ca="1">Q70</f>
        <v>38919.681055344343</v>
      </c>
      <c r="AG69" s="1530">
        <f ca="1">AE69/AN69-1</f>
        <v>2.7838757192408359E-2</v>
      </c>
      <c r="AH69" s="1530">
        <f ca="1">AF69/AO69-1</f>
        <v>7.0120649492267262E-2</v>
      </c>
      <c r="AI69" s="3403"/>
      <c r="AK69" s="999"/>
      <c r="AL69" s="999"/>
      <c r="AM69" s="1202"/>
      <c r="AN69" s="1202">
        <v>30488.099814470279</v>
      </c>
      <c r="AO69" s="1256">
        <v>36369.432805366661</v>
      </c>
      <c r="AP69" s="1558"/>
    </row>
    <row r="70" spans="1:42" ht="16.5" customHeight="1" outlineLevel="1">
      <c r="A70" s="999"/>
      <c r="B70" s="1001" t="s">
        <v>329</v>
      </c>
      <c r="C70" s="1621" t="s">
        <v>530</v>
      </c>
      <c r="D70" s="1606">
        <v>68</v>
      </c>
      <c r="E70" s="1623" t="str">
        <f>Rev_Year!A34</f>
        <v>Gross profit</v>
      </c>
      <c r="F70" s="1623">
        <f>Rev_Year!B34</f>
        <v>3922.430893874</v>
      </c>
      <c r="G70" s="1623">
        <f>Rev_Year!C34</f>
        <v>7214.1063125620003</v>
      </c>
      <c r="H70" s="1623">
        <f>Rev_Year!D34</f>
        <v>11141.779266943</v>
      </c>
      <c r="I70" s="1623">
        <f>Rev_Year!E34</f>
        <v>15292.127763064</v>
      </c>
      <c r="J70" s="1623">
        <f>Rev_Year!F34</f>
        <v>19487.799303710999</v>
      </c>
      <c r="K70" s="1623">
        <f>Rev_Year!G34</f>
        <v>23954.497272462999</v>
      </c>
      <c r="L70" s="1623">
        <f>Rev_Year!H34</f>
        <v>27632.131995534</v>
      </c>
      <c r="M70" s="1623">
        <f>Rev_Year!I34</f>
        <v>30782.215367861001</v>
      </c>
      <c r="N70" s="1623">
        <f>Rev_Year!J34</f>
        <v>22520.613163729999</v>
      </c>
      <c r="O70" s="1623">
        <f>Rev_Year!K34</f>
        <v>27499.210077021002</v>
      </c>
      <c r="P70" s="1218">
        <f ca="1">Rev_Year!L34</f>
        <v>31336.850622463226</v>
      </c>
      <c r="Q70" s="1218">
        <f ca="1">Rev_Year!M34</f>
        <v>38919.681055344343</v>
      </c>
      <c r="R70" s="1218">
        <f ca="1">Rev_Year!N34</f>
        <v>45564.919425460212</v>
      </c>
      <c r="S70" s="1218">
        <f ca="1">Rev_Year!O34</f>
        <v>53235.078861643255</v>
      </c>
      <c r="T70" s="1218">
        <f ca="1">Rev_Year!P34</f>
        <v>59851.063618543856</v>
      </c>
      <c r="U70" s="1218">
        <f ca="1">Rev_Year!Q34</f>
        <v>65935.153255848112</v>
      </c>
      <c r="V70" s="1218"/>
      <c r="W70" s="999"/>
      <c r="X70" s="999"/>
      <c r="Y70" s="999"/>
      <c r="Z70" s="999"/>
      <c r="AA70" s="1883" t="s">
        <v>243</v>
      </c>
      <c r="AB70" s="1884">
        <f t="shared" ref="AB70:AE72" ca="1" si="139">M72</f>
        <v>0.23074296911232317</v>
      </c>
      <c r="AC70" s="1885">
        <f t="shared" si="139"/>
        <v>0.19040119582403459</v>
      </c>
      <c r="AD70" s="1885">
        <f t="shared" si="139"/>
        <v>0.20469684451770898</v>
      </c>
      <c r="AE70" s="1885">
        <f t="shared" ca="1" si="139"/>
        <v>0.19635636031741605</v>
      </c>
      <c r="AF70" s="1885">
        <f ca="1">Q72</f>
        <v>0.20061970470619181</v>
      </c>
      <c r="AG70" s="1892">
        <f ca="1">(AE70-AN70)*100</f>
        <v>-1.12341592049231E-2</v>
      </c>
      <c r="AH70" s="1892">
        <f ca="1">(AF70-AO70)*100</f>
        <v>0.18160067112195089</v>
      </c>
      <c r="AI70" s="3403"/>
      <c r="AK70" s="999"/>
      <c r="AL70" s="999"/>
      <c r="AM70" s="1578"/>
      <c r="AN70" s="1578">
        <v>0.19646870190946528</v>
      </c>
      <c r="AO70" s="2063">
        <v>0.1988036979949723</v>
      </c>
      <c r="AP70" s="1558"/>
    </row>
    <row r="71" spans="1:42" ht="16.5" customHeight="1" outlineLevel="1">
      <c r="A71" s="999"/>
      <c r="B71" s="1241"/>
      <c r="C71" s="1645" t="s">
        <v>526</v>
      </c>
      <c r="D71" s="1606">
        <v>69</v>
      </c>
      <c r="E71" s="1652" t="e">
        <f t="shared" ref="E71:H71" si="140">E70/D70-1</f>
        <v>#VALUE!</v>
      </c>
      <c r="F71" s="1652" t="e">
        <f t="shared" si="140"/>
        <v>#VALUE!</v>
      </c>
      <c r="G71" s="1652">
        <f t="shared" si="140"/>
        <v>0.83919271180249333</v>
      </c>
      <c r="H71" s="1652">
        <f t="shared" si="140"/>
        <v>0.5444434534519822</v>
      </c>
      <c r="I71" s="1652">
        <f>I70/H70-1</f>
        <v>0.37250320587797292</v>
      </c>
      <c r="J71" s="1652">
        <f>J70/I70-1</f>
        <v>0.27436806739092634</v>
      </c>
      <c r="K71" s="1652">
        <f>K70/J70-1</f>
        <v>0.22920484243192196</v>
      </c>
      <c r="L71" s="1652">
        <f>L70/K70-1</f>
        <v>0.1535258570130229</v>
      </c>
      <c r="M71" s="1652">
        <f t="shared" ref="M71:O71" si="141">M70/L70-1</f>
        <v>0.11400073555077572</v>
      </c>
      <c r="N71" s="1652">
        <f t="shared" si="141"/>
        <v>-0.2683888117018618</v>
      </c>
      <c r="O71" s="1652">
        <f t="shared" si="141"/>
        <v>0.22106844414472504</v>
      </c>
      <c r="P71" s="1653">
        <f ca="1">P70/O70-1</f>
        <v>0.13955457392025417</v>
      </c>
      <c r="Q71" s="1653">
        <f ca="1">Q70/P70-1</f>
        <v>0.24197806359792606</v>
      </c>
      <c r="R71" s="1653">
        <f t="shared" ref="R71:S71" ca="1" si="142">R70/Q70-1</f>
        <v>0.17074236452930447</v>
      </c>
      <c r="S71" s="1653">
        <f t="shared" ca="1" si="142"/>
        <v>0.16833475254423913</v>
      </c>
      <c r="T71" s="1653">
        <f t="shared" ref="T71" ca="1" si="143">T70/S70-1</f>
        <v>0.12427866922288944</v>
      </c>
      <c r="U71" s="1653">
        <f t="shared" ref="U71" ca="1" si="144">U70/T70-1</f>
        <v>0.10165382650642152</v>
      </c>
      <c r="V71" s="1653"/>
      <c r="W71" s="999"/>
      <c r="X71" s="999"/>
      <c r="Y71" s="999"/>
      <c r="Z71" s="999"/>
      <c r="AA71" s="1871" t="s">
        <v>331</v>
      </c>
      <c r="AB71" s="1882">
        <f t="shared" si="139"/>
        <v>-21789.998975781</v>
      </c>
      <c r="AC71" s="1521">
        <f t="shared" si="139"/>
        <v>-20917.223252948999</v>
      </c>
      <c r="AD71" s="1521">
        <f t="shared" si="139"/>
        <v>-19849.837609882001</v>
      </c>
      <c r="AE71" s="1521">
        <f t="shared" ca="1" si="139"/>
        <v>-20550.33116467328</v>
      </c>
      <c r="AF71" s="1521">
        <f ca="1">Q73</f>
        <v>-25157.038895568781</v>
      </c>
      <c r="AG71" s="1530">
        <f ca="1">AE71/AN71-1</f>
        <v>1.365407753084491E-2</v>
      </c>
      <c r="AH71" s="1530">
        <f ca="1">AF71/AO71-1</f>
        <v>4.9343019255191134E-2</v>
      </c>
      <c r="AI71" s="3403"/>
      <c r="AK71" s="999"/>
      <c r="AL71" s="999"/>
      <c r="AM71" s="1202"/>
      <c r="AN71" s="1202">
        <v>-20273.515018784052</v>
      </c>
      <c r="AO71" s="1256">
        <v>-23974.085150368552</v>
      </c>
      <c r="AP71" s="1559"/>
    </row>
    <row r="72" spans="1:42" ht="16.5" customHeight="1" outlineLevel="1">
      <c r="A72" s="999"/>
      <c r="B72" s="1241"/>
      <c r="C72" s="1656" t="s">
        <v>531</v>
      </c>
      <c r="D72" s="1606">
        <v>70</v>
      </c>
      <c r="E72" s="1625" t="e">
        <f t="shared" ref="E72:H72" si="145">E70/E67</f>
        <v>#VALUE!</v>
      </c>
      <c r="F72" s="1625">
        <f t="shared" si="145"/>
        <v>0.15532698506594389</v>
      </c>
      <c r="G72" s="1625">
        <f t="shared" si="145"/>
        <v>0.16170292332654898</v>
      </c>
      <c r="H72" s="1625">
        <f t="shared" si="145"/>
        <v>0.16795013796945615</v>
      </c>
      <c r="I72" s="1625">
        <f t="shared" ref="I72:Q72" si="146">I70/I67</f>
        <v>0.17675432329432134</v>
      </c>
      <c r="J72" s="1625">
        <f t="shared" si="146"/>
        <v>0.19073103499694744</v>
      </c>
      <c r="K72" s="1625">
        <f t="shared" si="146"/>
        <v>0.22068517432791743</v>
      </c>
      <c r="L72" s="1625">
        <f t="shared" si="146"/>
        <v>0.22472802217974888</v>
      </c>
      <c r="M72" s="1625">
        <f t="shared" ca="1" si="146"/>
        <v>0.23074296911232317</v>
      </c>
      <c r="N72" s="1625">
        <f>N70/N67</f>
        <v>0.19040119582403459</v>
      </c>
      <c r="O72" s="1625">
        <f>O70/O67</f>
        <v>0.20469684451770898</v>
      </c>
      <c r="P72" s="1657">
        <f t="shared" ca="1" si="146"/>
        <v>0.19635636031741605</v>
      </c>
      <c r="Q72" s="1657">
        <f t="shared" ca="1" si="146"/>
        <v>0.20061970470619181</v>
      </c>
      <c r="R72" s="1657">
        <f t="shared" ref="R72:S72" ca="1" si="147">R70/R67</f>
        <v>0.20469619888577628</v>
      </c>
      <c r="S72" s="1657">
        <f t="shared" ca="1" si="147"/>
        <v>0.20755550729663999</v>
      </c>
      <c r="T72" s="1657">
        <f t="shared" ref="T72:U72" ca="1" si="148">T70/T67</f>
        <v>0.20970572248189295</v>
      </c>
      <c r="U72" s="1657">
        <f t="shared" ca="1" si="148"/>
        <v>0.21128519292495929</v>
      </c>
      <c r="V72" s="1657"/>
      <c r="W72" s="999"/>
      <c r="X72" s="999"/>
      <c r="Y72" s="999"/>
      <c r="Z72" s="999"/>
      <c r="AA72" s="1871" t="s">
        <v>333</v>
      </c>
      <c r="AB72" s="1882">
        <f t="shared" si="139"/>
        <v>-2348.039543287</v>
      </c>
      <c r="AC72" s="1521">
        <f t="shared" si="139"/>
        <v>-1196.355624265</v>
      </c>
      <c r="AD72" s="1521">
        <f t="shared" si="139"/>
        <v>-3565.7675831020001</v>
      </c>
      <c r="AE72" s="1521">
        <f t="shared" ca="1" si="139"/>
        <v>-3691.6022251246195</v>
      </c>
      <c r="AF72" s="1521">
        <f ca="1">Q74</f>
        <v>-4519.1379165740464</v>
      </c>
      <c r="AG72" s="1552">
        <f ca="1">AE72/AN72-1</f>
        <v>1.365407753084491E-2</v>
      </c>
      <c r="AH72" s="1552">
        <f ca="1">AF72/AO72-1</f>
        <v>4.9343019255190912E-2</v>
      </c>
      <c r="AI72" s="3403"/>
      <c r="AK72" s="999"/>
      <c r="AL72" s="999"/>
      <c r="AM72" s="1202"/>
      <c r="AN72" s="1202">
        <v>-3641.8757709898186</v>
      </c>
      <c r="AO72" s="1256">
        <v>-4306.6355173179381</v>
      </c>
      <c r="AP72" s="1558"/>
    </row>
    <row r="73" spans="1:42" ht="16.5" customHeight="1" outlineLevel="2">
      <c r="A73" s="999"/>
      <c r="B73" s="1001" t="s">
        <v>331</v>
      </c>
      <c r="C73" s="1612" t="s">
        <v>532</v>
      </c>
      <c r="D73" s="1606">
        <v>71</v>
      </c>
      <c r="E73" s="1210" t="str">
        <f>Rev_Year!A41</f>
        <v xml:space="preserve">Selling cost </v>
      </c>
      <c r="F73" s="1210">
        <f>Rev_Year!B41</f>
        <v>-2351.0947199970001</v>
      </c>
      <c r="G73" s="1210">
        <f>Rev_Year!C41</f>
        <v>-4287.696260226</v>
      </c>
      <c r="H73" s="1210">
        <f>Rev_Year!D41</f>
        <v>-7017.0613213659999</v>
      </c>
      <c r="I73" s="1210">
        <f>Rev_Year!E41</f>
        <v>-9659.7411887559992</v>
      </c>
      <c r="J73" s="1210">
        <f>Rev_Year!F41</f>
        <v>-12437.282718212</v>
      </c>
      <c r="K73" s="1210">
        <f>Rev_Year!G41</f>
        <v>-15333.798830787</v>
      </c>
      <c r="L73" s="1210">
        <f>Rev_Year!H41</f>
        <v>-17914.173302345</v>
      </c>
      <c r="M73" s="1210">
        <f>Rev_Year!I41</f>
        <v>-21789.998975781</v>
      </c>
      <c r="N73" s="1210">
        <f>Rev_Year!J41</f>
        <v>-20917.223252948999</v>
      </c>
      <c r="O73" s="1210">
        <f>Rev_Year!K41</f>
        <v>-19849.837609882001</v>
      </c>
      <c r="P73" s="1217">
        <f ca="1">Rev_Year!L41</f>
        <v>-20550.33116467328</v>
      </c>
      <c r="Q73" s="1217">
        <f ca="1">Rev_Year!M41</f>
        <v>-25157.038895568781</v>
      </c>
      <c r="R73" s="1217">
        <f ca="1">Rev_Year!N41</f>
        <v>-29160.551392820907</v>
      </c>
      <c r="S73" s="1217">
        <f ca="1">Rev_Year!O41</f>
        <v>-34041.07955355099</v>
      </c>
      <c r="T73" s="1217">
        <f ca="1">Rev_Year!P41</f>
        <v>-38113.316953776732</v>
      </c>
      <c r="U73" s="1217">
        <f ca="1">Rev_Year!Q41</f>
        <v>-41688.699122028236</v>
      </c>
      <c r="V73" s="1217"/>
      <c r="W73" s="999"/>
      <c r="X73" s="999"/>
      <c r="Y73" s="999"/>
      <c r="Z73" s="999"/>
      <c r="AA73" s="1834" t="s">
        <v>283</v>
      </c>
      <c r="AB73" s="1884">
        <f ca="1">M76</f>
        <v>0.18093833110701157</v>
      </c>
      <c r="AC73" s="1885">
        <f>N76</f>
        <v>0.18695991230610426</v>
      </c>
      <c r="AD73" s="1885">
        <f>O76</f>
        <v>0.17429957013498124</v>
      </c>
      <c r="AE73" s="1885">
        <f ca="1">P76</f>
        <v>0.1518996872029571</v>
      </c>
      <c r="AF73" s="1885">
        <f ca="1">Q76</f>
        <v>0.15297211249996345</v>
      </c>
      <c r="AG73" s="1892">
        <f ca="1">(AE73-AN73)*100</f>
        <v>-0.22137476361137887</v>
      </c>
      <c r="AH73" s="1892">
        <f ca="1">(AF73-AO73)*100</f>
        <v>-0.16168215861708246</v>
      </c>
      <c r="AI73" s="3403"/>
      <c r="AK73" s="999"/>
      <c r="AL73" s="999"/>
      <c r="AM73" s="1576"/>
      <c r="AN73" s="1576">
        <v>0.15411343483907089</v>
      </c>
      <c r="AO73" s="1423">
        <v>0.15458893408613428</v>
      </c>
      <c r="AP73" s="1559"/>
    </row>
    <row r="74" spans="1:42" ht="16.5" customHeight="1" outlineLevel="2">
      <c r="A74" s="999"/>
      <c r="B74" s="1001" t="s">
        <v>333</v>
      </c>
      <c r="C74" s="1612" t="s">
        <v>533</v>
      </c>
      <c r="D74" s="1606">
        <v>72</v>
      </c>
      <c r="E74" s="1210" t="str">
        <f>Rev_Year!A42</f>
        <v>G&amp;A cost</v>
      </c>
      <c r="F74" s="1210">
        <f>Rev_Year!B42</f>
        <v>-249.31530653499999</v>
      </c>
      <c r="G74" s="1210">
        <f>Rev_Year!C42</f>
        <v>-934.77694112400002</v>
      </c>
      <c r="H74" s="1210">
        <f>Rev_Year!D42</f>
        <v>-1345.4973815589999</v>
      </c>
      <c r="I74" s="1210">
        <f>Rev_Year!E42</f>
        <v>-1761.6139000799999</v>
      </c>
      <c r="J74" s="1210">
        <f>Rev_Year!F42</f>
        <v>-2073.782880058</v>
      </c>
      <c r="K74" s="1210">
        <f>Rev_Year!G42</f>
        <v>-3404.431838167</v>
      </c>
      <c r="L74" s="1210">
        <f>Rev_Year!H42</f>
        <v>-3823.390074765</v>
      </c>
      <c r="M74" s="1210">
        <f>Rev_Year!I42</f>
        <v>-2348.039543287</v>
      </c>
      <c r="N74" s="1210">
        <f>Rev_Year!J42</f>
        <v>-1196.355624265</v>
      </c>
      <c r="O74" s="1210">
        <f>Rev_Year!K42</f>
        <v>-3565.7675831020001</v>
      </c>
      <c r="P74" s="1217">
        <f ca="1">Rev_Year!L42</f>
        <v>-3691.6022251246195</v>
      </c>
      <c r="Q74" s="1217">
        <f ca="1">Rev_Year!M42</f>
        <v>-4519.1379165740464</v>
      </c>
      <c r="R74" s="1217">
        <f ca="1">Rev_Year!N42</f>
        <v>-5238.3173558123008</v>
      </c>
      <c r="S74" s="1217">
        <f ca="1">Rev_Year!O42</f>
        <v>-6115.0413596038461</v>
      </c>
      <c r="T74" s="1217">
        <f ca="1">Rev_Year!P42</f>
        <v>-6846.566342215875</v>
      </c>
      <c r="U74" s="1217">
        <f ca="1">Rev_Year!Q42</f>
        <v>-7488.8376838416234</v>
      </c>
      <c r="V74" s="1217"/>
      <c r="W74" s="999"/>
      <c r="X74" s="999"/>
      <c r="Y74" s="999"/>
      <c r="Z74" s="999"/>
      <c r="AA74" s="1871" t="s">
        <v>201</v>
      </c>
      <c r="AB74" s="1882">
        <f>M78</f>
        <v>6644.1768487930021</v>
      </c>
      <c r="AC74" s="1521">
        <f>N78</f>
        <v>407.03428651599825</v>
      </c>
      <c r="AD74" s="1521">
        <f>O78</f>
        <v>4083.6048840370022</v>
      </c>
      <c r="AE74" s="1521">
        <f ca="1">P78</f>
        <v>7094.9172326653243</v>
      </c>
      <c r="AF74" s="1521">
        <f ca="1">Q78</f>
        <v>9243.5042432015143</v>
      </c>
      <c r="AG74" s="1530">
        <f ca="1">AE74/AN74-1</f>
        <v>7.9450985279701847E-2</v>
      </c>
      <c r="AH74" s="1530">
        <f ca="1">AF74/AO74-1</f>
        <v>0.14276587989105183</v>
      </c>
      <c r="AI74" s="3403"/>
      <c r="AK74" s="999"/>
      <c r="AL74" s="999"/>
      <c r="AM74" s="1202"/>
      <c r="AN74" s="1202">
        <v>6572.7090246964071</v>
      </c>
      <c r="AO74" s="1256">
        <v>8088.7121376801733</v>
      </c>
      <c r="AP74" s="1558"/>
    </row>
    <row r="75" spans="1:42" ht="16.5" customHeight="1" outlineLevel="1">
      <c r="A75" s="999"/>
      <c r="B75" s="1198"/>
      <c r="C75" s="1621" t="s">
        <v>534</v>
      </c>
      <c r="D75" s="1606">
        <v>73</v>
      </c>
      <c r="E75" s="1623">
        <f t="shared" ref="E75:H75" si="149">SUM(E73:E74)</f>
        <v>0</v>
      </c>
      <c r="F75" s="1623">
        <f t="shared" si="149"/>
        <v>-2600.4100265320003</v>
      </c>
      <c r="G75" s="1623">
        <f t="shared" si="149"/>
        <v>-5222.4732013499997</v>
      </c>
      <c r="H75" s="1623">
        <f t="shared" si="149"/>
        <v>-8362.558702925</v>
      </c>
      <c r="I75" s="1623">
        <f t="shared" ref="I75:Q75" si="150">SUM(I73:I74)</f>
        <v>-11421.355088835999</v>
      </c>
      <c r="J75" s="1623">
        <f t="shared" si="150"/>
        <v>-14511.065598270001</v>
      </c>
      <c r="K75" s="1623">
        <f t="shared" si="150"/>
        <v>-18738.230668953998</v>
      </c>
      <c r="L75" s="1623">
        <f t="shared" si="150"/>
        <v>-21737.56337711</v>
      </c>
      <c r="M75" s="1623">
        <f t="shared" si="150"/>
        <v>-24138.038519067999</v>
      </c>
      <c r="N75" s="1623">
        <f>SUM(N73:N74)</f>
        <v>-22113.578877214</v>
      </c>
      <c r="O75" s="1623">
        <f>SUM(O73:O74)</f>
        <v>-23415.605192984</v>
      </c>
      <c r="P75" s="1218">
        <f t="shared" ca="1" si="150"/>
        <v>-24241.933389797901</v>
      </c>
      <c r="Q75" s="1218">
        <f t="shared" ca="1" si="150"/>
        <v>-29676.176812142829</v>
      </c>
      <c r="R75" s="1218">
        <f t="shared" ref="R75:S75" ca="1" si="151">SUM(R73:R74)</f>
        <v>-34398.868748633206</v>
      </c>
      <c r="S75" s="1218">
        <f t="shared" ca="1" si="151"/>
        <v>-40156.120913154838</v>
      </c>
      <c r="T75" s="1218">
        <f t="shared" ref="T75:U75" ca="1" si="152">SUM(T73:T74)</f>
        <v>-44959.883295992608</v>
      </c>
      <c r="U75" s="1218">
        <f t="shared" ca="1" si="152"/>
        <v>-49177.536805869859</v>
      </c>
      <c r="V75" s="1218"/>
      <c r="W75" s="999"/>
      <c r="X75" s="1218"/>
      <c r="Y75" s="999"/>
      <c r="Z75" s="999"/>
      <c r="AA75" s="1834" t="s">
        <v>535</v>
      </c>
      <c r="AB75" s="1884">
        <f ca="1">AB74/AB67</f>
        <v>4.9804638005311583E-2</v>
      </c>
      <c r="AC75" s="1885">
        <f>AC74/AC67</f>
        <v>3.4412835179303265E-3</v>
      </c>
      <c r="AD75" s="1885">
        <f>AD74/AD67</f>
        <v>3.0397274382727747E-2</v>
      </c>
      <c r="AE75" s="1885">
        <f ca="1">AE74/AE67</f>
        <v>4.4456673114458937E-2</v>
      </c>
      <c r="AF75" s="1885">
        <f ca="1">AF74/AF67</f>
        <v>4.7647592206228363E-2</v>
      </c>
      <c r="AG75" s="1892">
        <f ca="1">(AE75-AN75)*100</f>
        <v>0.21014060440645368</v>
      </c>
      <c r="AH75" s="1892">
        <f ca="1">(AF75-AO75)*100</f>
        <v>0.34328282973903268</v>
      </c>
      <c r="AI75" s="3403"/>
      <c r="AK75" s="999"/>
      <c r="AL75" s="999"/>
      <c r="AM75" s="1576"/>
      <c r="AN75" s="1576">
        <v>4.2355267070394401E-2</v>
      </c>
      <c r="AO75" s="1423">
        <v>4.4214763908838037E-2</v>
      </c>
      <c r="AP75" s="1571"/>
    </row>
    <row r="76" spans="1:42" s="23" customFormat="1" ht="16.5" customHeight="1" outlineLevel="1">
      <c r="A76" s="1195"/>
      <c r="B76" s="1241"/>
      <c r="C76" s="1645" t="s">
        <v>536</v>
      </c>
      <c r="D76" s="1606">
        <v>74</v>
      </c>
      <c r="E76" s="1658" t="e">
        <f t="shared" ref="E76:H76" si="153">-E75/E67</f>
        <v>#VALUE!</v>
      </c>
      <c r="F76" s="1658">
        <f t="shared" si="153"/>
        <v>0.1029753895695891</v>
      </c>
      <c r="G76" s="1658">
        <f t="shared" si="153"/>
        <v>0.11706081766252012</v>
      </c>
      <c r="H76" s="1658">
        <f t="shared" si="153"/>
        <v>0.12605642728006444</v>
      </c>
      <c r="I76" s="1658">
        <f t="shared" ref="I76:L76" si="154">-I75/I67</f>
        <v>0.13201393037713346</v>
      </c>
      <c r="J76" s="1658">
        <f t="shared" si="154"/>
        <v>0.14202273521667422</v>
      </c>
      <c r="K76" s="1658">
        <f t="shared" si="154"/>
        <v>0.17262936703449572</v>
      </c>
      <c r="L76" s="1658">
        <f t="shared" si="154"/>
        <v>0.17678837179608181</v>
      </c>
      <c r="M76" s="1658">
        <f t="shared" ref="M76:Q76" ca="1" si="155">-M75/M67</f>
        <v>0.18093833110701157</v>
      </c>
      <c r="N76" s="1658">
        <f>-N75/N67</f>
        <v>0.18695991230610426</v>
      </c>
      <c r="O76" s="1658">
        <f>-O75/O67</f>
        <v>0.17429957013498124</v>
      </c>
      <c r="P76" s="1659">
        <f t="shared" ca="1" si="155"/>
        <v>0.1518996872029571</v>
      </c>
      <c r="Q76" s="1659">
        <f t="shared" ca="1" si="155"/>
        <v>0.15297211249996345</v>
      </c>
      <c r="R76" s="1659">
        <f t="shared" ref="R76:S76" ca="1" si="156">-R75/R67</f>
        <v>0.15453374586418064</v>
      </c>
      <c r="S76" s="1659">
        <f t="shared" ca="1" si="156"/>
        <v>0.15656263173492357</v>
      </c>
      <c r="T76" s="1659">
        <f t="shared" ref="T76:U76" ca="1" si="157">-T75/T67</f>
        <v>0.15753011290456842</v>
      </c>
      <c r="U76" s="1659">
        <f t="shared" ca="1" si="157"/>
        <v>0.1575864290674249</v>
      </c>
      <c r="V76" s="1659"/>
      <c r="W76" s="1195"/>
      <c r="X76" s="1195"/>
      <c r="Y76" s="1195"/>
      <c r="Z76" s="1195"/>
      <c r="AA76" s="1871" t="s">
        <v>537</v>
      </c>
      <c r="AB76" s="1882">
        <f>M80</f>
        <v>1313.1373043230001</v>
      </c>
      <c r="AC76" s="1521">
        <f>N80</f>
        <v>2166.9637150909998</v>
      </c>
      <c r="AD76" s="1521">
        <f>O80+O86</f>
        <v>1188.0369957530002</v>
      </c>
      <c r="AE76" s="1521">
        <f ca="1">P80+P86</f>
        <v>1535.990100360377</v>
      </c>
      <c r="AF76" s="1521">
        <f ca="1">Q80+Q86</f>
        <v>1510.1870620912609</v>
      </c>
      <c r="AG76" s="1530">
        <f ca="1">AE76/AN76-1</f>
        <v>8.3019953771461541E-3</v>
      </c>
      <c r="AH76" s="1530">
        <f ca="1">AF76/AO76-1</f>
        <v>2.2994378346019362E-2</v>
      </c>
      <c r="AI76" s="3403"/>
      <c r="AK76" s="1195"/>
      <c r="AL76" s="1660">
        <f>AD77/-250-1</f>
        <v>-0.82161418040400003</v>
      </c>
      <c r="AM76" s="1202"/>
      <c r="AN76" s="1202">
        <v>1523.3433112327164</v>
      </c>
      <c r="AO76" s="1256">
        <v>1476.2417996205768</v>
      </c>
      <c r="AP76" s="1579"/>
    </row>
    <row r="77" spans="1:42" s="23" customFormat="1" ht="16.5" customHeight="1" outlineLevel="1">
      <c r="A77" s="1195"/>
      <c r="B77" s="1241"/>
      <c r="C77" s="1645" t="s">
        <v>538</v>
      </c>
      <c r="D77" s="1606">
        <v>75</v>
      </c>
      <c r="E77" s="1658" t="e">
        <f t="shared" ref="E77:H77" si="158">-E75/E70</f>
        <v>#VALUE!</v>
      </c>
      <c r="F77" s="1658">
        <f t="shared" si="158"/>
        <v>0.66295878675473563</v>
      </c>
      <c r="G77" s="1658">
        <f t="shared" si="158"/>
        <v>0.72392517868166861</v>
      </c>
      <c r="H77" s="1658">
        <f t="shared" si="158"/>
        <v>0.75055864082105961</v>
      </c>
      <c r="I77" s="1658">
        <f t="shared" ref="I77:Q77" si="159">-I75/I70</f>
        <v>0.74687808431882763</v>
      </c>
      <c r="J77" s="1658">
        <f t="shared" si="159"/>
        <v>0.74462310351824612</v>
      </c>
      <c r="K77" s="1658">
        <f t="shared" si="159"/>
        <v>0.78224270189525602</v>
      </c>
      <c r="L77" s="1658">
        <f t="shared" si="159"/>
        <v>0.78667702443746645</v>
      </c>
      <c r="M77" s="1658">
        <f>-M75/M70</f>
        <v>0.78415533874374643</v>
      </c>
      <c r="N77" s="1658">
        <f>-N75/N70</f>
        <v>0.98192614545808476</v>
      </c>
      <c r="O77" s="1658">
        <f>-O75/O70</f>
        <v>0.85150101138907408</v>
      </c>
      <c r="P77" s="1661">
        <f t="shared" ca="1" si="159"/>
        <v>0.77359188649354993</v>
      </c>
      <c r="Q77" s="1661">
        <f t="shared" ca="1" si="159"/>
        <v>0.76249794467593091</v>
      </c>
      <c r="R77" s="1661">
        <f t="shared" ref="R77:S77" ca="1" si="160">-R75/R70</f>
        <v>0.7549419417915666</v>
      </c>
      <c r="S77" s="1661">
        <f t="shared" ca="1" si="160"/>
        <v>0.75431692357439106</v>
      </c>
      <c r="T77" s="1661">
        <f t="shared" ref="T77:U77" ca="1" si="161">-T75/T70</f>
        <v>0.75119606198715128</v>
      </c>
      <c r="U77" s="1661">
        <f t="shared" ca="1" si="161"/>
        <v>0.74584700842426666</v>
      </c>
      <c r="V77" s="1661"/>
      <c r="W77" s="1195">
        <f ca="1">Rev_Year!L98/FS!P78</f>
        <v>0.74193889946635072</v>
      </c>
      <c r="X77" s="1195"/>
      <c r="Y77" s="1195"/>
      <c r="Z77" s="1195"/>
      <c r="AA77" s="1871" t="s">
        <v>539</v>
      </c>
      <c r="AB77" s="1882"/>
      <c r="AC77" s="1521"/>
      <c r="AD77" s="1521">
        <f>O85</f>
        <v>-44.596454899000001</v>
      </c>
      <c r="AE77" s="1521">
        <f>P85</f>
        <v>30.026059381131859</v>
      </c>
      <c r="AF77" s="1521">
        <f>Q85</f>
        <v>103.6279018557307</v>
      </c>
      <c r="AG77" s="1530">
        <v>0.3</v>
      </c>
      <c r="AH77" s="1530">
        <v>1.3</v>
      </c>
      <c r="AI77" s="3403"/>
      <c r="AK77" s="1195"/>
      <c r="AL77" s="1195"/>
      <c r="AM77" s="1580"/>
      <c r="AN77" s="1580">
        <v>30.026059381131859</v>
      </c>
      <c r="AO77" s="2064">
        <v>103.6279018557307</v>
      </c>
      <c r="AP77" s="1558"/>
    </row>
    <row r="78" spans="1:42" ht="16.5" customHeight="1" outlineLevel="1">
      <c r="A78" s="999"/>
      <c r="B78" s="1242" t="s">
        <v>335</v>
      </c>
      <c r="C78" s="1621" t="s">
        <v>540</v>
      </c>
      <c r="D78" s="1606">
        <v>76</v>
      </c>
      <c r="E78" s="1623" t="e">
        <f t="shared" ref="E78:H78" si="162">E70+E75</f>
        <v>#VALUE!</v>
      </c>
      <c r="F78" s="1623">
        <f t="shared" si="162"/>
        <v>1322.0208673419997</v>
      </c>
      <c r="G78" s="1623">
        <f t="shared" si="162"/>
        <v>1991.6331112120006</v>
      </c>
      <c r="H78" s="1623">
        <f t="shared" si="162"/>
        <v>2779.220564018</v>
      </c>
      <c r="I78" s="1623">
        <f t="shared" ref="I78:P78" si="163">I70+I75</f>
        <v>3870.7726742280011</v>
      </c>
      <c r="J78" s="1623">
        <f t="shared" si="163"/>
        <v>4976.7337054409982</v>
      </c>
      <c r="K78" s="1623">
        <f t="shared" si="163"/>
        <v>5216.2666035090006</v>
      </c>
      <c r="L78" s="1623">
        <f t="shared" si="163"/>
        <v>5894.5686184240003</v>
      </c>
      <c r="M78" s="1623">
        <f>M70+M75</f>
        <v>6644.1768487930021</v>
      </c>
      <c r="N78" s="1623">
        <f>N70+N75</f>
        <v>407.03428651599825</v>
      </c>
      <c r="O78" s="1623">
        <f>O70+O75</f>
        <v>4083.6048840370022</v>
      </c>
      <c r="P78" s="1207">
        <f t="shared" ca="1" si="163"/>
        <v>7094.9172326653243</v>
      </c>
      <c r="Q78" s="1207">
        <f ca="1">Q70+Q75</f>
        <v>9243.5042432015143</v>
      </c>
      <c r="R78" s="1207">
        <f t="shared" ref="R78" ca="1" si="164">R70+R75</f>
        <v>11166.050676827006</v>
      </c>
      <c r="S78" s="1207">
        <f ca="1">S70+S75</f>
        <v>13078.957948488416</v>
      </c>
      <c r="T78" s="1207">
        <f t="shared" ref="T78:U78" ca="1" si="165">T70+T75</f>
        <v>14891.180322551249</v>
      </c>
      <c r="U78" s="1207">
        <f t="shared" ca="1" si="165"/>
        <v>16757.616449978254</v>
      </c>
      <c r="V78" s="1207"/>
      <c r="W78" s="1662"/>
      <c r="X78" s="999"/>
      <c r="Y78" s="999"/>
      <c r="Z78" s="999"/>
      <c r="AA78" s="1871" t="s">
        <v>541</v>
      </c>
      <c r="AB78" s="1882">
        <f>M92</f>
        <v>-518.33832502600001</v>
      </c>
      <c r="AC78" s="1521">
        <f>N92</f>
        <v>-328.15952672900005</v>
      </c>
      <c r="AD78" s="1521">
        <f>O92</f>
        <v>-401.28241181300001</v>
      </c>
      <c r="AE78" s="1521">
        <f>P92</f>
        <v>18</v>
      </c>
      <c r="AF78" s="1521">
        <f>Q92</f>
        <v>18</v>
      </c>
      <c r="AG78" s="1530"/>
      <c r="AH78" s="1530"/>
      <c r="AI78" s="3403"/>
      <c r="AK78" s="999"/>
      <c r="AL78" s="999"/>
      <c r="AM78" s="1580"/>
      <c r="AN78" s="1580">
        <v>18</v>
      </c>
      <c r="AO78" s="2064">
        <v>18</v>
      </c>
      <c r="AP78" s="1558"/>
    </row>
    <row r="79" spans="1:42" ht="16.5" customHeight="1" outlineLevel="1">
      <c r="A79" s="999"/>
      <c r="B79" s="1243"/>
      <c r="C79" s="1645" t="s">
        <v>526</v>
      </c>
      <c r="D79" s="1606">
        <v>77</v>
      </c>
      <c r="E79" s="1652" t="e">
        <f t="shared" ref="E79" si="166">E78/D78-1</f>
        <v>#VALUE!</v>
      </c>
      <c r="F79" s="1652" t="e">
        <f t="shared" ref="F79" si="167">F78/E78-1</f>
        <v>#VALUE!</v>
      </c>
      <c r="G79" s="1652">
        <f t="shared" ref="G79" si="168">G78/F78-1</f>
        <v>0.50650656159179652</v>
      </c>
      <c r="H79" s="1652">
        <f t="shared" ref="H79" si="169">H78/G78-1</f>
        <v>0.39544806137849164</v>
      </c>
      <c r="I79" s="1652">
        <f t="shared" ref="I79:Q79" si="170">I78/H78-1</f>
        <v>0.39275476165587686</v>
      </c>
      <c r="J79" s="1652">
        <f t="shared" si="170"/>
        <v>0.28572099792286898</v>
      </c>
      <c r="K79" s="1652">
        <f t="shared" si="170"/>
        <v>4.8130543494043998E-2</v>
      </c>
      <c r="L79" s="1652">
        <f t="shared" si="170"/>
        <v>0.1300359177306436</v>
      </c>
      <c r="M79" s="1652">
        <f t="shared" si="170"/>
        <v>0.12716931108852214</v>
      </c>
      <c r="N79" s="1652">
        <f t="shared" si="170"/>
        <v>-0.93873819198687625</v>
      </c>
      <c r="O79" s="1652">
        <f t="shared" si="170"/>
        <v>9.0325820681853006</v>
      </c>
      <c r="P79" s="1663">
        <f t="shared" ca="1" si="170"/>
        <v>0.73741520890027323</v>
      </c>
      <c r="Q79" s="1663">
        <f t="shared" ca="1" si="170"/>
        <v>0.30283468292540427</v>
      </c>
      <c r="R79" s="1663">
        <f t="shared" ref="R79" ca="1" si="171">R78/Q78-1</f>
        <v>0.20798891665349761</v>
      </c>
      <c r="S79" s="1663">
        <f t="shared" ref="S79" ca="1" si="172">S78/R78-1</f>
        <v>0.17131457907774705</v>
      </c>
      <c r="T79" s="1663">
        <f t="shared" ref="T79" ca="1" si="173">T78/S78-1</f>
        <v>0.13856014991410515</v>
      </c>
      <c r="U79" s="1663">
        <f t="shared" ref="U79" ca="1" si="174">U78/T78-1</f>
        <v>0.12533836049251712</v>
      </c>
      <c r="V79" s="1663"/>
      <c r="W79" s="1663"/>
      <c r="X79" s="999"/>
      <c r="Y79" s="999"/>
      <c r="Z79" s="999"/>
      <c r="AA79" s="1871" t="s">
        <v>8</v>
      </c>
      <c r="AB79" s="1882">
        <f>M96</f>
        <v>6056.3553735580017</v>
      </c>
      <c r="AC79" s="1521">
        <f>N96</f>
        <v>689.69236789599802</v>
      </c>
      <c r="AD79" s="1521">
        <f>O96</f>
        <v>4825.7630130780026</v>
      </c>
      <c r="AE79" s="1521">
        <f ca="1">P96</f>
        <v>8678.9333924068342</v>
      </c>
      <c r="AF79" s="1521">
        <f ca="1">Q96</f>
        <v>10875.319207148506</v>
      </c>
      <c r="AG79" s="1530">
        <f ca="1">AE79/AN79-1</f>
        <v>6.5674097317699465E-2</v>
      </c>
      <c r="AH79" s="1530">
        <f t="shared" ref="AH79:AH84" ca="1" si="175">AF79/AO79-1</f>
        <v>0.12272000461367516</v>
      </c>
      <c r="AI79" s="3403"/>
      <c r="AK79" s="999"/>
      <c r="AL79" s="999"/>
      <c r="AM79" s="1202"/>
      <c r="AN79" s="1202">
        <v>8144.0783953102555</v>
      </c>
      <c r="AO79" s="1256">
        <v>9686.5818391564808</v>
      </c>
      <c r="AP79" s="1581"/>
    </row>
    <row r="80" spans="1:42" ht="16.5" customHeight="1">
      <c r="A80" s="999"/>
      <c r="B80" s="1001" t="s">
        <v>336</v>
      </c>
      <c r="C80" s="1617" t="s">
        <v>542</v>
      </c>
      <c r="D80" s="1606">
        <v>78</v>
      </c>
      <c r="E80" s="1623">
        <f>'FS Year'!M7</f>
        <v>71.335314202000006</v>
      </c>
      <c r="F80" s="1623">
        <f>'FS Year'!N7</f>
        <v>80.985820412999999</v>
      </c>
      <c r="G80" s="1623">
        <f>'FS Year'!O7</f>
        <v>135.32770073200001</v>
      </c>
      <c r="H80" s="1623">
        <f>'FS Year'!P7</f>
        <v>250.50980812700001</v>
      </c>
      <c r="I80" s="1623">
        <f>'FS Year'!Q7</f>
        <v>342.083875229</v>
      </c>
      <c r="J80" s="1623">
        <f>'FS Year'!R7</f>
        <v>631.17785435099995</v>
      </c>
      <c r="K80" s="1649">
        <f>'FS Year'!S7</f>
        <v>794.12178266700005</v>
      </c>
      <c r="L80" s="1649">
        <f>'FS Year'!T7</f>
        <v>1287.9560261629999</v>
      </c>
      <c r="M80" s="1649">
        <f>'FS Year'!U7</f>
        <v>1313.1373043230001</v>
      </c>
      <c r="N80" s="1649">
        <f>'FS Year'!V7</f>
        <v>2166.9637150909998</v>
      </c>
      <c r="O80" s="1649">
        <f>'FS Year'!W7</f>
        <v>2376.5026052630001</v>
      </c>
      <c r="P80" s="1624">
        <f ca="1">SUM(P81:P84)</f>
        <v>2769.9215903782415</v>
      </c>
      <c r="Q80" s="1624">
        <f t="shared" ref="Q80" ca="1" si="176">SUM(Q81:Q84)</f>
        <v>2800.1984874241816</v>
      </c>
      <c r="R80" s="1624">
        <f t="shared" ref="R80:U80" ca="1" si="177">SUM(R81:R84)</f>
        <v>3062.3687682336827</v>
      </c>
      <c r="S80" s="1624">
        <f t="shared" ca="1" si="177"/>
        <v>3287.5908827927337</v>
      </c>
      <c r="T80" s="1624">
        <f t="shared" ca="1" si="177"/>
        <v>3870.8981399628633</v>
      </c>
      <c r="U80" s="1624">
        <f t="shared" ca="1" si="177"/>
        <v>4592.7033559994779</v>
      </c>
      <c r="V80" s="1624"/>
      <c r="W80" s="1213"/>
      <c r="X80" s="1213"/>
      <c r="Y80" s="1213"/>
      <c r="Z80" s="999"/>
      <c r="AA80" s="1871" t="s">
        <v>543</v>
      </c>
      <c r="AB80" s="1882">
        <f t="shared" ref="AB80:AE81" si="178">M104</f>
        <v>4099.7630273050017</v>
      </c>
      <c r="AC80" s="1521">
        <f t="shared" si="178"/>
        <v>167.66939270399794</v>
      </c>
      <c r="AD80" s="1521">
        <f t="shared" si="178"/>
        <v>3721.8684416610026</v>
      </c>
      <c r="AE80" s="1521">
        <f t="shared" ca="1" si="178"/>
        <v>6757.4049217238035</v>
      </c>
      <c r="AF80" s="1521">
        <f ca="1">Q104</f>
        <v>8599.8434466857871</v>
      </c>
      <c r="AG80" s="1569">
        <f ca="1">AE80/AN80-1</f>
        <v>6.6406164349757102E-2</v>
      </c>
      <c r="AH80" s="1569">
        <f ca="1">AF80/AO80-1</f>
        <v>0.1320929022223023</v>
      </c>
      <c r="AI80" s="3403"/>
      <c r="AJ80" s="124">
        <f ca="1">AF80/AN80-1</f>
        <v>0.3571668666037402</v>
      </c>
      <c r="AK80" s="999"/>
      <c r="AL80" s="1201">
        <f ca="1">AJ80-AP80</f>
        <v>0.15835459250537176</v>
      </c>
      <c r="AM80" s="1202"/>
      <c r="AN80" s="1202">
        <v>6336.6146479884064</v>
      </c>
      <c r="AO80" s="1256">
        <v>7596.4114162400138</v>
      </c>
      <c r="AP80" s="1561">
        <f>AO80/AN80-1</f>
        <v>0.19881227409836844</v>
      </c>
    </row>
    <row r="81" spans="1:42" ht="16.5" hidden="1" customHeight="1" outlineLevel="2">
      <c r="A81" s="999"/>
      <c r="B81" s="1198"/>
      <c r="C81" s="1645" t="s">
        <v>544</v>
      </c>
      <c r="D81" s="1606">
        <v>79</v>
      </c>
      <c r="E81" s="1664">
        <f>'FS Year'!M332</f>
        <v>6.7236448620000004</v>
      </c>
      <c r="F81" s="1664">
        <f>'FS Year'!N332</f>
        <v>0.91366028600000004</v>
      </c>
      <c r="G81" s="1664">
        <f>'FS Year'!O332</f>
        <v>1.799386698</v>
      </c>
      <c r="H81" s="1664">
        <f>'FS Year'!P332</f>
        <v>35.284247594</v>
      </c>
      <c r="I81" s="1664">
        <f>'FS Year'!Q332</f>
        <v>84.857279583999997</v>
      </c>
      <c r="J81" s="1664">
        <f>'FS Year'!R332</f>
        <v>343.57902438799999</v>
      </c>
      <c r="K81" s="1664">
        <f>'FS Year'!S332</f>
        <v>567.42226849600002</v>
      </c>
      <c r="L81" s="1664">
        <f>'FS Year'!T332</f>
        <v>968.12770415399996</v>
      </c>
      <c r="M81" s="1664">
        <f>'FS Year'!U332</f>
        <v>854.20577891599999</v>
      </c>
      <c r="N81" s="1664">
        <f>'FS Year'!V332</f>
        <v>1828.042318022</v>
      </c>
      <c r="O81" s="1664">
        <f>'FS Year'!W332+'FS Year'!W333</f>
        <v>2155.6458694600001</v>
      </c>
      <c r="P81" s="1212">
        <f ca="1">IFERROR('Fixed Asset &amp; Interest'!H74,0)</f>
        <v>2571.0202867280414</v>
      </c>
      <c r="Q81" s="1212">
        <f ca="1">IFERROR('Fixed Asset &amp; Interest'!I74,0)</f>
        <v>2601.2971837739815</v>
      </c>
      <c r="R81" s="1212">
        <f ca="1">IFERROR('Fixed Asset &amp; Interest'!J74,0)</f>
        <v>2863.4674645834825</v>
      </c>
      <c r="S81" s="1212">
        <f ca="1">IFERROR('Fixed Asset &amp; Interest'!K74,0)</f>
        <v>3286.2884685177337</v>
      </c>
      <c r="T81" s="1212">
        <f ca="1">IFERROR('Fixed Asset &amp; Interest'!L74,0)</f>
        <v>3869.5957256878633</v>
      </c>
      <c r="U81" s="1212">
        <f ca="1">IFERROR('Fixed Asset &amp; Interest'!M74,0)</f>
        <v>4591.4009417244779</v>
      </c>
      <c r="V81" s="1212"/>
      <c r="W81" s="999"/>
      <c r="X81" s="999"/>
      <c r="Y81" s="999"/>
      <c r="Z81" s="999"/>
      <c r="AA81" s="1834" t="s">
        <v>31</v>
      </c>
      <c r="AB81" s="1886">
        <f t="shared" si="178"/>
        <v>-0.16349800198775055</v>
      </c>
      <c r="AC81" s="1368">
        <f t="shared" si="178"/>
        <v>-0.9591026623765091</v>
      </c>
      <c r="AD81" s="1368">
        <f t="shared" si="178"/>
        <v>21.197661610378443</v>
      </c>
      <c r="AE81" s="1368">
        <f t="shared" ca="1" si="178"/>
        <v>0.81559478193380097</v>
      </c>
      <c r="AF81" s="1368">
        <f ca="1">Q105</f>
        <v>0.27265474635667974</v>
      </c>
      <c r="AG81" s="1530">
        <f ca="1">AE81/AN81-1</f>
        <v>0.16092968132705598</v>
      </c>
      <c r="AH81" s="1530">
        <f t="shared" ca="1" si="175"/>
        <v>0.37141807563538798</v>
      </c>
      <c r="AI81" s="3403"/>
      <c r="AK81" s="999"/>
      <c r="AL81" s="999"/>
      <c r="AM81" s="1582"/>
      <c r="AN81" s="1582">
        <v>0.70253590295106982</v>
      </c>
      <c r="AO81" s="2065">
        <v>0.19881227409836844</v>
      </c>
      <c r="AP81" s="1583"/>
    </row>
    <row r="82" spans="1:42" ht="16.5" hidden="1" customHeight="1" outlineLevel="2" thickBot="1">
      <c r="A82" s="999"/>
      <c r="B82" s="1198"/>
      <c r="C82" s="1645" t="s">
        <v>545</v>
      </c>
      <c r="D82" s="1606">
        <v>80</v>
      </c>
      <c r="E82" s="1664">
        <f>'FS Year'!M340</f>
        <v>64.497775035999993</v>
      </c>
      <c r="F82" s="1664">
        <f>'FS Year'!N340</f>
        <v>0</v>
      </c>
      <c r="G82" s="1664">
        <f>'FS Year'!O340</f>
        <v>133.29439276400001</v>
      </c>
      <c r="H82" s="1664">
        <f>'FS Year'!P340</f>
        <v>215.22556053299999</v>
      </c>
      <c r="I82" s="1664">
        <f>'FS Year'!Q340</f>
        <v>255.85096610599999</v>
      </c>
      <c r="J82" s="1664">
        <f>'FS Year'!R340</f>
        <v>287.23416443100001</v>
      </c>
      <c r="K82" s="1664">
        <f>'FS Year'!S340</f>
        <v>226.36414449599999</v>
      </c>
      <c r="L82" s="1664">
        <f>'FS Year'!T340</f>
        <v>299.65597464500001</v>
      </c>
      <c r="M82" s="1664">
        <f>'FS Year'!U340</f>
        <v>315.79068537400002</v>
      </c>
      <c r="N82" s="1664">
        <f>'FS Year'!V340</f>
        <v>334.70102847800001</v>
      </c>
      <c r="O82" s="1664">
        <f>'FS Year'!W340</f>
        <v>219.554321528</v>
      </c>
      <c r="P82" s="1212">
        <f>'Fixed Asset &amp; Interest'!H75</f>
        <v>197.5988893752</v>
      </c>
      <c r="Q82" s="1212">
        <f>'Fixed Asset &amp; Interest'!I75</f>
        <v>197.5988893752</v>
      </c>
      <c r="R82" s="1212">
        <f>'Fixed Asset &amp; Interest'!J75</f>
        <v>197.5988893752</v>
      </c>
      <c r="S82" s="1212">
        <f>'Fixed Asset &amp; Interest'!R75</f>
        <v>0</v>
      </c>
      <c r="T82" s="1212">
        <f>'Fixed Asset &amp; Interest'!S75</f>
        <v>0</v>
      </c>
      <c r="U82" s="1212">
        <f>'Fixed Asset &amp; Interest'!T75</f>
        <v>0</v>
      </c>
      <c r="V82" s="1212"/>
      <c r="W82" s="999"/>
      <c r="X82" s="999"/>
      <c r="Y82" s="999"/>
      <c r="Z82" s="999"/>
      <c r="AA82" s="1871"/>
      <c r="AB82" s="1871"/>
      <c r="AC82" s="1887"/>
      <c r="AD82" s="1887"/>
      <c r="AE82" s="1887"/>
      <c r="AF82" s="1887"/>
      <c r="AG82" s="1530" t="e">
        <f t="shared" ref="AG82:AG84" si="179">AE82/AN82-1</f>
        <v>#DIV/0!</v>
      </c>
      <c r="AH82" s="1530" t="e">
        <f t="shared" si="175"/>
        <v>#DIV/0!</v>
      </c>
      <c r="AI82" s="3403"/>
      <c r="AJ82">
        <f ca="1">AE80/AN80-1</f>
        <v>6.6406164349757102E-2</v>
      </c>
      <c r="AK82">
        <f ca="1">AF80/AO80-1</f>
        <v>0.1320929022223023</v>
      </c>
      <c r="AL82" s="999"/>
      <c r="AM82" s="999"/>
      <c r="AN82" s="999"/>
      <c r="AO82" s="999"/>
      <c r="AP82" s="1585"/>
    </row>
    <row r="83" spans="1:42" ht="16.5" hidden="1" customHeight="1" outlineLevel="2">
      <c r="A83" s="999"/>
      <c r="B83" s="1198"/>
      <c r="C83" s="1645" t="s">
        <v>546</v>
      </c>
      <c r="D83" s="1606">
        <v>81</v>
      </c>
      <c r="E83" s="1664">
        <f>'FS Year'!M337</f>
        <v>0.113894304</v>
      </c>
      <c r="F83" s="1664">
        <f>'FS Year'!N337</f>
        <v>1.041648482</v>
      </c>
      <c r="G83" s="1664">
        <f>'FS Year'!O337</f>
        <v>0.23392126999999999</v>
      </c>
      <c r="H83" s="1664">
        <f>'FS Year'!P337</f>
        <v>0</v>
      </c>
      <c r="I83" s="1664">
        <f>'FS Year'!Q337</f>
        <v>1.375629539</v>
      </c>
      <c r="J83" s="1664">
        <f>'FS Year'!R337</f>
        <v>0.36466553200000001</v>
      </c>
      <c r="K83" s="1664">
        <f>'FS Year'!S337</f>
        <v>0.33536967499999998</v>
      </c>
      <c r="L83" s="1664">
        <f>'FS Year'!T337</f>
        <v>20.172347364</v>
      </c>
      <c r="M83" s="1664">
        <f>'FS Year'!U337</f>
        <v>143.14084003299999</v>
      </c>
      <c r="N83" s="1664">
        <f>'FS Year'!V337</f>
        <v>4.2203685909999997</v>
      </c>
      <c r="O83" s="1664">
        <f>'FS Year'!W337</f>
        <v>1.3024142750000001</v>
      </c>
      <c r="P83" s="1212">
        <f t="shared" ref="P83:Q83" si="180">O83</f>
        <v>1.3024142750000001</v>
      </c>
      <c r="Q83" s="1212">
        <f t="shared" si="180"/>
        <v>1.3024142750000001</v>
      </c>
      <c r="R83" s="1212">
        <f t="shared" ref="R83:R84" si="181">Q83</f>
        <v>1.3024142750000001</v>
      </c>
      <c r="S83" s="1212">
        <f t="shared" ref="S83:S84" si="182">R83</f>
        <v>1.3024142750000001</v>
      </c>
      <c r="T83" s="1212">
        <f t="shared" ref="T83:T84" si="183">S83</f>
        <v>1.3024142750000001</v>
      </c>
      <c r="U83" s="1212">
        <f t="shared" ref="U83:U84" si="184">T83</f>
        <v>1.3024142750000001</v>
      </c>
      <c r="V83" s="1212"/>
      <c r="W83" s="999"/>
      <c r="X83" s="999"/>
      <c r="Y83" s="999"/>
      <c r="Z83" s="999"/>
      <c r="AA83" s="1871"/>
      <c r="AB83" s="1871"/>
      <c r="AC83" s="1887"/>
      <c r="AD83" s="1887"/>
      <c r="AE83" s="1887"/>
      <c r="AF83" s="1887"/>
      <c r="AG83" s="1530" t="e">
        <f t="shared" si="179"/>
        <v>#DIV/0!</v>
      </c>
      <c r="AH83" s="1530" t="e">
        <f t="shared" si="175"/>
        <v>#DIV/0!</v>
      </c>
      <c r="AI83" s="3403"/>
      <c r="AK83" s="999"/>
      <c r="AL83" s="999"/>
      <c r="AM83" s="999"/>
      <c r="AN83" s="999"/>
      <c r="AO83" s="999"/>
      <c r="AP83" s="999"/>
    </row>
    <row r="84" spans="1:42" ht="16.5" hidden="1" customHeight="1" outlineLevel="2">
      <c r="A84" s="999"/>
      <c r="B84" s="1198"/>
      <c r="C84" s="1645" t="s">
        <v>547</v>
      </c>
      <c r="D84" s="1606">
        <v>82</v>
      </c>
      <c r="E84" s="1664">
        <v>-4</v>
      </c>
      <c r="F84" s="1664">
        <v>-3</v>
      </c>
      <c r="G84" s="1664">
        <v>-2</v>
      </c>
      <c r="H84" s="1664">
        <v>-1</v>
      </c>
      <c r="I84" s="1664">
        <v>0</v>
      </c>
      <c r="J84" s="1664">
        <v>0</v>
      </c>
      <c r="K84" s="1664">
        <v>0</v>
      </c>
      <c r="L84" s="1664">
        <v>0</v>
      </c>
      <c r="M84" s="1664">
        <v>1</v>
      </c>
      <c r="N84" s="1664">
        <v>2</v>
      </c>
      <c r="O84" s="1664">
        <v>2</v>
      </c>
      <c r="P84" s="1212">
        <v>0</v>
      </c>
      <c r="Q84" s="1212">
        <f t="shared" ref="Q84" si="185">P84</f>
        <v>0</v>
      </c>
      <c r="R84" s="1212">
        <f t="shared" si="181"/>
        <v>0</v>
      </c>
      <c r="S84" s="1212">
        <f t="shared" si="182"/>
        <v>0</v>
      </c>
      <c r="T84" s="1212">
        <f t="shared" si="183"/>
        <v>0</v>
      </c>
      <c r="U84" s="1212">
        <f t="shared" si="184"/>
        <v>0</v>
      </c>
      <c r="V84" s="1212"/>
      <c r="W84" s="999"/>
      <c r="X84" s="999"/>
      <c r="Y84" s="999"/>
      <c r="Z84" s="999"/>
      <c r="AA84" s="1871"/>
      <c r="AB84" s="1871"/>
      <c r="AC84" s="1887"/>
      <c r="AD84" s="1887"/>
      <c r="AE84" s="1887"/>
      <c r="AF84" s="1887"/>
      <c r="AG84" s="1530" t="e">
        <f t="shared" si="179"/>
        <v>#DIV/0!</v>
      </c>
      <c r="AH84" s="1530" t="e">
        <f t="shared" si="175"/>
        <v>#DIV/0!</v>
      </c>
      <c r="AI84" s="3403"/>
      <c r="AK84" s="999"/>
      <c r="AL84" s="999"/>
      <c r="AM84" s="999"/>
      <c r="AN84" s="999"/>
      <c r="AO84" s="999"/>
      <c r="AP84" s="999"/>
    </row>
    <row r="85" spans="1:42" ht="16.5" customHeight="1" outlineLevel="1" collapsed="1">
      <c r="A85" s="999"/>
      <c r="B85" s="1001" t="s">
        <v>342</v>
      </c>
      <c r="C85" s="1645" t="str">
        <f>'FS Year'!B10</f>
        <v>Gain/(Loss) From Joint Ventures (From 2015)</v>
      </c>
      <c r="D85" s="1606">
        <v>83</v>
      </c>
      <c r="E85" s="1664">
        <f>'FS Year'!M10</f>
        <v>0</v>
      </c>
      <c r="F85" s="1664">
        <f>'FS Year'!N10</f>
        <v>0</v>
      </c>
      <c r="G85" s="1664">
        <f>'FS Year'!O10</f>
        <v>0</v>
      </c>
      <c r="H85" s="1664">
        <f>'FS Year'!P10</f>
        <v>0</v>
      </c>
      <c r="I85" s="1664">
        <f>'FS Year'!Q10</f>
        <v>-2.1009868850000002</v>
      </c>
      <c r="J85" s="1664">
        <f>'FS Year'!R10</f>
        <v>-3.473283371</v>
      </c>
      <c r="K85" s="1665">
        <f>'FS Year'!S10</f>
        <v>-3.7069394710000001</v>
      </c>
      <c r="L85" s="1665">
        <f>'FS Year'!T10</f>
        <v>-2.2105004859999999</v>
      </c>
      <c r="M85" s="1665">
        <f>'FS Year'!U10</f>
        <v>0</v>
      </c>
      <c r="N85" s="1665">
        <f>'FS Year'!V10</f>
        <v>0</v>
      </c>
      <c r="O85" s="1665">
        <f>'FS Year'!W10</f>
        <v>-44.596454899000001</v>
      </c>
      <c r="P85" s="1212">
        <f>SUM(Rev_Year!AW51:AZ51)</f>
        <v>30.026059381131859</v>
      </c>
      <c r="Q85" s="1212">
        <f>SUM(Rev_Year!BA51:BD51)</f>
        <v>103.6279018557307</v>
      </c>
      <c r="R85" s="1212">
        <f>SUM(Rev_Year!BB51:BE51)</f>
        <v>130.58207687294083</v>
      </c>
      <c r="S85" s="1212">
        <f>SUM(Rev_Year!BC51:BF51)</f>
        <v>159.09245602388489</v>
      </c>
      <c r="T85" s="1212">
        <f>SUM(Rev_Year!BD51:BG51)</f>
        <v>193.71410285159729</v>
      </c>
      <c r="U85" s="1212">
        <f>SUM(Rev_Year!BE51:BH51)</f>
        <v>230.27256389067577</v>
      </c>
      <c r="V85" s="1212"/>
      <c r="W85" s="999"/>
      <c r="X85" s="999"/>
      <c r="Y85" s="999"/>
      <c r="Z85" s="999"/>
      <c r="AA85" s="1834" t="s">
        <v>548</v>
      </c>
      <c r="AB85" s="1884">
        <f ca="1">AB80/AB67</f>
        <v>3.0731754757487999E-2</v>
      </c>
      <c r="AC85" s="1885">
        <f>AC80/AC67</f>
        <v>1.4175658825020796E-3</v>
      </c>
      <c r="AD85" s="1885">
        <f>AD80/AD67</f>
        <v>2.7704604008050183E-2</v>
      </c>
      <c r="AE85" s="1885">
        <f ca="1">AE80/AE67</f>
        <v>4.2341824697263795E-2</v>
      </c>
      <c r="AF85" s="1885">
        <f ca="1">AF80/AF67</f>
        <v>4.4329706873501427E-2</v>
      </c>
      <c r="AG85" s="1892">
        <f ca="1">(AE85-AN85)*100</f>
        <v>0.1507976016411984</v>
      </c>
      <c r="AH85" s="1892">
        <f ca="1">(AF85-AO85)*100</f>
        <v>0.28059721174043883</v>
      </c>
      <c r="AI85" s="3403"/>
      <c r="AK85" s="999"/>
      <c r="AL85" s="999"/>
      <c r="AM85" s="999"/>
      <c r="AN85" s="999">
        <v>4.0833848680851811E-2</v>
      </c>
      <c r="AO85" s="999">
        <v>4.1523734756097039E-2</v>
      </c>
      <c r="AP85" s="999"/>
    </row>
    <row r="86" spans="1:42" ht="16.5" customHeight="1" outlineLevel="1">
      <c r="A86" s="999"/>
      <c r="B86" s="1001" t="s">
        <v>338</v>
      </c>
      <c r="C86" s="1617" t="s">
        <v>549</v>
      </c>
      <c r="D86" s="1606">
        <v>84</v>
      </c>
      <c r="E86" s="1623">
        <f>'FS Year'!M8</f>
        <v>-21.291413995999999</v>
      </c>
      <c r="F86" s="1623">
        <f>'FS Year'!N8</f>
        <v>-40.666093756000002</v>
      </c>
      <c r="G86" s="1623">
        <f>'FS Year'!O8</f>
        <v>-120.085861346</v>
      </c>
      <c r="H86" s="1623">
        <f>'FS Year'!P8</f>
        <v>-234.28659627499999</v>
      </c>
      <c r="I86" s="1623">
        <f>'FS Year'!Q8</f>
        <v>-436.573150236</v>
      </c>
      <c r="J86" s="1649">
        <f>'FS Year'!R8</f>
        <v>-569.75484484399999</v>
      </c>
      <c r="K86" s="1649">
        <f>'FS Year'!S8</f>
        <v>-594.15151375100004</v>
      </c>
      <c r="L86" s="1649">
        <f>'FS Year'!T8</f>
        <v>-714.70722574499996</v>
      </c>
      <c r="M86" s="1649">
        <f>'FS Year'!U8</f>
        <v>-1382.6204545319999</v>
      </c>
      <c r="N86" s="1649">
        <f>'FS Year'!V8</f>
        <v>-1556.146106982</v>
      </c>
      <c r="O86" s="1649">
        <f>'FS Year'!W8</f>
        <v>-1188.4656095099999</v>
      </c>
      <c r="P86" s="1666">
        <f ca="1">SUM(P87:P90)</f>
        <v>-1233.9314900178645</v>
      </c>
      <c r="Q86" s="1666">
        <f ca="1">SUM(Q87:Q90)</f>
        <v>-1290.0114253329207</v>
      </c>
      <c r="R86" s="1666">
        <f t="shared" ref="R86:S86" ca="1" si="186">SUM(R87:R90)</f>
        <v>-1277.6040434689321</v>
      </c>
      <c r="S86" s="1666">
        <f t="shared" ca="1" si="186"/>
        <v>-1275.6087126415539</v>
      </c>
      <c r="T86" s="1666">
        <f t="shared" ref="T86" ca="1" si="187">SUM(T87:T90)</f>
        <v>-1276.3966783334536</v>
      </c>
      <c r="U86" s="1666">
        <f t="shared" ref="U86" ca="1" si="188">SUM(U87:U90)</f>
        <v>-1264.5389916479699</v>
      </c>
      <c r="V86" s="1666"/>
      <c r="W86" s="1214"/>
      <c r="X86" s="1202" t="e" vm="1">
        <v>#VALUE!</v>
      </c>
      <c r="Y86" s="1667" cm="1">
        <f t="array" aca="1" ref="Y86" ca="1">_FV(X86,"Price")*180000/10^6</f>
        <v>5494.2929999999997</v>
      </c>
      <c r="Z86" s="999"/>
      <c r="AA86" s="1879" t="s">
        <v>31</v>
      </c>
      <c r="AB86" s="1880">
        <f>M105</f>
        <v>-0.16349800198775055</v>
      </c>
      <c r="AC86" s="1881">
        <f>N105</f>
        <v>-0.9591026623765091</v>
      </c>
      <c r="AD86" s="1881">
        <f>O105</f>
        <v>21.197661610378443</v>
      </c>
      <c r="AE86" s="1881">
        <f ca="1">P105</f>
        <v>0.81559478193380097</v>
      </c>
      <c r="AF86" s="2132">
        <f ca="1">AF80/AE80-1</f>
        <v>0.27265474635667974</v>
      </c>
      <c r="AG86" s="1545"/>
      <c r="AH86" s="1545"/>
      <c r="AI86" s="3403"/>
      <c r="AK86" s="999"/>
      <c r="AL86" s="999"/>
      <c r="AM86" s="1586"/>
      <c r="AN86" s="1586">
        <v>0.70253590295106982</v>
      </c>
      <c r="AO86" s="2066">
        <v>0.19881227409836844</v>
      </c>
      <c r="AP86" s="999"/>
    </row>
    <row r="87" spans="1:42" ht="16.5" hidden="1" customHeight="1" outlineLevel="2">
      <c r="A87" s="999"/>
      <c r="B87" s="1001" t="s">
        <v>340</v>
      </c>
      <c r="C87" s="1645" t="s">
        <v>550</v>
      </c>
      <c r="D87" s="1606">
        <v>85</v>
      </c>
      <c r="E87" s="1664">
        <f>'FS Year'!M342</f>
        <v>21.261415760999999</v>
      </c>
      <c r="F87" s="1664">
        <f>'FS Year'!N342</f>
        <v>38.893852013999997</v>
      </c>
      <c r="G87" s="1664">
        <f>'FS Year'!O342</f>
        <v>119.64569530599999</v>
      </c>
      <c r="H87" s="1664">
        <f>'FS Year'!P342</f>
        <v>233.20234049199999</v>
      </c>
      <c r="I87" s="1664">
        <f>'FS Year'!Q342</f>
        <v>436.416577674</v>
      </c>
      <c r="J87" s="1668">
        <f>-'FS Year'!R342</f>
        <v>-568.13671713400004</v>
      </c>
      <c r="K87" s="1668">
        <f>-'FS Year'!S342</f>
        <v>-594.00382102100002</v>
      </c>
      <c r="L87" s="1668">
        <f>-'FS Year'!T342</f>
        <v>-674.427746189</v>
      </c>
      <c r="M87" s="1668">
        <f>-'FS Year'!U342</f>
        <v>-1362.1439091029999</v>
      </c>
      <c r="N87" s="1668">
        <f>-'FS Year'!V342</f>
        <v>-1447.7183547970001</v>
      </c>
      <c r="O87" s="1668">
        <f>-'FS Year'!W342</f>
        <v>-1137.2361297479999</v>
      </c>
      <c r="P87" s="1669">
        <f ca="1">IFERROR(-'Fixed Asset &amp; Interest'!H84,0)</f>
        <v>-1189.0917862278645</v>
      </c>
      <c r="Q87" s="1669">
        <f ca="1">IFERROR(-'Fixed Asset &amp; Interest'!I84,0)</f>
        <v>-1221.8457800872538</v>
      </c>
      <c r="R87" s="1669">
        <f ca="1">IFERROR(-'Fixed Asset &amp; Interest'!J84,0)</f>
        <v>-1222.8591005363764</v>
      </c>
      <c r="S87" s="1669">
        <f ca="1">IFERROR(-'Fixed Asset &amp; Interest'!K84,0)</f>
        <v>-1221.8443472107022</v>
      </c>
      <c r="T87" s="1669">
        <f ca="1">IFERROR(-'Fixed Asset &amp; Interest'!L84,0)</f>
        <v>-1217.5050271304287</v>
      </c>
      <c r="U87" s="1669">
        <f ca="1">IFERROR(-'Fixed Asset &amp; Interest'!M84,0)</f>
        <v>-1208.7386717924926</v>
      </c>
      <c r="V87" s="1669"/>
      <c r="W87" s="999"/>
      <c r="X87" s="999"/>
      <c r="Y87" s="999"/>
      <c r="Z87" s="999"/>
      <c r="AA87" s="1871" t="s">
        <v>551</v>
      </c>
      <c r="AB87" s="1882"/>
      <c r="AC87" s="1521"/>
      <c r="AD87" s="1521"/>
      <c r="AE87" s="1521"/>
      <c r="AF87" s="1521"/>
      <c r="AG87" s="1373" t="e">
        <f t="shared" ref="AG87:AH91" si="189">AE87/AN88-1</f>
        <v>#DIV/0!</v>
      </c>
      <c r="AH87" s="1373" t="e">
        <f t="shared" si="189"/>
        <v>#DIV/0!</v>
      </c>
      <c r="AI87" s="3403"/>
      <c r="AK87" s="999"/>
      <c r="AL87" s="999"/>
      <c r="AM87" s="1582"/>
      <c r="AN87" s="1582"/>
      <c r="AO87" s="2065"/>
      <c r="AP87" s="999"/>
    </row>
    <row r="88" spans="1:42" ht="16.5" hidden="1" customHeight="1" outlineLevel="2">
      <c r="A88" s="999"/>
      <c r="B88" s="1198"/>
      <c r="C88" s="1645" t="s">
        <v>552</v>
      </c>
      <c r="D88" s="1606">
        <v>86</v>
      </c>
      <c r="E88" s="1664">
        <f>'FS Year'!M346</f>
        <v>2.9998235000000002E-2</v>
      </c>
      <c r="F88" s="1664">
        <f>'FS Year'!N346</f>
        <v>1.7722417420000001</v>
      </c>
      <c r="G88" s="1664">
        <f>'FS Year'!O346</f>
        <v>0.44016603999999998</v>
      </c>
      <c r="H88" s="1664">
        <f>'FS Year'!P346</f>
        <v>0</v>
      </c>
      <c r="I88" s="1664">
        <f>'FS Year'!Q346</f>
        <v>1.5147019999999999E-3</v>
      </c>
      <c r="J88" s="1668">
        <f>'FS Year'!R346*-1</f>
        <v>-3.5984154999999997E-2</v>
      </c>
      <c r="K88" s="1668">
        <f>'FS Year'!S346*-1</f>
        <v>-5.9418874000000003E-2</v>
      </c>
      <c r="L88" s="1668">
        <f>'FS Year'!T346*-1</f>
        <v>-40.279479555999998</v>
      </c>
      <c r="M88" s="1668">
        <f>'FS Year'!U346*-1</f>
        <v>-13.385429290999999</v>
      </c>
      <c r="N88" s="1668">
        <f>'FS Year'!V346*-1</f>
        <v>-84.000285446999996</v>
      </c>
      <c r="O88" s="1668">
        <f>'FS Year'!W346*-1</f>
        <v>-25.885524365999999</v>
      </c>
      <c r="P88" s="1669">
        <f>IFERROR(-'Fixed Asset &amp; Interest'!H85,0)</f>
        <v>-25.885524365999999</v>
      </c>
      <c r="Q88" s="1669">
        <f>IFERROR(-'Fixed Asset &amp; Interest'!I85,0)</f>
        <v>-45.257111393000002</v>
      </c>
      <c r="R88" s="1669">
        <f>IFERROR(-'Fixed Asset &amp; Interest'!J85,0)</f>
        <v>-32.342720041666666</v>
      </c>
      <c r="S88" s="1669">
        <f>IFERROR(-'Fixed Asset &amp; Interest'!K85,0)</f>
        <v>-32.342720041666666</v>
      </c>
      <c r="T88" s="1669">
        <f>IFERROR(-'Fixed Asset &amp; Interest'!L85,0)</f>
        <v>-36.647517158777781</v>
      </c>
      <c r="U88" s="1669">
        <f>IFERROR(-'Fixed Asset &amp; Interest'!M85,0)</f>
        <v>-33.777652414037043</v>
      </c>
      <c r="V88" s="1669"/>
      <c r="W88" s="999"/>
      <c r="X88" s="999"/>
      <c r="Y88" s="999"/>
      <c r="Z88" s="999"/>
      <c r="AA88" s="1871"/>
      <c r="AB88" s="1871"/>
      <c r="AC88" s="1887"/>
      <c r="AD88" s="1887"/>
      <c r="AE88" s="1887"/>
      <c r="AF88" s="1887"/>
      <c r="AG88" s="1373" t="e">
        <f t="shared" si="189"/>
        <v>#DIV/0!</v>
      </c>
      <c r="AH88" s="1373" t="e">
        <f t="shared" si="189"/>
        <v>#DIV/0!</v>
      </c>
      <c r="AI88" s="3403"/>
      <c r="AK88" s="999"/>
      <c r="AL88" s="999"/>
      <c r="AM88" s="1202"/>
      <c r="AN88" s="1202"/>
      <c r="AO88" s="1256"/>
      <c r="AP88" s="999"/>
    </row>
    <row r="89" spans="1:42" ht="16.5" hidden="1" customHeight="1" outlineLevel="2">
      <c r="A89" s="999"/>
      <c r="B89" s="1198"/>
      <c r="C89" s="1645" t="s">
        <v>553</v>
      </c>
      <c r="D89" s="1606">
        <v>87</v>
      </c>
      <c r="E89" s="1664"/>
      <c r="F89" s="1664"/>
      <c r="G89" s="1664"/>
      <c r="H89" s="1664"/>
      <c r="I89" s="1664"/>
      <c r="J89" s="1668"/>
      <c r="K89" s="1668"/>
      <c r="L89" s="1668"/>
      <c r="M89" s="1668"/>
      <c r="N89" s="1668"/>
      <c r="O89" s="1668"/>
      <c r="P89" s="1669">
        <f ca="1">IFERROR(-P277*P38,0)</f>
        <v>0</v>
      </c>
      <c r="Q89" s="1669">
        <f ca="1">IFERROR(-Q277*Q38,0)</f>
        <v>0</v>
      </c>
      <c r="R89" s="1669">
        <f t="shared" ref="R89" ca="1" si="190">IFERROR(-R277*R38,0)</f>
        <v>0</v>
      </c>
      <c r="S89" s="1669">
        <f t="shared" ref="S89:U89" ca="1" si="191">IFERROR(-S277*S38,0)</f>
        <v>0</v>
      </c>
      <c r="T89" s="1669">
        <f t="shared" ca="1" si="191"/>
        <v>0</v>
      </c>
      <c r="U89" s="1669">
        <f t="shared" ca="1" si="191"/>
        <v>0</v>
      </c>
      <c r="V89" s="1669"/>
      <c r="W89" s="999"/>
      <c r="X89" s="999"/>
      <c r="Y89" s="999"/>
      <c r="Z89" s="999"/>
      <c r="AA89" s="1871"/>
      <c r="AB89" s="1882"/>
      <c r="AC89" s="1521"/>
      <c r="AD89" s="1521"/>
      <c r="AE89" s="1521"/>
      <c r="AF89" s="1521"/>
      <c r="AG89" s="1373" t="e">
        <f t="shared" si="189"/>
        <v>#DIV/0!</v>
      </c>
      <c r="AH89" s="1373" t="e">
        <f t="shared" si="189"/>
        <v>#DIV/0!</v>
      </c>
      <c r="AI89" s="3403"/>
      <c r="AK89" s="999"/>
      <c r="AL89" s="999"/>
      <c r="AM89" s="999"/>
      <c r="AN89" s="999"/>
      <c r="AO89" s="999"/>
      <c r="AP89" s="999"/>
    </row>
    <row r="90" spans="1:42" ht="16.5" hidden="1" customHeight="1" outlineLevel="2">
      <c r="A90" s="999"/>
      <c r="B90" s="1198"/>
      <c r="C90" s="1645" t="s">
        <v>554</v>
      </c>
      <c r="D90" s="1606">
        <v>88</v>
      </c>
      <c r="E90" s="1664">
        <f>SUM('FS Year'!M348:M349)</f>
        <v>0</v>
      </c>
      <c r="F90" s="1664">
        <f>SUM('FS Year'!N348:N349)</f>
        <v>0</v>
      </c>
      <c r="G90" s="1664">
        <f>SUM('FS Year'!O348:O349)</f>
        <v>0</v>
      </c>
      <c r="H90" s="1664">
        <f>SUM('FS Year'!P348:P349)</f>
        <v>-234.28659627499999</v>
      </c>
      <c r="I90" s="1664">
        <f>SUM('FS Year'!Q348:Q349)</f>
        <v>0.15505785999999999</v>
      </c>
      <c r="J90" s="1668">
        <f>SUM('FS Year'!R348:R349)*-1</f>
        <v>-1.582143555</v>
      </c>
      <c r="K90" s="1668">
        <f>SUM('FS Year'!S348:S349)*-1</f>
        <v>-8.8273855999999998E-2</v>
      </c>
      <c r="L90" s="1668">
        <f>SUM('FS Year'!T348:T349)*-1</f>
        <v>0</v>
      </c>
      <c r="M90" s="1668">
        <f>SUM('FS Year'!U348:U349)*-1</f>
        <v>-7.0911161380000003</v>
      </c>
      <c r="N90" s="1668">
        <f>SUM('FS Year'!V348:V349)*-1</f>
        <v>-24.427466738</v>
      </c>
      <c r="O90" s="1668">
        <f>SUM('FS Year'!W348:W349)*-1</f>
        <v>-25.343955395999998</v>
      </c>
      <c r="P90" s="1669">
        <f>IFERROR(-'Fixed Asset &amp; Interest'!H86,0)</f>
        <v>-18.954179423999999</v>
      </c>
      <c r="Q90" s="1669">
        <f>IFERROR(-'Fixed Asset &amp; Interest'!I86,0)</f>
        <v>-22.908533852666665</v>
      </c>
      <c r="R90" s="1669">
        <f>IFERROR(-'Fixed Asset &amp; Interest'!J86,0)</f>
        <v>-22.40222289088889</v>
      </c>
      <c r="S90" s="1669">
        <f>IFERROR(-'Fixed Asset &amp; Interest'!K86,0)</f>
        <v>-21.421645389185187</v>
      </c>
      <c r="T90" s="1669">
        <f>IFERROR(-'Fixed Asset &amp; Interest'!L86,0)</f>
        <v>-22.244134044246916</v>
      </c>
      <c r="U90" s="1669">
        <f>IFERROR(-'Fixed Asset &amp; Interest'!M86,0)</f>
        <v>-22.022667441440333</v>
      </c>
      <c r="V90" s="1669"/>
      <c r="W90" s="999"/>
      <c r="X90" s="999"/>
      <c r="Y90" s="999"/>
      <c r="Z90" s="999"/>
      <c r="AA90" s="1871"/>
      <c r="AB90" s="1882"/>
      <c r="AC90" s="1521"/>
      <c r="AD90" s="1521"/>
      <c r="AE90" s="1521"/>
      <c r="AF90" s="1521"/>
      <c r="AG90" s="1373">
        <f t="shared" si="189"/>
        <v>-1</v>
      </c>
      <c r="AH90" s="1373">
        <f t="shared" si="189"/>
        <v>-1</v>
      </c>
      <c r="AI90" s="3403"/>
      <c r="AK90" s="999"/>
      <c r="AL90" s="999"/>
      <c r="AM90" s="1202"/>
      <c r="AN90" s="1202"/>
      <c r="AO90" s="1256"/>
      <c r="AP90" s="999"/>
    </row>
    <row r="91" spans="1:42" ht="16.5" hidden="1" customHeight="1" outlineLevel="2">
      <c r="A91" s="999"/>
      <c r="B91" s="1198"/>
      <c r="C91" s="1645"/>
      <c r="D91" s="1606">
        <v>89</v>
      </c>
      <c r="E91" s="1609"/>
      <c r="F91" s="1609"/>
      <c r="G91" s="1609"/>
      <c r="H91" s="1609"/>
      <c r="I91" s="1609"/>
      <c r="J91" s="1670"/>
      <c r="K91" s="1670"/>
      <c r="L91" s="1670"/>
      <c r="M91" s="1670"/>
      <c r="N91" s="1670"/>
      <c r="O91" s="1670"/>
      <c r="P91" s="1669"/>
      <c r="Q91" s="1669"/>
      <c r="R91" s="1669"/>
      <c r="S91" s="1669"/>
      <c r="T91" s="1669"/>
      <c r="U91" s="1669"/>
      <c r="V91" s="1669"/>
      <c r="W91" s="999"/>
      <c r="X91" s="999"/>
      <c r="Y91" s="999"/>
      <c r="Z91" s="999"/>
      <c r="AA91" s="1834" t="s">
        <v>31</v>
      </c>
      <c r="AB91" s="1886">
        <f>M105</f>
        <v>-0.16349800198775055</v>
      </c>
      <c r="AC91" s="1368">
        <f>N105</f>
        <v>-0.9591026623765091</v>
      </c>
      <c r="AD91" s="1368">
        <f>O105</f>
        <v>21.197661610378443</v>
      </c>
      <c r="AE91" s="1368">
        <f ca="1">P105</f>
        <v>0.81559478193380097</v>
      </c>
      <c r="AF91" s="1368">
        <f ca="1">Q105</f>
        <v>0.27265474635667974</v>
      </c>
      <c r="AG91" s="1373">
        <f t="shared" ca="1" si="189"/>
        <v>-0.99980901580885972</v>
      </c>
      <c r="AH91" s="1373">
        <f t="shared" ca="1" si="189"/>
        <v>-0.9999467419988699</v>
      </c>
      <c r="AI91" s="3403"/>
      <c r="AK91" s="999"/>
      <c r="AL91" s="999"/>
      <c r="AM91" s="1202"/>
      <c r="AN91" s="1202">
        <v>0.70253590295106982</v>
      </c>
      <c r="AO91" s="1256">
        <v>0.19881227409836844</v>
      </c>
      <c r="AP91" s="999"/>
    </row>
    <row r="92" spans="1:42" ht="16.5" customHeight="1" outlineLevel="1" collapsed="1">
      <c r="A92" s="999"/>
      <c r="B92" s="1001" t="s">
        <v>344</v>
      </c>
      <c r="C92" s="1617" t="s">
        <v>555</v>
      </c>
      <c r="D92" s="1606">
        <v>90</v>
      </c>
      <c r="E92" s="1671">
        <f t="shared" ref="E92:H92" si="192">SUM(E93:E94)</f>
        <v>11.878481385000001</v>
      </c>
      <c r="F92" s="1671">
        <f t="shared" si="192"/>
        <v>23.443193694999998</v>
      </c>
      <c r="G92" s="1671">
        <f t="shared" si="192"/>
        <v>-0.960835675000002</v>
      </c>
      <c r="H92" s="1671">
        <f t="shared" si="192"/>
        <v>13.868256775999999</v>
      </c>
      <c r="I92" s="1671">
        <f t="shared" ref="I92:M92" si="193">SUM(I93:I94)</f>
        <v>12.136156583000002</v>
      </c>
      <c r="J92" s="1671">
        <f t="shared" si="193"/>
        <v>18.763773118999996</v>
      </c>
      <c r="K92" s="1671">
        <f t="shared" si="193"/>
        <v>-2.7945256009999966</v>
      </c>
      <c r="L92" s="1671">
        <f t="shared" si="193"/>
        <v>5.9768321869999994</v>
      </c>
      <c r="M92" s="1671">
        <f t="shared" si="193"/>
        <v>-518.33832502600001</v>
      </c>
      <c r="N92" s="1671">
        <f>SUM(N93:N94)</f>
        <v>-328.15952672900005</v>
      </c>
      <c r="O92" s="1671">
        <f>SUM(O93:O94)</f>
        <v>-401.28241181300001</v>
      </c>
      <c r="P92" s="1672">
        <f>P93+P94</f>
        <v>18</v>
      </c>
      <c r="Q92" s="1672">
        <f>P92</f>
        <v>18</v>
      </c>
      <c r="R92" s="1672">
        <f t="shared" ref="R92:S94" si="194">Q92</f>
        <v>18</v>
      </c>
      <c r="S92" s="1672">
        <f t="shared" si="194"/>
        <v>18</v>
      </c>
      <c r="T92" s="1672">
        <f t="shared" ref="T92:U92" si="195">S92</f>
        <v>18</v>
      </c>
      <c r="U92" s="1672">
        <f t="shared" si="195"/>
        <v>18</v>
      </c>
      <c r="V92" s="1672"/>
      <c r="W92" s="1213"/>
      <c r="X92" s="999"/>
      <c r="Y92" s="999"/>
      <c r="Z92" s="999"/>
      <c r="AA92" s="1871" t="s">
        <v>356</v>
      </c>
      <c r="AB92" s="1882">
        <f ca="1">M107</f>
        <v>2791.885420534511</v>
      </c>
      <c r="AC92" s="1521">
        <f ca="1">N107</f>
        <v>114.18068064970186</v>
      </c>
      <c r="AD92" s="1521">
        <f ca="1">O107</f>
        <v>2534.5441115047679</v>
      </c>
      <c r="AE92" s="1521">
        <f ca="1">P107</f>
        <v>4601.7050634290981</v>
      </c>
      <c r="AF92" s="1521">
        <f ca="1">Q107</f>
        <v>5856.3817903066083</v>
      </c>
      <c r="AG92" s="1587"/>
      <c r="AH92" s="1587"/>
      <c r="AI92" s="3403"/>
      <c r="AK92" s="999"/>
      <c r="AL92" s="999" t="e">
        <f>AD80/#REF!-1</f>
        <v>#REF!</v>
      </c>
      <c r="AM92" s="1582"/>
      <c r="AN92" s="1582">
        <v>4270.4832115380223</v>
      </c>
      <c r="AO92" s="2065">
        <v>5119.5076903228</v>
      </c>
      <c r="AP92" s="999"/>
    </row>
    <row r="93" spans="1:42" ht="15" hidden="1" customHeight="1" outlineLevel="2">
      <c r="A93" s="999"/>
      <c r="B93" s="1198"/>
      <c r="C93" s="1645" t="s">
        <v>556</v>
      </c>
      <c r="D93" s="1606">
        <v>91</v>
      </c>
      <c r="E93" s="1673">
        <f>'FS Year'!M14</f>
        <v>15.118039591</v>
      </c>
      <c r="F93" s="1673">
        <f>'FS Year'!N14</f>
        <v>25.192750122</v>
      </c>
      <c r="G93" s="1673">
        <f>'FS Year'!O14</f>
        <v>31.129990082999999</v>
      </c>
      <c r="H93" s="1673">
        <f>'FS Year'!P14</f>
        <v>17.684643399999999</v>
      </c>
      <c r="I93" s="1673">
        <f>'FS Year'!Q14</f>
        <v>33.233337382000002</v>
      </c>
      <c r="J93" s="1673">
        <f>'FS Year'!R14</f>
        <v>41.557041540999997</v>
      </c>
      <c r="K93" s="1673">
        <f>'FS Year'!S14</f>
        <v>43.512695471000001</v>
      </c>
      <c r="L93" s="1673">
        <f>'FS Year'!T14</f>
        <v>54.872797433000002</v>
      </c>
      <c r="M93" s="1673">
        <f>'FS Year'!U14</f>
        <v>61.606712676000001</v>
      </c>
      <c r="N93" s="1673">
        <f>'FS Year'!V14</f>
        <v>36.883419050999997</v>
      </c>
      <c r="O93" s="1673">
        <f>'FS Year'!W14</f>
        <v>25.799428197000001</v>
      </c>
      <c r="P93" s="1669">
        <v>28</v>
      </c>
      <c r="Q93" s="1669">
        <f t="shared" ref="Q93" si="196">P93</f>
        <v>28</v>
      </c>
      <c r="R93" s="1669">
        <f t="shared" si="194"/>
        <v>28</v>
      </c>
      <c r="S93" s="1669">
        <f t="shared" si="194"/>
        <v>28</v>
      </c>
      <c r="T93" s="1669">
        <f t="shared" ref="T93:U93" si="197">S93</f>
        <v>28</v>
      </c>
      <c r="U93" s="1669">
        <f t="shared" si="197"/>
        <v>28</v>
      </c>
      <c r="V93" s="1669"/>
      <c r="W93" s="999"/>
      <c r="X93" s="999"/>
      <c r="Y93" s="999"/>
      <c r="Z93" s="999"/>
      <c r="AA93" s="1871"/>
      <c r="AB93" s="1871"/>
      <c r="AC93" s="1887"/>
      <c r="AD93" s="1887"/>
      <c r="AE93" s="1887"/>
      <c r="AF93" s="1887"/>
      <c r="AG93" s="1588"/>
      <c r="AH93" s="1588"/>
      <c r="AI93" s="3403"/>
      <c r="AK93" s="999"/>
      <c r="AL93" s="999"/>
      <c r="AM93" s="999"/>
      <c r="AN93" s="999"/>
      <c r="AO93" s="999"/>
      <c r="AP93" s="999"/>
    </row>
    <row r="94" spans="1:42" ht="15" hidden="1" customHeight="1" outlineLevel="2">
      <c r="A94" s="999"/>
      <c r="B94" s="1198"/>
      <c r="C94" s="1645" t="s">
        <v>557</v>
      </c>
      <c r="D94" s="1606">
        <v>92</v>
      </c>
      <c r="E94" s="1673">
        <f>'FS Year'!M15</f>
        <v>-3.2395582059999999</v>
      </c>
      <c r="F94" s="1673">
        <f>'FS Year'!N15</f>
        <v>-1.7495564269999999</v>
      </c>
      <c r="G94" s="1673">
        <f>'FS Year'!O15</f>
        <v>-32.090825758000001</v>
      </c>
      <c r="H94" s="1673">
        <f>'FS Year'!P15</f>
        <v>-3.8163866240000002</v>
      </c>
      <c r="I94" s="1673">
        <f>'FS Year'!Q15</f>
        <v>-21.097180799</v>
      </c>
      <c r="J94" s="1673">
        <f>'FS Year'!R15</f>
        <v>-22.793268422000001</v>
      </c>
      <c r="K94" s="1673">
        <f>'FS Year'!S15</f>
        <v>-46.307221071999997</v>
      </c>
      <c r="L94" s="1673">
        <f>'FS Year'!T15</f>
        <v>-48.895965246000003</v>
      </c>
      <c r="M94" s="1673">
        <f>'FS Year'!U15</f>
        <v>-579.94503770200004</v>
      </c>
      <c r="N94" s="1673">
        <f>'FS Year'!V15</f>
        <v>-365.04294578000003</v>
      </c>
      <c r="O94" s="1673">
        <f>'FS Year'!W15</f>
        <v>-427.08184001000001</v>
      </c>
      <c r="P94" s="1669">
        <v>-10</v>
      </c>
      <c r="Q94" s="1669">
        <f>P94-23</f>
        <v>-33</v>
      </c>
      <c r="R94" s="1669">
        <f t="shared" si="194"/>
        <v>-33</v>
      </c>
      <c r="S94" s="1669">
        <f t="shared" si="194"/>
        <v>-33</v>
      </c>
      <c r="T94" s="1669">
        <f t="shared" ref="T94:U94" si="198">S94</f>
        <v>-33</v>
      </c>
      <c r="U94" s="1669">
        <f t="shared" si="198"/>
        <v>-33</v>
      </c>
      <c r="V94" s="1669"/>
      <c r="W94" s="1669"/>
      <c r="X94" s="999"/>
      <c r="Y94" s="999"/>
      <c r="Z94" s="999"/>
      <c r="AA94" s="1871"/>
      <c r="AB94" s="1871"/>
      <c r="AC94" s="1887"/>
      <c r="AD94" s="1887"/>
      <c r="AE94" s="1887"/>
      <c r="AF94" s="1887"/>
      <c r="AG94" s="1588"/>
      <c r="AH94" s="1588"/>
      <c r="AI94" s="3403"/>
      <c r="AK94" s="999"/>
      <c r="AL94" s="999"/>
      <c r="AM94" s="999"/>
      <c r="AN94" s="999"/>
      <c r="AO94" s="999"/>
      <c r="AP94" s="999"/>
    </row>
    <row r="95" spans="1:42" ht="15" hidden="1" customHeight="1" outlineLevel="2">
      <c r="A95" s="999"/>
      <c r="B95" s="1198"/>
      <c r="C95" s="1645"/>
      <c r="D95" s="1606">
        <v>93</v>
      </c>
      <c r="E95" s="1665"/>
      <c r="F95" s="1665"/>
      <c r="G95" s="1665"/>
      <c r="H95" s="1665"/>
      <c r="I95" s="1665"/>
      <c r="J95" s="1627"/>
      <c r="K95" s="1200"/>
      <c r="L95" s="1200"/>
      <c r="M95" s="1200"/>
      <c r="N95" s="1200"/>
      <c r="O95" s="1200"/>
      <c r="P95" s="999"/>
      <c r="Q95" s="999"/>
      <c r="R95" s="999"/>
      <c r="S95" s="999"/>
      <c r="T95" s="999"/>
      <c r="U95" s="999"/>
      <c r="V95" s="999"/>
      <c r="W95" s="999"/>
      <c r="X95" s="999"/>
      <c r="Y95" s="999"/>
      <c r="Z95" s="999"/>
      <c r="AA95" s="1871"/>
      <c r="AB95" s="1871"/>
      <c r="AC95" s="1887"/>
      <c r="AD95" s="1887"/>
      <c r="AE95" s="1887"/>
      <c r="AF95" s="1887"/>
      <c r="AG95" s="1584"/>
      <c r="AH95" s="1584"/>
      <c r="AI95" s="3403"/>
      <c r="AK95" s="999"/>
      <c r="AL95" s="999"/>
      <c r="AM95" s="999"/>
      <c r="AN95" s="999"/>
      <c r="AO95" s="999"/>
      <c r="AP95" s="999"/>
    </row>
    <row r="96" spans="1:42" outlineLevel="1" collapsed="1">
      <c r="A96" s="1195"/>
      <c r="B96" s="1001" t="s">
        <v>346</v>
      </c>
      <c r="C96" s="1621" t="s">
        <v>188</v>
      </c>
      <c r="D96" s="1606">
        <v>94</v>
      </c>
      <c r="E96" s="1674" t="e">
        <f t="shared" ref="E96:H96" si="199">E78+E80+E86+E92+E85</f>
        <v>#VALUE!</v>
      </c>
      <c r="F96" s="1674">
        <f t="shared" si="199"/>
        <v>1385.7837876939998</v>
      </c>
      <c r="G96" s="1674">
        <f t="shared" si="199"/>
        <v>2005.9141149230004</v>
      </c>
      <c r="H96" s="1674">
        <f t="shared" si="199"/>
        <v>2809.3120326459998</v>
      </c>
      <c r="I96" s="1674">
        <f t="shared" ref="I96:J96" si="200">I78+I80+I86+I92+I85</f>
        <v>3786.3185689190009</v>
      </c>
      <c r="J96" s="1623">
        <f t="shared" si="200"/>
        <v>5053.4472046959972</v>
      </c>
      <c r="K96" s="1623">
        <f t="shared" ref="K96" si="201">K78+K80+K86+K92</f>
        <v>5413.4423468240011</v>
      </c>
      <c r="L96" s="1623">
        <f>L78+L80+L86+L92</f>
        <v>6473.7942510289995</v>
      </c>
      <c r="M96" s="1623">
        <f>M78+M80+M86+M92</f>
        <v>6056.3553735580017</v>
      </c>
      <c r="N96" s="1623">
        <f>N78+N80+N86+N92</f>
        <v>689.69236789599802</v>
      </c>
      <c r="O96" s="1623">
        <f>O78+O80+O86+O92+O85</f>
        <v>4825.7630130780026</v>
      </c>
      <c r="P96" s="1207">
        <f ca="1">P78+P80+P86+P92+P85</f>
        <v>8678.9333924068342</v>
      </c>
      <c r="Q96" s="1207">
        <f ca="1">Q78+Q80+Q86+Q92+Q85</f>
        <v>10875.319207148506</v>
      </c>
      <c r="R96" s="1207">
        <f t="shared" ref="R96:S96" ca="1" si="202">R78+R80+R86+R92+R85</f>
        <v>13099.397478464698</v>
      </c>
      <c r="S96" s="1207">
        <f t="shared" ca="1" si="202"/>
        <v>15268.032574663483</v>
      </c>
      <c r="T96" s="1207">
        <f t="shared" ref="T96:U96" ca="1" si="203">T78+T80+T86+T92+T85</f>
        <v>17697.395887032257</v>
      </c>
      <c r="U96" s="1207">
        <f t="shared" ca="1" si="203"/>
        <v>20334.053378220437</v>
      </c>
      <c r="V96" s="1207"/>
      <c r="W96" s="1920">
        <f ca="1">Rev_Year!M95/FS!Q96</f>
        <v>0.70497591795531334</v>
      </c>
      <c r="X96" s="999"/>
      <c r="Y96" s="999"/>
      <c r="Z96" s="999"/>
      <c r="AA96" s="1888" t="s">
        <v>424</v>
      </c>
      <c r="AB96" s="1889">
        <f ca="1">M109</f>
        <v>31.663190527022302</v>
      </c>
      <c r="AC96" s="1890">
        <f ca="1">N109</f>
        <v>774.21153470966658</v>
      </c>
      <c r="AD96" s="1890">
        <f ca="1">O109</f>
        <v>34.878067262169921</v>
      </c>
      <c r="AE96" s="1890">
        <f ca="1">P109</f>
        <v>19.210270710858225</v>
      </c>
      <c r="AF96" s="1890">
        <f ca="1">Q109</f>
        <v>15.09464429834788</v>
      </c>
      <c r="AG96" s="1590"/>
      <c r="AH96" s="1590"/>
      <c r="AI96" s="3404"/>
      <c r="AK96" s="999"/>
      <c r="AL96" s="999"/>
      <c r="AM96" s="1575"/>
      <c r="AN96" s="1575">
        <v>19.154741032347854</v>
      </c>
      <c r="AO96" s="2062">
        <v>15.978098861854091</v>
      </c>
      <c r="AP96" s="999"/>
    </row>
    <row r="97" spans="1:42" s="23" customFormat="1" outlineLevel="1">
      <c r="A97" s="999"/>
      <c r="B97" s="1241"/>
      <c r="C97" s="1645" t="s">
        <v>526</v>
      </c>
      <c r="D97" s="1606">
        <v>95</v>
      </c>
      <c r="E97" s="1675" t="e">
        <f t="shared" ref="E97" si="204">E96/D96-1</f>
        <v>#VALUE!</v>
      </c>
      <c r="F97" s="1675" t="e">
        <f t="shared" ref="F97" si="205">F96/E96-1</f>
        <v>#VALUE!</v>
      </c>
      <c r="G97" s="1675">
        <f t="shared" ref="G97" si="206">G96/F96-1</f>
        <v>0.44749428643621414</v>
      </c>
      <c r="H97" s="1675">
        <f t="shared" ref="H97" si="207">H96/G96-1</f>
        <v>0.40051461413333689</v>
      </c>
      <c r="I97" s="1675">
        <f t="shared" ref="I97:O97" si="208">I96/H96-1</f>
        <v>0.34777430378667851</v>
      </c>
      <c r="J97" s="1658">
        <f t="shared" si="208"/>
        <v>0.33465980548455621</v>
      </c>
      <c r="K97" s="1676">
        <f t="shared" si="208"/>
        <v>7.123753896023155E-2</v>
      </c>
      <c r="L97" s="1676">
        <f t="shared" si="208"/>
        <v>0.19587387031600945</v>
      </c>
      <c r="M97" s="1676">
        <f t="shared" si="208"/>
        <v>-6.4481332165390759E-2</v>
      </c>
      <c r="N97" s="1676">
        <f t="shared" si="208"/>
        <v>-0.88612088866066396</v>
      </c>
      <c r="O97" s="1676">
        <f t="shared" si="208"/>
        <v>5.9969789977517953</v>
      </c>
      <c r="P97" s="1677">
        <f ca="1">P96/O96-1</f>
        <v>0.79845826844098888</v>
      </c>
      <c r="Q97" s="1677">
        <f ca="1">Q96/P96-1</f>
        <v>0.2530709380329248</v>
      </c>
      <c r="R97" s="1677">
        <f t="shared" ref="R97:S97" ca="1" si="209">R96/Q96-1</f>
        <v>0.20450694172307804</v>
      </c>
      <c r="S97" s="1677">
        <f t="shared" ca="1" si="209"/>
        <v>0.16555227824516372</v>
      </c>
      <c r="T97" s="1677">
        <f t="shared" ref="T97" ca="1" si="210">T96/S96-1</f>
        <v>0.15911436529158163</v>
      </c>
      <c r="U97" s="1677">
        <f t="shared" ref="U97" ca="1" si="211">U96/T96-1</f>
        <v>0.14898561958034673</v>
      </c>
      <c r="V97" s="1677"/>
      <c r="W97" s="1195"/>
      <c r="X97" s="1195"/>
      <c r="Y97" s="1195"/>
      <c r="Z97" s="1195"/>
      <c r="AA97" s="1888" t="s">
        <v>425</v>
      </c>
      <c r="AB97" s="1889">
        <f ca="1">M314</f>
        <v>5.4071445763994994</v>
      </c>
      <c r="AC97" s="1890">
        <f ca="1">N314</f>
        <v>5.5397849793622145</v>
      </c>
      <c r="AD97" s="1890">
        <f ca="1">O314</f>
        <v>4.6001155093360282</v>
      </c>
      <c r="AE97" s="1890"/>
      <c r="AF97" s="1890"/>
      <c r="AG97" s="1589">
        <f ca="1">P314</f>
        <v>3.9831211130519413</v>
      </c>
      <c r="AH97" s="1589"/>
      <c r="AI97" s="1590"/>
      <c r="AJ97" s="1195"/>
      <c r="AK97" s="1195"/>
      <c r="AL97" s="1195"/>
      <c r="AM97" s="1591"/>
      <c r="AN97" s="1591"/>
      <c r="AO97" s="2067"/>
      <c r="AP97" s="1195"/>
    </row>
    <row r="98" spans="1:42" outlineLevel="1">
      <c r="A98" s="999"/>
      <c r="B98" s="1001" t="s">
        <v>348</v>
      </c>
      <c r="C98" s="1621" t="s">
        <v>558</v>
      </c>
      <c r="D98" s="1606">
        <v>96</v>
      </c>
      <c r="E98" s="1671">
        <f t="shared" ref="E98:H98" si="212">SUM(E99:E100)</f>
        <v>-194.45322648999999</v>
      </c>
      <c r="F98" s="1671">
        <f t="shared" si="212"/>
        <v>-310.01255825099997</v>
      </c>
      <c r="G98" s="1671">
        <f t="shared" si="212"/>
        <v>-427.66349408600001</v>
      </c>
      <c r="H98" s="1671">
        <f t="shared" si="212"/>
        <v>-602.414913297</v>
      </c>
      <c r="I98" s="1671">
        <f t="shared" ref="I98:K98" si="213">SUM(I99:I100)</f>
        <v>-906.00950878499998</v>
      </c>
      <c r="J98" s="1671">
        <f t="shared" si="213"/>
        <v>-1217.2071176690001</v>
      </c>
      <c r="K98" s="1671">
        <f t="shared" si="213"/>
        <v>-1489.8626978460002</v>
      </c>
      <c r="L98" s="1671">
        <f>SUM(L99:L100)</f>
        <v>-1570.1570766530001</v>
      </c>
      <c r="M98" s="1671">
        <f>SUM(M99:M100)</f>
        <v>-1954.640948619</v>
      </c>
      <c r="N98" s="1671">
        <f>SUM(N99:N100)</f>
        <v>-521.86321295700009</v>
      </c>
      <c r="O98" s="1671">
        <f>SUM(O99:O100)</f>
        <v>-1092.4747843579999</v>
      </c>
      <c r="P98" s="1672">
        <f ca="1">-Rev_Year!L180*FS!P96</f>
        <v>-1881.8771434740081</v>
      </c>
      <c r="Q98" s="1672">
        <f ca="1">-Rev_Year!M180*FS!Q96</f>
        <v>-2188.412201781955</v>
      </c>
      <c r="R98" s="1672">
        <f ca="1">-Rev_Year!N180*FS!R96</f>
        <v>-2543.1599342584086</v>
      </c>
      <c r="S98" s="1672">
        <f ca="1">-Rev_Year!O180*FS!S96</f>
        <v>-2919.4584785947022</v>
      </c>
      <c r="T98" s="1672">
        <f ca="1">-Rev_Year!P180*FS!T96</f>
        <v>-3245.2685614295424</v>
      </c>
      <c r="U98" s="1672">
        <f ca="1">-Rev_Year!Q180*FS!U96</f>
        <v>-3597.7018473841708</v>
      </c>
      <c r="V98" s="1672"/>
      <c r="W98" s="999"/>
      <c r="X98" s="999"/>
      <c r="Y98" s="999"/>
      <c r="Z98" s="999"/>
      <c r="AA98" s="999"/>
      <c r="AB98" s="999"/>
      <c r="AC98" s="1194"/>
      <c r="AD98" s="1194"/>
      <c r="AE98" s="1203" t="e">
        <f>#REF!-#REF!</f>
        <v>#REF!</v>
      </c>
      <c r="AF98" s="1203"/>
      <c r="AG98" s="1203">
        <f ca="1">AE76-AE77</f>
        <v>1505.9640409792451</v>
      </c>
      <c r="AH98" s="1203"/>
      <c r="AI98" s="1203">
        <f ca="1">AG76-AG77</f>
        <v>-0.29169800462285383</v>
      </c>
      <c r="AJ98" s="999"/>
      <c r="AK98" s="999"/>
      <c r="AL98" s="999"/>
      <c r="AM98" s="1591"/>
      <c r="AN98" s="1591">
        <v>1218.0299952308285</v>
      </c>
      <c r="AO98" s="2067"/>
      <c r="AP98" s="999"/>
    </row>
    <row r="99" spans="1:42" hidden="1" outlineLevel="2">
      <c r="A99" s="999"/>
      <c r="B99" s="1198"/>
      <c r="C99" s="1645" t="s">
        <v>559</v>
      </c>
      <c r="D99" s="1606">
        <v>97</v>
      </c>
      <c r="E99" s="1673">
        <f>'FS Year'!M19</f>
        <v>-203.799232655</v>
      </c>
      <c r="F99" s="1673">
        <f>'FS Year'!N19</f>
        <v>-312.61096032199998</v>
      </c>
      <c r="G99" s="1673">
        <f>'FS Year'!O19</f>
        <v>-495.80054547200001</v>
      </c>
      <c r="H99" s="1673">
        <f>'FS Year'!P19</f>
        <v>-639.74360545299999</v>
      </c>
      <c r="I99" s="1673">
        <f>'FS Year'!Q19</f>
        <v>-933.83673844600003</v>
      </c>
      <c r="J99" s="1673">
        <f>'FS Year'!R19</f>
        <v>-1248.353081834</v>
      </c>
      <c r="K99" s="1673">
        <f>'FS Year'!S19</f>
        <v>-1598.4138212190001</v>
      </c>
      <c r="L99" s="1673">
        <f>'FS Year'!T19</f>
        <v>-1632.975695694</v>
      </c>
      <c r="M99" s="1673">
        <f>'FS Year'!U19</f>
        <v>-1792.9988101020001</v>
      </c>
      <c r="N99" s="1673">
        <f>'FS Year'!V19</f>
        <v>-433.25717651500003</v>
      </c>
      <c r="O99" s="1673">
        <f>'FS Year'!W19</f>
        <v>-1125.69998455</v>
      </c>
      <c r="P99" s="1669"/>
      <c r="Q99" s="1669"/>
      <c r="R99" s="1669"/>
      <c r="S99" s="1669"/>
      <c r="T99" s="1669"/>
      <c r="U99" s="1669"/>
      <c r="V99" s="1669"/>
      <c r="W99" s="999"/>
      <c r="X99" s="999"/>
      <c r="Y99" s="999"/>
      <c r="Z99" s="999"/>
      <c r="AA99" s="999"/>
      <c r="AB99" s="1212"/>
      <c r="AC99" s="1189"/>
      <c r="AD99" s="1189"/>
      <c r="AE99" s="1189"/>
      <c r="AF99" s="1189"/>
      <c r="AG99" s="1189"/>
      <c r="AH99" s="1189"/>
      <c r="AI99" s="1678"/>
      <c r="AJ99" s="999"/>
      <c r="AK99" s="999"/>
      <c r="AL99" s="999"/>
      <c r="AM99" s="999"/>
      <c r="AN99" s="999"/>
      <c r="AO99" s="999"/>
      <c r="AP99" s="999"/>
    </row>
    <row r="100" spans="1:42" hidden="1" outlineLevel="2">
      <c r="A100" s="999"/>
      <c r="B100" s="1198"/>
      <c r="C100" s="1645" t="s">
        <v>560</v>
      </c>
      <c r="D100" s="1606">
        <v>98</v>
      </c>
      <c r="E100" s="1673">
        <f>'FS Year'!M20</f>
        <v>9.3460061650000004</v>
      </c>
      <c r="F100" s="1673">
        <f>'FS Year'!N20</f>
        <v>2.5984020710000002</v>
      </c>
      <c r="G100" s="1673">
        <f>'FS Year'!O20</f>
        <v>68.137051385999996</v>
      </c>
      <c r="H100" s="1673">
        <f>'FS Year'!P20</f>
        <v>37.328692156000002</v>
      </c>
      <c r="I100" s="1673">
        <f>'FS Year'!Q20</f>
        <v>27.827229661000001</v>
      </c>
      <c r="J100" s="1673">
        <f>'FS Year'!R20</f>
        <v>31.145964164999999</v>
      </c>
      <c r="K100" s="1673">
        <f>'FS Year'!S20</f>
        <v>108.551123373</v>
      </c>
      <c r="L100" s="1673">
        <f>'FS Year'!T20</f>
        <v>62.818619040999998</v>
      </c>
      <c r="M100" s="1673">
        <f>'FS Year'!U20</f>
        <v>-161.64213851700001</v>
      </c>
      <c r="N100" s="1673">
        <f>'FS Year'!V20</f>
        <v>-88.606036442000004</v>
      </c>
      <c r="O100" s="1673">
        <f>'FS Year'!W20</f>
        <v>33.225200192000003</v>
      </c>
      <c r="P100" s="1669"/>
      <c r="Q100" s="1669"/>
      <c r="R100" s="1669"/>
      <c r="S100" s="1669"/>
      <c r="T100" s="1669"/>
      <c r="U100" s="1669"/>
      <c r="V100" s="1669"/>
      <c r="W100" s="999"/>
      <c r="X100" s="999"/>
      <c r="Y100" s="999"/>
      <c r="Z100" s="999"/>
      <c r="AA100" s="999"/>
      <c r="AB100" s="999"/>
      <c r="AC100" s="1189"/>
      <c r="AD100" s="1189"/>
      <c r="AE100" s="1189"/>
      <c r="AF100" s="1189"/>
      <c r="AG100" s="1189"/>
      <c r="AH100" s="1189"/>
      <c r="AI100" s="1678"/>
      <c r="AJ100" s="999">
        <v>-0.95615054826249868</v>
      </c>
      <c r="AK100" s="999">
        <v>18.236757280865714</v>
      </c>
      <c r="AL100" s="999"/>
      <c r="AM100" s="999"/>
      <c r="AN100" s="999"/>
      <c r="AO100" s="999"/>
      <c r="AP100" s="999"/>
    </row>
    <row r="101" spans="1:42" s="1247" customFormat="1" outlineLevel="1" collapsed="1">
      <c r="A101" s="1592"/>
      <c r="B101" s="1246" t="s">
        <v>350</v>
      </c>
      <c r="C101" s="1679" t="s">
        <v>50</v>
      </c>
      <c r="D101" s="1680">
        <v>99</v>
      </c>
      <c r="E101" s="1681" t="e">
        <f t="shared" ref="E101:H101" si="214">E96+E98</f>
        <v>#VALUE!</v>
      </c>
      <c r="F101" s="1681">
        <f t="shared" si="214"/>
        <v>1075.7712294429998</v>
      </c>
      <c r="G101" s="1681">
        <f t="shared" si="214"/>
        <v>1578.2506208370005</v>
      </c>
      <c r="H101" s="1681">
        <f t="shared" si="214"/>
        <v>2206.8971193489997</v>
      </c>
      <c r="I101" s="1681">
        <f>I96+I98</f>
        <v>2880.3090601340009</v>
      </c>
      <c r="J101" s="1682">
        <f t="shared" ref="J101:K101" si="215">J96+J98</f>
        <v>3836.2400870269971</v>
      </c>
      <c r="K101" s="1682">
        <f t="shared" si="215"/>
        <v>3923.5796489780009</v>
      </c>
      <c r="L101" s="1682">
        <f t="shared" ref="L101:Q101" si="216">L96+L98</f>
        <v>4903.6371743759992</v>
      </c>
      <c r="M101" s="1682">
        <f t="shared" si="216"/>
        <v>4101.7144249390021</v>
      </c>
      <c r="N101" s="1682">
        <f t="shared" si="216"/>
        <v>167.82915493899793</v>
      </c>
      <c r="O101" s="1682">
        <f t="shared" si="216"/>
        <v>3733.2882287200027</v>
      </c>
      <c r="P101" s="1683">
        <f t="shared" ca="1" si="216"/>
        <v>6797.0562489328258</v>
      </c>
      <c r="Q101" s="1683">
        <f t="shared" ca="1" si="216"/>
        <v>8686.9070053665509</v>
      </c>
      <c r="R101" s="1683">
        <f t="shared" ref="R101:S101" ca="1" si="217">R96+R98</f>
        <v>10556.237544206289</v>
      </c>
      <c r="S101" s="1683">
        <f t="shared" ca="1" si="217"/>
        <v>12348.57409606878</v>
      </c>
      <c r="T101" s="1683">
        <f t="shared" ref="T101:U101" ca="1" si="218">T96+T98</f>
        <v>14452.127325602714</v>
      </c>
      <c r="U101" s="1683">
        <f t="shared" ca="1" si="218"/>
        <v>16736.351530836266</v>
      </c>
      <c r="V101" s="1683"/>
      <c r="W101" s="1592">
        <f ca="1">(Q104/O104)^(1/2)-1</f>
        <v>0.5200741155247901</v>
      </c>
      <c r="X101" s="1684"/>
      <c r="Y101" s="1592"/>
      <c r="Z101" s="1592"/>
      <c r="AA101" s="1592"/>
      <c r="AB101" s="1592"/>
      <c r="AC101" s="1593"/>
      <c r="AD101" s="1593"/>
      <c r="AE101" s="1593"/>
      <c r="AF101" s="1593"/>
      <c r="AG101" s="1593"/>
      <c r="AH101" s="1593"/>
      <c r="AI101" s="1685"/>
      <c r="AJ101" s="1592"/>
      <c r="AK101" s="1592"/>
      <c r="AL101" s="1592"/>
      <c r="AM101" s="1592"/>
      <c r="AN101" s="1592"/>
      <c r="AO101" s="1592"/>
      <c r="AP101" s="1592"/>
    </row>
    <row r="102" spans="1:42" outlineLevel="1">
      <c r="A102" s="999"/>
      <c r="B102" s="1198"/>
      <c r="C102" s="1612" t="s">
        <v>526</v>
      </c>
      <c r="D102" s="1606">
        <v>100</v>
      </c>
      <c r="E102" s="1200" t="e">
        <f t="shared" ref="E102:H102" si="219">E101/D101-1</f>
        <v>#VALUE!</v>
      </c>
      <c r="F102" s="1200" t="e">
        <f t="shared" si="219"/>
        <v>#VALUE!</v>
      </c>
      <c r="G102" s="1200">
        <f t="shared" si="219"/>
        <v>0.46708759041099146</v>
      </c>
      <c r="H102" s="1200">
        <f t="shared" si="219"/>
        <v>0.3983185497995283</v>
      </c>
      <c r="I102" s="1200">
        <f>I101/H101-1</f>
        <v>0.30513970718474059</v>
      </c>
      <c r="J102" s="1200">
        <f>J101/I101-1</f>
        <v>0.33188488003732597</v>
      </c>
      <c r="K102" s="1625">
        <f t="shared" ref="K102:Q102" si="220">K101/J101-1</f>
        <v>2.2766969733296838E-2</v>
      </c>
      <c r="L102" s="1625">
        <f t="shared" si="220"/>
        <v>0.24978657580031038</v>
      </c>
      <c r="M102" s="1625">
        <f t="shared" si="220"/>
        <v>-0.16353631415216685</v>
      </c>
      <c r="N102" s="1625">
        <f t="shared" si="220"/>
        <v>-0.95908316924294557</v>
      </c>
      <c r="O102" s="1625">
        <f t="shared" si="220"/>
        <v>21.244575026770335</v>
      </c>
      <c r="P102" s="1208">
        <f t="shared" ca="1" si="220"/>
        <v>0.82066206317621182</v>
      </c>
      <c r="Q102" s="1208">
        <f t="shared" ca="1" si="220"/>
        <v>0.27803959349761764</v>
      </c>
      <c r="R102" s="1208">
        <f t="shared" ref="R102" ca="1" si="221">R101/Q101-1</f>
        <v>0.21518942676431485</v>
      </c>
      <c r="S102" s="1208">
        <f t="shared" ref="S102" ca="1" si="222">S101/R101-1</f>
        <v>0.16978933491755321</v>
      </c>
      <c r="T102" s="1208">
        <f t="shared" ref="T102" ca="1" si="223">T101/S101-1</f>
        <v>0.17034786471448626</v>
      </c>
      <c r="U102" s="1208">
        <f t="shared" ref="U102" ca="1" si="224">U101/T101-1</f>
        <v>0.15805453091925958</v>
      </c>
      <c r="V102" s="1208"/>
      <c r="W102" s="1213"/>
      <c r="X102" s="1005"/>
      <c r="Y102" s="999"/>
      <c r="Z102" s="999"/>
      <c r="AA102" s="999"/>
      <c r="AB102" s="999">
        <f>1-AB80/AB79</f>
        <v>0.32306432261149443</v>
      </c>
      <c r="AC102" s="1194">
        <f>AC76+AC77</f>
        <v>2166.9637150909998</v>
      </c>
      <c r="AD102" s="1194">
        <f>AD76+AD77</f>
        <v>1143.4405408540001</v>
      </c>
      <c r="AE102" s="1194" t="e">
        <f>#REF!+#REF!</f>
        <v>#REF!</v>
      </c>
      <c r="AF102" s="1194"/>
      <c r="AG102" s="1194">
        <f ca="1">AE76+AE77</f>
        <v>1566.016159741509</v>
      </c>
      <c r="AH102" s="1194"/>
      <c r="AI102" s="1686"/>
      <c r="AJ102" s="1214"/>
      <c r="AK102" s="1214"/>
      <c r="AL102" s="999"/>
      <c r="AM102" s="999"/>
      <c r="AN102" s="999"/>
      <c r="AO102" s="999"/>
      <c r="AP102" s="999"/>
    </row>
    <row r="103" spans="1:42" outlineLevel="1">
      <c r="A103" s="999"/>
      <c r="B103" s="1001" t="s">
        <v>352</v>
      </c>
      <c r="C103" s="1612" t="s">
        <v>561</v>
      </c>
      <c r="D103" s="1606">
        <v>101</v>
      </c>
      <c r="E103" s="1615">
        <f>'FS Year'!M23</f>
        <v>5.6381847719999998</v>
      </c>
      <c r="F103" s="1615">
        <f>'FS Year'!N23</f>
        <v>3.8777100440000001</v>
      </c>
      <c r="G103" s="1615">
        <f>'FS Year'!O23</f>
        <v>0.87819449800000005</v>
      </c>
      <c r="H103" s="1615">
        <f>'FS Year'!P23</f>
        <v>1.2174889289999999</v>
      </c>
      <c r="I103" s="1615">
        <f>'FS Year'!Q23</f>
        <v>1.5849292260000001</v>
      </c>
      <c r="J103" s="1609">
        <f>'FS Year'!R23</f>
        <v>1.9705399800000001</v>
      </c>
      <c r="K103" s="1609">
        <f>'FS Year'!S23</f>
        <v>2.1049263479999998</v>
      </c>
      <c r="L103" s="1609">
        <f>'FS Year'!T23</f>
        <v>2.55739567</v>
      </c>
      <c r="M103" s="1609">
        <f>'FS Year'!U23</f>
        <v>1.9513976340000001</v>
      </c>
      <c r="N103" s="1609">
        <f>'FS Year'!V23</f>
        <v>0.159762235</v>
      </c>
      <c r="O103" s="1609">
        <f>'FS Year'!W23</f>
        <v>11.419787059000001</v>
      </c>
      <c r="P103" s="1634">
        <f ca="1">$N$103*$O$101/$N$101+Rev_Year!L128*(1-0.9499)</f>
        <v>39.651327209022213</v>
      </c>
      <c r="Q103" s="1634">
        <f ca="1">$N$103*$O$101/$N$101+Rev_Year!M128*(1-0.9499)</f>
        <v>87.063558680764473</v>
      </c>
      <c r="R103" s="1634">
        <f ca="1">$N$103*$O$101/$N$101+Rev_Year!N128*(1-0.9499)</f>
        <v>126.93711096958762</v>
      </c>
      <c r="S103" s="1634">
        <f ca="1">$N$103*$O$101/$N$101+Rev_Year!O128*(1-0.9499)</f>
        <v>145.47316931357355</v>
      </c>
      <c r="T103" s="1634">
        <f ca="1">$N$103*$O$101/$N$101+Rev_Year!P128*(1-0.9499)</f>
        <v>188.69470853815994</v>
      </c>
      <c r="U103" s="1634">
        <f ca="1">$N$103*$O$101/$N$101+Rev_Year!Q128*(1-0.9499)</f>
        <v>235.75420874666131</v>
      </c>
      <c r="V103" s="1634"/>
      <c r="W103" s="1213">
        <f ca="1">P104*1.17</f>
        <v>7906.1637584168493</v>
      </c>
      <c r="X103" s="999"/>
      <c r="Y103" s="999"/>
      <c r="Z103" s="999"/>
      <c r="AA103" s="1687">
        <f ca="1">112/AC92</f>
        <v>0.98090149193984899</v>
      </c>
      <c r="AB103" s="1688" t="e">
        <f>#REF!/#REF!</f>
        <v>#REF!</v>
      </c>
      <c r="AC103" s="1189">
        <f>AC102/AC79</f>
        <v>3.141927931871455</v>
      </c>
      <c r="AD103" s="1189">
        <f>AD102/AD79</f>
        <v>0.23694502563744479</v>
      </c>
      <c r="AE103" s="1189"/>
      <c r="AF103" s="1189"/>
      <c r="AG103" s="1194">
        <f ca="1">AG102-AD102</f>
        <v>422.57561888750888</v>
      </c>
      <c r="AH103" s="1194"/>
      <c r="AI103" s="1678"/>
      <c r="AJ103" s="999"/>
      <c r="AK103" s="999"/>
      <c r="AL103" s="999"/>
      <c r="AM103" s="999"/>
      <c r="AN103" s="999"/>
      <c r="AO103" s="999"/>
      <c r="AP103" s="999"/>
    </row>
    <row r="104" spans="1:42" s="1249" customFormat="1">
      <c r="A104" s="1689"/>
      <c r="B104" s="1248" t="s">
        <v>353</v>
      </c>
      <c r="C104" s="1690" t="s">
        <v>403</v>
      </c>
      <c r="D104" s="1680">
        <v>102</v>
      </c>
      <c r="E104" s="1691" t="e">
        <f t="shared" ref="E104:H104" si="225">E101-E103</f>
        <v>#VALUE!</v>
      </c>
      <c r="F104" s="1691">
        <f t="shared" si="225"/>
        <v>1071.8935193989998</v>
      </c>
      <c r="G104" s="1691">
        <f t="shared" si="225"/>
        <v>1577.3724263390004</v>
      </c>
      <c r="H104" s="1691">
        <f t="shared" si="225"/>
        <v>2205.6796304199997</v>
      </c>
      <c r="I104" s="1691">
        <f t="shared" ref="I104:K104" si="226">I101-I103</f>
        <v>2878.7241309080009</v>
      </c>
      <c r="J104" s="1691">
        <f t="shared" si="226"/>
        <v>3834.2695470469971</v>
      </c>
      <c r="K104" s="1691">
        <f t="shared" si="226"/>
        <v>3921.474722630001</v>
      </c>
      <c r="L104" s="1691">
        <f t="shared" ref="L104:Q104" si="227">L101-L103</f>
        <v>4901.0797787059992</v>
      </c>
      <c r="M104" s="1691">
        <f t="shared" si="227"/>
        <v>4099.7630273050017</v>
      </c>
      <c r="N104" s="1691">
        <f t="shared" si="227"/>
        <v>167.66939270399794</v>
      </c>
      <c r="O104" s="1691">
        <f>O101-O103</f>
        <v>3721.8684416610026</v>
      </c>
      <c r="P104" s="1692">
        <f t="shared" ca="1" si="227"/>
        <v>6757.4049217238035</v>
      </c>
      <c r="Q104" s="1692">
        <f t="shared" ca="1" si="227"/>
        <v>8599.8434466857871</v>
      </c>
      <c r="R104" s="1692">
        <f t="shared" ref="R104:S104" ca="1" si="228">R101-R103</f>
        <v>10429.300433236702</v>
      </c>
      <c r="S104" s="1692">
        <f t="shared" ca="1" si="228"/>
        <v>12203.100926755207</v>
      </c>
      <c r="T104" s="1692">
        <f t="shared" ref="T104:U104" ca="1" si="229">T101-T103</f>
        <v>14263.432617064555</v>
      </c>
      <c r="U104" s="1692">
        <f t="shared" ca="1" si="229"/>
        <v>16500.597322089605</v>
      </c>
      <c r="V104" s="2061"/>
      <c r="W104" s="1693">
        <f ca="1">Rev_Year!L95/FS!P96</f>
        <v>0.76238733276983672</v>
      </c>
      <c r="X104" s="1693">
        <f ca="1">(R104/O104)^(1/3)-1</f>
        <v>0.40982341776203413</v>
      </c>
      <c r="Y104" s="1689"/>
      <c r="Z104" s="1689"/>
      <c r="AA104" s="1693">
        <f>K104*1.15</f>
        <v>4509.6959310245011</v>
      </c>
      <c r="AB104" s="1689"/>
      <c r="AC104" s="1694"/>
      <c r="AD104" s="1694"/>
      <c r="AE104" s="1694"/>
      <c r="AF104" s="1694"/>
      <c r="AG104" s="1694"/>
      <c r="AH104" s="1694"/>
      <c r="AI104" s="1695"/>
      <c r="AJ104" s="1696">
        <v>122.8054549696222</v>
      </c>
      <c r="AK104" s="1689">
        <v>2362.378730016907</v>
      </c>
      <c r="AL104" s="1689"/>
      <c r="AM104" s="1689"/>
      <c r="AN104" s="1689"/>
      <c r="AO104" s="1689"/>
      <c r="AP104" s="1689"/>
    </row>
    <row r="105" spans="1:42" s="23" customFormat="1">
      <c r="A105" s="1697"/>
      <c r="B105" s="1241"/>
      <c r="C105" s="1628" t="s">
        <v>31</v>
      </c>
      <c r="D105" s="1606">
        <v>103</v>
      </c>
      <c r="E105" s="1675" t="e">
        <f t="shared" ref="E105:H105" si="230">E104/D104-1</f>
        <v>#VALUE!</v>
      </c>
      <c r="F105" s="1675" t="e">
        <f t="shared" si="230"/>
        <v>#VALUE!</v>
      </c>
      <c r="G105" s="1675">
        <f t="shared" si="230"/>
        <v>0.47157567220241958</v>
      </c>
      <c r="H105" s="1675">
        <f t="shared" si="230"/>
        <v>0.39832521070453075</v>
      </c>
      <c r="I105" s="1675">
        <f>I104/H104-1</f>
        <v>0.30514154966369333</v>
      </c>
      <c r="J105" s="1658">
        <f>J104/I104-1</f>
        <v>0.33193365278721587</v>
      </c>
      <c r="K105" s="1676">
        <f t="shared" ref="K105:Q105" si="231">K104/J104-1</f>
        <v>2.2743621571979844E-2</v>
      </c>
      <c r="L105" s="1676">
        <f t="shared" si="231"/>
        <v>0.24980527106879058</v>
      </c>
      <c r="M105" s="1676">
        <f t="shared" si="231"/>
        <v>-0.16349800198775055</v>
      </c>
      <c r="N105" s="1676">
        <f t="shared" si="231"/>
        <v>-0.9591026623765091</v>
      </c>
      <c r="O105" s="1676">
        <f t="shared" si="231"/>
        <v>21.197661610378443</v>
      </c>
      <c r="P105" s="1699">
        <f t="shared" ca="1" si="231"/>
        <v>0.81559478193380097</v>
      </c>
      <c r="Q105" s="1699">
        <f t="shared" ca="1" si="231"/>
        <v>0.27265474635667974</v>
      </c>
      <c r="R105" s="1699">
        <f t="shared" ref="R105" ca="1" si="232">R104/Q104-1</f>
        <v>0.21273142911176501</v>
      </c>
      <c r="S105" s="1699">
        <f t="shared" ref="S105" ca="1" si="233">S104/R104-1</f>
        <v>0.17007856901558371</v>
      </c>
      <c r="T105" s="1699">
        <f t="shared" ref="T105" ca="1" si="234">T104/S104-1</f>
        <v>0.16883673278421263</v>
      </c>
      <c r="U105" s="1699">
        <f t="shared" ref="U105" ca="1" si="235">U104/T104-1</f>
        <v>0.15684616495110304</v>
      </c>
      <c r="V105" s="1699">
        <f ca="1">(S104/Q104)^(1/2)-1</f>
        <v>0.19121410971131381</v>
      </c>
      <c r="W105" s="1197"/>
      <c r="X105" s="1195"/>
      <c r="Y105" s="1195"/>
      <c r="Z105" s="1195"/>
      <c r="AA105" s="1197">
        <f>AA104/K104-1</f>
        <v>0.14999999999999991</v>
      </c>
      <c r="AB105" s="1660" t="e">
        <f>51452/L101*#REF!+1.5%*#REF!</f>
        <v>#REF!</v>
      </c>
      <c r="AC105" s="1700"/>
      <c r="AD105" s="1700"/>
      <c r="AE105" s="1700"/>
      <c r="AF105" s="1700"/>
      <c r="AG105" s="1700"/>
      <c r="AH105" s="1700"/>
      <c r="AI105" s="1701"/>
      <c r="AJ105" s="1195">
        <v>428.31973557698564</v>
      </c>
      <c r="AK105" s="1195">
        <v>22.265693189518156</v>
      </c>
      <c r="AL105" s="1195"/>
      <c r="AM105" s="1195"/>
      <c r="AN105" s="1195"/>
      <c r="AO105" s="1195"/>
      <c r="AP105" s="1195"/>
    </row>
    <row r="106" spans="1:42" s="1244" customFormat="1">
      <c r="A106" s="1195"/>
      <c r="B106" s="1241"/>
      <c r="C106" s="1702" t="s">
        <v>562</v>
      </c>
      <c r="D106" s="1606">
        <v>104</v>
      </c>
      <c r="E106" s="1676" t="e">
        <f t="shared" ref="E106:H106" si="236">E104/E67</f>
        <v>#VALUE!</v>
      </c>
      <c r="F106" s="1676">
        <f t="shared" si="236"/>
        <v>4.2446634035031329E-2</v>
      </c>
      <c r="G106" s="1676">
        <f t="shared" si="236"/>
        <v>3.5356525321724078E-2</v>
      </c>
      <c r="H106" s="1676">
        <f t="shared" si="236"/>
        <v>3.3248208331010831E-2</v>
      </c>
      <c r="I106" s="1676">
        <f t="shared" ref="I106:Q106" si="237">I104/I67</f>
        <v>3.327378266735892E-2</v>
      </c>
      <c r="J106" s="1676">
        <f t="shared" si="237"/>
        <v>3.7526771892929377E-2</v>
      </c>
      <c r="K106" s="1676">
        <f t="shared" si="237"/>
        <v>3.612730097996926E-2</v>
      </c>
      <c r="L106" s="1676">
        <f>L104/L67</f>
        <v>3.9859753326010966E-2</v>
      </c>
      <c r="M106" s="1676">
        <f ca="1">M104/M67</f>
        <v>3.0731754757487999E-2</v>
      </c>
      <c r="N106" s="1676">
        <f>N104/N67</f>
        <v>1.4175658825020796E-3</v>
      </c>
      <c r="O106" s="1676">
        <f>O104/O67</f>
        <v>2.7704604008050183E-2</v>
      </c>
      <c r="P106" s="1699">
        <f t="shared" ca="1" si="237"/>
        <v>4.2341824697263795E-2</v>
      </c>
      <c r="Q106" s="1699">
        <f t="shared" ca="1" si="237"/>
        <v>4.4329706873501427E-2</v>
      </c>
      <c r="R106" s="1699">
        <f t="shared" ref="R106:S106" ca="1" si="238">R104/R67</f>
        <v>4.6852670489491828E-2</v>
      </c>
      <c r="S106" s="1699">
        <f t="shared" ca="1" si="238"/>
        <v>4.7578041727476685E-2</v>
      </c>
      <c r="T106" s="1699">
        <f t="shared" ref="T106:U106" ca="1" si="239">T104/T67</f>
        <v>4.9976111721205398E-2</v>
      </c>
      <c r="U106" s="1699">
        <f t="shared" ca="1" si="239"/>
        <v>5.2875161676606081E-2</v>
      </c>
      <c r="V106" s="1699"/>
      <c r="W106" s="1697">
        <f ca="1">(Q104/O104)^(1/2)-1</f>
        <v>0.5200741155247901</v>
      </c>
      <c r="X106" s="1697">
        <f ca="1">(R104/P104)^(1/2)-1</f>
        <v>0.24233184347621362</v>
      </c>
      <c r="Y106" s="1697"/>
      <c r="Z106" s="1697"/>
      <c r="AA106" s="1697"/>
      <c r="AB106" s="1697"/>
      <c r="AC106" s="1703"/>
      <c r="AD106" s="1703"/>
      <c r="AE106" s="1703"/>
      <c r="AF106" s="1703"/>
      <c r="AG106" s="1703"/>
      <c r="AH106" s="1703"/>
      <c r="AI106" s="1704"/>
      <c r="AJ106" s="1697"/>
      <c r="AK106" s="1697"/>
      <c r="AL106" s="1697">
        <v>3.2953897633884877</v>
      </c>
      <c r="AM106" s="1697">
        <v>2.9510556230790881</v>
      </c>
      <c r="AN106" s="1697"/>
      <c r="AO106" s="1697"/>
      <c r="AP106" s="1697"/>
    </row>
    <row r="107" spans="1:42" s="5" customFormat="1">
      <c r="A107" s="1705"/>
      <c r="B107" s="1019" t="s">
        <v>356</v>
      </c>
      <c r="C107" s="1706" t="s">
        <v>356</v>
      </c>
      <c r="D107" s="1606">
        <v>105</v>
      </c>
      <c r="E107" s="1654" t="e">
        <f ca="1">Valuation!E39</f>
        <v>#VALUE!</v>
      </c>
      <c r="F107" s="1623">
        <f ca="1">Valuation!F39</f>
        <v>2.4166446980386334</v>
      </c>
      <c r="G107" s="1623">
        <f ca="1">Valuation!G39</f>
        <v>3.5562755459906152</v>
      </c>
      <c r="H107" s="1623">
        <f ca="1">Valuation!H39</f>
        <v>4.9728297521706972</v>
      </c>
      <c r="I107" s="1623">
        <f ca="1">Valuation!I39</f>
        <v>6.4901788267804692</v>
      </c>
      <c r="J107" s="1623">
        <f ca="1">Valuation!J39</f>
        <v>5377.1632114200065</v>
      </c>
      <c r="K107" s="1623">
        <f ca="1">Valuation!K39</f>
        <v>2678.8238457955367</v>
      </c>
      <c r="L107" s="1623">
        <f ca="1">Valuation!L39</f>
        <v>3337.571729856917</v>
      </c>
      <c r="M107" s="1623">
        <f ca="1">Valuation!M39</f>
        <v>2791.885420534511</v>
      </c>
      <c r="N107" s="1623">
        <f ca="1">Valuation!N39</f>
        <v>114.18068064970186</v>
      </c>
      <c r="O107" s="1623">
        <f ca="1">Valuation!O39</f>
        <v>2534.5441115047679</v>
      </c>
      <c r="P107" s="1207">
        <f ca="1">Valuation!P39</f>
        <v>4601.7050634290981</v>
      </c>
      <c r="Q107" s="1207">
        <f ca="1">Valuation!Q39</f>
        <v>5856.3817903066083</v>
      </c>
      <c r="R107" s="1207">
        <f ca="1">Valuation!R39</f>
        <v>7102.2182579826494</v>
      </c>
      <c r="S107" s="1207">
        <f ca="1">Valuation!S39</f>
        <v>8310.15337613669</v>
      </c>
      <c r="T107" s="1207">
        <f ca="1">Valuation!T39</f>
        <v>9713.2125210993036</v>
      </c>
      <c r="U107" s="1207">
        <f ca="1">Valuation!U39</f>
        <v>11236.692654388766</v>
      </c>
      <c r="V107" s="1207"/>
      <c r="W107" s="1707">
        <f ca="1">O104/O44*10000</f>
        <v>2545.3125409580639</v>
      </c>
      <c r="X107" s="1000"/>
      <c r="Y107" s="1000"/>
      <c r="Z107" s="1000"/>
      <c r="AA107" s="1707"/>
      <c r="AB107" s="1000"/>
      <c r="AC107" s="1206"/>
      <c r="AD107" s="1206"/>
      <c r="AE107" s="1206"/>
      <c r="AF107" s="1206"/>
      <c r="AG107" s="1206"/>
      <c r="AH107" s="1206"/>
      <c r="AI107" s="1206"/>
      <c r="AJ107" s="1000"/>
      <c r="AK107" s="1000"/>
      <c r="AL107" s="1000"/>
      <c r="AM107" s="1000"/>
      <c r="AN107" s="1000"/>
      <c r="AO107" s="1000"/>
      <c r="AP107" s="1000"/>
    </row>
    <row r="108" spans="1:42" s="23" customFormat="1">
      <c r="A108" s="1195"/>
      <c r="B108" s="1245"/>
      <c r="C108" s="1628"/>
      <c r="D108" s="1606">
        <v>106</v>
      </c>
      <c r="E108" s="1698"/>
      <c r="F108" s="1675" t="e">
        <f ca="1">F107/E107-1</f>
        <v>#VALUE!</v>
      </c>
      <c r="G108" s="1675">
        <f t="shared" ref="G108:Q108" ca="1" si="240">G107/F107-1</f>
        <v>0.47157567220241958</v>
      </c>
      <c r="H108" s="1675">
        <f t="shared" ca="1" si="240"/>
        <v>0.39832521070453075</v>
      </c>
      <c r="I108" s="1675">
        <f t="shared" ca="1" si="240"/>
        <v>0.30512789502746029</v>
      </c>
      <c r="J108" s="1675">
        <f t="shared" ca="1" si="240"/>
        <v>827.50771218077705</v>
      </c>
      <c r="K108" s="1675">
        <f ca="1">K107/J107-1</f>
        <v>-0.50181466686630283</v>
      </c>
      <c r="L108" s="1675">
        <f ca="1">L107/K107-1</f>
        <v>0.2459093699256476</v>
      </c>
      <c r="M108" s="1675">
        <f ca="1">M107/L107-1</f>
        <v>-0.16349800198775044</v>
      </c>
      <c r="N108" s="1675">
        <f ca="1">N107/M107-1</f>
        <v>-0.9591026623765091</v>
      </c>
      <c r="O108" s="1675">
        <f ca="1">O107/N107-1</f>
        <v>21.197661610378447</v>
      </c>
      <c r="P108" s="1677">
        <f t="shared" ca="1" si="240"/>
        <v>0.81559478193380075</v>
      </c>
      <c r="Q108" s="1677">
        <f t="shared" ca="1" si="240"/>
        <v>0.27265474635667997</v>
      </c>
      <c r="R108" s="1677">
        <f t="shared" ref="R108" ca="1" si="241">R107/Q107-1</f>
        <v>0.21273142911176501</v>
      </c>
      <c r="S108" s="1677">
        <f t="shared" ref="S108" ca="1" si="242">S107/R107-1</f>
        <v>0.17007856901558371</v>
      </c>
      <c r="T108" s="1677">
        <f t="shared" ref="T108" ca="1" si="243">T107/S107-1</f>
        <v>0.16883673278421263</v>
      </c>
      <c r="U108" s="1677">
        <f t="shared" ref="U108" ca="1" si="244">U107/T107-1</f>
        <v>0.15684616495110326</v>
      </c>
      <c r="V108" s="1677"/>
      <c r="W108" s="1195"/>
      <c r="X108" s="1195"/>
      <c r="Y108" s="1195"/>
      <c r="Z108" s="1195"/>
      <c r="AA108" s="1195"/>
      <c r="AB108" s="1195"/>
      <c r="AC108" s="1700"/>
      <c r="AD108" s="1700"/>
      <c r="AE108" s="1700"/>
      <c r="AF108" s="1700"/>
      <c r="AG108" s="1700"/>
      <c r="AH108" s="1700"/>
      <c r="AI108" s="1700"/>
      <c r="AJ108" s="1195"/>
      <c r="AK108" s="1195"/>
      <c r="AL108" s="1195"/>
      <c r="AM108" s="1195"/>
      <c r="AN108" s="1195"/>
      <c r="AO108" s="1195"/>
      <c r="AP108" s="1195"/>
    </row>
    <row r="109" spans="1:42" s="5" customFormat="1">
      <c r="A109" s="1705"/>
      <c r="B109" s="1019"/>
      <c r="C109" s="1706" t="s">
        <v>563</v>
      </c>
      <c r="D109" s="1606">
        <v>107</v>
      </c>
      <c r="E109" s="1654"/>
      <c r="F109" s="1708"/>
      <c r="G109" s="1708"/>
      <c r="H109" s="1708"/>
      <c r="I109" s="1708"/>
      <c r="J109" s="1708"/>
      <c r="K109" s="1623">
        <f ca="1">Valuation!$AJ$45/FS!K107</f>
        <v>32.999556928218858</v>
      </c>
      <c r="L109" s="1709">
        <f ca="1">Valuation!$AJ$45/FS!L107</f>
        <v>26.486322139296686</v>
      </c>
      <c r="M109" s="1709">
        <f ca="1">Valuation!$AJ$45/FS!M107</f>
        <v>31.663190527022302</v>
      </c>
      <c r="N109" s="1709">
        <f ca="1">Valuation!$AJ$45/FS!N107</f>
        <v>774.21153470966658</v>
      </c>
      <c r="O109" s="1709">
        <f ca="1">Valuation!$AJ$45/FS!O107</f>
        <v>34.878067262169921</v>
      </c>
      <c r="P109" s="1710">
        <f ca="1">Valuation!$AJ$45/FS!P107</f>
        <v>19.210270710858225</v>
      </c>
      <c r="Q109" s="1710">
        <f ca="1">Valuation!$AJ$45/FS!Q107</f>
        <v>15.09464429834788</v>
      </c>
      <c r="R109" s="1710">
        <f ca="1">Valuation!$AJ$45/FS!R107</f>
        <v>12.446815458063604</v>
      </c>
      <c r="S109" s="1710">
        <f ca="1">Valuation!$AJ$45/FS!S107</f>
        <v>10.637589464214715</v>
      </c>
      <c r="T109" s="1710">
        <f ca="1">Valuation!$AJ$45/FS!T107</f>
        <v>9.1010054405764436</v>
      </c>
      <c r="U109" s="1710">
        <f ca="1">Valuation!$AJ$45/FS!U107</f>
        <v>7.8670835555400913</v>
      </c>
      <c r="V109" s="1710"/>
      <c r="W109" s="1000"/>
      <c r="X109" s="1000"/>
      <c r="Y109" s="1000"/>
      <c r="Z109" s="1000"/>
      <c r="AA109" s="1000">
        <f>4200/$M$101-1</f>
        <v>2.3962071679931585E-2</v>
      </c>
      <c r="AB109" s="1000">
        <f>4700/$M$101-1</f>
        <v>0.14586231830849483</v>
      </c>
      <c r="AC109" s="1206"/>
      <c r="AD109" s="1206"/>
      <c r="AE109" s="1206"/>
      <c r="AF109" s="1206"/>
      <c r="AG109" s="1206"/>
      <c r="AH109" s="1206"/>
      <c r="AI109" s="1206"/>
      <c r="AJ109" s="1000"/>
      <c r="AK109" s="1000"/>
      <c r="AL109" s="1000"/>
      <c r="AM109" s="1000"/>
      <c r="AN109" s="1000"/>
      <c r="AO109" s="1000"/>
      <c r="AP109" s="1000"/>
    </row>
    <row r="110" spans="1:42" s="23" customFormat="1" ht="16" thickBot="1">
      <c r="A110" s="999"/>
      <c r="B110" s="1198"/>
      <c r="C110" s="1645" t="s">
        <v>564</v>
      </c>
      <c r="D110" s="1606">
        <v>108</v>
      </c>
      <c r="E110" s="1632">
        <f>'FS Year'!M128</f>
        <v>0</v>
      </c>
      <c r="F110" s="1632">
        <f>'FS Year'!N128</f>
        <v>0</v>
      </c>
      <c r="G110" s="1632">
        <f>'FS Year'!O128</f>
        <v>0</v>
      </c>
      <c r="H110" s="1632">
        <f>'FS Year'!P128</f>
        <v>0</v>
      </c>
      <c r="I110" s="1632">
        <f>'FS Year'!Q128</f>
        <v>0</v>
      </c>
      <c r="J110" s="1668">
        <v>47996</v>
      </c>
      <c r="K110" s="1668">
        <v>59696</v>
      </c>
      <c r="L110" s="1668">
        <v>0</v>
      </c>
      <c r="M110" s="1668">
        <v>1</v>
      </c>
      <c r="N110" s="1668">
        <v>2</v>
      </c>
      <c r="O110" s="1668">
        <v>2</v>
      </c>
      <c r="P110" s="1580">
        <f>O110</f>
        <v>2</v>
      </c>
      <c r="Q110" s="1580">
        <f>P110</f>
        <v>2</v>
      </c>
      <c r="R110" s="1580">
        <f t="shared" ref="R110" si="245">Q110</f>
        <v>2</v>
      </c>
      <c r="S110" s="1580">
        <f t="shared" ref="S110" si="246">R110</f>
        <v>2</v>
      </c>
      <c r="T110" s="1580">
        <f t="shared" ref="T110" si="247">S110</f>
        <v>2</v>
      </c>
      <c r="U110" s="1580">
        <f t="shared" ref="U110" si="248">T110</f>
        <v>2</v>
      </c>
      <c r="V110" s="1580"/>
      <c r="W110" s="1195"/>
      <c r="X110" s="1195"/>
      <c r="Y110" s="1195"/>
      <c r="Z110" s="1195"/>
      <c r="AA110" s="1195"/>
      <c r="AB110" s="1195">
        <v>3</v>
      </c>
      <c r="AC110" s="1700">
        <v>4</v>
      </c>
      <c r="AD110" s="1700">
        <v>5</v>
      </c>
      <c r="AE110" s="1700">
        <v>6</v>
      </c>
      <c r="AF110" s="1700"/>
      <c r="AG110" s="1700">
        <v>7</v>
      </c>
      <c r="AH110" s="1700"/>
      <c r="AI110" s="1700"/>
      <c r="AJ110" s="1195"/>
      <c r="AK110" s="1195"/>
      <c r="AL110" s="1195"/>
      <c r="AM110" s="1195"/>
      <c r="AN110" s="1195"/>
      <c r="AO110" s="1195"/>
      <c r="AP110" s="1195"/>
    </row>
    <row r="111" spans="1:42">
      <c r="A111" s="999"/>
      <c r="B111" s="1198"/>
      <c r="C111" s="1612" t="s">
        <v>565</v>
      </c>
      <c r="D111" s="1606">
        <v>109</v>
      </c>
      <c r="E111" s="1615">
        <f>'FS Year'!M111-'FS Year'!L111</f>
        <v>4.95</v>
      </c>
      <c r="F111" s="1615">
        <f>'FS Year'!N111-'FS Year'!M111</f>
        <v>0</v>
      </c>
      <c r="G111" s="1615">
        <f>'FS Year'!O111-'FS Year'!N111</f>
        <v>0</v>
      </c>
      <c r="H111" s="1615">
        <f>'FS Year'!P111-'FS Year'!O111</f>
        <v>0</v>
      </c>
      <c r="I111" s="1615">
        <f>'FS Year'!Q111-'FS Year'!P111</f>
        <v>3.0117752999999858E-2</v>
      </c>
      <c r="J111" s="1615">
        <f>K111</f>
        <v>0</v>
      </c>
      <c r="K111" s="1609">
        <v>0</v>
      </c>
      <c r="L111" s="1609">
        <f>0</f>
        <v>0</v>
      </c>
      <c r="M111" s="1609">
        <f>0</f>
        <v>0</v>
      </c>
      <c r="N111" s="1609">
        <f>0</f>
        <v>0</v>
      </c>
      <c r="O111" s="1609">
        <f>0</f>
        <v>0</v>
      </c>
      <c r="P111" s="1634">
        <f ca="1">P104*$M$111/$M$104</f>
        <v>0</v>
      </c>
      <c r="Q111" s="1634">
        <f ca="1">Q104*$M$111/$M$104</f>
        <v>0</v>
      </c>
      <c r="R111" s="1634">
        <f t="shared" ref="R111:U111" ca="1" si="249">R104*$M$111/$M$104</f>
        <v>0</v>
      </c>
      <c r="S111" s="1634">
        <f t="shared" ca="1" si="249"/>
        <v>0</v>
      </c>
      <c r="T111" s="1634">
        <f t="shared" ca="1" si="249"/>
        <v>0</v>
      </c>
      <c r="U111" s="1634">
        <f t="shared" ca="1" si="249"/>
        <v>0</v>
      </c>
      <c r="V111" s="1634"/>
      <c r="W111" s="999"/>
      <c r="X111" s="999"/>
      <c r="Y111" s="999"/>
      <c r="Z111" s="999"/>
      <c r="AA111" s="1594" t="s">
        <v>30</v>
      </c>
      <c r="AB111" s="1202">
        <f t="shared" ref="AB111:AE120" si="250">VLOOKUP($AA111,$AA$67:$AG$91,AB$110,FALSE)</f>
        <v>118279.788455442</v>
      </c>
      <c r="AC111" s="1191">
        <f t="shared" si="250"/>
        <v>134341.15284880201</v>
      </c>
      <c r="AD111" s="1193">
        <f t="shared" ca="1" si="250"/>
        <v>159591.72685726223</v>
      </c>
      <c r="AE111" s="1191">
        <f t="shared" ca="1" si="250"/>
        <v>193997.30007748908</v>
      </c>
      <c r="AF111" s="1191"/>
      <c r="AG111" s="1193">
        <f t="shared" ref="AG111:AG120" ca="1" si="251">VLOOKUP($AA111,$AA$67:$AG$91,AG$110,FALSE)</f>
        <v>2.8426815772055303E-2</v>
      </c>
      <c r="AH111" s="1193"/>
      <c r="AI111" s="1189"/>
      <c r="AJ111" s="999"/>
      <c r="AK111" s="999"/>
      <c r="AL111" s="999"/>
      <c r="AM111" s="999"/>
      <c r="AN111" s="999"/>
      <c r="AO111" s="999"/>
      <c r="AP111" s="999"/>
    </row>
    <row r="112" spans="1:42">
      <c r="A112" s="999"/>
      <c r="B112" s="1198"/>
      <c r="C112" s="1621" t="s">
        <v>566</v>
      </c>
      <c r="D112" s="1606">
        <v>110</v>
      </c>
      <c r="E112" s="1654" t="e">
        <f t="shared" ref="E112:L112" si="252">E104-E111</f>
        <v>#VALUE!</v>
      </c>
      <c r="F112" s="1623">
        <f t="shared" si="252"/>
        <v>1071.8935193989998</v>
      </c>
      <c r="G112" s="1623">
        <f t="shared" si="252"/>
        <v>1577.3724263390004</v>
      </c>
      <c r="H112" s="1623">
        <f t="shared" si="252"/>
        <v>2205.6796304199997</v>
      </c>
      <c r="I112" s="1623">
        <f t="shared" si="252"/>
        <v>2878.6940131550009</v>
      </c>
      <c r="J112" s="1623">
        <f t="shared" si="252"/>
        <v>3834.2695470469971</v>
      </c>
      <c r="K112" s="1623">
        <f t="shared" si="252"/>
        <v>3921.474722630001</v>
      </c>
      <c r="L112" s="1623">
        <f t="shared" si="252"/>
        <v>4901.0797787059992</v>
      </c>
      <c r="M112" s="1623">
        <f t="shared" ref="M112:Q112" si="253">M104-M111</f>
        <v>4099.7630273050017</v>
      </c>
      <c r="N112" s="1623">
        <f t="shared" si="253"/>
        <v>167.66939270399794</v>
      </c>
      <c r="O112" s="1623">
        <f t="shared" ref="O112" si="254">O104-O111</f>
        <v>3721.8684416610026</v>
      </c>
      <c r="P112" s="1207">
        <f t="shared" ca="1" si="253"/>
        <v>6757.4049217238035</v>
      </c>
      <c r="Q112" s="1207">
        <f t="shared" ca="1" si="253"/>
        <v>8599.8434466857871</v>
      </c>
      <c r="R112" s="1207">
        <f t="shared" ref="R112:U112" ca="1" si="255">R104-R111</f>
        <v>10429.300433236702</v>
      </c>
      <c r="S112" s="1207">
        <f t="shared" ca="1" si="255"/>
        <v>12203.100926755207</v>
      </c>
      <c r="T112" s="1207">
        <f t="shared" ca="1" si="255"/>
        <v>14263.432617064555</v>
      </c>
      <c r="U112" s="1207">
        <f t="shared" ca="1" si="255"/>
        <v>16500.597322089605</v>
      </c>
      <c r="V112" s="1207"/>
      <c r="W112" s="1213">
        <f>55361/(O104/1.1)</f>
        <v>16.361970057389435</v>
      </c>
      <c r="X112" s="999"/>
      <c r="Y112" s="999"/>
      <c r="Z112" s="999"/>
      <c r="AA112" s="1595" t="s">
        <v>31</v>
      </c>
      <c r="AB112" s="1005">
        <f t="shared" ca="1" si="250"/>
        <v>-0.11337669339155632</v>
      </c>
      <c r="AC112" s="1193">
        <f t="shared" si="250"/>
        <v>0.13579128440367993</v>
      </c>
      <c r="AD112" s="1193">
        <f t="shared" ca="1" si="250"/>
        <v>0.1879585925310554</v>
      </c>
      <c r="AE112" s="1193">
        <f t="shared" ca="1" si="250"/>
        <v>0.2155849422633227</v>
      </c>
      <c r="AF112" s="1193"/>
      <c r="AG112" s="1193">
        <f t="shared" si="251"/>
        <v>0</v>
      </c>
      <c r="AH112" s="1193"/>
      <c r="AI112" s="1189"/>
      <c r="AJ112" s="999"/>
      <c r="AK112" s="999"/>
      <c r="AL112" s="999"/>
      <c r="AM112" s="999"/>
      <c r="AN112" s="999"/>
      <c r="AO112" s="999"/>
      <c r="AP112" s="999"/>
    </row>
    <row r="113" spans="1:42">
      <c r="A113" s="999"/>
      <c r="B113" s="1198"/>
      <c r="C113" s="1620"/>
      <c r="D113" s="1606">
        <v>111</v>
      </c>
      <c r="E113" s="1655"/>
      <c r="F113" s="1655"/>
      <c r="G113" s="1655"/>
      <c r="H113" s="1655"/>
      <c r="I113" s="1655"/>
      <c r="J113" s="1655"/>
      <c r="K113" s="1627">
        <f ca="1">K112/$M$44*10^4</f>
        <v>2678.8238457955367</v>
      </c>
      <c r="L113" s="1627">
        <f ca="1">L112/$M$44*10^4</f>
        <v>3348.0081627400309</v>
      </c>
      <c r="M113" s="1627">
        <f ca="1">M112/$M$44*10^4</f>
        <v>2800.615517493356</v>
      </c>
      <c r="N113" s="1627">
        <f ca="1">N112/$M$44*10^4</f>
        <v>114.53771837251358</v>
      </c>
      <c r="O113" s="1627">
        <f ca="1">O112/$M$44*10^4</f>
        <v>2542.4695140578824</v>
      </c>
      <c r="P113" s="999"/>
      <c r="Q113" s="999"/>
      <c r="R113" s="999"/>
      <c r="S113" s="999"/>
      <c r="T113" s="999"/>
      <c r="U113" s="999"/>
      <c r="V113" s="999"/>
      <c r="W113" s="1213">
        <f>L104*0.9</f>
        <v>4410.9718008353993</v>
      </c>
      <c r="X113" s="999"/>
      <c r="Y113" s="999"/>
      <c r="Z113" s="999"/>
      <c r="AA113" s="1596" t="s">
        <v>243</v>
      </c>
      <c r="AB113" s="1005">
        <f t="shared" si="250"/>
        <v>0.19040119582403459</v>
      </c>
      <c r="AC113" s="1193">
        <f t="shared" si="250"/>
        <v>0.20469684451770898</v>
      </c>
      <c r="AD113" s="1193">
        <f t="shared" ca="1" si="250"/>
        <v>0.19635636031741605</v>
      </c>
      <c r="AE113" s="1193">
        <f t="shared" ca="1" si="250"/>
        <v>0.20061970470619181</v>
      </c>
      <c r="AF113" s="1193"/>
      <c r="AG113" s="1193">
        <f t="shared" ca="1" si="251"/>
        <v>-1.12341592049231E-2</v>
      </c>
      <c r="AH113" s="1193"/>
      <c r="AI113" s="1189"/>
      <c r="AJ113" s="999"/>
      <c r="AK113" s="999"/>
      <c r="AL113" s="999"/>
      <c r="AM113" s="999"/>
      <c r="AN113" s="999"/>
      <c r="AO113" s="999"/>
      <c r="AP113" s="999"/>
    </row>
    <row r="114" spans="1:42">
      <c r="A114" s="999"/>
      <c r="B114" s="1216">
        <f>87228/N104</f>
        <v>520.23806249475444</v>
      </c>
      <c r="C114" s="999" t="s">
        <v>567</v>
      </c>
      <c r="D114" s="1606">
        <v>112</v>
      </c>
      <c r="E114" s="1192"/>
      <c r="F114" s="1192"/>
      <c r="G114" s="1192"/>
      <c r="H114" s="1192"/>
      <c r="I114" s="1200"/>
      <c r="J114" s="1200"/>
      <c r="K114" s="1200"/>
      <c r="L114" s="1632">
        <v>228.25299999999999</v>
      </c>
      <c r="M114" s="1711"/>
      <c r="N114" s="1711"/>
      <c r="O114" s="1711"/>
      <c r="P114" s="999"/>
      <c r="Q114" s="999"/>
      <c r="R114" s="999"/>
      <c r="S114" s="999"/>
      <c r="T114" s="999"/>
      <c r="U114" s="999"/>
      <c r="V114" s="999"/>
      <c r="W114" s="1213">
        <f>58830/W113</f>
        <v>13.337197029656393</v>
      </c>
      <c r="X114" s="999"/>
      <c r="Y114" s="999"/>
      <c r="Z114" s="999"/>
      <c r="AA114" s="1595" t="s">
        <v>535</v>
      </c>
      <c r="AB114" s="1005">
        <f t="shared" si="250"/>
        <v>3.4412835179303265E-3</v>
      </c>
      <c r="AC114" s="1193">
        <f t="shared" si="250"/>
        <v>3.0397274382727747E-2</v>
      </c>
      <c r="AD114" s="1193">
        <f t="shared" ca="1" si="250"/>
        <v>4.4456673114458937E-2</v>
      </c>
      <c r="AE114" s="1193">
        <f t="shared" ca="1" si="250"/>
        <v>4.7647592206228363E-2</v>
      </c>
      <c r="AF114" s="1193"/>
      <c r="AG114" s="1193">
        <f t="shared" ca="1" si="251"/>
        <v>0.21014060440645368</v>
      </c>
      <c r="AH114" s="1193"/>
      <c r="AI114" s="1189"/>
      <c r="AJ114" s="999"/>
      <c r="AK114" s="999"/>
      <c r="AL114" s="999"/>
      <c r="AM114" s="999"/>
      <c r="AN114" s="999"/>
      <c r="AO114" s="999"/>
      <c r="AP114" s="999"/>
    </row>
    <row r="115" spans="1:42">
      <c r="A115" s="999"/>
      <c r="B115" s="1198"/>
      <c r="C115" s="999" t="s">
        <v>568</v>
      </c>
      <c r="D115" s="1606">
        <v>113</v>
      </c>
      <c r="E115" s="1609"/>
      <c r="F115" s="1609"/>
      <c r="G115" s="1609"/>
      <c r="H115" s="1609">
        <f>H233</f>
        <v>689.71370863200002</v>
      </c>
      <c r="I115" s="1609">
        <f>I233</f>
        <v>1222.8686837170001</v>
      </c>
      <c r="J115" s="1609">
        <f>J233</f>
        <v>1442.8269389540001</v>
      </c>
      <c r="K115" s="1609">
        <f>K233</f>
        <v>2195.5830710350001</v>
      </c>
      <c r="L115" s="1609">
        <f>L233</f>
        <v>2920.7136084099998</v>
      </c>
      <c r="M115" s="1609">
        <f>M124</f>
        <v>3582.4248188289998</v>
      </c>
      <c r="N115" s="1609">
        <f>N124</f>
        <v>3380.5307272549999</v>
      </c>
      <c r="O115" s="1609">
        <f>O124</f>
        <v>2913.4190814829999</v>
      </c>
      <c r="P115" s="1634">
        <f>-'Fixed Asset &amp; Interest'!H16</f>
        <v>2760.8629524028656</v>
      </c>
      <c r="Q115" s="1634">
        <f>-'Fixed Asset &amp; Interest'!I16</f>
        <v>2338.3103848336509</v>
      </c>
      <c r="R115" s="1634">
        <f>-'Fixed Asset &amp; Interest'!J16</f>
        <v>2006.8091064467303</v>
      </c>
      <c r="S115" s="1634">
        <f>-'Fixed Asset &amp; Interest'!K16</f>
        <v>1981.2464873356944</v>
      </c>
      <c r="T115" s="1634">
        <f>-'Fixed Asset &amp; Interest'!L16</f>
        <v>1867.5799772303337</v>
      </c>
      <c r="U115" s="1634">
        <f>-'Fixed Asset &amp; Interest'!M16</f>
        <v>1899.1584905660379</v>
      </c>
      <c r="V115" s="1634"/>
      <c r="W115" s="999"/>
      <c r="X115" s="999"/>
      <c r="Y115" s="999"/>
      <c r="Z115" s="999"/>
      <c r="AA115" s="1597" t="s">
        <v>569</v>
      </c>
      <c r="AB115" s="1202" t="e">
        <f t="shared" si="250"/>
        <v>#N/A</v>
      </c>
      <c r="AC115" s="1191" t="e">
        <f t="shared" si="250"/>
        <v>#N/A</v>
      </c>
      <c r="AD115" s="1193" t="e">
        <f t="shared" si="250"/>
        <v>#N/A</v>
      </c>
      <c r="AE115" s="1191" t="e">
        <f t="shared" si="250"/>
        <v>#N/A</v>
      </c>
      <c r="AF115" s="1191"/>
      <c r="AG115" s="1193" t="e">
        <f t="shared" si="251"/>
        <v>#N/A</v>
      </c>
      <c r="AH115" s="1193"/>
      <c r="AI115" s="1189"/>
      <c r="AJ115" s="999"/>
      <c r="AK115" s="999"/>
      <c r="AL115" s="999"/>
      <c r="AM115" s="999"/>
      <c r="AN115" s="999"/>
      <c r="AO115" s="999"/>
      <c r="AP115" s="999"/>
    </row>
    <row r="116" spans="1:42">
      <c r="A116" s="1000"/>
      <c r="B116" s="1198"/>
      <c r="C116" s="999" t="s">
        <v>570</v>
      </c>
      <c r="D116" s="1606">
        <v>114</v>
      </c>
      <c r="E116" s="1609"/>
      <c r="F116" s="1609"/>
      <c r="G116" s="1609"/>
      <c r="H116" s="1609">
        <f>H125</f>
        <v>0</v>
      </c>
      <c r="I116" s="1609">
        <f>I125</f>
        <v>0</v>
      </c>
      <c r="J116" s="1609">
        <f>J125</f>
        <v>0</v>
      </c>
      <c r="K116" s="1609">
        <f>K125</f>
        <v>0</v>
      </c>
      <c r="L116" s="1609">
        <f>L125</f>
        <v>0</v>
      </c>
      <c r="M116" s="1609">
        <f>-'Fixed Asset &amp; Interest'!E33</f>
        <v>6.0410000000000004</v>
      </c>
      <c r="N116" s="1609">
        <f>-'Fixed Asset &amp; Interest'!F33</f>
        <v>6.0410000000000004</v>
      </c>
      <c r="O116" s="1609">
        <f>-'Fixed Asset &amp; Interest'!G33</f>
        <v>6.0410000000000004</v>
      </c>
      <c r="P116" s="1634">
        <f>-'Fixed Asset &amp; Interest'!H33</f>
        <v>6.0410000000000013</v>
      </c>
      <c r="Q116" s="1634">
        <f>-'Fixed Asset &amp; Interest'!I33</f>
        <v>6.0410000000000013</v>
      </c>
      <c r="R116" s="1634">
        <f>-'Fixed Asset &amp; Interest'!J33</f>
        <v>6.0410000000000004</v>
      </c>
      <c r="S116" s="1634">
        <f>-'Fixed Asset &amp; Interest'!K33</f>
        <v>6.0410000000000004</v>
      </c>
      <c r="T116" s="1634">
        <f>-'Fixed Asset &amp; Interest'!L33</f>
        <v>6.0410000000000004</v>
      </c>
      <c r="U116" s="1634">
        <f>-'Fixed Asset &amp; Interest'!M33</f>
        <v>6.0409999999999995</v>
      </c>
      <c r="V116" s="1634"/>
      <c r="W116" s="999"/>
      <c r="X116" s="999"/>
      <c r="Y116" s="999"/>
      <c r="Z116" s="999"/>
      <c r="AA116" s="1598" t="s">
        <v>338</v>
      </c>
      <c r="AB116" s="1202" t="e">
        <f t="shared" si="250"/>
        <v>#N/A</v>
      </c>
      <c r="AC116" s="1191" t="e">
        <f t="shared" si="250"/>
        <v>#N/A</v>
      </c>
      <c r="AD116" s="1193" t="e">
        <f t="shared" si="250"/>
        <v>#N/A</v>
      </c>
      <c r="AE116" s="1191" t="e">
        <f t="shared" si="250"/>
        <v>#N/A</v>
      </c>
      <c r="AF116" s="1191"/>
      <c r="AG116" s="1193" t="e">
        <f t="shared" si="251"/>
        <v>#N/A</v>
      </c>
      <c r="AH116" s="1193"/>
      <c r="AI116" s="1189"/>
      <c r="AJ116" s="999"/>
      <c r="AK116" s="999"/>
      <c r="AL116" s="999"/>
      <c r="AM116" s="999"/>
      <c r="AN116" s="999"/>
      <c r="AO116" s="999"/>
      <c r="AP116" s="999"/>
    </row>
    <row r="117" spans="1:42" s="5" customFormat="1">
      <c r="A117" s="999"/>
      <c r="B117" s="1001" t="s">
        <v>205</v>
      </c>
      <c r="C117" s="1000" t="s">
        <v>205</v>
      </c>
      <c r="D117" s="1606">
        <v>115</v>
      </c>
      <c r="E117" s="1654" t="e">
        <f t="shared" ref="E117:Q117" si="256">E78+E115+E116</f>
        <v>#VALUE!</v>
      </c>
      <c r="F117" s="1623">
        <f t="shared" si="256"/>
        <v>1322.0208673419997</v>
      </c>
      <c r="G117" s="1623">
        <f t="shared" si="256"/>
        <v>1991.6331112120006</v>
      </c>
      <c r="H117" s="1623">
        <f t="shared" si="256"/>
        <v>3468.9342726499999</v>
      </c>
      <c r="I117" s="1623">
        <f t="shared" si="256"/>
        <v>5093.6413579450009</v>
      </c>
      <c r="J117" s="1623">
        <f t="shared" si="256"/>
        <v>6419.5606443949982</v>
      </c>
      <c r="K117" s="1623">
        <f t="shared" si="256"/>
        <v>7411.8496745440007</v>
      </c>
      <c r="L117" s="1623">
        <f>L78+L115+L116</f>
        <v>8815.2822268340005</v>
      </c>
      <c r="M117" s="1623">
        <f t="shared" si="256"/>
        <v>10232.642667622002</v>
      </c>
      <c r="N117" s="1623">
        <f>N78+N115+N116</f>
        <v>3793.6060137709983</v>
      </c>
      <c r="O117" s="1623">
        <f>O78+O115+O116</f>
        <v>7003.0649655200023</v>
      </c>
      <c r="P117" s="1207">
        <f t="shared" ca="1" si="256"/>
        <v>9861.8211850681892</v>
      </c>
      <c r="Q117" s="1207">
        <f t="shared" ca="1" si="256"/>
        <v>11587.855628035164</v>
      </c>
      <c r="R117" s="1207">
        <f t="shared" ref="R117:U117" ca="1" si="257">R78+R115+R116</f>
        <v>13178.900783273735</v>
      </c>
      <c r="S117" s="1207">
        <f t="shared" ca="1" si="257"/>
        <v>15066.24543582411</v>
      </c>
      <c r="T117" s="1207">
        <f t="shared" ca="1" si="257"/>
        <v>16764.801299781582</v>
      </c>
      <c r="U117" s="1207">
        <f t="shared" ca="1" si="257"/>
        <v>18662.815940544293</v>
      </c>
      <c r="V117" s="1207"/>
      <c r="W117" s="1000"/>
      <c r="X117" s="1000"/>
      <c r="Y117" s="1000"/>
      <c r="Z117" s="1000"/>
      <c r="AA117" s="1597" t="s">
        <v>8</v>
      </c>
      <c r="AB117" s="1202">
        <f t="shared" si="250"/>
        <v>689.69236789599802</v>
      </c>
      <c r="AC117" s="1191">
        <f t="shared" si="250"/>
        <v>4825.7630130780026</v>
      </c>
      <c r="AD117" s="1193">
        <f t="shared" ca="1" si="250"/>
        <v>8678.9333924068342</v>
      </c>
      <c r="AE117" s="1191">
        <f t="shared" ca="1" si="250"/>
        <v>10875.319207148506</v>
      </c>
      <c r="AF117" s="1191"/>
      <c r="AG117" s="1193">
        <f t="shared" ca="1" si="251"/>
        <v>6.5674097317699465E-2</v>
      </c>
      <c r="AH117" s="1193"/>
      <c r="AI117" s="1206"/>
      <c r="AJ117" s="1000"/>
      <c r="AK117" s="1000"/>
      <c r="AL117" s="1000"/>
      <c r="AM117" s="1000"/>
      <c r="AN117" s="1000"/>
      <c r="AO117" s="1000"/>
      <c r="AP117" s="1000"/>
    </row>
    <row r="118" spans="1:42">
      <c r="A118" s="999"/>
      <c r="B118" s="1198"/>
      <c r="C118" s="1614" t="s">
        <v>571</v>
      </c>
      <c r="D118" s="1606">
        <v>116</v>
      </c>
      <c r="E118" s="1712" t="e">
        <f t="shared" ref="E118:J118" si="258">-E98/E96</f>
        <v>#VALUE!</v>
      </c>
      <c r="F118" s="1712">
        <f t="shared" si="258"/>
        <v>0.22370918248861418</v>
      </c>
      <c r="G118" s="1712">
        <f t="shared" si="258"/>
        <v>0.21320129855231434</v>
      </c>
      <c r="H118" s="1712">
        <f t="shared" si="258"/>
        <v>0.21443503117366602</v>
      </c>
      <c r="I118" s="1712">
        <f t="shared" si="258"/>
        <v>0.23928507131497573</v>
      </c>
      <c r="J118" s="1712">
        <f t="shared" si="258"/>
        <v>0.24086669324216761</v>
      </c>
      <c r="K118" s="1712">
        <f t="shared" ref="K118:Q118" si="259">1-K104/K96</f>
        <v>0.27560423268741729</v>
      </c>
      <c r="L118" s="1712">
        <f t="shared" si="259"/>
        <v>0.24293550448765344</v>
      </c>
      <c r="M118" s="1712">
        <f t="shared" si="259"/>
        <v>0.32306432261149443</v>
      </c>
      <c r="N118" s="1712">
        <f>1-N104/N96</f>
        <v>0.75689249220562405</v>
      </c>
      <c r="O118" s="1712">
        <f>1-O104/O96</f>
        <v>0.22875026569381951</v>
      </c>
      <c r="P118" s="1713">
        <f t="shared" ca="1" si="259"/>
        <v>0.22140145381967891</v>
      </c>
      <c r="Q118" s="1713">
        <f t="shared" ca="1" si="259"/>
        <v>0.20923300890028274</v>
      </c>
      <c r="R118" s="1713">
        <f t="shared" ref="R118:U118" ca="1" si="260">1-R104/R96</f>
        <v>0.20383357704944938</v>
      </c>
      <c r="S118" s="1713">
        <f t="shared" ca="1" si="260"/>
        <v>0.20074175457251597</v>
      </c>
      <c r="T118" s="1713">
        <f t="shared" ca="1" si="260"/>
        <v>0.19403777210430906</v>
      </c>
      <c r="U118" s="1713">
        <f t="shared" ca="1" si="260"/>
        <v>0.18852394969302089</v>
      </c>
      <c r="V118" s="1713"/>
      <c r="W118" s="999"/>
      <c r="X118" s="999"/>
      <c r="Y118" s="999"/>
      <c r="Z118" s="999"/>
      <c r="AA118" s="1597" t="s">
        <v>543</v>
      </c>
      <c r="AB118" s="1256">
        <f t="shared" si="250"/>
        <v>167.66939270399794</v>
      </c>
      <c r="AC118" s="1274">
        <f t="shared" si="250"/>
        <v>3721.8684416610026</v>
      </c>
      <c r="AD118" s="1259">
        <f t="shared" ca="1" si="250"/>
        <v>6757.4049217238035</v>
      </c>
      <c r="AE118" s="1274">
        <f t="shared" ca="1" si="250"/>
        <v>8599.8434466857871</v>
      </c>
      <c r="AF118" s="1274"/>
      <c r="AG118" s="1259">
        <f t="shared" ca="1" si="251"/>
        <v>6.6406164349757102E-2</v>
      </c>
      <c r="AH118" s="1259"/>
      <c r="AI118" s="1189"/>
      <c r="AJ118" s="999"/>
      <c r="AK118" s="999"/>
      <c r="AL118" s="999"/>
      <c r="AM118" s="999"/>
      <c r="AN118" s="999"/>
      <c r="AO118" s="999"/>
      <c r="AP118" s="999"/>
    </row>
    <row r="119" spans="1:42">
      <c r="A119" s="999"/>
      <c r="B119" s="1198"/>
      <c r="C119" s="1621"/>
      <c r="D119" s="1606">
        <v>117</v>
      </c>
      <c r="E119" s="1633"/>
      <c r="F119" s="1633"/>
      <c r="G119" s="1633"/>
      <c r="H119" s="1633"/>
      <c r="I119" s="1633"/>
      <c r="J119" s="1633"/>
      <c r="K119" s="1633"/>
      <c r="L119" s="1633"/>
      <c r="M119" s="1633"/>
      <c r="N119" s="1633"/>
      <c r="O119" s="1633"/>
      <c r="P119" s="1635"/>
      <c r="Q119" s="1635"/>
      <c r="R119" s="1635"/>
      <c r="S119" s="1635"/>
      <c r="T119" s="1635"/>
      <c r="U119" s="1635"/>
      <c r="V119" s="1635"/>
      <c r="W119" s="999"/>
      <c r="X119" s="999"/>
      <c r="Y119" s="999"/>
      <c r="Z119" s="999"/>
      <c r="AA119" s="1599" t="s">
        <v>548</v>
      </c>
      <c r="AB119" s="1262">
        <f t="shared" si="250"/>
        <v>1.4175658825020796E-3</v>
      </c>
      <c r="AC119" s="1259">
        <f t="shared" si="250"/>
        <v>2.7704604008050183E-2</v>
      </c>
      <c r="AD119" s="1259">
        <f t="shared" ca="1" si="250"/>
        <v>4.2341824697263795E-2</v>
      </c>
      <c r="AE119" s="1259">
        <f t="shared" ca="1" si="250"/>
        <v>4.4329706873501427E-2</v>
      </c>
      <c r="AF119" s="1259"/>
      <c r="AG119" s="1259">
        <f t="shared" ca="1" si="251"/>
        <v>0.1507976016411984</v>
      </c>
      <c r="AH119" s="1259"/>
      <c r="AI119" s="1189"/>
      <c r="AJ119" s="999"/>
      <c r="AK119" s="999"/>
      <c r="AL119" s="999"/>
      <c r="AM119" s="999"/>
      <c r="AN119" s="999"/>
      <c r="AO119" s="999"/>
      <c r="AP119" s="999"/>
    </row>
    <row r="120" spans="1:42" ht="16" thickBot="1">
      <c r="A120" s="999">
        <v>3</v>
      </c>
      <c r="B120" s="1221"/>
      <c r="C120" s="1223" t="str">
        <f>"Cash Flow Statement ($MM) - "&amp;Company_Name</f>
        <v>Cash Flow Statement ($MM) - Phu Nhuan Jewelry</v>
      </c>
      <c r="D120" s="1606">
        <v>118</v>
      </c>
      <c r="E120" s="1232"/>
      <c r="F120" s="1233"/>
      <c r="G120" s="1605"/>
      <c r="H120" s="1605"/>
      <c r="I120" s="1605"/>
      <c r="J120" s="1714"/>
      <c r="K120" s="1714"/>
      <c r="L120" s="1714"/>
      <c r="M120" s="1714"/>
      <c r="N120" s="1714"/>
      <c r="O120" s="1714"/>
      <c r="P120" s="1715"/>
      <c r="Q120" s="1715"/>
      <c r="R120" s="1715"/>
      <c r="S120" s="1715"/>
      <c r="T120" s="1715"/>
      <c r="U120" s="1715"/>
      <c r="V120" s="1715"/>
      <c r="W120" s="999"/>
      <c r="X120" s="999"/>
      <c r="Y120" s="999"/>
      <c r="Z120" s="999"/>
      <c r="AA120" s="1600" t="s">
        <v>31</v>
      </c>
      <c r="AB120" s="1262">
        <f t="shared" ca="1" si="250"/>
        <v>-0.11337669339155632</v>
      </c>
      <c r="AC120" s="1259">
        <f t="shared" si="250"/>
        <v>0.13579128440367993</v>
      </c>
      <c r="AD120" s="1259">
        <f t="shared" ca="1" si="250"/>
        <v>0.1879585925310554</v>
      </c>
      <c r="AE120" s="1259">
        <f t="shared" ca="1" si="250"/>
        <v>0.2155849422633227</v>
      </c>
      <c r="AF120" s="1259"/>
      <c r="AG120" s="1259">
        <f t="shared" si="251"/>
        <v>0</v>
      </c>
      <c r="AH120" s="1259"/>
      <c r="AI120" s="1189"/>
      <c r="AJ120" s="999"/>
      <c r="AK120" s="999"/>
      <c r="AL120" s="999"/>
      <c r="AM120" s="999"/>
      <c r="AN120" s="999"/>
      <c r="AO120" s="999"/>
      <c r="AP120" s="999"/>
    </row>
    <row r="121" spans="1:42">
      <c r="A121" s="999"/>
      <c r="B121" s="1198"/>
      <c r="C121" s="1000" t="s">
        <v>572</v>
      </c>
      <c r="D121" s="1606">
        <v>119</v>
      </c>
      <c r="E121" s="1204"/>
      <c r="F121" s="1192"/>
      <c r="G121" s="1192"/>
      <c r="H121" s="1192"/>
      <c r="I121" s="1192"/>
      <c r="J121" s="1192"/>
      <c r="K121" s="1192"/>
      <c r="L121" s="1192"/>
      <c r="M121" s="1192"/>
      <c r="N121" s="1192"/>
      <c r="O121" s="1192"/>
      <c r="P121" s="1198"/>
      <c r="Q121" s="1198"/>
      <c r="R121" s="1198"/>
      <c r="S121" s="1198"/>
      <c r="T121" s="1198"/>
      <c r="U121" s="1198"/>
      <c r="V121" s="1198"/>
      <c r="W121" s="999"/>
      <c r="X121" s="999"/>
      <c r="Y121" s="999"/>
      <c r="Z121" s="999"/>
      <c r="AA121" s="999"/>
      <c r="AB121" s="999"/>
      <c r="AC121" s="1189"/>
      <c r="AD121" s="1189"/>
      <c r="AE121" s="1189"/>
      <c r="AF121" s="1189"/>
      <c r="AG121" s="1189"/>
      <c r="AH121" s="1189"/>
      <c r="AI121" s="1189"/>
      <c r="AJ121" s="999"/>
      <c r="AK121" s="999"/>
      <c r="AL121" s="999"/>
      <c r="AM121" s="999"/>
      <c r="AN121" s="999"/>
      <c r="AO121" s="999"/>
      <c r="AP121" s="999"/>
    </row>
    <row r="122" spans="1:42">
      <c r="A122" s="999"/>
      <c r="B122" s="1001" t="s">
        <v>326</v>
      </c>
      <c r="C122" s="1000" t="str">
        <f>C96</f>
        <v>EBT</v>
      </c>
      <c r="D122" s="1606">
        <v>120</v>
      </c>
      <c r="E122" s="1204"/>
      <c r="F122" s="1192"/>
      <c r="G122" s="1654"/>
      <c r="H122" s="1654">
        <f t="shared" ref="H122:Q122" si="261">H96</f>
        <v>2809.3120326459998</v>
      </c>
      <c r="I122" s="1654">
        <f t="shared" si="261"/>
        <v>3786.3185689190009</v>
      </c>
      <c r="J122" s="1654">
        <f t="shared" si="261"/>
        <v>5053.4472046959972</v>
      </c>
      <c r="K122" s="1654">
        <f t="shared" si="261"/>
        <v>5413.4423468240011</v>
      </c>
      <c r="L122" s="1654">
        <f>L96</f>
        <v>6473.7942510289995</v>
      </c>
      <c r="M122" s="1654">
        <f>M96</f>
        <v>6056.3553735580017</v>
      </c>
      <c r="N122" s="1654">
        <f>N96</f>
        <v>689.69236789599802</v>
      </c>
      <c r="O122" s="1654">
        <f>O96</f>
        <v>4825.7630130780026</v>
      </c>
      <c r="P122" s="1716">
        <f t="shared" ca="1" si="261"/>
        <v>8678.9333924068342</v>
      </c>
      <c r="Q122" s="1716">
        <f t="shared" ca="1" si="261"/>
        <v>10875.319207148506</v>
      </c>
      <c r="R122" s="1716">
        <f t="shared" ref="R122" ca="1" si="262">R96</f>
        <v>13099.397478464698</v>
      </c>
      <c r="S122" s="1716">
        <f t="shared" ref="S122:U122" ca="1" si="263">S96</f>
        <v>15268.032574663483</v>
      </c>
      <c r="T122" s="1716">
        <f t="shared" ca="1" si="263"/>
        <v>17697.395887032257</v>
      </c>
      <c r="U122" s="1716">
        <f t="shared" ca="1" si="263"/>
        <v>20334.053378220437</v>
      </c>
      <c r="V122" s="1716"/>
      <c r="W122" s="999"/>
      <c r="X122" s="999"/>
      <c r="Y122" s="999"/>
      <c r="Z122" s="999"/>
      <c r="AA122" s="999"/>
      <c r="AB122" s="999"/>
      <c r="AC122" s="1189"/>
      <c r="AD122" s="1189"/>
      <c r="AE122" s="1189"/>
      <c r="AF122" s="1189"/>
      <c r="AG122" s="1189"/>
      <c r="AH122" s="1189"/>
      <c r="AI122" s="1189"/>
      <c r="AJ122" s="999"/>
      <c r="AK122" s="999"/>
      <c r="AL122" s="999"/>
      <c r="AM122" s="999"/>
      <c r="AN122" s="999"/>
      <c r="AO122" s="999"/>
      <c r="AP122" s="999"/>
    </row>
    <row r="123" spans="1:42">
      <c r="A123" s="999"/>
      <c r="B123" s="1198"/>
      <c r="C123" s="1621" t="s">
        <v>573</v>
      </c>
      <c r="D123" s="1606">
        <v>121</v>
      </c>
      <c r="E123" s="1234"/>
      <c r="F123" s="1655"/>
      <c r="G123" s="1192"/>
      <c r="H123" s="1192"/>
      <c r="I123" s="1192"/>
      <c r="J123" s="1192"/>
      <c r="K123" s="1192"/>
      <c r="L123" s="1192"/>
      <c r="M123" s="1192"/>
      <c r="N123" s="1192"/>
      <c r="O123" s="1192"/>
      <c r="P123" s="1198"/>
      <c r="Q123" s="1198"/>
      <c r="R123" s="1198"/>
      <c r="S123" s="1198"/>
      <c r="T123" s="1198"/>
      <c r="U123" s="1198"/>
      <c r="V123" s="1198"/>
      <c r="W123" s="999"/>
      <c r="X123" s="999"/>
      <c r="Y123" s="999"/>
      <c r="Z123" s="999"/>
      <c r="AA123" s="999"/>
      <c r="AB123" s="999"/>
      <c r="AC123" s="1189"/>
      <c r="AD123" s="1189"/>
      <c r="AE123" s="1189"/>
      <c r="AF123" s="1189"/>
      <c r="AG123" s="1189"/>
      <c r="AH123" s="1189"/>
      <c r="AI123" s="1189"/>
      <c r="AJ123" s="999"/>
      <c r="AK123" s="999"/>
      <c r="AL123" s="999"/>
      <c r="AM123" s="999"/>
      <c r="AN123" s="999"/>
      <c r="AO123" s="999"/>
      <c r="AP123" s="999"/>
    </row>
    <row r="124" spans="1:42">
      <c r="A124" s="999"/>
      <c r="B124" s="1001" t="s">
        <v>328</v>
      </c>
      <c r="C124" s="1535" t="s">
        <v>568</v>
      </c>
      <c r="D124" s="1606">
        <v>122</v>
      </c>
      <c r="E124" s="1717"/>
      <c r="F124" s="1609"/>
      <c r="G124" s="1609"/>
      <c r="H124" s="1670">
        <f>'FS Year'!P157</f>
        <v>689.71370863200002</v>
      </c>
      <c r="I124" s="1670">
        <f>'FS Year'!Q157</f>
        <v>1222.8686837170001</v>
      </c>
      <c r="J124" s="1670">
        <f>'FS Year'!R157</f>
        <v>1442.8269389540001</v>
      </c>
      <c r="K124" s="1670">
        <f>'FS Year'!S157</f>
        <v>2195.5830710350001</v>
      </c>
      <c r="L124" s="1670">
        <f>'FS Year'!T157</f>
        <v>2920.7136084099998</v>
      </c>
      <c r="M124" s="1670">
        <f>'FS Year'!U157</f>
        <v>3582.4248188289998</v>
      </c>
      <c r="N124" s="1670">
        <f>'FS Year'!V157</f>
        <v>3380.5307272549999</v>
      </c>
      <c r="O124" s="1670">
        <f>'FS Year'!W157</f>
        <v>2913.4190814829999</v>
      </c>
      <c r="P124" s="1634">
        <f t="shared" ref="P124:Q125" si="264">P115</f>
        <v>2760.8629524028656</v>
      </c>
      <c r="Q124" s="1634">
        <f t="shared" si="264"/>
        <v>2338.3103848336509</v>
      </c>
      <c r="R124" s="1634">
        <f t="shared" ref="R124" si="265">R115</f>
        <v>2006.8091064467303</v>
      </c>
      <c r="S124" s="1634">
        <f t="shared" ref="S124:U124" si="266">S115</f>
        <v>1981.2464873356944</v>
      </c>
      <c r="T124" s="1634">
        <f t="shared" si="266"/>
        <v>1867.5799772303337</v>
      </c>
      <c r="U124" s="1634">
        <f t="shared" si="266"/>
        <v>1899.1584905660379</v>
      </c>
      <c r="V124" s="1634"/>
      <c r="W124" s="1208">
        <f>4815/4100-1</f>
        <v>0.17439024390243896</v>
      </c>
      <c r="X124" s="1669"/>
      <c r="Y124" s="999"/>
      <c r="Z124" s="999"/>
      <c r="AA124" s="999"/>
      <c r="AB124" s="999"/>
      <c r="AC124" s="1189"/>
      <c r="AD124" s="1189"/>
      <c r="AE124" s="1189"/>
      <c r="AF124" s="1189"/>
      <c r="AG124" s="1189"/>
      <c r="AH124" s="1189"/>
      <c r="AI124" s="1189"/>
      <c r="AJ124" s="999"/>
      <c r="AK124" s="999"/>
      <c r="AL124" s="999"/>
      <c r="AM124" s="999"/>
      <c r="AN124" s="999"/>
      <c r="AO124" s="999"/>
      <c r="AP124" s="999"/>
    </row>
    <row r="125" spans="1:42">
      <c r="A125" s="999"/>
      <c r="B125" s="1198"/>
      <c r="C125" s="1535" t="s">
        <v>570</v>
      </c>
      <c r="D125" s="1606">
        <v>123</v>
      </c>
      <c r="E125" s="1717"/>
      <c r="F125" s="1609"/>
      <c r="G125" s="1609"/>
      <c r="H125" s="1670">
        <v>0</v>
      </c>
      <c r="I125" s="1670">
        <v>0</v>
      </c>
      <c r="J125" s="1670">
        <v>0</v>
      </c>
      <c r="K125" s="1670">
        <v>0</v>
      </c>
      <c r="L125" s="1670">
        <v>0</v>
      </c>
      <c r="M125" s="1670">
        <v>1</v>
      </c>
      <c r="N125" s="1670">
        <v>2</v>
      </c>
      <c r="O125" s="1670">
        <v>2</v>
      </c>
      <c r="P125" s="1212">
        <f t="shared" si="264"/>
        <v>6.0410000000000013</v>
      </c>
      <c r="Q125" s="1212">
        <f t="shared" si="264"/>
        <v>6.0410000000000013</v>
      </c>
      <c r="R125" s="1212">
        <f t="shared" ref="R125" si="267">R116</f>
        <v>6.0410000000000004</v>
      </c>
      <c r="S125" s="1212">
        <f t="shared" ref="S125:U125" si="268">S116</f>
        <v>6.0410000000000004</v>
      </c>
      <c r="T125" s="1212">
        <f t="shared" si="268"/>
        <v>6.0410000000000004</v>
      </c>
      <c r="U125" s="1212">
        <f t="shared" si="268"/>
        <v>6.0409999999999995</v>
      </c>
      <c r="V125" s="1212"/>
      <c r="W125" s="1212">
        <f>4815*3499/5122</f>
        <v>3289.2786021085512</v>
      </c>
      <c r="X125" s="999"/>
      <c r="Y125" s="999"/>
      <c r="Z125" s="999"/>
      <c r="AA125" s="999"/>
      <c r="AB125" s="999"/>
      <c r="AC125" s="1189"/>
      <c r="AD125" s="1189"/>
      <c r="AE125" s="1189"/>
      <c r="AF125" s="1189"/>
      <c r="AG125" s="1189"/>
      <c r="AH125" s="1189"/>
      <c r="AI125" s="1189"/>
      <c r="AJ125" s="999"/>
      <c r="AK125" s="999"/>
      <c r="AL125" s="999"/>
      <c r="AM125" s="999"/>
      <c r="AN125" s="999"/>
      <c r="AO125" s="999"/>
      <c r="AP125" s="999"/>
    </row>
    <row r="126" spans="1:42" ht="15" customHeight="1">
      <c r="A126" s="999"/>
      <c r="B126" s="1198"/>
      <c r="C126" s="1535" t="s">
        <v>574</v>
      </c>
      <c r="D126" s="1606">
        <v>124</v>
      </c>
      <c r="E126" s="1192"/>
      <c r="F126" s="1609"/>
      <c r="G126" s="1609"/>
      <c r="H126" s="1670">
        <f>'FS Year'!P159</f>
        <v>125.969042598</v>
      </c>
      <c r="I126" s="1670">
        <f>'FS Year'!Q159</f>
        <v>126.08362682800001</v>
      </c>
      <c r="J126" s="1670">
        <f>'FS Year'!R159</f>
        <v>90.495782206000001</v>
      </c>
      <c r="K126" s="1670">
        <f>'FS Year'!S159</f>
        <v>58.366659386000002</v>
      </c>
      <c r="L126" s="1670">
        <f>'FS Year'!T159</f>
        <v>179.550717177</v>
      </c>
      <c r="M126" s="1670">
        <f>'FS Year'!U159</f>
        <v>-321.79936688399999</v>
      </c>
      <c r="N126" s="1670">
        <f>'FS Year'!V159</f>
        <v>-165.930068132</v>
      </c>
      <c r="O126" s="1670">
        <f>'FS Year'!W159</f>
        <v>220.95265159100001</v>
      </c>
      <c r="P126" s="1212"/>
      <c r="Q126" s="1212"/>
      <c r="R126" s="1212"/>
      <c r="S126" s="1212"/>
      <c r="T126" s="1212"/>
      <c r="U126" s="1212"/>
      <c r="V126" s="1212"/>
      <c r="W126" s="999"/>
      <c r="X126" s="999"/>
      <c r="Y126" s="999"/>
      <c r="Z126" s="999"/>
      <c r="AA126" s="999"/>
      <c r="AB126" s="999"/>
      <c r="AC126" s="1189"/>
      <c r="AD126" s="1189"/>
      <c r="AE126" s="1189"/>
      <c r="AF126" s="1189"/>
      <c r="AG126" s="1189"/>
      <c r="AH126" s="1189"/>
      <c r="AI126" s="1189"/>
      <c r="AJ126" s="999"/>
      <c r="AK126" s="999"/>
      <c r="AL126" s="999"/>
      <c r="AM126" s="999"/>
      <c r="AN126" s="999"/>
      <c r="AO126" s="999"/>
      <c r="AP126" s="999"/>
    </row>
    <row r="127" spans="1:42">
      <c r="A127" s="999"/>
      <c r="B127" s="1198"/>
      <c r="C127" s="1535" t="s">
        <v>575</v>
      </c>
      <c r="D127" s="1606">
        <v>125</v>
      </c>
      <c r="E127" s="1717"/>
      <c r="F127" s="1609"/>
      <c r="G127" s="1609"/>
      <c r="H127" s="1670">
        <f>'FS Year'!P160</f>
        <v>0.91176455899999997</v>
      </c>
      <c r="I127" s="1670">
        <f>'FS Year'!Q160</f>
        <v>-0.10705930600000001</v>
      </c>
      <c r="J127" s="1670">
        <f>'FS Year'!R160</f>
        <v>-2.7160363999999999E-2</v>
      </c>
      <c r="K127" s="1670">
        <f>'FS Year'!S160</f>
        <v>-3.6874577999999998E-2</v>
      </c>
      <c r="L127" s="1670">
        <f>'FS Year'!T160</f>
        <v>-0.14665399400000001</v>
      </c>
      <c r="M127" s="1670">
        <f>'FS Year'!U160</f>
        <v>0.28437441400000002</v>
      </c>
      <c r="N127" s="1670">
        <f>'FS Year'!V160</f>
        <v>83.631272202000005</v>
      </c>
      <c r="O127" s="1670">
        <f>'FS Year'!W160</f>
        <v>25.885524365999999</v>
      </c>
      <c r="P127" s="1212">
        <f>O127</f>
        <v>25.885524365999999</v>
      </c>
      <c r="Q127" s="1212">
        <f>P127</f>
        <v>25.885524365999999</v>
      </c>
      <c r="R127" s="1212">
        <f t="shared" ref="R127" si="269">Q127</f>
        <v>25.885524365999999</v>
      </c>
      <c r="S127" s="1212">
        <f t="shared" ref="S127:U127" si="270">R127</f>
        <v>25.885524365999999</v>
      </c>
      <c r="T127" s="1212">
        <f t="shared" si="270"/>
        <v>25.885524365999999</v>
      </c>
      <c r="U127" s="1212">
        <f t="shared" si="270"/>
        <v>25.885524365999999</v>
      </c>
      <c r="V127" s="1212"/>
      <c r="W127" s="999"/>
      <c r="X127" s="999"/>
      <c r="Y127" s="999"/>
      <c r="Z127" s="999"/>
      <c r="AA127" s="999"/>
      <c r="AB127" s="999"/>
      <c r="AC127" s="1189"/>
      <c r="AD127" s="1189"/>
      <c r="AE127" s="1189"/>
      <c r="AF127" s="1189"/>
      <c r="AG127" s="1189"/>
      <c r="AH127" s="1189"/>
      <c r="AI127" s="1189"/>
      <c r="AJ127" s="999"/>
      <c r="AK127" s="999"/>
      <c r="AL127" s="999"/>
      <c r="AM127" s="999"/>
      <c r="AN127" s="999"/>
      <c r="AO127" s="999"/>
      <c r="AP127" s="999"/>
    </row>
    <row r="128" spans="1:42">
      <c r="A128" s="999"/>
      <c r="B128" s="1198"/>
      <c r="C128" s="1535" t="s">
        <v>576</v>
      </c>
      <c r="D128" s="1606">
        <v>126</v>
      </c>
      <c r="E128" s="1717"/>
      <c r="F128" s="1192"/>
      <c r="G128" s="1609"/>
      <c r="H128" s="1670">
        <f>'FS Year'!P162</f>
        <v>-35.336741306999997</v>
      </c>
      <c r="I128" s="1670">
        <f>'FS Year'!Q162</f>
        <v>-84.857279583999997</v>
      </c>
      <c r="J128" s="1670">
        <f>'FS Year'!R162</f>
        <v>-341.19461383200002</v>
      </c>
      <c r="K128" s="1670">
        <f>'FS Year'!S162</f>
        <v>-557.62714853600005</v>
      </c>
      <c r="L128" s="1670">
        <f>'FS Year'!T162</f>
        <v>-959.32358063300001</v>
      </c>
      <c r="M128" s="1670">
        <f>'FS Year'!U162</f>
        <v>-388.83240019599998</v>
      </c>
      <c r="N128" s="1670">
        <f>'FS Year'!V162</f>
        <v>-1538.3068006369999</v>
      </c>
      <c r="O128" s="1670">
        <f>'FS Year'!W162</f>
        <v>-1729.1641034879999</v>
      </c>
      <c r="P128" s="1209"/>
      <c r="Q128" s="1209"/>
      <c r="R128" s="1209"/>
      <c r="S128" s="1209"/>
      <c r="T128" s="1209"/>
      <c r="U128" s="1209"/>
      <c r="V128" s="1209"/>
      <c r="W128" s="999"/>
      <c r="X128" s="999"/>
      <c r="Y128" s="999"/>
      <c r="Z128" s="999"/>
      <c r="AA128" s="999"/>
      <c r="AB128" s="999"/>
      <c r="AC128" s="1189"/>
      <c r="AD128" s="1189"/>
      <c r="AE128" s="1189"/>
      <c r="AF128" s="1189"/>
      <c r="AG128" s="1189"/>
      <c r="AH128" s="1189"/>
      <c r="AI128" s="1189"/>
      <c r="AJ128" s="999"/>
      <c r="AK128" s="999"/>
      <c r="AL128" s="999"/>
      <c r="AM128" s="999"/>
      <c r="AN128" s="999"/>
      <c r="AO128" s="999"/>
      <c r="AP128" s="999"/>
    </row>
    <row r="129" spans="1:42">
      <c r="A129" s="999"/>
      <c r="B129" s="1198"/>
      <c r="C129" s="1614" t="s">
        <v>577</v>
      </c>
      <c r="D129" s="1606">
        <v>127</v>
      </c>
      <c r="E129" s="1717"/>
      <c r="F129" s="1609"/>
      <c r="G129" s="1609"/>
      <c r="H129" s="1609">
        <f>'FS Year'!P163</f>
        <v>233.20234049199999</v>
      </c>
      <c r="I129" s="1609">
        <f>'FS Year'!Q163</f>
        <v>436.416577674</v>
      </c>
      <c r="J129" s="1609">
        <f>'FS Year'!R163</f>
        <v>568.13671713400004</v>
      </c>
      <c r="K129" s="1609">
        <f>'FS Year'!S163</f>
        <v>594.00382102100002</v>
      </c>
      <c r="L129" s="1609">
        <f>'FS Year'!T163</f>
        <v>674.427746189</v>
      </c>
      <c r="M129" s="1609">
        <f>'FS Year'!U163</f>
        <v>1362.1439091029999</v>
      </c>
      <c r="N129" s="1609">
        <f>'FS Year'!V163</f>
        <v>1447.7183547970001</v>
      </c>
      <c r="O129" s="1609">
        <f>'FS Year'!W163</f>
        <v>1137.2361297479999</v>
      </c>
      <c r="P129" s="1209">
        <f ca="1">-P87</f>
        <v>1189.0917862278645</v>
      </c>
      <c r="Q129" s="1209">
        <f ca="1">-Q87</f>
        <v>1221.8457800872538</v>
      </c>
      <c r="R129" s="1209">
        <f t="shared" ref="R129" ca="1" si="271">-R87</f>
        <v>1222.8591005363764</v>
      </c>
      <c r="S129" s="1209">
        <f t="shared" ref="S129:U129" ca="1" si="272">-S87</f>
        <v>1221.8443472107022</v>
      </c>
      <c r="T129" s="1209">
        <f t="shared" ca="1" si="272"/>
        <v>1217.5050271304287</v>
      </c>
      <c r="U129" s="1209">
        <f t="shared" ca="1" si="272"/>
        <v>1208.7386717924926</v>
      </c>
      <c r="V129" s="1209"/>
      <c r="W129" s="999"/>
      <c r="X129" s="999"/>
      <c r="Y129" s="999"/>
      <c r="Z129" s="999"/>
      <c r="AA129" s="999"/>
      <c r="AB129" s="999"/>
      <c r="AC129" s="1189"/>
      <c r="AD129" s="1189"/>
      <c r="AE129" s="1189"/>
      <c r="AF129" s="1189"/>
      <c r="AG129" s="1189"/>
      <c r="AH129" s="1189"/>
      <c r="AI129" s="1189"/>
      <c r="AJ129" s="999"/>
      <c r="AK129" s="999"/>
      <c r="AL129" s="999"/>
      <c r="AM129" s="999"/>
      <c r="AN129" s="999"/>
      <c r="AO129" s="999"/>
      <c r="AP129" s="999"/>
    </row>
    <row r="130" spans="1:42">
      <c r="A130" s="999"/>
      <c r="B130" s="1198"/>
      <c r="C130" s="1535" t="s">
        <v>578</v>
      </c>
      <c r="D130" s="1606">
        <v>128</v>
      </c>
      <c r="E130" s="1192"/>
      <c r="F130" s="1609"/>
      <c r="G130" s="1609"/>
      <c r="H130" s="1670">
        <f>'FS Year'!P165</f>
        <v>0</v>
      </c>
      <c r="I130" s="1670">
        <f>'FS Year'!Q165</f>
        <v>0</v>
      </c>
      <c r="J130" s="1670">
        <f>'FS Year'!R165</f>
        <v>0</v>
      </c>
      <c r="K130" s="1670">
        <f>'FS Year'!S165</f>
        <v>0</v>
      </c>
      <c r="L130" s="1670">
        <f>'FS Year'!T165</f>
        <v>0</v>
      </c>
      <c r="M130" s="1670">
        <f>'FS Year'!U165</f>
        <v>0</v>
      </c>
      <c r="N130" s="1670">
        <f>'FS Year'!V165</f>
        <v>0</v>
      </c>
      <c r="O130" s="1670">
        <f>'FS Year'!W165</f>
        <v>0</v>
      </c>
      <c r="P130" s="1209">
        <v>0</v>
      </c>
      <c r="Q130" s="1209">
        <v>0</v>
      </c>
      <c r="R130" s="1209">
        <v>0</v>
      </c>
      <c r="S130" s="1209">
        <v>0</v>
      </c>
      <c r="T130" s="1209">
        <v>0</v>
      </c>
      <c r="U130" s="1209">
        <v>0</v>
      </c>
      <c r="V130" s="1209"/>
      <c r="W130" s="999"/>
      <c r="X130" s="999"/>
      <c r="Y130" s="999"/>
      <c r="Z130" s="999"/>
      <c r="AA130" s="999"/>
      <c r="AB130" s="999"/>
      <c r="AC130" s="1189"/>
      <c r="AD130" s="1189"/>
      <c r="AE130" s="1189"/>
      <c r="AF130" s="1189"/>
      <c r="AG130" s="1189"/>
      <c r="AH130" s="1189"/>
      <c r="AI130" s="1189"/>
      <c r="AJ130" s="999"/>
      <c r="AK130" s="999"/>
      <c r="AL130" s="999"/>
      <c r="AM130" s="999"/>
      <c r="AN130" s="999"/>
      <c r="AO130" s="999"/>
      <c r="AP130" s="999"/>
    </row>
    <row r="131" spans="1:42">
      <c r="A131" s="999"/>
      <c r="B131" s="1198"/>
      <c r="C131" s="1535"/>
      <c r="D131" s="1606">
        <v>129</v>
      </c>
      <c r="E131" s="1192"/>
      <c r="F131" s="1609"/>
      <c r="G131" s="1609"/>
      <c r="H131" s="1670"/>
      <c r="I131" s="1670"/>
      <c r="J131" s="1192"/>
      <c r="K131" s="1192"/>
      <c r="L131" s="1192"/>
      <c r="M131" s="1192"/>
      <c r="N131" s="1192"/>
      <c r="O131" s="1192"/>
      <c r="P131" s="1198"/>
      <c r="Q131" s="1198"/>
      <c r="R131" s="1198"/>
      <c r="S131" s="1198"/>
      <c r="T131" s="1198"/>
      <c r="U131" s="1198"/>
      <c r="V131" s="1198"/>
      <c r="W131" s="999"/>
      <c r="X131" s="999"/>
      <c r="Y131" s="999"/>
      <c r="Z131" s="999"/>
      <c r="AA131" s="999"/>
      <c r="AB131" s="999"/>
      <c r="AC131" s="1189"/>
      <c r="AD131" s="1189"/>
      <c r="AE131" s="1189"/>
      <c r="AF131" s="1189"/>
      <c r="AG131" s="1189"/>
      <c r="AH131" s="1189"/>
      <c r="AI131" s="1189"/>
      <c r="AJ131" s="999"/>
      <c r="AK131" s="999"/>
      <c r="AL131" s="999"/>
      <c r="AM131" s="999"/>
      <c r="AN131" s="999"/>
      <c r="AO131" s="999"/>
      <c r="AP131" s="999"/>
    </row>
    <row r="132" spans="1:42">
      <c r="A132" s="999"/>
      <c r="B132" s="1198"/>
      <c r="C132" s="1718" t="s">
        <v>579</v>
      </c>
      <c r="D132" s="1606">
        <v>130</v>
      </c>
      <c r="E132" s="1192"/>
      <c r="F132" s="1609"/>
      <c r="G132" s="1609"/>
      <c r="H132" s="1607">
        <f>SUM(H122:H130)</f>
        <v>3823.7721476199999</v>
      </c>
      <c r="I132" s="1607">
        <f>SUM(I122:I130)</f>
        <v>5486.7231182480009</v>
      </c>
      <c r="J132" s="1607">
        <f>SUM(J122:J130)</f>
        <v>6813.6848687939964</v>
      </c>
      <c r="K132" s="1607">
        <f>SUM(K122:K130)</f>
        <v>7703.7318751520015</v>
      </c>
      <c r="L132" s="1607">
        <f t="shared" ref="L132:Q132" si="273">SUM(L122:L130)</f>
        <v>9289.0160881780012</v>
      </c>
      <c r="M132" s="1607">
        <f t="shared" si="273"/>
        <v>10291.576708823999</v>
      </c>
      <c r="N132" s="1607">
        <f>SUM(N122:N130)</f>
        <v>3899.3358533809978</v>
      </c>
      <c r="O132" s="1607">
        <f>SUM(O122:O130)</f>
        <v>7396.0922967780025</v>
      </c>
      <c r="P132" s="1608">
        <f t="shared" ca="1" si="273"/>
        <v>12660.814655403563</v>
      </c>
      <c r="Q132" s="1608">
        <f t="shared" ca="1" si="273"/>
        <v>14467.401896435411</v>
      </c>
      <c r="R132" s="1608">
        <f t="shared" ref="R132" ca="1" si="274">SUM(R122:R130)</f>
        <v>16360.992209813803</v>
      </c>
      <c r="S132" s="1608">
        <f t="shared" ref="S132:U132" ca="1" si="275">SUM(S122:S130)</f>
        <v>18503.04993357588</v>
      </c>
      <c r="T132" s="1608">
        <f t="shared" ca="1" si="275"/>
        <v>20814.407415759018</v>
      </c>
      <c r="U132" s="1608">
        <f t="shared" ca="1" si="275"/>
        <v>23473.877064944969</v>
      </c>
      <c r="V132" s="1608"/>
      <c r="W132" s="999"/>
      <c r="X132" s="999"/>
      <c r="Y132" s="999"/>
      <c r="Z132" s="999"/>
      <c r="AA132" s="999"/>
      <c r="AB132" s="999"/>
      <c r="AC132" s="1189"/>
      <c r="AD132" s="1189"/>
      <c r="AE132" s="1189"/>
      <c r="AF132" s="1189"/>
      <c r="AG132" s="1189"/>
      <c r="AH132" s="1189"/>
      <c r="AI132" s="1189"/>
      <c r="AJ132" s="999"/>
      <c r="AK132" s="999"/>
      <c r="AL132" s="999"/>
      <c r="AM132" s="999"/>
      <c r="AN132" s="999"/>
      <c r="AO132" s="999"/>
      <c r="AP132" s="999"/>
    </row>
    <row r="133" spans="1:42">
      <c r="A133" s="999"/>
      <c r="B133" s="1198"/>
      <c r="C133" s="1718"/>
      <c r="D133" s="1606">
        <v>131</v>
      </c>
      <c r="E133" s="1192"/>
      <c r="F133" s="1609"/>
      <c r="G133" s="1609"/>
      <c r="H133" s="1607"/>
      <c r="I133" s="1607"/>
      <c r="J133" s="1607"/>
      <c r="K133" s="1607"/>
      <c r="L133" s="1607"/>
      <c r="M133" s="1607"/>
      <c r="N133" s="1607"/>
      <c r="O133" s="1607"/>
      <c r="P133" s="1719"/>
      <c r="Q133" s="1719"/>
      <c r="R133" s="1719"/>
      <c r="S133" s="1719"/>
      <c r="T133" s="1719"/>
      <c r="U133" s="1719"/>
      <c r="V133" s="1719"/>
      <c r="W133" s="999"/>
      <c r="X133" s="999"/>
      <c r="Y133" s="999"/>
      <c r="Z133" s="999"/>
      <c r="AA133" s="999"/>
      <c r="AB133" s="999"/>
      <c r="AC133" s="1189"/>
      <c r="AD133" s="1189"/>
      <c r="AE133" s="1189"/>
      <c r="AF133" s="1189"/>
      <c r="AG133" s="1189"/>
      <c r="AH133" s="1189"/>
      <c r="AI133" s="1189"/>
      <c r="AJ133" s="999"/>
      <c r="AK133" s="999"/>
      <c r="AL133" s="999"/>
      <c r="AM133" s="999"/>
      <c r="AN133" s="999"/>
      <c r="AO133" s="999"/>
      <c r="AP133" s="999"/>
    </row>
    <row r="134" spans="1:42">
      <c r="A134" s="999"/>
      <c r="B134" s="1001" t="s">
        <v>330</v>
      </c>
      <c r="C134" s="1617" t="s">
        <v>580</v>
      </c>
      <c r="D134" s="1606">
        <v>132</v>
      </c>
      <c r="E134" s="1720"/>
      <c r="F134" s="1609"/>
      <c r="G134" s="1671">
        <f t="shared" ref="G134:Q134" si="276">SUM(G135:G139)</f>
        <v>-2533.7695015509998</v>
      </c>
      <c r="H134" s="1671">
        <f t="shared" si="276"/>
        <v>-245.71612356599991</v>
      </c>
      <c r="I134" s="1671">
        <f t="shared" si="276"/>
        <v>-1968.5011909180002</v>
      </c>
      <c r="J134" s="1671">
        <f t="shared" si="276"/>
        <v>-6454.639635608999</v>
      </c>
      <c r="K134" s="1671">
        <f t="shared" si="276"/>
        <v>5150.7383348699996</v>
      </c>
      <c r="L134" s="1671">
        <f t="shared" si="276"/>
        <v>-6997.1769937440004</v>
      </c>
      <c r="M134" s="1671">
        <f t="shared" si="276"/>
        <v>760.55792632900011</v>
      </c>
      <c r="N134" s="1671">
        <f>SUM(N135:N139)</f>
        <v>1836.2681516709995</v>
      </c>
      <c r="O134" s="1671">
        <f>SUM(O135:O139)</f>
        <v>3223.6769287949996</v>
      </c>
      <c r="P134" s="1666">
        <f t="shared" ca="1" si="276"/>
        <v>-1654.9338967163935</v>
      </c>
      <c r="Q134" s="1666">
        <f t="shared" ca="1" si="276"/>
        <v>-3989.4709515164704</v>
      </c>
      <c r="R134" s="1666">
        <f t="shared" ref="R134" ca="1" si="277">SUM(R135:R139)</f>
        <v>-3295.9501283455738</v>
      </c>
      <c r="S134" s="1666">
        <f t="shared" ref="S134:U134" ca="1" si="278">SUM(S135:S139)</f>
        <v>-3848.8816873635369</v>
      </c>
      <c r="T134" s="1666">
        <f t="shared" ca="1" si="278"/>
        <v>-3316.946618334603</v>
      </c>
      <c r="U134" s="1666">
        <f t="shared" ca="1" si="278"/>
        <v>-3107.7952393175037</v>
      </c>
      <c r="V134" s="1666"/>
      <c r="W134" s="999"/>
      <c r="X134" s="999"/>
      <c r="Y134" s="999"/>
      <c r="Z134" s="999"/>
      <c r="AA134" s="999"/>
      <c r="AB134" s="999"/>
      <c r="AC134" s="1189"/>
      <c r="AD134" s="1189"/>
      <c r="AE134" s="1189"/>
      <c r="AF134" s="1189"/>
      <c r="AG134" s="1189"/>
      <c r="AH134" s="1189"/>
      <c r="AI134" s="1189"/>
      <c r="AJ134" s="999"/>
      <c r="AK134" s="999"/>
      <c r="AL134" s="999"/>
      <c r="AM134" s="999"/>
      <c r="AN134" s="999"/>
      <c r="AO134" s="999"/>
      <c r="AP134" s="999"/>
    </row>
    <row r="135" spans="1:42">
      <c r="A135" s="999"/>
      <c r="B135" s="1198"/>
      <c r="C135" s="1721" t="str">
        <f>'FS Year'!B167</f>
        <v>Change in Accounts Receivable</v>
      </c>
      <c r="D135" s="1606">
        <v>133</v>
      </c>
      <c r="E135" s="1722"/>
      <c r="F135" s="1609"/>
      <c r="G135" s="1670">
        <f>'FS Year'!O167</f>
        <v>-989.51772862999997</v>
      </c>
      <c r="H135" s="1670">
        <f>'FS Year'!P167</f>
        <v>-1322.94924496</v>
      </c>
      <c r="I135" s="1670">
        <f>'FS Year'!Q167</f>
        <v>1246.6468239809999</v>
      </c>
      <c r="J135" s="1670">
        <f>'FS Year'!R167</f>
        <v>-675.97988220100001</v>
      </c>
      <c r="K135" s="1670">
        <f>'FS Year'!S167</f>
        <v>850.49323803599998</v>
      </c>
      <c r="L135" s="1670">
        <f>'FS Year'!T167</f>
        <v>-827.59610546700003</v>
      </c>
      <c r="M135" s="1670">
        <f>'FS Year'!U167</f>
        <v>-651.239029878</v>
      </c>
      <c r="N135" s="1670">
        <f>'FS Year'!V167</f>
        <v>675.79930311700002</v>
      </c>
      <c r="O135" s="1670">
        <f>'FS Year'!W167</f>
        <v>213.43405013500001</v>
      </c>
      <c r="P135" s="1669">
        <f t="shared" ref="P135:Q136" ca="1" si="279">-(P9-O9)</f>
        <v>-1647.20658344814</v>
      </c>
      <c r="Q135" s="1669">
        <f t="shared" ca="1" si="279"/>
        <v>-2244.427659215844</v>
      </c>
      <c r="R135" s="1669">
        <f t="shared" ref="R135:R136" ca="1" si="280">-(R9-Q9)</f>
        <v>-1865.7357505516084</v>
      </c>
      <c r="S135" s="1669">
        <f t="shared" ref="S135:S136" ca="1" si="281">-(S9-R9)</f>
        <v>-2210.6774904497943</v>
      </c>
      <c r="T135" s="1669">
        <f t="shared" ref="T135:T136" ca="1" si="282">-(T9-S9)</f>
        <v>-1886.515756719542</v>
      </c>
      <c r="U135" s="1669">
        <f t="shared" ref="U135:U136" ca="1" si="283">-(U9-T9)</f>
        <v>-1739.2847871585182</v>
      </c>
      <c r="V135" s="1669"/>
      <c r="W135" s="999"/>
      <c r="X135" s="999"/>
      <c r="Y135" s="999"/>
      <c r="Z135" s="999"/>
      <c r="AA135" s="999"/>
      <c r="AB135" s="999"/>
      <c r="AC135" s="1189"/>
      <c r="AD135" s="1189"/>
      <c r="AE135" s="1189"/>
      <c r="AF135" s="1189"/>
      <c r="AG135" s="1189"/>
      <c r="AH135" s="1189"/>
      <c r="AI135" s="1189"/>
      <c r="AJ135" s="999"/>
      <c r="AK135" s="999"/>
      <c r="AL135" s="999"/>
      <c r="AM135" s="999"/>
      <c r="AN135" s="999"/>
      <c r="AO135" s="999"/>
      <c r="AP135" s="999"/>
    </row>
    <row r="136" spans="1:42">
      <c r="A136" s="999"/>
      <c r="B136" s="1198"/>
      <c r="C136" s="1721" t="str">
        <f>'FS Year'!B168</f>
        <v>Change in Inventories</v>
      </c>
      <c r="D136" s="1606">
        <v>134</v>
      </c>
      <c r="E136" s="1722"/>
      <c r="F136" s="1192"/>
      <c r="G136" s="1670">
        <f>'FS Year'!O168</f>
        <v>-4503.9490771999999</v>
      </c>
      <c r="H136" s="1670">
        <f>'FS Year'!P168</f>
        <v>-2796.2978921009999</v>
      </c>
      <c r="I136" s="1670">
        <f>'FS Year'!Q168</f>
        <v>-4672.9441944600003</v>
      </c>
      <c r="J136" s="1670">
        <f>'FS Year'!R168</f>
        <v>-8374.7970301309997</v>
      </c>
      <c r="K136" s="1670">
        <f>'FS Year'!S168</f>
        <v>6269.571171519</v>
      </c>
      <c r="L136" s="1670">
        <f>'FS Year'!T168</f>
        <v>-9923.7053153529996</v>
      </c>
      <c r="M136" s="1670">
        <f>'FS Year'!U168</f>
        <v>3791.9374210330002</v>
      </c>
      <c r="N136" s="1670">
        <f>'FS Year'!V168</f>
        <v>4169.0317574729997</v>
      </c>
      <c r="O136" s="1670">
        <f>'FS Year'!W168</f>
        <v>-636.92791430499994</v>
      </c>
      <c r="P136" s="1669">
        <f ca="1">-(P10-O10)</f>
        <v>-1936.4937052612877</v>
      </c>
      <c r="Q136" s="1669">
        <f t="shared" ca="1" si="279"/>
        <v>-5213.0961452010415</v>
      </c>
      <c r="R136" s="1669">
        <f t="shared" ca="1" si="280"/>
        <v>-4333.5145194933721</v>
      </c>
      <c r="S136" s="1669">
        <f t="shared" ca="1" si="281"/>
        <v>-5134.7051692336318</v>
      </c>
      <c r="T136" s="1669">
        <f t="shared" ca="1" si="282"/>
        <v>-4381.7799067097949</v>
      </c>
      <c r="U136" s="1669">
        <f t="shared" ca="1" si="283"/>
        <v>-4039.8088938677247</v>
      </c>
      <c r="V136" s="1669"/>
      <c r="W136" s="999"/>
      <c r="X136" s="999"/>
      <c r="Y136" s="999"/>
      <c r="Z136" s="999"/>
      <c r="AA136" s="999"/>
      <c r="AB136" s="999"/>
      <c r="AC136" s="1189"/>
      <c r="AD136" s="1189"/>
      <c r="AE136" s="1189"/>
      <c r="AF136" s="1189"/>
      <c r="AG136" s="1189"/>
      <c r="AH136" s="1189"/>
      <c r="AI136" s="1189"/>
      <c r="AJ136" s="999"/>
      <c r="AK136" s="999"/>
      <c r="AL136" s="999"/>
      <c r="AM136" s="999"/>
      <c r="AN136" s="999"/>
      <c r="AO136" s="999"/>
      <c r="AP136" s="999"/>
    </row>
    <row r="137" spans="1:42">
      <c r="A137" s="999"/>
      <c r="B137" s="1198"/>
      <c r="C137" s="1721" t="str">
        <f>'FS Year'!B169</f>
        <v>Change in Account Payables</v>
      </c>
      <c r="D137" s="1606">
        <v>135</v>
      </c>
      <c r="E137" s="1722"/>
      <c r="F137" s="1609"/>
      <c r="G137" s="1670">
        <f>'FS Year'!O169</f>
        <v>3124.5645714799998</v>
      </c>
      <c r="H137" s="1670">
        <f>'FS Year'!P169</f>
        <v>3970.3367611570002</v>
      </c>
      <c r="I137" s="1670">
        <f>'FS Year'!Q169</f>
        <v>1331.042865781</v>
      </c>
      <c r="J137" s="1670">
        <f>'FS Year'!R169</f>
        <v>2823.9423111840001</v>
      </c>
      <c r="K137" s="1670">
        <f>'FS Year'!S169</f>
        <v>-1894.206905085</v>
      </c>
      <c r="L137" s="1670">
        <f>'FS Year'!T169</f>
        <v>3781.6149048010002</v>
      </c>
      <c r="M137" s="1670">
        <f>'FS Year'!U169</f>
        <v>-2286.642759161</v>
      </c>
      <c r="N137" s="1670">
        <f>'FS Year'!V169</f>
        <v>-3138.5630123740002</v>
      </c>
      <c r="O137" s="1670">
        <f>'FS Year'!W169</f>
        <v>3519.3819220629998</v>
      </c>
      <c r="P137" s="1669">
        <f ca="1">P28-O28</f>
        <v>1831.3132508542512</v>
      </c>
      <c r="Q137" s="1669">
        <f ca="1">Q28-P28</f>
        <v>2293.9801487525074</v>
      </c>
      <c r="R137" s="1669">
        <f t="shared" ref="R137" ca="1" si="284">R28-Q28</f>
        <v>1877.6934352595945</v>
      </c>
      <c r="S137" s="1669">
        <f t="shared" ref="S137:U137" ca="1" si="285">S28-R28</f>
        <v>2242.26426865957</v>
      </c>
      <c r="T137" s="1669">
        <f t="shared" ca="1" si="285"/>
        <v>1907.4383373939345</v>
      </c>
      <c r="U137" s="1669">
        <f t="shared" ca="1" si="285"/>
        <v>1759.9050784458523</v>
      </c>
      <c r="V137" s="1669"/>
      <c r="W137" s="999"/>
      <c r="X137" s="999"/>
      <c r="Y137" s="999"/>
      <c r="Z137" s="999"/>
      <c r="AA137" s="999"/>
      <c r="AB137" s="999"/>
      <c r="AC137" s="1189"/>
      <c r="AD137" s="1189"/>
      <c r="AE137" s="1189"/>
      <c r="AF137" s="1189"/>
      <c r="AG137" s="1189"/>
      <c r="AH137" s="1189"/>
      <c r="AI137" s="1189"/>
      <c r="AJ137" s="999"/>
      <c r="AK137" s="999"/>
      <c r="AL137" s="999"/>
      <c r="AM137" s="999"/>
      <c r="AN137" s="999"/>
      <c r="AO137" s="999"/>
      <c r="AP137" s="999"/>
    </row>
    <row r="138" spans="1:42">
      <c r="A138" s="999"/>
      <c r="B138" s="1198"/>
      <c r="C138" s="1721" t="str">
        <f>'FS Year'!B170</f>
        <v>Change in Prepaid Expenses</v>
      </c>
      <c r="D138" s="1606">
        <v>136</v>
      </c>
      <c r="E138" s="1722"/>
      <c r="F138" s="1192"/>
      <c r="G138" s="1670">
        <f>'FS Year'!O170</f>
        <v>-164.867267201</v>
      </c>
      <c r="H138" s="1670">
        <f>'FS Year'!P170</f>
        <v>-96.805747662000002</v>
      </c>
      <c r="I138" s="1670">
        <f>'FS Year'!Q170</f>
        <v>126.75331378</v>
      </c>
      <c r="J138" s="1670">
        <f>'FS Year'!R170</f>
        <v>-227.80503446099999</v>
      </c>
      <c r="K138" s="1670">
        <f>'FS Year'!S170</f>
        <v>-75.119169600000006</v>
      </c>
      <c r="L138" s="1670">
        <f>'FS Year'!T170</f>
        <v>-27.490477725000002</v>
      </c>
      <c r="M138" s="1670">
        <f>'FS Year'!U170</f>
        <v>-93.497705664999998</v>
      </c>
      <c r="N138" s="1670">
        <f>'FS Year'!V170</f>
        <v>130.00010345499999</v>
      </c>
      <c r="O138" s="1670">
        <f>'FS Year'!W170</f>
        <v>127.788870902</v>
      </c>
      <c r="P138" s="1669">
        <f ca="1">-(P11-O11)</f>
        <v>-102.26390420280006</v>
      </c>
      <c r="Q138" s="1669">
        <f ca="1">-(Q11-P11)</f>
        <v>-139.3413172570589</v>
      </c>
      <c r="R138" s="1669">
        <f t="shared" ref="R138" ca="1" si="286">-(R11-Q11)</f>
        <v>-115.83090061645316</v>
      </c>
      <c r="S138" s="1669">
        <f t="shared" ref="S138:U138" ca="1" si="287">-(S11-R11)</f>
        <v>-137.24599778699303</v>
      </c>
      <c r="T138" s="1669">
        <f t="shared" ca="1" si="287"/>
        <v>-117.1209905064793</v>
      </c>
      <c r="U138" s="1669">
        <f t="shared" ca="1" si="287"/>
        <v>-107.98041644724026</v>
      </c>
      <c r="V138" s="1669"/>
      <c r="W138" s="999"/>
      <c r="X138" s="999"/>
      <c r="Y138" s="999"/>
      <c r="Z138" s="999"/>
      <c r="AA138" s="999"/>
      <c r="AB138" s="999"/>
      <c r="AC138" s="1189"/>
      <c r="AD138" s="1189"/>
      <c r="AE138" s="1189"/>
      <c r="AF138" s="1189"/>
      <c r="AG138" s="1189"/>
      <c r="AH138" s="1189"/>
      <c r="AI138" s="1189"/>
      <c r="AJ138" s="999"/>
      <c r="AK138" s="999"/>
      <c r="AL138" s="999"/>
      <c r="AM138" s="999"/>
      <c r="AN138" s="999"/>
      <c r="AO138" s="999"/>
      <c r="AP138" s="999"/>
    </row>
    <row r="139" spans="1:42">
      <c r="A139" s="999"/>
      <c r="B139" s="1198"/>
      <c r="C139" s="1721" t="str">
        <f>'FS Year'!B171</f>
        <v>(Increase)/Decrease In Trading Securities</v>
      </c>
      <c r="D139" s="1606">
        <v>137</v>
      </c>
      <c r="E139" s="1722"/>
      <c r="F139" s="1192"/>
      <c r="G139" s="1670">
        <f>'FS Year'!O171</f>
        <v>0</v>
      </c>
      <c r="H139" s="1670">
        <f>'FS Year'!P171</f>
        <v>0</v>
      </c>
      <c r="I139" s="1670">
        <f>'FS Year'!Q171</f>
        <v>0</v>
      </c>
      <c r="J139" s="1670">
        <f>'FS Year'!R171</f>
        <v>0</v>
      </c>
      <c r="K139" s="1670">
        <f>'FS Year'!S171</f>
        <v>0</v>
      </c>
      <c r="L139" s="1670">
        <f>'FS Year'!T171</f>
        <v>0</v>
      </c>
      <c r="M139" s="1670">
        <f>'FS Year'!U171</f>
        <v>0</v>
      </c>
      <c r="N139" s="1670">
        <f>'FS Year'!V171</f>
        <v>0</v>
      </c>
      <c r="O139" s="1670">
        <f>'FS Year'!W171</f>
        <v>0</v>
      </c>
      <c r="P139" s="1723">
        <f ca="1">P33-O33</f>
        <v>199.71704534158289</v>
      </c>
      <c r="Q139" s="1723">
        <f ca="1">Q33-P33</f>
        <v>1313.4140214049667</v>
      </c>
      <c r="R139" s="1723">
        <f t="shared" ref="R139" ca="1" si="288">R33-Q33</f>
        <v>1141.4376070562648</v>
      </c>
      <c r="S139" s="1723">
        <f t="shared" ref="S139:U139" ca="1" si="289">S33-R33</f>
        <v>1391.4827014473121</v>
      </c>
      <c r="T139" s="1723">
        <f t="shared" ca="1" si="289"/>
        <v>1161.0316982072782</v>
      </c>
      <c r="U139" s="1723">
        <f t="shared" ca="1" si="289"/>
        <v>1019.3737797101276</v>
      </c>
      <c r="V139" s="1723"/>
      <c r="W139" s="999"/>
      <c r="X139" s="999"/>
      <c r="Y139" s="999"/>
      <c r="Z139" s="999"/>
      <c r="AA139" s="999"/>
      <c r="AB139" s="999"/>
      <c r="AC139" s="1189"/>
      <c r="AD139" s="1189"/>
      <c r="AE139" s="1189"/>
      <c r="AF139" s="1189"/>
      <c r="AG139" s="1189"/>
      <c r="AH139" s="1189"/>
      <c r="AI139" s="1189"/>
      <c r="AJ139" s="999"/>
      <c r="AK139" s="999"/>
      <c r="AL139" s="999"/>
      <c r="AM139" s="999"/>
      <c r="AN139" s="999"/>
      <c r="AO139" s="999"/>
      <c r="AP139" s="999"/>
    </row>
    <row r="140" spans="1:42" ht="15.75" customHeight="1">
      <c r="A140" s="999"/>
      <c r="B140" s="1198"/>
      <c r="C140" s="1535"/>
      <c r="D140" s="1606">
        <v>138</v>
      </c>
      <c r="E140" s="1192"/>
      <c r="F140" s="1609"/>
      <c r="G140" s="1609"/>
      <c r="H140" s="1670"/>
      <c r="I140" s="1670"/>
      <c r="J140" s="1670"/>
      <c r="K140" s="1670"/>
      <c r="L140" s="1670"/>
      <c r="M140" s="1670"/>
      <c r="N140" s="1670"/>
      <c r="O140" s="1670"/>
      <c r="P140" s="1198"/>
      <c r="Q140" s="1198"/>
      <c r="R140" s="1198"/>
      <c r="S140" s="1198"/>
      <c r="T140" s="1198"/>
      <c r="U140" s="1198"/>
      <c r="V140" s="1198"/>
      <c r="W140" s="999"/>
      <c r="X140" s="999"/>
      <c r="Y140" s="999"/>
      <c r="Z140" s="999"/>
      <c r="AA140" s="999"/>
      <c r="AB140" s="999"/>
      <c r="AC140" s="1189"/>
      <c r="AD140" s="1189"/>
      <c r="AE140" s="1189"/>
      <c r="AF140" s="1189"/>
      <c r="AG140" s="1189"/>
      <c r="AH140" s="1189"/>
      <c r="AI140" s="1189"/>
      <c r="AJ140" s="999"/>
      <c r="AK140" s="999"/>
      <c r="AL140" s="999"/>
      <c r="AM140" s="999"/>
      <c r="AN140" s="999"/>
      <c r="AO140" s="999"/>
      <c r="AP140" s="999"/>
    </row>
    <row r="141" spans="1:42">
      <c r="A141" s="999"/>
      <c r="B141" s="1198"/>
      <c r="C141" s="1614" t="s">
        <v>544</v>
      </c>
      <c r="D141" s="1606">
        <v>139</v>
      </c>
      <c r="E141" s="1717"/>
      <c r="F141" s="1609"/>
      <c r="G141" s="1609"/>
      <c r="H141" s="1609"/>
      <c r="I141" s="1609"/>
      <c r="J141" s="1609"/>
      <c r="K141" s="1609"/>
      <c r="L141" s="1609"/>
      <c r="M141" s="1609"/>
      <c r="N141" s="1609"/>
      <c r="O141" s="1609"/>
      <c r="P141" s="1217"/>
      <c r="Q141" s="1217"/>
      <c r="R141" s="1217"/>
      <c r="S141" s="1217"/>
      <c r="T141" s="1217"/>
      <c r="U141" s="1217"/>
      <c r="V141" s="1217"/>
      <c r="W141" s="999"/>
      <c r="X141" s="999"/>
      <c r="Y141" s="999"/>
      <c r="Z141" s="999"/>
      <c r="AA141" s="999"/>
      <c r="AB141" s="999"/>
      <c r="AC141" s="1189"/>
      <c r="AD141" s="1189"/>
      <c r="AE141" s="1189"/>
      <c r="AF141" s="1189"/>
      <c r="AG141" s="1189"/>
      <c r="AH141" s="1189"/>
      <c r="AI141" s="1189"/>
      <c r="AJ141" s="999"/>
      <c r="AK141" s="999"/>
      <c r="AL141" s="999"/>
      <c r="AM141" s="999"/>
      <c r="AN141" s="999"/>
      <c r="AO141" s="999"/>
      <c r="AP141" s="999"/>
    </row>
    <row r="142" spans="1:42">
      <c r="A142" s="999"/>
      <c r="B142" s="1198"/>
      <c r="C142" s="1535" t="s">
        <v>581</v>
      </c>
      <c r="D142" s="1606">
        <v>140</v>
      </c>
      <c r="E142" s="1717"/>
      <c r="F142" s="1609"/>
      <c r="G142" s="1609"/>
      <c r="H142" s="1670">
        <f>'FS Year'!P172</f>
        <v>-223.723867627</v>
      </c>
      <c r="I142" s="1670">
        <f>'FS Year'!Q172</f>
        <v>-427.56437650999999</v>
      </c>
      <c r="J142" s="1670">
        <f>'FS Year'!R172</f>
        <v>-537.997464046</v>
      </c>
      <c r="K142" s="1670">
        <f>'FS Year'!S172</f>
        <v>-563.74861204499996</v>
      </c>
      <c r="L142" s="1670">
        <f>'FS Year'!T172</f>
        <v>-585.13603521899995</v>
      </c>
      <c r="M142" s="1670">
        <f>'FS Year'!U172</f>
        <v>-1322.381109404</v>
      </c>
      <c r="N142" s="1670">
        <f>'FS Year'!V172</f>
        <v>-1435.7318706159999</v>
      </c>
      <c r="O142" s="1670">
        <f>'FS Year'!W172</f>
        <v>-1141.5215407339999</v>
      </c>
      <c r="P142" s="1214">
        <f ca="1">-P129</f>
        <v>-1189.0917862278645</v>
      </c>
      <c r="Q142" s="1214">
        <f ca="1">-Q129</f>
        <v>-1221.8457800872538</v>
      </c>
      <c r="R142" s="1214">
        <f t="shared" ref="R142" ca="1" si="290">-R129</f>
        <v>-1222.8591005363764</v>
      </c>
      <c r="S142" s="1214">
        <f t="shared" ref="S142:U142" ca="1" si="291">-S129</f>
        <v>-1221.8443472107022</v>
      </c>
      <c r="T142" s="1214">
        <f t="shared" ca="1" si="291"/>
        <v>-1217.5050271304287</v>
      </c>
      <c r="U142" s="1214">
        <f t="shared" ca="1" si="291"/>
        <v>-1208.7386717924926</v>
      </c>
      <c r="V142" s="1214"/>
      <c r="W142" s="999"/>
      <c r="X142" s="999"/>
      <c r="Y142" s="999"/>
      <c r="Z142" s="999"/>
      <c r="AA142" s="999"/>
      <c r="AB142" s="999"/>
      <c r="AC142" s="1189"/>
      <c r="AD142" s="1189"/>
      <c r="AE142" s="1189"/>
      <c r="AF142" s="1189"/>
      <c r="AG142" s="1189"/>
      <c r="AH142" s="1189"/>
      <c r="AI142" s="1189"/>
      <c r="AJ142" s="999"/>
      <c r="AK142" s="999"/>
      <c r="AL142" s="999"/>
      <c r="AM142" s="999"/>
      <c r="AN142" s="999"/>
      <c r="AO142" s="999"/>
      <c r="AP142" s="999"/>
    </row>
    <row r="143" spans="1:42">
      <c r="A143" s="999"/>
      <c r="B143" s="1198"/>
      <c r="C143" s="1535" t="s">
        <v>582</v>
      </c>
      <c r="D143" s="1606">
        <v>141</v>
      </c>
      <c r="E143" s="1717"/>
      <c r="F143" s="1609"/>
      <c r="G143" s="1609"/>
      <c r="H143" s="1670">
        <f>'FS Year'!P173</f>
        <v>-690.66819957200005</v>
      </c>
      <c r="I143" s="1670">
        <f>'FS Year'!Q173</f>
        <v>-829.52301975</v>
      </c>
      <c r="J143" s="1670">
        <f>'FS Year'!R173</f>
        <v>-1092.1285471839999</v>
      </c>
      <c r="K143" s="1670">
        <f>'FS Year'!S173</f>
        <v>-1494.5854397319999</v>
      </c>
      <c r="L143" s="1670">
        <f>'FS Year'!T173</f>
        <v>-1533.1021228069999</v>
      </c>
      <c r="M143" s="1670">
        <f>'FS Year'!U173</f>
        <v>-1805.3408443339999</v>
      </c>
      <c r="N143" s="1670">
        <f>'FS Year'!V173</f>
        <v>-861.931958366</v>
      </c>
      <c r="O143" s="1670">
        <f>'FS Year'!W173</f>
        <v>-958.91497809800001</v>
      </c>
      <c r="P143" s="1214">
        <f ca="1">P98</f>
        <v>-1881.8771434740081</v>
      </c>
      <c r="Q143" s="1214">
        <f ca="1">Q98</f>
        <v>-2188.412201781955</v>
      </c>
      <c r="R143" s="1214">
        <f t="shared" ref="R143" ca="1" si="292">R98</f>
        <v>-2543.1599342584086</v>
      </c>
      <c r="S143" s="1214">
        <f t="shared" ref="S143:U143" ca="1" si="293">S98</f>
        <v>-2919.4584785947022</v>
      </c>
      <c r="T143" s="1214">
        <f t="shared" ca="1" si="293"/>
        <v>-3245.2685614295424</v>
      </c>
      <c r="U143" s="1214">
        <f t="shared" ca="1" si="293"/>
        <v>-3597.7018473841708</v>
      </c>
      <c r="V143" s="1214"/>
      <c r="W143" s="999"/>
      <c r="X143" s="999"/>
      <c r="Y143" s="999"/>
      <c r="Z143" s="999"/>
      <c r="AA143" s="999"/>
      <c r="AB143" s="999"/>
      <c r="AC143" s="1189"/>
      <c r="AD143" s="1189"/>
      <c r="AE143" s="1189"/>
      <c r="AF143" s="1189"/>
      <c r="AG143" s="1189"/>
      <c r="AH143" s="1189"/>
      <c r="AI143" s="1189"/>
      <c r="AJ143" s="999"/>
      <c r="AK143" s="999"/>
      <c r="AL143" s="999"/>
      <c r="AM143" s="999"/>
      <c r="AN143" s="999"/>
      <c r="AO143" s="999"/>
      <c r="AP143" s="999"/>
    </row>
    <row r="144" spans="1:42">
      <c r="A144" s="999"/>
      <c r="B144" s="1198"/>
      <c r="C144" s="1535" t="s">
        <v>583</v>
      </c>
      <c r="D144" s="1606">
        <v>142</v>
      </c>
      <c r="E144" s="1717"/>
      <c r="F144" s="1609"/>
      <c r="G144" s="1609"/>
      <c r="H144" s="1670">
        <v>0</v>
      </c>
      <c r="I144" s="1670">
        <v>0</v>
      </c>
      <c r="J144" s="1670">
        <v>0</v>
      </c>
      <c r="K144" s="1670">
        <v>0</v>
      </c>
      <c r="L144" s="1670">
        <v>0</v>
      </c>
      <c r="M144" s="1670">
        <v>0</v>
      </c>
      <c r="N144" s="1670">
        <v>0</v>
      </c>
      <c r="O144" s="1670">
        <v>0</v>
      </c>
      <c r="P144" s="1214">
        <v>0</v>
      </c>
      <c r="Q144" s="1214">
        <v>0</v>
      </c>
      <c r="R144" s="1214">
        <v>0</v>
      </c>
      <c r="S144" s="1214">
        <v>0</v>
      </c>
      <c r="T144" s="1214">
        <v>0</v>
      </c>
      <c r="U144" s="1214">
        <v>0</v>
      </c>
      <c r="V144" s="1214"/>
      <c r="W144" s="999"/>
      <c r="X144" s="999"/>
      <c r="Y144" s="999"/>
      <c r="Z144" s="999"/>
      <c r="AA144" s="999"/>
      <c r="AB144" s="999"/>
      <c r="AC144" s="1189"/>
      <c r="AD144" s="1189"/>
      <c r="AE144" s="1189"/>
      <c r="AF144" s="1189"/>
      <c r="AG144" s="1189"/>
      <c r="AH144" s="1189"/>
      <c r="AI144" s="1189"/>
      <c r="AJ144" s="999"/>
      <c r="AK144" s="999"/>
      <c r="AL144" s="999"/>
      <c r="AM144" s="999"/>
      <c r="AN144" s="999"/>
      <c r="AO144" s="999"/>
      <c r="AP144" s="999"/>
    </row>
    <row r="145" spans="1:42">
      <c r="A145" s="999"/>
      <c r="B145" s="1198"/>
      <c r="C145" s="1535" t="s">
        <v>584</v>
      </c>
      <c r="D145" s="1606">
        <v>143</v>
      </c>
      <c r="E145" s="1717"/>
      <c r="F145" s="1192"/>
      <c r="G145" s="1609"/>
      <c r="H145" s="1670">
        <v>0</v>
      </c>
      <c r="I145" s="1670">
        <v>0</v>
      </c>
      <c r="J145" s="1670">
        <v>0</v>
      </c>
      <c r="K145" s="1670">
        <v>0</v>
      </c>
      <c r="L145" s="1670">
        <v>0</v>
      </c>
      <c r="M145" s="1670">
        <v>0</v>
      </c>
      <c r="N145" s="1670">
        <v>0</v>
      </c>
      <c r="O145" s="1670">
        <v>0</v>
      </c>
      <c r="P145" s="1214">
        <v>0</v>
      </c>
      <c r="Q145" s="1214">
        <v>0</v>
      </c>
      <c r="R145" s="1214">
        <v>0</v>
      </c>
      <c r="S145" s="1214">
        <v>0</v>
      </c>
      <c r="T145" s="1214">
        <v>0</v>
      </c>
      <c r="U145" s="1214">
        <v>0</v>
      </c>
      <c r="V145" s="1214"/>
      <c r="W145" s="999"/>
      <c r="X145" s="999"/>
      <c r="Y145" s="999"/>
      <c r="Z145" s="999"/>
      <c r="AA145" s="999"/>
      <c r="AB145" s="999"/>
      <c r="AC145" s="1189"/>
      <c r="AD145" s="1189"/>
      <c r="AE145" s="1189"/>
      <c r="AF145" s="1189"/>
      <c r="AG145" s="1189"/>
      <c r="AH145" s="1189"/>
      <c r="AI145" s="1189"/>
      <c r="AJ145" s="999"/>
      <c r="AK145" s="999"/>
      <c r="AL145" s="999"/>
      <c r="AM145" s="999"/>
      <c r="AN145" s="999"/>
      <c r="AO145" s="999"/>
      <c r="AP145" s="999"/>
    </row>
    <row r="146" spans="1:42">
      <c r="A146" s="999"/>
      <c r="B146" s="1198"/>
      <c r="C146" s="1535" t="s">
        <v>561</v>
      </c>
      <c r="D146" s="1606">
        <v>144</v>
      </c>
      <c r="E146" s="1717"/>
      <c r="F146" s="1192"/>
      <c r="G146" s="1609"/>
      <c r="H146" s="1670">
        <v>0</v>
      </c>
      <c r="I146" s="1670">
        <v>0</v>
      </c>
      <c r="J146" s="1670">
        <v>0</v>
      </c>
      <c r="K146" s="1670">
        <v>0</v>
      </c>
      <c r="L146" s="1670">
        <v>0</v>
      </c>
      <c r="M146" s="1670">
        <v>0</v>
      </c>
      <c r="N146" s="1670">
        <v>0</v>
      </c>
      <c r="O146" s="1670">
        <v>0</v>
      </c>
      <c r="P146" s="1214">
        <v>0</v>
      </c>
      <c r="Q146" s="1214">
        <v>0</v>
      </c>
      <c r="R146" s="1214">
        <v>0</v>
      </c>
      <c r="S146" s="1214">
        <v>0</v>
      </c>
      <c r="T146" s="1214">
        <v>0</v>
      </c>
      <c r="U146" s="1214">
        <v>0</v>
      </c>
      <c r="V146" s="1214"/>
      <c r="W146" s="999"/>
      <c r="X146" s="999"/>
      <c r="Y146" s="999"/>
      <c r="Z146" s="999"/>
      <c r="AA146" s="999"/>
      <c r="AB146" s="999"/>
      <c r="AC146" s="1189"/>
      <c r="AD146" s="1189"/>
      <c r="AE146" s="1189"/>
      <c r="AF146" s="1189"/>
      <c r="AG146" s="1189"/>
      <c r="AH146" s="1189"/>
      <c r="AI146" s="1189"/>
      <c r="AJ146" s="999"/>
      <c r="AK146" s="999"/>
      <c r="AL146" s="999"/>
      <c r="AM146" s="999"/>
      <c r="AN146" s="999"/>
      <c r="AO146" s="999"/>
      <c r="AP146" s="999"/>
    </row>
    <row r="147" spans="1:42">
      <c r="A147" s="999"/>
      <c r="B147" s="1198"/>
      <c r="C147" s="1535" t="s">
        <v>585</v>
      </c>
      <c r="D147" s="1606">
        <v>145</v>
      </c>
      <c r="E147" s="1717"/>
      <c r="F147" s="1192"/>
      <c r="G147" s="1609"/>
      <c r="H147" s="1670"/>
      <c r="I147" s="1670"/>
      <c r="J147" s="1670">
        <f>'FS Year'!R174</f>
        <v>0</v>
      </c>
      <c r="K147" s="1670">
        <f>'FS Year'!S174</f>
        <v>0</v>
      </c>
      <c r="L147" s="1670">
        <f>'FS Year'!T174</f>
        <v>0</v>
      </c>
      <c r="M147" s="1670">
        <f>'FS Year'!U174</f>
        <v>0</v>
      </c>
      <c r="N147" s="1670">
        <f>'FS Year'!V174</f>
        <v>0</v>
      </c>
      <c r="O147" s="1670">
        <f>'FS Year'!W174</f>
        <v>0</v>
      </c>
      <c r="P147" s="1214"/>
      <c r="Q147" s="1214"/>
      <c r="R147" s="1214"/>
      <c r="S147" s="1214"/>
      <c r="T147" s="1214"/>
      <c r="U147" s="1214"/>
      <c r="V147" s="1214"/>
      <c r="W147" s="999"/>
      <c r="X147" s="999"/>
      <c r="Y147" s="999"/>
      <c r="Z147" s="999"/>
      <c r="AA147" s="999"/>
      <c r="AB147" s="999"/>
      <c r="AC147" s="1189"/>
      <c r="AD147" s="1189"/>
      <c r="AE147" s="1189"/>
      <c r="AF147" s="1189"/>
      <c r="AG147" s="1189"/>
      <c r="AH147" s="1189"/>
      <c r="AI147" s="1189"/>
      <c r="AJ147" s="999"/>
      <c r="AK147" s="999"/>
      <c r="AL147" s="999"/>
      <c r="AM147" s="999"/>
      <c r="AN147" s="999"/>
      <c r="AO147" s="999"/>
      <c r="AP147" s="999"/>
    </row>
    <row r="148" spans="1:42">
      <c r="A148" s="999"/>
      <c r="B148" s="1198"/>
      <c r="C148" s="1535" t="s">
        <v>586</v>
      </c>
      <c r="D148" s="1606">
        <v>146</v>
      </c>
      <c r="E148" s="1717"/>
      <c r="F148" s="1609"/>
      <c r="G148" s="1609"/>
      <c r="H148" s="1670">
        <f>'FS Year'!P175</f>
        <v>0</v>
      </c>
      <c r="I148" s="1670">
        <f>'FS Year'!Q175</f>
        <v>0</v>
      </c>
      <c r="J148" s="1670">
        <f>'FS Year'!R175</f>
        <v>-15</v>
      </c>
      <c r="K148" s="1670">
        <f>'FS Year'!S175</f>
        <v>0</v>
      </c>
      <c r="L148" s="1670">
        <f>'FS Year'!T175</f>
        <v>0</v>
      </c>
      <c r="M148" s="1670">
        <f>'FS Year'!U175</f>
        <v>0</v>
      </c>
      <c r="N148" s="1670">
        <f>'FS Year'!V175</f>
        <v>0</v>
      </c>
      <c r="O148" s="1670">
        <f>'FS Year'!W175</f>
        <v>0</v>
      </c>
      <c r="P148" s="1217">
        <v>0</v>
      </c>
      <c r="Q148" s="1217">
        <v>0</v>
      </c>
      <c r="R148" s="1217">
        <v>0</v>
      </c>
      <c r="S148" s="1217">
        <v>0</v>
      </c>
      <c r="T148" s="1217">
        <v>0</v>
      </c>
      <c r="U148" s="1217">
        <v>0</v>
      </c>
      <c r="V148" s="1217"/>
      <c r="W148" s="999"/>
      <c r="X148" s="999"/>
      <c r="Y148" s="999"/>
      <c r="Z148" s="999"/>
      <c r="AA148" s="999"/>
      <c r="AB148" s="999"/>
      <c r="AC148" s="1189"/>
      <c r="AD148" s="1189"/>
      <c r="AE148" s="1189"/>
      <c r="AF148" s="1189"/>
      <c r="AG148" s="1189"/>
      <c r="AH148" s="1189"/>
      <c r="AI148" s="1189"/>
      <c r="AJ148" s="999"/>
      <c r="AK148" s="999"/>
      <c r="AL148" s="999"/>
      <c r="AM148" s="999"/>
      <c r="AN148" s="999"/>
      <c r="AO148" s="999"/>
      <c r="AP148" s="999"/>
    </row>
    <row r="149" spans="1:42">
      <c r="A149" s="999"/>
      <c r="B149" s="1198"/>
      <c r="C149" s="999"/>
      <c r="D149" s="1606">
        <v>147</v>
      </c>
      <c r="E149" s="1192"/>
      <c r="F149" s="1609"/>
      <c r="G149" s="1609"/>
      <c r="H149" s="1609"/>
      <c r="I149" s="1609"/>
      <c r="J149" s="1192"/>
      <c r="K149" s="1192"/>
      <c r="L149" s="1192"/>
      <c r="M149" s="1192"/>
      <c r="N149" s="1192"/>
      <c r="O149" s="1192"/>
      <c r="P149" s="999"/>
      <c r="Q149" s="999"/>
      <c r="R149" s="999"/>
      <c r="S149" s="999"/>
      <c r="T149" s="999"/>
      <c r="U149" s="999"/>
      <c r="V149" s="999"/>
      <c r="W149" s="999"/>
      <c r="X149" s="999"/>
      <c r="Y149" s="999"/>
      <c r="Z149" s="999"/>
      <c r="AA149" s="999"/>
      <c r="AB149" s="999"/>
      <c r="AC149" s="1189"/>
      <c r="AD149" s="1189"/>
      <c r="AE149" s="1189"/>
      <c r="AF149" s="1189"/>
      <c r="AG149" s="1189"/>
      <c r="AH149" s="1189"/>
      <c r="AI149" s="1189"/>
      <c r="AJ149" s="999"/>
      <c r="AK149" s="999"/>
      <c r="AL149" s="999"/>
      <c r="AM149" s="999"/>
      <c r="AN149" s="999"/>
      <c r="AO149" s="999"/>
      <c r="AP149" s="999"/>
    </row>
    <row r="150" spans="1:42">
      <c r="A150" s="999"/>
      <c r="B150" s="1001" t="s">
        <v>332</v>
      </c>
      <c r="C150" s="1614" t="s">
        <v>587</v>
      </c>
      <c r="D150" s="1606">
        <v>148</v>
      </c>
      <c r="E150" s="1717"/>
      <c r="F150" s="1192"/>
      <c r="G150" s="1609"/>
      <c r="H150" s="1609">
        <f>SUM(H142:H148)</f>
        <v>-914.39206719900005</v>
      </c>
      <c r="I150" s="1609">
        <f t="shared" ref="I150:P150" si="294">SUM(I142:I148)</f>
        <v>-1257.0873962599999</v>
      </c>
      <c r="J150" s="1609">
        <f t="shared" si="294"/>
        <v>-1645.1260112299999</v>
      </c>
      <c r="K150" s="1609">
        <f>SUM(K142:K148)</f>
        <v>-2058.3340517769998</v>
      </c>
      <c r="L150" s="1609">
        <f>SUM(L142:L148)</f>
        <v>-2118.2381580259998</v>
      </c>
      <c r="M150" s="1609">
        <f>SUM(M142:M148)</f>
        <v>-3127.7219537379997</v>
      </c>
      <c r="N150" s="1609">
        <f>SUM(N142:N148)</f>
        <v>-2297.6638289819998</v>
      </c>
      <c r="O150" s="1609">
        <f>SUM(O142:O148)</f>
        <v>-2100.4365188319998</v>
      </c>
      <c r="P150" s="1724">
        <f t="shared" ca="1" si="294"/>
        <v>-3070.9689297018726</v>
      </c>
      <c r="Q150" s="1724">
        <f ca="1">SUM(Q142:Q148)</f>
        <v>-3410.2579818692088</v>
      </c>
      <c r="R150" s="1724">
        <f t="shared" ref="R150" ca="1" si="295">SUM(R142:R148)</f>
        <v>-3766.0190347947851</v>
      </c>
      <c r="S150" s="1724">
        <f t="shared" ref="S150:U150" ca="1" si="296">SUM(S142:S148)</f>
        <v>-4141.3028258054046</v>
      </c>
      <c r="T150" s="1724">
        <f t="shared" ca="1" si="296"/>
        <v>-4462.7735885599714</v>
      </c>
      <c r="U150" s="1724">
        <f t="shared" ca="1" si="296"/>
        <v>-4806.4405191766637</v>
      </c>
      <c r="V150" s="1724"/>
      <c r="W150" s="999"/>
      <c r="X150" s="999"/>
      <c r="Y150" s="999"/>
      <c r="Z150" s="999"/>
      <c r="AA150" s="999"/>
      <c r="AB150" s="999"/>
      <c r="AC150" s="1189"/>
      <c r="AD150" s="1189"/>
      <c r="AE150" s="1189"/>
      <c r="AF150" s="1189"/>
      <c r="AG150" s="1189"/>
      <c r="AH150" s="1189"/>
      <c r="AI150" s="1189"/>
      <c r="AJ150" s="999"/>
      <c r="AK150" s="999"/>
      <c r="AL150" s="999"/>
      <c r="AM150" s="999"/>
      <c r="AN150" s="999"/>
      <c r="AO150" s="999"/>
      <c r="AP150" s="999"/>
    </row>
    <row r="151" spans="1:42">
      <c r="A151" s="999"/>
      <c r="B151" s="1001" t="s">
        <v>334</v>
      </c>
      <c r="C151" s="1000" t="s">
        <v>588</v>
      </c>
      <c r="D151" s="1606">
        <v>149</v>
      </c>
      <c r="E151" s="1204"/>
      <c r="F151" s="1192"/>
      <c r="G151" s="1654"/>
      <c r="H151" s="1622">
        <f t="shared" ref="H151:Q151" si="297">SUM(H122:H130)+SUM(H141:H148)+H134</f>
        <v>2663.6639568549999</v>
      </c>
      <c r="I151" s="1622">
        <f t="shared" si="297"/>
        <v>2261.1345310700008</v>
      </c>
      <c r="J151" s="1622">
        <f t="shared" si="297"/>
        <v>-1286.0807780450023</v>
      </c>
      <c r="K151" s="1622">
        <f t="shared" si="297"/>
        <v>10796.136158245001</v>
      </c>
      <c r="L151" s="1622">
        <f t="shared" si="297"/>
        <v>173.60093640800096</v>
      </c>
      <c r="M151" s="1622">
        <f t="shared" si="297"/>
        <v>7924.4126814149995</v>
      </c>
      <c r="N151" s="1622">
        <f>SUM(N122:N130)+SUM(N141:N148)+N134</f>
        <v>3437.9401760699975</v>
      </c>
      <c r="O151" s="1622">
        <f>SUM(O122:O130)+SUM(O141:O148)+O134</f>
        <v>8519.3327067410028</v>
      </c>
      <c r="P151" s="1725">
        <f t="shared" ca="1" si="297"/>
        <v>7934.9118289852977</v>
      </c>
      <c r="Q151" s="1725">
        <f t="shared" ca="1" si="297"/>
        <v>7067.6729630497321</v>
      </c>
      <c r="R151" s="1725">
        <f t="shared" ref="R151" ca="1" si="298">SUM(R122:R130)+SUM(R141:R148)+R134</f>
        <v>9299.0230466734447</v>
      </c>
      <c r="S151" s="1725">
        <f t="shared" ref="S151:U151" ca="1" si="299">SUM(S122:S130)+SUM(S141:S148)+S134</f>
        <v>10512.865420406939</v>
      </c>
      <c r="T151" s="1725">
        <f t="shared" ca="1" si="299"/>
        <v>13034.687208864443</v>
      </c>
      <c r="U151" s="1725">
        <f t="shared" ca="1" si="299"/>
        <v>15559.641306450801</v>
      </c>
      <c r="V151" s="1725"/>
      <c r="W151" s="999"/>
      <c r="X151" s="999"/>
      <c r="Y151" s="999"/>
      <c r="Z151" s="999"/>
      <c r="AA151" s="999"/>
      <c r="AB151" s="999"/>
      <c r="AC151" s="1189"/>
      <c r="AD151" s="1189"/>
      <c r="AE151" s="1189"/>
      <c r="AF151" s="1189"/>
      <c r="AG151" s="1189"/>
      <c r="AH151" s="1189"/>
      <c r="AI151" s="1189"/>
      <c r="AJ151" s="999"/>
      <c r="AK151" s="999"/>
      <c r="AL151" s="999"/>
      <c r="AM151" s="999"/>
      <c r="AN151" s="999"/>
      <c r="AO151" s="999"/>
      <c r="AP151" s="999"/>
    </row>
    <row r="152" spans="1:42">
      <c r="A152" s="999"/>
      <c r="B152" s="1198"/>
      <c r="C152" s="999"/>
      <c r="D152" s="1606">
        <v>150</v>
      </c>
      <c r="E152" s="1192"/>
      <c r="F152" s="1192"/>
      <c r="G152" s="1192"/>
      <c r="H152" s="1192"/>
      <c r="I152" s="1192"/>
      <c r="J152" s="1192"/>
      <c r="K152" s="1192"/>
      <c r="L152" s="1192"/>
      <c r="M152" s="1192"/>
      <c r="N152" s="1192"/>
      <c r="O152" s="1192"/>
      <c r="P152" s="999"/>
      <c r="Q152" s="999"/>
      <c r="R152" s="999"/>
      <c r="S152" s="999"/>
      <c r="T152" s="999"/>
      <c r="U152" s="999"/>
      <c r="V152" s="999"/>
      <c r="W152" s="999"/>
      <c r="X152" s="999"/>
      <c r="Y152" s="999"/>
      <c r="Z152" s="999"/>
      <c r="AA152" s="999"/>
      <c r="AB152" s="999"/>
      <c r="AC152" s="1189"/>
      <c r="AD152" s="1189"/>
      <c r="AE152" s="1189"/>
      <c r="AF152" s="1189"/>
      <c r="AG152" s="1189"/>
      <c r="AH152" s="1189"/>
      <c r="AI152" s="1189"/>
      <c r="AJ152" s="999"/>
      <c r="AK152" s="999"/>
      <c r="AL152" s="999"/>
      <c r="AM152" s="999"/>
      <c r="AN152" s="999"/>
      <c r="AO152" s="999"/>
      <c r="AP152" s="999"/>
    </row>
    <row r="153" spans="1:42">
      <c r="A153" s="999"/>
      <c r="B153" s="1198"/>
      <c r="C153" s="1000" t="s">
        <v>589</v>
      </c>
      <c r="D153" s="1606">
        <v>151</v>
      </c>
      <c r="E153" s="1204"/>
      <c r="F153" s="1192"/>
      <c r="G153" s="1633"/>
      <c r="H153" s="1633"/>
      <c r="I153" s="1633"/>
      <c r="J153" s="1192"/>
      <c r="K153" s="1192"/>
      <c r="L153" s="1192"/>
      <c r="M153" s="1192"/>
      <c r="N153" s="1192"/>
      <c r="O153" s="1192"/>
      <c r="P153" s="999"/>
      <c r="Q153" s="999"/>
      <c r="R153" s="999"/>
      <c r="S153" s="999"/>
      <c r="T153" s="999"/>
      <c r="U153" s="999"/>
      <c r="V153" s="999"/>
      <c r="W153" s="999"/>
      <c r="X153" s="999"/>
      <c r="Y153" s="999"/>
      <c r="Z153" s="999"/>
      <c r="AA153" s="999"/>
      <c r="AB153" s="999"/>
      <c r="AC153" s="1189"/>
      <c r="AD153" s="1189"/>
      <c r="AE153" s="1189"/>
      <c r="AF153" s="1189"/>
      <c r="AG153" s="1189"/>
      <c r="AH153" s="1189"/>
      <c r="AI153" s="1189"/>
      <c r="AJ153" s="999"/>
      <c r="AK153" s="999"/>
      <c r="AL153" s="999"/>
      <c r="AM153" s="999"/>
      <c r="AN153" s="999"/>
      <c r="AO153" s="999"/>
      <c r="AP153" s="999"/>
    </row>
    <row r="154" spans="1:42">
      <c r="A154" s="999"/>
      <c r="B154" s="1001" t="s">
        <v>337</v>
      </c>
      <c r="C154" s="1535" t="str">
        <f>'FS Year'!B177</f>
        <v>Purchases Of Fixed Assets And Other Long Term Assets</v>
      </c>
      <c r="D154" s="1606">
        <v>152</v>
      </c>
      <c r="E154" s="1670">
        <f>'FS Year'!M177</f>
        <v>-266.39652459799998</v>
      </c>
      <c r="F154" s="1670">
        <f>'FS Year'!N177</f>
        <v>-586.51789747199996</v>
      </c>
      <c r="G154" s="1670">
        <f>'FS Year'!O177</f>
        <v>-1278.788918537</v>
      </c>
      <c r="H154" s="1670">
        <f>'FS Year'!P177</f>
        <v>-2065.0695674100002</v>
      </c>
      <c r="I154" s="1670">
        <f>'FS Year'!Q177</f>
        <v>-1495.9319190379999</v>
      </c>
      <c r="J154" s="1670">
        <f>'FS Year'!R177</f>
        <v>-3066.9211641400002</v>
      </c>
      <c r="K154" s="1670">
        <f>'FS Year'!S177</f>
        <v>-3911.3581600020002</v>
      </c>
      <c r="L154" s="1670">
        <f>'FS Year'!T177</f>
        <v>-4976.8765900159997</v>
      </c>
      <c r="M154" s="1670">
        <f>'FS Year'!U177</f>
        <v>-4411.5596853890002</v>
      </c>
      <c r="N154" s="1670">
        <f>'FS Year'!V177</f>
        <v>-523.38333079400002</v>
      </c>
      <c r="O154" s="1670">
        <f>'FS Year'!W177</f>
        <v>-303.747827395</v>
      </c>
      <c r="P154" s="1214">
        <f>-'Fixed Asset &amp; Interest'!H46</f>
        <v>-2344.2200000000003</v>
      </c>
      <c r="Q154" s="1214">
        <f>-'Fixed Asset &amp; Interest'!I46</f>
        <v>-2268.84</v>
      </c>
      <c r="R154" s="1214">
        <f>-'Fixed Asset &amp; Interest'!J46</f>
        <v>-2031.02</v>
      </c>
      <c r="S154" s="1214">
        <f>-'Fixed Asset &amp; Interest'!R46</f>
        <v>0</v>
      </c>
      <c r="T154" s="1214">
        <f>-'Fixed Asset &amp; Interest'!S46</f>
        <v>0</v>
      </c>
      <c r="U154" s="1214">
        <f>-'Fixed Asset &amp; Interest'!T46</f>
        <v>0</v>
      </c>
      <c r="V154" s="1214"/>
      <c r="W154" s="999"/>
      <c r="X154" s="999"/>
      <c r="Y154" s="999"/>
      <c r="Z154" s="999"/>
      <c r="AA154" s="999"/>
      <c r="AB154" s="999"/>
      <c r="AC154" s="1189"/>
      <c r="AD154" s="1189"/>
      <c r="AE154" s="1189"/>
      <c r="AF154" s="1189"/>
      <c r="AG154" s="1189"/>
      <c r="AH154" s="1189"/>
      <c r="AI154" s="1189"/>
      <c r="AJ154" s="999"/>
      <c r="AK154" s="999"/>
      <c r="AL154" s="999"/>
      <c r="AM154" s="999"/>
      <c r="AN154" s="999"/>
      <c r="AO154" s="999"/>
      <c r="AP154" s="999"/>
    </row>
    <row r="155" spans="1:42">
      <c r="A155" s="999"/>
      <c r="B155" s="1198"/>
      <c r="C155" s="1535" t="str">
        <f>'FS Year'!B178</f>
        <v>Proceeds from Sale of Fixed-Assets:</v>
      </c>
      <c r="D155" s="1606">
        <v>153</v>
      </c>
      <c r="E155" s="1717"/>
      <c r="F155" s="1192"/>
      <c r="G155" s="1609"/>
      <c r="H155" s="1670">
        <f>'FS Year'!P178</f>
        <v>0.18</v>
      </c>
      <c r="I155" s="1670">
        <f>'FS Year'!Q178</f>
        <v>1.339965525</v>
      </c>
      <c r="J155" s="1670">
        <f>'FS Year'!R178</f>
        <v>1.2908073440000001</v>
      </c>
      <c r="K155" s="1670">
        <f>'FS Year'!S178</f>
        <v>2.0180753039999999</v>
      </c>
      <c r="L155" s="1670">
        <f>'FS Year'!T178</f>
        <v>1.10702067</v>
      </c>
      <c r="M155" s="1670">
        <f>'FS Year'!U178</f>
        <v>4.2174416399999997</v>
      </c>
      <c r="N155" s="1670">
        <f>'FS Year'!V178</f>
        <v>31.163790649999999</v>
      </c>
      <c r="O155" s="1670">
        <f>'FS Year'!W178</f>
        <v>54.661690192000002</v>
      </c>
      <c r="P155" s="1217">
        <f ca="1">P155</f>
        <v>0</v>
      </c>
      <c r="Q155" s="1217">
        <f ca="1">Q155</f>
        <v>0</v>
      </c>
      <c r="R155" s="1217">
        <f t="shared" ref="R155:U155" ca="1" si="300">R155</f>
        <v>0</v>
      </c>
      <c r="S155" s="1217">
        <f t="shared" ca="1" si="300"/>
        <v>0</v>
      </c>
      <c r="T155" s="1217">
        <f t="shared" ca="1" si="300"/>
        <v>0</v>
      </c>
      <c r="U155" s="1217">
        <f t="shared" ca="1" si="300"/>
        <v>0</v>
      </c>
      <c r="V155" s="1217"/>
      <c r="W155" s="999"/>
      <c r="X155" s="999"/>
      <c r="Y155" s="999"/>
      <c r="Z155" s="999"/>
      <c r="AA155" s="999"/>
      <c r="AB155" s="999"/>
      <c r="AC155" s="1189"/>
      <c r="AD155" s="1189"/>
      <c r="AE155" s="1189"/>
      <c r="AF155" s="1189"/>
      <c r="AG155" s="1189"/>
      <c r="AH155" s="1189"/>
      <c r="AI155" s="1189"/>
      <c r="AJ155" s="999"/>
      <c r="AK155" s="999"/>
      <c r="AL155" s="999"/>
      <c r="AM155" s="999"/>
      <c r="AN155" s="999"/>
      <c r="AO155" s="999"/>
      <c r="AP155" s="999"/>
    </row>
    <row r="156" spans="1:42">
      <c r="A156" s="999"/>
      <c r="B156" s="1198"/>
      <c r="C156" s="1535" t="str">
        <f>'FS Year'!B179</f>
        <v>Loans Granted, Purchases Of Debt Instruments</v>
      </c>
      <c r="D156" s="1606">
        <v>154</v>
      </c>
      <c r="E156" s="1717"/>
      <c r="F156" s="1192"/>
      <c r="G156" s="1609"/>
      <c r="H156" s="1670">
        <f>'FS Year'!P179</f>
        <v>-210.28</v>
      </c>
      <c r="I156" s="1670">
        <f>'FS Year'!Q179</f>
        <v>-85.922451738999996</v>
      </c>
      <c r="J156" s="1670">
        <f>'FS Year'!R179</f>
        <v>-8997.4698630149996</v>
      </c>
      <c r="K156" s="1670">
        <f>'FS Year'!S179</f>
        <v>-11512.468958904001</v>
      </c>
      <c r="L156" s="1670">
        <f>'FS Year'!T179</f>
        <v>-19225.219180044998</v>
      </c>
      <c r="M156" s="1670">
        <f>'FS Year'!U179</f>
        <v>-20799.134065331</v>
      </c>
      <c r="N156" s="1670">
        <f>'FS Year'!V179</f>
        <v>-34151.374180637002</v>
      </c>
      <c r="O156" s="1670">
        <f>'FS Year'!W179</f>
        <v>-46828.379807220997</v>
      </c>
      <c r="P156" s="1217">
        <v>0</v>
      </c>
      <c r="Q156" s="1217">
        <v>0</v>
      </c>
      <c r="R156" s="1217">
        <v>0</v>
      </c>
      <c r="S156" s="1217">
        <v>0</v>
      </c>
      <c r="T156" s="1217">
        <v>0</v>
      </c>
      <c r="U156" s="1217">
        <v>0</v>
      </c>
      <c r="V156" s="1217"/>
      <c r="W156" s="999"/>
      <c r="X156" s="999"/>
      <c r="Y156" s="999"/>
      <c r="Z156" s="999"/>
      <c r="AA156" s="999"/>
      <c r="AB156" s="999"/>
      <c r="AC156" s="1189"/>
      <c r="AD156" s="1189"/>
      <c r="AE156" s="1189"/>
      <c r="AF156" s="1189"/>
      <c r="AG156" s="1189"/>
      <c r="AH156" s="1189"/>
      <c r="AI156" s="1189"/>
      <c r="AJ156" s="999"/>
      <c r="AK156" s="999"/>
      <c r="AL156" s="999"/>
      <c r="AM156" s="999"/>
      <c r="AN156" s="999"/>
      <c r="AO156" s="999"/>
      <c r="AP156" s="999"/>
    </row>
    <row r="157" spans="1:42">
      <c r="A157" s="999"/>
      <c r="B157" s="1198"/>
      <c r="C157" s="1535" t="str">
        <f>'FS Year'!B180</f>
        <v>Collection Of Loans, Proceeds From Sales Of Debts Instruments</v>
      </c>
      <c r="D157" s="1606">
        <v>155</v>
      </c>
      <c r="E157" s="1717"/>
      <c r="F157" s="1192"/>
      <c r="G157" s="1609"/>
      <c r="H157" s="1670">
        <f>'FS Year'!P180</f>
        <v>125.58</v>
      </c>
      <c r="I157" s="1670">
        <f>'FS Year'!Q180</f>
        <v>0</v>
      </c>
      <c r="J157" s="1670">
        <f>'FS Year'!R180</f>
        <v>5911.3923147539999</v>
      </c>
      <c r="K157" s="1670">
        <f>'FS Year'!S180</f>
        <v>6512.1501369859998</v>
      </c>
      <c r="L157" s="1670">
        <f>'FS Year'!T180</f>
        <v>12163.993969618001</v>
      </c>
      <c r="M157" s="1670">
        <f>'FS Year'!U180</f>
        <v>25851.966071069</v>
      </c>
      <c r="N157" s="1670">
        <f>'FS Year'!V180</f>
        <v>22805.115462453999</v>
      </c>
      <c r="O157" s="1670">
        <f>'FS Year'!W180</f>
        <v>33758.394199590002</v>
      </c>
      <c r="P157" s="1217">
        <f ca="1">-(P8-O8)</f>
        <v>-2500</v>
      </c>
      <c r="Q157" s="1217">
        <f ca="1">-(Q8-P8)</f>
        <v>0</v>
      </c>
      <c r="R157" s="1217">
        <f t="shared" ref="R157" ca="1" si="301">-(R8-Q8)</f>
        <v>0</v>
      </c>
      <c r="S157" s="1217">
        <f t="shared" ref="S157:U157" ca="1" si="302">-(S8-R8)</f>
        <v>0</v>
      </c>
      <c r="T157" s="1217">
        <f t="shared" ca="1" si="302"/>
        <v>0</v>
      </c>
      <c r="U157" s="1217">
        <f t="shared" ca="1" si="302"/>
        <v>0</v>
      </c>
      <c r="V157" s="1217"/>
      <c r="W157" s="999"/>
      <c r="X157" s="999"/>
      <c r="Y157" s="999"/>
      <c r="Z157" s="999"/>
      <c r="AA157" s="999"/>
      <c r="AB157" s="999"/>
      <c r="AC157" s="1189"/>
      <c r="AD157" s="1189"/>
      <c r="AE157" s="1189"/>
      <c r="AF157" s="1189"/>
      <c r="AG157" s="1189"/>
      <c r="AH157" s="1189"/>
      <c r="AI157" s="1189"/>
      <c r="AJ157" s="999"/>
      <c r="AK157" s="999"/>
      <c r="AL157" s="999"/>
      <c r="AM157" s="999"/>
      <c r="AN157" s="999"/>
      <c r="AO157" s="999"/>
      <c r="AP157" s="999"/>
    </row>
    <row r="158" spans="1:42">
      <c r="A158" s="999"/>
      <c r="B158" s="1198"/>
      <c r="C158" s="1535" t="str">
        <f>'FS Year'!B181</f>
        <v>Investments In Other Entities</v>
      </c>
      <c r="D158" s="1606">
        <v>156</v>
      </c>
      <c r="E158" s="1717"/>
      <c r="F158" s="1192"/>
      <c r="G158" s="1192"/>
      <c r="H158" s="1670">
        <f>'FS Year'!P181</f>
        <v>0</v>
      </c>
      <c r="I158" s="1670">
        <f>'FS Year'!Q181</f>
        <v>-828.16647014099999</v>
      </c>
      <c r="J158" s="1670">
        <f>'FS Year'!R181</f>
        <v>0</v>
      </c>
      <c r="K158" s="1670">
        <f>'FS Year'!S181</f>
        <v>0</v>
      </c>
      <c r="L158" s="1670">
        <f>'FS Year'!T181</f>
        <v>-16.385001737</v>
      </c>
      <c r="M158" s="1670">
        <f>'FS Year'!U181</f>
        <v>-181.03484</v>
      </c>
      <c r="N158" s="1670">
        <f>'FS Year'!V181</f>
        <v>-105.597412729</v>
      </c>
      <c r="O158" s="1670">
        <f>'FS Year'!W181</f>
        <v>0</v>
      </c>
      <c r="P158" s="1217">
        <v>0</v>
      </c>
      <c r="Q158" s="1217">
        <v>0</v>
      </c>
      <c r="R158" s="1217">
        <v>0</v>
      </c>
      <c r="S158" s="1217">
        <v>0</v>
      </c>
      <c r="T158" s="1217">
        <v>0</v>
      </c>
      <c r="U158" s="1217">
        <v>0</v>
      </c>
      <c r="V158" s="1217"/>
      <c r="W158" s="999"/>
      <c r="X158" s="999"/>
      <c r="Y158" s="999"/>
      <c r="Z158" s="999"/>
      <c r="AA158" s="999"/>
      <c r="AB158" s="999"/>
      <c r="AC158" s="1189"/>
      <c r="AD158" s="1189"/>
      <c r="AE158" s="1189"/>
      <c r="AF158" s="1189"/>
      <c r="AG158" s="1189"/>
      <c r="AH158" s="1189"/>
      <c r="AI158" s="1189"/>
      <c r="AJ158" s="999"/>
      <c r="AK158" s="999"/>
      <c r="AL158" s="999"/>
      <c r="AM158" s="999"/>
      <c r="AN158" s="999"/>
      <c r="AO158" s="999"/>
      <c r="AP158" s="999"/>
    </row>
    <row r="159" spans="1:42">
      <c r="A159" s="999"/>
      <c r="B159" s="1198"/>
      <c r="C159" s="1535" t="str">
        <f>'FS Year'!B182</f>
        <v>Proceeds From Divestment In Other Entities</v>
      </c>
      <c r="D159" s="1606">
        <v>157</v>
      </c>
      <c r="E159" s="1717"/>
      <c r="F159" s="1192"/>
      <c r="G159" s="1609"/>
      <c r="H159" s="1670">
        <f>'FS Year'!P182</f>
        <v>0</v>
      </c>
      <c r="I159" s="1670">
        <f>'FS Year'!Q182</f>
        <v>0</v>
      </c>
      <c r="J159" s="1670">
        <f>'FS Year'!R182</f>
        <v>0</v>
      </c>
      <c r="K159" s="1670">
        <f>'FS Year'!S182</f>
        <v>0</v>
      </c>
      <c r="L159" s="1670">
        <f>'FS Year'!T182</f>
        <v>796.62646801100004</v>
      </c>
      <c r="M159" s="1670">
        <f>'FS Year'!U182</f>
        <v>0</v>
      </c>
      <c r="N159" s="1670">
        <f>'FS Year'!V182</f>
        <v>0</v>
      </c>
      <c r="O159" s="1670">
        <f>'FS Year'!W182</f>
        <v>0</v>
      </c>
      <c r="P159" s="1217">
        <f>-P141</f>
        <v>0</v>
      </c>
      <c r="Q159" s="1217">
        <f>-Q141</f>
        <v>0</v>
      </c>
      <c r="R159" s="1217">
        <f t="shared" ref="R159" si="303">-R141</f>
        <v>0</v>
      </c>
      <c r="S159" s="1217">
        <f t="shared" ref="S159:U159" si="304">-S141</f>
        <v>0</v>
      </c>
      <c r="T159" s="1217">
        <f t="shared" si="304"/>
        <v>0</v>
      </c>
      <c r="U159" s="1217">
        <f t="shared" si="304"/>
        <v>0</v>
      </c>
      <c r="V159" s="1217"/>
      <c r="W159" s="999"/>
      <c r="X159" s="999"/>
      <c r="Y159" s="999"/>
      <c r="Z159" s="999"/>
      <c r="AA159" s="999"/>
      <c r="AB159" s="999"/>
      <c r="AC159" s="1189"/>
      <c r="AD159" s="1189"/>
      <c r="AE159" s="1189"/>
      <c r="AF159" s="1189"/>
      <c r="AG159" s="1189"/>
      <c r="AH159" s="1189"/>
      <c r="AI159" s="1189"/>
      <c r="AJ159" s="999"/>
      <c r="AK159" s="999"/>
      <c r="AL159" s="999"/>
      <c r="AM159" s="999"/>
      <c r="AN159" s="999"/>
      <c r="AO159" s="999"/>
      <c r="AP159" s="999"/>
    </row>
    <row r="160" spans="1:42">
      <c r="A160" s="999"/>
      <c r="B160" s="1198"/>
      <c r="C160" s="1535" t="str">
        <f>'FS Year'!B183</f>
        <v>Dividends And Interest Received</v>
      </c>
      <c r="D160" s="1606">
        <v>158</v>
      </c>
      <c r="E160" s="1717"/>
      <c r="F160" s="1192"/>
      <c r="G160" s="1192"/>
      <c r="H160" s="1670">
        <f>'FS Year'!P183</f>
        <v>29.374580928</v>
      </c>
      <c r="I160" s="1670">
        <f>'FS Year'!Q183</f>
        <v>64.286835061000005</v>
      </c>
      <c r="J160" s="1670">
        <f>'FS Year'!R183</f>
        <v>278.94626480400001</v>
      </c>
      <c r="K160" s="1670">
        <f>'FS Year'!S183</f>
        <v>335.39801398899999</v>
      </c>
      <c r="L160" s="1670">
        <f>'FS Year'!T183</f>
        <v>1.883709063</v>
      </c>
      <c r="M160" s="1670">
        <f>'FS Year'!U183</f>
        <v>1137.5426215570001</v>
      </c>
      <c r="N160" s="1670">
        <f>'FS Year'!V183</f>
        <v>1112.6679741139999</v>
      </c>
      <c r="O160" s="1670">
        <f>'FS Year'!W183</f>
        <v>2375.7860744169998</v>
      </c>
      <c r="P160" s="1217">
        <v>0</v>
      </c>
      <c r="Q160" s="1217">
        <v>0</v>
      </c>
      <c r="R160" s="1217">
        <v>0</v>
      </c>
      <c r="S160" s="1217">
        <v>0</v>
      </c>
      <c r="T160" s="1217">
        <v>0</v>
      </c>
      <c r="U160" s="1217">
        <v>0</v>
      </c>
      <c r="V160" s="1217"/>
      <c r="W160" s="999"/>
      <c r="X160" s="999"/>
      <c r="Y160" s="999"/>
      <c r="Z160" s="999"/>
      <c r="AA160" s="999"/>
      <c r="AB160" s="999"/>
      <c r="AC160" s="1189"/>
      <c r="AD160" s="1189"/>
      <c r="AE160" s="1189"/>
      <c r="AF160" s="1189"/>
      <c r="AG160" s="1189"/>
      <c r="AH160" s="1189"/>
      <c r="AI160" s="1189"/>
      <c r="AJ160" s="999"/>
      <c r="AK160" s="999"/>
      <c r="AL160" s="999"/>
      <c r="AM160" s="999"/>
      <c r="AN160" s="999"/>
      <c r="AO160" s="999"/>
      <c r="AP160" s="999"/>
    </row>
    <row r="161" spans="1:42">
      <c r="A161" s="999"/>
      <c r="B161" s="1001" t="s">
        <v>339</v>
      </c>
      <c r="C161" s="1614" t="s">
        <v>587</v>
      </c>
      <c r="D161" s="1606">
        <v>159</v>
      </c>
      <c r="E161" s="1717"/>
      <c r="F161" s="1192"/>
      <c r="G161" s="1192"/>
      <c r="H161" s="1670">
        <f>SUM(H155:H160)</f>
        <v>-55.145419071999996</v>
      </c>
      <c r="I161" s="1670">
        <f t="shared" ref="I161:P161" si="305">SUM(I155:I160)</f>
        <v>-848.46212129399999</v>
      </c>
      <c r="J161" s="1670">
        <f t="shared" si="305"/>
        <v>-2805.8404761130005</v>
      </c>
      <c r="K161" s="1670">
        <f>SUM(K155:K160)</f>
        <v>-4662.9027326250007</v>
      </c>
      <c r="L161" s="1670">
        <f>SUM(L155:L160)</f>
        <v>-6277.993014419998</v>
      </c>
      <c r="M161" s="1670">
        <f>SUM(M155:M160)</f>
        <v>6013.5572289350021</v>
      </c>
      <c r="N161" s="1670">
        <f>SUM(N155:N160)</f>
        <v>-10308.024366148005</v>
      </c>
      <c r="O161" s="1670">
        <f>SUM(O155:O160)</f>
        <v>-10639.537843021997</v>
      </c>
      <c r="P161" s="1726">
        <f t="shared" ca="1" si="305"/>
        <v>-2500</v>
      </c>
      <c r="Q161" s="1726">
        <f ca="1">SUM(Q155:Q160)</f>
        <v>0</v>
      </c>
      <c r="R161" s="1726">
        <f t="shared" ref="R161" ca="1" si="306">SUM(R155:R160)</f>
        <v>0</v>
      </c>
      <c r="S161" s="1726">
        <f t="shared" ref="S161" ca="1" si="307">SUM(S155:S160)</f>
        <v>0</v>
      </c>
      <c r="T161" s="1726">
        <f t="shared" ref="T161" ca="1" si="308">SUM(T155:T160)</f>
        <v>0</v>
      </c>
      <c r="U161" s="1726">
        <f t="shared" ref="U161" ca="1" si="309">SUM(U155:U160)</f>
        <v>0</v>
      </c>
      <c r="V161" s="1726"/>
      <c r="W161" s="999"/>
      <c r="X161" s="999"/>
      <c r="Y161" s="999"/>
      <c r="Z161" s="999"/>
      <c r="AA161" s="999"/>
      <c r="AB161" s="999"/>
      <c r="AC161" s="1189"/>
      <c r="AD161" s="1189"/>
      <c r="AE161" s="1189"/>
      <c r="AF161" s="1189"/>
      <c r="AG161" s="1189"/>
      <c r="AH161" s="1189"/>
      <c r="AI161" s="1189"/>
      <c r="AJ161" s="999"/>
      <c r="AK161" s="999"/>
      <c r="AL161" s="999"/>
      <c r="AM161" s="999"/>
      <c r="AN161" s="999"/>
      <c r="AO161" s="999"/>
      <c r="AP161" s="999"/>
    </row>
    <row r="162" spans="1:42">
      <c r="A162" s="999"/>
      <c r="B162" s="1001" t="s">
        <v>341</v>
      </c>
      <c r="C162" s="1621" t="s">
        <v>590</v>
      </c>
      <c r="D162" s="1606">
        <v>160</v>
      </c>
      <c r="E162" s="1234"/>
      <c r="F162" s="1192"/>
      <c r="G162" s="1654"/>
      <c r="H162" s="1622">
        <f t="shared" ref="H162:N162" si="310">SUM(H154:H160)</f>
        <v>-2120.2149864820008</v>
      </c>
      <c r="I162" s="1622">
        <f t="shared" si="310"/>
        <v>-2344.3940403319998</v>
      </c>
      <c r="J162" s="1622">
        <f t="shared" si="310"/>
        <v>-5872.7616402530002</v>
      </c>
      <c r="K162" s="1622">
        <f t="shared" si="310"/>
        <v>-8574.2608926270004</v>
      </c>
      <c r="L162" s="1622">
        <f t="shared" si="310"/>
        <v>-11254.869604435999</v>
      </c>
      <c r="M162" s="1622">
        <f t="shared" si="310"/>
        <v>1601.9975435459999</v>
      </c>
      <c r="N162" s="1622">
        <f t="shared" si="310"/>
        <v>-10831.407696941998</v>
      </c>
      <c r="O162" s="1622">
        <f t="shared" ref="O162" si="311">SUM(O154:O160)</f>
        <v>-10943.285670416994</v>
      </c>
      <c r="P162" s="1725">
        <f ca="1">SUM(P154:P160)</f>
        <v>-4844.22</v>
      </c>
      <c r="Q162" s="1725">
        <f ca="1">SUM(Q154:Q160)</f>
        <v>-2268.84</v>
      </c>
      <c r="R162" s="1725">
        <f t="shared" ref="R162" ca="1" si="312">SUM(R154:R160)</f>
        <v>-2031.02</v>
      </c>
      <c r="S162" s="1725">
        <f t="shared" ref="S162:U162" ca="1" si="313">SUM(S154:S160)</f>
        <v>0</v>
      </c>
      <c r="T162" s="1725">
        <f t="shared" ca="1" si="313"/>
        <v>0</v>
      </c>
      <c r="U162" s="1725">
        <f t="shared" ca="1" si="313"/>
        <v>0</v>
      </c>
      <c r="V162" s="1725"/>
      <c r="W162" s="999"/>
      <c r="X162" s="999"/>
      <c r="Y162" s="999"/>
      <c r="Z162" s="999"/>
      <c r="AA162" s="999"/>
      <c r="AB162" s="999"/>
      <c r="AC162" s="1189"/>
      <c r="AD162" s="1189"/>
      <c r="AE162" s="1189"/>
      <c r="AF162" s="1189"/>
      <c r="AG162" s="1189"/>
      <c r="AH162" s="1189"/>
      <c r="AI162" s="1189"/>
      <c r="AJ162" s="999"/>
      <c r="AK162" s="999"/>
      <c r="AL162" s="999"/>
      <c r="AM162" s="999"/>
      <c r="AN162" s="999"/>
      <c r="AO162" s="999"/>
      <c r="AP162" s="999"/>
    </row>
    <row r="163" spans="1:42">
      <c r="A163" s="999"/>
      <c r="B163" s="1198"/>
      <c r="C163" s="1621"/>
      <c r="D163" s="1606">
        <v>161</v>
      </c>
      <c r="E163" s="1234"/>
      <c r="F163" s="1192"/>
      <c r="G163" s="1727"/>
      <c r="H163" s="1728"/>
      <c r="I163" s="1728"/>
      <c r="J163" s="1192"/>
      <c r="K163" s="1192"/>
      <c r="L163" s="1192"/>
      <c r="M163" s="1192"/>
      <c r="N163" s="1192"/>
      <c r="O163" s="1192"/>
      <c r="P163" s="999"/>
      <c r="Q163" s="999"/>
      <c r="R163" s="999"/>
      <c r="S163" s="999"/>
      <c r="T163" s="999"/>
      <c r="U163" s="999"/>
      <c r="V163" s="999"/>
      <c r="W163" s="999"/>
      <c r="X163" s="999"/>
      <c r="Y163" s="999"/>
      <c r="Z163" s="999"/>
      <c r="AA163" s="999"/>
      <c r="AB163" s="999"/>
      <c r="AC163" s="1189"/>
      <c r="AD163" s="1189"/>
      <c r="AE163" s="1189"/>
      <c r="AF163" s="1189"/>
      <c r="AG163" s="1189"/>
      <c r="AH163" s="1189"/>
      <c r="AI163" s="1189"/>
      <c r="AJ163" s="999"/>
      <c r="AK163" s="999"/>
      <c r="AL163" s="999"/>
      <c r="AM163" s="999"/>
      <c r="AN163" s="999"/>
      <c r="AO163" s="999"/>
      <c r="AP163" s="999"/>
    </row>
    <row r="164" spans="1:42">
      <c r="A164" s="999"/>
      <c r="B164" s="1001" t="s">
        <v>349</v>
      </c>
      <c r="C164" s="1000" t="s">
        <v>591</v>
      </c>
      <c r="D164" s="1606">
        <v>162</v>
      </c>
      <c r="E164" s="1204"/>
      <c r="F164" s="1192"/>
      <c r="G164" s="1633"/>
      <c r="H164" s="1729">
        <f>SUM(H166:H169)</f>
        <v>2102.255479575997</v>
      </c>
      <c r="I164" s="1729">
        <f>SUM(I166:I169)</f>
        <v>907.58178360399688</v>
      </c>
      <c r="J164" s="1729">
        <f>SUM(J166:J169)</f>
        <v>7189.5952693750078</v>
      </c>
      <c r="K164" s="1729">
        <f t="shared" ref="K164:P164" si="314">SUM(K166:K172)</f>
        <v>2014.4153807320004</v>
      </c>
      <c r="L164" s="1729">
        <f>SUM(L166:L172)</f>
        <v>7877.4908791500047</v>
      </c>
      <c r="M164" s="1729">
        <f>SUM(M166:M172)</f>
        <v>-8606.3435209180043</v>
      </c>
      <c r="N164" s="1729">
        <f>SUM(N166:N172)</f>
        <v>7699.7831028249966</v>
      </c>
      <c r="O164" s="1729">
        <f>SUM(O166:O172)</f>
        <v>2757.4755136919821</v>
      </c>
      <c r="P164" s="1730">
        <f t="shared" ca="1" si="314"/>
        <v>-2216.0223229999983</v>
      </c>
      <c r="Q164" s="1730">
        <f ca="1">SUM(Q166:Q172)</f>
        <v>-1468.4567630000001</v>
      </c>
      <c r="R164" s="1730">
        <f t="shared" ref="R164" ca="1" si="315">SUM(R166:R172)</f>
        <v>-1468.4567630000001</v>
      </c>
      <c r="S164" s="1730">
        <f t="shared" ref="S164:U164" ca="1" si="316">SUM(S166:S172)</f>
        <v>-1468.4567630000001</v>
      </c>
      <c r="T164" s="1730">
        <f t="shared" ca="1" si="316"/>
        <v>-1468.4567630000001</v>
      </c>
      <c r="U164" s="1730">
        <f t="shared" ca="1" si="316"/>
        <v>-1468.4567630000001</v>
      </c>
      <c r="V164" s="1730"/>
      <c r="W164" s="999"/>
      <c r="X164" s="999"/>
      <c r="Y164" s="999"/>
      <c r="Z164" s="999"/>
      <c r="AA164" s="999"/>
      <c r="AB164" s="999"/>
      <c r="AC164" s="1189"/>
      <c r="AD164" s="1189"/>
      <c r="AE164" s="1189"/>
      <c r="AF164" s="1189"/>
      <c r="AG164" s="1189"/>
      <c r="AH164" s="1189"/>
      <c r="AI164" s="1189"/>
      <c r="AJ164" s="999"/>
      <c r="AK164" s="999"/>
      <c r="AL164" s="999"/>
      <c r="AM164" s="999"/>
      <c r="AN164" s="999"/>
      <c r="AO164" s="999"/>
      <c r="AP164" s="999"/>
    </row>
    <row r="165" spans="1:42">
      <c r="A165" s="999"/>
      <c r="B165" s="1001" t="s">
        <v>347</v>
      </c>
      <c r="C165" s="1731" t="s">
        <v>592</v>
      </c>
      <c r="D165" s="1606">
        <v>163</v>
      </c>
      <c r="E165" s="1717"/>
      <c r="F165" s="1192"/>
      <c r="G165" s="1609"/>
      <c r="H165" s="1609">
        <f t="shared" ref="H165:M165" si="317">SUM(H168:H169)</f>
        <v>2009.7889995759979</v>
      </c>
      <c r="I165" s="1609">
        <f t="shared" si="317"/>
        <v>202.956416402998</v>
      </c>
      <c r="J165" s="1609">
        <f t="shared" si="317"/>
        <v>7103.9905093750058</v>
      </c>
      <c r="K165" s="1609">
        <f t="shared" si="317"/>
        <v>2594.1647017319992</v>
      </c>
      <c r="L165" s="1609">
        <f t="shared" si="317"/>
        <v>7891.0772902130047</v>
      </c>
      <c r="M165" s="1609">
        <f t="shared" si="317"/>
        <v>-8062.0914359180024</v>
      </c>
      <c r="N165" s="1609">
        <f>SUM(N168:N169)</f>
        <v>8440.4031863249984</v>
      </c>
      <c r="O165" s="1609">
        <f>SUM(O168:O169)</f>
        <v>1725.9406591499865</v>
      </c>
      <c r="P165" s="1634">
        <f ca="1">P36-O36+P294</f>
        <v>203.5187401141344</v>
      </c>
      <c r="Q165" s="1634">
        <f ca="1">Q36-P36+Q294</f>
        <v>37.592562443811055</v>
      </c>
      <c r="R165" s="1634">
        <f t="shared" ref="R165" ca="1" si="318">R36-Q36+R294</f>
        <v>8.0583291516008835</v>
      </c>
      <c r="S165" s="1634">
        <f t="shared" ref="S165:U165" ca="1" si="319">S36-R36+S294</f>
        <v>-53.773772974483386</v>
      </c>
      <c r="T165" s="1634">
        <f t="shared" ca="1" si="319"/>
        <v>-141.71604542786048</v>
      </c>
      <c r="U165" s="1634">
        <f t="shared" ca="1" si="319"/>
        <v>-253.21522983210482</v>
      </c>
      <c r="V165" s="1634"/>
      <c r="W165" s="999"/>
      <c r="X165" s="999"/>
      <c r="Y165" s="999"/>
      <c r="Z165" s="999"/>
      <c r="AA165" s="999"/>
      <c r="AB165" s="999"/>
      <c r="AC165" s="1189"/>
      <c r="AD165" s="1189"/>
      <c r="AE165" s="1189"/>
      <c r="AF165" s="1189"/>
      <c r="AG165" s="1189"/>
      <c r="AH165" s="1189"/>
      <c r="AI165" s="1189"/>
      <c r="AJ165" s="999"/>
      <c r="AK165" s="999"/>
      <c r="AL165" s="999"/>
      <c r="AM165" s="999"/>
      <c r="AN165" s="999"/>
      <c r="AO165" s="999"/>
      <c r="AP165" s="999"/>
    </row>
    <row r="166" spans="1:42">
      <c r="A166" s="999"/>
      <c r="B166" s="1198"/>
      <c r="C166" s="1535" t="str">
        <f>'FS Year'!B185</f>
        <v>Proceeds from Issuance of Common Stock</v>
      </c>
      <c r="D166" s="1606">
        <v>164</v>
      </c>
      <c r="E166" s="1717"/>
      <c r="F166" s="1192"/>
      <c r="G166" s="1609"/>
      <c r="H166" s="1670">
        <f>'FS Year'!P185</f>
        <v>92.466480000000004</v>
      </c>
      <c r="I166" s="1670">
        <f>'FS Year'!Q185</f>
        <v>705.355067201</v>
      </c>
      <c r="J166" s="1670">
        <f>'FS Year'!R185</f>
        <v>90.454819999999998</v>
      </c>
      <c r="K166" s="1670">
        <f>'FS Year'!S185</f>
        <v>105.20045</v>
      </c>
      <c r="L166" s="1670">
        <f>'FS Year'!T185</f>
        <v>228.25303</v>
      </c>
      <c r="M166" s="1670">
        <f>'FS Year'!U185</f>
        <v>192.62836999999999</v>
      </c>
      <c r="N166" s="1670">
        <f>'FS Year'!V185</f>
        <v>0.44322</v>
      </c>
      <c r="O166" s="1670">
        <f>'FS Year'!W185</f>
        <v>1771.634338542</v>
      </c>
      <c r="P166" s="1217">
        <f ca="1">SUM(P44:P45)-SUM(O44:O45)</f>
        <v>62.125860000001921</v>
      </c>
      <c r="Q166" s="1217">
        <f ca="1">SUM(Q44:Q45)-SUM(P44:P45)</f>
        <v>0</v>
      </c>
      <c r="R166" s="1217">
        <f t="shared" ref="R166" ca="1" si="320">SUM(R44:R45)-SUM(Q44:Q45)</f>
        <v>0</v>
      </c>
      <c r="S166" s="1217">
        <f t="shared" ref="S166:U166" ca="1" si="321">SUM(S44:S45)-SUM(R44:R45)</f>
        <v>0</v>
      </c>
      <c r="T166" s="1217">
        <f t="shared" ca="1" si="321"/>
        <v>0</v>
      </c>
      <c r="U166" s="1217">
        <f t="shared" ca="1" si="321"/>
        <v>0</v>
      </c>
      <c r="V166" s="1217"/>
      <c r="W166" s="999"/>
      <c r="X166" s="999"/>
      <c r="Y166" s="999"/>
      <c r="Z166" s="999"/>
      <c r="AA166" s="999"/>
      <c r="AB166" s="999"/>
      <c r="AC166" s="1189"/>
      <c r="AD166" s="1189"/>
      <c r="AE166" s="1189"/>
      <c r="AF166" s="1189"/>
      <c r="AG166" s="1189"/>
      <c r="AH166" s="1189"/>
      <c r="AI166" s="1189"/>
      <c r="AJ166" s="999"/>
      <c r="AK166" s="999"/>
      <c r="AL166" s="999"/>
      <c r="AM166" s="999"/>
      <c r="AN166" s="999"/>
      <c r="AO166" s="999"/>
      <c r="AP166" s="999"/>
    </row>
    <row r="167" spans="1:42">
      <c r="A167" s="999"/>
      <c r="B167" s="1198"/>
      <c r="C167" s="1535" t="str">
        <f>'FS Year'!B186</f>
        <v>Repurchases of Common Stock</v>
      </c>
      <c r="D167" s="1606">
        <v>165</v>
      </c>
      <c r="E167" s="1717"/>
      <c r="F167" s="1192"/>
      <c r="G167" s="1609"/>
      <c r="H167" s="1670">
        <f>'FS Year'!P186</f>
        <v>0</v>
      </c>
      <c r="I167" s="1670">
        <f>'FS Year'!Q186</f>
        <v>-0.72970000000000002</v>
      </c>
      <c r="J167" s="1670">
        <f>'FS Year'!R186</f>
        <v>-4.85006</v>
      </c>
      <c r="K167" s="1670">
        <f>'FS Year'!S186</f>
        <v>-6.0409300000000004</v>
      </c>
      <c r="L167" s="1670">
        <f>'FS Year'!T186</f>
        <v>-2.3199999999999998</v>
      </c>
      <c r="M167" s="1670">
        <f>'FS Year'!U186</f>
        <v>-5.0256400000000001</v>
      </c>
      <c r="N167" s="1670">
        <f>'FS Year'!V186</f>
        <v>-9.7832799999999995</v>
      </c>
      <c r="O167" s="1670">
        <f>'FS Year'!W186</f>
        <v>-9.1417900000000003</v>
      </c>
      <c r="P167" s="1217">
        <v>-809.69141999999999</v>
      </c>
      <c r="Q167" s="1217">
        <v>0</v>
      </c>
      <c r="R167" s="1217">
        <v>0</v>
      </c>
      <c r="S167" s="1217">
        <v>0</v>
      </c>
      <c r="T167" s="1217">
        <v>0</v>
      </c>
      <c r="U167" s="1217">
        <v>0</v>
      </c>
      <c r="V167" s="1217"/>
      <c r="W167" s="999"/>
      <c r="X167" s="999"/>
      <c r="Y167" s="999"/>
      <c r="Z167" s="999"/>
      <c r="AA167" s="999"/>
      <c r="AB167" s="999"/>
      <c r="AC167" s="1189"/>
      <c r="AD167" s="1189"/>
      <c r="AE167" s="1189"/>
      <c r="AF167" s="1189"/>
      <c r="AG167" s="1189"/>
      <c r="AH167" s="1189"/>
      <c r="AI167" s="1189"/>
      <c r="AJ167" s="999"/>
      <c r="AK167" s="999"/>
      <c r="AL167" s="999"/>
      <c r="AM167" s="999"/>
      <c r="AN167" s="999"/>
      <c r="AO167" s="999"/>
      <c r="AP167" s="999"/>
    </row>
    <row r="168" spans="1:42">
      <c r="A168" s="999"/>
      <c r="B168" s="1198"/>
      <c r="C168" s="1535" t="str">
        <f>'FS Year'!B187</f>
        <v>Proceeds From Borrowings</v>
      </c>
      <c r="D168" s="1606">
        <v>166</v>
      </c>
      <c r="E168" s="1717"/>
      <c r="F168" s="1192"/>
      <c r="G168" s="1609"/>
      <c r="H168" s="1670">
        <f>'FS Year'!P187</f>
        <v>29465.789268691999</v>
      </c>
      <c r="I168" s="1670">
        <f>'FS Year'!Q187</f>
        <v>31893.805156671999</v>
      </c>
      <c r="J168" s="1670">
        <f>'FS Year'!R187</f>
        <v>45905.952301242003</v>
      </c>
      <c r="K168" s="1670">
        <f>'FS Year'!S187</f>
        <v>51168.161383883998</v>
      </c>
      <c r="L168" s="1670">
        <f>'FS Year'!T187</f>
        <v>63936.208247950002</v>
      </c>
      <c r="M168" s="1670">
        <f>'FS Year'!U187</f>
        <v>65251.647851080997</v>
      </c>
      <c r="N168" s="1670">
        <f>'FS Year'!V187</f>
        <v>70373.733043569999</v>
      </c>
      <c r="O168" s="1670">
        <f>'FS Year'!W187</f>
        <v>74756.279079532993</v>
      </c>
      <c r="P168" s="1217"/>
      <c r="Q168" s="1217"/>
      <c r="R168" s="1217"/>
      <c r="S168" s="1217"/>
      <c r="T168" s="1217"/>
      <c r="U168" s="1217"/>
      <c r="V168" s="1217"/>
      <c r="W168" s="999"/>
      <c r="X168" s="999"/>
      <c r="Y168" s="999"/>
      <c r="Z168" s="999"/>
      <c r="AA168" s="999"/>
      <c r="AB168" s="999"/>
      <c r="AC168" s="1189"/>
      <c r="AD168" s="1189"/>
      <c r="AE168" s="1189"/>
      <c r="AF168" s="1189"/>
      <c r="AG168" s="1189"/>
      <c r="AH168" s="1189"/>
      <c r="AI168" s="1189"/>
      <c r="AJ168" s="999"/>
      <c r="AK168" s="999"/>
      <c r="AL168" s="999"/>
      <c r="AM168" s="999"/>
      <c r="AN168" s="999"/>
      <c r="AO168" s="999"/>
      <c r="AP168" s="999"/>
    </row>
    <row r="169" spans="1:42">
      <c r="A169" s="999"/>
      <c r="B169" s="1198"/>
      <c r="C169" s="1535" t="str">
        <f>'FS Year'!B188</f>
        <v>Repayment Of Borrowings</v>
      </c>
      <c r="D169" s="1606">
        <v>167</v>
      </c>
      <c r="E169" s="1717"/>
      <c r="F169" s="1670"/>
      <c r="G169" s="1670"/>
      <c r="H169" s="1670">
        <f>'FS Year'!P188</f>
        <v>-27456.000269116001</v>
      </c>
      <c r="I169" s="1670">
        <f>'FS Year'!Q188</f>
        <v>-31690.848740269001</v>
      </c>
      <c r="J169" s="1670">
        <f>'FS Year'!R188</f>
        <v>-38801.961791866997</v>
      </c>
      <c r="K169" s="1670">
        <f>'FS Year'!S188</f>
        <v>-48573.996682151999</v>
      </c>
      <c r="L169" s="1670">
        <f>'FS Year'!T188</f>
        <v>-56045.130957736998</v>
      </c>
      <c r="M169" s="1670">
        <f>'FS Year'!U188</f>
        <v>-73313.739286999</v>
      </c>
      <c r="N169" s="1670">
        <f>'FS Year'!V188</f>
        <v>-61933.329857245</v>
      </c>
      <c r="O169" s="1670">
        <f>'FS Year'!W188</f>
        <v>-73030.338420383006</v>
      </c>
      <c r="P169" s="1217"/>
      <c r="Q169" s="1217"/>
      <c r="R169" s="1217"/>
      <c r="S169" s="1217"/>
      <c r="T169" s="1217"/>
      <c r="U169" s="1217"/>
      <c r="V169" s="1217"/>
      <c r="W169" s="999"/>
      <c r="X169" s="999"/>
      <c r="Y169" s="999"/>
      <c r="Z169" s="999"/>
      <c r="AA169" s="999"/>
      <c r="AB169" s="999"/>
      <c r="AC169" s="1189"/>
      <c r="AD169" s="1189"/>
      <c r="AE169" s="1189"/>
      <c r="AF169" s="1189"/>
      <c r="AG169" s="1189"/>
      <c r="AH169" s="1189"/>
      <c r="AI169" s="1189"/>
      <c r="AJ169" s="999"/>
      <c r="AK169" s="999"/>
      <c r="AL169" s="999"/>
      <c r="AM169" s="999"/>
      <c r="AN169" s="999"/>
      <c r="AO169" s="999"/>
      <c r="AP169" s="999"/>
    </row>
    <row r="170" spans="1:42">
      <c r="A170" s="999"/>
      <c r="B170" s="1001"/>
      <c r="C170" s="1535" t="str">
        <f>'FS Year'!B189</f>
        <v>Finance Lease Principal Payments</v>
      </c>
      <c r="D170" s="1606">
        <v>168</v>
      </c>
      <c r="E170" s="1717"/>
      <c r="F170" s="1192"/>
      <c r="G170" s="1609"/>
      <c r="H170" s="1670">
        <f>'FS Year'!P189</f>
        <v>0</v>
      </c>
      <c r="I170" s="1670">
        <f>'FS Year'!Q189</f>
        <v>0</v>
      </c>
      <c r="J170" s="1670">
        <f>'FS Year'!R189</f>
        <v>0</v>
      </c>
      <c r="K170" s="1670">
        <f>'FS Year'!S189</f>
        <v>0</v>
      </c>
      <c r="L170" s="1670">
        <f>'FS Year'!T189</f>
        <v>0</v>
      </c>
      <c r="M170" s="1670">
        <f>'FS Year'!U189</f>
        <v>0</v>
      </c>
      <c r="N170" s="1670">
        <f>'FS Year'!V189</f>
        <v>0</v>
      </c>
      <c r="O170" s="1670">
        <f>'FS Year'!W189</f>
        <v>0</v>
      </c>
      <c r="P170" s="1217">
        <v>0</v>
      </c>
      <c r="Q170" s="1217">
        <v>0</v>
      </c>
      <c r="R170" s="1217">
        <v>0</v>
      </c>
      <c r="S170" s="1217">
        <v>0</v>
      </c>
      <c r="T170" s="1217">
        <v>0</v>
      </c>
      <c r="U170" s="1217">
        <v>0</v>
      </c>
      <c r="V170" s="1217"/>
      <c r="W170" s="999"/>
      <c r="X170" s="999"/>
      <c r="Y170" s="999"/>
      <c r="Z170" s="999"/>
      <c r="AA170" s="999"/>
      <c r="AB170" s="999"/>
      <c r="AC170" s="1189"/>
      <c r="AD170" s="1189"/>
      <c r="AE170" s="1189"/>
      <c r="AF170" s="1189"/>
      <c r="AG170" s="1189"/>
      <c r="AH170" s="1189"/>
      <c r="AI170" s="1189"/>
      <c r="AJ170" s="999"/>
      <c r="AK170" s="999"/>
      <c r="AL170" s="999"/>
      <c r="AM170" s="999"/>
      <c r="AN170" s="999"/>
      <c r="AO170" s="999"/>
      <c r="AP170" s="999"/>
    </row>
    <row r="171" spans="1:42">
      <c r="A171" s="999"/>
      <c r="B171" s="1001" t="s">
        <v>345</v>
      </c>
      <c r="C171" s="1535" t="str">
        <f>'FS Year'!B190</f>
        <v>Dividends Paid</v>
      </c>
      <c r="D171" s="1606">
        <v>169</v>
      </c>
      <c r="E171" s="1717"/>
      <c r="F171" s="1192"/>
      <c r="G171" s="1609"/>
      <c r="H171" s="1670">
        <f>'FS Year'!P190</f>
        <v>-231.71892713</v>
      </c>
      <c r="I171" s="1670">
        <f>'FS Year'!Q190</f>
        <v>-485.86242682800003</v>
      </c>
      <c r="J171" s="1670">
        <f>'FS Year'!R190</f>
        <v>-665.09345318500004</v>
      </c>
      <c r="K171" s="1670">
        <f>'FS Year'!S190</f>
        <v>-678.90884100000005</v>
      </c>
      <c r="L171" s="1670">
        <f>'FS Year'!T190</f>
        <v>-239.51944106299999</v>
      </c>
      <c r="M171" s="1670">
        <f>'FS Year'!U190</f>
        <v>-731.85481500000003</v>
      </c>
      <c r="N171" s="1670">
        <f>'FS Year'!V190</f>
        <v>-731.28002349999997</v>
      </c>
      <c r="O171" s="1670">
        <f>'FS Year'!W190</f>
        <v>-730.95769399999995</v>
      </c>
      <c r="P171" s="1214">
        <f ca="1">-P268</f>
        <v>-1468.4567630000001</v>
      </c>
      <c r="Q171" s="1214">
        <f ca="1">-Q268</f>
        <v>-1468.4567630000001</v>
      </c>
      <c r="R171" s="1214">
        <f t="shared" ref="R171" ca="1" si="322">-R268</f>
        <v>-1468.4567630000001</v>
      </c>
      <c r="S171" s="1214">
        <f t="shared" ref="S171:U171" ca="1" si="323">-S268</f>
        <v>-1468.4567630000001</v>
      </c>
      <c r="T171" s="1214">
        <f t="shared" ca="1" si="323"/>
        <v>-1468.4567630000001</v>
      </c>
      <c r="U171" s="1214">
        <f t="shared" ca="1" si="323"/>
        <v>-1468.4567630000001</v>
      </c>
      <c r="V171" s="1214"/>
      <c r="W171" s="999"/>
      <c r="X171" s="999"/>
      <c r="Y171" s="999"/>
      <c r="Z171" s="999"/>
      <c r="AA171" s="999"/>
      <c r="AB171" s="999"/>
      <c r="AC171" s="1189"/>
      <c r="AD171" s="1189"/>
      <c r="AE171" s="1189"/>
      <c r="AF171" s="1189"/>
      <c r="AG171" s="1189"/>
      <c r="AH171" s="1189"/>
      <c r="AI171" s="1189"/>
      <c r="AJ171" s="999"/>
      <c r="AK171" s="999"/>
      <c r="AL171" s="999"/>
      <c r="AM171" s="999"/>
      <c r="AN171" s="999"/>
      <c r="AO171" s="999"/>
      <c r="AP171" s="999"/>
    </row>
    <row r="172" spans="1:42">
      <c r="A172" s="999"/>
      <c r="B172" s="1198"/>
      <c r="C172" s="1535" t="str">
        <f>'FS Year'!B191</f>
        <v>Interests, Dividends, Profits Received</v>
      </c>
      <c r="D172" s="1606">
        <v>170</v>
      </c>
      <c r="E172" s="1717"/>
      <c r="F172" s="1192"/>
      <c r="G172" s="1609"/>
      <c r="H172" s="1670">
        <f>'FS Year'!P191</f>
        <v>0</v>
      </c>
      <c r="I172" s="1670">
        <f>'FS Year'!Q191</f>
        <v>0</v>
      </c>
      <c r="J172" s="1670">
        <f>'FS Year'!R191</f>
        <v>0</v>
      </c>
      <c r="K172" s="1670">
        <f>'FS Year'!S191</f>
        <v>0</v>
      </c>
      <c r="L172" s="1670">
        <f>'FS Year'!T191</f>
        <v>0</v>
      </c>
      <c r="M172" s="1670">
        <f>'FS Year'!U191</f>
        <v>0</v>
      </c>
      <c r="N172" s="1670">
        <f>'FS Year'!V191</f>
        <v>0</v>
      </c>
      <c r="O172" s="1670">
        <f>'FS Year'!W191</f>
        <v>0</v>
      </c>
      <c r="P172" s="1216">
        <v>0</v>
      </c>
      <c r="Q172" s="1216">
        <v>0</v>
      </c>
      <c r="R172" s="1216">
        <v>0</v>
      </c>
      <c r="S172" s="1216">
        <v>0</v>
      </c>
      <c r="T172" s="1216">
        <v>0</v>
      </c>
      <c r="U172" s="1216">
        <v>0</v>
      </c>
      <c r="V172" s="1216"/>
      <c r="W172" s="999"/>
      <c r="X172" s="999"/>
      <c r="Y172" s="999"/>
      <c r="Z172" s="999"/>
      <c r="AA172" s="999"/>
      <c r="AB172" s="999"/>
      <c r="AC172" s="1189"/>
      <c r="AD172" s="1189"/>
      <c r="AE172" s="1189"/>
      <c r="AF172" s="1189"/>
      <c r="AG172" s="1189"/>
      <c r="AH172" s="1189"/>
      <c r="AI172" s="1189"/>
      <c r="AJ172" s="999"/>
      <c r="AK172" s="999"/>
      <c r="AL172" s="999"/>
      <c r="AM172" s="999"/>
      <c r="AN172" s="999"/>
      <c r="AO172" s="999"/>
      <c r="AP172" s="999"/>
    </row>
    <row r="173" spans="1:42">
      <c r="A173" s="999"/>
      <c r="B173" s="1001" t="s">
        <v>351</v>
      </c>
      <c r="C173" s="1611" t="s">
        <v>593</v>
      </c>
      <c r="D173" s="1606">
        <v>171</v>
      </c>
      <c r="E173" s="1732"/>
      <c r="F173" s="1192"/>
      <c r="G173" s="1654"/>
      <c r="H173" s="1622">
        <f t="shared" ref="H173:M173" si="324">SUM(H166:H172)</f>
        <v>1870.5365524459971</v>
      </c>
      <c r="I173" s="1622">
        <f t="shared" si="324"/>
        <v>421.71935677599686</v>
      </c>
      <c r="J173" s="1622">
        <f t="shared" si="324"/>
        <v>6524.501816190008</v>
      </c>
      <c r="K173" s="1622">
        <f t="shared" si="324"/>
        <v>2014.4153807320004</v>
      </c>
      <c r="L173" s="1622">
        <f t="shared" si="324"/>
        <v>7877.4908791500047</v>
      </c>
      <c r="M173" s="1622">
        <f t="shared" si="324"/>
        <v>-8606.3435209180043</v>
      </c>
      <c r="N173" s="1622">
        <f>SUM(N166:N172)</f>
        <v>7699.7831028249966</v>
      </c>
      <c r="O173" s="1622">
        <f>SUM(O166:O172)</f>
        <v>2757.4755136919821</v>
      </c>
      <c r="P173" s="1725">
        <f ca="1">SUM(P165:P172)</f>
        <v>-2012.5035828858638</v>
      </c>
      <c r="Q173" s="1725">
        <f ca="1">SUM(Q165:Q172)</f>
        <v>-1430.8642005561892</v>
      </c>
      <c r="R173" s="1725">
        <f t="shared" ref="R173" ca="1" si="325">SUM(R165:R172)</f>
        <v>-1460.3984338483992</v>
      </c>
      <c r="S173" s="1725">
        <f t="shared" ref="S173" ca="1" si="326">SUM(S165:S172)</f>
        <v>-1522.2305359744835</v>
      </c>
      <c r="T173" s="1725">
        <f t="shared" ref="T173" ca="1" si="327">SUM(T165:T172)</f>
        <v>-1610.1728084278607</v>
      </c>
      <c r="U173" s="1725">
        <f t="shared" ref="U173" ca="1" si="328">SUM(U165:U172)</f>
        <v>-1721.6719928321049</v>
      </c>
      <c r="V173" s="1725"/>
      <c r="W173" s="999"/>
      <c r="X173" s="999"/>
      <c r="Y173" s="999"/>
      <c r="Z173" s="999"/>
      <c r="AA173" s="999"/>
      <c r="AB173" s="999"/>
      <c r="AC173" s="1189"/>
      <c r="AD173" s="1189"/>
      <c r="AE173" s="1189"/>
      <c r="AF173" s="1189"/>
      <c r="AG173" s="1189"/>
      <c r="AH173" s="1189"/>
      <c r="AI173" s="1189"/>
      <c r="AJ173" s="999"/>
      <c r="AK173" s="999"/>
      <c r="AL173" s="999"/>
      <c r="AM173" s="999"/>
      <c r="AN173" s="999"/>
      <c r="AO173" s="999"/>
      <c r="AP173" s="999"/>
    </row>
    <row r="174" spans="1:42">
      <c r="A174" s="999"/>
      <c r="B174" s="1198"/>
      <c r="C174" s="1611"/>
      <c r="D174" s="1606">
        <v>172</v>
      </c>
      <c r="E174" s="1732"/>
      <c r="F174" s="1192"/>
      <c r="G174" s="1727"/>
      <c r="H174" s="1733"/>
      <c r="I174" s="1733"/>
      <c r="J174" s="1733"/>
      <c r="K174" s="1733"/>
      <c r="L174" s="1733"/>
      <c r="M174" s="1733"/>
      <c r="N174" s="1733"/>
      <c r="O174" s="1733"/>
      <c r="P174" s="1710"/>
      <c r="Q174" s="1710"/>
      <c r="R174" s="1710"/>
      <c r="S174" s="1710"/>
      <c r="T174" s="1710"/>
      <c r="U174" s="1710"/>
      <c r="V174" s="1710"/>
      <c r="W174" s="999"/>
      <c r="X174" s="999"/>
      <c r="Y174" s="999"/>
      <c r="Z174" s="999"/>
      <c r="AA174" s="999"/>
      <c r="AB174" s="999"/>
      <c r="AC174" s="1189"/>
      <c r="AD174" s="1189"/>
      <c r="AE174" s="1189"/>
      <c r="AF174" s="1189"/>
      <c r="AG174" s="1189"/>
      <c r="AH174" s="1189"/>
      <c r="AI174" s="1189"/>
      <c r="AJ174" s="999"/>
      <c r="AK174" s="999"/>
      <c r="AL174" s="999"/>
      <c r="AM174" s="999"/>
      <c r="AN174" s="999"/>
      <c r="AO174" s="999"/>
      <c r="AP174" s="999"/>
    </row>
    <row r="175" spans="1:42">
      <c r="A175" s="999"/>
      <c r="B175" s="1001" t="s">
        <v>355</v>
      </c>
      <c r="C175" s="1611" t="s">
        <v>594</v>
      </c>
      <c r="D175" s="1606">
        <v>173</v>
      </c>
      <c r="E175" s="1732"/>
      <c r="F175" s="1192"/>
      <c r="G175" s="1654"/>
      <c r="H175" s="1622">
        <f t="shared" ref="H175:N175" si="329">H173+H162+H151</f>
        <v>2413.9855228189963</v>
      </c>
      <c r="I175" s="1622">
        <f t="shared" si="329"/>
        <v>338.45984751399783</v>
      </c>
      <c r="J175" s="1622">
        <f t="shared" si="329"/>
        <v>-634.34060210799453</v>
      </c>
      <c r="K175" s="1622">
        <f t="shared" si="329"/>
        <v>4236.2906463500003</v>
      </c>
      <c r="L175" s="1622">
        <f t="shared" si="329"/>
        <v>-3203.7777888779929</v>
      </c>
      <c r="M175" s="1622">
        <f t="shared" si="329"/>
        <v>920.0667040429953</v>
      </c>
      <c r="N175" s="1622">
        <f t="shared" si="329"/>
        <v>306.31558195299567</v>
      </c>
      <c r="O175" s="1622">
        <f t="shared" ref="O175" si="330">O173+O162+O151</f>
        <v>333.52255001599133</v>
      </c>
      <c r="P175" s="1725">
        <f ca="1">P173+P162+P151</f>
        <v>1078.1882460994339</v>
      </c>
      <c r="Q175" s="1725">
        <f ca="1">Q173+Q162+Q151</f>
        <v>3367.9687624935427</v>
      </c>
      <c r="R175" s="1725">
        <f t="shared" ref="R175" ca="1" si="331">R173+R162+R151</f>
        <v>5807.6046128250455</v>
      </c>
      <c r="S175" s="1725">
        <f t="shared" ref="S175:U175" ca="1" si="332">S173+S162+S151</f>
        <v>8990.6348844324548</v>
      </c>
      <c r="T175" s="1725">
        <f t="shared" ca="1" si="332"/>
        <v>11424.514400436583</v>
      </c>
      <c r="U175" s="1725">
        <f t="shared" ca="1" si="332"/>
        <v>13837.969313618696</v>
      </c>
      <c r="V175" s="1725"/>
      <c r="W175" s="999"/>
      <c r="X175" s="999"/>
      <c r="Y175" s="999"/>
      <c r="Z175" s="999"/>
      <c r="AA175" s="999"/>
      <c r="AB175" s="999"/>
      <c r="AC175" s="1189"/>
      <c r="AD175" s="1189"/>
      <c r="AE175" s="1189"/>
      <c r="AF175" s="1189"/>
      <c r="AG175" s="1189"/>
      <c r="AH175" s="1189"/>
      <c r="AI175" s="1189"/>
      <c r="AJ175" s="999"/>
      <c r="AK175" s="999"/>
      <c r="AL175" s="999"/>
      <c r="AM175" s="999"/>
      <c r="AN175" s="999"/>
      <c r="AO175" s="999"/>
      <c r="AP175" s="999"/>
    </row>
    <row r="176" spans="1:42">
      <c r="A176" s="999"/>
      <c r="B176" s="1198"/>
      <c r="C176" s="1535" t="s">
        <v>595</v>
      </c>
      <c r="D176" s="1606">
        <v>174</v>
      </c>
      <c r="E176" s="1717"/>
      <c r="F176" s="1192"/>
      <c r="G176" s="1609"/>
      <c r="H176" s="1670">
        <f>'FS Year'!P195</f>
        <v>1.4366561999999999E-2</v>
      </c>
      <c r="I176" s="1670">
        <f>'FS Year'!Q195</f>
        <v>0.10705930600000001</v>
      </c>
      <c r="J176" s="1670">
        <f>'FS Year'!R195</f>
        <v>2.7160363999999999E-2</v>
      </c>
      <c r="K176" s="1670">
        <f>'FS Year'!S195</f>
        <v>3.6874577999999998E-2</v>
      </c>
      <c r="L176" s="1670">
        <f>'FS Year'!T195</f>
        <v>0.14665399400000001</v>
      </c>
      <c r="M176" s="1670">
        <f>'FS Year'!U195</f>
        <v>-6.1919175999999999E-2</v>
      </c>
      <c r="N176" s="1670">
        <f>'FS Year'!V195</f>
        <v>0.36872779700000002</v>
      </c>
      <c r="O176" s="1670">
        <f>'FS Year'!W195</f>
        <v>0.104133542</v>
      </c>
      <c r="P176" s="1634">
        <f>O176</f>
        <v>0.104133542</v>
      </c>
      <c r="Q176" s="1634">
        <f>P176</f>
        <v>0.104133542</v>
      </c>
      <c r="R176" s="1634">
        <f t="shared" ref="R176" si="333">Q176</f>
        <v>0.104133542</v>
      </c>
      <c r="S176" s="1634">
        <f t="shared" ref="S176:U176" si="334">R176</f>
        <v>0.104133542</v>
      </c>
      <c r="T176" s="1634">
        <f t="shared" si="334"/>
        <v>0.104133542</v>
      </c>
      <c r="U176" s="1634">
        <f t="shared" si="334"/>
        <v>0.104133542</v>
      </c>
      <c r="V176" s="1634"/>
      <c r="W176" s="999"/>
      <c r="X176" s="999"/>
      <c r="Y176" s="999"/>
      <c r="Z176" s="999"/>
      <c r="AA176" s="999"/>
      <c r="AB176" s="999"/>
      <c r="AC176" s="1189"/>
      <c r="AD176" s="1189"/>
      <c r="AE176" s="1189"/>
      <c r="AF176" s="1189"/>
      <c r="AG176" s="1189"/>
      <c r="AH176" s="1189"/>
      <c r="AI176" s="1189"/>
      <c r="AJ176" s="999"/>
      <c r="AK176" s="999"/>
      <c r="AL176" s="999"/>
      <c r="AM176" s="999"/>
      <c r="AN176" s="999"/>
      <c r="AO176" s="999"/>
      <c r="AP176" s="999"/>
    </row>
    <row r="177" spans="1:42">
      <c r="A177" s="999"/>
      <c r="B177" s="1001" t="s">
        <v>354</v>
      </c>
      <c r="C177" s="1614" t="s">
        <v>596</v>
      </c>
      <c r="D177" s="1606">
        <v>175</v>
      </c>
      <c r="E177" s="1717"/>
      <c r="F177" s="1192"/>
      <c r="G177" s="1609"/>
      <c r="H177" s="1609">
        <f t="shared" ref="H177:Q177" ca="1" si="335">G7</f>
        <v>996.98346201200002</v>
      </c>
      <c r="I177" s="1609">
        <f t="shared" ca="1" si="335"/>
        <v>3410.9833513929998</v>
      </c>
      <c r="J177" s="1609">
        <f t="shared" ca="1" si="335"/>
        <v>3749.5502582119998</v>
      </c>
      <c r="K177" s="1609">
        <f t="shared" ca="1" si="335"/>
        <v>3115.2368164680001</v>
      </c>
      <c r="L177" s="1609">
        <f t="shared" ca="1" si="335"/>
        <v>7347.8573979250004</v>
      </c>
      <c r="M177" s="1609">
        <f t="shared" ca="1" si="335"/>
        <v>4142.015762555</v>
      </c>
      <c r="N177" s="1609">
        <f t="shared" ca="1" si="335"/>
        <v>5061.0205474220002</v>
      </c>
      <c r="O177" s="1609">
        <f t="shared" ca="1" si="335"/>
        <v>5365.7048571719997</v>
      </c>
      <c r="P177" s="1734">
        <f t="shared" ca="1" si="335"/>
        <v>5697.3315407299997</v>
      </c>
      <c r="Q177" s="1734">
        <f t="shared" ca="1" si="335"/>
        <v>6775.623920371434</v>
      </c>
      <c r="R177" s="1734">
        <f t="shared" ref="R177" ca="1" si="336">Q7</f>
        <v>10143.696816406977</v>
      </c>
      <c r="S177" s="1734">
        <f t="shared" ref="S177" ca="1" si="337">R7</f>
        <v>15951.405562774024</v>
      </c>
      <c r="T177" s="1734">
        <f t="shared" ref="T177" ca="1" si="338">S7</f>
        <v>24942.144580748478</v>
      </c>
      <c r="U177" s="1734">
        <f t="shared" ref="U177" ca="1" si="339">T7</f>
        <v>36366.763114727059</v>
      </c>
      <c r="V177" s="1734"/>
      <c r="W177" s="999"/>
      <c r="X177" s="999"/>
      <c r="Y177" s="999"/>
      <c r="Z177" s="999"/>
      <c r="AA177" s="999"/>
      <c r="AB177" s="999"/>
      <c r="AC177" s="1189"/>
      <c r="AD177" s="1189"/>
      <c r="AE177" s="1189"/>
      <c r="AF177" s="1189"/>
      <c r="AG177" s="1189"/>
      <c r="AH177" s="1189"/>
      <c r="AI177" s="1189"/>
      <c r="AJ177" s="999"/>
      <c r="AK177" s="999"/>
      <c r="AL177" s="999"/>
      <c r="AM177" s="999"/>
      <c r="AN177" s="999"/>
      <c r="AO177" s="999"/>
      <c r="AP177" s="999"/>
    </row>
    <row r="178" spans="1:42">
      <c r="A178" s="999"/>
      <c r="B178" s="1001" t="s">
        <v>357</v>
      </c>
      <c r="C178" s="1617" t="s">
        <v>597</v>
      </c>
      <c r="D178" s="1606">
        <v>176</v>
      </c>
      <c r="E178" s="1720"/>
      <c r="F178" s="1192"/>
      <c r="G178" s="1622"/>
      <c r="H178" s="1622">
        <f ca="1">SUM(H175:H177)</f>
        <v>3410.9833513929962</v>
      </c>
      <c r="I178" s="1622">
        <f ca="1">SUM(I175:I177)</f>
        <v>3749.5502582129975</v>
      </c>
      <c r="J178" s="1622">
        <f ca="1">SUM(J175:J177)</f>
        <v>3115.2368164680051</v>
      </c>
      <c r="K178" s="1622">
        <f t="shared" ref="K178:Q178" ca="1" si="340">SUM(K175:K177)</f>
        <v>7351.5643373960002</v>
      </c>
      <c r="L178" s="1622">
        <f t="shared" ca="1" si="340"/>
        <v>4144.2262630410078</v>
      </c>
      <c r="M178" s="1622">
        <f t="shared" ca="1" si="340"/>
        <v>5062.0205474219956</v>
      </c>
      <c r="N178" s="1622">
        <f ca="1">SUM(N175:N177)</f>
        <v>5367.7048571719961</v>
      </c>
      <c r="O178" s="1622">
        <f ca="1">SUM(O175:O177)</f>
        <v>5699.3315407299906</v>
      </c>
      <c r="P178" s="1735">
        <f ca="1">SUM(P175:P177)</f>
        <v>6775.623920371434</v>
      </c>
      <c r="Q178" s="1735">
        <f t="shared" ca="1" si="340"/>
        <v>10143.696816406977</v>
      </c>
      <c r="R178" s="1735">
        <f t="shared" ref="R178" ca="1" si="341">SUM(R175:R177)</f>
        <v>15951.405562774024</v>
      </c>
      <c r="S178" s="1735">
        <f t="shared" ref="S178:U178" ca="1" si="342">SUM(S175:S177)</f>
        <v>24942.144580748478</v>
      </c>
      <c r="T178" s="1735">
        <f t="shared" ca="1" si="342"/>
        <v>36366.763114727059</v>
      </c>
      <c r="U178" s="1735">
        <f t="shared" ca="1" si="342"/>
        <v>50204.836561887758</v>
      </c>
      <c r="V178" s="1735"/>
      <c r="W178" s="999"/>
      <c r="X178" s="999"/>
      <c r="Y178" s="999"/>
      <c r="Z178" s="999"/>
      <c r="AA178" s="999"/>
      <c r="AB178" s="999"/>
      <c r="AC178" s="1189"/>
      <c r="AD178" s="1189"/>
      <c r="AE178" s="1189"/>
      <c r="AF178" s="1189"/>
      <c r="AG178" s="1189"/>
      <c r="AH178" s="1189"/>
      <c r="AI178" s="1189"/>
      <c r="AJ178" s="999"/>
      <c r="AK178" s="999"/>
      <c r="AL178" s="999"/>
      <c r="AM178" s="999"/>
      <c r="AN178" s="999"/>
      <c r="AO178" s="999"/>
      <c r="AP178" s="999"/>
    </row>
    <row r="179" spans="1:42">
      <c r="A179" s="999">
        <v>4</v>
      </c>
      <c r="B179" s="1198"/>
      <c r="C179" s="999"/>
      <c r="D179" s="1606">
        <v>177</v>
      </c>
      <c r="E179" s="1192"/>
      <c r="F179" s="1192"/>
      <c r="G179" s="1736"/>
      <c r="H179" s="1736"/>
      <c r="I179" s="1737"/>
      <c r="J179" s="1737"/>
      <c r="K179" s="1737"/>
      <c r="L179" s="1737"/>
      <c r="M179" s="1737"/>
      <c r="N179" s="1737"/>
      <c r="O179" s="1737"/>
      <c r="P179" s="1738"/>
      <c r="Q179" s="1738"/>
      <c r="R179" s="1738"/>
      <c r="S179" s="1738"/>
      <c r="T179" s="1738"/>
      <c r="U179" s="1738"/>
      <c r="V179" s="1738"/>
      <c r="W179" s="999"/>
      <c r="X179" s="999"/>
      <c r="Y179" s="999"/>
      <c r="Z179" s="999"/>
      <c r="AA179" s="999"/>
      <c r="AB179" s="999"/>
      <c r="AC179" s="1189"/>
      <c r="AD179" s="1189"/>
      <c r="AE179" s="1189"/>
      <c r="AF179" s="1189"/>
      <c r="AG179" s="1189"/>
      <c r="AH179" s="1189"/>
      <c r="AI179" s="1189"/>
      <c r="AJ179" s="999"/>
      <c r="AK179" s="999"/>
      <c r="AL179" s="999"/>
      <c r="AM179" s="999"/>
      <c r="AN179" s="999"/>
      <c r="AO179" s="999"/>
      <c r="AP179" s="999"/>
    </row>
    <row r="180" spans="1:42">
      <c r="A180" s="999"/>
      <c r="B180" s="1221"/>
      <c r="C180" s="1223" t="s">
        <v>598</v>
      </c>
      <c r="D180" s="1606">
        <v>178</v>
      </c>
      <c r="E180" s="1232"/>
      <c r="F180" s="1232"/>
      <c r="G180" s="1605"/>
      <c r="H180" s="1605"/>
      <c r="I180" s="1605"/>
      <c r="J180" s="1605"/>
      <c r="K180" s="1714"/>
      <c r="L180" s="1714"/>
      <c r="M180" s="1714"/>
      <c r="N180" s="1714"/>
      <c r="O180" s="1714"/>
      <c r="P180" s="1715"/>
      <c r="Q180" s="1715"/>
      <c r="R180" s="1715"/>
      <c r="S180" s="1715"/>
      <c r="T180" s="1715"/>
      <c r="U180" s="1715"/>
      <c r="V180" s="1715"/>
      <c r="W180" s="999"/>
      <c r="X180" s="999"/>
      <c r="Y180" s="999"/>
      <c r="Z180" s="999"/>
      <c r="AA180" s="999"/>
      <c r="AB180" s="999"/>
      <c r="AC180" s="1189"/>
      <c r="AD180" s="1189"/>
      <c r="AE180" s="1189"/>
      <c r="AF180" s="1189"/>
      <c r="AG180" s="1189"/>
      <c r="AH180" s="1189"/>
      <c r="AI180" s="1189"/>
      <c r="AJ180" s="999"/>
      <c r="AK180" s="999"/>
      <c r="AL180" s="999"/>
      <c r="AM180" s="999"/>
      <c r="AN180" s="999"/>
      <c r="AO180" s="999"/>
      <c r="AP180" s="999"/>
    </row>
    <row r="181" spans="1:42">
      <c r="A181" s="999"/>
      <c r="B181" s="1198"/>
      <c r="C181" s="1224"/>
      <c r="D181" s="1606">
        <v>179</v>
      </c>
      <c r="E181" s="1234"/>
      <c r="F181" s="1234"/>
      <c r="G181" s="1235"/>
      <c r="H181" s="1236"/>
      <c r="I181" s="1236"/>
      <c r="J181" s="1236"/>
      <c r="K181" s="1236"/>
      <c r="L181" s="1236"/>
      <c r="M181" s="1236"/>
      <c r="N181" s="1236"/>
      <c r="O181" s="1236"/>
      <c r="P181" s="1225"/>
      <c r="Q181" s="1225"/>
      <c r="R181" s="1225"/>
      <c r="S181" s="1225"/>
      <c r="T181" s="1225"/>
      <c r="U181" s="1225"/>
      <c r="V181" s="1225"/>
      <c r="W181" s="999"/>
      <c r="X181" s="999"/>
      <c r="Y181" s="999"/>
      <c r="Z181" s="999"/>
      <c r="AA181" s="999"/>
      <c r="AB181" s="999"/>
      <c r="AC181" s="1189"/>
      <c r="AD181" s="1189"/>
      <c r="AE181" s="1189"/>
      <c r="AF181" s="1189"/>
      <c r="AG181" s="1189"/>
      <c r="AH181" s="1189"/>
      <c r="AI181" s="1189"/>
      <c r="AJ181" s="999"/>
      <c r="AK181" s="999"/>
      <c r="AL181" s="999"/>
      <c r="AM181" s="999"/>
      <c r="AN181" s="999"/>
      <c r="AO181" s="999"/>
      <c r="AP181" s="999"/>
    </row>
    <row r="182" spans="1:42">
      <c r="A182" s="999"/>
      <c r="B182" s="1198"/>
      <c r="C182" s="1195" t="str">
        <f>C9&amp;" % Rev"</f>
        <v>Accounts Receivable % Rev</v>
      </c>
      <c r="D182" s="1606">
        <v>180</v>
      </c>
      <c r="E182" s="1646">
        <f t="shared" ref="E182:K182" ca="1" si="343">E9/E64</f>
        <v>1.8737268508344042E-2</v>
      </c>
      <c r="F182" s="1646">
        <f t="shared" ca="1" si="343"/>
        <v>2.5063855951155095E-2</v>
      </c>
      <c r="G182" s="1646">
        <f t="shared" ca="1" si="343"/>
        <v>3.0926553175007962E-2</v>
      </c>
      <c r="H182" s="1646">
        <f t="shared" ca="1" si="343"/>
        <v>4.0855353564467727E-2</v>
      </c>
      <c r="I182" s="1646">
        <f t="shared" ca="1" si="343"/>
        <v>1.7581014762634274E-2</v>
      </c>
      <c r="J182" s="1646">
        <f t="shared" ca="1" si="343"/>
        <v>1.7539592630461346E-2</v>
      </c>
      <c r="K182" s="1676">
        <f t="shared" ca="1" si="343"/>
        <v>1.4528531914492654E-2</v>
      </c>
      <c r="L182" s="1676">
        <f ca="1">L9/L64</f>
        <v>2.5471911626763936E-2</v>
      </c>
      <c r="M182" s="1676">
        <f ca="1">M9/M64</f>
        <v>2.2803166356961991E-2</v>
      </c>
      <c r="N182" s="1676">
        <f ca="1">N9/N64</f>
        <v>4.326656273410958E-2</v>
      </c>
      <c r="O182" s="1676">
        <f ca="1">O9/O64</f>
        <v>6.4807992609455897E-2</v>
      </c>
      <c r="P182" s="1739">
        <f t="shared" ref="P182:Q183" ca="1" si="344">O182</f>
        <v>6.4807992609455897E-2</v>
      </c>
      <c r="Q182" s="1739">
        <f t="shared" ca="1" si="344"/>
        <v>6.4807992609455897E-2</v>
      </c>
      <c r="R182" s="1739">
        <f t="shared" ref="R182:R183" ca="1" si="345">Q182</f>
        <v>6.4807992609455897E-2</v>
      </c>
      <c r="S182" s="1739">
        <f t="shared" ref="S182:S183" ca="1" si="346">R182</f>
        <v>6.4807992609455897E-2</v>
      </c>
      <c r="T182" s="1739">
        <f t="shared" ref="T182:T183" ca="1" si="347">S182</f>
        <v>6.4807992609455897E-2</v>
      </c>
      <c r="U182" s="1739">
        <f t="shared" ref="U182:U183" ca="1" si="348">T182</f>
        <v>6.4807992609455897E-2</v>
      </c>
      <c r="V182" s="1739"/>
      <c r="W182" s="999"/>
      <c r="X182" s="999"/>
      <c r="Y182" s="999"/>
      <c r="Z182" s="999"/>
      <c r="AA182" s="999"/>
      <c r="AB182" s="999"/>
      <c r="AC182" s="1189"/>
      <c r="AD182" s="1189"/>
      <c r="AE182" s="1189"/>
      <c r="AF182" s="1189"/>
      <c r="AG182" s="1189"/>
      <c r="AH182" s="1189"/>
      <c r="AI182" s="1189"/>
      <c r="AJ182" s="999"/>
      <c r="AK182" s="999"/>
      <c r="AL182" s="999"/>
      <c r="AM182" s="999"/>
      <c r="AN182" s="999"/>
      <c r="AO182" s="999"/>
      <c r="AP182" s="999"/>
    </row>
    <row r="183" spans="1:42">
      <c r="A183" s="999"/>
      <c r="B183" s="1198"/>
      <c r="C183" s="1195" t="s">
        <v>599</v>
      </c>
      <c r="D183" s="1606">
        <v>181</v>
      </c>
      <c r="E183" s="1740">
        <f t="shared" ref="E183:K183" ca="1" si="349">E182*Days_in_Year</f>
        <v>6.8391030055455753</v>
      </c>
      <c r="F183" s="1740">
        <f t="shared" ca="1" si="349"/>
        <v>9.1483074221716105</v>
      </c>
      <c r="G183" s="1740">
        <f t="shared" ca="1" si="349"/>
        <v>11.288191908877906</v>
      </c>
      <c r="H183" s="1740">
        <f t="shared" ca="1" si="349"/>
        <v>14.91220405103072</v>
      </c>
      <c r="I183" s="1740">
        <f t="shared" ca="1" si="349"/>
        <v>6.4170703883615099</v>
      </c>
      <c r="J183" s="1740">
        <f t="shared" ca="1" si="349"/>
        <v>6.4019513101183909</v>
      </c>
      <c r="K183" s="1740">
        <f t="shared" ca="1" si="349"/>
        <v>5.302914148789819</v>
      </c>
      <c r="L183" s="1740">
        <f ca="1">L182*Days_in_Year</f>
        <v>9.2972477437688372</v>
      </c>
      <c r="M183" s="1740">
        <f ca="1">M182*Days_in_Year</f>
        <v>8.3231557202911262</v>
      </c>
      <c r="N183" s="1740">
        <f ca="1">N182*Days_in_Year</f>
        <v>15.792295397949998</v>
      </c>
      <c r="O183" s="1740">
        <f ca="1">O182*Days_in_Year</f>
        <v>23.654917302451402</v>
      </c>
      <c r="P183" s="1741">
        <f t="shared" ca="1" si="344"/>
        <v>23.654917302451402</v>
      </c>
      <c r="Q183" s="1741">
        <f t="shared" ca="1" si="344"/>
        <v>23.654917302451402</v>
      </c>
      <c r="R183" s="1741">
        <f t="shared" ca="1" si="345"/>
        <v>23.654917302451402</v>
      </c>
      <c r="S183" s="1741">
        <f t="shared" ca="1" si="346"/>
        <v>23.654917302451402</v>
      </c>
      <c r="T183" s="1741">
        <f t="shared" ca="1" si="347"/>
        <v>23.654917302451402</v>
      </c>
      <c r="U183" s="1741">
        <f t="shared" ca="1" si="348"/>
        <v>23.654917302451402</v>
      </c>
      <c r="V183" s="1741"/>
      <c r="W183" s="999"/>
      <c r="X183" s="999"/>
      <c r="Y183" s="999"/>
      <c r="Z183" s="999"/>
      <c r="AA183" s="999"/>
      <c r="AB183" s="999"/>
      <c r="AC183" s="1189"/>
      <c r="AD183" s="1189"/>
      <c r="AE183" s="1189"/>
      <c r="AF183" s="1189"/>
      <c r="AG183" s="1189"/>
      <c r="AH183" s="1189"/>
      <c r="AI183" s="1189"/>
      <c r="AJ183" s="999"/>
      <c r="AK183" s="999"/>
      <c r="AL183" s="999"/>
      <c r="AM183" s="999"/>
      <c r="AN183" s="999"/>
      <c r="AO183" s="999"/>
      <c r="AP183" s="999"/>
    </row>
    <row r="184" spans="1:42">
      <c r="A184" s="999"/>
      <c r="B184" s="1198"/>
      <c r="C184" s="1611" t="str">
        <f>CHOOSE(K184,C182,C183)</f>
        <v>Day Sale Outstanding</v>
      </c>
      <c r="D184" s="1606">
        <v>182</v>
      </c>
      <c r="E184" s="1742"/>
      <c r="F184" s="1742"/>
      <c r="G184" s="1742"/>
      <c r="H184" s="1192"/>
      <c r="I184" s="1192"/>
      <c r="J184" s="1192"/>
      <c r="K184" s="1743">
        <v>2</v>
      </c>
      <c r="L184" s="1743">
        <v>3</v>
      </c>
      <c r="M184" s="1744"/>
      <c r="N184" s="1744"/>
      <c r="O184" s="1744"/>
      <c r="P184" s="1745"/>
      <c r="Q184" s="1745"/>
      <c r="R184" s="1745"/>
      <c r="S184" s="1745"/>
      <c r="T184" s="1745"/>
      <c r="U184" s="1745"/>
      <c r="V184" s="1745"/>
      <c r="W184" s="999"/>
      <c r="X184" s="999"/>
      <c r="Y184" s="999"/>
      <c r="Z184" s="999"/>
      <c r="AA184" s="999"/>
      <c r="AB184" s="999"/>
      <c r="AC184" s="1189"/>
      <c r="AD184" s="1189"/>
      <c r="AE184" s="1189"/>
      <c r="AF184" s="1189"/>
      <c r="AG184" s="1189"/>
      <c r="AH184" s="1189"/>
      <c r="AI184" s="1189"/>
      <c r="AJ184" s="999"/>
      <c r="AK184" s="999"/>
      <c r="AL184" s="999"/>
      <c r="AM184" s="999"/>
      <c r="AN184" s="999"/>
      <c r="AO184" s="999"/>
      <c r="AP184" s="999"/>
    </row>
    <row r="185" spans="1:42">
      <c r="A185" s="999"/>
      <c r="B185" s="1198"/>
      <c r="C185" s="999"/>
      <c r="D185" s="1606">
        <v>183</v>
      </c>
      <c r="E185" s="1742"/>
      <c r="F185" s="1742"/>
      <c r="G185" s="1742"/>
      <c r="H185" s="1742"/>
      <c r="I185" s="1742"/>
      <c r="J185" s="1742"/>
      <c r="K185" s="1742"/>
      <c r="L185" s="1742"/>
      <c r="M185" s="1742"/>
      <c r="N185" s="1742"/>
      <c r="O185" s="1742"/>
      <c r="P185" s="1746"/>
      <c r="Q185" s="1746"/>
      <c r="R185" s="1746"/>
      <c r="S185" s="1746"/>
      <c r="T185" s="1746"/>
      <c r="U185" s="1746"/>
      <c r="V185" s="1746"/>
      <c r="W185" s="999"/>
      <c r="X185" s="999"/>
      <c r="Y185" s="999"/>
      <c r="Z185" s="999"/>
      <c r="AA185" s="999"/>
      <c r="AB185" s="999"/>
      <c r="AC185" s="1189"/>
      <c r="AD185" s="1189"/>
      <c r="AE185" s="1189"/>
      <c r="AF185" s="1189"/>
      <c r="AG185" s="1189"/>
      <c r="AH185" s="1189"/>
      <c r="AI185" s="1189"/>
      <c r="AJ185" s="999"/>
      <c r="AK185" s="999"/>
      <c r="AL185" s="999"/>
      <c r="AM185" s="999"/>
      <c r="AN185" s="999"/>
      <c r="AO185" s="999"/>
      <c r="AP185" s="999"/>
    </row>
    <row r="186" spans="1:42">
      <c r="A186" s="999"/>
      <c r="B186" s="1198"/>
      <c r="C186" s="1195" t="str">
        <f>C10&amp;" % Rev"</f>
        <v>Inventories % Rev</v>
      </c>
      <c r="D186" s="1606">
        <v>184</v>
      </c>
      <c r="E186" s="1646">
        <f t="shared" ref="E186:K186" ca="1" si="350">E10/E64</f>
        <v>0.13862189619291049</v>
      </c>
      <c r="F186" s="1646">
        <f t="shared" ca="1" si="350"/>
        <v>0.19429143097829255</v>
      </c>
      <c r="G186" s="1646">
        <f t="shared" ca="1" si="350"/>
        <v>0.20544139056894442</v>
      </c>
      <c r="H186" s="1646">
        <f t="shared" ca="1" si="350"/>
        <v>0.17799737673441107</v>
      </c>
      <c r="I186" s="1646">
        <f t="shared" ca="1" si="350"/>
        <v>0.19884120839785566</v>
      </c>
      <c r="J186" s="1646">
        <f t="shared" ca="1" si="350"/>
        <v>0.24878404430806281</v>
      </c>
      <c r="K186" s="1676">
        <f t="shared" ca="1" si="350"/>
        <v>0.17688484238433438</v>
      </c>
      <c r="L186" s="1676">
        <f ca="1">L10/L64</f>
        <v>0.23495145666865064</v>
      </c>
      <c r="M186" s="1676">
        <f ca="1">M10/M64</f>
        <v>0.19073373512884773</v>
      </c>
      <c r="N186" s="1676">
        <f ca="1">N10/N64</f>
        <v>0.18303673278088567</v>
      </c>
      <c r="O186" s="1676">
        <f ca="1">O10/O64</f>
        <v>0.16450108828183085</v>
      </c>
      <c r="P186" s="1739">
        <f ca="1">O186</f>
        <v>0.16450108828183085</v>
      </c>
      <c r="Q186" s="1739">
        <f ca="1">P186</f>
        <v>0.16450108828183085</v>
      </c>
      <c r="R186" s="1739">
        <f t="shared" ref="R186" ca="1" si="351">Q186</f>
        <v>0.16450108828183085</v>
      </c>
      <c r="S186" s="1739">
        <f t="shared" ref="S186:U186" ca="1" si="352">R186</f>
        <v>0.16450108828183085</v>
      </c>
      <c r="T186" s="1739">
        <f t="shared" ca="1" si="352"/>
        <v>0.16450108828183085</v>
      </c>
      <c r="U186" s="1739">
        <f t="shared" ca="1" si="352"/>
        <v>0.16450108828183085</v>
      </c>
      <c r="V186" s="1739"/>
      <c r="W186" s="999"/>
      <c r="X186" s="999"/>
      <c r="Y186" s="999"/>
      <c r="Z186" s="999"/>
      <c r="AA186" s="999"/>
      <c r="AB186" s="999"/>
      <c r="AC186" s="1189"/>
      <c r="AD186" s="1189"/>
      <c r="AE186" s="1189"/>
      <c r="AF186" s="1189"/>
      <c r="AG186" s="1189"/>
      <c r="AH186" s="1189"/>
      <c r="AI186" s="1189"/>
      <c r="AJ186" s="999"/>
      <c r="AK186" s="999"/>
      <c r="AL186" s="999"/>
      <c r="AM186" s="999"/>
      <c r="AN186" s="999"/>
      <c r="AO186" s="999"/>
      <c r="AP186" s="999"/>
    </row>
    <row r="187" spans="1:42">
      <c r="A187" s="999"/>
      <c r="B187" s="1198"/>
      <c r="C187" s="1195" t="s">
        <v>600</v>
      </c>
      <c r="D187" s="1606">
        <v>185</v>
      </c>
      <c r="E187" s="1740">
        <f t="shared" ref="E187:J187" ca="1" si="353">E186*Days_in_Year</f>
        <v>50.59699211041233</v>
      </c>
      <c r="F187" s="1740">
        <f t="shared" ca="1" si="353"/>
        <v>70.916372307076784</v>
      </c>
      <c r="G187" s="1740">
        <f t="shared" ca="1" si="353"/>
        <v>74.98610755766471</v>
      </c>
      <c r="H187" s="1740">
        <f t="shared" ca="1" si="353"/>
        <v>64.969042508060042</v>
      </c>
      <c r="I187" s="1740">
        <f t="shared" ca="1" si="353"/>
        <v>72.577041065217315</v>
      </c>
      <c r="J187" s="1740">
        <f t="shared" ca="1" si="353"/>
        <v>90.806176172442932</v>
      </c>
      <c r="K187" s="1740">
        <f ca="1">K186*Days_in_Year</f>
        <v>64.562967470282047</v>
      </c>
      <c r="L187" s="1740">
        <f ca="1">L186*Days_in_Year</f>
        <v>85.757281684057489</v>
      </c>
      <c r="M187" s="1740">
        <f ca="1">M186*Days_in_Year</f>
        <v>69.61781332202942</v>
      </c>
      <c r="N187" s="1740">
        <f ca="1">N186*Days_in_Year</f>
        <v>66.808407465023265</v>
      </c>
      <c r="O187" s="1740">
        <f ca="1">O186*Days_in_Year</f>
        <v>60.042897222868262</v>
      </c>
      <c r="P187" s="1741">
        <f ca="1">O187-5.1</f>
        <v>54.942897222868261</v>
      </c>
      <c r="Q187" s="1741">
        <f ca="1">P187</f>
        <v>54.942897222868261</v>
      </c>
      <c r="R187" s="1741">
        <f t="shared" ref="R187" ca="1" si="354">Q187</f>
        <v>54.942897222868261</v>
      </c>
      <c r="S187" s="1741">
        <f t="shared" ref="S187:U187" ca="1" si="355">R187</f>
        <v>54.942897222868261</v>
      </c>
      <c r="T187" s="1741">
        <f t="shared" ca="1" si="355"/>
        <v>54.942897222868261</v>
      </c>
      <c r="U187" s="1741">
        <f t="shared" ca="1" si="355"/>
        <v>54.942897222868261</v>
      </c>
      <c r="V187" s="1741"/>
      <c r="W187" s="999"/>
      <c r="X187" s="999"/>
      <c r="Y187" s="999"/>
      <c r="Z187" s="999"/>
      <c r="AA187" s="999"/>
      <c r="AB187" s="999"/>
      <c r="AC187" s="1189"/>
      <c r="AD187" s="1189"/>
      <c r="AE187" s="1189"/>
      <c r="AF187" s="1189"/>
      <c r="AG187" s="1189"/>
      <c r="AH187" s="1189"/>
      <c r="AI187" s="1189"/>
      <c r="AJ187" s="999"/>
      <c r="AK187" s="999"/>
      <c r="AL187" s="999"/>
      <c r="AM187" s="999"/>
      <c r="AN187" s="999"/>
      <c r="AO187" s="999"/>
      <c r="AP187" s="999"/>
    </row>
    <row r="188" spans="1:42">
      <c r="A188" s="999"/>
      <c r="B188" s="1198"/>
      <c r="C188" s="1611" t="str">
        <f>CHOOSE(K188,C186,C187)</f>
        <v>Inventory Days</v>
      </c>
      <c r="D188" s="1606">
        <v>186</v>
      </c>
      <c r="E188" s="1742"/>
      <c r="F188" s="1742"/>
      <c r="G188" s="1742"/>
      <c r="H188" s="1192"/>
      <c r="I188" s="1192"/>
      <c r="J188" s="1192"/>
      <c r="K188" s="1743">
        <v>2</v>
      </c>
      <c r="L188" s="1743">
        <v>3</v>
      </c>
      <c r="M188" s="1744"/>
      <c r="N188" s="1744"/>
      <c r="O188" s="1744"/>
      <c r="P188" s="1745"/>
      <c r="Q188" s="1745"/>
      <c r="R188" s="1745"/>
      <c r="S188" s="1745"/>
      <c r="T188" s="1745"/>
      <c r="U188" s="1745"/>
      <c r="V188" s="1745"/>
      <c r="W188" s="999"/>
      <c r="X188" s="999"/>
      <c r="Y188" s="999"/>
      <c r="Z188" s="999"/>
      <c r="AA188" s="999"/>
      <c r="AB188" s="999"/>
      <c r="AC188" s="1189"/>
      <c r="AD188" s="1189"/>
      <c r="AE188" s="1189"/>
      <c r="AF188" s="1189"/>
      <c r="AG188" s="1189"/>
      <c r="AH188" s="1189"/>
      <c r="AI188" s="1189"/>
      <c r="AJ188" s="999"/>
      <c r="AK188" s="999"/>
      <c r="AL188" s="999"/>
      <c r="AM188" s="999"/>
      <c r="AN188" s="999"/>
      <c r="AO188" s="999"/>
      <c r="AP188" s="999"/>
    </row>
    <row r="189" spans="1:42">
      <c r="A189" s="999"/>
      <c r="B189" s="1198"/>
      <c r="C189" s="999"/>
      <c r="D189" s="1606">
        <v>187</v>
      </c>
      <c r="E189" s="1742"/>
      <c r="F189" s="1742"/>
      <c r="G189" s="1742"/>
      <c r="H189" s="1742"/>
      <c r="I189" s="1742"/>
      <c r="J189" s="1742"/>
      <c r="K189" s="1742"/>
      <c r="L189" s="1742"/>
      <c r="M189" s="1742"/>
      <c r="N189" s="1742"/>
      <c r="O189" s="1742"/>
      <c r="P189" s="1746"/>
      <c r="Q189" s="1746"/>
      <c r="R189" s="1746"/>
      <c r="S189" s="1746"/>
      <c r="T189" s="1746"/>
      <c r="U189" s="1746"/>
      <c r="V189" s="1746"/>
      <c r="W189" s="999"/>
      <c r="X189" s="999"/>
      <c r="Y189" s="999"/>
      <c r="Z189" s="999"/>
      <c r="AA189" s="999"/>
      <c r="AB189" s="999"/>
      <c r="AC189" s="1189"/>
      <c r="AD189" s="1189"/>
      <c r="AE189" s="1189"/>
      <c r="AF189" s="1189"/>
      <c r="AG189" s="1189"/>
      <c r="AH189" s="1189"/>
      <c r="AI189" s="1189"/>
      <c r="AJ189" s="999"/>
      <c r="AK189" s="999"/>
      <c r="AL189" s="999"/>
      <c r="AM189" s="999"/>
      <c r="AN189" s="999"/>
      <c r="AO189" s="999"/>
      <c r="AP189" s="999"/>
    </row>
    <row r="190" spans="1:42">
      <c r="A190" s="999"/>
      <c r="B190" s="1198"/>
      <c r="C190" s="1000" t="str">
        <f>C11&amp;" % Rev"</f>
        <v>Other Current Assets % Rev</v>
      </c>
      <c r="D190" s="1606">
        <v>188</v>
      </c>
      <c r="E190" s="1747">
        <f t="shared" ref="E190:K190" ca="1" si="356">E11/E64</f>
        <v>8.3808198785884514E-3</v>
      </c>
      <c r="F190" s="1747">
        <f t="shared" ca="1" si="356"/>
        <v>1.0380919638583244E-2</v>
      </c>
      <c r="G190" s="1747">
        <f t="shared" ca="1" si="356"/>
        <v>1.1182885037004785E-2</v>
      </c>
      <c r="H190" s="1747">
        <f t="shared" ca="1" si="356"/>
        <v>9.3926321291713955E-3</v>
      </c>
      <c r="I190" s="1747">
        <f t="shared" ca="1" si="356"/>
        <v>6.6446065926400967E-3</v>
      </c>
      <c r="J190" s="1747">
        <f t="shared" ca="1" si="356"/>
        <v>1.1587626732339039E-2</v>
      </c>
      <c r="K190" s="1625">
        <f t="shared" ca="1" si="356"/>
        <v>8.1477146132998331E-3</v>
      </c>
      <c r="L190" s="1625">
        <f ca="1">L11/L64</f>
        <v>1.004709263040734E-2</v>
      </c>
      <c r="M190" s="1625">
        <f ca="1">M11/M64</f>
        <v>5.5142956290541428E-3</v>
      </c>
      <c r="N190" s="1625">
        <f ca="1">N11/N64</f>
        <v>5.5451992700913154E-3</v>
      </c>
      <c r="O190" s="1625">
        <f ca="1">O11/O64</f>
        <v>4.0234894726535195E-3</v>
      </c>
      <c r="P190" s="1748">
        <f ca="1">O190</f>
        <v>4.0234894726535195E-3</v>
      </c>
      <c r="Q190" s="1748">
        <f ca="1">P190</f>
        <v>4.0234894726535195E-3</v>
      </c>
      <c r="R190" s="1748">
        <f t="shared" ref="R190" ca="1" si="357">Q190</f>
        <v>4.0234894726535195E-3</v>
      </c>
      <c r="S190" s="1748">
        <f t="shared" ref="S190:U190" ca="1" si="358">R190</f>
        <v>4.0234894726535195E-3</v>
      </c>
      <c r="T190" s="1748">
        <f t="shared" ca="1" si="358"/>
        <v>4.0234894726535195E-3</v>
      </c>
      <c r="U190" s="1748">
        <f t="shared" ca="1" si="358"/>
        <v>4.0234894726535195E-3</v>
      </c>
      <c r="V190" s="1748"/>
      <c r="W190" s="999"/>
      <c r="X190" s="1748">
        <f>17.8*3</f>
        <v>53.400000000000006</v>
      </c>
      <c r="Y190" s="999"/>
      <c r="Z190" s="999"/>
      <c r="AA190" s="999"/>
      <c r="AB190" s="999"/>
      <c r="AC190" s="1189"/>
      <c r="AD190" s="1189"/>
      <c r="AE190" s="1189"/>
      <c r="AF190" s="1189"/>
      <c r="AG190" s="1189"/>
      <c r="AH190" s="1189"/>
      <c r="AI190" s="1189"/>
      <c r="AJ190" s="999"/>
      <c r="AK190" s="999"/>
      <c r="AL190" s="999"/>
      <c r="AM190" s="999"/>
      <c r="AN190" s="999"/>
      <c r="AO190" s="999"/>
      <c r="AP190" s="999"/>
    </row>
    <row r="191" spans="1:42">
      <c r="A191" s="999"/>
      <c r="B191" s="1198"/>
      <c r="C191" s="999"/>
      <c r="D191" s="1606">
        <v>189</v>
      </c>
      <c r="E191" s="1192"/>
      <c r="F191" s="1192"/>
      <c r="G191" s="1192"/>
      <c r="H191" s="1192"/>
      <c r="I191" s="1192"/>
      <c r="J191" s="1192"/>
      <c r="K191" s="1192"/>
      <c r="L191" s="1192"/>
      <c r="M191" s="1192"/>
      <c r="N191" s="1192"/>
      <c r="O191" s="1192"/>
      <c r="P191" s="1221"/>
      <c r="Q191" s="1221"/>
      <c r="R191" s="1221"/>
      <c r="S191" s="1221"/>
      <c r="T191" s="1221"/>
      <c r="U191" s="1221"/>
      <c r="V191" s="1221"/>
      <c r="W191" s="999"/>
      <c r="X191" s="999"/>
      <c r="Y191" s="999"/>
      <c r="Z191" s="999"/>
      <c r="AA191" s="999"/>
      <c r="AB191" s="999"/>
      <c r="AC191" s="1189"/>
      <c r="AD191" s="1189"/>
      <c r="AE191" s="1189"/>
      <c r="AF191" s="1189"/>
      <c r="AG191" s="1189"/>
      <c r="AH191" s="1189"/>
      <c r="AI191" s="1189"/>
      <c r="AJ191" s="999"/>
      <c r="AK191" s="999"/>
      <c r="AL191" s="999"/>
      <c r="AM191" s="999"/>
      <c r="AN191" s="999"/>
      <c r="AO191" s="999"/>
      <c r="AP191" s="999"/>
    </row>
    <row r="192" spans="1:42">
      <c r="A192" s="999"/>
      <c r="B192" s="1198"/>
      <c r="C192" s="999" t="str">
        <f>C28&amp;" % COGS:"</f>
        <v>Accounts Payable % COGS:</v>
      </c>
      <c r="D192" s="1606">
        <v>190</v>
      </c>
      <c r="E192" s="1747" t="e">
        <f t="shared" ref="E192:K192" ca="1" si="359">-E28/E69</f>
        <v>#VALUE!</v>
      </c>
      <c r="F192" s="1747">
        <f t="shared" ca="1" si="359"/>
        <v>9.2416488978297406E-2</v>
      </c>
      <c r="G192" s="1747">
        <f t="shared" ca="1" si="359"/>
        <v>0.12513731750978635</v>
      </c>
      <c r="H192" s="1747">
        <f t="shared" ca="1" si="359"/>
        <v>0.1335777807173163</v>
      </c>
      <c r="I192" s="1747">
        <f t="shared" ca="1" si="359"/>
        <v>0.11575586615342125</v>
      </c>
      <c r="J192" s="1747">
        <f t="shared" ca="1" si="359"/>
        <v>0.14579639421756097</v>
      </c>
      <c r="K192" s="1676">
        <f t="shared" ca="1" si="359"/>
        <v>0.10318018420092322</v>
      </c>
      <c r="L192" s="1676">
        <f ca="1">-L28/L69</f>
        <v>0.12776973837142086</v>
      </c>
      <c r="M192" s="1676">
        <f ca="1">-M28/M69</f>
        <v>8.5224747291229086E-2</v>
      </c>
      <c r="N192" s="1676">
        <f ca="1">-N28/N69</f>
        <v>8.2781307418184194E-2</v>
      </c>
      <c r="O192" s="1676">
        <f ca="1">-O28/O69</f>
        <v>8.552369781641965E-2</v>
      </c>
      <c r="P192" s="1739">
        <f ca="1">O192</f>
        <v>8.552369781641965E-2</v>
      </c>
      <c r="Q192" s="1739">
        <f ca="1">P192-1</f>
        <v>-0.91447630218358034</v>
      </c>
      <c r="R192" s="1739">
        <f t="shared" ref="R192" ca="1" si="360">Q192-1</f>
        <v>-1.9144763021835804</v>
      </c>
      <c r="S192" s="1739">
        <f t="shared" ref="S192:U192" ca="1" si="361">R192-1</f>
        <v>-2.9144763021835804</v>
      </c>
      <c r="T192" s="1739">
        <f t="shared" ca="1" si="361"/>
        <v>-3.9144763021835804</v>
      </c>
      <c r="U192" s="1739">
        <f t="shared" ca="1" si="361"/>
        <v>-4.91447630218358</v>
      </c>
      <c r="V192" s="1739"/>
      <c r="W192" s="999"/>
      <c r="X192" s="999"/>
      <c r="Y192" s="999"/>
      <c r="Z192" s="999"/>
      <c r="AA192" s="999"/>
      <c r="AB192" s="999"/>
      <c r="AC192" s="1189"/>
      <c r="AD192" s="1189"/>
      <c r="AE192" s="1189"/>
      <c r="AF192" s="1189"/>
      <c r="AG192" s="1189"/>
      <c r="AH192" s="1189"/>
      <c r="AI192" s="1189"/>
      <c r="AJ192" s="999"/>
      <c r="AK192" s="999"/>
      <c r="AL192" s="999"/>
      <c r="AM192" s="999"/>
      <c r="AN192" s="999"/>
      <c r="AO192" s="999"/>
      <c r="AP192" s="999"/>
    </row>
    <row r="193" spans="1:42">
      <c r="A193" s="999"/>
      <c r="B193" s="1198"/>
      <c r="C193" s="999" t="s">
        <v>601</v>
      </c>
      <c r="D193" s="1606">
        <v>191</v>
      </c>
      <c r="E193" s="1742" t="e">
        <f t="shared" ref="E193:J193" ca="1" si="362">E192*Days_in_Year</f>
        <v>#VALUE!</v>
      </c>
      <c r="F193" s="1742">
        <f t="shared" ca="1" si="362"/>
        <v>33.732018477078554</v>
      </c>
      <c r="G193" s="1742">
        <f t="shared" ca="1" si="362"/>
        <v>45.675120891072019</v>
      </c>
      <c r="H193" s="1742">
        <f t="shared" ca="1" si="362"/>
        <v>48.755889961820451</v>
      </c>
      <c r="I193" s="1742">
        <f t="shared" ca="1" si="362"/>
        <v>42.250891145998757</v>
      </c>
      <c r="J193" s="1742">
        <f t="shared" ca="1" si="362"/>
        <v>53.215683889409753</v>
      </c>
      <c r="K193" s="1740">
        <f ca="1">K192*Days_in_Year</f>
        <v>37.660767233336976</v>
      </c>
      <c r="L193" s="1740">
        <f ca="1">L192*Days_in_Year</f>
        <v>46.635954505568613</v>
      </c>
      <c r="M193" s="1740">
        <f ca="1">M192*Days_in_Year</f>
        <v>31.107032761298615</v>
      </c>
      <c r="N193" s="1740">
        <f ca="1">N192*Days_in_Year</f>
        <v>30.215177207637232</v>
      </c>
      <c r="O193" s="1740">
        <f ca="1">O192*Days_in_Year</f>
        <v>31.216149702993171</v>
      </c>
      <c r="P193" s="1741">
        <f ca="1">O193</f>
        <v>31.216149702993171</v>
      </c>
      <c r="Q193" s="1741">
        <f ca="1">P193</f>
        <v>31.216149702993171</v>
      </c>
      <c r="R193" s="1741">
        <f t="shared" ref="R193" ca="1" si="363">Q193</f>
        <v>31.216149702993171</v>
      </c>
      <c r="S193" s="1741">
        <f t="shared" ref="S193:U193" ca="1" si="364">R193</f>
        <v>31.216149702993171</v>
      </c>
      <c r="T193" s="1741">
        <f t="shared" ca="1" si="364"/>
        <v>31.216149702993171</v>
      </c>
      <c r="U193" s="1741">
        <f t="shared" ca="1" si="364"/>
        <v>31.216149702993171</v>
      </c>
      <c r="V193" s="1741"/>
      <c r="W193" s="999"/>
      <c r="X193" s="999"/>
      <c r="Y193" s="999"/>
      <c r="Z193" s="999"/>
      <c r="AA193" s="999"/>
      <c r="AB193" s="999"/>
      <c r="AC193" s="1189"/>
      <c r="AD193" s="1189"/>
      <c r="AE193" s="1189"/>
      <c r="AF193" s="1189"/>
      <c r="AG193" s="1189"/>
      <c r="AH193" s="1189"/>
      <c r="AI193" s="1189"/>
      <c r="AJ193" s="999"/>
      <c r="AK193" s="999"/>
      <c r="AL193" s="999"/>
      <c r="AM193" s="999"/>
      <c r="AN193" s="999"/>
      <c r="AO193" s="999"/>
      <c r="AP193" s="999"/>
    </row>
    <row r="194" spans="1:42">
      <c r="A194" s="999"/>
      <c r="B194" s="1198"/>
      <c r="C194" s="1611" t="str">
        <f>CHOOSE(K194,C192,C193)</f>
        <v>Days Payable Outstanding</v>
      </c>
      <c r="D194" s="1606">
        <v>192</v>
      </c>
      <c r="E194" s="1742"/>
      <c r="F194" s="1742"/>
      <c r="G194" s="1742"/>
      <c r="H194" s="1192"/>
      <c r="I194" s="1192"/>
      <c r="J194" s="1192"/>
      <c r="K194" s="1743">
        <v>2</v>
      </c>
      <c r="L194" s="1743">
        <v>3</v>
      </c>
      <c r="M194" s="1744"/>
      <c r="N194" s="1744"/>
      <c r="O194" s="1744"/>
      <c r="P194" s="1745"/>
      <c r="Q194" s="1745"/>
      <c r="R194" s="1745"/>
      <c r="S194" s="1745"/>
      <c r="T194" s="1745"/>
      <c r="U194" s="1745"/>
      <c r="V194" s="1745"/>
      <c r="W194" s="999"/>
      <c r="X194" s="999"/>
      <c r="Y194" s="999"/>
      <c r="Z194" s="999"/>
      <c r="AA194" s="999"/>
      <c r="AB194" s="999"/>
      <c r="AC194" s="1189"/>
      <c r="AD194" s="1189"/>
      <c r="AE194" s="1189"/>
      <c r="AF194" s="1189"/>
      <c r="AG194" s="1189"/>
      <c r="AH194" s="1189"/>
      <c r="AI194" s="1189"/>
      <c r="AJ194" s="999"/>
      <c r="AK194" s="999"/>
      <c r="AL194" s="999"/>
      <c r="AM194" s="999"/>
      <c r="AN194" s="999"/>
      <c r="AO194" s="999"/>
      <c r="AP194" s="999"/>
    </row>
    <row r="195" spans="1:42">
      <c r="A195" s="999"/>
      <c r="B195" s="1198"/>
      <c r="C195" s="1611"/>
      <c r="D195" s="1606">
        <v>193</v>
      </c>
      <c r="E195" s="1742"/>
      <c r="F195" s="1742"/>
      <c r="G195" s="1742"/>
      <c r="H195" s="1742"/>
      <c r="I195" s="1742"/>
      <c r="J195" s="1744"/>
      <c r="K195" s="1744"/>
      <c r="L195" s="1744"/>
      <c r="M195" s="1744"/>
      <c r="N195" s="1744"/>
      <c r="O195" s="1744"/>
      <c r="P195" s="1745"/>
      <c r="Q195" s="1745"/>
      <c r="R195" s="1745"/>
      <c r="S195" s="1745"/>
      <c r="T195" s="1745"/>
      <c r="U195" s="1745"/>
      <c r="V195" s="1745"/>
      <c r="W195" s="999"/>
      <c r="X195" s="999"/>
      <c r="Y195" s="999"/>
      <c r="Z195" s="999"/>
      <c r="AA195" s="999"/>
      <c r="AB195" s="999"/>
      <c r="AC195" s="1189"/>
      <c r="AD195" s="1189"/>
      <c r="AE195" s="1189"/>
      <c r="AF195" s="1189"/>
      <c r="AG195" s="1189"/>
      <c r="AH195" s="1189"/>
      <c r="AI195" s="1189"/>
      <c r="AJ195" s="999"/>
      <c r="AK195" s="999"/>
      <c r="AL195" s="999"/>
      <c r="AM195" s="999"/>
      <c r="AN195" s="999"/>
      <c r="AO195" s="999"/>
      <c r="AP195" s="999"/>
    </row>
    <row r="196" spans="1:42">
      <c r="A196" s="999"/>
      <c r="B196" s="1198"/>
      <c r="C196" s="999" t="str">
        <f>C33&amp;" % Total Operating Expense:"</f>
        <v>Other Current Liabilities % Total Operating Expense:</v>
      </c>
      <c r="D196" s="1606">
        <v>194</v>
      </c>
      <c r="E196" s="1747" t="e">
        <f t="shared" ref="E196:K196" si="365">-E33/E75</f>
        <v>#DIV/0!</v>
      </c>
      <c r="F196" s="1747">
        <f t="shared" si="365"/>
        <v>0.29148939140950991</v>
      </c>
      <c r="G196" s="1747">
        <f t="shared" si="365"/>
        <v>0.29562141090296268</v>
      </c>
      <c r="H196" s="1747">
        <f t="shared" si="365"/>
        <v>0.32730164563145531</v>
      </c>
      <c r="I196" s="1747">
        <f t="shared" si="365"/>
        <v>0.33694461758645872</v>
      </c>
      <c r="J196" s="1747">
        <f t="shared" si="365"/>
        <v>0.23126733451836171</v>
      </c>
      <c r="K196" s="1749">
        <f t="shared" si="365"/>
        <v>0.2705236277056659</v>
      </c>
      <c r="L196" s="1749">
        <f>-L33/L75</f>
        <v>0.26524958417807581</v>
      </c>
      <c r="M196" s="1749">
        <f>-M33/M75</f>
        <v>0.27202945335744427</v>
      </c>
      <c r="N196" s="1749">
        <f>-N33/N75</f>
        <v>0.16760246102208232</v>
      </c>
      <c r="O196" s="1749">
        <f>-O33/O75</f>
        <v>0.24169215828727383</v>
      </c>
      <c r="P196" s="1750">
        <f>O196</f>
        <v>0.24169215828727383</v>
      </c>
      <c r="Q196" s="1750">
        <f>P196</f>
        <v>0.24169215828727383</v>
      </c>
      <c r="R196" s="1750">
        <f t="shared" ref="R196" si="366">Q196</f>
        <v>0.24169215828727383</v>
      </c>
      <c r="S196" s="1750">
        <f t="shared" ref="S196:U196" si="367">R196</f>
        <v>0.24169215828727383</v>
      </c>
      <c r="T196" s="1750">
        <f t="shared" si="367"/>
        <v>0.24169215828727383</v>
      </c>
      <c r="U196" s="1750">
        <f t="shared" si="367"/>
        <v>0.24169215828727383</v>
      </c>
      <c r="V196" s="1750"/>
      <c r="W196" s="999"/>
      <c r="X196" s="999"/>
      <c r="Y196" s="999"/>
      <c r="Z196" s="999"/>
      <c r="AA196" s="999"/>
      <c r="AB196" s="999"/>
      <c r="AC196" s="1189"/>
      <c r="AD196" s="1189"/>
      <c r="AE196" s="1189"/>
      <c r="AF196" s="1189"/>
      <c r="AG196" s="1189"/>
      <c r="AH196" s="1189"/>
      <c r="AI196" s="1189"/>
      <c r="AJ196" s="999"/>
      <c r="AK196" s="999"/>
      <c r="AL196" s="999"/>
      <c r="AM196" s="999"/>
      <c r="AN196" s="999"/>
      <c r="AO196" s="999"/>
      <c r="AP196" s="999"/>
    </row>
    <row r="197" spans="1:42">
      <c r="A197" s="999"/>
      <c r="B197" s="1198"/>
      <c r="C197" s="999"/>
      <c r="D197" s="1606">
        <v>195</v>
      </c>
      <c r="E197" s="1747"/>
      <c r="F197" s="1747"/>
      <c r="G197" s="1747"/>
      <c r="H197" s="1747"/>
      <c r="I197" s="1747"/>
      <c r="J197" s="1211"/>
      <c r="K197" s="1211"/>
      <c r="L197" s="1211"/>
      <c r="M197" s="1211"/>
      <c r="N197" s="1211"/>
      <c r="O197" s="1211"/>
      <c r="P197" s="1750"/>
      <c r="Q197" s="1750"/>
      <c r="R197" s="1750"/>
      <c r="S197" s="1750"/>
      <c r="T197" s="1750"/>
      <c r="U197" s="1750"/>
      <c r="V197" s="1750"/>
      <c r="W197" s="999"/>
      <c r="X197" s="999"/>
      <c r="Y197" s="999"/>
      <c r="Z197" s="999"/>
      <c r="AA197" s="999"/>
      <c r="AB197" s="999"/>
      <c r="AC197" s="1189"/>
      <c r="AD197" s="1189"/>
      <c r="AE197" s="1189"/>
      <c r="AF197" s="1189"/>
      <c r="AG197" s="1189"/>
      <c r="AH197" s="1189"/>
      <c r="AI197" s="1189"/>
      <c r="AJ197" s="999"/>
      <c r="AK197" s="999"/>
      <c r="AL197" s="999"/>
      <c r="AM197" s="999"/>
      <c r="AN197" s="999"/>
      <c r="AO197" s="999"/>
      <c r="AP197" s="999"/>
    </row>
    <row r="198" spans="1:42">
      <c r="A198" s="999"/>
      <c r="B198" s="1198"/>
      <c r="C198" s="999" t="str">
        <f>C32&amp;" % Increase over Net Income"</f>
        <v>Bonus And Welfare Funds % Increase over Net Income</v>
      </c>
      <c r="D198" s="1606">
        <v>196</v>
      </c>
      <c r="E198" s="1747" t="e">
        <f t="shared" ref="E198:K198" si="368">E111/E104</f>
        <v>#VALUE!</v>
      </c>
      <c r="F198" s="1747">
        <f t="shared" si="368"/>
        <v>0</v>
      </c>
      <c r="G198" s="1747">
        <f t="shared" si="368"/>
        <v>0</v>
      </c>
      <c r="H198" s="1747">
        <f t="shared" si="368"/>
        <v>0</v>
      </c>
      <c r="I198" s="1747">
        <f t="shared" si="368"/>
        <v>1.0462187979957698E-5</v>
      </c>
      <c r="J198" s="1747">
        <f t="shared" si="368"/>
        <v>0</v>
      </c>
      <c r="K198" s="1749">
        <f t="shared" si="368"/>
        <v>0</v>
      </c>
      <c r="L198" s="1749">
        <f>L111/L104</f>
        <v>0</v>
      </c>
      <c r="M198" s="1749">
        <f t="shared" ref="M198:O199" si="369">L198</f>
        <v>0</v>
      </c>
      <c r="N198" s="1749">
        <f t="shared" si="369"/>
        <v>0</v>
      </c>
      <c r="O198" s="1749">
        <f t="shared" si="369"/>
        <v>0</v>
      </c>
      <c r="P198" s="1751">
        <f t="shared" ref="P198:Q199" si="370">O198</f>
        <v>0</v>
      </c>
      <c r="Q198" s="1751">
        <f t="shared" si="370"/>
        <v>0</v>
      </c>
      <c r="R198" s="1751">
        <f t="shared" ref="R198:R199" si="371">Q198</f>
        <v>0</v>
      </c>
      <c r="S198" s="1751">
        <f t="shared" ref="S198:S199" si="372">R198</f>
        <v>0</v>
      </c>
      <c r="T198" s="1751">
        <f t="shared" ref="T198:T199" si="373">S198</f>
        <v>0</v>
      </c>
      <c r="U198" s="1751">
        <f t="shared" ref="U198:U199" si="374">T198</f>
        <v>0</v>
      </c>
      <c r="V198" s="1751"/>
      <c r="W198" s="999"/>
      <c r="X198" s="999"/>
      <c r="Y198" s="999"/>
      <c r="Z198" s="999"/>
      <c r="AA198" s="999"/>
      <c r="AB198" s="999"/>
      <c r="AC198" s="1189"/>
      <c r="AD198" s="1189"/>
      <c r="AE198" s="1189"/>
      <c r="AF198" s="1189"/>
      <c r="AG198" s="1189"/>
      <c r="AH198" s="1189"/>
      <c r="AI198" s="1189"/>
      <c r="AJ198" s="999"/>
      <c r="AK198" s="999"/>
      <c r="AL198" s="999"/>
      <c r="AM198" s="999"/>
      <c r="AN198" s="999"/>
      <c r="AO198" s="999"/>
      <c r="AP198" s="999"/>
    </row>
    <row r="199" spans="1:42">
      <c r="A199" s="999"/>
      <c r="B199" s="1198"/>
      <c r="C199" s="999" t="str">
        <f>C52&amp;" % Increase over Net Income"</f>
        <v>FX Revaluation % Increase over Net Income</v>
      </c>
      <c r="D199" s="1606">
        <v>197</v>
      </c>
      <c r="E199" s="1747" t="e">
        <f t="shared" ref="E199:K199" ca="1" si="375">E52/E104</f>
        <v>#VALUE!</v>
      </c>
      <c r="F199" s="1747">
        <f t="shared" ca="1" si="375"/>
        <v>0</v>
      </c>
      <c r="G199" s="1747">
        <f t="shared" ca="1" si="375"/>
        <v>0</v>
      </c>
      <c r="H199" s="1747">
        <f t="shared" ca="1" si="375"/>
        <v>-3.9018978011603633E-5</v>
      </c>
      <c r="I199" s="1747">
        <f t="shared" ca="1" si="375"/>
        <v>1.5512875763442569E-4</v>
      </c>
      <c r="J199" s="1747">
        <f t="shared" ca="1" si="375"/>
        <v>-7.4011314676234917E-6</v>
      </c>
      <c r="K199" s="1747">
        <f t="shared" ca="1" si="375"/>
        <v>-3.6816665339403778E-4</v>
      </c>
      <c r="L199" s="1747">
        <f ca="1">L52/L104</f>
        <v>1.0994363573536179E-3</v>
      </c>
      <c r="M199" s="1747">
        <f t="shared" ca="1" si="369"/>
        <v>1.0994363573536179E-3</v>
      </c>
      <c r="N199" s="1747">
        <f t="shared" ca="1" si="369"/>
        <v>1.0994363573536179E-3</v>
      </c>
      <c r="O199" s="1747">
        <f t="shared" ca="1" si="369"/>
        <v>1.0994363573536179E-3</v>
      </c>
      <c r="P199" s="1752">
        <f t="shared" ca="1" si="370"/>
        <v>1.0994363573536179E-3</v>
      </c>
      <c r="Q199" s="1752">
        <f t="shared" ca="1" si="370"/>
        <v>1.0994363573536179E-3</v>
      </c>
      <c r="R199" s="1752">
        <f t="shared" ca="1" si="371"/>
        <v>1.0994363573536179E-3</v>
      </c>
      <c r="S199" s="1752">
        <f t="shared" ca="1" si="372"/>
        <v>1.0994363573536179E-3</v>
      </c>
      <c r="T199" s="1752">
        <f t="shared" ca="1" si="373"/>
        <v>1.0994363573536179E-3</v>
      </c>
      <c r="U199" s="1752">
        <f t="shared" ca="1" si="374"/>
        <v>1.0994363573536179E-3</v>
      </c>
      <c r="V199" s="1752"/>
      <c r="W199" s="999"/>
      <c r="X199" s="999"/>
      <c r="Y199" s="999"/>
      <c r="Z199" s="999"/>
      <c r="AA199" s="999"/>
      <c r="AB199" s="999"/>
      <c r="AC199" s="1189"/>
      <c r="AD199" s="1189"/>
      <c r="AE199" s="1189"/>
      <c r="AF199" s="1189"/>
      <c r="AG199" s="1189"/>
      <c r="AH199" s="1189"/>
      <c r="AI199" s="1189"/>
      <c r="AJ199" s="999"/>
      <c r="AK199" s="999"/>
      <c r="AL199" s="999"/>
      <c r="AM199" s="999"/>
      <c r="AN199" s="999"/>
      <c r="AO199" s="999"/>
      <c r="AP199" s="999"/>
    </row>
    <row r="200" spans="1:42">
      <c r="A200" s="999">
        <v>5</v>
      </c>
      <c r="B200" s="1198"/>
      <c r="C200" s="999"/>
      <c r="D200" s="1606">
        <v>198</v>
      </c>
      <c r="E200" s="1192"/>
      <c r="F200" s="1192"/>
      <c r="G200" s="1192"/>
      <c r="H200" s="1192"/>
      <c r="I200" s="1192"/>
      <c r="J200" s="1192"/>
      <c r="K200" s="1192"/>
      <c r="L200" s="1192"/>
      <c r="M200" s="1192"/>
      <c r="N200" s="1192"/>
      <c r="O200" s="1192"/>
      <c r="P200" s="999"/>
      <c r="Q200" s="999"/>
      <c r="R200" s="999"/>
      <c r="S200" s="999"/>
      <c r="T200" s="999"/>
      <c r="U200" s="999"/>
      <c r="V200" s="999"/>
      <c r="W200" s="999"/>
      <c r="X200" s="999"/>
      <c r="Y200" s="999"/>
      <c r="Z200" s="999"/>
      <c r="AA200" s="999"/>
      <c r="AB200" s="999"/>
      <c r="AC200" s="1189"/>
      <c r="AD200" s="1189"/>
      <c r="AE200" s="1189"/>
      <c r="AF200" s="1189"/>
      <c r="AG200" s="1189"/>
      <c r="AH200" s="1189"/>
      <c r="AI200" s="1189"/>
      <c r="AJ200" s="999"/>
      <c r="AK200" s="999"/>
      <c r="AL200" s="999"/>
      <c r="AM200" s="999"/>
      <c r="AN200" s="999"/>
      <c r="AO200" s="999"/>
      <c r="AP200" s="999"/>
    </row>
    <row r="201" spans="1:42" outlineLevel="2">
      <c r="A201" s="999"/>
      <c r="B201" s="1221"/>
      <c r="C201" s="1222" t="s">
        <v>602</v>
      </c>
      <c r="D201" s="1606">
        <v>199</v>
      </c>
      <c r="E201" s="1233"/>
      <c r="F201" s="1233"/>
      <c r="G201" s="1237"/>
      <c r="H201" s="1237"/>
      <c r="I201" s="1237"/>
      <c r="J201" s="1237"/>
      <c r="K201" s="1237"/>
      <c r="L201" s="1237"/>
      <c r="M201" s="1237"/>
      <c r="N201" s="1237"/>
      <c r="O201" s="1237"/>
      <c r="P201" s="1226"/>
      <c r="Q201" s="1226"/>
      <c r="R201" s="1226"/>
      <c r="S201" s="1226"/>
      <c r="T201" s="1226"/>
      <c r="U201" s="1226"/>
      <c r="V201" s="1226"/>
      <c r="W201" s="999"/>
      <c r="X201" s="999"/>
      <c r="Y201" s="999"/>
      <c r="Z201" s="999"/>
      <c r="AA201" s="999"/>
      <c r="AB201" s="999"/>
      <c r="AC201" s="1189"/>
      <c r="AD201" s="1189"/>
      <c r="AE201" s="1189"/>
      <c r="AF201" s="1189"/>
      <c r="AG201" s="1189"/>
      <c r="AH201" s="1189"/>
      <c r="AI201" s="1189"/>
      <c r="AJ201" s="999"/>
      <c r="AK201" s="999"/>
      <c r="AL201" s="999"/>
      <c r="AM201" s="999"/>
      <c r="AN201" s="999"/>
      <c r="AO201" s="999"/>
      <c r="AP201" s="999"/>
    </row>
    <row r="202" spans="1:42" outlineLevel="2">
      <c r="A202" s="999"/>
      <c r="B202" s="1198"/>
      <c r="C202" s="1224"/>
      <c r="D202" s="1606">
        <v>200</v>
      </c>
      <c r="E202" s="1235"/>
      <c r="F202" s="1235"/>
      <c r="G202" s="1235"/>
      <c r="H202" s="1236"/>
      <c r="I202" s="1236"/>
      <c r="J202" s="1236"/>
      <c r="K202" s="1236"/>
      <c r="L202" s="1236"/>
      <c r="M202" s="1236"/>
      <c r="N202" s="1236"/>
      <c r="O202" s="1236"/>
      <c r="P202" s="1225"/>
      <c r="Q202" s="1225"/>
      <c r="R202" s="1225"/>
      <c r="S202" s="1225"/>
      <c r="T202" s="1225"/>
      <c r="U202" s="1225"/>
      <c r="V202" s="1225"/>
      <c r="W202" s="999"/>
      <c r="X202" s="999"/>
      <c r="Y202" s="999"/>
      <c r="Z202" s="999"/>
      <c r="AA202" s="999"/>
      <c r="AB202" s="999"/>
      <c r="AC202" s="1189"/>
      <c r="AD202" s="1189"/>
      <c r="AE202" s="1189"/>
      <c r="AF202" s="1189"/>
      <c r="AG202" s="1189"/>
      <c r="AH202" s="1189"/>
      <c r="AI202" s="1189"/>
      <c r="AJ202" s="999"/>
      <c r="AK202" s="999"/>
      <c r="AL202" s="999"/>
      <c r="AM202" s="999"/>
      <c r="AN202" s="999"/>
      <c r="AO202" s="999"/>
      <c r="AP202" s="999"/>
    </row>
    <row r="203" spans="1:42" outlineLevel="2">
      <c r="A203" s="999"/>
      <c r="B203" s="1198"/>
      <c r="C203" s="1617" t="s">
        <v>603</v>
      </c>
      <c r="D203" s="1606">
        <v>201</v>
      </c>
      <c r="E203" s="1192"/>
      <c r="F203" s="1753">
        <f>E211+1</f>
        <v>1</v>
      </c>
      <c r="G203" s="1753">
        <f>F211+1</f>
        <v>2016</v>
      </c>
      <c r="H203" s="1753">
        <f>G211+1</f>
        <v>2017</v>
      </c>
      <c r="I203" s="1753">
        <f>H211+1</f>
        <v>2018</v>
      </c>
      <c r="J203" s="1753">
        <f>I211+1</f>
        <v>2019</v>
      </c>
      <c r="K203" s="1753">
        <f t="shared" ref="K203:Q203" si="376">J203+1</f>
        <v>2020</v>
      </c>
      <c r="L203" s="1753">
        <f t="shared" si="376"/>
        <v>2021</v>
      </c>
      <c r="M203" s="1753">
        <f t="shared" si="376"/>
        <v>2022</v>
      </c>
      <c r="N203" s="1753">
        <f t="shared" si="376"/>
        <v>2023</v>
      </c>
      <c r="O203" s="1753">
        <f t="shared" si="376"/>
        <v>2024</v>
      </c>
      <c r="P203" s="1754">
        <f t="shared" si="376"/>
        <v>2025</v>
      </c>
      <c r="Q203" s="1754">
        <f t="shared" si="376"/>
        <v>2026</v>
      </c>
      <c r="R203" s="1754">
        <f t="shared" ref="R203" si="377">Q203+1</f>
        <v>2027</v>
      </c>
      <c r="S203" s="1754">
        <f t="shared" ref="S203" si="378">R203+1</f>
        <v>2028</v>
      </c>
      <c r="T203" s="1754">
        <f t="shared" ref="T203" si="379">S203+1</f>
        <v>2029</v>
      </c>
      <c r="U203" s="1754">
        <f t="shared" ref="U203" si="380">T203+1</f>
        <v>2030</v>
      </c>
      <c r="V203" s="1754"/>
      <c r="W203" s="999"/>
      <c r="X203" s="999"/>
      <c r="Y203" s="999"/>
      <c r="Z203" s="999"/>
      <c r="AA203" s="999"/>
      <c r="AB203" s="999"/>
      <c r="AC203" s="1189"/>
      <c r="AD203" s="1189"/>
      <c r="AE203" s="1189"/>
      <c r="AF203" s="1189"/>
      <c r="AG203" s="1189"/>
      <c r="AH203" s="1189"/>
      <c r="AI203" s="1189"/>
      <c r="AJ203" s="999"/>
      <c r="AK203" s="999"/>
      <c r="AL203" s="999"/>
      <c r="AM203" s="999"/>
      <c r="AN203" s="999"/>
      <c r="AO203" s="999"/>
      <c r="AP203" s="999"/>
    </row>
    <row r="204" spans="1:42" outlineLevel="2">
      <c r="A204" s="999"/>
      <c r="B204" s="1198"/>
      <c r="C204" s="1614" t="s">
        <v>604</v>
      </c>
      <c r="D204" s="1606">
        <v>202</v>
      </c>
      <c r="E204" s="1192"/>
      <c r="F204" s="1192"/>
      <c r="G204" s="1747">
        <f>(G212-F212)/$H$64</f>
        <v>0</v>
      </c>
      <c r="H204" s="1755">
        <f>(H212-G212)/$I$64</f>
        <v>0</v>
      </c>
      <c r="I204" s="1755">
        <f>(I212-H212)/J$64</f>
        <v>0</v>
      </c>
      <c r="J204" s="1625">
        <f>J212/$J$64</f>
        <v>0</v>
      </c>
      <c r="K204" s="1625">
        <v>3.0000000000000001E-3</v>
      </c>
      <c r="L204" s="1625">
        <f>L212/L$67</f>
        <v>3.4537771722318165E-2</v>
      </c>
      <c r="M204" s="1756">
        <f>L204-2%</f>
        <v>1.4537771722318165E-2</v>
      </c>
      <c r="N204" s="1756">
        <f>M204-2%</f>
        <v>-5.4622282776818354E-3</v>
      </c>
      <c r="O204" s="1756">
        <f>N204-2%</f>
        <v>-2.5462228277681836E-2</v>
      </c>
      <c r="P204" s="1757">
        <f t="shared" ref="P204:Q205" si="381">O204</f>
        <v>-2.5462228277681836E-2</v>
      </c>
      <c r="Q204" s="1757">
        <f t="shared" si="381"/>
        <v>-2.5462228277681836E-2</v>
      </c>
      <c r="R204" s="1757">
        <f t="shared" ref="R204:R208" si="382">Q204</f>
        <v>-2.5462228277681836E-2</v>
      </c>
      <c r="S204" s="1757">
        <f t="shared" ref="S204:S208" si="383">R204</f>
        <v>-2.5462228277681836E-2</v>
      </c>
      <c r="T204" s="1757">
        <f t="shared" ref="T204:T208" si="384">S204</f>
        <v>-2.5462228277681836E-2</v>
      </c>
      <c r="U204" s="1757">
        <f t="shared" ref="U204:U208" si="385">T204</f>
        <v>-2.5462228277681836E-2</v>
      </c>
      <c r="V204" s="1757"/>
      <c r="W204" s="999"/>
      <c r="X204" s="999"/>
      <c r="Y204" s="999"/>
      <c r="Z204" s="999"/>
      <c r="AA204" s="999"/>
      <c r="AB204" s="999"/>
      <c r="AC204" s="1189"/>
      <c r="AD204" s="1189"/>
      <c r="AE204" s="1189"/>
      <c r="AF204" s="1189"/>
      <c r="AG204" s="1189"/>
      <c r="AH204" s="1189"/>
      <c r="AI204" s="1189"/>
      <c r="AJ204" s="999"/>
      <c r="AK204" s="999"/>
      <c r="AL204" s="999"/>
      <c r="AM204" s="999"/>
      <c r="AN204" s="999"/>
      <c r="AO204" s="999"/>
      <c r="AP204" s="999"/>
    </row>
    <row r="205" spans="1:42" outlineLevel="2">
      <c r="A205" s="999"/>
      <c r="B205" s="1198"/>
      <c r="C205" s="1614" t="s">
        <v>605</v>
      </c>
      <c r="D205" s="1606">
        <v>203</v>
      </c>
      <c r="E205" s="1192"/>
      <c r="F205" s="1192"/>
      <c r="G205" s="1747">
        <f>(G213-F213)/$H$64</f>
        <v>0</v>
      </c>
      <c r="H205" s="1755">
        <f>(H213-G213)/$I$64</f>
        <v>0</v>
      </c>
      <c r="I205" s="1755">
        <f>(I213-H213)/J$64</f>
        <v>0</v>
      </c>
      <c r="J205" s="1625">
        <f>J213/$J$64</f>
        <v>0</v>
      </c>
      <c r="K205" s="1625">
        <v>2E-3</v>
      </c>
      <c r="L205" s="1625">
        <f>L213/L$67</f>
        <v>6.4897547245110145E-4</v>
      </c>
      <c r="M205" s="1625">
        <f>L205+0.03%</f>
        <v>9.4897547245110137E-4</v>
      </c>
      <c r="N205" s="1625">
        <f>M205+0.03%</f>
        <v>1.2489754724511013E-3</v>
      </c>
      <c r="O205" s="1625">
        <f>N205+0.03%</f>
        <v>1.5489754724511012E-3</v>
      </c>
      <c r="P205" s="1758">
        <f t="shared" si="381"/>
        <v>1.5489754724511012E-3</v>
      </c>
      <c r="Q205" s="1758">
        <f t="shared" si="381"/>
        <v>1.5489754724511012E-3</v>
      </c>
      <c r="R205" s="1758">
        <f t="shared" si="382"/>
        <v>1.5489754724511012E-3</v>
      </c>
      <c r="S205" s="1758">
        <f t="shared" si="383"/>
        <v>1.5489754724511012E-3</v>
      </c>
      <c r="T205" s="1758">
        <f t="shared" si="384"/>
        <v>1.5489754724511012E-3</v>
      </c>
      <c r="U205" s="1758">
        <f t="shared" si="385"/>
        <v>1.5489754724511012E-3</v>
      </c>
      <c r="V205" s="1758"/>
      <c r="W205" s="999"/>
      <c r="X205" s="999"/>
      <c r="Y205" s="999"/>
      <c r="Z205" s="999"/>
      <c r="AA205" s="999"/>
      <c r="AB205" s="999"/>
      <c r="AC205" s="1189"/>
      <c r="AD205" s="1189"/>
      <c r="AE205" s="1189"/>
      <c r="AF205" s="1189"/>
      <c r="AG205" s="1189"/>
      <c r="AH205" s="1189"/>
      <c r="AI205" s="1189"/>
      <c r="AJ205" s="999"/>
      <c r="AK205" s="999"/>
      <c r="AL205" s="999"/>
      <c r="AM205" s="999"/>
      <c r="AN205" s="999"/>
      <c r="AO205" s="999"/>
      <c r="AP205" s="999"/>
    </row>
    <row r="206" spans="1:42" outlineLevel="2">
      <c r="A206" s="999"/>
      <c r="B206" s="1198"/>
      <c r="C206" s="1614" t="s">
        <v>606</v>
      </c>
      <c r="D206" s="1606">
        <v>204</v>
      </c>
      <c r="E206" s="1192"/>
      <c r="F206" s="1192"/>
      <c r="G206" s="1747">
        <f>(G214-F214)/$H$64</f>
        <v>0</v>
      </c>
      <c r="H206" s="1755">
        <f>(H214-G214)/$I$64</f>
        <v>0</v>
      </c>
      <c r="I206" s="1755">
        <f>(I214-H214)/J$64</f>
        <v>0</v>
      </c>
      <c r="J206" s="1625">
        <f>J214/$J$64</f>
        <v>0</v>
      </c>
      <c r="K206" s="1625">
        <v>2E-3</v>
      </c>
      <c r="L206" s="1625">
        <f>L214/L$67</f>
        <v>5.2714176847854736E-3</v>
      </c>
      <c r="M206" s="1625">
        <f t="shared" ref="M206:O208" si="386">L206</f>
        <v>5.2714176847854736E-3</v>
      </c>
      <c r="N206" s="1625">
        <f t="shared" si="386"/>
        <v>5.2714176847854736E-3</v>
      </c>
      <c r="O206" s="1625">
        <f t="shared" si="386"/>
        <v>5.2714176847854736E-3</v>
      </c>
      <c r="P206" s="1758">
        <f t="shared" ref="P206:Q208" si="387">O206</f>
        <v>5.2714176847854736E-3</v>
      </c>
      <c r="Q206" s="1758">
        <f t="shared" si="387"/>
        <v>5.2714176847854736E-3</v>
      </c>
      <c r="R206" s="1758">
        <f t="shared" si="382"/>
        <v>5.2714176847854736E-3</v>
      </c>
      <c r="S206" s="1758">
        <f t="shared" si="383"/>
        <v>5.2714176847854736E-3</v>
      </c>
      <c r="T206" s="1758">
        <f t="shared" si="384"/>
        <v>5.2714176847854736E-3</v>
      </c>
      <c r="U206" s="1758">
        <f t="shared" si="385"/>
        <v>5.2714176847854736E-3</v>
      </c>
      <c r="V206" s="1758"/>
      <c r="W206" s="999"/>
      <c r="X206" s="999"/>
      <c r="Y206" s="999"/>
      <c r="Z206" s="999"/>
      <c r="AA206" s="999"/>
      <c r="AB206" s="999"/>
      <c r="AC206" s="1189"/>
      <c r="AD206" s="1189"/>
      <c r="AE206" s="1189"/>
      <c r="AF206" s="1189"/>
      <c r="AG206" s="1189"/>
      <c r="AH206" s="1189"/>
      <c r="AI206" s="1189"/>
      <c r="AJ206" s="999"/>
      <c r="AK206" s="999"/>
      <c r="AL206" s="999"/>
      <c r="AM206" s="999"/>
      <c r="AN206" s="999"/>
      <c r="AO206" s="999"/>
      <c r="AP206" s="999"/>
    </row>
    <row r="207" spans="1:42" outlineLevel="2">
      <c r="A207" s="999"/>
      <c r="B207" s="1198"/>
      <c r="C207" s="1614" t="s">
        <v>607</v>
      </c>
      <c r="D207" s="1606">
        <v>205</v>
      </c>
      <c r="E207" s="1192"/>
      <c r="F207" s="1192"/>
      <c r="G207" s="1747">
        <f>(G215-F215)/$H$64</f>
        <v>0</v>
      </c>
      <c r="H207" s="1755">
        <f>(H215-G215)/$I$64</f>
        <v>0</v>
      </c>
      <c r="I207" s="1755">
        <f>(I215-H215)/J$64</f>
        <v>0</v>
      </c>
      <c r="J207" s="1625">
        <f>H207</f>
        <v>0</v>
      </c>
      <c r="K207" s="1625">
        <f>J207</f>
        <v>0</v>
      </c>
      <c r="L207" s="1625">
        <f>L215/L$67</f>
        <v>7.7994044507753249E-6</v>
      </c>
      <c r="M207" s="1625">
        <f t="shared" si="386"/>
        <v>7.7994044507753249E-6</v>
      </c>
      <c r="N207" s="1625">
        <f t="shared" si="386"/>
        <v>7.7994044507753249E-6</v>
      </c>
      <c r="O207" s="1625">
        <f t="shared" si="386"/>
        <v>7.7994044507753249E-6</v>
      </c>
      <c r="P207" s="1758">
        <f t="shared" si="387"/>
        <v>7.7994044507753249E-6</v>
      </c>
      <c r="Q207" s="1758">
        <f t="shared" si="387"/>
        <v>7.7994044507753249E-6</v>
      </c>
      <c r="R207" s="1758">
        <f t="shared" si="382"/>
        <v>7.7994044507753249E-6</v>
      </c>
      <c r="S207" s="1758">
        <f t="shared" si="383"/>
        <v>7.7994044507753249E-6</v>
      </c>
      <c r="T207" s="1758">
        <f t="shared" si="384"/>
        <v>7.7994044507753249E-6</v>
      </c>
      <c r="U207" s="1758">
        <f t="shared" si="385"/>
        <v>7.7994044507753249E-6</v>
      </c>
      <c r="V207" s="1758"/>
      <c r="W207" s="999"/>
      <c r="X207" s="999"/>
      <c r="Y207" s="999"/>
      <c r="Z207" s="999"/>
      <c r="AA207" s="999"/>
      <c r="AB207" s="999"/>
      <c r="AC207" s="1189"/>
      <c r="AD207" s="1189"/>
      <c r="AE207" s="1189"/>
      <c r="AF207" s="1189"/>
      <c r="AG207" s="1189"/>
      <c r="AH207" s="1189"/>
      <c r="AI207" s="1189"/>
      <c r="AJ207" s="999"/>
      <c r="AK207" s="999"/>
      <c r="AL207" s="999"/>
      <c r="AM207" s="999"/>
      <c r="AN207" s="999"/>
      <c r="AO207" s="999"/>
      <c r="AP207" s="999"/>
    </row>
    <row r="208" spans="1:42" outlineLevel="2">
      <c r="A208" s="999"/>
      <c r="B208" s="1198"/>
      <c r="C208" s="1614" t="s">
        <v>608</v>
      </c>
      <c r="D208" s="1606">
        <v>206</v>
      </c>
      <c r="E208" s="1192"/>
      <c r="F208" s="1192"/>
      <c r="G208" s="1747">
        <f>(G216-F216)/$H$64</f>
        <v>0</v>
      </c>
      <c r="H208" s="1755">
        <f>(H216-G216)/$H$64</f>
        <v>0</v>
      </c>
      <c r="I208" s="1755">
        <f>(I216-H216)/J$64</f>
        <v>0</v>
      </c>
      <c r="J208" s="1625">
        <f>H208</f>
        <v>0</v>
      </c>
      <c r="K208" s="1625">
        <f>J208</f>
        <v>0</v>
      </c>
      <c r="L208" s="1625">
        <f>L216/L$67</f>
        <v>1.0233241677816223E-5</v>
      </c>
      <c r="M208" s="1625">
        <f t="shared" si="386"/>
        <v>1.0233241677816223E-5</v>
      </c>
      <c r="N208" s="1625">
        <f t="shared" si="386"/>
        <v>1.0233241677816223E-5</v>
      </c>
      <c r="O208" s="1625">
        <f t="shared" si="386"/>
        <v>1.0233241677816223E-5</v>
      </c>
      <c r="P208" s="1758">
        <f t="shared" si="387"/>
        <v>1.0233241677816223E-5</v>
      </c>
      <c r="Q208" s="1758">
        <f t="shared" si="387"/>
        <v>1.0233241677816223E-5</v>
      </c>
      <c r="R208" s="1758">
        <f t="shared" si="382"/>
        <v>1.0233241677816223E-5</v>
      </c>
      <c r="S208" s="1758">
        <f t="shared" si="383"/>
        <v>1.0233241677816223E-5</v>
      </c>
      <c r="T208" s="1758">
        <f t="shared" si="384"/>
        <v>1.0233241677816223E-5</v>
      </c>
      <c r="U208" s="1758">
        <f t="shared" si="385"/>
        <v>1.0233241677816223E-5</v>
      </c>
      <c r="V208" s="1758"/>
      <c r="W208" s="999"/>
      <c r="X208" s="999"/>
      <c r="Y208" s="999"/>
      <c r="Z208" s="999"/>
      <c r="AA208" s="999"/>
      <c r="AB208" s="999"/>
      <c r="AC208" s="1189"/>
      <c r="AD208" s="1189"/>
      <c r="AE208" s="1189"/>
      <c r="AF208" s="1189"/>
      <c r="AG208" s="1189"/>
      <c r="AH208" s="1189"/>
      <c r="AI208" s="1189"/>
      <c r="AJ208" s="999"/>
      <c r="AK208" s="999"/>
      <c r="AL208" s="999"/>
      <c r="AM208" s="999"/>
      <c r="AN208" s="999"/>
      <c r="AO208" s="999"/>
      <c r="AP208" s="999"/>
    </row>
    <row r="209" spans="1:42" outlineLevel="2">
      <c r="A209" s="999"/>
      <c r="B209" s="1198"/>
      <c r="C209" s="1617" t="s">
        <v>609</v>
      </c>
      <c r="D209" s="1606">
        <v>207</v>
      </c>
      <c r="E209" s="1192"/>
      <c r="F209" s="1192"/>
      <c r="G209" s="1759">
        <f>-G217/G64</f>
        <v>-2.8035822674640304E-2</v>
      </c>
      <c r="H209" s="1759">
        <f>-H217/H64</f>
        <v>-3.0503900770425727E-2</v>
      </c>
      <c r="I209" s="1759">
        <f>-I217/I64</f>
        <v>-1.7049915173407232E-2</v>
      </c>
      <c r="J209" s="1759">
        <f>-J217/J64</f>
        <v>-2.9636370304276734E-2</v>
      </c>
      <c r="K209" s="1759">
        <f t="shared" ref="K209:Q209" si="388">SUM(K204:K208)</f>
        <v>7.0000000000000001E-3</v>
      </c>
      <c r="L209" s="1759">
        <f>SUM(L204:L208)</f>
        <v>4.0476197525683329E-2</v>
      </c>
      <c r="M209" s="1759">
        <f t="shared" si="388"/>
        <v>2.077619752568333E-2</v>
      </c>
      <c r="N209" s="1759">
        <f>SUM(N204:N208)</f>
        <v>1.0761975256833307E-3</v>
      </c>
      <c r="O209" s="1759">
        <f>SUM(O204:O208)</f>
        <v>-1.8623802474316671E-2</v>
      </c>
      <c r="P209" s="1760">
        <f t="shared" si="388"/>
        <v>-1.8623802474316671E-2</v>
      </c>
      <c r="Q209" s="1760">
        <f t="shared" si="388"/>
        <v>-1.8623802474316671E-2</v>
      </c>
      <c r="R209" s="1760">
        <f t="shared" ref="R209" si="389">SUM(R204:R208)</f>
        <v>-1.8623802474316671E-2</v>
      </c>
      <c r="S209" s="1760">
        <f t="shared" ref="S209:U209" si="390">SUM(S204:S208)</f>
        <v>-1.8623802474316671E-2</v>
      </c>
      <c r="T209" s="1760">
        <f t="shared" si="390"/>
        <v>-1.8623802474316671E-2</v>
      </c>
      <c r="U209" s="1760">
        <f t="shared" si="390"/>
        <v>-1.8623802474316671E-2</v>
      </c>
      <c r="V209" s="1760"/>
      <c r="W209" s="999"/>
      <c r="X209" s="999"/>
      <c r="Y209" s="999"/>
      <c r="Z209" s="999"/>
      <c r="AA209" s="999"/>
      <c r="AB209" s="999"/>
      <c r="AC209" s="1189"/>
      <c r="AD209" s="1189"/>
      <c r="AE209" s="1189"/>
      <c r="AF209" s="1189"/>
      <c r="AG209" s="1189"/>
      <c r="AH209" s="1189"/>
      <c r="AI209" s="1189"/>
      <c r="AJ209" s="999"/>
      <c r="AK209" s="999"/>
      <c r="AL209" s="999"/>
      <c r="AM209" s="999"/>
      <c r="AN209" s="999"/>
      <c r="AO209" s="999"/>
      <c r="AP209" s="999"/>
    </row>
    <row r="210" spans="1:42" outlineLevel="2">
      <c r="A210" s="999"/>
      <c r="B210" s="1198"/>
      <c r="C210" s="1224"/>
      <c r="D210" s="1606">
        <v>208</v>
      </c>
      <c r="E210" s="1235"/>
      <c r="F210" s="1235"/>
      <c r="G210" s="1235"/>
      <c r="H210" s="1236"/>
      <c r="I210" s="1236"/>
      <c r="J210" s="1761"/>
      <c r="K210" s="1761"/>
      <c r="L210" s="1761"/>
      <c r="M210" s="1709">
        <f>(Rev_Year!I64-Rev_Year!H64)*5+(Rev_Year!I76-Rev_Year!H76)*5+(Rev_Year!I167-Rev_Year!H167)*2</f>
        <v>3626</v>
      </c>
      <c r="N210" s="1709">
        <f>(Rev_Year!J64-Rev_Year!I64)*5+(Rev_Year!J76-Rev_Year!I76)*5+(Rev_Year!J167-Rev_Year!I167)*2</f>
        <v>-1129</v>
      </c>
      <c r="O210" s="1709">
        <f>(Rev_Year!K64-Rev_Year!J64)*5+(Rev_Year!K76-Rev_Year!J76)*5+(Rev_Year!K167-Rev_Year!J167)*2</f>
        <v>-1160</v>
      </c>
      <c r="P210" s="1762"/>
      <c r="Q210" s="1762"/>
      <c r="R210" s="1762"/>
      <c r="S210" s="1762"/>
      <c r="T210" s="1762"/>
      <c r="U210" s="1762"/>
      <c r="V210" s="1762"/>
      <c r="W210" s="999"/>
      <c r="X210" s="999"/>
      <c r="Y210" s="999"/>
      <c r="Z210" s="999"/>
      <c r="AA210" s="999"/>
      <c r="AB210" s="999"/>
      <c r="AC210" s="1189"/>
      <c r="AD210" s="1189"/>
      <c r="AE210" s="1189"/>
      <c r="AF210" s="1189"/>
      <c r="AG210" s="1189"/>
      <c r="AH210" s="1189"/>
      <c r="AI210" s="1189"/>
      <c r="AJ210" s="999"/>
      <c r="AK210" s="999"/>
      <c r="AL210" s="999"/>
      <c r="AM210" s="999"/>
      <c r="AN210" s="999"/>
      <c r="AO210" s="999"/>
      <c r="AP210" s="999"/>
    </row>
    <row r="211" spans="1:42" outlineLevel="2">
      <c r="A211" s="999"/>
      <c r="B211" s="1198"/>
      <c r="C211" s="1000" t="s">
        <v>610</v>
      </c>
      <c r="D211" s="1606">
        <v>209</v>
      </c>
      <c r="E211" s="1204"/>
      <c r="F211" s="1763">
        <v>2015</v>
      </c>
      <c r="G211" s="1763">
        <v>2016</v>
      </c>
      <c r="H211" s="1763">
        <v>2017</v>
      </c>
      <c r="I211" s="1753">
        <v>2018</v>
      </c>
      <c r="J211" s="1764">
        <f t="shared" ref="J211:Q211" si="391">J203</f>
        <v>2019</v>
      </c>
      <c r="K211" s="1764">
        <f t="shared" si="391"/>
        <v>2020</v>
      </c>
      <c r="L211" s="1764">
        <f>L203</f>
        <v>2021</v>
      </c>
      <c r="M211" s="1764">
        <f t="shared" si="391"/>
        <v>2022</v>
      </c>
      <c r="N211" s="1764">
        <f>N203</f>
        <v>2023</v>
      </c>
      <c r="O211" s="1764">
        <f>O203</f>
        <v>2024</v>
      </c>
      <c r="P211" s="1765">
        <f t="shared" si="391"/>
        <v>2025</v>
      </c>
      <c r="Q211" s="1765">
        <f t="shared" si="391"/>
        <v>2026</v>
      </c>
      <c r="R211" s="1765">
        <f t="shared" ref="R211" si="392">R203</f>
        <v>2027</v>
      </c>
      <c r="S211" s="1765">
        <f t="shared" ref="S211:U211" si="393">S203</f>
        <v>2028</v>
      </c>
      <c r="T211" s="1765">
        <f t="shared" si="393"/>
        <v>2029</v>
      </c>
      <c r="U211" s="1765">
        <f t="shared" si="393"/>
        <v>2030</v>
      </c>
      <c r="V211" s="1765"/>
      <c r="W211" s="999"/>
      <c r="X211" s="999"/>
      <c r="Y211" s="999"/>
      <c r="Z211" s="999"/>
      <c r="AA211" s="999"/>
      <c r="AB211" s="999"/>
      <c r="AC211" s="1189"/>
      <c r="AD211" s="1189"/>
      <c r="AE211" s="1189"/>
      <c r="AF211" s="1189"/>
      <c r="AG211" s="1189"/>
      <c r="AH211" s="1189"/>
      <c r="AI211" s="1189"/>
      <c r="AJ211" s="999"/>
      <c r="AK211" s="999"/>
      <c r="AL211" s="999"/>
      <c r="AM211" s="999"/>
      <c r="AN211" s="999"/>
      <c r="AO211" s="999"/>
      <c r="AP211" s="999"/>
    </row>
    <row r="212" spans="1:42" outlineLevel="2">
      <c r="A212" s="999"/>
      <c r="B212" s="1198"/>
      <c r="C212" s="1614" t="str">
        <f>C220</f>
        <v>Nhà cửa vật kiến trúc</v>
      </c>
      <c r="D212" s="1606">
        <v>210</v>
      </c>
      <c r="E212" s="1766"/>
      <c r="F212" s="1766"/>
      <c r="G212" s="1766"/>
      <c r="H212" s="1766"/>
      <c r="I212" s="1766"/>
      <c r="J212" s="1609"/>
      <c r="K212" s="1609"/>
      <c r="L212" s="1609">
        <v>4246.6989999999996</v>
      </c>
      <c r="M212" s="1609">
        <f>(Rev_Year!I64-Rev_Year!H64)*5+(Rev_Year!I76-Rev_Year!H76)*5+(Rev_Year!I167-Rev_Year!H167)*2</f>
        <v>3626</v>
      </c>
      <c r="N212" s="1609">
        <f>(Rev_Year!J64-Rev_Year!I64)*5+(Rev_Year!J76-Rev_Year!I76)*5+(Rev_Year!J167-Rev_Year!I167)*2</f>
        <v>-1129</v>
      </c>
      <c r="O212" s="1609">
        <f>(Rev_Year!K64-Rev_Year!J64)*5+(Rev_Year!K76-Rev_Year!J76)*5+(Rev_Year!K167-Rev_Year!J167)*2</f>
        <v>-1160</v>
      </c>
      <c r="P212" s="1767">
        <f ca="1">P204*P$64</f>
        <v>-4090.2987176014822</v>
      </c>
      <c r="Q212" s="1767">
        <f t="shared" ref="P212:Q216" ca="1" si="394">Q204*Q$64</f>
        <v>-4972.1055304753409</v>
      </c>
      <c r="R212" s="1767">
        <f t="shared" ref="R212" ca="1" si="395">R204*R$64</f>
        <v>-5705.1291541610053</v>
      </c>
      <c r="S212" s="1767">
        <f t="shared" ref="S212:U212" ca="1" si="396">S204*S$64</f>
        <v>-6573.6759590184138</v>
      </c>
      <c r="T212" s="1767">
        <f t="shared" ca="1" si="396"/>
        <v>-7314.8637803493903</v>
      </c>
      <c r="U212" s="1767">
        <f t="shared" ca="1" si="396"/>
        <v>-7998.2064439218439</v>
      </c>
      <c r="V212" s="1767"/>
      <c r="W212" s="999"/>
      <c r="X212" s="999"/>
      <c r="Y212" s="999"/>
      <c r="Z212" s="999"/>
      <c r="AA212" s="999"/>
      <c r="AB212" s="999"/>
      <c r="AC212" s="1189"/>
      <c r="AD212" s="1189"/>
      <c r="AE212" s="1189"/>
      <c r="AF212" s="1189"/>
      <c r="AG212" s="1189"/>
      <c r="AH212" s="1189"/>
      <c r="AI212" s="1189"/>
      <c r="AJ212" s="999"/>
      <c r="AK212" s="999"/>
      <c r="AL212" s="999"/>
      <c r="AM212" s="999"/>
      <c r="AN212" s="999"/>
      <c r="AO212" s="999"/>
      <c r="AP212" s="999"/>
    </row>
    <row r="213" spans="1:42" outlineLevel="2">
      <c r="A213" s="999"/>
      <c r="B213" s="1198"/>
      <c r="C213" s="1614" t="str">
        <f>C221</f>
        <v>PT vận tại</v>
      </c>
      <c r="D213" s="1606">
        <v>211</v>
      </c>
      <c r="E213" s="1766"/>
      <c r="F213" s="1766"/>
      <c r="G213" s="1766"/>
      <c r="H213" s="1766"/>
      <c r="I213" s="1766"/>
      <c r="J213" s="1609"/>
      <c r="K213" s="1609"/>
      <c r="L213" s="1609">
        <v>79.796795000000003</v>
      </c>
      <c r="M213" s="1609">
        <f t="shared" ref="M213:M216" si="397">M205*M$64</f>
        <v>127.84810978774428</v>
      </c>
      <c r="N213" s="1609">
        <f t="shared" ref="N213:O216" si="398">N205*N$64</f>
        <v>148.92057232423372</v>
      </c>
      <c r="O213" s="1609">
        <f t="shared" si="398"/>
        <v>209.46036517185414</v>
      </c>
      <c r="P213" s="1767">
        <f t="shared" ca="1" si="394"/>
        <v>248.83024060059674</v>
      </c>
      <c r="Q213" s="1767">
        <f t="shared" ca="1" si="394"/>
        <v>302.47429365384511</v>
      </c>
      <c r="R213" s="1767">
        <f t="shared" ref="R213" ca="1" si="399">R205*R$64</f>
        <v>347.06723349531029</v>
      </c>
      <c r="S213" s="1767">
        <f t="shared" ref="S213:U213" ca="1" si="400">S205*S$64</f>
        <v>399.9046239517902</v>
      </c>
      <c r="T213" s="1767">
        <f t="shared" ca="1" si="400"/>
        <v>444.99422660559526</v>
      </c>
      <c r="U213" s="1767">
        <f t="shared" ca="1" si="400"/>
        <v>486.56486267128923</v>
      </c>
      <c r="V213" s="1767"/>
      <c r="W213" s="999"/>
      <c r="X213" s="999"/>
      <c r="Y213" s="999"/>
      <c r="Z213" s="999"/>
      <c r="AA213" s="999"/>
      <c r="AB213" s="999"/>
      <c r="AC213" s="1189"/>
      <c r="AD213" s="1189"/>
      <c r="AE213" s="1189"/>
      <c r="AF213" s="1189"/>
      <c r="AG213" s="1189"/>
      <c r="AH213" s="1189"/>
      <c r="AI213" s="1189"/>
      <c r="AJ213" s="999"/>
      <c r="AK213" s="999"/>
      <c r="AL213" s="999"/>
      <c r="AM213" s="999"/>
      <c r="AN213" s="999"/>
      <c r="AO213" s="999"/>
      <c r="AP213" s="999"/>
    </row>
    <row r="214" spans="1:42" outlineLevel="2">
      <c r="A214" s="999"/>
      <c r="B214" s="1198"/>
      <c r="C214" s="1614" t="str">
        <f>C222</f>
        <v>TB văn phòng</v>
      </c>
      <c r="D214" s="1606">
        <v>212</v>
      </c>
      <c r="E214" s="1766"/>
      <c r="F214" s="1766"/>
      <c r="G214" s="1766"/>
      <c r="H214" s="1766"/>
      <c r="I214" s="1766"/>
      <c r="J214" s="1609"/>
      <c r="K214" s="1609"/>
      <c r="L214" s="1609">
        <v>648.16353500000002</v>
      </c>
      <c r="M214" s="1609">
        <f t="shared" si="397"/>
        <v>710.17724531993815</v>
      </c>
      <c r="N214" s="1609">
        <f t="shared" si="398"/>
        <v>628.53319051793812</v>
      </c>
      <c r="O214" s="1609">
        <f t="shared" si="398"/>
        <v>712.82799041441353</v>
      </c>
      <c r="P214" s="1767">
        <f t="shared" ca="1" si="394"/>
        <v>846.81013620944736</v>
      </c>
      <c r="Q214" s="1767">
        <f t="shared" ca="1" si="394"/>
        <v>1029.3696505321575</v>
      </c>
      <c r="R214" s="1767">
        <f t="shared" ref="R214" ca="1" si="401">R206*R$64</f>
        <v>1181.1267415110756</v>
      </c>
      <c r="S214" s="1767">
        <f t="shared" ref="S214:U214" ca="1" si="402">S206*S$64</f>
        <v>1360.9410506617946</v>
      </c>
      <c r="T214" s="1767">
        <f t="shared" ca="1" si="402"/>
        <v>1514.3883666823012</v>
      </c>
      <c r="U214" s="1767">
        <f t="shared" ca="1" si="402"/>
        <v>1655.8600620202003</v>
      </c>
      <c r="V214" s="1767"/>
      <c r="W214" s="999"/>
      <c r="X214" s="999"/>
      <c r="Y214" s="999"/>
      <c r="Z214" s="999"/>
      <c r="AA214" s="999"/>
      <c r="AB214" s="999"/>
      <c r="AC214" s="1189"/>
      <c r="AD214" s="1189"/>
      <c r="AE214" s="1189"/>
      <c r="AF214" s="1189"/>
      <c r="AG214" s="1189"/>
      <c r="AH214" s="1189"/>
      <c r="AI214" s="1189"/>
      <c r="AJ214" s="999"/>
      <c r="AK214" s="999"/>
      <c r="AL214" s="999"/>
      <c r="AM214" s="999"/>
      <c r="AN214" s="999"/>
      <c r="AO214" s="999"/>
      <c r="AP214" s="999"/>
    </row>
    <row r="215" spans="1:42" outlineLevel="2">
      <c r="A215" s="999"/>
      <c r="B215" s="1198"/>
      <c r="C215" s="1614" t="str">
        <f>C224</f>
        <v>Phần mềm máy tính</v>
      </c>
      <c r="D215" s="1606">
        <v>213</v>
      </c>
      <c r="E215" s="1766"/>
      <c r="F215" s="1766"/>
      <c r="G215" s="1766"/>
      <c r="H215" s="1766"/>
      <c r="I215" s="1766"/>
      <c r="J215" s="1609"/>
      <c r="K215" s="1609"/>
      <c r="L215" s="1609">
        <v>0.95899999999999996</v>
      </c>
      <c r="M215" s="1609">
        <f t="shared" si="397"/>
        <v>1.0507533075920732</v>
      </c>
      <c r="N215" s="1609">
        <f t="shared" si="398"/>
        <v>0.92995563180934349</v>
      </c>
      <c r="O215" s="1609">
        <f t="shared" si="398"/>
        <v>1.0546752569279023</v>
      </c>
      <c r="P215" s="1767">
        <f t="shared" ca="1" si="394"/>
        <v>1.2529105337974</v>
      </c>
      <c r="Q215" s="1767">
        <f t="shared" ca="1" si="394"/>
        <v>1.5230191788872216</v>
      </c>
      <c r="R215" s="1767">
        <f t="shared" ref="R215" ca="1" si="403">R207*R$64</f>
        <v>1.7475536403156671</v>
      </c>
      <c r="S215" s="1767">
        <f t="shared" ref="S215:U215" ca="1" si="404">S207*S$64</f>
        <v>2.0136005762568252</v>
      </c>
      <c r="T215" s="1767">
        <f t="shared" ca="1" si="404"/>
        <v>2.2406358352885847</v>
      </c>
      <c r="U215" s="1767">
        <f t="shared" ca="1" si="404"/>
        <v>2.4499523865954167</v>
      </c>
      <c r="V215" s="1767"/>
      <c r="W215" s="999"/>
      <c r="X215" s="999"/>
      <c r="Y215" s="999"/>
      <c r="Z215" s="999"/>
      <c r="AA215" s="999"/>
      <c r="AB215" s="999"/>
      <c r="AC215" s="1189"/>
      <c r="AD215" s="1189"/>
      <c r="AE215" s="1189"/>
      <c r="AF215" s="1189"/>
      <c r="AG215" s="1189"/>
      <c r="AH215" s="1189"/>
      <c r="AI215" s="1189"/>
      <c r="AJ215" s="999"/>
      <c r="AK215" s="999"/>
      <c r="AL215" s="999"/>
      <c r="AM215" s="999"/>
      <c r="AN215" s="999"/>
      <c r="AO215" s="999"/>
      <c r="AP215" s="999"/>
    </row>
    <row r="216" spans="1:42" outlineLevel="2">
      <c r="A216" s="999"/>
      <c r="B216" s="1198"/>
      <c r="C216" s="1614" t="s">
        <v>49</v>
      </c>
      <c r="D216" s="1606">
        <v>214</v>
      </c>
      <c r="E216" s="1766"/>
      <c r="F216" s="1766"/>
      <c r="G216" s="1766"/>
      <c r="H216" s="1766"/>
      <c r="I216" s="1766"/>
      <c r="J216" s="1609"/>
      <c r="K216" s="1609"/>
      <c r="L216" s="1609">
        <f>L217-SUM(L212:L215)</f>
        <v>1.2582600160003494</v>
      </c>
      <c r="M216" s="1609">
        <f t="shared" si="397"/>
        <v>1.3786453322452787</v>
      </c>
      <c r="N216" s="1609">
        <f t="shared" si="398"/>
        <v>1.2201522295725127</v>
      </c>
      <c r="O216" s="1609">
        <f t="shared" si="398"/>
        <v>1.3837911424997655</v>
      </c>
      <c r="P216" s="1767">
        <f t="shared" ca="1" si="394"/>
        <v>1.6438865780009626</v>
      </c>
      <c r="Q216" s="1767">
        <f t="shared" ca="1" si="394"/>
        <v>1.9982837710067514</v>
      </c>
      <c r="R216" s="1767">
        <f t="shared" ref="R216" ca="1" si="405">R208*R$64</f>
        <v>2.2928851631126803</v>
      </c>
      <c r="S216" s="1767">
        <f t="shared" ref="S216:U216" ca="1" si="406">S208*S$64</f>
        <v>2.6419531734089947</v>
      </c>
      <c r="T216" s="1767">
        <f t="shared" ca="1" si="406"/>
        <v>2.939835747613317</v>
      </c>
      <c r="U216" s="1767">
        <f t="shared" ca="1" si="406"/>
        <v>3.2144704162227771</v>
      </c>
      <c r="V216" s="1767"/>
      <c r="W216" s="999"/>
      <c r="X216" s="999"/>
      <c r="Y216" s="999"/>
      <c r="Z216" s="999"/>
      <c r="AA216" s="999"/>
      <c r="AB216" s="999"/>
      <c r="AC216" s="1189"/>
      <c r="AD216" s="1189"/>
      <c r="AE216" s="1189"/>
      <c r="AF216" s="1189"/>
      <c r="AG216" s="1189"/>
      <c r="AH216" s="1189"/>
      <c r="AI216" s="1189"/>
      <c r="AJ216" s="999"/>
      <c r="AK216" s="999"/>
      <c r="AL216" s="999"/>
      <c r="AM216" s="999"/>
      <c r="AN216" s="999"/>
      <c r="AO216" s="999"/>
      <c r="AP216" s="999"/>
    </row>
    <row r="217" spans="1:42" outlineLevel="2">
      <c r="A217" s="999"/>
      <c r="B217" s="1198"/>
      <c r="C217" s="1617" t="s">
        <v>611</v>
      </c>
      <c r="D217" s="1606">
        <v>215</v>
      </c>
      <c r="E217" s="1607"/>
      <c r="F217" s="1607">
        <f t="shared" ref="F217:K217" si="407">-F154</f>
        <v>586.51789747199996</v>
      </c>
      <c r="G217" s="1607">
        <f t="shared" si="407"/>
        <v>1278.788918537</v>
      </c>
      <c r="H217" s="1607">
        <f t="shared" si="407"/>
        <v>2065.0695674100002</v>
      </c>
      <c r="I217" s="1607">
        <f t="shared" si="407"/>
        <v>1495.9319190379999</v>
      </c>
      <c r="J217" s="1607">
        <f t="shared" si="407"/>
        <v>3066.9211641400002</v>
      </c>
      <c r="K217" s="1607">
        <f t="shared" si="407"/>
        <v>3911.3581600020002</v>
      </c>
      <c r="L217" s="1607">
        <f>-L154</f>
        <v>4976.8765900159997</v>
      </c>
      <c r="M217" s="1654">
        <f t="shared" ref="M217:Q217" si="408">SUM(M212:M216)</f>
        <v>4466.45475374752</v>
      </c>
      <c r="N217" s="1654">
        <f>SUM(N212:N216)</f>
        <v>-349.3961292964463</v>
      </c>
      <c r="O217" s="1654">
        <f>SUM(O212:O216)</f>
        <v>-235.27317801430462</v>
      </c>
      <c r="P217" s="1768">
        <f t="shared" ca="1" si="408"/>
        <v>-2991.7615436796391</v>
      </c>
      <c r="Q217" s="1768">
        <f t="shared" ca="1" si="408"/>
        <v>-3636.740283339444</v>
      </c>
      <c r="R217" s="1768">
        <f t="shared" ref="R217" ca="1" si="409">SUM(R212:R216)</f>
        <v>-4172.894740351192</v>
      </c>
      <c r="S217" s="1768">
        <f t="shared" ref="S217:U217" ca="1" si="410">SUM(S212:S216)</f>
        <v>-4808.1747306551624</v>
      </c>
      <c r="T217" s="1768">
        <f t="shared" ca="1" si="410"/>
        <v>-5350.3007154785928</v>
      </c>
      <c r="U217" s="1768">
        <f t="shared" ca="1" si="410"/>
        <v>-5850.1170964275361</v>
      </c>
      <c r="V217" s="1768"/>
      <c r="W217" s="999"/>
      <c r="X217" s="999"/>
      <c r="Y217" s="999"/>
      <c r="Z217" s="999"/>
      <c r="AA217" s="999"/>
      <c r="AB217" s="999"/>
      <c r="AC217" s="1189"/>
      <c r="AD217" s="1189"/>
      <c r="AE217" s="1189"/>
      <c r="AF217" s="1189"/>
      <c r="AG217" s="1189"/>
      <c r="AH217" s="1189"/>
      <c r="AI217" s="1189"/>
      <c r="AJ217" s="999"/>
      <c r="AK217" s="999"/>
      <c r="AL217" s="999"/>
      <c r="AM217" s="999"/>
      <c r="AN217" s="999"/>
      <c r="AO217" s="999"/>
      <c r="AP217" s="999"/>
    </row>
    <row r="218" spans="1:42" outlineLevel="2">
      <c r="A218" s="999"/>
      <c r="B218" s="1198"/>
      <c r="C218" s="1000" t="s">
        <v>612</v>
      </c>
      <c r="D218" s="1606">
        <v>216</v>
      </c>
      <c r="E218" s="1192"/>
      <c r="F218" s="1736"/>
      <c r="G218" s="1769">
        <f>SUM(G219:G225)</f>
        <v>0</v>
      </c>
      <c r="H218" s="1769">
        <f>SUM(H219:H225)</f>
        <v>0</v>
      </c>
      <c r="I218" s="1769">
        <f>SUM(I219:I225)</f>
        <v>0</v>
      </c>
      <c r="J218" s="1736"/>
      <c r="K218" s="1770"/>
      <c r="L218" s="1771">
        <f ca="1">L15</f>
        <v>9647.1688732319999</v>
      </c>
      <c r="M218" s="1736"/>
      <c r="N218" s="1736"/>
      <c r="O218" s="1736"/>
      <c r="P218" s="1772"/>
      <c r="Q218" s="1772"/>
      <c r="R218" s="1772"/>
      <c r="S218" s="1772"/>
      <c r="T218" s="1772"/>
      <c r="U218" s="1772"/>
      <c r="V218" s="1772"/>
      <c r="W218" s="999"/>
      <c r="X218" s="999"/>
      <c r="Y218" s="999"/>
      <c r="Z218" s="999"/>
      <c r="AA218" s="999"/>
      <c r="AB218" s="999"/>
      <c r="AC218" s="1189"/>
      <c r="AD218" s="1189"/>
      <c r="AE218" s="1189"/>
      <c r="AF218" s="1189"/>
      <c r="AG218" s="1189"/>
      <c r="AH218" s="1189"/>
      <c r="AI218" s="1189"/>
      <c r="AJ218" s="999"/>
      <c r="AK218" s="999"/>
      <c r="AL218" s="999"/>
      <c r="AM218" s="999"/>
      <c r="AN218" s="999"/>
      <c r="AO218" s="999"/>
      <c r="AP218" s="999"/>
    </row>
    <row r="219" spans="1:42" outlineLevel="2">
      <c r="A219" s="999"/>
      <c r="B219" s="1198"/>
      <c r="C219" s="1535" t="str">
        <f>C216</f>
        <v>Khác</v>
      </c>
      <c r="D219" s="1606">
        <v>217</v>
      </c>
      <c r="E219" s="1192"/>
      <c r="F219" s="1192"/>
      <c r="G219" s="1766"/>
      <c r="H219" s="1766"/>
      <c r="I219" s="1766"/>
      <c r="J219" s="1192"/>
      <c r="K219" s="1192"/>
      <c r="L219" s="1210">
        <f ca="1">L218-SUM(L220:L225)</f>
        <v>21.000873231998412</v>
      </c>
      <c r="M219" s="1654"/>
      <c r="N219" s="1654"/>
      <c r="O219" s="1654"/>
      <c r="P219" s="999"/>
      <c r="Q219" s="999"/>
      <c r="R219" s="999"/>
      <c r="S219" s="999"/>
      <c r="T219" s="999"/>
      <c r="U219" s="999"/>
      <c r="V219" s="999"/>
      <c r="W219" s="999"/>
      <c r="X219" s="999"/>
      <c r="Y219" s="999"/>
      <c r="Z219" s="999"/>
      <c r="AA219" s="999"/>
      <c r="AB219" s="999"/>
      <c r="AC219" s="1189"/>
      <c r="AD219" s="1189"/>
      <c r="AE219" s="1189"/>
      <c r="AF219" s="1189"/>
      <c r="AG219" s="1189"/>
      <c r="AH219" s="1189"/>
      <c r="AI219" s="1189"/>
      <c r="AJ219" s="999"/>
      <c r="AK219" s="999"/>
      <c r="AL219" s="999"/>
      <c r="AM219" s="999"/>
      <c r="AN219" s="999"/>
      <c r="AO219" s="999"/>
      <c r="AP219" s="999"/>
    </row>
    <row r="220" spans="1:42" outlineLevel="2">
      <c r="A220" s="999"/>
      <c r="B220" s="1198">
        <f>1386.387</f>
        <v>1386.3869999999999</v>
      </c>
      <c r="C220" s="1535" t="s">
        <v>613</v>
      </c>
      <c r="D220" s="1606">
        <v>218</v>
      </c>
      <c r="E220" s="1192"/>
      <c r="F220" s="1192"/>
      <c r="G220" s="1766"/>
      <c r="H220" s="1766">
        <f t="shared" ref="H220:I223" si="411">G212-F212</f>
        <v>0</v>
      </c>
      <c r="I220" s="1766">
        <f t="shared" si="411"/>
        <v>0</v>
      </c>
      <c r="J220" s="1717"/>
      <c r="K220" s="1192"/>
      <c r="L220" s="1609">
        <v>8153.2520000000004</v>
      </c>
      <c r="M220" s="1654"/>
      <c r="N220" s="1654"/>
      <c r="O220" s="1654"/>
      <c r="P220" s="999"/>
      <c r="Q220" s="999"/>
      <c r="R220" s="999"/>
      <c r="S220" s="999"/>
      <c r="T220" s="999"/>
      <c r="U220" s="999"/>
      <c r="V220" s="999"/>
      <c r="W220" s="999"/>
      <c r="X220" s="999"/>
      <c r="Y220" s="999"/>
      <c r="Z220" s="999"/>
      <c r="AA220" s="999"/>
      <c r="AB220" s="999"/>
      <c r="AC220" s="1189"/>
      <c r="AD220" s="1189"/>
      <c r="AE220" s="1189"/>
      <c r="AF220" s="1189"/>
      <c r="AG220" s="1189"/>
      <c r="AH220" s="1189"/>
      <c r="AI220" s="1189"/>
      <c r="AJ220" s="999"/>
      <c r="AK220" s="999"/>
      <c r="AL220" s="999"/>
      <c r="AM220" s="999"/>
      <c r="AN220" s="999"/>
      <c r="AO220" s="999"/>
      <c r="AP220" s="999"/>
    </row>
    <row r="221" spans="1:42" outlineLevel="2">
      <c r="A221" s="999"/>
      <c r="B221" s="1198">
        <f>B220/((Rev_Month!BB10-Rev_Month!AW10)+(Rev_Month!BB16-10)+(Rev_Month!BB23-Rev_Month!AW23)+(Rev_Month!BC57-Rev_Month!AW57))</f>
        <v>28.883062499999998</v>
      </c>
      <c r="C221" s="1535" t="s">
        <v>614</v>
      </c>
      <c r="D221" s="1606">
        <v>219</v>
      </c>
      <c r="E221" s="1192"/>
      <c r="F221" s="1192"/>
      <c r="G221" s="1766"/>
      <c r="H221" s="1766">
        <f t="shared" si="411"/>
        <v>0</v>
      </c>
      <c r="I221" s="1766">
        <f t="shared" si="411"/>
        <v>0</v>
      </c>
      <c r="J221" s="1717"/>
      <c r="K221" s="1192"/>
      <c r="L221" s="1609">
        <v>282.11900000000003</v>
      </c>
      <c r="M221" s="1654"/>
      <c r="N221" s="1654"/>
      <c r="O221" s="1654"/>
      <c r="P221" s="999"/>
      <c r="Q221" s="999"/>
      <c r="R221" s="999"/>
      <c r="S221" s="999"/>
      <c r="T221" s="999"/>
      <c r="U221" s="999"/>
      <c r="V221" s="999"/>
      <c r="W221" s="999"/>
      <c r="X221" s="999"/>
      <c r="Y221" s="999"/>
      <c r="Z221" s="999"/>
      <c r="AA221" s="999"/>
      <c r="AB221" s="999"/>
      <c r="AC221" s="1189"/>
      <c r="AD221" s="1189"/>
      <c r="AE221" s="1189"/>
      <c r="AF221" s="1189"/>
      <c r="AG221" s="1189"/>
      <c r="AH221" s="1189"/>
      <c r="AI221" s="1189"/>
      <c r="AJ221" s="999"/>
      <c r="AK221" s="999"/>
      <c r="AL221" s="999"/>
      <c r="AM221" s="999"/>
      <c r="AN221" s="999"/>
      <c r="AO221" s="999"/>
      <c r="AP221" s="999"/>
    </row>
    <row r="222" spans="1:42" outlineLevel="2">
      <c r="A222" s="999"/>
      <c r="B222" s="1198">
        <f>509.609/Rev_Month!BB42</f>
        <v>-2.0303147410358564</v>
      </c>
      <c r="C222" s="1535" t="s">
        <v>615</v>
      </c>
      <c r="D222" s="1606">
        <v>220</v>
      </c>
      <c r="E222" s="1192"/>
      <c r="F222" s="1192"/>
      <c r="G222" s="1766"/>
      <c r="H222" s="1766">
        <f t="shared" si="411"/>
        <v>0</v>
      </c>
      <c r="I222" s="1766">
        <f t="shared" si="411"/>
        <v>0</v>
      </c>
      <c r="J222" s="1717"/>
      <c r="K222" s="1192"/>
      <c r="L222" s="1609">
        <v>1131.5830000000001</v>
      </c>
      <c r="M222" s="1654"/>
      <c r="N222" s="1654"/>
      <c r="O222" s="1654"/>
      <c r="P222" s="999"/>
      <c r="Q222" s="999"/>
      <c r="R222" s="999"/>
      <c r="S222" s="999"/>
      <c r="T222" s="999"/>
      <c r="U222" s="999"/>
      <c r="V222" s="999"/>
      <c r="W222" s="999"/>
      <c r="X222" s="999"/>
      <c r="Y222" s="999"/>
      <c r="Z222" s="999"/>
      <c r="AA222" s="999"/>
      <c r="AB222" s="999"/>
      <c r="AC222" s="1189"/>
      <c r="AD222" s="1189"/>
      <c r="AE222" s="1189"/>
      <c r="AF222" s="1189"/>
      <c r="AG222" s="1189"/>
      <c r="AH222" s="1189"/>
      <c r="AI222" s="1189"/>
      <c r="AJ222" s="999"/>
      <c r="AK222" s="999"/>
      <c r="AL222" s="999"/>
      <c r="AM222" s="999"/>
      <c r="AN222" s="999"/>
      <c r="AO222" s="999"/>
      <c r="AP222" s="999"/>
    </row>
    <row r="223" spans="1:42" outlineLevel="2">
      <c r="A223" s="999"/>
      <c r="B223" s="1198">
        <f>(239.852/Rev_Month!BB42)*(SUM(Rev_Month!BB42,Rev_Month!BD42,Rev_Month!BE42))</f>
        <v>395.61246215139442</v>
      </c>
      <c r="C223" s="1535" t="s">
        <v>616</v>
      </c>
      <c r="D223" s="1606">
        <v>221</v>
      </c>
      <c r="E223" s="1192"/>
      <c r="F223" s="1192"/>
      <c r="G223" s="1766"/>
      <c r="H223" s="1766">
        <f t="shared" si="411"/>
        <v>0</v>
      </c>
      <c r="I223" s="1766">
        <f t="shared" si="411"/>
        <v>0</v>
      </c>
      <c r="J223" s="1717"/>
      <c r="K223" s="1192"/>
      <c r="L223" s="1609">
        <v>5</v>
      </c>
      <c r="M223" s="1654"/>
      <c r="N223" s="1654"/>
      <c r="O223" s="1654"/>
      <c r="P223" s="999"/>
      <c r="Q223" s="999"/>
      <c r="R223" s="999"/>
      <c r="S223" s="999"/>
      <c r="T223" s="999"/>
      <c r="U223" s="999"/>
      <c r="V223" s="999"/>
      <c r="W223" s="999"/>
      <c r="X223" s="999"/>
      <c r="Y223" s="999"/>
      <c r="Z223" s="999"/>
      <c r="AA223" s="999"/>
      <c r="AB223" s="999"/>
      <c r="AC223" s="1189"/>
      <c r="AD223" s="1189"/>
      <c r="AE223" s="1189"/>
      <c r="AF223" s="1189"/>
      <c r="AG223" s="1189"/>
      <c r="AH223" s="1189"/>
      <c r="AI223" s="1189"/>
      <c r="AJ223" s="999"/>
      <c r="AK223" s="999"/>
      <c r="AL223" s="999"/>
      <c r="AM223" s="999"/>
      <c r="AN223" s="999"/>
      <c r="AO223" s="999"/>
      <c r="AP223" s="999"/>
    </row>
    <row r="224" spans="1:42" outlineLevel="2">
      <c r="A224" s="999"/>
      <c r="B224" s="1198"/>
      <c r="C224" s="1535" t="s">
        <v>617</v>
      </c>
      <c r="D224" s="1606">
        <v>222</v>
      </c>
      <c r="E224" s="1192"/>
      <c r="F224" s="1192"/>
      <c r="G224" s="1766"/>
      <c r="H224" s="1766"/>
      <c r="I224" s="1766"/>
      <c r="J224" s="1717"/>
      <c r="K224" s="1192"/>
      <c r="L224" s="1609">
        <v>0.68799999999999994</v>
      </c>
      <c r="M224" s="1654"/>
      <c r="N224" s="1654"/>
      <c r="O224" s="1654"/>
      <c r="P224" s="999"/>
      <c r="Q224" s="999"/>
      <c r="R224" s="999"/>
      <c r="S224" s="999"/>
      <c r="T224" s="999"/>
      <c r="U224" s="999"/>
      <c r="V224" s="999"/>
      <c r="W224" s="999"/>
      <c r="X224" s="999"/>
      <c r="Y224" s="999"/>
      <c r="Z224" s="999"/>
      <c r="AA224" s="999"/>
      <c r="AB224" s="999"/>
      <c r="AC224" s="1189"/>
      <c r="AD224" s="1189"/>
      <c r="AE224" s="1189"/>
      <c r="AF224" s="1189"/>
      <c r="AG224" s="1189"/>
      <c r="AH224" s="1189"/>
      <c r="AI224" s="1189"/>
      <c r="AJ224" s="999"/>
      <c r="AK224" s="999"/>
      <c r="AL224" s="999"/>
      <c r="AM224" s="999"/>
      <c r="AN224" s="999"/>
      <c r="AO224" s="999"/>
      <c r="AP224" s="999"/>
    </row>
    <row r="225" spans="1:42" outlineLevel="2">
      <c r="A225" s="999"/>
      <c r="B225" s="1198"/>
      <c r="C225" s="1535" t="s">
        <v>618</v>
      </c>
      <c r="D225" s="1606">
        <v>223</v>
      </c>
      <c r="E225" s="1192"/>
      <c r="F225" s="1192"/>
      <c r="G225" s="1766"/>
      <c r="H225" s="1766"/>
      <c r="I225" s="1766"/>
      <c r="J225" s="1717"/>
      <c r="K225" s="1192"/>
      <c r="L225" s="1609">
        <v>53.526000000000003</v>
      </c>
      <c r="M225" s="1192"/>
      <c r="N225" s="1192"/>
      <c r="O225" s="1192"/>
      <c r="P225" s="999"/>
      <c r="Q225" s="999"/>
      <c r="R225" s="999"/>
      <c r="S225" s="999"/>
      <c r="T225" s="999"/>
      <c r="U225" s="999"/>
      <c r="V225" s="999"/>
      <c r="W225" s="999"/>
      <c r="X225" s="999"/>
      <c r="Y225" s="999"/>
      <c r="Z225" s="999"/>
      <c r="AA225" s="999"/>
      <c r="AB225" s="999"/>
      <c r="AC225" s="1189"/>
      <c r="AD225" s="1189"/>
      <c r="AE225" s="1189"/>
      <c r="AF225" s="1189"/>
      <c r="AG225" s="1189"/>
      <c r="AH225" s="1189"/>
      <c r="AI225" s="1189"/>
      <c r="AJ225" s="999"/>
      <c r="AK225" s="999"/>
      <c r="AL225" s="999"/>
      <c r="AM225" s="999"/>
      <c r="AN225" s="999"/>
      <c r="AO225" s="999"/>
      <c r="AP225" s="999"/>
    </row>
    <row r="226" spans="1:42" outlineLevel="2">
      <c r="A226" s="999"/>
      <c r="B226" s="1198"/>
      <c r="C226" s="999"/>
      <c r="D226" s="1606">
        <v>224</v>
      </c>
      <c r="E226" s="1192"/>
      <c r="F226" s="1192"/>
      <c r="G226" s="1192"/>
      <c r="H226" s="1736">
        <f t="shared" ref="H226:Q226" si="412">H1</f>
        <v>2017</v>
      </c>
      <c r="I226" s="1736">
        <f t="shared" si="412"/>
        <v>2018</v>
      </c>
      <c r="J226" s="1736">
        <f t="shared" si="412"/>
        <v>2019</v>
      </c>
      <c r="K226" s="1736">
        <f t="shared" si="412"/>
        <v>2020</v>
      </c>
      <c r="L226" s="1736">
        <f>L1</f>
        <v>2021</v>
      </c>
      <c r="M226" s="1736">
        <f t="shared" si="412"/>
        <v>2022</v>
      </c>
      <c r="N226" s="1736">
        <f>N1</f>
        <v>2023</v>
      </c>
      <c r="O226" s="1736">
        <f>O1</f>
        <v>2024</v>
      </c>
      <c r="P226" s="1773">
        <f t="shared" si="412"/>
        <v>2025</v>
      </c>
      <c r="Q226" s="1773">
        <f t="shared" si="412"/>
        <v>2026</v>
      </c>
      <c r="R226" s="1773">
        <f t="shared" ref="R226" si="413">R1</f>
        <v>2027</v>
      </c>
      <c r="S226" s="1773">
        <f t="shared" ref="S226:U226" si="414">S1</f>
        <v>2028</v>
      </c>
      <c r="T226" s="1773">
        <f t="shared" si="414"/>
        <v>2029</v>
      </c>
      <c r="U226" s="1773">
        <f t="shared" si="414"/>
        <v>2030</v>
      </c>
      <c r="V226" s="1773"/>
      <c r="W226" s="999"/>
      <c r="X226" s="999"/>
      <c r="Y226" s="999"/>
      <c r="Z226" s="999"/>
      <c r="AA226" s="999"/>
      <c r="AB226" s="999"/>
      <c r="AC226" s="1189"/>
      <c r="AD226" s="1189"/>
      <c r="AE226" s="1189"/>
      <c r="AF226" s="1189"/>
      <c r="AG226" s="1189"/>
      <c r="AH226" s="1189"/>
      <c r="AI226" s="1189"/>
      <c r="AJ226" s="999"/>
      <c r="AK226" s="999"/>
      <c r="AL226" s="999"/>
      <c r="AM226" s="999"/>
      <c r="AN226" s="999"/>
      <c r="AO226" s="999"/>
      <c r="AP226" s="999"/>
    </row>
    <row r="227" spans="1:42" outlineLevel="2">
      <c r="A227" s="999"/>
      <c r="B227" s="1198"/>
      <c r="C227" s="1000" t="s">
        <v>619</v>
      </c>
      <c r="D227" s="1606">
        <v>225</v>
      </c>
      <c r="E227" s="1192"/>
      <c r="F227" s="1192"/>
      <c r="G227" s="1736"/>
      <c r="H227" s="1736"/>
      <c r="I227" s="1736"/>
      <c r="J227" s="1736"/>
      <c r="K227" s="1736"/>
      <c r="L227" s="1774">
        <f ca="1">L218/L228</f>
        <v>3.3549623034679565</v>
      </c>
      <c r="M227" s="1775"/>
      <c r="N227" s="1775"/>
      <c r="O227" s="1775"/>
      <c r="P227" s="1776"/>
      <c r="Q227" s="1772"/>
      <c r="R227" s="1772"/>
      <c r="S227" s="1772"/>
      <c r="T227" s="1772"/>
      <c r="U227" s="1772"/>
      <c r="V227" s="1772"/>
      <c r="W227" s="999"/>
      <c r="X227" s="999"/>
      <c r="Y227" s="999"/>
      <c r="Z227" s="999"/>
      <c r="AA227" s="999"/>
      <c r="AB227" s="999"/>
      <c r="AC227" s="1189"/>
      <c r="AD227" s="1189"/>
      <c r="AE227" s="1189"/>
      <c r="AF227" s="1189"/>
      <c r="AG227" s="1189"/>
      <c r="AH227" s="1189"/>
      <c r="AI227" s="1189"/>
      <c r="AJ227" s="999"/>
      <c r="AK227" s="999"/>
      <c r="AL227" s="999"/>
      <c r="AM227" s="999"/>
      <c r="AN227" s="999"/>
      <c r="AO227" s="999"/>
      <c r="AP227" s="999"/>
    </row>
    <row r="228" spans="1:42" outlineLevel="2">
      <c r="A228" s="999"/>
      <c r="B228" s="1198"/>
      <c r="C228" s="1614" t="s">
        <v>620</v>
      </c>
      <c r="D228" s="1606">
        <v>226</v>
      </c>
      <c r="E228" s="1192"/>
      <c r="F228" s="1192"/>
      <c r="G228" s="1192"/>
      <c r="H228" s="1777" t="s">
        <v>621</v>
      </c>
      <c r="I228" s="1778">
        <v>0.5</v>
      </c>
      <c r="J228" s="1609"/>
      <c r="K228" s="1609"/>
      <c r="L228" s="1609">
        <f>2857.407163499+16.170316181+1.915</f>
        <v>2875.4924796800001</v>
      </c>
      <c r="M228" s="1609">
        <f>L228-(239.852/Rev_Month!BB42)*(SUM(Rev_Month!BB42,Rev_Month!BD42,Rev_Month!BE42))</f>
        <v>2479.8800175286055</v>
      </c>
      <c r="N228" s="1609" t="e">
        <f>M228-(239.852/Rev_Month!BC42)*(SUM(Rev_Month!BC42,Rev_Month!BE42,Rev_Month!BF42))</f>
        <v>#DIV/0!</v>
      </c>
      <c r="O228" s="1609" t="e">
        <f>N228-(239.852/Rev_Month!BD42)*(SUM(Rev_Month!BD42,Rev_Month!BF42,Rev_Month!BG42))</f>
        <v>#DIV/0!</v>
      </c>
      <c r="P228" s="1734" t="e">
        <f>O228</f>
        <v>#DIV/0!</v>
      </c>
      <c r="Q228" s="1734">
        <v>0</v>
      </c>
      <c r="R228" s="1734">
        <v>0</v>
      </c>
      <c r="S228" s="1734">
        <v>0</v>
      </c>
      <c r="T228" s="1734">
        <v>0</v>
      </c>
      <c r="U228" s="1734">
        <v>0</v>
      </c>
      <c r="V228" s="1734"/>
      <c r="W228" s="999"/>
      <c r="X228" s="999"/>
      <c r="Y228" s="999"/>
      <c r="Z228" s="999"/>
      <c r="AA228" s="999"/>
      <c r="AB228" s="999"/>
      <c r="AC228" s="1189"/>
      <c r="AD228" s="1189"/>
      <c r="AE228" s="1189"/>
      <c r="AF228" s="1189"/>
      <c r="AG228" s="1189"/>
      <c r="AH228" s="1189"/>
      <c r="AI228" s="1189"/>
      <c r="AJ228" s="999"/>
      <c r="AK228" s="999"/>
      <c r="AL228" s="999"/>
      <c r="AM228" s="999"/>
      <c r="AN228" s="999"/>
      <c r="AO228" s="999"/>
      <c r="AP228" s="999"/>
    </row>
    <row r="229" spans="1:42" outlineLevel="2">
      <c r="A229" s="999"/>
      <c r="B229" s="1198"/>
      <c r="C229" s="1614" t="s">
        <v>622</v>
      </c>
      <c r="D229" s="1606">
        <v>227</v>
      </c>
      <c r="E229" s="1192"/>
      <c r="F229" s="1192"/>
      <c r="G229" s="1192"/>
      <c r="H229" s="1192"/>
      <c r="I229" s="1192"/>
      <c r="J229" s="1609"/>
      <c r="K229" s="1609"/>
      <c r="L229" s="1609"/>
      <c r="M229" s="1609">
        <f t="shared" ref="M229:Q229" si="415">(IF((N$226-$M$226)&lt;=$D$220,$M$240/$D$220,0)+IF((N$226-$M$226)&lt;=$D$221,$M$241/$D$221,0)+IF((N$226-$M$226)&lt;=$D$222,$M$242/$D$222,0)+IF((N$226-$M$226)&lt;=$D$223,$M$243/$D$223,0)+IF((N$226-$M$226)&lt;=$D$224,$M$244/$D$224))*$I$228</f>
        <v>10.225548674047301</v>
      </c>
      <c r="N229" s="1609">
        <f t="shared" si="415"/>
        <v>10.225548674047301</v>
      </c>
      <c r="O229" s="1609">
        <f t="shared" si="415"/>
        <v>10.225548674047301</v>
      </c>
      <c r="P229" s="1779">
        <f t="shared" si="415"/>
        <v>10.225548674047301</v>
      </c>
      <c r="Q229" s="1779">
        <f t="shared" si="415"/>
        <v>10.225548674047301</v>
      </c>
      <c r="R229" s="1779">
        <f t="shared" ref="R229" si="416">(IF((S$226-$M$226)&lt;=$D$220,$M$240/$D$220,0)+IF((S$226-$M$226)&lt;=$D$221,$M$241/$D$221,0)+IF((S$226-$M$226)&lt;=$D$222,$M$242/$D$222,0)+IF((S$226-$M$226)&lt;=$D$223,$M$243/$D$223,0)+IF((S$226-$M$226)&lt;=$D$224,$M$244/$D$224))*$I$228</f>
        <v>10.225548674047301</v>
      </c>
      <c r="S229" s="1779">
        <f t="shared" ref="S229" si="417">(IF((T$226-$M$226)&lt;=$D$220,$M$240/$D$220,0)+IF((T$226-$M$226)&lt;=$D$221,$M$241/$D$221,0)+IF((T$226-$M$226)&lt;=$D$222,$M$242/$D$222,0)+IF((T$226-$M$226)&lt;=$D$223,$M$243/$D$223,0)+IF((T$226-$M$226)&lt;=$D$224,$M$244/$D$224))*$I$228</f>
        <v>10.225548674047301</v>
      </c>
      <c r="T229" s="1779">
        <f t="shared" ref="T229" si="418">(IF((U$226-$M$226)&lt;=$D$220,$M$240/$D$220,0)+IF((U$226-$M$226)&lt;=$D$221,$M$241/$D$221,0)+IF((U$226-$M$226)&lt;=$D$222,$M$242/$D$222,0)+IF((U$226-$M$226)&lt;=$D$223,$M$243/$D$223,0)+IF((U$226-$M$226)&lt;=$D$224,$M$244/$D$224))*$I$228</f>
        <v>10.225548674047301</v>
      </c>
      <c r="U229" s="1779">
        <f t="shared" ref="U229" si="419">(IF((V$226-$M$226)&lt;=$D$220,$M$240/$D$220,0)+IF((V$226-$M$226)&lt;=$D$221,$M$241/$D$221,0)+IF((V$226-$M$226)&lt;=$D$222,$M$242/$D$222,0)+IF((V$226-$M$226)&lt;=$D$223,$M$243/$D$223,0)+IF((V$226-$M$226)&lt;=$D$224,$M$244/$D$224))*$I$228</f>
        <v>10.225548674047301</v>
      </c>
      <c r="V229" s="1779"/>
      <c r="W229" s="999"/>
      <c r="X229" s="999"/>
      <c r="Y229" s="999"/>
      <c r="Z229" s="999"/>
      <c r="AA229" s="999"/>
      <c r="AB229" s="999"/>
      <c r="AC229" s="1189"/>
      <c r="AD229" s="1189"/>
      <c r="AE229" s="1189"/>
      <c r="AF229" s="1189"/>
      <c r="AG229" s="1189"/>
      <c r="AH229" s="1189"/>
      <c r="AI229" s="1189"/>
      <c r="AJ229" s="999"/>
      <c r="AK229" s="999"/>
      <c r="AL229" s="999"/>
      <c r="AM229" s="999"/>
      <c r="AN229" s="999"/>
      <c r="AO229" s="999"/>
      <c r="AP229" s="999"/>
    </row>
    <row r="230" spans="1:42" outlineLevel="2">
      <c r="A230" s="999"/>
      <c r="B230" s="1198"/>
      <c r="C230" s="1614" t="s">
        <v>623</v>
      </c>
      <c r="D230" s="1606">
        <v>228</v>
      </c>
      <c r="E230" s="1192"/>
      <c r="F230" s="1192"/>
      <c r="G230" s="1192"/>
      <c r="H230" s="1780"/>
      <c r="I230" s="1780"/>
      <c r="J230" s="1609"/>
      <c r="K230" s="1609"/>
      <c r="L230" s="1609"/>
      <c r="M230" s="1609"/>
      <c r="N230" s="1609"/>
      <c r="O230" s="1609"/>
      <c r="P230" s="1779">
        <f>(IF((Q$226-$N$226)&lt;=$D$220,$N$240/$D$220,0)+IF((Q$226-$N$226)&lt;=$D$221,$N$241/$D$221,0)+IF((Q$226-$N$226)&lt;=$D$222,$N$242/$D$222,0)+IF((Q$226-$N$226)&lt;=$D$223,$N$243/$D$223,0)+IF((Q$226-$N$226)&lt;=$D$224,$N$244/$D$224))*$I$228</f>
        <v>-0.81885973868599782</v>
      </c>
      <c r="Q230" s="1779">
        <f>(IF((R$226-$N$226)&lt;=$D$220,$N$240/$D$220,0)+IF((R$226-$N$226)&lt;=$D$221,$N$241/$D$221,0)+IF((R$226-$N$226)&lt;=$D$222,$N$242/$D$222,0)+IF((R$226-$N$226)&lt;=$D$223,$N$243/$D$223,0)+IF((R$226-$N$226)&lt;=$D$224,$N$244/$D$224))*$I$228</f>
        <v>-0.81885973868599782</v>
      </c>
      <c r="R230" s="1779">
        <f t="shared" ref="R230" si="420">(IF((S$226-$N$226)&lt;=$D$220,$N$240/$D$220,0)+IF((S$226-$N$226)&lt;=$D$221,$N$241/$D$221,0)+IF((S$226-$N$226)&lt;=$D$222,$N$242/$D$222,0)+IF((S$226-$N$226)&lt;=$D$223,$N$243/$D$223,0)+IF((S$226-$N$226)&lt;=$D$224,$N$244/$D$224))*$I$228</f>
        <v>-0.81885973868599782</v>
      </c>
      <c r="S230" s="1779">
        <f t="shared" ref="S230:U230" si="421">(IF((T$226-$N$226)&lt;=$D$220,$N$240/$D$220,0)+IF((T$226-$N$226)&lt;=$D$221,$N$241/$D$221,0)+IF((T$226-$N$226)&lt;=$D$222,$N$242/$D$222,0)+IF((T$226-$N$226)&lt;=$D$223,$N$243/$D$223,0)+IF((T$226-$N$226)&lt;=$D$224,$N$244/$D$224))*$I$228</f>
        <v>-0.81885973868599782</v>
      </c>
      <c r="T230" s="1779">
        <f t="shared" si="421"/>
        <v>-0.81885973868599782</v>
      </c>
      <c r="U230" s="1779">
        <f t="shared" si="421"/>
        <v>-0.81885973868599782</v>
      </c>
      <c r="V230" s="1779"/>
      <c r="W230" s="999"/>
      <c r="X230" s="999"/>
      <c r="Y230" s="999"/>
      <c r="Z230" s="999"/>
      <c r="AA230" s="999"/>
      <c r="AB230" s="999"/>
      <c r="AC230" s="1189"/>
      <c r="AD230" s="1189"/>
      <c r="AE230" s="1189"/>
      <c r="AF230" s="1189"/>
      <c r="AG230" s="1189"/>
      <c r="AH230" s="1189"/>
      <c r="AI230" s="1189"/>
      <c r="AJ230" s="999"/>
      <c r="AK230" s="999"/>
      <c r="AL230" s="999"/>
      <c r="AM230" s="999"/>
      <c r="AN230" s="999"/>
      <c r="AO230" s="999"/>
      <c r="AP230" s="999"/>
    </row>
    <row r="231" spans="1:42" outlineLevel="2">
      <c r="A231" s="999"/>
      <c r="B231" s="1198"/>
      <c r="C231" s="1614" t="s">
        <v>624</v>
      </c>
      <c r="D231" s="1606">
        <v>229</v>
      </c>
      <c r="E231" s="1192"/>
      <c r="F231" s="1192"/>
      <c r="G231" s="1192"/>
      <c r="H231" s="1780"/>
      <c r="I231" s="1780"/>
      <c r="J231" s="1609"/>
      <c r="K231" s="1609"/>
      <c r="L231" s="1609"/>
      <c r="M231" s="1609"/>
      <c r="N231" s="1609"/>
      <c r="O231" s="1609"/>
      <c r="P231" s="1779">
        <f>(IF((Q$226-$O$226)&lt;=$D$220,$O$240/$D$220,0)+IF((Q$226-$O$226)&lt;=$D$221,$O$241/$D$221,0)+IF((Q$226-$O$226)&lt;=$D$222,$O$242/$D$222,0)+IF((Q$226-$O$226)&lt;=$D$223,$O$243/$D$223,0)+IF((Q$226-$O$226)&lt;=$D$224,$O$244/$D$224))*$I$228</f>
        <v>-0.55988068921427625</v>
      </c>
      <c r="Q231" s="1779">
        <f>(IF((R$226-$O$226)&lt;=$D$220,$O$240/$D$220,0)+IF((R$226-$O$226)&lt;=$D$221,$O$241/$D$221,0)+IF((R$226-$O$226)&lt;=$D$222,$O$242/$D$222,0)+IF((R$226-$O$226)&lt;=$D$223,$O$243/$D$223,0)+IF((R$226-$O$226)&lt;=$D$224,$O$244/$D$224))*$I$228</f>
        <v>-0.55988068921427625</v>
      </c>
      <c r="R231" s="1779">
        <f t="shared" ref="R231" si="422">(IF((S$226-$O$226)&lt;=$D$220,$O$240/$D$220,0)+IF((S$226-$O$226)&lt;=$D$221,$O$241/$D$221,0)+IF((S$226-$O$226)&lt;=$D$222,$O$242/$D$222,0)+IF((S$226-$O$226)&lt;=$D$223,$O$243/$D$223,0)+IF((S$226-$O$226)&lt;=$D$224,$O$244/$D$224))*$I$228</f>
        <v>-0.55988068921427625</v>
      </c>
      <c r="S231" s="1779">
        <f t="shared" ref="S231:U231" si="423">(IF((T$226-$O$226)&lt;=$D$220,$O$240/$D$220,0)+IF((T$226-$O$226)&lt;=$D$221,$O$241/$D$221,0)+IF((T$226-$O$226)&lt;=$D$222,$O$242/$D$222,0)+IF((T$226-$O$226)&lt;=$D$223,$O$243/$D$223,0)+IF((T$226-$O$226)&lt;=$D$224,$O$244/$D$224))*$I$228</f>
        <v>-0.55988068921427625</v>
      </c>
      <c r="T231" s="1779">
        <f t="shared" si="423"/>
        <v>-0.55988068921427625</v>
      </c>
      <c r="U231" s="1779">
        <f t="shared" si="423"/>
        <v>-0.55988068921427625</v>
      </c>
      <c r="V231" s="1779"/>
      <c r="W231" s="999"/>
      <c r="X231" s="999"/>
      <c r="Y231" s="999"/>
      <c r="Z231" s="999"/>
      <c r="AA231" s="999"/>
      <c r="AB231" s="999"/>
      <c r="AC231" s="1189"/>
      <c r="AD231" s="1189"/>
      <c r="AE231" s="1189"/>
      <c r="AF231" s="1189"/>
      <c r="AG231" s="1189"/>
      <c r="AH231" s="1189"/>
      <c r="AI231" s="1189"/>
      <c r="AJ231" s="999"/>
      <c r="AK231" s="999"/>
      <c r="AL231" s="999"/>
      <c r="AM231" s="999"/>
      <c r="AN231" s="999"/>
      <c r="AO231" s="999"/>
      <c r="AP231" s="999"/>
    </row>
    <row r="232" spans="1:42" outlineLevel="2">
      <c r="A232" s="999"/>
      <c r="B232" s="1198"/>
      <c r="C232" s="1614" t="s">
        <v>625</v>
      </c>
      <c r="D232" s="1606">
        <v>230</v>
      </c>
      <c r="E232" s="1192"/>
      <c r="F232" s="1192"/>
      <c r="G232" s="1192"/>
      <c r="H232" s="1780"/>
      <c r="I232" s="1780"/>
      <c r="J232" s="1609"/>
      <c r="K232" s="1609"/>
      <c r="L232" s="1609"/>
      <c r="M232" s="1192"/>
      <c r="N232" s="1192"/>
      <c r="O232" s="1192"/>
      <c r="P232" s="999"/>
      <c r="Q232" s="999"/>
      <c r="R232" s="999"/>
      <c r="S232" s="999"/>
      <c r="T232" s="999"/>
      <c r="U232" s="999"/>
      <c r="V232" s="999"/>
      <c r="W232" s="999"/>
      <c r="X232" s="999"/>
      <c r="Y232" s="999"/>
      <c r="Z232" s="999"/>
      <c r="AA232" s="999"/>
      <c r="AB232" s="999"/>
      <c r="AC232" s="1189"/>
      <c r="AD232" s="1189"/>
      <c r="AE232" s="1189"/>
      <c r="AF232" s="1189"/>
      <c r="AG232" s="1189"/>
      <c r="AH232" s="1189"/>
      <c r="AI232" s="1189"/>
      <c r="AJ232" s="999"/>
      <c r="AK232" s="999"/>
      <c r="AL232" s="999"/>
      <c r="AM232" s="999"/>
      <c r="AN232" s="999"/>
      <c r="AO232" s="999"/>
      <c r="AP232" s="999"/>
    </row>
    <row r="233" spans="1:42" outlineLevel="2">
      <c r="A233" s="999"/>
      <c r="B233" s="1198"/>
      <c r="C233" s="1611" t="s">
        <v>626</v>
      </c>
      <c r="D233" s="1606">
        <v>231</v>
      </c>
      <c r="E233" s="1192"/>
      <c r="F233" s="1192"/>
      <c r="G233" s="1654"/>
      <c r="H233" s="1654">
        <f>H124</f>
        <v>689.71370863200002</v>
      </c>
      <c r="I233" s="1654">
        <f>I124</f>
        <v>1222.8686837170001</v>
      </c>
      <c r="J233" s="1654">
        <f>J124</f>
        <v>1442.8269389540001</v>
      </c>
      <c r="K233" s="1654">
        <f>K124</f>
        <v>2195.5830710350001</v>
      </c>
      <c r="L233" s="1654">
        <f>L124</f>
        <v>2920.7136084099998</v>
      </c>
      <c r="M233" s="1654">
        <f>SUM(M228:M232)</f>
        <v>2490.1055662026529</v>
      </c>
      <c r="N233" s="1654" t="e">
        <f>SUM(N228:N232)</f>
        <v>#DIV/0!</v>
      </c>
      <c r="O233" s="1654" t="e">
        <f>SUM(O228:O232)</f>
        <v>#DIV/0!</v>
      </c>
      <c r="P233" s="1768" t="e">
        <f>SUM(P228:P231)</f>
        <v>#DIV/0!</v>
      </c>
      <c r="Q233" s="1768">
        <f>SUM(Q228:Q231)</f>
        <v>8.8468082461470274</v>
      </c>
      <c r="R233" s="1768">
        <f t="shared" ref="R233" si="424">SUM(R228:R231)</f>
        <v>8.8468082461470274</v>
      </c>
      <c r="S233" s="1768">
        <f t="shared" ref="S233:U233" si="425">SUM(S228:S231)</f>
        <v>8.8468082461470274</v>
      </c>
      <c r="T233" s="1768">
        <f t="shared" si="425"/>
        <v>8.8468082461470274</v>
      </c>
      <c r="U233" s="1768">
        <f t="shared" si="425"/>
        <v>8.8468082461470274</v>
      </c>
      <c r="V233" s="1768"/>
      <c r="W233" s="999"/>
      <c r="X233" s="999"/>
      <c r="Y233" s="999"/>
      <c r="Z233" s="999"/>
      <c r="AA233" s="999"/>
      <c r="AB233" s="999"/>
      <c r="AC233" s="1189"/>
      <c r="AD233" s="1189"/>
      <c r="AE233" s="1189"/>
      <c r="AF233" s="1189"/>
      <c r="AG233" s="1189"/>
      <c r="AH233" s="1189"/>
      <c r="AI233" s="1189"/>
      <c r="AJ233" s="999"/>
      <c r="AK233" s="999"/>
      <c r="AL233" s="999"/>
      <c r="AM233" s="999"/>
      <c r="AN233" s="999"/>
      <c r="AO233" s="999"/>
      <c r="AP233" s="999"/>
    </row>
    <row r="234" spans="1:42" outlineLevel="3">
      <c r="A234" s="999"/>
      <c r="B234" s="1198"/>
      <c r="C234" s="1611"/>
      <c r="D234" s="1606">
        <v>232</v>
      </c>
      <c r="E234" s="1192"/>
      <c r="F234" s="1192"/>
      <c r="G234" s="1781"/>
      <c r="H234" s="1781"/>
      <c r="I234" s="1781"/>
      <c r="J234" s="1781"/>
      <c r="K234" s="1781"/>
      <c r="L234" s="1781"/>
      <c r="M234" s="1781"/>
      <c r="N234" s="1781"/>
      <c r="O234" s="1781"/>
      <c r="P234" s="1782"/>
      <c r="Q234" s="1782"/>
      <c r="R234" s="1782"/>
      <c r="S234" s="1782"/>
      <c r="T234" s="1782"/>
      <c r="U234" s="1782"/>
      <c r="V234" s="1782"/>
      <c r="W234" s="999"/>
      <c r="X234" s="999"/>
      <c r="Y234" s="999"/>
      <c r="Z234" s="999"/>
      <c r="AA234" s="999"/>
      <c r="AB234" s="999"/>
      <c r="AC234" s="1189"/>
      <c r="AD234" s="1189"/>
      <c r="AE234" s="1189"/>
      <c r="AF234" s="1189"/>
      <c r="AG234" s="1189"/>
      <c r="AH234" s="1189"/>
      <c r="AI234" s="1189"/>
      <c r="AJ234" s="999"/>
      <c r="AK234" s="999"/>
      <c r="AL234" s="999"/>
      <c r="AM234" s="999"/>
      <c r="AN234" s="999"/>
      <c r="AO234" s="999"/>
      <c r="AP234" s="999"/>
    </row>
    <row r="235" spans="1:42" outlineLevel="2">
      <c r="A235" s="999"/>
      <c r="B235" s="1198"/>
      <c r="C235" s="1000" t="s">
        <v>612</v>
      </c>
      <c r="D235" s="1606">
        <v>233</v>
      </c>
      <c r="E235" s="1192"/>
      <c r="F235" s="1192"/>
      <c r="G235" s="1654"/>
      <c r="H235" s="1654">
        <f ca="1">H15</f>
        <v>3463.6579949349998</v>
      </c>
      <c r="I235" s="1654">
        <f ca="1">I15</f>
        <v>3333.1476596020002</v>
      </c>
      <c r="J235" s="1654">
        <f ca="1">J15</f>
        <v>5403.7769889210003</v>
      </c>
      <c r="K235" s="1654">
        <f ca="1">K15</f>
        <v>7294.9616661359996</v>
      </c>
      <c r="L235" s="1654">
        <f ca="1">L15</f>
        <v>9647.1688732319999</v>
      </c>
      <c r="M235" s="1654">
        <f ca="1">L235-M233-M247-(B222*(Rev_Month!BB42+Rev_Month!BD42+Rev_Month!BE42))</f>
        <v>10782.967757988023</v>
      </c>
      <c r="N235" s="1654" t="e">
        <f ca="1">M235-N233-N247-(C222*(Rev_Month!BC42+Rev_Month!BE42+Rev_Month!BF42))</f>
        <v>#DIV/0!</v>
      </c>
      <c r="O235" s="1654" t="e">
        <f ca="1">N235-O233-O247-(D222*(Rev_Month!BD42+Rev_Month!BF42+Rev_Month!BG42))</f>
        <v>#DIV/0!</v>
      </c>
      <c r="P235" s="1768" t="e">
        <f ca="1">O235-P233-P247</f>
        <v>#DIV/0!</v>
      </c>
      <c r="Q235" s="1768" t="e">
        <f ca="1">P235-Q233-Q247</f>
        <v>#DIV/0!</v>
      </c>
      <c r="R235" s="1768" t="e">
        <f t="shared" ref="R235" ca="1" si="426">Q235-R233-R247</f>
        <v>#DIV/0!</v>
      </c>
      <c r="S235" s="1768" t="e">
        <f t="shared" ref="S235:U235" ca="1" si="427">R235-S233-S247</f>
        <v>#DIV/0!</v>
      </c>
      <c r="T235" s="1768" t="e">
        <f t="shared" ca="1" si="427"/>
        <v>#DIV/0!</v>
      </c>
      <c r="U235" s="1768" t="e">
        <f t="shared" ca="1" si="427"/>
        <v>#DIV/0!</v>
      </c>
      <c r="V235" s="1768"/>
      <c r="W235" s="999"/>
      <c r="X235" s="999"/>
      <c r="Y235" s="999"/>
      <c r="Z235" s="999"/>
      <c r="AA235" s="999"/>
      <c r="AB235" s="999"/>
      <c r="AC235" s="1189"/>
      <c r="AD235" s="1189"/>
      <c r="AE235" s="1189"/>
      <c r="AF235" s="1189"/>
      <c r="AG235" s="1189"/>
      <c r="AH235" s="1189"/>
      <c r="AI235" s="1189"/>
      <c r="AJ235" s="999"/>
      <c r="AK235" s="999"/>
      <c r="AL235" s="999"/>
      <c r="AM235" s="999"/>
      <c r="AN235" s="999"/>
      <c r="AO235" s="999"/>
      <c r="AP235" s="999"/>
    </row>
    <row r="236" spans="1:42" outlineLevel="1">
      <c r="A236" s="999">
        <v>6</v>
      </c>
      <c r="B236" s="1198"/>
      <c r="C236" s="999"/>
      <c r="D236" s="1606">
        <v>234</v>
      </c>
      <c r="E236" s="1192"/>
      <c r="F236" s="1192"/>
      <c r="G236" s="1192"/>
      <c r="H236" s="1192"/>
      <c r="I236" s="1192"/>
      <c r="J236" s="1192"/>
      <c r="K236" s="1192"/>
      <c r="L236" s="1192"/>
      <c r="M236" s="1192"/>
      <c r="N236" s="1192"/>
      <c r="O236" s="1192"/>
      <c r="P236" s="999"/>
      <c r="Q236" s="999"/>
      <c r="R236" s="999"/>
      <c r="S236" s="999"/>
      <c r="T236" s="999"/>
      <c r="U236" s="999"/>
      <c r="V236" s="999"/>
      <c r="W236" s="999"/>
      <c r="X236" s="999"/>
      <c r="Y236" s="999"/>
      <c r="Z236" s="999"/>
      <c r="AA236" s="999"/>
      <c r="AB236" s="999"/>
      <c r="AC236" s="1189"/>
      <c r="AD236" s="1189"/>
      <c r="AE236" s="1189"/>
      <c r="AF236" s="1189"/>
      <c r="AG236" s="1189"/>
      <c r="AH236" s="1189"/>
      <c r="AI236" s="1189"/>
      <c r="AJ236" s="999"/>
      <c r="AK236" s="999"/>
      <c r="AL236" s="999"/>
      <c r="AM236" s="999"/>
      <c r="AN236" s="999"/>
      <c r="AO236" s="999"/>
      <c r="AP236" s="999"/>
    </row>
    <row r="237" spans="1:42" outlineLevel="1">
      <c r="A237" s="999"/>
      <c r="B237" s="1198"/>
      <c r="C237" s="1223" t="s">
        <v>627</v>
      </c>
      <c r="D237" s="1606">
        <v>235</v>
      </c>
      <c r="E237" s="1233"/>
      <c r="F237" s="1233"/>
      <c r="G237" s="1233"/>
      <c r="H237" s="1237"/>
      <c r="I237" s="1237"/>
      <c r="J237" s="1237"/>
      <c r="K237" s="1237"/>
      <c r="L237" s="1237"/>
      <c r="M237" s="1237"/>
      <c r="N237" s="1237"/>
      <c r="O237" s="1237"/>
      <c r="P237" s="1227"/>
      <c r="Q237" s="1227"/>
      <c r="R237" s="1227"/>
      <c r="S237" s="1227"/>
      <c r="T237" s="1227"/>
      <c r="U237" s="1227"/>
      <c r="V237" s="1227"/>
      <c r="W237" s="999"/>
      <c r="X237" s="999"/>
      <c r="Y237" s="999"/>
      <c r="Z237" s="999"/>
      <c r="AA237" s="999"/>
      <c r="AB237" s="999"/>
      <c r="AC237" s="1189"/>
      <c r="AD237" s="1189"/>
      <c r="AE237" s="1189"/>
      <c r="AF237" s="1189"/>
      <c r="AG237" s="1189"/>
      <c r="AH237" s="1189"/>
      <c r="AI237" s="1189"/>
      <c r="AJ237" s="999"/>
      <c r="AK237" s="999"/>
      <c r="AL237" s="999"/>
      <c r="AM237" s="999"/>
      <c r="AN237" s="999"/>
      <c r="AO237" s="999"/>
      <c r="AP237" s="999"/>
    </row>
    <row r="238" spans="1:42" outlineLevel="1">
      <c r="A238" s="999"/>
      <c r="B238" s="1198"/>
      <c r="C238" s="999"/>
      <c r="D238" s="1606">
        <v>236</v>
      </c>
      <c r="E238" s="1192"/>
      <c r="F238" s="1192"/>
      <c r="G238" s="1736"/>
      <c r="H238" s="1736">
        <f t="shared" ref="H238:Q238" si="428">H1</f>
        <v>2017</v>
      </c>
      <c r="I238" s="1736">
        <f t="shared" si="428"/>
        <v>2018</v>
      </c>
      <c r="J238" s="1736">
        <f t="shared" si="428"/>
        <v>2019</v>
      </c>
      <c r="K238" s="1736">
        <f t="shared" si="428"/>
        <v>2020</v>
      </c>
      <c r="L238" s="1736">
        <f>L1</f>
        <v>2021</v>
      </c>
      <c r="M238" s="1736">
        <f t="shared" si="428"/>
        <v>2022</v>
      </c>
      <c r="N238" s="1736">
        <f>N1</f>
        <v>2023</v>
      </c>
      <c r="O238" s="1736">
        <f>O1</f>
        <v>2024</v>
      </c>
      <c r="P238" s="1773">
        <f t="shared" si="428"/>
        <v>2025</v>
      </c>
      <c r="Q238" s="1773">
        <f t="shared" si="428"/>
        <v>2026</v>
      </c>
      <c r="R238" s="1773">
        <f t="shared" ref="R238" si="429">R1</f>
        <v>2027</v>
      </c>
      <c r="S238" s="1773">
        <f t="shared" ref="S238:U238" si="430">S1</f>
        <v>2028</v>
      </c>
      <c r="T238" s="1773">
        <f t="shared" si="430"/>
        <v>2029</v>
      </c>
      <c r="U238" s="1773">
        <f t="shared" si="430"/>
        <v>2030</v>
      </c>
      <c r="V238" s="1773"/>
      <c r="W238" s="999"/>
      <c r="X238" s="999"/>
      <c r="Y238" s="999"/>
      <c r="Z238" s="999"/>
      <c r="AA238" s="999"/>
      <c r="AB238" s="999"/>
      <c r="AC238" s="1189"/>
      <c r="AD238" s="1189"/>
      <c r="AE238" s="1189"/>
      <c r="AF238" s="1189"/>
      <c r="AG238" s="1189"/>
      <c r="AH238" s="1189"/>
      <c r="AI238" s="1189"/>
      <c r="AJ238" s="999"/>
      <c r="AK238" s="999"/>
      <c r="AL238" s="999"/>
      <c r="AM238" s="999"/>
      <c r="AN238" s="999"/>
      <c r="AO238" s="999"/>
      <c r="AP238" s="999"/>
    </row>
    <row r="239" spans="1:42" outlineLevel="1">
      <c r="A239" s="999"/>
      <c r="B239" s="1198"/>
      <c r="C239" s="1000" t="s">
        <v>628</v>
      </c>
      <c r="D239" s="1606">
        <v>237</v>
      </c>
      <c r="E239" s="1192"/>
      <c r="F239" s="1192"/>
      <c r="G239" s="1192"/>
      <c r="H239" s="1192"/>
      <c r="I239" s="1192"/>
      <c r="J239" s="1192"/>
      <c r="K239" s="1192"/>
      <c r="L239" s="1192"/>
      <c r="M239" s="1192"/>
      <c r="N239" s="1192"/>
      <c r="O239" s="1192"/>
      <c r="P239" s="999"/>
      <c r="Q239" s="999"/>
      <c r="R239" s="999"/>
      <c r="S239" s="999"/>
      <c r="T239" s="999"/>
      <c r="U239" s="999"/>
      <c r="V239" s="999"/>
      <c r="W239" s="999"/>
      <c r="X239" s="999"/>
      <c r="Y239" s="999"/>
      <c r="Z239" s="999"/>
      <c r="AA239" s="999"/>
      <c r="AB239" s="999"/>
      <c r="AC239" s="1189"/>
      <c r="AD239" s="1189"/>
      <c r="AE239" s="1189"/>
      <c r="AF239" s="1189"/>
      <c r="AG239" s="1189"/>
      <c r="AH239" s="1189"/>
      <c r="AI239" s="1189"/>
      <c r="AJ239" s="999"/>
      <c r="AK239" s="999"/>
      <c r="AL239" s="999"/>
      <c r="AM239" s="999"/>
      <c r="AN239" s="999"/>
      <c r="AO239" s="999"/>
      <c r="AP239" s="999"/>
    </row>
    <row r="240" spans="1:42" outlineLevel="1">
      <c r="A240" s="999"/>
      <c r="B240" s="1198"/>
      <c r="C240" s="999" t="s">
        <v>629</v>
      </c>
      <c r="D240" s="1606">
        <v>238</v>
      </c>
      <c r="E240" s="1192"/>
      <c r="F240" s="1192"/>
      <c r="G240" s="1192"/>
      <c r="H240" s="1192"/>
      <c r="I240" s="1783">
        <v>1</v>
      </c>
      <c r="J240" s="1783"/>
      <c r="K240" s="1609">
        <f>IF((L238-$K$238)&lt;=$I$240,$K$212&lt;$I$240,0)+IF(L238-$K$238&lt;=$I$240,$K$212/$I$240,0)</f>
        <v>1</v>
      </c>
      <c r="L240" s="1609">
        <v>0.98</v>
      </c>
      <c r="M240" s="1609">
        <f>IF((N$238-M$238)&lt;=$I240,M212/$I240,0)</f>
        <v>3626</v>
      </c>
      <c r="N240" s="1609">
        <f>IF((O$238-N$238)&lt;=$I240,N212/$I240,0)</f>
        <v>-1129</v>
      </c>
      <c r="O240" s="1609">
        <f>IF((P$238-O$238)&lt;=$I240,O212/$I240,0)</f>
        <v>-1160</v>
      </c>
      <c r="P240" s="1734">
        <f t="shared" ref="P240:Q242" ca="1" si="431">IF((Q$238-P$238)&lt;=$I240,P212/$I240,0)</f>
        <v>-4090.2987176014822</v>
      </c>
      <c r="Q240" s="1734">
        <f t="shared" ca="1" si="431"/>
        <v>-4972.1055304753409</v>
      </c>
      <c r="R240" s="1734">
        <f t="shared" ref="R240:R242" ca="1" si="432">IF((S$238-R$238)&lt;=$I240,R212/$I240,0)</f>
        <v>-5705.1291541610053</v>
      </c>
      <c r="S240" s="1734">
        <f t="shared" ref="S240:S242" ca="1" si="433">IF((T$238-S$238)&lt;=$I240,S212/$I240,0)</f>
        <v>-6573.6759590184138</v>
      </c>
      <c r="T240" s="1734">
        <f t="shared" ref="T240:T242" ca="1" si="434">IF((U$238-T$238)&lt;=$I240,T212/$I240,0)</f>
        <v>-7314.8637803493903</v>
      </c>
      <c r="U240" s="1734">
        <f t="shared" ref="U240:U242" ca="1" si="435">IF((V$238-U$238)&lt;=$I240,U212/$I240,0)</f>
        <v>-7998.2064439218439</v>
      </c>
      <c r="V240" s="1734"/>
      <c r="W240" s="999"/>
      <c r="X240" s="999"/>
      <c r="Y240" s="999"/>
      <c r="Z240" s="999"/>
      <c r="AA240" s="999"/>
      <c r="AB240" s="999"/>
      <c r="AC240" s="1189"/>
      <c r="AD240" s="1189"/>
      <c r="AE240" s="1189"/>
      <c r="AF240" s="1189"/>
      <c r="AG240" s="1189"/>
      <c r="AH240" s="1189"/>
      <c r="AI240" s="1189"/>
      <c r="AJ240" s="999"/>
      <c r="AK240" s="999"/>
      <c r="AL240" s="999"/>
      <c r="AM240" s="999"/>
      <c r="AN240" s="999"/>
      <c r="AO240" s="999"/>
      <c r="AP240" s="999"/>
    </row>
    <row r="241" spans="1:42" outlineLevel="1">
      <c r="A241" s="999"/>
      <c r="B241" s="1198"/>
      <c r="C241" s="999" t="s">
        <v>630</v>
      </c>
      <c r="D241" s="1606">
        <v>239</v>
      </c>
      <c r="E241" s="1192"/>
      <c r="F241" s="1192"/>
      <c r="G241" s="1192"/>
      <c r="H241" s="1192"/>
      <c r="I241" s="1783">
        <v>1</v>
      </c>
      <c r="J241" s="1783"/>
      <c r="K241" s="1609">
        <f>IF((L238-K$238)&lt;=$I$241,K213/$I$241,0)</f>
        <v>0</v>
      </c>
      <c r="L241" s="1609">
        <v>0</v>
      </c>
      <c r="M241" s="1609">
        <f t="shared" ref="M241:O242" si="436">IF((N$238-M$238)&lt;=$I241,M213/$I241,0)</f>
        <v>127.84810978774428</v>
      </c>
      <c r="N241" s="1609">
        <f t="shared" si="436"/>
        <v>148.92057232423372</v>
      </c>
      <c r="O241" s="1609">
        <f t="shared" si="436"/>
        <v>209.46036517185414</v>
      </c>
      <c r="P241" s="1734">
        <f t="shared" ca="1" si="431"/>
        <v>248.83024060059674</v>
      </c>
      <c r="Q241" s="1734">
        <f t="shared" ca="1" si="431"/>
        <v>302.47429365384511</v>
      </c>
      <c r="R241" s="1734">
        <f t="shared" ca="1" si="432"/>
        <v>347.06723349531029</v>
      </c>
      <c r="S241" s="1734">
        <f t="shared" ca="1" si="433"/>
        <v>399.9046239517902</v>
      </c>
      <c r="T241" s="1734">
        <f t="shared" ca="1" si="434"/>
        <v>444.99422660559526</v>
      </c>
      <c r="U241" s="1734">
        <f t="shared" ca="1" si="435"/>
        <v>486.56486267128923</v>
      </c>
      <c r="V241" s="1734"/>
      <c r="W241" s="999"/>
      <c r="X241" s="999"/>
      <c r="Y241" s="999"/>
      <c r="Z241" s="999"/>
      <c r="AA241" s="999"/>
      <c r="AB241" s="999"/>
      <c r="AC241" s="1189"/>
      <c r="AD241" s="1189"/>
      <c r="AE241" s="1189"/>
      <c r="AF241" s="1189"/>
      <c r="AG241" s="1189"/>
      <c r="AH241" s="1189"/>
      <c r="AI241" s="1189"/>
      <c r="AJ241" s="999"/>
      <c r="AK241" s="999"/>
      <c r="AL241" s="999"/>
      <c r="AM241" s="999"/>
      <c r="AN241" s="999"/>
      <c r="AO241" s="999"/>
      <c r="AP241" s="999"/>
    </row>
    <row r="242" spans="1:42" outlineLevel="1">
      <c r="A242" s="999"/>
      <c r="B242" s="1198"/>
      <c r="C242" s="999" t="s">
        <v>631</v>
      </c>
      <c r="D242" s="1606">
        <v>240</v>
      </c>
      <c r="E242" s="1192"/>
      <c r="F242" s="1192"/>
      <c r="G242" s="1192"/>
      <c r="H242" s="1192"/>
      <c r="I242" s="1783">
        <v>1</v>
      </c>
      <c r="J242" s="1783"/>
      <c r="K242" s="1609">
        <f>IF((L238-K$238)&lt;=$I$242,K214/$I$242,0)</f>
        <v>0</v>
      </c>
      <c r="L242" s="1609">
        <v>0</v>
      </c>
      <c r="M242" s="1609">
        <f t="shared" si="436"/>
        <v>710.17724531993815</v>
      </c>
      <c r="N242" s="1609">
        <f t="shared" si="436"/>
        <v>628.53319051793812</v>
      </c>
      <c r="O242" s="1609">
        <f t="shared" si="436"/>
        <v>712.82799041441353</v>
      </c>
      <c r="P242" s="1734">
        <f t="shared" ca="1" si="431"/>
        <v>846.81013620944736</v>
      </c>
      <c r="Q242" s="1734">
        <f t="shared" ca="1" si="431"/>
        <v>1029.3696505321575</v>
      </c>
      <c r="R242" s="1734">
        <f t="shared" ca="1" si="432"/>
        <v>1181.1267415110756</v>
      </c>
      <c r="S242" s="1734">
        <f t="shared" ca="1" si="433"/>
        <v>1360.9410506617946</v>
      </c>
      <c r="T242" s="1734">
        <f t="shared" ca="1" si="434"/>
        <v>1514.3883666823012</v>
      </c>
      <c r="U242" s="1734">
        <f t="shared" ca="1" si="435"/>
        <v>1655.8600620202003</v>
      </c>
      <c r="V242" s="1734"/>
      <c r="W242" s="999"/>
      <c r="X242" s="999"/>
      <c r="Y242" s="999"/>
      <c r="Z242" s="999"/>
      <c r="AA242" s="999"/>
      <c r="AB242" s="999"/>
      <c r="AC242" s="1189"/>
      <c r="AD242" s="1189"/>
      <c r="AE242" s="1189"/>
      <c r="AF242" s="1189"/>
      <c r="AG242" s="1189"/>
      <c r="AH242" s="1189"/>
      <c r="AI242" s="1189"/>
      <c r="AJ242" s="999"/>
      <c r="AK242" s="999"/>
      <c r="AL242" s="999"/>
      <c r="AM242" s="999"/>
      <c r="AN242" s="999"/>
      <c r="AO242" s="999"/>
      <c r="AP242" s="999"/>
    </row>
    <row r="243" spans="1:42" outlineLevel="1">
      <c r="A243" s="999"/>
      <c r="B243" s="1198"/>
      <c r="C243" s="999" t="s">
        <v>632</v>
      </c>
      <c r="D243" s="1606">
        <v>241</v>
      </c>
      <c r="E243" s="1192"/>
      <c r="F243" s="1192"/>
      <c r="G243" s="1192"/>
      <c r="H243" s="1192"/>
      <c r="I243" s="1783">
        <v>1</v>
      </c>
      <c r="J243" s="1783"/>
      <c r="K243" s="1609">
        <f t="shared" ref="K243:P243" si="437">IF((K240-$J$238)&lt;=$I$241,K215/$I$241,0)</f>
        <v>0</v>
      </c>
      <c r="L243" s="1609">
        <v>0</v>
      </c>
      <c r="M243" s="1609">
        <f t="shared" si="437"/>
        <v>0</v>
      </c>
      <c r="N243" s="1609">
        <f>IF((N240-$J$238)&lt;=$I$241,N215/$I$241,0)</f>
        <v>0.92995563180934349</v>
      </c>
      <c r="O243" s="1609">
        <f>IF((O240-$J$238)&lt;=$I$241,O215/$I$241,0)</f>
        <v>1.0546752569279023</v>
      </c>
      <c r="P243" s="1734">
        <f t="shared" ca="1" si="437"/>
        <v>1.2529105337974</v>
      </c>
      <c r="Q243" s="1734">
        <f ca="1">IF((Q240-$J$238)&lt;=$I$241,Q215/$I$241,0)</f>
        <v>1.5230191788872216</v>
      </c>
      <c r="R243" s="1734">
        <f t="shared" ref="R243" ca="1" si="438">IF((R240-$J$238)&lt;=$I$241,R215/$I$241,0)</f>
        <v>1.7475536403156671</v>
      </c>
      <c r="S243" s="1734">
        <f t="shared" ref="S243:U243" ca="1" si="439">IF((S240-$J$238)&lt;=$I$241,S215/$I$241,0)</f>
        <v>2.0136005762568252</v>
      </c>
      <c r="T243" s="1734">
        <f t="shared" ca="1" si="439"/>
        <v>2.2406358352885847</v>
      </c>
      <c r="U243" s="1734">
        <f t="shared" ca="1" si="439"/>
        <v>2.4499523865954167</v>
      </c>
      <c r="V243" s="1734"/>
      <c r="W243" s="999"/>
      <c r="X243" s="999"/>
      <c r="Y243" s="999"/>
      <c r="Z243" s="999"/>
      <c r="AA243" s="999"/>
      <c r="AB243" s="999"/>
      <c r="AC243" s="1189"/>
      <c r="AD243" s="1189"/>
      <c r="AE243" s="1189"/>
      <c r="AF243" s="1189"/>
      <c r="AG243" s="1189"/>
      <c r="AH243" s="1189"/>
      <c r="AI243" s="1189"/>
      <c r="AJ243" s="999"/>
      <c r="AK243" s="999"/>
      <c r="AL243" s="999"/>
      <c r="AM243" s="999"/>
      <c r="AN243" s="999"/>
      <c r="AO243" s="999"/>
      <c r="AP243" s="999"/>
    </row>
    <row r="244" spans="1:42" outlineLevel="1">
      <c r="A244" s="999"/>
      <c r="B244" s="1198"/>
      <c r="C244" s="999" t="s">
        <v>608</v>
      </c>
      <c r="D244" s="1606">
        <v>242</v>
      </c>
      <c r="E244" s="1192"/>
      <c r="F244" s="1192"/>
      <c r="G244" s="1192"/>
      <c r="H244" s="1192"/>
      <c r="I244" s="1783">
        <v>1</v>
      </c>
      <c r="J244" s="1783"/>
      <c r="K244" s="1609">
        <f>IF((L238-$J$238)&lt;=$I$244,$K$216/$I$244,0)+IF((L238-K$238)&lt;=I244,$K$216/$I$244,0)</f>
        <v>0</v>
      </c>
      <c r="L244" s="1609">
        <f>IF((M238-$J$238)&lt;=$I$244,$K$216/$I$244,0)+IF((M238-L$238)&lt;=J244,$K$216/$I$244,0)</f>
        <v>0</v>
      </c>
      <c r="M244" s="1609">
        <f>IF((N238-$J$238)&lt;=$I$244,$M$216/$I$244,0)+IF((N238-$K$238)&lt;=$I$244,$M$216/$I$244,0)+IF((N238-$L$238)&lt;=$I$244,$M$216/$I$244,0)+IF((N238-$M$238)&lt;=$I$244,$M$216/$I$244,0)</f>
        <v>1.3786453322452787</v>
      </c>
      <c r="N244" s="1609">
        <f>IF((O238-$J$238)&lt;=$I$244,$M$216/$I$244,0)+IF((O238-$K$238)&lt;=$I$244,$M$216/$I$244,0)+IF((O238-$L$238)&lt;=$I$244,$M$216/$I$244,0)+IF((O238-$M$238)&lt;=$I$244,$M$216/$I$244,0)</f>
        <v>0</v>
      </c>
      <c r="O244" s="1609">
        <f>IF((P238-$J$238)&lt;=$I$244,$M$216/$I$244,0)+IF((P238-$K$238)&lt;=$I$244,$M$216/$I$244,0)+IF((P238-$L$238)&lt;=$I$244,$M$216/$I$244,0)+IF((P238-$M$238)&lt;=$I$244,$M$216/$I$244,0)</f>
        <v>0</v>
      </c>
      <c r="P244" s="1734">
        <f>IF((Q238-$J$238)&lt;=$I$244,$N$216/$I$244,0)+IF((Q238-$K$238)&lt;=$I$244,$N$216/$I$244,0)+IF((Q238-$L$238)&lt;=$I$244,$N$216/$I$244,0)+IF((Q238-$M$238)&lt;=$I$244,$N$216/$I$244,0)+IF((Q238-$N$238)&lt;=$I$244,$N$216/$I$244,0)</f>
        <v>0</v>
      </c>
      <c r="Q244" s="1734">
        <f>IF((R238-$J$238)&lt;=$I$244,$N$216/$I$244,0)+IF((R238-$K$238)&lt;=$I$244,$N$216/$I$244,0)+IF((R238-$L$238)&lt;=$I$244,$N$216/$I$244,0)+IF((R238-$M$238)&lt;=$I$244,$N$216/$I$244,0)+IF((R238-$N$238)&lt;=$I$244,$N$216/$I$244,0)</f>
        <v>0</v>
      </c>
      <c r="R244" s="1734">
        <f t="shared" ref="R244" si="440">IF((S238-$J$238)&lt;=$I$244,$N$216/$I$244,0)+IF((S238-$K$238)&lt;=$I$244,$N$216/$I$244,0)+IF((S238-$L$238)&lt;=$I$244,$N$216/$I$244,0)+IF((S238-$M$238)&lt;=$I$244,$N$216/$I$244,0)+IF((S238-$N$238)&lt;=$I$244,$N$216/$I$244,0)</f>
        <v>0</v>
      </c>
      <c r="S244" s="1734">
        <f t="shared" ref="S244:U244" si="441">IF((T238-$J$238)&lt;=$I$244,$N$216/$I$244,0)+IF((T238-$K$238)&lt;=$I$244,$N$216/$I$244,0)+IF((T238-$L$238)&lt;=$I$244,$N$216/$I$244,0)+IF((T238-$M$238)&lt;=$I$244,$N$216/$I$244,0)+IF((T238-$N$238)&lt;=$I$244,$N$216/$I$244,0)</f>
        <v>0</v>
      </c>
      <c r="T244" s="1734">
        <f t="shared" si="441"/>
        <v>0</v>
      </c>
      <c r="U244" s="1734">
        <f t="shared" si="441"/>
        <v>6.1007611478625634</v>
      </c>
      <c r="V244" s="1734"/>
      <c r="W244" s="999"/>
      <c r="X244" s="999"/>
      <c r="Y244" s="999"/>
      <c r="Z244" s="999"/>
      <c r="AA244" s="999"/>
      <c r="AB244" s="999"/>
      <c r="AC244" s="1189"/>
      <c r="AD244" s="1189"/>
      <c r="AE244" s="1189"/>
      <c r="AF244" s="1189"/>
      <c r="AG244" s="1189"/>
      <c r="AH244" s="1189"/>
      <c r="AI244" s="1189"/>
      <c r="AJ244" s="999"/>
      <c r="AK244" s="999"/>
      <c r="AL244" s="999"/>
      <c r="AM244" s="999"/>
      <c r="AN244" s="999"/>
      <c r="AO244" s="999"/>
      <c r="AP244" s="999"/>
    </row>
    <row r="245" spans="1:42" outlineLevel="1">
      <c r="A245" s="999"/>
      <c r="B245" s="1198"/>
      <c r="C245" s="1614" t="s">
        <v>633</v>
      </c>
      <c r="D245" s="1606">
        <v>243</v>
      </c>
      <c r="E245" s="1192"/>
      <c r="F245" s="1192"/>
      <c r="G245" s="1192"/>
      <c r="H245" s="1609"/>
      <c r="I245" s="1609"/>
      <c r="J245" s="1609"/>
      <c r="K245" s="1609">
        <f t="shared" ref="K245:Q245" ca="1" si="442">J252</f>
        <v>87.43043831</v>
      </c>
      <c r="L245" s="1609">
        <f t="shared" ca="1" si="442"/>
        <v>132.62036247</v>
      </c>
      <c r="M245" s="1609">
        <f t="shared" ca="1" si="442"/>
        <v>79.697939172000005</v>
      </c>
      <c r="N245" s="1609">
        <f t="shared" ca="1" si="442"/>
        <v>79.697939171999678</v>
      </c>
      <c r="O245" s="1609">
        <f t="shared" ca="1" si="442"/>
        <v>79.988135769762891</v>
      </c>
      <c r="P245" s="1634">
        <f t="shared" ca="1" si="442"/>
        <v>80.317251655334758</v>
      </c>
      <c r="Q245" s="1634">
        <f t="shared" ca="1" si="442"/>
        <v>80.708227699537929</v>
      </c>
      <c r="R245" s="1634">
        <f t="shared" ref="R245" ca="1" si="443">Q252</f>
        <v>81.18349229165733</v>
      </c>
      <c r="S245" s="1634">
        <f t="shared" ref="S245" ca="1" si="444">R252</f>
        <v>81.728823814454245</v>
      </c>
      <c r="T245" s="1634">
        <f t="shared" ref="T245" ca="1" si="445">S252</f>
        <v>82.357176411605906</v>
      </c>
      <c r="U245" s="1634">
        <f t="shared" ref="U245" ca="1" si="446">T252</f>
        <v>83.056376323930635</v>
      </c>
      <c r="V245" s="1634"/>
      <c r="W245" s="999"/>
      <c r="X245" s="999"/>
      <c r="Y245" s="999"/>
      <c r="Z245" s="999"/>
      <c r="AA245" s="999"/>
      <c r="AB245" s="999"/>
      <c r="AC245" s="1189"/>
      <c r="AD245" s="1189"/>
      <c r="AE245" s="1189"/>
      <c r="AF245" s="1189"/>
      <c r="AG245" s="1189"/>
      <c r="AH245" s="1189"/>
      <c r="AI245" s="1189"/>
      <c r="AJ245" s="999"/>
      <c r="AK245" s="999"/>
      <c r="AL245" s="999"/>
      <c r="AM245" s="999"/>
      <c r="AN245" s="999"/>
      <c r="AO245" s="999"/>
      <c r="AP245" s="999"/>
    </row>
    <row r="246" spans="1:42" outlineLevel="1">
      <c r="A246" s="999"/>
      <c r="B246" s="1198"/>
      <c r="C246" s="1612" t="s">
        <v>634</v>
      </c>
      <c r="D246" s="1606">
        <v>244</v>
      </c>
      <c r="E246" s="1192"/>
      <c r="F246" s="1192"/>
      <c r="G246" s="1192"/>
      <c r="H246" s="1192"/>
      <c r="I246" s="1192"/>
      <c r="J246" s="1609"/>
      <c r="K246" s="1609">
        <f ca="1">K252-K245</f>
        <v>45.189924160000004</v>
      </c>
      <c r="L246" s="1609">
        <f ca="1">L252-L245</f>
        <v>-52.922423297999998</v>
      </c>
      <c r="M246" s="1609">
        <f t="shared" ref="M246:Q246" si="447">M217</f>
        <v>4466.45475374752</v>
      </c>
      <c r="N246" s="1609">
        <f>N217</f>
        <v>-349.3961292964463</v>
      </c>
      <c r="O246" s="1609">
        <f>O217</f>
        <v>-235.27317801430462</v>
      </c>
      <c r="P246" s="1634">
        <f t="shared" ca="1" si="447"/>
        <v>-2991.7615436796391</v>
      </c>
      <c r="Q246" s="1634">
        <f t="shared" ca="1" si="447"/>
        <v>-3636.740283339444</v>
      </c>
      <c r="R246" s="1634">
        <f t="shared" ref="R246" ca="1" si="448">R217</f>
        <v>-4172.894740351192</v>
      </c>
      <c r="S246" s="1634">
        <f t="shared" ref="S246:U246" ca="1" si="449">S217</f>
        <v>-4808.1747306551624</v>
      </c>
      <c r="T246" s="1634">
        <f t="shared" ca="1" si="449"/>
        <v>-5350.3007154785928</v>
      </c>
      <c r="U246" s="1634">
        <f t="shared" ca="1" si="449"/>
        <v>-5850.1170964275361</v>
      </c>
      <c r="V246" s="1634"/>
      <c r="W246" s="999"/>
      <c r="X246" s="999"/>
      <c r="Y246" s="999"/>
      <c r="Z246" s="999"/>
      <c r="AA246" s="999"/>
      <c r="AB246" s="999"/>
      <c r="AC246" s="1189"/>
      <c r="AD246" s="1189"/>
      <c r="AE246" s="1189"/>
      <c r="AF246" s="1189"/>
      <c r="AG246" s="1189"/>
      <c r="AH246" s="1189"/>
      <c r="AI246" s="1189"/>
      <c r="AJ246" s="999"/>
      <c r="AK246" s="999"/>
      <c r="AL246" s="999"/>
      <c r="AM246" s="999"/>
      <c r="AN246" s="999"/>
      <c r="AO246" s="999"/>
      <c r="AP246" s="999"/>
    </row>
    <row r="247" spans="1:42" outlineLevel="1">
      <c r="A247" s="999"/>
      <c r="B247" s="1198"/>
      <c r="C247" s="1612" t="s">
        <v>635</v>
      </c>
      <c r="D247" s="1606">
        <v>245</v>
      </c>
      <c r="E247" s="1192"/>
      <c r="F247" s="1192"/>
      <c r="G247" s="1192"/>
      <c r="H247" s="1192"/>
      <c r="I247" s="1192"/>
      <c r="J247" s="1609"/>
      <c r="K247" s="1609"/>
      <c r="L247" s="1609"/>
      <c r="M247" s="1609">
        <f t="shared" ref="M247:Q247" si="450">-SUM(M240:M244,M215)</f>
        <v>-4466.45475374752</v>
      </c>
      <c r="N247" s="1609">
        <f>-SUM(N240:N244,N215)</f>
        <v>349.68632589420952</v>
      </c>
      <c r="O247" s="1609">
        <f>-SUM(O240:O244,O215)</f>
        <v>235.60229389987649</v>
      </c>
      <c r="P247" s="1634">
        <f t="shared" ca="1" si="450"/>
        <v>2992.1525197238425</v>
      </c>
      <c r="Q247" s="1634">
        <f t="shared" ca="1" si="450"/>
        <v>3637.2155479315634</v>
      </c>
      <c r="R247" s="1634">
        <f t="shared" ref="R247" ca="1" si="451">-SUM(R240:R244,R215)</f>
        <v>4173.4400718739889</v>
      </c>
      <c r="S247" s="1634">
        <f t="shared" ref="S247:U247" ca="1" si="452">-SUM(S240:S244,S215)</f>
        <v>4808.8030832523145</v>
      </c>
      <c r="T247" s="1634">
        <f t="shared" ca="1" si="452"/>
        <v>5350.9999153909175</v>
      </c>
      <c r="U247" s="1634">
        <f t="shared" ca="1" si="452"/>
        <v>5844.7808533093012</v>
      </c>
      <c r="V247" s="1634"/>
      <c r="W247" s="999"/>
      <c r="X247" s="999"/>
      <c r="Y247" s="999"/>
      <c r="Z247" s="999"/>
      <c r="AA247" s="999"/>
      <c r="AB247" s="999"/>
      <c r="AC247" s="1189"/>
      <c r="AD247" s="1189"/>
      <c r="AE247" s="1189"/>
      <c r="AF247" s="1189"/>
      <c r="AG247" s="1189"/>
      <c r="AH247" s="1189"/>
      <c r="AI247" s="1189"/>
      <c r="AJ247" s="999"/>
      <c r="AK247" s="999"/>
      <c r="AL247" s="999"/>
      <c r="AM247" s="999"/>
      <c r="AN247" s="999"/>
      <c r="AO247" s="999"/>
      <c r="AP247" s="999"/>
    </row>
    <row r="248" spans="1:42" outlineLevel="1">
      <c r="A248" s="999"/>
      <c r="B248" s="1198"/>
      <c r="C248" s="1612" t="s">
        <v>636</v>
      </c>
      <c r="D248" s="1606">
        <v>246</v>
      </c>
      <c r="E248" s="1192"/>
      <c r="F248" s="1192"/>
      <c r="G248" s="1192"/>
      <c r="H248" s="1192"/>
      <c r="I248" s="1192"/>
      <c r="J248" s="1192"/>
      <c r="K248" s="1192">
        <v>0</v>
      </c>
      <c r="L248" s="1192">
        <v>0</v>
      </c>
      <c r="M248" s="1192">
        <v>0</v>
      </c>
      <c r="N248" s="1192">
        <v>0</v>
      </c>
      <c r="O248" s="1192">
        <v>0</v>
      </c>
      <c r="P248" s="1784">
        <v>0</v>
      </c>
      <c r="Q248" s="1784">
        <v>0</v>
      </c>
      <c r="R248" s="1784">
        <v>0</v>
      </c>
      <c r="S248" s="1784">
        <v>0</v>
      </c>
      <c r="T248" s="1784">
        <v>0</v>
      </c>
      <c r="U248" s="1784">
        <v>0</v>
      </c>
      <c r="V248" s="1784"/>
      <c r="W248" s="999"/>
      <c r="X248" s="999"/>
      <c r="Y248" s="999"/>
      <c r="Z248" s="999"/>
      <c r="AA248" s="999"/>
      <c r="AB248" s="999"/>
      <c r="AC248" s="1189"/>
      <c r="AD248" s="1189"/>
      <c r="AE248" s="1189"/>
      <c r="AF248" s="1189"/>
      <c r="AG248" s="1189"/>
      <c r="AH248" s="1189"/>
      <c r="AI248" s="1189"/>
      <c r="AJ248" s="999"/>
      <c r="AK248" s="999"/>
      <c r="AL248" s="999"/>
      <c r="AM248" s="999"/>
      <c r="AN248" s="999"/>
      <c r="AO248" s="999"/>
      <c r="AP248" s="999"/>
    </row>
    <row r="249" spans="1:42" outlineLevel="1">
      <c r="A249" s="999"/>
      <c r="B249" s="1198"/>
      <c r="C249" s="1612" t="s">
        <v>637</v>
      </c>
      <c r="D249" s="1606">
        <v>247</v>
      </c>
      <c r="E249" s="1192"/>
      <c r="F249" s="1192"/>
      <c r="G249" s="1192"/>
      <c r="H249" s="1192"/>
      <c r="I249" s="1192"/>
      <c r="J249" s="1192"/>
      <c r="K249" s="1192">
        <v>0</v>
      </c>
      <c r="L249" s="1192">
        <v>0</v>
      </c>
      <c r="M249" s="1192">
        <v>0</v>
      </c>
      <c r="N249" s="1192">
        <v>0</v>
      </c>
      <c r="O249" s="1192">
        <v>0</v>
      </c>
      <c r="P249" s="1784">
        <v>0</v>
      </c>
      <c r="Q249" s="1784">
        <v>0</v>
      </c>
      <c r="R249" s="1784">
        <v>0</v>
      </c>
      <c r="S249" s="1784">
        <v>0</v>
      </c>
      <c r="T249" s="1784">
        <v>0</v>
      </c>
      <c r="U249" s="1784">
        <v>0</v>
      </c>
      <c r="V249" s="1784"/>
      <c r="W249" s="999"/>
      <c r="X249" s="999"/>
      <c r="Y249" s="999"/>
      <c r="Z249" s="999"/>
      <c r="AA249" s="999"/>
      <c r="AB249" s="999"/>
      <c r="AC249" s="1189"/>
      <c r="AD249" s="1189"/>
      <c r="AE249" s="1189"/>
      <c r="AF249" s="1189"/>
      <c r="AG249" s="1189"/>
      <c r="AH249" s="1189"/>
      <c r="AI249" s="1189"/>
      <c r="AJ249" s="999"/>
      <c r="AK249" s="999"/>
      <c r="AL249" s="999"/>
      <c r="AM249" s="999"/>
      <c r="AN249" s="999"/>
      <c r="AO249" s="999"/>
      <c r="AP249" s="999"/>
    </row>
    <row r="250" spans="1:42" outlineLevel="1">
      <c r="A250" s="999"/>
      <c r="B250" s="1221"/>
      <c r="C250" s="1612" t="s">
        <v>638</v>
      </c>
      <c r="D250" s="1606">
        <v>248</v>
      </c>
      <c r="E250" s="1192"/>
      <c r="F250" s="1192"/>
      <c r="G250" s="1192"/>
      <c r="H250" s="1192"/>
      <c r="I250" s="1192"/>
      <c r="J250" s="1192"/>
      <c r="K250" s="1192">
        <v>0</v>
      </c>
      <c r="L250" s="1192">
        <v>0</v>
      </c>
      <c r="M250" s="1192">
        <v>0</v>
      </c>
      <c r="N250" s="1192">
        <v>0</v>
      </c>
      <c r="O250" s="1192">
        <v>0</v>
      </c>
      <c r="P250" s="1784">
        <v>0</v>
      </c>
      <c r="Q250" s="1784">
        <v>0</v>
      </c>
      <c r="R250" s="1784">
        <v>0</v>
      </c>
      <c r="S250" s="1784">
        <v>0</v>
      </c>
      <c r="T250" s="1784">
        <v>0</v>
      </c>
      <c r="U250" s="1784">
        <v>0</v>
      </c>
      <c r="V250" s="1784"/>
      <c r="W250" s="999"/>
      <c r="X250" s="999"/>
      <c r="Y250" s="999"/>
      <c r="Z250" s="999"/>
      <c r="AA250" s="999"/>
      <c r="AB250" s="999"/>
      <c r="AC250" s="1189"/>
      <c r="AD250" s="1189"/>
      <c r="AE250" s="1189"/>
      <c r="AF250" s="1189"/>
      <c r="AG250" s="1189"/>
      <c r="AH250" s="1189"/>
      <c r="AI250" s="1189"/>
      <c r="AJ250" s="999"/>
      <c r="AK250" s="999"/>
      <c r="AL250" s="999"/>
      <c r="AM250" s="999"/>
      <c r="AN250" s="999"/>
      <c r="AO250" s="999"/>
      <c r="AP250" s="999"/>
    </row>
    <row r="251" spans="1:42" outlineLevel="1">
      <c r="A251" s="999"/>
      <c r="B251" s="1198"/>
      <c r="C251" s="1612" t="s">
        <v>639</v>
      </c>
      <c r="D251" s="1606">
        <v>249</v>
      </c>
      <c r="E251" s="1192"/>
      <c r="F251" s="1192"/>
      <c r="G251" s="1192"/>
      <c r="H251" s="1192"/>
      <c r="I251" s="1192"/>
      <c r="J251" s="1192"/>
      <c r="K251" s="1192">
        <v>0</v>
      </c>
      <c r="L251" s="1192">
        <v>0</v>
      </c>
      <c r="M251" s="1192">
        <v>0</v>
      </c>
      <c r="N251" s="1192">
        <v>0</v>
      </c>
      <c r="O251" s="1192">
        <v>0</v>
      </c>
      <c r="P251" s="1784">
        <v>0</v>
      </c>
      <c r="Q251" s="1784">
        <v>0</v>
      </c>
      <c r="R251" s="1784">
        <v>0</v>
      </c>
      <c r="S251" s="1784">
        <v>0</v>
      </c>
      <c r="T251" s="1784">
        <v>0</v>
      </c>
      <c r="U251" s="1784">
        <v>0</v>
      </c>
      <c r="V251" s="1784"/>
      <c r="W251" s="999"/>
      <c r="X251" s="999"/>
      <c r="Y251" s="999"/>
      <c r="Z251" s="999"/>
      <c r="AA251" s="999"/>
      <c r="AB251" s="999"/>
      <c r="AC251" s="1189"/>
      <c r="AD251" s="1189"/>
      <c r="AE251" s="1189"/>
      <c r="AF251" s="1189"/>
      <c r="AG251" s="1189"/>
      <c r="AH251" s="1189"/>
      <c r="AI251" s="1189"/>
      <c r="AJ251" s="999"/>
      <c r="AK251" s="999"/>
      <c r="AL251" s="999"/>
      <c r="AM251" s="999"/>
      <c r="AN251" s="999"/>
      <c r="AO251" s="999"/>
      <c r="AP251" s="999"/>
    </row>
    <row r="252" spans="1:42" outlineLevel="1">
      <c r="A252" s="999"/>
      <c r="B252" s="1198"/>
      <c r="C252" s="1621" t="s">
        <v>640</v>
      </c>
      <c r="D252" s="1606">
        <v>250</v>
      </c>
      <c r="E252" s="1192"/>
      <c r="F252" s="1192"/>
      <c r="G252" s="1192"/>
      <c r="H252" s="1609"/>
      <c r="I252" s="1609"/>
      <c r="J252" s="1654">
        <f ca="1">J18</f>
        <v>87.43043831</v>
      </c>
      <c r="K252" s="1654">
        <f ca="1">K18</f>
        <v>132.62036247</v>
      </c>
      <c r="L252" s="1654">
        <f ca="1">L18</f>
        <v>79.697939172000005</v>
      </c>
      <c r="M252" s="1654">
        <f t="shared" ref="M252:Q252" ca="1" si="453">SUM(M245:M251)</f>
        <v>79.697939171999678</v>
      </c>
      <c r="N252" s="1654">
        <f ca="1">SUM(N245:N251)</f>
        <v>79.988135769762891</v>
      </c>
      <c r="O252" s="1654">
        <f ca="1">SUM(O245:O251)</f>
        <v>80.317251655334758</v>
      </c>
      <c r="P252" s="1768">
        <f ca="1">SUM(P245:P251)</f>
        <v>80.708227699537929</v>
      </c>
      <c r="Q252" s="1768">
        <f t="shared" ca="1" si="453"/>
        <v>81.18349229165733</v>
      </c>
      <c r="R252" s="1768">
        <f t="shared" ref="R252" ca="1" si="454">SUM(R245:R251)</f>
        <v>81.728823814454245</v>
      </c>
      <c r="S252" s="1768">
        <f t="shared" ref="S252:U252" ca="1" si="455">SUM(S245:S251)</f>
        <v>82.357176411605906</v>
      </c>
      <c r="T252" s="1768">
        <f t="shared" ca="1" si="455"/>
        <v>83.056376323930635</v>
      </c>
      <c r="U252" s="1768">
        <f t="shared" ca="1" si="455"/>
        <v>77.720133205695674</v>
      </c>
      <c r="V252" s="1768"/>
      <c r="W252" s="999"/>
      <c r="X252" s="999"/>
      <c r="Y252" s="999"/>
      <c r="Z252" s="999"/>
      <c r="AA252" s="999"/>
      <c r="AB252" s="999"/>
      <c r="AC252" s="1189"/>
      <c r="AD252" s="1189"/>
      <c r="AE252" s="1189"/>
      <c r="AF252" s="1189"/>
      <c r="AG252" s="1189"/>
      <c r="AH252" s="1189"/>
      <c r="AI252" s="1189"/>
      <c r="AJ252" s="999"/>
      <c r="AK252" s="999"/>
      <c r="AL252" s="999"/>
      <c r="AM252" s="999"/>
      <c r="AN252" s="999"/>
      <c r="AO252" s="999"/>
      <c r="AP252" s="999"/>
    </row>
    <row r="253" spans="1:42">
      <c r="A253" s="999">
        <v>7</v>
      </c>
      <c r="B253" s="1198"/>
      <c r="C253" s="1628"/>
      <c r="D253" s="1606">
        <v>251</v>
      </c>
      <c r="E253" s="1755"/>
      <c r="F253" s="1755"/>
      <c r="G253" s="1755"/>
      <c r="H253" s="1755"/>
      <c r="I253" s="1755"/>
      <c r="J253" s="1652"/>
      <c r="K253" s="1652"/>
      <c r="L253" s="1652"/>
      <c r="M253" s="1652"/>
      <c r="N253" s="1652"/>
      <c r="O253" s="1652"/>
      <c r="P253" s="1785"/>
      <c r="Q253" s="1785"/>
      <c r="R253" s="1785"/>
      <c r="S253" s="1785"/>
      <c r="T253" s="1785"/>
      <c r="U253" s="1785"/>
      <c r="V253" s="1785"/>
      <c r="W253" s="999"/>
      <c r="X253" s="999"/>
      <c r="Y253" s="999"/>
      <c r="Z253" s="999"/>
      <c r="AA253" s="999"/>
      <c r="AB253" s="999"/>
      <c r="AC253" s="1189"/>
      <c r="AD253" s="1189"/>
      <c r="AE253" s="1189"/>
      <c r="AF253" s="1189"/>
      <c r="AG253" s="1189"/>
      <c r="AH253" s="1189"/>
      <c r="AI253" s="1189"/>
      <c r="AJ253" s="999"/>
      <c r="AK253" s="999"/>
      <c r="AL253" s="999"/>
      <c r="AM253" s="999"/>
      <c r="AN253" s="999"/>
      <c r="AO253" s="999"/>
      <c r="AP253" s="999"/>
    </row>
    <row r="254" spans="1:42">
      <c r="A254" s="999"/>
      <c r="B254" s="1198"/>
      <c r="C254" s="1223" t="s">
        <v>641</v>
      </c>
      <c r="D254" s="1606">
        <v>252</v>
      </c>
      <c r="E254" s="1233"/>
      <c r="F254" s="1233"/>
      <c r="G254" s="1237"/>
      <c r="H254" s="1237"/>
      <c r="I254" s="1237"/>
      <c r="J254" s="1238">
        <f t="shared" ref="J254:Q254" si="456">J1</f>
        <v>2019</v>
      </c>
      <c r="K254" s="1238">
        <f t="shared" si="456"/>
        <v>2020</v>
      </c>
      <c r="L254" s="1238">
        <f>L1</f>
        <v>2021</v>
      </c>
      <c r="M254" s="1238">
        <f t="shared" si="456"/>
        <v>2022</v>
      </c>
      <c r="N254" s="1238">
        <f>N1</f>
        <v>2023</v>
      </c>
      <c r="O254" s="1238">
        <f>O1</f>
        <v>2024</v>
      </c>
      <c r="P254" s="1228">
        <f t="shared" si="456"/>
        <v>2025</v>
      </c>
      <c r="Q254" s="1228">
        <f t="shared" si="456"/>
        <v>2026</v>
      </c>
      <c r="R254" s="1228">
        <f t="shared" ref="R254" si="457">R1</f>
        <v>2027</v>
      </c>
      <c r="S254" s="1228">
        <f t="shared" ref="S254:U254" si="458">S1</f>
        <v>2028</v>
      </c>
      <c r="T254" s="1228">
        <f t="shared" si="458"/>
        <v>2029</v>
      </c>
      <c r="U254" s="1228">
        <f t="shared" si="458"/>
        <v>2030</v>
      </c>
      <c r="V254" s="1228"/>
      <c r="W254" s="999"/>
      <c r="X254" s="999"/>
      <c r="Y254" s="999"/>
      <c r="Z254" s="999"/>
      <c r="AA254" s="999"/>
      <c r="AB254" s="999"/>
      <c r="AC254" s="1189"/>
      <c r="AD254" s="1189"/>
      <c r="AE254" s="1189"/>
      <c r="AF254" s="1189"/>
      <c r="AG254" s="1189"/>
      <c r="AH254" s="1189"/>
      <c r="AI254" s="1189"/>
      <c r="AJ254" s="999"/>
      <c r="AK254" s="999"/>
      <c r="AL254" s="999"/>
      <c r="AM254" s="999"/>
      <c r="AN254" s="999"/>
      <c r="AO254" s="999"/>
      <c r="AP254" s="999"/>
    </row>
    <row r="255" spans="1:42">
      <c r="A255" s="999"/>
      <c r="B255" s="1198"/>
      <c r="C255" s="1000" t="s">
        <v>642</v>
      </c>
      <c r="D255" s="1606">
        <v>253</v>
      </c>
      <c r="E255" s="1192"/>
      <c r="F255" s="1192"/>
      <c r="G255" s="1192"/>
      <c r="H255" s="1192"/>
      <c r="I255" s="1192"/>
      <c r="J255" s="1192"/>
      <c r="K255" s="1192"/>
      <c r="L255" s="1192"/>
      <c r="M255" s="1192"/>
      <c r="N255" s="1192"/>
      <c r="O255" s="1192"/>
      <c r="P255" s="999"/>
      <c r="Q255" s="999"/>
      <c r="R255" s="999"/>
      <c r="S255" s="999"/>
      <c r="T255" s="999"/>
      <c r="U255" s="999"/>
      <c r="V255" s="999"/>
      <c r="W255" s="999"/>
      <c r="X255" s="999"/>
      <c r="Y255" s="999"/>
      <c r="Z255" s="999"/>
      <c r="AA255" s="999"/>
      <c r="AB255" s="999"/>
      <c r="AC255" s="1189"/>
      <c r="AD255" s="1189"/>
      <c r="AE255" s="1189"/>
      <c r="AF255" s="1189"/>
      <c r="AG255" s="1189"/>
      <c r="AH255" s="1189"/>
      <c r="AI255" s="1189"/>
      <c r="AJ255" s="999"/>
      <c r="AK255" s="999"/>
      <c r="AL255" s="999"/>
      <c r="AM255" s="999"/>
      <c r="AN255" s="999"/>
      <c r="AO255" s="999"/>
      <c r="AP255" s="999"/>
    </row>
    <row r="256" spans="1:42">
      <c r="A256" s="999"/>
      <c r="B256" s="1198"/>
      <c r="C256" s="1614" t="s">
        <v>633</v>
      </c>
      <c r="D256" s="1606">
        <v>254</v>
      </c>
      <c r="E256" s="1192"/>
      <c r="F256" s="1192"/>
      <c r="G256" s="1609"/>
      <c r="H256" s="1655"/>
      <c r="I256" s="1655"/>
      <c r="J256" s="1609">
        <f t="shared" ref="J256:O256" ca="1" si="459">I48</f>
        <v>3989.6039100550001</v>
      </c>
      <c r="K256" s="1609">
        <f t="shared" ca="1" si="459"/>
        <v>7149.6941616020003</v>
      </c>
      <c r="L256" s="1609">
        <f t="shared" ca="1" si="459"/>
        <v>10389.683597845</v>
      </c>
      <c r="M256" s="1609">
        <f t="shared" ca="1" si="459"/>
        <v>12674.574164064999</v>
      </c>
      <c r="N256" s="1609">
        <f t="shared" ca="1" si="459"/>
        <v>8723.93422637</v>
      </c>
      <c r="O256" s="1609">
        <f t="shared" ca="1" si="459"/>
        <v>8160.3235955740001</v>
      </c>
      <c r="P256" s="1634">
        <f ca="1">O264</f>
        <v>12582.145266842001</v>
      </c>
      <c r="Q256" s="1634">
        <f ca="1">P264</f>
        <v>17053.972668913502</v>
      </c>
      <c r="R256" s="1634">
        <f t="shared" ref="R256" ca="1" si="460">Q264</f>
        <v>24175.904372046454</v>
      </c>
      <c r="S256" s="1634">
        <f t="shared" ref="S256:U256" ca="1" si="461">R264</f>
        <v>33125.281690205084</v>
      </c>
      <c r="T256" s="1634">
        <f t="shared" ca="1" si="461"/>
        <v>43846.509321128957</v>
      </c>
      <c r="U256" s="1634">
        <f t="shared" ca="1" si="461"/>
        <v>56625.80343879365</v>
      </c>
      <c r="V256" s="1634"/>
      <c r="W256" s="999"/>
      <c r="X256" s="999"/>
      <c r="Y256" s="999"/>
      <c r="Z256" s="999"/>
      <c r="AA256" s="999"/>
      <c r="AB256" s="999"/>
      <c r="AC256" s="1189"/>
      <c r="AD256" s="1189"/>
      <c r="AE256" s="1189"/>
      <c r="AF256" s="1189"/>
      <c r="AG256" s="1189"/>
      <c r="AH256" s="1189"/>
      <c r="AI256" s="1189"/>
      <c r="AJ256" s="999"/>
      <c r="AK256" s="999"/>
      <c r="AL256" s="999"/>
      <c r="AM256" s="999"/>
      <c r="AN256" s="999"/>
      <c r="AO256" s="999"/>
      <c r="AP256" s="999"/>
    </row>
    <row r="257" spans="1:42">
      <c r="A257" s="999"/>
      <c r="B257" s="1198"/>
      <c r="C257" s="1614" t="s">
        <v>643</v>
      </c>
      <c r="D257" s="1606">
        <v>255</v>
      </c>
      <c r="E257" s="1192"/>
      <c r="F257" s="1192"/>
      <c r="G257" s="1192"/>
      <c r="H257" s="1192"/>
      <c r="I257" s="1192"/>
      <c r="J257" s="1626">
        <f t="shared" ref="J257:P257" si="462">J104</f>
        <v>3834.2695470469971</v>
      </c>
      <c r="K257" s="1626">
        <f t="shared" si="462"/>
        <v>3921.474722630001</v>
      </c>
      <c r="L257" s="1626">
        <f>L104</f>
        <v>4901.0797787059992</v>
      </c>
      <c r="M257" s="1626">
        <f>M104</f>
        <v>4099.7630273050017</v>
      </c>
      <c r="N257" s="1626">
        <f>N104</f>
        <v>167.66939270399794</v>
      </c>
      <c r="O257" s="1626">
        <f>O104</f>
        <v>3721.8684416610026</v>
      </c>
      <c r="P257" s="1640">
        <f t="shared" ca="1" si="462"/>
        <v>6757.4049217238035</v>
      </c>
      <c r="Q257" s="1640">
        <f ca="1">Q104</f>
        <v>8599.8434466857871</v>
      </c>
      <c r="R257" s="1640">
        <f t="shared" ref="R257" ca="1" si="463">R104</f>
        <v>10429.300433236702</v>
      </c>
      <c r="S257" s="1640">
        <f t="shared" ref="S257:U257" ca="1" si="464">S104</f>
        <v>12203.100926755207</v>
      </c>
      <c r="T257" s="1640">
        <f t="shared" ca="1" si="464"/>
        <v>14263.432617064555</v>
      </c>
      <c r="U257" s="1640">
        <f t="shared" ca="1" si="464"/>
        <v>16500.597322089605</v>
      </c>
      <c r="V257" s="1640"/>
      <c r="W257" s="999"/>
      <c r="X257" s="999"/>
      <c r="Y257" s="999"/>
      <c r="Z257" s="999"/>
      <c r="AA257" s="999"/>
      <c r="AB257" s="999"/>
      <c r="AC257" s="1189"/>
      <c r="AD257" s="1189"/>
      <c r="AE257" s="1189"/>
      <c r="AF257" s="1189"/>
      <c r="AG257" s="1189"/>
      <c r="AH257" s="1189"/>
      <c r="AI257" s="1189"/>
      <c r="AJ257" s="999"/>
      <c r="AK257" s="999"/>
      <c r="AL257" s="999"/>
      <c r="AM257" s="999"/>
      <c r="AN257" s="999"/>
      <c r="AO257" s="999"/>
      <c r="AP257" s="999"/>
    </row>
    <row r="258" spans="1:42">
      <c r="A258" s="999"/>
      <c r="B258" s="1198"/>
      <c r="C258" s="1614" t="s">
        <v>644</v>
      </c>
      <c r="D258" s="1606">
        <v>256</v>
      </c>
      <c r="E258" s="1192"/>
      <c r="F258" s="1192"/>
      <c r="G258" s="1192"/>
      <c r="H258" s="1192"/>
      <c r="I258" s="1192"/>
      <c r="J258" s="1609">
        <f t="shared" ref="J258:K258" ca="1" si="465">-J268</f>
        <v>-485.9172032219048</v>
      </c>
      <c r="K258" s="1609">
        <f t="shared" ca="1" si="465"/>
        <v>-496.50417538999932</v>
      </c>
      <c r="L258" s="1609">
        <f>-2613.9787</f>
        <v>-2613.9787000000001</v>
      </c>
      <c r="M258" s="1609">
        <f>-731.854</f>
        <v>-731.85400000000004</v>
      </c>
      <c r="N258" s="1609">
        <f>-731.854</f>
        <v>-731.85400000000004</v>
      </c>
      <c r="O258" s="1609">
        <f>-731.854</f>
        <v>-731.85400000000004</v>
      </c>
      <c r="P258" s="1634">
        <f ca="1">-P268</f>
        <v>-1468.4567630000001</v>
      </c>
      <c r="Q258" s="1634">
        <f ca="1">-Q268</f>
        <v>-1468.4567630000001</v>
      </c>
      <c r="R258" s="1634">
        <f t="shared" ref="R258" ca="1" si="466">-R268</f>
        <v>-1468.4567630000001</v>
      </c>
      <c r="S258" s="1634">
        <f t="shared" ref="S258:U258" ca="1" si="467">-S268</f>
        <v>-1468.4567630000001</v>
      </c>
      <c r="T258" s="1634">
        <f t="shared" ca="1" si="467"/>
        <v>-1468.4567630000001</v>
      </c>
      <c r="U258" s="1634">
        <f t="shared" ca="1" si="467"/>
        <v>-1468.4567630000001</v>
      </c>
      <c r="V258" s="1634"/>
      <c r="W258" s="999"/>
      <c r="X258" s="999"/>
      <c r="Y258" s="999"/>
      <c r="Z258" s="999"/>
      <c r="AA258" s="999"/>
      <c r="AB258" s="999"/>
      <c r="AC258" s="1189"/>
      <c r="AD258" s="1189"/>
      <c r="AE258" s="1189"/>
      <c r="AF258" s="1189"/>
      <c r="AG258" s="1189"/>
      <c r="AH258" s="1189"/>
      <c r="AI258" s="1189"/>
      <c r="AJ258" s="999"/>
      <c r="AK258" s="999"/>
      <c r="AL258" s="999"/>
      <c r="AM258" s="999"/>
      <c r="AN258" s="999"/>
      <c r="AO258" s="999"/>
      <c r="AP258" s="999"/>
    </row>
    <row r="259" spans="1:42">
      <c r="A259" s="999"/>
      <c r="B259" s="1198"/>
      <c r="C259" s="1614" t="s">
        <v>645</v>
      </c>
      <c r="D259" s="1606">
        <v>257</v>
      </c>
      <c r="E259" s="1192"/>
      <c r="F259" s="1192"/>
      <c r="G259" s="1192"/>
      <c r="H259" s="1192"/>
      <c r="I259" s="1192"/>
      <c r="J259" s="1609">
        <v>0</v>
      </c>
      <c r="K259" s="1609">
        <v>0</v>
      </c>
      <c r="L259" s="1609">
        <v>0</v>
      </c>
      <c r="M259" s="1609">
        <v>-7318.5481499999996</v>
      </c>
      <c r="N259" s="1609">
        <v>-7317.5481499999996</v>
      </c>
      <c r="O259" s="1609">
        <v>-7317.5481499999996</v>
      </c>
      <c r="P259" s="1724">
        <f>P167</f>
        <v>-809.69141999999999</v>
      </c>
      <c r="Q259" s="1724">
        <v>0</v>
      </c>
      <c r="R259" s="1724">
        <v>0</v>
      </c>
      <c r="S259" s="1724">
        <v>0</v>
      </c>
      <c r="T259" s="1724">
        <v>0</v>
      </c>
      <c r="U259" s="1724">
        <v>0</v>
      </c>
      <c r="V259" s="1724"/>
      <c r="W259" s="999"/>
      <c r="X259" s="999"/>
      <c r="Y259" s="999"/>
      <c r="Z259" s="999"/>
      <c r="AA259" s="999"/>
      <c r="AB259" s="999"/>
      <c r="AC259" s="1189"/>
      <c r="AD259" s="1189"/>
      <c r="AE259" s="1189"/>
      <c r="AF259" s="1189"/>
      <c r="AG259" s="1189"/>
      <c r="AH259" s="1189"/>
      <c r="AI259" s="1189"/>
      <c r="AJ259" s="999"/>
      <c r="AK259" s="999"/>
      <c r="AL259" s="999"/>
      <c r="AM259" s="999"/>
      <c r="AN259" s="999"/>
      <c r="AO259" s="999"/>
      <c r="AP259" s="999"/>
    </row>
    <row r="260" spans="1:42">
      <c r="A260" s="999"/>
      <c r="B260" s="1198"/>
      <c r="C260" s="1614" t="s">
        <v>646</v>
      </c>
      <c r="D260" s="1606">
        <v>258</v>
      </c>
      <c r="E260" s="1192"/>
      <c r="F260" s="1609"/>
      <c r="G260" s="1609"/>
      <c r="H260" s="1609"/>
      <c r="I260" s="1609"/>
      <c r="J260" s="1609">
        <v>0</v>
      </c>
      <c r="K260" s="1609">
        <f ca="1">-SUM(K256:K259)+K264</f>
        <v>-184.98111099700327</v>
      </c>
      <c r="L260" s="1609">
        <v>0</v>
      </c>
      <c r="M260" s="1609"/>
      <c r="N260" s="1609"/>
      <c r="O260" s="1609"/>
      <c r="P260" s="1634">
        <f ca="1">-P257*P198</f>
        <v>0</v>
      </c>
      <c r="Q260" s="1634">
        <f ca="1">-Q257*Q198</f>
        <v>0</v>
      </c>
      <c r="R260" s="1634">
        <f t="shared" ref="R260" ca="1" si="468">-R257*R198</f>
        <v>0</v>
      </c>
      <c r="S260" s="1634">
        <f t="shared" ref="S260:U260" ca="1" si="469">-S257*S198</f>
        <v>0</v>
      </c>
      <c r="T260" s="1634">
        <f t="shared" ca="1" si="469"/>
        <v>0</v>
      </c>
      <c r="U260" s="1634">
        <f t="shared" ca="1" si="469"/>
        <v>0</v>
      </c>
      <c r="V260" s="1634"/>
      <c r="W260" s="999"/>
      <c r="X260" s="999"/>
      <c r="Y260" s="999"/>
      <c r="Z260" s="999"/>
      <c r="AA260" s="999"/>
      <c r="AB260" s="999"/>
      <c r="AC260" s="1189"/>
      <c r="AD260" s="1189"/>
      <c r="AE260" s="1189"/>
      <c r="AF260" s="1189"/>
      <c r="AG260" s="1189"/>
      <c r="AH260" s="1189"/>
      <c r="AI260" s="1189"/>
      <c r="AJ260" s="999"/>
      <c r="AK260" s="999"/>
      <c r="AL260" s="999"/>
      <c r="AM260" s="999"/>
      <c r="AN260" s="999"/>
      <c r="AO260" s="999"/>
      <c r="AP260" s="999"/>
    </row>
    <row r="261" spans="1:42">
      <c r="A261" s="999"/>
      <c r="B261" s="1198"/>
      <c r="C261" s="1614" t="s">
        <v>647</v>
      </c>
      <c r="D261" s="1606">
        <v>259</v>
      </c>
      <c r="E261" s="1192"/>
      <c r="F261" s="1192"/>
      <c r="G261" s="1192"/>
      <c r="H261" s="1192"/>
      <c r="I261" s="1192"/>
      <c r="J261" s="1609"/>
      <c r="K261" s="1609">
        <v>0</v>
      </c>
      <c r="L261" s="1609">
        <v>0</v>
      </c>
      <c r="M261" s="1609"/>
      <c r="N261" s="1609"/>
      <c r="O261" s="1609"/>
      <c r="P261" s="1634">
        <v>0</v>
      </c>
      <c r="Q261" s="1634">
        <v>0</v>
      </c>
      <c r="R261" s="1634">
        <v>0</v>
      </c>
      <c r="S261" s="1634">
        <v>0</v>
      </c>
      <c r="T261" s="1634">
        <v>0</v>
      </c>
      <c r="U261" s="1634">
        <v>0</v>
      </c>
      <c r="V261" s="1634"/>
      <c r="W261" s="999"/>
      <c r="X261" s="999"/>
      <c r="Y261" s="999"/>
      <c r="Z261" s="999"/>
      <c r="AA261" s="999"/>
      <c r="AB261" s="999"/>
      <c r="AC261" s="1189"/>
      <c r="AD261" s="1189"/>
      <c r="AE261" s="1189"/>
      <c r="AF261" s="1189"/>
      <c r="AG261" s="1189"/>
      <c r="AH261" s="1189"/>
      <c r="AI261" s="1189"/>
      <c r="AJ261" s="999"/>
      <c r="AK261" s="999"/>
      <c r="AL261" s="999"/>
      <c r="AM261" s="999"/>
      <c r="AN261" s="999"/>
      <c r="AO261" s="999"/>
      <c r="AP261" s="999"/>
    </row>
    <row r="262" spans="1:42">
      <c r="A262" s="999"/>
      <c r="B262" s="1198"/>
      <c r="C262" s="1614" t="s">
        <v>648</v>
      </c>
      <c r="D262" s="1606">
        <v>260</v>
      </c>
      <c r="E262" s="1192"/>
      <c r="F262" s="1192"/>
      <c r="G262" s="1192"/>
      <c r="H262" s="1192"/>
      <c r="I262" s="1192"/>
      <c r="J262" s="1609">
        <f t="shared" ref="J262:P262" ca="1" si="470">-J257*J199</f>
        <v>2.8377933000000001E-2</v>
      </c>
      <c r="K262" s="1609">
        <f t="shared" ca="1" si="470"/>
        <v>1.443756225</v>
      </c>
      <c r="L262" s="1609">
        <v>0</v>
      </c>
      <c r="M262" s="1609"/>
      <c r="N262" s="1609"/>
      <c r="O262" s="1609"/>
      <c r="P262" s="1634">
        <f t="shared" ca="1" si="470"/>
        <v>-7.4293366523034283</v>
      </c>
      <c r="Q262" s="1634">
        <f ca="1">-Q257*Q199</f>
        <v>-9.4549805528356039</v>
      </c>
      <c r="R262" s="1634">
        <f t="shared" ref="R262" ca="1" si="471">-R257*R199</f>
        <v>-11.466352078064268</v>
      </c>
      <c r="S262" s="1634">
        <f t="shared" ref="S262:U262" ca="1" si="472">-S257*S199</f>
        <v>-13.416532831330304</v>
      </c>
      <c r="T262" s="1634">
        <f t="shared" ca="1" si="472"/>
        <v>-15.681736399864235</v>
      </c>
      <c r="U262" s="1634">
        <f t="shared" ca="1" si="472"/>
        <v>-18.141356613957058</v>
      </c>
      <c r="V262" s="1634"/>
      <c r="W262" s="999"/>
      <c r="X262" s="999"/>
      <c r="Y262" s="999"/>
      <c r="Z262" s="999"/>
      <c r="AA262" s="999"/>
      <c r="AB262" s="999"/>
      <c r="AC262" s="1189"/>
      <c r="AD262" s="1189"/>
      <c r="AE262" s="1189"/>
      <c r="AF262" s="1189"/>
      <c r="AG262" s="1189"/>
      <c r="AH262" s="1189"/>
      <c r="AI262" s="1189"/>
      <c r="AJ262" s="999"/>
      <c r="AK262" s="999"/>
      <c r="AL262" s="999"/>
      <c r="AM262" s="999"/>
      <c r="AN262" s="999"/>
      <c r="AO262" s="999"/>
      <c r="AP262" s="999"/>
    </row>
    <row r="263" spans="1:42">
      <c r="A263" s="999"/>
      <c r="B263" s="1198"/>
      <c r="C263" s="1614" t="s">
        <v>649</v>
      </c>
      <c r="D263" s="1606">
        <v>261</v>
      </c>
      <c r="E263" s="1192"/>
      <c r="F263" s="1192"/>
      <c r="G263" s="1192"/>
      <c r="H263" s="1192"/>
      <c r="I263" s="1192"/>
      <c r="J263" s="1609">
        <v>0</v>
      </c>
      <c r="K263" s="1609">
        <v>0</v>
      </c>
      <c r="L263" s="1609">
        <v>0</v>
      </c>
      <c r="M263" s="1609"/>
      <c r="N263" s="1609"/>
      <c r="O263" s="1609"/>
      <c r="P263" s="1634">
        <v>0</v>
      </c>
      <c r="Q263" s="1634">
        <v>0</v>
      </c>
      <c r="R263" s="1634">
        <v>0</v>
      </c>
      <c r="S263" s="1634">
        <v>0</v>
      </c>
      <c r="T263" s="1634">
        <v>0</v>
      </c>
      <c r="U263" s="1634">
        <v>0</v>
      </c>
      <c r="V263" s="1634"/>
      <c r="W263" s="999"/>
      <c r="X263" s="999"/>
      <c r="Y263" s="999"/>
      <c r="Z263" s="999"/>
      <c r="AA263" s="999"/>
      <c r="AB263" s="999"/>
      <c r="AC263" s="1189"/>
      <c r="AD263" s="1189"/>
      <c r="AE263" s="1189"/>
      <c r="AF263" s="1189"/>
      <c r="AG263" s="1189"/>
      <c r="AH263" s="1189"/>
      <c r="AI263" s="1189"/>
      <c r="AJ263" s="999"/>
      <c r="AK263" s="999"/>
      <c r="AL263" s="999"/>
      <c r="AM263" s="999"/>
      <c r="AN263" s="999"/>
      <c r="AO263" s="999"/>
      <c r="AP263" s="999"/>
    </row>
    <row r="264" spans="1:42">
      <c r="A264" s="999"/>
      <c r="B264" s="1198"/>
      <c r="C264" s="1617" t="s">
        <v>640</v>
      </c>
      <c r="D264" s="1606">
        <v>262</v>
      </c>
      <c r="E264" s="1192"/>
      <c r="F264" s="1192"/>
      <c r="G264" s="1654"/>
      <c r="H264" s="1654"/>
      <c r="I264" s="1654"/>
      <c r="J264" s="1786">
        <f t="shared" ref="J264:O264" ca="1" si="473">J48</f>
        <v>7149.6941616020003</v>
      </c>
      <c r="K264" s="1786">
        <f t="shared" ca="1" si="473"/>
        <v>10389.683597845</v>
      </c>
      <c r="L264" s="1786">
        <f t="shared" ca="1" si="473"/>
        <v>12674.574164064999</v>
      </c>
      <c r="M264" s="1786">
        <f t="shared" ca="1" si="473"/>
        <v>8723.93422637</v>
      </c>
      <c r="N264" s="1786">
        <f t="shared" ca="1" si="473"/>
        <v>8160.3235955740001</v>
      </c>
      <c r="O264" s="1786">
        <f t="shared" ca="1" si="473"/>
        <v>12582.145266842001</v>
      </c>
      <c r="P264" s="1787">
        <f ca="1">SUM(P256:P263)</f>
        <v>17053.972668913502</v>
      </c>
      <c r="Q264" s="1787">
        <f ca="1">SUM(Q256:Q263)</f>
        <v>24175.904372046454</v>
      </c>
      <c r="R264" s="1787">
        <f t="shared" ref="R264" ca="1" si="474">SUM(R256:R263)</f>
        <v>33125.281690205084</v>
      </c>
      <c r="S264" s="1787">
        <f t="shared" ref="S264" ca="1" si="475">SUM(S256:S263)</f>
        <v>43846.509321128957</v>
      </c>
      <c r="T264" s="1787">
        <f t="shared" ref="T264" ca="1" si="476">SUM(T256:T263)</f>
        <v>56625.80343879365</v>
      </c>
      <c r="U264" s="1787">
        <f t="shared" ref="U264" ca="1" si="477">SUM(U256:U263)</f>
        <v>71639.802641269314</v>
      </c>
      <c r="V264" s="1787"/>
      <c r="W264" s="999"/>
      <c r="X264" s="999"/>
      <c r="Y264" s="999"/>
      <c r="Z264" s="999"/>
      <c r="AA264" s="999"/>
      <c r="AB264" s="999"/>
      <c r="AC264" s="1189"/>
      <c r="AD264" s="1189"/>
      <c r="AE264" s="1189"/>
      <c r="AF264" s="1189"/>
      <c r="AG264" s="1189"/>
      <c r="AH264" s="1189"/>
      <c r="AI264" s="1189"/>
      <c r="AJ264" s="999"/>
      <c r="AK264" s="999"/>
      <c r="AL264" s="999"/>
      <c r="AM264" s="999"/>
      <c r="AN264" s="999"/>
      <c r="AO264" s="999"/>
      <c r="AP264" s="999"/>
    </row>
    <row r="265" spans="1:42">
      <c r="A265" s="999"/>
      <c r="B265" s="1198"/>
      <c r="C265" s="1617"/>
      <c r="D265" s="1606">
        <v>263</v>
      </c>
      <c r="E265" s="1192"/>
      <c r="F265" s="1192"/>
      <c r="G265" s="1192"/>
      <c r="H265" s="1192"/>
      <c r="I265" s="1192"/>
      <c r="J265" s="1192"/>
      <c r="K265" s="1192"/>
      <c r="L265" s="1192"/>
      <c r="M265" s="1192"/>
      <c r="N265" s="1192"/>
      <c r="O265" s="1192"/>
      <c r="P265" s="999"/>
      <c r="Q265" s="999"/>
      <c r="R265" s="999"/>
      <c r="S265" s="999"/>
      <c r="T265" s="999"/>
      <c r="U265" s="999"/>
      <c r="V265" s="999"/>
      <c r="W265" s="999"/>
      <c r="X265" s="999"/>
      <c r="Y265" s="999"/>
      <c r="Z265" s="999"/>
      <c r="AA265" s="999"/>
      <c r="AB265" s="999"/>
      <c r="AC265" s="1189"/>
      <c r="AD265" s="1189"/>
      <c r="AE265" s="1189"/>
      <c r="AF265" s="1189"/>
      <c r="AG265" s="1189"/>
      <c r="AH265" s="1189"/>
      <c r="AI265" s="1189"/>
      <c r="AJ265" s="999"/>
      <c r="AK265" s="999"/>
      <c r="AL265" s="999"/>
      <c r="AM265" s="999"/>
      <c r="AN265" s="999"/>
      <c r="AO265" s="999"/>
      <c r="AP265" s="999"/>
    </row>
    <row r="266" spans="1:42">
      <c r="A266" s="999"/>
      <c r="B266" s="1198"/>
      <c r="C266" s="1614" t="s">
        <v>643</v>
      </c>
      <c r="D266" s="1606">
        <v>264</v>
      </c>
      <c r="E266" s="1192"/>
      <c r="F266" s="1788">
        <f t="shared" ref="F266:P266" si="478">F112</f>
        <v>1071.8935193989998</v>
      </c>
      <c r="G266" s="1788">
        <f t="shared" si="478"/>
        <v>1577.3724263390004</v>
      </c>
      <c r="H266" s="1788">
        <f t="shared" si="478"/>
        <v>2205.6796304199997</v>
      </c>
      <c r="I266" s="1788">
        <f t="shared" si="478"/>
        <v>2878.6940131550009</v>
      </c>
      <c r="J266" s="1788">
        <f t="shared" si="478"/>
        <v>3834.2695470469971</v>
      </c>
      <c r="K266" s="1788">
        <f t="shared" si="478"/>
        <v>3921.474722630001</v>
      </c>
      <c r="L266" s="1788">
        <f>L112</f>
        <v>4901.0797787059992</v>
      </c>
      <c r="M266" s="1788">
        <f>M112</f>
        <v>4099.7630273050017</v>
      </c>
      <c r="N266" s="1788">
        <f>N112</f>
        <v>167.66939270399794</v>
      </c>
      <c r="O266" s="1788">
        <f>O112</f>
        <v>3721.8684416610026</v>
      </c>
      <c r="P266" s="1789">
        <f t="shared" ca="1" si="478"/>
        <v>6757.4049217238035</v>
      </c>
      <c r="Q266" s="1789">
        <f ca="1">Q112</f>
        <v>8599.8434466857871</v>
      </c>
      <c r="R266" s="1789">
        <f t="shared" ref="R266" ca="1" si="479">R112</f>
        <v>10429.300433236702</v>
      </c>
      <c r="S266" s="1789">
        <f t="shared" ref="S266:U266" ca="1" si="480">S112</f>
        <v>12203.100926755207</v>
      </c>
      <c r="T266" s="1789">
        <f t="shared" ca="1" si="480"/>
        <v>14263.432617064555</v>
      </c>
      <c r="U266" s="1789">
        <f t="shared" ca="1" si="480"/>
        <v>16500.597322089605</v>
      </c>
      <c r="V266" s="1789"/>
      <c r="W266" s="999"/>
      <c r="X266" s="999"/>
      <c r="Y266" s="999"/>
      <c r="Z266" s="999"/>
      <c r="AA266" s="999"/>
      <c r="AB266" s="999"/>
      <c r="AC266" s="1189"/>
      <c r="AD266" s="1189"/>
      <c r="AE266" s="1189"/>
      <c r="AF266" s="1189"/>
      <c r="AG266" s="1189"/>
      <c r="AH266" s="1189"/>
      <c r="AI266" s="1189"/>
      <c r="AJ266" s="999"/>
      <c r="AK266" s="999"/>
      <c r="AL266" s="999"/>
      <c r="AM266" s="999"/>
      <c r="AN266" s="999"/>
      <c r="AO266" s="999"/>
      <c r="AP266" s="999"/>
    </row>
    <row r="267" spans="1:42">
      <c r="A267" s="999"/>
      <c r="B267" s="1198"/>
      <c r="C267" s="1645" t="s">
        <v>650</v>
      </c>
      <c r="D267" s="1606">
        <v>265</v>
      </c>
      <c r="E267" s="1196"/>
      <c r="F267" s="1712">
        <f t="shared" ref="F267:K267" si="481">F268/F266</f>
        <v>1.7112013411821282E-3</v>
      </c>
      <c r="G267" s="1712">
        <f t="shared" si="481"/>
        <v>0.13955504681345987</v>
      </c>
      <c r="H267" s="1712">
        <f t="shared" si="481"/>
        <v>0.10505556833105299</v>
      </c>
      <c r="I267" s="1712">
        <f t="shared" si="481"/>
        <v>0.1687787672492162</v>
      </c>
      <c r="J267" s="1712">
        <f ca="1">J268/J266</f>
        <v>0.12673005829653761</v>
      </c>
      <c r="K267" s="1712">
        <f t="shared" ca="1" si="481"/>
        <v>0.12661159653147291</v>
      </c>
      <c r="L267" s="1712">
        <f t="shared" ref="L267:Q267" si="482">L268/L266</f>
        <v>0.53334751075816034</v>
      </c>
      <c r="M267" s="1712">
        <f t="shared" si="482"/>
        <v>0.1785112932444507</v>
      </c>
      <c r="N267" s="1712">
        <f t="shared" si="482"/>
        <v>4.3648634267555835</v>
      </c>
      <c r="O267" s="1712">
        <f t="shared" ref="O267" si="483">O268/O266</f>
        <v>0.19663618192624424</v>
      </c>
      <c r="P267" s="1790">
        <f t="shared" ca="1" si="482"/>
        <v>0.21731075464771751</v>
      </c>
      <c r="Q267" s="1790">
        <f t="shared" ca="1" si="482"/>
        <v>0.17075389477769098</v>
      </c>
      <c r="R267" s="1790">
        <f t="shared" ref="R267" ca="1" si="484">R268/R266</f>
        <v>0.14080107984234846</v>
      </c>
      <c r="S267" s="1790">
        <f t="shared" ref="S267:U267" ca="1" si="485">S268/S266</f>
        <v>0.12033472244586781</v>
      </c>
      <c r="T267" s="1790">
        <f t="shared" ca="1" si="485"/>
        <v>0.1029525502327652</v>
      </c>
      <c r="U267" s="1790">
        <f t="shared" ca="1" si="485"/>
        <v>8.8994157868100596E-2</v>
      </c>
      <c r="V267" s="1790"/>
      <c r="W267" s="999"/>
      <c r="X267" s="999"/>
      <c r="Y267" s="999"/>
      <c r="Z267" s="999"/>
      <c r="AA267" s="999"/>
      <c r="AB267" s="999"/>
      <c r="AC267" s="1189"/>
      <c r="AD267" s="1189"/>
      <c r="AE267" s="1189"/>
      <c r="AF267" s="1189"/>
      <c r="AG267" s="1189"/>
      <c r="AH267" s="1189"/>
      <c r="AI267" s="1189"/>
      <c r="AJ267" s="999"/>
      <c r="AK267" s="999"/>
      <c r="AL267" s="999"/>
      <c r="AM267" s="999"/>
      <c r="AN267" s="999"/>
      <c r="AO267" s="999"/>
      <c r="AP267" s="999"/>
    </row>
    <row r="268" spans="1:42">
      <c r="A268" s="999"/>
      <c r="B268" s="1198"/>
      <c r="C268" s="1617" t="s">
        <v>644</v>
      </c>
      <c r="D268" s="1606">
        <v>266</v>
      </c>
      <c r="E268" s="1192"/>
      <c r="F268" s="1609">
        <f>-'FS Year'!N190</f>
        <v>1.834225628</v>
      </c>
      <c r="G268" s="1609">
        <f>-'FS Year'!O190</f>
        <v>220.1302828</v>
      </c>
      <c r="H268" s="1609">
        <f>-H171</f>
        <v>231.71892713</v>
      </c>
      <c r="I268" s="1609">
        <f>-I171</f>
        <v>485.86242682800003</v>
      </c>
      <c r="J268" s="1609">
        <f ca="1">J44*J269</f>
        <v>485.9172032219048</v>
      </c>
      <c r="K268" s="1609">
        <f ca="1">K44*K269</f>
        <v>496.50417538999932</v>
      </c>
      <c r="L268" s="1609">
        <f>-L258</f>
        <v>2613.9787000000001</v>
      </c>
      <c r="M268" s="1609">
        <f>-M258</f>
        <v>731.85400000000004</v>
      </c>
      <c r="N268" s="1609">
        <f>-N258</f>
        <v>731.85400000000004</v>
      </c>
      <c r="O268" s="1609">
        <f>-O258</f>
        <v>731.85400000000004</v>
      </c>
      <c r="P268" s="1634">
        <f ca="1">P44*P269</f>
        <v>1468.4567630000001</v>
      </c>
      <c r="Q268" s="1634">
        <f ca="1">Q44*Q269</f>
        <v>1468.4567630000001</v>
      </c>
      <c r="R268" s="1634">
        <f t="shared" ref="R268" ca="1" si="486">R44*R269</f>
        <v>1468.4567630000001</v>
      </c>
      <c r="S268" s="1634">
        <f t="shared" ref="S268" ca="1" si="487">S44*S269</f>
        <v>1468.4567630000001</v>
      </c>
      <c r="T268" s="1634">
        <f t="shared" ref="T268" ca="1" si="488">T44*T269</f>
        <v>1468.4567630000001</v>
      </c>
      <c r="U268" s="1634">
        <f t="shared" ref="U268" ca="1" si="489">U44*U269</f>
        <v>1468.4567630000001</v>
      </c>
      <c r="V268" s="1634"/>
      <c r="W268" s="999"/>
      <c r="X268" s="999"/>
      <c r="Y268" s="999"/>
      <c r="Z268" s="999"/>
      <c r="AA268" s="999"/>
      <c r="AB268" s="999"/>
      <c r="AC268" s="1189"/>
      <c r="AD268" s="1189"/>
      <c r="AE268" s="1189"/>
      <c r="AF268" s="1189"/>
      <c r="AG268" s="1189"/>
      <c r="AH268" s="1189"/>
      <c r="AI268" s="1189"/>
      <c r="AJ268" s="999"/>
      <c r="AK268" s="999"/>
      <c r="AL268" s="999"/>
      <c r="AM268" s="999"/>
      <c r="AN268" s="999"/>
      <c r="AO268" s="999"/>
      <c r="AP268" s="999"/>
    </row>
    <row r="269" spans="1:42">
      <c r="A269" s="999"/>
      <c r="B269" s="1198"/>
      <c r="C269" s="1614" t="s">
        <v>651</v>
      </c>
      <c r="D269" s="1606">
        <v>267</v>
      </c>
      <c r="E269" s="1192"/>
      <c r="F269" s="1791">
        <f t="shared" ref="F269:M269" ca="1" si="490">F268/F44</f>
        <v>1.2487156646624816E-3</v>
      </c>
      <c r="G269" s="1791">
        <f t="shared" ca="1" si="490"/>
        <v>0.14298730581856126</v>
      </c>
      <c r="H269" s="1791">
        <f t="shared" ca="1" si="490"/>
        <v>7.3100119778186104E-2</v>
      </c>
      <c r="I269" s="1791">
        <f t="shared" ca="1" si="490"/>
        <v>0.10955278780959417</v>
      </c>
      <c r="J269" s="1791">
        <f t="shared" ca="1" si="490"/>
        <v>0.10955278780959417</v>
      </c>
      <c r="K269" s="1791">
        <f t="shared" ca="1" si="490"/>
        <v>0.10955278780959417</v>
      </c>
      <c r="L269" s="1791">
        <f t="shared" ca="1" si="490"/>
        <v>0.36658325474015541</v>
      </c>
      <c r="M269" s="1791">
        <f t="shared" ca="1" si="490"/>
        <v>4.9994149790821556E-2</v>
      </c>
      <c r="N269" s="1791">
        <f ca="1">N268/N44</f>
        <v>5.0011319163287826E-2</v>
      </c>
      <c r="O269" s="1791">
        <f ca="1">O268/O44</f>
        <v>5.0050053986298082E-2</v>
      </c>
      <c r="P269" s="1215">
        <v>0.1</v>
      </c>
      <c r="Q269" s="1215">
        <f>P269</f>
        <v>0.1</v>
      </c>
      <c r="R269" s="1215">
        <f t="shared" ref="R269" si="491">Q269</f>
        <v>0.1</v>
      </c>
      <c r="S269" s="1215">
        <f t="shared" ref="S269:U269" si="492">R269</f>
        <v>0.1</v>
      </c>
      <c r="T269" s="1215">
        <f t="shared" si="492"/>
        <v>0.1</v>
      </c>
      <c r="U269" s="1215">
        <f t="shared" si="492"/>
        <v>0.1</v>
      </c>
      <c r="V269" s="1215"/>
      <c r="W269" s="999"/>
      <c r="X269" s="999"/>
      <c r="Y269" s="999"/>
      <c r="Z269" s="999"/>
      <c r="AA269" s="999"/>
      <c r="AB269" s="999"/>
      <c r="AC269" s="1189"/>
      <c r="AD269" s="1189"/>
      <c r="AE269" s="1189"/>
      <c r="AF269" s="1189"/>
      <c r="AG269" s="1189"/>
      <c r="AH269" s="1189"/>
      <c r="AI269" s="1189"/>
      <c r="AJ269" s="999"/>
      <c r="AK269" s="999"/>
      <c r="AL269" s="999"/>
      <c r="AM269" s="999"/>
      <c r="AN269" s="999"/>
      <c r="AO269" s="999"/>
      <c r="AP269" s="999"/>
    </row>
    <row r="270" spans="1:42">
      <c r="A270" s="999"/>
      <c r="B270" s="1198"/>
      <c r="C270" s="1614"/>
      <c r="D270" s="1606">
        <v>268</v>
      </c>
      <c r="E270" s="1192"/>
      <c r="F270" s="1192"/>
      <c r="G270" s="1755"/>
      <c r="H270" s="1755"/>
      <c r="I270" s="1755"/>
      <c r="J270" s="1652"/>
      <c r="K270" s="1652"/>
      <c r="L270" s="1652"/>
      <c r="M270" s="1652"/>
      <c r="N270" s="1652"/>
      <c r="O270" s="1652"/>
      <c r="P270" s="1663"/>
      <c r="Q270" s="1663"/>
      <c r="R270" s="1663"/>
      <c r="S270" s="1663"/>
      <c r="T270" s="1663"/>
      <c r="U270" s="1663"/>
      <c r="V270" s="1663"/>
      <c r="W270" s="999"/>
      <c r="X270" s="999"/>
      <c r="Y270" s="999"/>
      <c r="Z270" s="999"/>
      <c r="AA270" s="999"/>
      <c r="AB270" s="999"/>
      <c r="AC270" s="1189"/>
      <c r="AD270" s="1189"/>
      <c r="AE270" s="1189"/>
      <c r="AF270" s="1189"/>
      <c r="AG270" s="1189"/>
      <c r="AH270" s="1189"/>
      <c r="AI270" s="1189"/>
      <c r="AJ270" s="999"/>
      <c r="AK270" s="999"/>
      <c r="AL270" s="999"/>
      <c r="AM270" s="999"/>
      <c r="AN270" s="999"/>
      <c r="AO270" s="999"/>
      <c r="AP270" s="999"/>
    </row>
    <row r="271" spans="1:42">
      <c r="A271" s="999"/>
      <c r="B271" s="1198"/>
      <c r="C271" s="999" t="s">
        <v>652</v>
      </c>
      <c r="D271" s="1606">
        <v>269</v>
      </c>
      <c r="E271" s="1192"/>
      <c r="F271" s="1755" t="e">
        <f ca="1">F36/(F36+F30)</f>
        <v>#DIV/0!</v>
      </c>
      <c r="G271" s="1755" t="e">
        <f ca="1">G36/(G36+G30)</f>
        <v>#DIV/0!</v>
      </c>
      <c r="H271" s="1755">
        <f ca="1">H36/(H36+H30)</f>
        <v>1</v>
      </c>
      <c r="I271" s="1755">
        <f ca="1">I36/(I36+I30)</f>
        <v>1</v>
      </c>
      <c r="J271" s="1755">
        <f ca="1">J36/(J36+J30)</f>
        <v>1</v>
      </c>
      <c r="K271" s="1652">
        <f t="shared" ref="K271:Q271" ca="1" si="493">IFERROR(K36/(K36+K30),"")</f>
        <v>0.9998233379564091</v>
      </c>
      <c r="L271" s="1652">
        <f ca="1">IFERROR(L36/(L36+L30),"")</f>
        <v>0</v>
      </c>
      <c r="M271" s="1652">
        <f ca="1">IFERROR(M36/(M36+M30),"")</f>
        <v>1.0000959820445567</v>
      </c>
      <c r="N271" s="1652">
        <f ca="1">IFERROR(N36/(N36+N30),"")</f>
        <v>0.99986807669531208</v>
      </c>
      <c r="O271" s="1652">
        <f ca="1">IFERROR(O36/(O36+O30),"")</f>
        <v>0</v>
      </c>
      <c r="P271" s="1653" t="str">
        <f t="shared" ca="1" si="493"/>
        <v/>
      </c>
      <c r="Q271" s="1653" t="str">
        <f t="shared" ca="1" si="493"/>
        <v/>
      </c>
      <c r="R271" s="1653" t="str">
        <f t="shared" ref="R271" ca="1" si="494">IFERROR(R36/(R36+R30),"")</f>
        <v/>
      </c>
      <c r="S271" s="1653" t="str">
        <f t="shared" ref="S271:U271" ca="1" si="495">IFERROR(S36/(S36+S30),"")</f>
        <v/>
      </c>
      <c r="T271" s="1653" t="str">
        <f t="shared" ca="1" si="495"/>
        <v/>
      </c>
      <c r="U271" s="1653" t="str">
        <f t="shared" ca="1" si="495"/>
        <v/>
      </c>
      <c r="V271" s="1653"/>
      <c r="W271" s="999"/>
      <c r="X271" s="999"/>
      <c r="Y271" s="999"/>
      <c r="Z271" s="999"/>
      <c r="AA271" s="999"/>
      <c r="AB271" s="999"/>
      <c r="AC271" s="1189"/>
      <c r="AD271" s="1189"/>
      <c r="AE271" s="1189"/>
      <c r="AF271" s="1189"/>
      <c r="AG271" s="1189"/>
      <c r="AH271" s="1189"/>
      <c r="AI271" s="1189"/>
      <c r="AJ271" s="999"/>
      <c r="AK271" s="999"/>
      <c r="AL271" s="999"/>
      <c r="AM271" s="999"/>
      <c r="AN271" s="999"/>
      <c r="AO271" s="999"/>
      <c r="AP271" s="999"/>
    </row>
    <row r="272" spans="1:42">
      <c r="A272" s="999"/>
      <c r="B272" s="1198"/>
      <c r="C272" s="999" t="s">
        <v>653</v>
      </c>
      <c r="D272" s="1606">
        <v>270</v>
      </c>
      <c r="E272" s="1192"/>
      <c r="F272" s="1755" t="e">
        <f t="shared" ref="F272:K272" ca="1" si="496">F38/(F30+F36)</f>
        <v>#DIV/0!</v>
      </c>
      <c r="G272" s="1755" t="e">
        <f t="shared" ca="1" si="496"/>
        <v>#DIV/0!</v>
      </c>
      <c r="H272" s="1755">
        <f t="shared" ca="1" si="496"/>
        <v>0</v>
      </c>
      <c r="I272" s="1755">
        <f t="shared" ca="1" si="496"/>
        <v>0</v>
      </c>
      <c r="J272" s="1755">
        <f t="shared" ca="1" si="496"/>
        <v>0</v>
      </c>
      <c r="K272" s="1652">
        <f t="shared" ca="1" si="496"/>
        <v>0</v>
      </c>
      <c r="L272" s="1652">
        <f ca="1">L38/(L30+L36)</f>
        <v>0</v>
      </c>
      <c r="M272" s="1652">
        <f ca="1">M38/(M30+M36)</f>
        <v>0</v>
      </c>
      <c r="N272" s="1652">
        <f ca="1">N38/(N30+N36)</f>
        <v>0</v>
      </c>
      <c r="O272" s="1652">
        <f ca="1">O38/(O30+O36)</f>
        <v>0</v>
      </c>
      <c r="P272" s="1758">
        <f ca="1">O272</f>
        <v>0</v>
      </c>
      <c r="Q272" s="1758">
        <f ca="1">P272</f>
        <v>0</v>
      </c>
      <c r="R272" s="1758">
        <f t="shared" ref="R272" ca="1" si="497">Q272</f>
        <v>0</v>
      </c>
      <c r="S272" s="1758">
        <f t="shared" ref="S272:U272" ca="1" si="498">R272</f>
        <v>0</v>
      </c>
      <c r="T272" s="1758">
        <f t="shared" ca="1" si="498"/>
        <v>0</v>
      </c>
      <c r="U272" s="1758">
        <f t="shared" ca="1" si="498"/>
        <v>0</v>
      </c>
      <c r="V272" s="1758"/>
      <c r="W272" s="999"/>
      <c r="X272" s="999"/>
      <c r="Y272" s="999"/>
      <c r="Z272" s="999"/>
      <c r="AA272" s="999"/>
      <c r="AB272" s="999"/>
      <c r="AC272" s="1189"/>
      <c r="AD272" s="1189"/>
      <c r="AE272" s="1189"/>
      <c r="AF272" s="1189"/>
      <c r="AG272" s="1189"/>
      <c r="AH272" s="1189"/>
      <c r="AI272" s="1189"/>
      <c r="AJ272" s="999"/>
      <c r="AK272" s="999"/>
      <c r="AL272" s="999"/>
      <c r="AM272" s="999"/>
      <c r="AN272" s="999"/>
      <c r="AO272" s="999"/>
      <c r="AP272" s="999"/>
    </row>
    <row r="273" spans="1:42">
      <c r="A273" s="999"/>
      <c r="B273" s="1198"/>
      <c r="C273" s="999"/>
      <c r="D273" s="1606">
        <v>271</v>
      </c>
      <c r="E273" s="1192"/>
      <c r="F273" s="1192"/>
      <c r="G273" s="1747"/>
      <c r="H273" s="1747"/>
      <c r="I273" s="1747"/>
      <c r="J273" s="1625"/>
      <c r="K273" s="1625"/>
      <c r="L273" s="1625"/>
      <c r="M273" s="1625"/>
      <c r="N273" s="1625"/>
      <c r="O273" s="1625"/>
      <c r="P273" s="1792"/>
      <c r="Q273" s="1792"/>
      <c r="R273" s="1792"/>
      <c r="S273" s="1792"/>
      <c r="T273" s="1792"/>
      <c r="U273" s="1792"/>
      <c r="V273" s="1792"/>
      <c r="W273" s="999"/>
      <c r="X273" s="999"/>
      <c r="Y273" s="999"/>
      <c r="Z273" s="999"/>
      <c r="AA273" s="999"/>
      <c r="AB273" s="999"/>
      <c r="AC273" s="1189"/>
      <c r="AD273" s="1189"/>
      <c r="AE273" s="1189"/>
      <c r="AF273" s="1189"/>
      <c r="AG273" s="1189"/>
      <c r="AH273" s="1189"/>
      <c r="AI273" s="1189"/>
      <c r="AJ273" s="999"/>
      <c r="AK273" s="999"/>
      <c r="AL273" s="999"/>
      <c r="AM273" s="999"/>
      <c r="AN273" s="999"/>
      <c r="AO273" s="999"/>
      <c r="AP273" s="999"/>
    </row>
    <row r="274" spans="1:42">
      <c r="A274" s="999"/>
      <c r="B274" s="1198"/>
      <c r="C274" s="999" t="s">
        <v>654</v>
      </c>
      <c r="D274" s="1606">
        <v>272</v>
      </c>
      <c r="E274" s="1192"/>
      <c r="F274" s="1755"/>
      <c r="G274" s="1755">
        <f t="shared" ref="G274:O274" ca="1" si="499">G81/AVERAGE(SUM(G7:G8),SUM(F7:F8))</f>
        <v>2.6839364107577256E-3</v>
      </c>
      <c r="H274" s="1755">
        <f t="shared" ca="1" si="499"/>
        <v>1.6009307278220707E-2</v>
      </c>
      <c r="I274" s="1755">
        <f t="shared" ca="1" si="499"/>
        <v>2.3534021108126989E-2</v>
      </c>
      <c r="J274" s="1755">
        <f t="shared" ca="1" si="499"/>
        <v>6.8355506241388544E-2</v>
      </c>
      <c r="K274" s="1755">
        <f t="shared" ca="1" si="499"/>
        <v>5.2399819640938192E-2</v>
      </c>
      <c r="L274" s="1755">
        <f t="shared" ca="1" si="499"/>
        <v>5.7313101501249165E-2</v>
      </c>
      <c r="M274" s="1755">
        <f t="shared" ca="1" si="499"/>
        <v>5.0999320363888795E-2</v>
      </c>
      <c r="N274" s="1755">
        <f t="shared" ca="1" si="499"/>
        <v>9.2740399079601257E-2</v>
      </c>
      <c r="O274" s="1755">
        <f t="shared" ca="1" si="499"/>
        <v>7.3666460259398645E-2</v>
      </c>
      <c r="P274" s="1793">
        <f t="shared" ref="P274:Q275" ca="1" si="500">O274</f>
        <v>7.3666460259398645E-2</v>
      </c>
      <c r="Q274" s="1793">
        <f t="shared" ca="1" si="500"/>
        <v>7.3666460259398645E-2</v>
      </c>
      <c r="R274" s="1793">
        <f t="shared" ref="R274:R275" ca="1" si="501">Q274</f>
        <v>7.3666460259398645E-2</v>
      </c>
      <c r="S274" s="1793">
        <f t="shared" ref="S274:S275" ca="1" si="502">R274</f>
        <v>7.3666460259398645E-2</v>
      </c>
      <c r="T274" s="1793">
        <f t="shared" ref="T274:T275" ca="1" si="503">S274</f>
        <v>7.3666460259398645E-2</v>
      </c>
      <c r="U274" s="1793">
        <f t="shared" ref="U274:U275" ca="1" si="504">T274</f>
        <v>7.3666460259398645E-2</v>
      </c>
      <c r="V274" s="1793"/>
      <c r="W274" s="999"/>
      <c r="X274" s="999"/>
      <c r="Y274" s="999"/>
      <c r="Z274" s="999"/>
      <c r="AA274" s="999"/>
      <c r="AB274" s="999"/>
      <c r="AC274" s="1189"/>
      <c r="AD274" s="1189"/>
      <c r="AE274" s="1189"/>
      <c r="AF274" s="1189"/>
      <c r="AG274" s="1189"/>
      <c r="AH274" s="1189"/>
      <c r="AI274" s="1189"/>
      <c r="AJ274" s="999"/>
      <c r="AK274" s="999"/>
      <c r="AL274" s="999"/>
      <c r="AM274" s="999"/>
      <c r="AN274" s="999"/>
      <c r="AO274" s="999"/>
      <c r="AP274" s="999"/>
    </row>
    <row r="275" spans="1:42">
      <c r="A275" s="999"/>
      <c r="B275" s="1221"/>
      <c r="C275" s="999" t="s">
        <v>655</v>
      </c>
      <c r="D275" s="1606">
        <v>273</v>
      </c>
      <c r="E275" s="1192"/>
      <c r="F275" s="1755"/>
      <c r="G275" s="1747">
        <f ca="1">G87/AVERAGE(SUM(G29,G36),SUM(F29,F36))</f>
        <v>3.4974213508575387E-2</v>
      </c>
      <c r="H275" s="1747">
        <f ca="1">H87/AVERAGE(SUM(H29,H36),SUM(G29,G36))</f>
        <v>4.0233553407567915E-2</v>
      </c>
      <c r="I275" s="1747">
        <f ca="1">I87/AVERAGE(SUM(I29,I36),SUM(H29,H36))</f>
        <v>6.302926960651023E-2</v>
      </c>
      <c r="J275" s="1747">
        <f t="shared" ref="J275:O275" ca="1" si="505">-J87/AVERAGE(SUM(J29,J36),SUM(I29,I36))</f>
        <v>5.3603431700887653E-2</v>
      </c>
      <c r="K275" s="1625">
        <f t="shared" ca="1" si="505"/>
        <v>3.8440617553434614E-2</v>
      </c>
      <c r="L275" s="1625">
        <f t="shared" ca="1" si="505"/>
        <v>3.2581576829511856E-2</v>
      </c>
      <c r="M275" s="1625">
        <f t="shared" ca="1" si="505"/>
        <v>6.6064380894730199E-2</v>
      </c>
      <c r="N275" s="1625">
        <f t="shared" ca="1" si="505"/>
        <v>6.9429637701576674E-2</v>
      </c>
      <c r="O275" s="1625">
        <f t="shared" ca="1" si="505"/>
        <v>4.3394333328833648E-2</v>
      </c>
      <c r="P275" s="1758">
        <f t="shared" ca="1" si="500"/>
        <v>4.3394333328833648E-2</v>
      </c>
      <c r="Q275" s="1758">
        <f t="shared" ca="1" si="500"/>
        <v>4.3394333328833648E-2</v>
      </c>
      <c r="R275" s="1758">
        <f t="shared" ca="1" si="501"/>
        <v>4.3394333328833648E-2</v>
      </c>
      <c r="S275" s="1758">
        <f t="shared" ca="1" si="502"/>
        <v>4.3394333328833648E-2</v>
      </c>
      <c r="T275" s="1758">
        <f t="shared" ca="1" si="503"/>
        <v>4.3394333328833648E-2</v>
      </c>
      <c r="U275" s="1758">
        <f t="shared" ca="1" si="504"/>
        <v>4.3394333328833648E-2</v>
      </c>
      <c r="V275" s="1758"/>
      <c r="W275" s="999"/>
      <c r="X275" s="999"/>
      <c r="Y275" s="999"/>
      <c r="Z275" s="999"/>
      <c r="AA275" s="999"/>
      <c r="AB275" s="999"/>
      <c r="AC275" s="1189"/>
      <c r="AD275" s="1189"/>
      <c r="AE275" s="1189"/>
      <c r="AF275" s="1189"/>
      <c r="AG275" s="1189"/>
      <c r="AH275" s="1189"/>
      <c r="AI275" s="1189"/>
      <c r="AJ275" s="999"/>
      <c r="AK275" s="999"/>
      <c r="AL275" s="999"/>
      <c r="AM275" s="999"/>
      <c r="AN275" s="999"/>
      <c r="AO275" s="999"/>
      <c r="AP275" s="999"/>
    </row>
    <row r="276" spans="1:42">
      <c r="A276" s="999"/>
      <c r="B276" s="1198"/>
      <c r="C276" s="999" t="s">
        <v>656</v>
      </c>
      <c r="D276" s="1606">
        <v>274</v>
      </c>
      <c r="E276" s="1192"/>
      <c r="F276" s="1794">
        <v>21380</v>
      </c>
      <c r="G276" s="1794">
        <v>22450</v>
      </c>
      <c r="H276" s="1794">
        <v>22720</v>
      </c>
      <c r="I276" s="1794">
        <v>23245</v>
      </c>
      <c r="J276" s="1795">
        <v>23225</v>
      </c>
      <c r="K276" s="1795">
        <v>23260</v>
      </c>
      <c r="L276" s="1795">
        <v>23150</v>
      </c>
      <c r="M276" s="1795">
        <v>23151</v>
      </c>
      <c r="N276" s="1795">
        <v>23152</v>
      </c>
      <c r="O276" s="1795">
        <v>23152</v>
      </c>
      <c r="P276" s="1796">
        <f>O276*(1+P277)</f>
        <v>23042.51074806535</v>
      </c>
      <c r="Q276" s="1796">
        <f>P276*(1+Q277)</f>
        <v>22933.539287089978</v>
      </c>
      <c r="R276" s="1796">
        <f t="shared" ref="R276" si="506">Q276*(1+R277)</f>
        <v>22825.083168363413</v>
      </c>
      <c r="S276" s="1796">
        <f t="shared" ref="S276" si="507">R276*(1+S277)</f>
        <v>22717.139954755505</v>
      </c>
      <c r="T276" s="1796">
        <f t="shared" ref="T276" si="508">S276*(1+T277)</f>
        <v>22609.70722066165</v>
      </c>
      <c r="U276" s="1796">
        <f t="shared" ref="U276" si="509">T276*(1+U277)</f>
        <v>22502.78255194829</v>
      </c>
      <c r="V276" s="1796"/>
      <c r="W276" s="999"/>
      <c r="X276" s="999"/>
      <c r="Y276" s="999"/>
      <c r="Z276" s="999"/>
      <c r="AA276" s="999"/>
      <c r="AB276" s="999"/>
      <c r="AC276" s="1189"/>
      <c r="AD276" s="1189"/>
      <c r="AE276" s="1189"/>
      <c r="AF276" s="1189"/>
      <c r="AG276" s="1189"/>
      <c r="AH276" s="1189"/>
      <c r="AI276" s="1189"/>
      <c r="AJ276" s="999"/>
      <c r="AK276" s="999"/>
      <c r="AL276" s="999"/>
      <c r="AM276" s="999"/>
      <c r="AN276" s="999"/>
      <c r="AO276" s="999"/>
      <c r="AP276" s="999"/>
    </row>
    <row r="277" spans="1:42">
      <c r="A277" s="999"/>
      <c r="B277" s="1198"/>
      <c r="C277" s="1628" t="s">
        <v>657</v>
      </c>
      <c r="D277" s="1606">
        <v>275</v>
      </c>
      <c r="E277" s="1797"/>
      <c r="F277" s="1755"/>
      <c r="G277" s="1755">
        <f t="shared" ref="G277:O277" si="510">G276/F276-1</f>
        <v>5.0046772684751994E-2</v>
      </c>
      <c r="H277" s="1755">
        <f t="shared" si="510"/>
        <v>1.2026726057906556E-2</v>
      </c>
      <c r="I277" s="1755">
        <f t="shared" si="510"/>
        <v>2.3107394366197243E-2</v>
      </c>
      <c r="J277" s="1756">
        <f t="shared" si="510"/>
        <v>-8.6040008604004736E-4</v>
      </c>
      <c r="K277" s="1756">
        <f t="shared" si="510"/>
        <v>1.5069967707213028E-3</v>
      </c>
      <c r="L277" s="1756">
        <f t="shared" si="510"/>
        <v>-4.7291487532243881E-3</v>
      </c>
      <c r="M277" s="1756">
        <f t="shared" si="510"/>
        <v>4.3196544276424831E-5</v>
      </c>
      <c r="N277" s="1756">
        <f t="shared" si="510"/>
        <v>4.3194678415625631E-5</v>
      </c>
      <c r="O277" s="1756">
        <f t="shared" si="510"/>
        <v>0</v>
      </c>
      <c r="P277" s="1798">
        <f>$L$277</f>
        <v>-4.7291487532243881E-3</v>
      </c>
      <c r="Q277" s="1798">
        <f>$L$277</f>
        <v>-4.7291487532243881E-3</v>
      </c>
      <c r="R277" s="1798">
        <f t="shared" ref="R277:U277" si="511">$L$277</f>
        <v>-4.7291487532243881E-3</v>
      </c>
      <c r="S277" s="1798">
        <f t="shared" si="511"/>
        <v>-4.7291487532243881E-3</v>
      </c>
      <c r="T277" s="1798">
        <f t="shared" si="511"/>
        <v>-4.7291487532243881E-3</v>
      </c>
      <c r="U277" s="1798">
        <f t="shared" si="511"/>
        <v>-4.7291487532243881E-3</v>
      </c>
      <c r="V277" s="1798"/>
      <c r="W277" s="999"/>
      <c r="X277" s="999"/>
      <c r="Y277" s="999"/>
      <c r="Z277" s="999"/>
      <c r="AA277" s="999"/>
      <c r="AB277" s="999"/>
      <c r="AC277" s="1189"/>
      <c r="AD277" s="1189"/>
      <c r="AE277" s="1189"/>
      <c r="AF277" s="1189"/>
      <c r="AG277" s="1189"/>
      <c r="AH277" s="1189"/>
      <c r="AI277" s="1189"/>
      <c r="AJ277" s="999"/>
      <c r="AK277" s="999"/>
      <c r="AL277" s="999"/>
      <c r="AM277" s="999"/>
      <c r="AN277" s="999"/>
      <c r="AO277" s="999"/>
      <c r="AP277" s="999"/>
    </row>
    <row r="278" spans="1:42">
      <c r="A278" s="999">
        <v>8</v>
      </c>
      <c r="B278" s="1198"/>
      <c r="C278" s="1614"/>
      <c r="D278" s="1606">
        <v>276</v>
      </c>
      <c r="E278" s="1192"/>
      <c r="F278" s="1192"/>
      <c r="G278" s="1755"/>
      <c r="H278" s="1755"/>
      <c r="I278" s="1755"/>
      <c r="J278" s="1652"/>
      <c r="K278" s="1652"/>
      <c r="L278" s="1652"/>
      <c r="M278" s="1652"/>
      <c r="N278" s="1652"/>
      <c r="O278" s="1652"/>
      <c r="P278" s="1663"/>
      <c r="Q278" s="1663"/>
      <c r="R278" s="1663"/>
      <c r="S278" s="1663"/>
      <c r="T278" s="1663"/>
      <c r="U278" s="1663"/>
      <c r="V278" s="1663"/>
      <c r="W278" s="999"/>
      <c r="X278" s="999"/>
      <c r="Y278" s="999"/>
      <c r="Z278" s="999"/>
      <c r="AA278" s="999"/>
      <c r="AB278" s="999"/>
      <c r="AC278" s="1189"/>
      <c r="AD278" s="1189"/>
      <c r="AE278" s="1189"/>
      <c r="AF278" s="1189"/>
      <c r="AG278" s="1189"/>
      <c r="AH278" s="1189"/>
      <c r="AI278" s="1189"/>
      <c r="AJ278" s="999"/>
      <c r="AK278" s="999"/>
      <c r="AL278" s="999"/>
      <c r="AM278" s="999"/>
      <c r="AN278" s="999"/>
      <c r="AO278" s="999"/>
      <c r="AP278" s="999"/>
    </row>
    <row r="279" spans="1:42">
      <c r="A279" s="999"/>
      <c r="B279" s="1198"/>
      <c r="C279" s="1222" t="s">
        <v>658</v>
      </c>
      <c r="D279" s="1606">
        <v>277</v>
      </c>
      <c r="E279" s="1233"/>
      <c r="F279" s="1238">
        <f>G279-1</f>
        <v>2015</v>
      </c>
      <c r="G279" s="1238">
        <f>H279-1</f>
        <v>2016</v>
      </c>
      <c r="H279" s="1238">
        <f>H1</f>
        <v>2017</v>
      </c>
      <c r="I279" s="1238">
        <f>YEAR(Hist_Year)</f>
        <v>2018</v>
      </c>
      <c r="J279" s="1238">
        <f t="shared" ref="J279:O279" si="512">I279+1</f>
        <v>2019</v>
      </c>
      <c r="K279" s="1238">
        <f t="shared" si="512"/>
        <v>2020</v>
      </c>
      <c r="L279" s="1238">
        <f t="shared" si="512"/>
        <v>2021</v>
      </c>
      <c r="M279" s="1238">
        <f t="shared" si="512"/>
        <v>2022</v>
      </c>
      <c r="N279" s="1238">
        <f t="shared" si="512"/>
        <v>2023</v>
      </c>
      <c r="O279" s="1238">
        <f t="shared" si="512"/>
        <v>2024</v>
      </c>
      <c r="P279" s="1799">
        <f>O279+1</f>
        <v>2025</v>
      </c>
      <c r="Q279" s="1799">
        <f>P279+1</f>
        <v>2026</v>
      </c>
      <c r="R279" s="1799">
        <f t="shared" ref="R279" si="513">Q279+1</f>
        <v>2027</v>
      </c>
      <c r="S279" s="1799">
        <f t="shared" ref="S279:U279" si="514">R279+1</f>
        <v>2028</v>
      </c>
      <c r="T279" s="1799">
        <f t="shared" si="514"/>
        <v>2029</v>
      </c>
      <c r="U279" s="1799">
        <f t="shared" si="514"/>
        <v>2030</v>
      </c>
      <c r="V279" s="1799"/>
      <c r="W279" s="999"/>
      <c r="X279" s="999"/>
      <c r="Y279" s="999"/>
      <c r="Z279" s="999"/>
      <c r="AA279" s="999"/>
      <c r="AB279" s="999"/>
      <c r="AC279" s="1189"/>
      <c r="AD279" s="1189"/>
      <c r="AE279" s="1189"/>
      <c r="AF279" s="1189"/>
      <c r="AG279" s="1189"/>
      <c r="AH279" s="1189"/>
      <c r="AI279" s="1189"/>
      <c r="AJ279" s="999"/>
      <c r="AK279" s="999"/>
      <c r="AL279" s="999"/>
      <c r="AM279" s="999"/>
      <c r="AN279" s="999"/>
      <c r="AO279" s="999"/>
      <c r="AP279" s="999"/>
    </row>
    <row r="280" spans="1:42">
      <c r="A280" s="999"/>
      <c r="B280" s="1198"/>
      <c r="C280" s="1000" t="s">
        <v>659</v>
      </c>
      <c r="D280" s="1606">
        <v>278</v>
      </c>
      <c r="E280" s="1192"/>
      <c r="F280" s="1736"/>
      <c r="G280" s="1736"/>
      <c r="H280" s="1736"/>
      <c r="I280" s="1736"/>
      <c r="J280" s="1736"/>
      <c r="K280" s="1736"/>
      <c r="L280" s="1736"/>
      <c r="M280" s="1736"/>
      <c r="N280" s="1736"/>
      <c r="O280" s="1736"/>
      <c r="P280" s="1773"/>
      <c r="Q280" s="1773"/>
      <c r="R280" s="1773"/>
      <c r="S280" s="1773"/>
      <c r="T280" s="1773"/>
      <c r="U280" s="1773"/>
      <c r="V280" s="1773"/>
      <c r="W280" s="999"/>
      <c r="X280" s="999"/>
      <c r="Y280" s="999"/>
      <c r="Z280" s="999"/>
      <c r="AA280" s="999"/>
      <c r="AB280" s="999"/>
      <c r="AC280" s="1189"/>
      <c r="AD280" s="1189"/>
      <c r="AE280" s="1189"/>
      <c r="AF280" s="1189"/>
      <c r="AG280" s="1189"/>
      <c r="AH280" s="1189"/>
      <c r="AI280" s="1189"/>
      <c r="AJ280" s="999"/>
      <c r="AK280" s="999"/>
      <c r="AL280" s="999"/>
      <c r="AM280" s="999"/>
      <c r="AN280" s="999"/>
      <c r="AO280" s="999"/>
      <c r="AP280" s="999"/>
    </row>
    <row r="281" spans="1:42">
      <c r="A281" s="999"/>
      <c r="B281" s="1198"/>
      <c r="C281" s="1614" t="s">
        <v>660</v>
      </c>
      <c r="D281" s="1606">
        <v>279</v>
      </c>
      <c r="E281" s="1192"/>
      <c r="F281" s="1800"/>
      <c r="G281" s="1655">
        <f t="shared" ref="G281:Q281" ca="1" si="515">F7</f>
        <v>343.87296870500001</v>
      </c>
      <c r="H281" s="1655">
        <f t="shared" ca="1" si="515"/>
        <v>996.98346201200002</v>
      </c>
      <c r="I281" s="1655">
        <f t="shared" ca="1" si="515"/>
        <v>3410.9833513929998</v>
      </c>
      <c r="J281" s="1655">
        <f t="shared" ca="1" si="515"/>
        <v>3749.5502582119998</v>
      </c>
      <c r="K281" s="1655">
        <f t="shared" ca="1" si="515"/>
        <v>3115.2368164680001</v>
      </c>
      <c r="L281" s="1655">
        <f t="shared" ca="1" si="515"/>
        <v>7347.8573979250004</v>
      </c>
      <c r="M281" s="1655">
        <f t="shared" ca="1" si="515"/>
        <v>4142.015762555</v>
      </c>
      <c r="N281" s="1655">
        <f t="shared" ca="1" si="515"/>
        <v>5061.0205474220002</v>
      </c>
      <c r="O281" s="1655">
        <f t="shared" ca="1" si="515"/>
        <v>5365.7048571719997</v>
      </c>
      <c r="P281" s="1801">
        <f t="shared" ca="1" si="515"/>
        <v>5697.3315407299997</v>
      </c>
      <c r="Q281" s="1801">
        <f t="shared" ca="1" si="515"/>
        <v>6775.623920371434</v>
      </c>
      <c r="R281" s="1801">
        <f t="shared" ref="R281" ca="1" si="516">Q7</f>
        <v>10143.696816406977</v>
      </c>
      <c r="S281" s="1801">
        <f t="shared" ref="S281" ca="1" si="517">R7</f>
        <v>15951.405562774024</v>
      </c>
      <c r="T281" s="1801">
        <f t="shared" ref="T281" ca="1" si="518">S7</f>
        <v>24942.144580748478</v>
      </c>
      <c r="U281" s="1801">
        <f t="shared" ref="U281" ca="1" si="519">T7</f>
        <v>36366.763114727059</v>
      </c>
      <c r="V281" s="1801"/>
      <c r="W281" s="999"/>
      <c r="X281" s="999"/>
      <c r="Y281" s="999"/>
      <c r="Z281" s="999"/>
      <c r="AA281" s="999"/>
      <c r="AB281" s="999"/>
      <c r="AC281" s="1189"/>
      <c r="AD281" s="1189"/>
      <c r="AE281" s="1189"/>
      <c r="AF281" s="1189"/>
      <c r="AG281" s="1189"/>
      <c r="AH281" s="1189"/>
      <c r="AI281" s="1189"/>
      <c r="AJ281" s="999"/>
      <c r="AK281" s="999"/>
      <c r="AL281" s="999"/>
      <c r="AM281" s="999"/>
      <c r="AN281" s="999"/>
      <c r="AO281" s="999"/>
      <c r="AP281" s="999"/>
    </row>
    <row r="282" spans="1:42">
      <c r="A282" s="999"/>
      <c r="B282" s="1198"/>
      <c r="C282" s="1614" t="s">
        <v>661</v>
      </c>
      <c r="D282" s="1606">
        <v>280</v>
      </c>
      <c r="E282" s="1192"/>
      <c r="F282" s="1800"/>
      <c r="G282" s="1211">
        <f t="shared" ref="G282:L282" ca="1" si="520">G283/G291</f>
        <v>-1.2155481155234071</v>
      </c>
      <c r="H282" s="1211">
        <f t="shared" ca="1" si="520"/>
        <v>-17.196605445653713</v>
      </c>
      <c r="I282" s="1211">
        <f t="shared" ca="1" si="520"/>
        <v>-2.0230578796921277</v>
      </c>
      <c r="J282" s="1211">
        <f t="shared" ca="1" si="520"/>
        <v>-1.59726510250549</v>
      </c>
      <c r="K282" s="1200">
        <f t="shared" ca="1" si="520"/>
        <v>1.9309255329898303</v>
      </c>
      <c r="L282" s="1200">
        <f t="shared" ca="1" si="520"/>
        <v>-1.8816693614697377</v>
      </c>
      <c r="M282" s="1200">
        <f ca="1">M283/M291</f>
        <v>-11.698324181139693</v>
      </c>
      <c r="N282" s="1200">
        <f ca="1">N283/N291</f>
        <v>7.5194569503016115</v>
      </c>
      <c r="O282" s="1200">
        <f ca="1">O283/O291</f>
        <v>4.302829538309509</v>
      </c>
      <c r="P282" s="1802">
        <f ca="1">O282+50%</f>
        <v>4.802829538309509</v>
      </c>
      <c r="Q282" s="1802">
        <f ca="1">P282+50%</f>
        <v>5.302829538309509</v>
      </c>
      <c r="R282" s="1802">
        <f t="shared" ref="R282" ca="1" si="521">Q282+50%</f>
        <v>5.802829538309509</v>
      </c>
      <c r="S282" s="1802">
        <f t="shared" ref="S282:U282" ca="1" si="522">R282+50%</f>
        <v>6.302829538309509</v>
      </c>
      <c r="T282" s="1802">
        <f t="shared" ca="1" si="522"/>
        <v>6.802829538309509</v>
      </c>
      <c r="U282" s="1802">
        <f t="shared" ca="1" si="522"/>
        <v>7.302829538309509</v>
      </c>
      <c r="V282" s="1802"/>
      <c r="W282" s="999"/>
      <c r="X282" s="999"/>
      <c r="Y282" s="999"/>
      <c r="Z282" s="999"/>
      <c r="AA282" s="999"/>
      <c r="AB282" s="999"/>
      <c r="AC282" s="1189"/>
      <c r="AD282" s="1189"/>
      <c r="AE282" s="1189"/>
      <c r="AF282" s="1189"/>
      <c r="AG282" s="1189"/>
      <c r="AH282" s="1189"/>
      <c r="AI282" s="1189"/>
      <c r="AJ282" s="999"/>
      <c r="AK282" s="999"/>
      <c r="AL282" s="999"/>
      <c r="AM282" s="999"/>
      <c r="AN282" s="999"/>
      <c r="AO282" s="999"/>
      <c r="AP282" s="999"/>
    </row>
    <row r="283" spans="1:42">
      <c r="A283" s="999"/>
      <c r="B283" s="1198"/>
      <c r="C283" s="1614" t="s">
        <v>662</v>
      </c>
      <c r="D283" s="1606">
        <v>281</v>
      </c>
      <c r="E283" s="1192"/>
      <c r="F283" s="1803"/>
      <c r="G283" s="1804">
        <f t="shared" ref="G283:M283" ca="1" si="523">G281-G285</f>
        <v>3079.9187427810002</v>
      </c>
      <c r="H283" s="1804">
        <f t="shared" ca="1" si="523"/>
        <v>4225.4832285999946</v>
      </c>
      <c r="I283" s="1804">
        <f t="shared" ca="1" si="523"/>
        <v>3982.3918454699979</v>
      </c>
      <c r="J283" s="1627">
        <f t="shared" ca="1" si="523"/>
        <v>10309.770639207007</v>
      </c>
      <c r="K283" s="1627">
        <f t="shared" ca="1" si="523"/>
        <v>9945.6921645500042</v>
      </c>
      <c r="L283" s="1627">
        <f t="shared" ca="1" si="523"/>
        <v>13166.373565909013</v>
      </c>
      <c r="M283" s="1627">
        <f t="shared" ca="1" si="523"/>
        <v>-8897.2531807320029</v>
      </c>
      <c r="N283" s="1627">
        <f ca="1">N281-N285</f>
        <v>13807.739315699991</v>
      </c>
      <c r="O283" s="1627">
        <f ca="1">O281-O285</f>
        <v>13870.932311186003</v>
      </c>
      <c r="P283" s="1734">
        <f ca="1">P78*$K$284</f>
        <v>10642.375848997986</v>
      </c>
      <c r="Q283" s="1734">
        <f ca="1">Q78*$K$284</f>
        <v>13865.256364802271</v>
      </c>
      <c r="R283" s="1734">
        <f t="shared" ref="R283" ca="1" si="524">R78*$K$284</f>
        <v>16749.076015240509</v>
      </c>
      <c r="S283" s="1734">
        <f t="shared" ref="S283:U283" ca="1" si="525">S78*$K$284</f>
        <v>19618.436922732624</v>
      </c>
      <c r="T283" s="1734">
        <f t="shared" ca="1" si="525"/>
        <v>22336.770483826873</v>
      </c>
      <c r="U283" s="1734">
        <f t="shared" ca="1" si="525"/>
        <v>25136.42467496738</v>
      </c>
      <c r="V283" s="1734"/>
      <c r="W283" s="999"/>
      <c r="X283" s="999"/>
      <c r="Y283" s="999"/>
      <c r="Z283" s="999"/>
      <c r="AA283" s="999"/>
      <c r="AB283" s="999"/>
      <c r="AC283" s="1189"/>
      <c r="AD283" s="1189"/>
      <c r="AE283" s="1189"/>
      <c r="AF283" s="1189"/>
      <c r="AG283" s="1189"/>
      <c r="AH283" s="1189"/>
      <c r="AI283" s="1189"/>
      <c r="AJ283" s="999"/>
      <c r="AK283" s="999"/>
      <c r="AL283" s="999"/>
      <c r="AM283" s="999"/>
      <c r="AN283" s="999"/>
      <c r="AO283" s="999"/>
      <c r="AP283" s="999"/>
    </row>
    <row r="284" spans="1:42">
      <c r="A284" s="999"/>
      <c r="B284" s="1198"/>
      <c r="C284" s="1614"/>
      <c r="D284" s="1606">
        <v>282</v>
      </c>
      <c r="E284" s="1192"/>
      <c r="F284" s="1803"/>
      <c r="G284" s="1192"/>
      <c r="H284" s="1192"/>
      <c r="I284" s="1655"/>
      <c r="J284" s="1609"/>
      <c r="K284" s="1609">
        <v>1.5</v>
      </c>
      <c r="L284" s="1609">
        <v>3</v>
      </c>
      <c r="M284" s="1609">
        <v>4</v>
      </c>
      <c r="N284" s="1609">
        <v>5</v>
      </c>
      <c r="O284" s="1609">
        <v>5</v>
      </c>
      <c r="P284" s="1734"/>
      <c r="Q284" s="1734"/>
      <c r="R284" s="1734"/>
      <c r="S284" s="1734"/>
      <c r="T284" s="1734"/>
      <c r="U284" s="1734"/>
      <c r="V284" s="1734"/>
      <c r="W284" s="999"/>
      <c r="X284" s="999"/>
      <c r="Y284" s="999"/>
      <c r="Z284" s="999"/>
      <c r="AA284" s="999"/>
      <c r="AB284" s="999"/>
      <c r="AC284" s="1189"/>
      <c r="AD284" s="1189"/>
      <c r="AE284" s="1189"/>
      <c r="AF284" s="1189"/>
      <c r="AG284" s="1189"/>
      <c r="AH284" s="1189"/>
      <c r="AI284" s="1189"/>
      <c r="AJ284" s="999"/>
      <c r="AK284" s="999"/>
      <c r="AL284" s="999"/>
      <c r="AM284" s="999"/>
      <c r="AN284" s="999"/>
      <c r="AO284" s="999"/>
      <c r="AP284" s="999"/>
    </row>
    <row r="285" spans="1:42">
      <c r="A285" s="999"/>
      <c r="B285" s="1198"/>
      <c r="C285" s="1614" t="s">
        <v>663</v>
      </c>
      <c r="D285" s="1606">
        <v>283</v>
      </c>
      <c r="E285" s="1192"/>
      <c r="F285" s="1800"/>
      <c r="G285" s="1609">
        <f t="shared" ref="G285:M285" ca="1" si="526">G287-G286</f>
        <v>-2736.0457740760003</v>
      </c>
      <c r="H285" s="1609">
        <f t="shared" ca="1" si="526"/>
        <v>-3228.4997665879946</v>
      </c>
      <c r="I285" s="1609">
        <f t="shared" ca="1" si="526"/>
        <v>-571.40849407699807</v>
      </c>
      <c r="J285" s="1609">
        <f t="shared" ca="1" si="526"/>
        <v>-6560.2203809950061</v>
      </c>
      <c r="K285" s="1609">
        <f t="shared" ca="1" si="526"/>
        <v>-6830.4553480820032</v>
      </c>
      <c r="L285" s="1609">
        <f t="shared" ca="1" si="526"/>
        <v>-5818.516167984013</v>
      </c>
      <c r="M285" s="1609">
        <f t="shared" ca="1" si="526"/>
        <v>13039.268943287003</v>
      </c>
      <c r="N285" s="1609">
        <f ca="1">N287-N286</f>
        <v>-8746.7187682779913</v>
      </c>
      <c r="O285" s="1609">
        <f ca="1">O287-O286</f>
        <v>-8505.2274540140024</v>
      </c>
      <c r="P285" s="1734">
        <f ca="1">P281-P283</f>
        <v>-4945.0443082679867</v>
      </c>
      <c r="Q285" s="1734">
        <f ca="1">Q281-Q283</f>
        <v>-7089.6324444308375</v>
      </c>
      <c r="R285" s="1734">
        <f t="shared" ref="R285" ca="1" si="527">R281-R283</f>
        <v>-6605.3791988335324</v>
      </c>
      <c r="S285" s="1734">
        <f t="shared" ref="S285:U285" ca="1" si="528">S281-S283</f>
        <v>-3667.0313599586007</v>
      </c>
      <c r="T285" s="1734">
        <f t="shared" ca="1" si="528"/>
        <v>2605.3740969216051</v>
      </c>
      <c r="U285" s="1734">
        <f t="shared" ca="1" si="528"/>
        <v>11230.338439759678</v>
      </c>
      <c r="V285" s="1734"/>
      <c r="W285" s="999"/>
      <c r="X285" s="999"/>
      <c r="Y285" s="999"/>
      <c r="Z285" s="999"/>
      <c r="AA285" s="999"/>
      <c r="AB285" s="999"/>
      <c r="AC285" s="1189"/>
      <c r="AD285" s="1189"/>
      <c r="AE285" s="1189"/>
      <c r="AF285" s="1189"/>
      <c r="AG285" s="1189"/>
      <c r="AH285" s="1189"/>
      <c r="AI285" s="1189"/>
      <c r="AJ285" s="999"/>
      <c r="AK285" s="999"/>
      <c r="AL285" s="999"/>
      <c r="AM285" s="999"/>
      <c r="AN285" s="999"/>
      <c r="AO285" s="999"/>
      <c r="AP285" s="999"/>
    </row>
    <row r="286" spans="1:42">
      <c r="A286" s="999"/>
      <c r="B286" s="1198"/>
      <c r="C286" s="1614" t="s">
        <v>664</v>
      </c>
      <c r="D286" s="1606">
        <v>284</v>
      </c>
      <c r="E286" s="1192"/>
      <c r="F286" s="1800"/>
      <c r="G286" s="1210">
        <f t="shared" ref="G286:N286" si="529">G151+G162+G166+G167+G168+G171+G170+G172+G169</f>
        <v>0</v>
      </c>
      <c r="H286" s="1210">
        <f t="shared" si="529"/>
        <v>2413.9855228189954</v>
      </c>
      <c r="I286" s="1210">
        <f t="shared" si="529"/>
        <v>338.45984751399737</v>
      </c>
      <c r="J286" s="1210">
        <f t="shared" si="529"/>
        <v>-634.34060210799362</v>
      </c>
      <c r="K286" s="1210">
        <f t="shared" si="529"/>
        <v>4236.290646350004</v>
      </c>
      <c r="L286" s="1210">
        <f t="shared" si="529"/>
        <v>-3203.7777888779892</v>
      </c>
      <c r="M286" s="1210">
        <f t="shared" si="529"/>
        <v>920.06670404299803</v>
      </c>
      <c r="N286" s="1210">
        <f t="shared" si="529"/>
        <v>306.31558195299294</v>
      </c>
      <c r="O286" s="1210">
        <f t="shared" ref="O286" si="530">O151+O162+O166+O167+O168+O171+O170+O172+O169</f>
        <v>333.52255001600133</v>
      </c>
      <c r="P286" s="1209">
        <f ca="1">P151+P162+P166+P167+P168+P171+P170+P172+P169</f>
        <v>874.66950598529911</v>
      </c>
      <c r="Q286" s="1209">
        <f ca="1">Q151+Q162+Q166+Q167+Q168+Q171+Q170+Q172+Q169</f>
        <v>3330.3762000497318</v>
      </c>
      <c r="R286" s="1209">
        <f t="shared" ref="R286" ca="1" si="531">R151+R162+R166+R167+R168+R171+R170+R172+R169</f>
        <v>5799.5462836734441</v>
      </c>
      <c r="S286" s="1209">
        <f t="shared" ref="S286:U286" ca="1" si="532">S151+S162+S166+S167+S168+S171+S170+S172+S169</f>
        <v>9044.4086574069388</v>
      </c>
      <c r="T286" s="1209">
        <f t="shared" ca="1" si="532"/>
        <v>11566.230445864443</v>
      </c>
      <c r="U286" s="1209">
        <f t="shared" ca="1" si="532"/>
        <v>14091.184543450801</v>
      </c>
      <c r="V286" s="1209"/>
      <c r="W286" s="999"/>
      <c r="X286" s="999"/>
      <c r="Y286" s="999"/>
      <c r="Z286" s="999"/>
      <c r="AA286" s="999"/>
      <c r="AB286" s="999"/>
      <c r="AC286" s="1189"/>
      <c r="AD286" s="1189"/>
      <c r="AE286" s="1189"/>
      <c r="AF286" s="1189"/>
      <c r="AG286" s="1189"/>
      <c r="AH286" s="1189"/>
      <c r="AI286" s="1189"/>
      <c r="AJ286" s="999"/>
      <c r="AK286" s="999"/>
      <c r="AL286" s="999"/>
      <c r="AM286" s="999"/>
      <c r="AN286" s="999"/>
      <c r="AO286" s="999"/>
      <c r="AP286" s="999"/>
    </row>
    <row r="287" spans="1:42">
      <c r="A287" s="999"/>
      <c r="B287" s="1198"/>
      <c r="C287" s="1617" t="s">
        <v>665</v>
      </c>
      <c r="D287" s="1606">
        <v>285</v>
      </c>
      <c r="E287" s="1204"/>
      <c r="F287" s="1736"/>
      <c r="G287" s="1805">
        <f t="shared" ref="G287:M287" ca="1" si="533">-G294</f>
        <v>-2736.0457740760003</v>
      </c>
      <c r="H287" s="1805">
        <f t="shared" ca="1" si="533"/>
        <v>-814.51424376899922</v>
      </c>
      <c r="I287" s="1805">
        <f t="shared" ca="1" si="533"/>
        <v>-232.94864656300069</v>
      </c>
      <c r="J287" s="1607">
        <f t="shared" ca="1" si="533"/>
        <v>-7194.5609831029997</v>
      </c>
      <c r="K287" s="1607">
        <f t="shared" ca="1" si="533"/>
        <v>-2594.1647017319992</v>
      </c>
      <c r="L287" s="1607">
        <f t="shared" ca="1" si="533"/>
        <v>-9022.2939568620022</v>
      </c>
      <c r="M287" s="1607">
        <f t="shared" ca="1" si="533"/>
        <v>13959.335647330001</v>
      </c>
      <c r="N287" s="1607">
        <f ca="1">-N294</f>
        <v>-8440.4031863249984</v>
      </c>
      <c r="O287" s="1607">
        <f ca="1">-O294</f>
        <v>-8171.7049039980011</v>
      </c>
      <c r="P287" s="1608">
        <f ca="1">P285+P286</f>
        <v>-4070.3748022826876</v>
      </c>
      <c r="Q287" s="1608">
        <f ca="1">Q285+Q286</f>
        <v>-3759.2562443811057</v>
      </c>
      <c r="R287" s="1608">
        <f t="shared" ref="R287" ca="1" si="534">R285+R286</f>
        <v>-805.83291516008831</v>
      </c>
      <c r="S287" s="1608">
        <f t="shared" ref="S287" ca="1" si="535">S285+S286</f>
        <v>5377.3772974483381</v>
      </c>
      <c r="T287" s="1608">
        <f t="shared" ref="T287" ca="1" si="536">T285+T286</f>
        <v>14171.604542786048</v>
      </c>
      <c r="U287" s="1608">
        <f t="shared" ref="U287" ca="1" si="537">U285+U286</f>
        <v>25321.522983210481</v>
      </c>
      <c r="V287" s="1608"/>
      <c r="W287" s="999"/>
      <c r="X287" s="999"/>
      <c r="Y287" s="999"/>
      <c r="Z287" s="999"/>
      <c r="AA287" s="999"/>
      <c r="AB287" s="999"/>
      <c r="AC287" s="1189"/>
      <c r="AD287" s="1189"/>
      <c r="AE287" s="1189"/>
      <c r="AF287" s="1189"/>
      <c r="AG287" s="1189"/>
      <c r="AH287" s="1189"/>
      <c r="AI287" s="1189"/>
      <c r="AJ287" s="999"/>
      <c r="AK287" s="999"/>
      <c r="AL287" s="999"/>
      <c r="AM287" s="999"/>
      <c r="AN287" s="999"/>
      <c r="AO287" s="999"/>
      <c r="AP287" s="999"/>
    </row>
    <row r="288" spans="1:42">
      <c r="A288" s="999"/>
      <c r="B288" s="1198"/>
      <c r="C288" s="1617"/>
      <c r="D288" s="1606">
        <v>286</v>
      </c>
      <c r="E288" s="1204"/>
      <c r="F288" s="1736"/>
      <c r="G288" s="1806"/>
      <c r="H288" s="1806"/>
      <c r="I288" s="1806"/>
      <c r="J288" s="1607"/>
      <c r="K288" s="1607"/>
      <c r="L288" s="1607">
        <f ca="1">L285/L134</f>
        <v>0.83155194919125264</v>
      </c>
      <c r="M288" s="1607">
        <f ca="1">M285/M134</f>
        <v>17.144346922033801</v>
      </c>
      <c r="N288" s="1607">
        <f ca="1">N285/N134</f>
        <v>-4.7633123519124911</v>
      </c>
      <c r="O288" s="1607">
        <f ca="1">O285/O134</f>
        <v>-2.6383622310419392</v>
      </c>
      <c r="P288" s="1608"/>
      <c r="Q288" s="1608"/>
      <c r="R288" s="1608"/>
      <c r="S288" s="1608"/>
      <c r="T288" s="1608"/>
      <c r="U288" s="1608"/>
      <c r="V288" s="1608"/>
      <c r="W288" s="999"/>
      <c r="X288" s="999"/>
      <c r="Y288" s="999"/>
      <c r="Z288" s="999"/>
      <c r="AA288" s="999"/>
      <c r="AB288" s="999"/>
      <c r="AC288" s="1189"/>
      <c r="AD288" s="1189"/>
      <c r="AE288" s="1189"/>
      <c r="AF288" s="1189"/>
      <c r="AG288" s="1189"/>
      <c r="AH288" s="1189"/>
      <c r="AI288" s="1189"/>
      <c r="AJ288" s="999"/>
      <c r="AK288" s="999"/>
      <c r="AL288" s="999"/>
      <c r="AM288" s="999"/>
      <c r="AN288" s="999"/>
      <c r="AO288" s="999"/>
      <c r="AP288" s="999"/>
    </row>
    <row r="289" spans="1:42">
      <c r="A289" s="999"/>
      <c r="B289" s="1198"/>
      <c r="C289" s="1617"/>
      <c r="D289" s="1606">
        <v>287</v>
      </c>
      <c r="E289" s="1204"/>
      <c r="F289" s="1736"/>
      <c r="G289" s="1806"/>
      <c r="H289" s="1806"/>
      <c r="I289" s="1806"/>
      <c r="J289" s="1607"/>
      <c r="K289" s="1607"/>
      <c r="L289" s="1607"/>
      <c r="M289" s="1607"/>
      <c r="N289" s="1607"/>
      <c r="O289" s="1607"/>
      <c r="P289" s="1608"/>
      <c r="Q289" s="1608"/>
      <c r="R289" s="1608"/>
      <c r="S289" s="1608"/>
      <c r="T289" s="1608"/>
      <c r="U289" s="1608"/>
      <c r="V289" s="1608"/>
      <c r="W289" s="999"/>
      <c r="X289" s="999"/>
      <c r="Y289" s="999"/>
      <c r="Z289" s="999"/>
      <c r="AA289" s="999"/>
      <c r="AB289" s="999"/>
      <c r="AC289" s="1189"/>
      <c r="AD289" s="1189"/>
      <c r="AE289" s="1189"/>
      <c r="AF289" s="1189"/>
      <c r="AG289" s="1189"/>
      <c r="AH289" s="1189"/>
      <c r="AI289" s="1189"/>
      <c r="AJ289" s="999"/>
      <c r="AK289" s="999"/>
      <c r="AL289" s="999"/>
      <c r="AM289" s="999"/>
      <c r="AN289" s="999"/>
      <c r="AO289" s="999"/>
      <c r="AP289" s="999"/>
    </row>
    <row r="290" spans="1:42">
      <c r="A290" s="999"/>
      <c r="B290" s="1198"/>
      <c r="C290" s="1617" t="s">
        <v>666</v>
      </c>
      <c r="D290" s="1606">
        <v>288</v>
      </c>
      <c r="E290" s="1204"/>
      <c r="F290" s="1736"/>
      <c r="G290" s="1807">
        <f t="shared" ref="G290:Q290" si="538">G64</f>
        <v>45612.676802016002</v>
      </c>
      <c r="H290" s="1807">
        <f t="shared" si="538"/>
        <v>67698.540686709006</v>
      </c>
      <c r="I290" s="1807">
        <f t="shared" si="538"/>
        <v>87738.378978635999</v>
      </c>
      <c r="J290" s="1627">
        <f t="shared" si="538"/>
        <v>103485.046672447</v>
      </c>
      <c r="K290" s="1627">
        <f t="shared" si="538"/>
        <v>109801.253690656</v>
      </c>
      <c r="L290" s="1627">
        <f>L64</f>
        <v>124141.525689948</v>
      </c>
      <c r="M290" s="1627">
        <f>M64</f>
        <v>134722.24888755701</v>
      </c>
      <c r="N290" s="1627">
        <f>N64</f>
        <v>119234.18482508601</v>
      </c>
      <c r="O290" s="1627">
        <f>O64</f>
        <v>135225.101298992</v>
      </c>
      <c r="P290" s="1218">
        <f t="shared" ca="1" si="538"/>
        <v>160641.82101401992</v>
      </c>
      <c r="Q290" s="1218">
        <f t="shared" ca="1" si="538"/>
        <v>195273.77872240244</v>
      </c>
      <c r="R290" s="1218">
        <f t="shared" ref="R290" ca="1" si="539">R64</f>
        <v>224062.4462220248</v>
      </c>
      <c r="S290" s="1218">
        <f t="shared" ref="S290:U290" ca="1" si="540">S64</f>
        <v>258173.6322260678</v>
      </c>
      <c r="T290" s="1218">
        <f t="shared" ca="1" si="540"/>
        <v>287282.9392846587</v>
      </c>
      <c r="U290" s="1218">
        <f t="shared" ca="1" si="540"/>
        <v>314120.44369001419</v>
      </c>
      <c r="V290" s="1218"/>
      <c r="W290" s="999"/>
      <c r="X290" s="999"/>
      <c r="Y290" s="999"/>
      <c r="Z290" s="999"/>
      <c r="AA290" s="999"/>
      <c r="AB290" s="999"/>
      <c r="AC290" s="1189"/>
      <c r="AD290" s="1189"/>
      <c r="AE290" s="1189"/>
      <c r="AF290" s="1189"/>
      <c r="AG290" s="1189"/>
      <c r="AH290" s="1189"/>
      <c r="AI290" s="1189"/>
      <c r="AJ290" s="999"/>
      <c r="AK290" s="999"/>
      <c r="AL290" s="999"/>
      <c r="AM290" s="999"/>
      <c r="AN290" s="999"/>
      <c r="AO290" s="999"/>
      <c r="AP290" s="999"/>
    </row>
    <row r="291" spans="1:42">
      <c r="A291" s="999"/>
      <c r="B291" s="1198"/>
      <c r="C291" s="999" t="s">
        <v>667</v>
      </c>
      <c r="D291" s="1606">
        <v>289</v>
      </c>
      <c r="E291" s="1192"/>
      <c r="F291" s="1736"/>
      <c r="G291" s="1807">
        <f>G134</f>
        <v>-2533.7695015509998</v>
      </c>
      <c r="H291" s="1807">
        <f t="shared" ref="H291:P291" si="541">H134</f>
        <v>-245.71612356599991</v>
      </c>
      <c r="I291" s="1807">
        <f t="shared" si="541"/>
        <v>-1968.5011909180002</v>
      </c>
      <c r="J291" s="1808">
        <f t="shared" si="541"/>
        <v>-6454.639635608999</v>
      </c>
      <c r="K291" s="1808">
        <f t="shared" si="541"/>
        <v>5150.7383348699996</v>
      </c>
      <c r="L291" s="1808">
        <f>L134</f>
        <v>-6997.1769937440004</v>
      </c>
      <c r="M291" s="1808">
        <f>M134</f>
        <v>760.55792632900011</v>
      </c>
      <c r="N291" s="1808">
        <f>N134</f>
        <v>1836.2681516709995</v>
      </c>
      <c r="O291" s="1808">
        <f>O134</f>
        <v>3223.6769287949996</v>
      </c>
      <c r="P291" s="1809">
        <f t="shared" ca="1" si="541"/>
        <v>-1654.9338967163935</v>
      </c>
      <c r="Q291" s="1809">
        <f ca="1">Q134</f>
        <v>-3989.4709515164704</v>
      </c>
      <c r="R291" s="1809">
        <f t="shared" ref="R291" ca="1" si="542">R134</f>
        <v>-3295.9501283455738</v>
      </c>
      <c r="S291" s="1809">
        <f t="shared" ref="S291:U291" ca="1" si="543">S134</f>
        <v>-3848.8816873635369</v>
      </c>
      <c r="T291" s="1809">
        <f t="shared" ca="1" si="543"/>
        <v>-3316.946618334603</v>
      </c>
      <c r="U291" s="1809">
        <f t="shared" ca="1" si="543"/>
        <v>-3107.7952393175037</v>
      </c>
      <c r="V291" s="1809"/>
      <c r="W291" s="999"/>
      <c r="X291" s="999"/>
      <c r="Y291" s="999"/>
      <c r="Z291" s="999"/>
      <c r="AA291" s="999"/>
      <c r="AB291" s="999"/>
      <c r="AC291" s="1189"/>
      <c r="AD291" s="1189"/>
      <c r="AE291" s="1189"/>
      <c r="AF291" s="1189"/>
      <c r="AG291" s="1189"/>
      <c r="AH291" s="1189"/>
      <c r="AI291" s="1189"/>
      <c r="AJ291" s="999"/>
      <c r="AK291" s="999"/>
      <c r="AL291" s="999"/>
      <c r="AM291" s="999"/>
      <c r="AN291" s="999"/>
      <c r="AO291" s="999"/>
      <c r="AP291" s="999"/>
    </row>
    <row r="292" spans="1:42">
      <c r="A292" s="999"/>
      <c r="B292" s="1198"/>
      <c r="C292" s="1000" t="s">
        <v>668</v>
      </c>
      <c r="D292" s="1606">
        <v>290</v>
      </c>
      <c r="E292" s="1192"/>
      <c r="F292" s="1736"/>
      <c r="G292" s="1806"/>
      <c r="H292" s="1806"/>
      <c r="I292" s="1806"/>
      <c r="J292" s="1806"/>
      <c r="K292" s="1806"/>
      <c r="L292" s="1806"/>
      <c r="M292" s="1806"/>
      <c r="N292" s="1806"/>
      <c r="O292" s="1806"/>
      <c r="P292" s="1810"/>
      <c r="Q292" s="1810"/>
      <c r="R292" s="1810"/>
      <c r="S292" s="1810"/>
      <c r="T292" s="1810"/>
      <c r="U292" s="1810"/>
      <c r="V292" s="1810"/>
      <c r="W292" s="999"/>
      <c r="X292" s="999"/>
      <c r="Y292" s="999"/>
      <c r="Z292" s="999"/>
      <c r="AA292" s="999"/>
      <c r="AB292" s="999"/>
      <c r="AC292" s="1189"/>
      <c r="AD292" s="1189"/>
      <c r="AE292" s="1189"/>
      <c r="AF292" s="1189"/>
      <c r="AG292" s="1189"/>
      <c r="AH292" s="1189"/>
      <c r="AI292" s="1189"/>
      <c r="AJ292" s="999"/>
      <c r="AK292" s="999"/>
      <c r="AL292" s="999"/>
      <c r="AM292" s="999"/>
      <c r="AN292" s="999"/>
      <c r="AO292" s="999"/>
      <c r="AP292" s="999"/>
    </row>
    <row r="293" spans="1:42">
      <c r="A293" s="999"/>
      <c r="B293" s="1198"/>
      <c r="C293" s="1614" t="s">
        <v>633</v>
      </c>
      <c r="D293" s="1606">
        <v>291</v>
      </c>
      <c r="E293" s="1192"/>
      <c r="F293" s="1654">
        <f t="shared" ref="F293:O293" ca="1" si="544">E29</f>
        <v>618.69030527300004</v>
      </c>
      <c r="G293" s="1654">
        <f t="shared" ca="1" si="544"/>
        <v>2052.9459726810001</v>
      </c>
      <c r="H293" s="1654">
        <f t="shared" ca="1" si="544"/>
        <v>4788.9917467570003</v>
      </c>
      <c r="I293" s="1654">
        <f t="shared" ca="1" si="544"/>
        <v>5603.5059905259996</v>
      </c>
      <c r="J293" s="1654">
        <f t="shared" ca="1" si="544"/>
        <v>5836.4546370890002</v>
      </c>
      <c r="K293" s="1654">
        <f t="shared" ca="1" si="544"/>
        <v>13031.015620192</v>
      </c>
      <c r="L293" s="1654">
        <f t="shared" ca="1" si="544"/>
        <v>15625.180321923999</v>
      </c>
      <c r="M293" s="1654">
        <f t="shared" ca="1" si="544"/>
        <v>24647.474278786001</v>
      </c>
      <c r="N293" s="1654">
        <f t="shared" ca="1" si="544"/>
        <v>10688.138631456</v>
      </c>
      <c r="O293" s="1654">
        <f t="shared" ca="1" si="544"/>
        <v>19128.541817780999</v>
      </c>
      <c r="P293" s="1716">
        <f ca="1">O295</f>
        <v>27300.246721779</v>
      </c>
      <c r="Q293" s="1716">
        <f ca="1">P295</f>
        <v>27503.765461893134</v>
      </c>
      <c r="R293" s="1716">
        <f t="shared" ref="R293" ca="1" si="545">Q295</f>
        <v>27541.358024336943</v>
      </c>
      <c r="S293" s="1716">
        <f t="shared" ref="S293:U293" ca="1" si="546">R295</f>
        <v>27549.416353488545</v>
      </c>
      <c r="T293" s="1716">
        <f t="shared" ca="1" si="546"/>
        <v>27495.642580514061</v>
      </c>
      <c r="U293" s="1716">
        <f t="shared" ca="1" si="546"/>
        <v>27353.926535086201</v>
      </c>
      <c r="V293" s="1716"/>
      <c r="W293" s="999"/>
      <c r="X293" s="999"/>
      <c r="Y293" s="999"/>
      <c r="Z293" s="999"/>
      <c r="AA293" s="999"/>
      <c r="AB293" s="999"/>
      <c r="AC293" s="1189"/>
      <c r="AD293" s="1189"/>
      <c r="AE293" s="1189"/>
      <c r="AF293" s="1189"/>
      <c r="AG293" s="1189"/>
      <c r="AH293" s="1189"/>
      <c r="AI293" s="1189"/>
      <c r="AJ293" s="999"/>
      <c r="AK293" s="999"/>
      <c r="AL293" s="999"/>
      <c r="AM293" s="999"/>
      <c r="AN293" s="999"/>
      <c r="AO293" s="999"/>
      <c r="AP293" s="999"/>
    </row>
    <row r="294" spans="1:42">
      <c r="A294" s="999"/>
      <c r="B294" s="1221"/>
      <c r="C294" s="1614" t="s">
        <v>634</v>
      </c>
      <c r="D294" s="1606">
        <v>292</v>
      </c>
      <c r="E294" s="1192"/>
      <c r="F294" s="1609">
        <f t="shared" ref="F294:K294" ca="1" si="547">F295-F293</f>
        <v>1434.2556674080001</v>
      </c>
      <c r="G294" s="1609">
        <f t="shared" ca="1" si="547"/>
        <v>2736.0457740760003</v>
      </c>
      <c r="H294" s="1609">
        <f t="shared" ca="1" si="547"/>
        <v>814.51424376899922</v>
      </c>
      <c r="I294" s="1609">
        <f t="shared" ca="1" si="547"/>
        <v>232.94864656300069</v>
      </c>
      <c r="J294" s="1609">
        <f t="shared" ca="1" si="547"/>
        <v>7194.5609831029997</v>
      </c>
      <c r="K294" s="1609">
        <f t="shared" ca="1" si="547"/>
        <v>2594.1647017319992</v>
      </c>
      <c r="L294" s="1609">
        <f ca="1">L295-L293</f>
        <v>9022.2939568620022</v>
      </c>
      <c r="M294" s="1609">
        <f ca="1">M295-M293</f>
        <v>-13959.335647330001</v>
      </c>
      <c r="N294" s="1609">
        <f ca="1">N295-N293</f>
        <v>8440.4031863249984</v>
      </c>
      <c r="O294" s="1609">
        <f ca="1">O295-O293</f>
        <v>8171.7049039980011</v>
      </c>
      <c r="P294" s="1734">
        <f ca="1">-MIN(P287,P293)*0.05</f>
        <v>203.5187401141344</v>
      </c>
      <c r="Q294" s="1734">
        <f ca="1">-MIN(Q287,Q293)*0.01</f>
        <v>37.592562443811055</v>
      </c>
      <c r="R294" s="1734">
        <f t="shared" ref="R294" ca="1" si="548">-MIN(R287,R293)*0.01</f>
        <v>8.0583291516008835</v>
      </c>
      <c r="S294" s="1734">
        <f t="shared" ref="S294" ca="1" si="549">-MIN(S287,S293)*0.01</f>
        <v>-53.773772974483386</v>
      </c>
      <c r="T294" s="1734">
        <f t="shared" ref="T294" ca="1" si="550">-MIN(T287,T293)*0.01</f>
        <v>-141.71604542786048</v>
      </c>
      <c r="U294" s="1734">
        <f t="shared" ref="U294" ca="1" si="551">-MIN(U287,U293)*0.01</f>
        <v>-253.21522983210482</v>
      </c>
      <c r="V294" s="1734"/>
      <c r="W294" s="999"/>
      <c r="X294" s="999"/>
      <c r="Y294" s="999"/>
      <c r="Z294" s="999"/>
      <c r="AA294" s="999"/>
      <c r="AB294" s="999"/>
      <c r="AC294" s="1189"/>
      <c r="AD294" s="1189"/>
      <c r="AE294" s="1189"/>
      <c r="AF294" s="1189"/>
      <c r="AG294" s="1189"/>
      <c r="AH294" s="1189"/>
      <c r="AI294" s="1189"/>
      <c r="AJ294" s="999"/>
      <c r="AK294" s="999"/>
      <c r="AL294" s="999"/>
      <c r="AM294" s="999"/>
      <c r="AN294" s="999"/>
      <c r="AO294" s="999"/>
      <c r="AP294" s="999"/>
    </row>
    <row r="295" spans="1:42">
      <c r="A295" s="999"/>
      <c r="B295" s="1198"/>
      <c r="C295" s="1617" t="s">
        <v>640</v>
      </c>
      <c r="D295" s="1606">
        <v>293</v>
      </c>
      <c r="E295" s="1204"/>
      <c r="F295" s="1654">
        <f ca="1">G293</f>
        <v>2052.9459726810001</v>
      </c>
      <c r="G295" s="1654">
        <f ca="1">H293</f>
        <v>4788.9917467570003</v>
      </c>
      <c r="H295" s="1654">
        <f ca="1">I293</f>
        <v>5603.5059905259996</v>
      </c>
      <c r="I295" s="1654">
        <f ca="1">J293</f>
        <v>5836.4546370890002</v>
      </c>
      <c r="J295" s="1654">
        <f ca="1">K293</f>
        <v>13031.015620192</v>
      </c>
      <c r="K295" s="1654">
        <f ca="1">K29</f>
        <v>15625.180321923999</v>
      </c>
      <c r="L295" s="1654">
        <f ca="1">L29</f>
        <v>24647.474278786001</v>
      </c>
      <c r="M295" s="1654">
        <f ca="1">M29</f>
        <v>10688.138631456</v>
      </c>
      <c r="N295" s="1654">
        <f ca="1">N29</f>
        <v>19128.541817780999</v>
      </c>
      <c r="O295" s="1654">
        <f ca="1">O29</f>
        <v>27300.246721779</v>
      </c>
      <c r="P295" s="1716">
        <f ca="1">SUM(P293:P294)</f>
        <v>27503.765461893134</v>
      </c>
      <c r="Q295" s="1716">
        <f ca="1">SUM(Q293:Q294)</f>
        <v>27541.358024336943</v>
      </c>
      <c r="R295" s="1716">
        <f t="shared" ref="R295" ca="1" si="552">SUM(R293:R294)</f>
        <v>27549.416353488545</v>
      </c>
      <c r="S295" s="1716">
        <f t="shared" ref="S295" ca="1" si="553">SUM(S293:S294)</f>
        <v>27495.642580514061</v>
      </c>
      <c r="T295" s="1716">
        <f t="shared" ref="T295" ca="1" si="554">SUM(T293:T294)</f>
        <v>27353.926535086201</v>
      </c>
      <c r="U295" s="1716">
        <f t="shared" ref="U295" ca="1" si="555">SUM(U293:U294)</f>
        <v>27100.711305254095</v>
      </c>
      <c r="V295" s="1716"/>
      <c r="W295" s="999"/>
      <c r="X295" s="999"/>
      <c r="Y295" s="999"/>
      <c r="Z295" s="999"/>
      <c r="AA295" s="999"/>
      <c r="AB295" s="999"/>
      <c r="AC295" s="1189"/>
      <c r="AD295" s="1189"/>
      <c r="AE295" s="1189"/>
      <c r="AF295" s="1189"/>
      <c r="AG295" s="1189"/>
      <c r="AH295" s="1189"/>
      <c r="AI295" s="1189"/>
      <c r="AJ295" s="999"/>
      <c r="AK295" s="999"/>
      <c r="AL295" s="999"/>
      <c r="AM295" s="999"/>
      <c r="AN295" s="999"/>
      <c r="AO295" s="999"/>
      <c r="AP295" s="999"/>
    </row>
    <row r="296" spans="1:42">
      <c r="A296" s="999">
        <v>9</v>
      </c>
      <c r="B296" s="1198"/>
      <c r="C296" s="999"/>
      <c r="D296" s="1606">
        <v>294</v>
      </c>
      <c r="E296" s="1192"/>
      <c r="F296" s="1192"/>
      <c r="G296" s="1192"/>
      <c r="H296" s="1192"/>
      <c r="I296" s="1192"/>
      <c r="J296" s="1192"/>
      <c r="K296" s="1192"/>
      <c r="L296" s="1192"/>
      <c r="M296" s="1192"/>
      <c r="N296" s="1192"/>
      <c r="O296" s="1192"/>
      <c r="P296" s="999"/>
      <c r="Q296" s="999"/>
      <c r="R296" s="999"/>
      <c r="S296" s="999"/>
      <c r="T296" s="999"/>
      <c r="U296" s="999"/>
      <c r="V296" s="999"/>
      <c r="W296" s="999"/>
      <c r="X296" s="999"/>
      <c r="Y296" s="999"/>
      <c r="Z296" s="999"/>
      <c r="AA296" s="999"/>
      <c r="AB296" s="999"/>
      <c r="AC296" s="1189"/>
      <c r="AD296" s="1189"/>
      <c r="AE296" s="1189"/>
      <c r="AF296" s="1189"/>
      <c r="AG296" s="1189"/>
      <c r="AH296" s="1189"/>
      <c r="AI296" s="1189"/>
      <c r="AJ296" s="999"/>
      <c r="AK296" s="999"/>
      <c r="AL296" s="999"/>
      <c r="AM296" s="999"/>
      <c r="AN296" s="999"/>
      <c r="AO296" s="999"/>
      <c r="AP296" s="999"/>
    </row>
    <row r="297" spans="1:42">
      <c r="A297" s="1000"/>
      <c r="B297" s="1198"/>
      <c r="C297" s="1222" t="str">
        <f>"Ratio - "&amp;Company_Name</f>
        <v>Ratio - Phu Nhuan Jewelry</v>
      </c>
      <c r="D297" s="1606">
        <v>295</v>
      </c>
      <c r="E297" s="1233"/>
      <c r="F297" s="1239">
        <f t="shared" ref="F297:Q297" si="556">F1</f>
        <v>2015</v>
      </c>
      <c r="G297" s="1239">
        <f t="shared" si="556"/>
        <v>2016</v>
      </c>
      <c r="H297" s="1239">
        <f t="shared" si="556"/>
        <v>2017</v>
      </c>
      <c r="I297" s="1239">
        <f t="shared" si="556"/>
        <v>2018</v>
      </c>
      <c r="J297" s="1239">
        <f t="shared" si="556"/>
        <v>2019</v>
      </c>
      <c r="K297" s="1239">
        <f t="shared" si="556"/>
        <v>2020</v>
      </c>
      <c r="L297" s="1239">
        <f>L1</f>
        <v>2021</v>
      </c>
      <c r="M297" s="1239">
        <f t="shared" si="556"/>
        <v>2022</v>
      </c>
      <c r="N297" s="1239">
        <f>N1</f>
        <v>2023</v>
      </c>
      <c r="O297" s="1239">
        <f>O1</f>
        <v>2024</v>
      </c>
      <c r="P297" s="1229">
        <f t="shared" si="556"/>
        <v>2025</v>
      </c>
      <c r="Q297" s="1229">
        <f t="shared" si="556"/>
        <v>2026</v>
      </c>
      <c r="R297" s="1229">
        <f t="shared" ref="R297" si="557">R1</f>
        <v>2027</v>
      </c>
      <c r="S297" s="1229">
        <f t="shared" ref="S297:U297" si="558">S1</f>
        <v>2028</v>
      </c>
      <c r="T297" s="1229">
        <f t="shared" si="558"/>
        <v>2029</v>
      </c>
      <c r="U297" s="1229">
        <f t="shared" si="558"/>
        <v>2030</v>
      </c>
      <c r="V297" s="1229"/>
      <c r="W297" s="999"/>
      <c r="X297" s="999"/>
      <c r="Y297" s="999"/>
      <c r="Z297" s="999"/>
      <c r="AA297" s="999"/>
      <c r="AB297" s="999"/>
      <c r="AC297" s="1189"/>
      <c r="AD297" s="1189"/>
      <c r="AE297" s="1189"/>
      <c r="AF297" s="1189"/>
      <c r="AG297" s="1189"/>
      <c r="AH297" s="1189"/>
      <c r="AI297" s="1189"/>
      <c r="AJ297" s="999"/>
      <c r="AK297" s="999"/>
      <c r="AL297" s="999"/>
      <c r="AM297" s="999"/>
      <c r="AN297" s="999"/>
      <c r="AO297" s="999"/>
      <c r="AP297" s="999"/>
    </row>
    <row r="298" spans="1:42" s="5" customFormat="1">
      <c r="A298" s="999"/>
      <c r="B298" s="1019" t="s">
        <v>361</v>
      </c>
      <c r="C298" s="1811" t="s">
        <v>361</v>
      </c>
      <c r="D298" s="1606">
        <v>296</v>
      </c>
      <c r="E298" s="1812"/>
      <c r="F298" s="1813"/>
      <c r="G298" s="1813"/>
      <c r="H298" s="1814"/>
      <c r="I298" s="1814"/>
      <c r="J298" s="1814"/>
      <c r="K298" s="1814"/>
      <c r="L298" s="1814"/>
      <c r="M298" s="1814"/>
      <c r="N298" s="1814"/>
      <c r="O298" s="1814"/>
      <c r="P298" s="1815"/>
      <c r="Q298" s="1815"/>
      <c r="R298" s="1815"/>
      <c r="S298" s="1815"/>
      <c r="T298" s="1815"/>
      <c r="U298" s="1815"/>
      <c r="V298" s="1815"/>
      <c r="W298" s="1000"/>
      <c r="X298" s="1000"/>
      <c r="Y298" s="1000"/>
      <c r="Z298" s="1000"/>
      <c r="AA298" s="1000"/>
      <c r="AB298" s="1000"/>
      <c r="AC298" s="1206"/>
      <c r="AD298" s="1206"/>
      <c r="AE298" s="1206"/>
      <c r="AF298" s="1206"/>
      <c r="AG298" s="1206"/>
      <c r="AH298" s="1206"/>
      <c r="AI298" s="1206"/>
      <c r="AJ298" s="1000"/>
      <c r="AK298" s="1000"/>
      <c r="AL298" s="1000"/>
      <c r="AM298" s="1000"/>
      <c r="AN298" s="1000"/>
      <c r="AO298" s="1000"/>
      <c r="AP298" s="1000"/>
    </row>
    <row r="299" spans="1:42">
      <c r="A299" s="999"/>
      <c r="B299" s="1001" t="s">
        <v>363</v>
      </c>
      <c r="C299" s="1816" t="s">
        <v>363</v>
      </c>
      <c r="D299" s="1606">
        <v>297</v>
      </c>
      <c r="E299" s="1817"/>
      <c r="F299" s="1818">
        <f t="shared" ref="F299:Q299" ca="1" si="559">F5/F26</f>
        <v>1.2915436405571044</v>
      </c>
      <c r="G299" s="1818">
        <f t="shared" ca="1" si="559"/>
        <v>1.1158217420346821</v>
      </c>
      <c r="H299" s="1818">
        <f t="shared" ca="1" si="559"/>
        <v>1.2003998675125622</v>
      </c>
      <c r="I299" s="1818">
        <f t="shared" ca="1" si="559"/>
        <v>1.3035545938160629</v>
      </c>
      <c r="J299" s="1818">
        <f t="shared" ca="1" si="559"/>
        <v>1.2309769189530197</v>
      </c>
      <c r="K299" s="1818">
        <f t="shared" ca="1" si="559"/>
        <v>1.2683224377538875</v>
      </c>
      <c r="L299" s="1818">
        <f ca="1">L5/L26</f>
        <v>1.219802879523527</v>
      </c>
      <c r="M299" s="1818">
        <f ca="1">M5/M26</f>
        <v>1.7165573326125994</v>
      </c>
      <c r="N299" s="1818">
        <f ca="1">N5/N26</f>
        <v>1.6886790539931402</v>
      </c>
      <c r="O299" s="1818">
        <f ca="1">O5/O26</f>
        <v>1.5624387985617412</v>
      </c>
      <c r="P299" s="1819">
        <f t="shared" ca="1" si="559"/>
        <v>1.6425289388256328</v>
      </c>
      <c r="Q299" s="1819">
        <f t="shared" ca="1" si="559"/>
        <v>1.7447644598534915</v>
      </c>
      <c r="R299" s="1819">
        <f t="shared" ref="R299" ca="1" si="560">R5/R26</f>
        <v>1.8771250730463178</v>
      </c>
      <c r="S299" s="1819">
        <f t="shared" ref="S299:U299" ca="1" si="561">S5/S26</f>
        <v>2.078809215062984</v>
      </c>
      <c r="T299" s="1819">
        <f t="shared" ca="1" si="561"/>
        <v>2.2271277423078932</v>
      </c>
      <c r="U299" s="1819">
        <f t="shared" ca="1" si="561"/>
        <v>2.38197759127699</v>
      </c>
      <c r="V299" s="1819"/>
      <c r="W299" s="999"/>
      <c r="X299" s="999"/>
      <c r="Y299" s="999"/>
      <c r="Z299" s="999"/>
      <c r="AA299" s="999"/>
      <c r="AB299" s="999"/>
      <c r="AC299" s="1189"/>
      <c r="AD299" s="1189"/>
      <c r="AE299" s="1189"/>
      <c r="AF299" s="1189"/>
      <c r="AG299" s="1189"/>
      <c r="AH299" s="1189"/>
      <c r="AI299" s="1189"/>
      <c r="AJ299" s="999"/>
      <c r="AK299" s="999"/>
      <c r="AL299" s="999"/>
      <c r="AM299" s="999"/>
      <c r="AN299" s="999"/>
      <c r="AO299" s="999"/>
      <c r="AP299" s="999"/>
    </row>
    <row r="300" spans="1:42">
      <c r="A300" s="999"/>
      <c r="B300" s="1001" t="s">
        <v>366</v>
      </c>
      <c r="C300" s="1816" t="s">
        <v>366</v>
      </c>
      <c r="D300" s="1606">
        <v>298</v>
      </c>
      <c r="E300" s="1817"/>
      <c r="F300" s="1820">
        <f t="shared" ref="F300:Q300" ca="1" si="562">(F7+F8+F9)/F26</f>
        <v>0.20496716827737377</v>
      </c>
      <c r="G300" s="1820">
        <f t="shared" ca="1" si="562"/>
        <v>0.21861863203447948</v>
      </c>
      <c r="H300" s="1820">
        <f t="shared" ca="1" si="562"/>
        <v>0.39308285175068808</v>
      </c>
      <c r="I300" s="1820">
        <f t="shared" ca="1" si="562"/>
        <v>0.29800175192062378</v>
      </c>
      <c r="J300" s="1820">
        <f t="shared" ca="1" si="562"/>
        <v>0.28363752103024614</v>
      </c>
      <c r="K300" s="1820">
        <f t="shared" ca="1" si="562"/>
        <v>0.57780336385509012</v>
      </c>
      <c r="L300" s="1820">
        <f ca="1">(L7+L8+L9)/L26</f>
        <v>0.50573295496490511</v>
      </c>
      <c r="M300" s="1820">
        <f ca="1">(M7+M8+M9)/M26</f>
        <v>0.69968843472115327</v>
      </c>
      <c r="N300" s="1820">
        <f ca="1">(N7+N8+N9)/N26</f>
        <v>0.95772902703663232</v>
      </c>
      <c r="O300" s="1820">
        <f ca="1">(O7+O8+O9)/O26</f>
        <v>1.0211013837550449</v>
      </c>
      <c r="P300" s="1821">
        <f t="shared" ca="1" si="562"/>
        <v>1.0841941900705117</v>
      </c>
      <c r="Q300" s="1821">
        <f t="shared" ca="1" si="562"/>
        <v>1.1179218764641103</v>
      </c>
      <c r="R300" s="1821">
        <f t="shared" ref="R300" ca="1" si="563">(R7+R8+R9)/R26</f>
        <v>1.2008939315272378</v>
      </c>
      <c r="S300" s="1821">
        <f t="shared" ref="S300:U300" ca="1" si="564">(S7+S8+S9)/S26</f>
        <v>1.3318651243393345</v>
      </c>
      <c r="T300" s="1821">
        <f t="shared" ca="1" si="564"/>
        <v>1.4688644667752653</v>
      </c>
      <c r="U300" s="1821">
        <f t="shared" ca="1" si="564"/>
        <v>1.611735461367287</v>
      </c>
      <c r="V300" s="1821"/>
      <c r="W300" s="999"/>
      <c r="X300" s="999"/>
      <c r="Y300" s="999"/>
      <c r="Z300" s="999"/>
      <c r="AA300" s="999"/>
      <c r="AB300" s="999"/>
      <c r="AC300" s="1189"/>
      <c r="AD300" s="1189"/>
      <c r="AE300" s="1189"/>
      <c r="AF300" s="1189"/>
      <c r="AG300" s="1189"/>
      <c r="AH300" s="1189"/>
      <c r="AI300" s="1189"/>
      <c r="AJ300" s="999"/>
      <c r="AK300" s="999"/>
      <c r="AL300" s="999"/>
      <c r="AM300" s="999"/>
      <c r="AN300" s="999"/>
      <c r="AO300" s="999"/>
      <c r="AP300" s="999"/>
    </row>
    <row r="301" spans="1:42">
      <c r="A301" s="999"/>
      <c r="B301" s="1198"/>
      <c r="C301" s="1816"/>
      <c r="D301" s="1606">
        <v>299</v>
      </c>
      <c r="E301" s="1817"/>
      <c r="F301" s="1822"/>
      <c r="G301" s="1822"/>
      <c r="H301" s="1822"/>
      <c r="I301" s="1822"/>
      <c r="J301" s="1822"/>
      <c r="K301" s="1822"/>
      <c r="L301" s="1822"/>
      <c r="M301" s="1822"/>
      <c r="N301" s="1822"/>
      <c r="O301" s="1822"/>
      <c r="P301" s="1823"/>
      <c r="Q301" s="1823"/>
      <c r="R301" s="1823"/>
      <c r="S301" s="1823"/>
      <c r="T301" s="1823"/>
      <c r="U301" s="1823"/>
      <c r="V301" s="1823"/>
      <c r="W301" s="999"/>
      <c r="X301" s="999"/>
      <c r="Y301" s="999"/>
      <c r="Z301" s="999"/>
      <c r="AA301" s="999"/>
      <c r="AB301" s="999"/>
      <c r="AC301" s="1189"/>
      <c r="AD301" s="1189"/>
      <c r="AE301" s="1189"/>
      <c r="AF301" s="1189"/>
      <c r="AG301" s="1189"/>
      <c r="AH301" s="1189"/>
      <c r="AI301" s="1189"/>
      <c r="AJ301" s="999"/>
      <c r="AK301" s="999"/>
      <c r="AL301" s="999"/>
      <c r="AM301" s="999"/>
      <c r="AN301" s="999"/>
      <c r="AO301" s="999"/>
      <c r="AP301" s="999"/>
    </row>
    <row r="302" spans="1:42">
      <c r="A302" s="999"/>
      <c r="B302" s="1019" t="s">
        <v>371</v>
      </c>
      <c r="C302" s="1816" t="s">
        <v>371</v>
      </c>
      <c r="D302" s="1606">
        <v>300</v>
      </c>
      <c r="E302" s="1817"/>
      <c r="F302" s="1822"/>
      <c r="G302" s="1822"/>
      <c r="H302" s="1822"/>
      <c r="I302" s="1822"/>
      <c r="J302" s="1822"/>
      <c r="K302" s="1822"/>
      <c r="L302" s="1822"/>
      <c r="M302" s="1822"/>
      <c r="N302" s="1822"/>
      <c r="O302" s="1822"/>
      <c r="P302" s="1823"/>
      <c r="Q302" s="1823"/>
      <c r="R302" s="1823"/>
      <c r="S302" s="1823"/>
      <c r="T302" s="1823"/>
      <c r="U302" s="1823"/>
      <c r="V302" s="1823"/>
      <c r="W302" s="999"/>
      <c r="X302" s="999"/>
      <c r="Y302" s="999"/>
      <c r="Z302" s="999"/>
      <c r="AA302" s="999"/>
      <c r="AB302" s="999"/>
      <c r="AC302" s="1189"/>
      <c r="AD302" s="1189"/>
      <c r="AE302" s="1189"/>
      <c r="AF302" s="1189"/>
      <c r="AG302" s="1189"/>
      <c r="AH302" s="1189"/>
      <c r="AI302" s="1189"/>
      <c r="AJ302" s="999"/>
      <c r="AK302" s="999"/>
      <c r="AL302" s="999"/>
      <c r="AM302" s="999"/>
      <c r="AN302" s="999"/>
      <c r="AO302" s="999"/>
      <c r="AP302" s="999"/>
    </row>
    <row r="303" spans="1:42">
      <c r="A303" s="999"/>
      <c r="B303" s="1001" t="s">
        <v>374</v>
      </c>
      <c r="C303" s="1816" t="s">
        <v>374</v>
      </c>
      <c r="D303" s="1606">
        <v>301</v>
      </c>
      <c r="E303" s="1817"/>
      <c r="F303" s="1824">
        <f t="shared" ref="F303:Q303" ca="1" si="565">(F$29+F$36)/F3</f>
        <v>0.28255066799597139</v>
      </c>
      <c r="G303" s="1824">
        <f t="shared" ca="1" si="565"/>
        <v>0.32239847050244486</v>
      </c>
      <c r="H303" s="1824">
        <f t="shared" ca="1" si="565"/>
        <v>0.29810012193137886</v>
      </c>
      <c r="I303" s="1824">
        <f t="shared" ca="1" si="565"/>
        <v>0.25049742697489868</v>
      </c>
      <c r="J303" s="1824">
        <f t="shared" ca="1" si="565"/>
        <v>0.3393382532083844</v>
      </c>
      <c r="K303" s="1824">
        <f t="shared" ca="1" si="565"/>
        <v>0.36392649903456648</v>
      </c>
      <c r="L303" s="1824">
        <f ca="1">(L$29+L$36)/L3</f>
        <v>0.3914074070797543</v>
      </c>
      <c r="M303" s="1824">
        <f ca="1">(M$29+M$36)/M3</f>
        <v>0.29711871414954066</v>
      </c>
      <c r="N303" s="1824">
        <f ca="1">(N$29+N$36)/N3</f>
        <v>0.41781198183894624</v>
      </c>
      <c r="O303" s="1824">
        <f ca="1">(O$29+O$36)/O3</f>
        <v>0.38878878331327738</v>
      </c>
      <c r="P303" s="1825">
        <f t="shared" ca="1" si="565"/>
        <v>0.35692528169272736</v>
      </c>
      <c r="Q303" s="1825">
        <f t="shared" ca="1" si="565"/>
        <v>0.3131643226118091</v>
      </c>
      <c r="R303" s="1825">
        <f t="shared" ref="R303" ca="1" si="566">(R$29+R$36)/R3</f>
        <v>0.27526024031205121</v>
      </c>
      <c r="S303" s="1825">
        <f t="shared" ref="S303:U303" ca="1" si="567">(S$29+S$36)/S3</f>
        <v>0.24049944777860849</v>
      </c>
      <c r="T303" s="1825">
        <f t="shared" ca="1" si="567"/>
        <v>0.20838313453331769</v>
      </c>
      <c r="U303" s="1825">
        <f t="shared" ca="1" si="567"/>
        <v>0.17948368619966201</v>
      </c>
      <c r="V303" s="1825"/>
      <c r="W303" s="999"/>
      <c r="X303" s="999"/>
      <c r="Y303" s="999"/>
      <c r="Z303" s="999"/>
      <c r="AA303" s="999"/>
      <c r="AB303" s="999"/>
      <c r="AC303" s="1189"/>
      <c r="AD303" s="1189"/>
      <c r="AE303" s="1189"/>
      <c r="AF303" s="1189"/>
      <c r="AG303" s="1189"/>
      <c r="AH303" s="1189"/>
      <c r="AI303" s="1189"/>
      <c r="AJ303" s="999"/>
      <c r="AK303" s="999"/>
      <c r="AL303" s="999"/>
      <c r="AM303" s="999"/>
      <c r="AN303" s="999"/>
      <c r="AO303" s="999"/>
      <c r="AP303" s="999"/>
    </row>
    <row r="304" spans="1:42">
      <c r="A304" s="999"/>
      <c r="B304" s="1001" t="s">
        <v>377</v>
      </c>
      <c r="C304" s="1816" t="s">
        <v>377</v>
      </c>
      <c r="D304" s="1606">
        <v>302</v>
      </c>
      <c r="E304" s="1817"/>
      <c r="F304" s="1824">
        <f t="shared" ref="F304:Q304" ca="1" si="568">(F$29+F$36)/F43</f>
        <v>0.82716246826559392</v>
      </c>
      <c r="G304" s="1824">
        <f t="shared" ca="1" si="568"/>
        <v>1.2474445775064289</v>
      </c>
      <c r="H304" s="1824">
        <f t="shared" ca="1" si="568"/>
        <v>1.1519264510810061</v>
      </c>
      <c r="I304" s="1824">
        <f t="shared" ca="1" si="568"/>
        <v>0.78475992023794072</v>
      </c>
      <c r="J304" s="1824">
        <f t="shared" ca="1" si="568"/>
        <v>1.1662309150879306</v>
      </c>
      <c r="K304" s="1824">
        <f t="shared" ca="1" si="568"/>
        <v>1.0820431848683318</v>
      </c>
      <c r="L304" s="1824">
        <f ca="1">(L$29+L$36)/L43</f>
        <v>1.209499300330964</v>
      </c>
      <c r="M304" s="1824">
        <f ca="1">(M$29+M$36)/M43</f>
        <v>0.69317171736249239</v>
      </c>
      <c r="N304" s="1824">
        <f ca="1">(N$29+N$36)/N43</f>
        <v>1.075097048193113</v>
      </c>
      <c r="O304" s="1824">
        <f ca="1">(O$29+O$36)/O43</f>
        <v>0.97079359712933</v>
      </c>
      <c r="P304" s="1825">
        <f t="shared" ca="1" si="568"/>
        <v>0.84392186517414269</v>
      </c>
      <c r="Q304" s="1825">
        <f t="shared" ca="1" si="568"/>
        <v>0.69200414005089272</v>
      </c>
      <c r="R304" s="1825">
        <f t="shared" ref="R304" ca="1" si="569">(R$29+R$36)/R43</f>
        <v>0.56366254263816373</v>
      </c>
      <c r="S304" s="1825">
        <f t="shared" ref="S304:U304" ca="1" si="570">(S$29+S$36)/S43</f>
        <v>0.46022874409309616</v>
      </c>
      <c r="T304" s="1825">
        <f t="shared" ca="1" si="570"/>
        <v>0.3761933372330693</v>
      </c>
      <c r="U304" s="1825">
        <f t="shared" ca="1" si="570"/>
        <v>0.3080915729083808</v>
      </c>
      <c r="V304" s="1825"/>
      <c r="W304" s="999"/>
      <c r="X304" s="999"/>
      <c r="Y304" s="999"/>
      <c r="Z304" s="999"/>
      <c r="AA304" s="999"/>
      <c r="AB304" s="999"/>
      <c r="AC304" s="1189"/>
      <c r="AD304" s="1189"/>
      <c r="AE304" s="1189"/>
      <c r="AF304" s="1189"/>
      <c r="AG304" s="1189"/>
      <c r="AH304" s="1189"/>
      <c r="AI304" s="1189"/>
      <c r="AJ304" s="999"/>
      <c r="AK304" s="999"/>
      <c r="AL304" s="999"/>
      <c r="AM304" s="999"/>
      <c r="AN304" s="999"/>
      <c r="AO304" s="999"/>
      <c r="AP304" s="999"/>
    </row>
    <row r="305" spans="1:42">
      <c r="A305" s="999"/>
      <c r="B305" s="1198"/>
      <c r="C305" s="1816"/>
      <c r="D305" s="1606">
        <v>303</v>
      </c>
      <c r="E305" s="1817"/>
      <c r="F305" s="1822"/>
      <c r="G305" s="1822"/>
      <c r="H305" s="1822"/>
      <c r="I305" s="1822"/>
      <c r="J305" s="1822"/>
      <c r="K305" s="1822"/>
      <c r="L305" s="1822"/>
      <c r="M305" s="1822"/>
      <c r="N305" s="1822"/>
      <c r="O305" s="1822"/>
      <c r="P305" s="1823"/>
      <c r="Q305" s="1823"/>
      <c r="R305" s="1823"/>
      <c r="S305" s="1823"/>
      <c r="T305" s="1823"/>
      <c r="U305" s="1823"/>
      <c r="V305" s="1823"/>
      <c r="W305" s="999"/>
      <c r="X305" s="999"/>
      <c r="Y305" s="999"/>
      <c r="Z305" s="999"/>
      <c r="AA305" s="999"/>
      <c r="AB305" s="999"/>
      <c r="AC305" s="1189"/>
      <c r="AD305" s="1189"/>
      <c r="AE305" s="1189"/>
      <c r="AF305" s="1189"/>
      <c r="AG305" s="1189"/>
      <c r="AH305" s="1189"/>
      <c r="AI305" s="1189"/>
      <c r="AJ305" s="999"/>
      <c r="AK305" s="999"/>
      <c r="AL305" s="999"/>
      <c r="AM305" s="999"/>
      <c r="AN305" s="999"/>
      <c r="AO305" s="999"/>
      <c r="AP305" s="999"/>
    </row>
    <row r="306" spans="1:42">
      <c r="A306" s="999"/>
      <c r="B306" s="1019" t="s">
        <v>669</v>
      </c>
      <c r="C306" s="1816" t="s">
        <v>669</v>
      </c>
      <c r="D306" s="1606">
        <v>304</v>
      </c>
      <c r="E306" s="1817"/>
      <c r="F306" s="1822"/>
      <c r="G306" s="1822"/>
      <c r="H306" s="1822"/>
      <c r="I306" s="1822"/>
      <c r="J306" s="1822"/>
      <c r="K306" s="1822"/>
      <c r="L306" s="1822"/>
      <c r="M306" s="1822"/>
      <c r="N306" s="1822"/>
      <c r="O306" s="1822"/>
      <c r="P306" s="1823"/>
      <c r="Q306" s="1823"/>
      <c r="R306" s="1823"/>
      <c r="S306" s="1823"/>
      <c r="T306" s="1823"/>
      <c r="U306" s="1823"/>
      <c r="V306" s="1823"/>
      <c r="W306" s="999"/>
      <c r="X306" s="999"/>
      <c r="Y306" s="999"/>
      <c r="Z306" s="999"/>
      <c r="AA306" s="999"/>
      <c r="AB306" s="999"/>
      <c r="AC306" s="1189"/>
      <c r="AD306" s="1189"/>
      <c r="AE306" s="1189"/>
      <c r="AF306" s="1189"/>
      <c r="AG306" s="1189"/>
      <c r="AH306" s="1189"/>
      <c r="AI306" s="1189"/>
      <c r="AJ306" s="999"/>
      <c r="AK306" s="999"/>
      <c r="AL306" s="999"/>
      <c r="AM306" s="999"/>
      <c r="AN306" s="999"/>
      <c r="AO306" s="999"/>
      <c r="AP306" s="999"/>
    </row>
    <row r="307" spans="1:42">
      <c r="A307" s="999"/>
      <c r="B307" s="1001" t="s">
        <v>390</v>
      </c>
      <c r="C307" s="1816" t="s">
        <v>390</v>
      </c>
      <c r="D307" s="1606">
        <v>305</v>
      </c>
      <c r="E307" s="1817"/>
      <c r="F307" s="1824">
        <f t="shared" ref="F307:Q307" si="571">F72</f>
        <v>0.15532698506594389</v>
      </c>
      <c r="G307" s="1824">
        <f t="shared" si="571"/>
        <v>0.16170292332654898</v>
      </c>
      <c r="H307" s="1824">
        <f t="shared" si="571"/>
        <v>0.16795013796945615</v>
      </c>
      <c r="I307" s="1824">
        <f t="shared" si="571"/>
        <v>0.17675432329432134</v>
      </c>
      <c r="J307" s="1824">
        <f t="shared" si="571"/>
        <v>0.19073103499694744</v>
      </c>
      <c r="K307" s="1824">
        <f t="shared" si="571"/>
        <v>0.22068517432791743</v>
      </c>
      <c r="L307" s="1824">
        <f>L72</f>
        <v>0.22472802217974888</v>
      </c>
      <c r="M307" s="1824">
        <f ca="1">M72</f>
        <v>0.23074296911232317</v>
      </c>
      <c r="N307" s="1824">
        <f>N72</f>
        <v>0.19040119582403459</v>
      </c>
      <c r="O307" s="1824">
        <f>O72</f>
        <v>0.20469684451770898</v>
      </c>
      <c r="P307" s="1825">
        <f t="shared" ca="1" si="571"/>
        <v>0.19635636031741605</v>
      </c>
      <c r="Q307" s="1825">
        <f t="shared" ca="1" si="571"/>
        <v>0.20061970470619181</v>
      </c>
      <c r="R307" s="1825">
        <f t="shared" ref="R307" ca="1" si="572">R72</f>
        <v>0.20469619888577628</v>
      </c>
      <c r="S307" s="1825">
        <f t="shared" ref="S307:U307" ca="1" si="573">S72</f>
        <v>0.20755550729663999</v>
      </c>
      <c r="T307" s="1825">
        <f t="shared" ca="1" si="573"/>
        <v>0.20970572248189295</v>
      </c>
      <c r="U307" s="1825">
        <f t="shared" ca="1" si="573"/>
        <v>0.21128519292495929</v>
      </c>
      <c r="V307" s="1825"/>
      <c r="W307" s="999"/>
      <c r="X307" s="999"/>
      <c r="Y307" s="999"/>
      <c r="Z307" s="999"/>
      <c r="AA307" s="999"/>
      <c r="AB307" s="999"/>
      <c r="AC307" s="1189"/>
      <c r="AD307" s="1189"/>
      <c r="AE307" s="1189"/>
      <c r="AF307" s="1189"/>
      <c r="AG307" s="1189"/>
      <c r="AH307" s="1189"/>
      <c r="AI307" s="1189"/>
      <c r="AJ307" s="999"/>
      <c r="AK307" s="999"/>
      <c r="AL307" s="999"/>
      <c r="AM307" s="999"/>
      <c r="AN307" s="999"/>
      <c r="AO307" s="999"/>
      <c r="AP307" s="999"/>
    </row>
    <row r="308" spans="1:42">
      <c r="A308" s="999"/>
      <c r="B308" s="1001" t="s">
        <v>393</v>
      </c>
      <c r="C308" s="1816" t="s">
        <v>393</v>
      </c>
      <c r="D308" s="1606">
        <v>306</v>
      </c>
      <c r="E308" s="1817"/>
      <c r="F308" s="1824">
        <f t="shared" ref="F308:P308" si="574">F106</f>
        <v>4.2446634035031329E-2</v>
      </c>
      <c r="G308" s="1824">
        <f t="shared" si="574"/>
        <v>3.5356525321724078E-2</v>
      </c>
      <c r="H308" s="1824">
        <f t="shared" si="574"/>
        <v>3.3248208331010831E-2</v>
      </c>
      <c r="I308" s="1824">
        <f t="shared" si="574"/>
        <v>3.327378266735892E-2</v>
      </c>
      <c r="J308" s="1824">
        <f t="shared" si="574"/>
        <v>3.7526771892929377E-2</v>
      </c>
      <c r="K308" s="1824">
        <f t="shared" si="574"/>
        <v>3.612730097996926E-2</v>
      </c>
      <c r="L308" s="1824">
        <f>L106</f>
        <v>3.9859753326010966E-2</v>
      </c>
      <c r="M308" s="1824">
        <f ca="1">M106</f>
        <v>3.0731754757487999E-2</v>
      </c>
      <c r="N308" s="1824">
        <f>N106</f>
        <v>1.4175658825020796E-3</v>
      </c>
      <c r="O308" s="1824">
        <f>O106</f>
        <v>2.7704604008050183E-2</v>
      </c>
      <c r="P308" s="1825">
        <f t="shared" ca="1" si="574"/>
        <v>4.2341824697263795E-2</v>
      </c>
      <c r="Q308" s="1825">
        <f ca="1">Q106</f>
        <v>4.4329706873501427E-2</v>
      </c>
      <c r="R308" s="1825">
        <f t="shared" ref="R308" ca="1" si="575">R106</f>
        <v>4.6852670489491828E-2</v>
      </c>
      <c r="S308" s="1825">
        <f t="shared" ref="S308:U308" ca="1" si="576">S106</f>
        <v>4.7578041727476685E-2</v>
      </c>
      <c r="T308" s="1825">
        <f t="shared" ca="1" si="576"/>
        <v>4.9976111721205398E-2</v>
      </c>
      <c r="U308" s="1825">
        <f t="shared" ca="1" si="576"/>
        <v>5.2875161676606081E-2</v>
      </c>
      <c r="V308" s="1825"/>
      <c r="W308" s="999"/>
      <c r="X308" s="999"/>
      <c r="Y308" s="999"/>
      <c r="Z308" s="999"/>
      <c r="AA308" s="999"/>
      <c r="AB308" s="999"/>
      <c r="AC308" s="1189"/>
      <c r="AD308" s="1189"/>
      <c r="AE308" s="1189"/>
      <c r="AF308" s="1189"/>
      <c r="AG308" s="1189"/>
      <c r="AH308" s="1189"/>
      <c r="AI308" s="1189"/>
      <c r="AJ308" s="999"/>
      <c r="AK308" s="999"/>
      <c r="AL308" s="999"/>
      <c r="AM308" s="999"/>
      <c r="AN308" s="999"/>
      <c r="AO308" s="999"/>
      <c r="AP308" s="999"/>
    </row>
    <row r="309" spans="1:42" s="1251" customFormat="1">
      <c r="A309" s="1826"/>
      <c r="B309" s="1250" t="s">
        <v>398</v>
      </c>
      <c r="C309" s="1827" t="s">
        <v>398</v>
      </c>
      <c r="D309" s="1828">
        <v>307</v>
      </c>
      <c r="E309" s="1829"/>
      <c r="F309" s="1830">
        <f t="shared" ref="F309:Q309" ca="1" si="577">F104/F43</f>
        <v>0.4318818424949078</v>
      </c>
      <c r="G309" s="1830">
        <f t="shared" ca="1" si="577"/>
        <v>0.41087660701800494</v>
      </c>
      <c r="H309" s="1830">
        <f t="shared" ca="1" si="577"/>
        <v>0.37345535314717387</v>
      </c>
      <c r="I309" s="1830">
        <f t="shared" ca="1" si="577"/>
        <v>0.32068539528706491</v>
      </c>
      <c r="J309" s="1830">
        <f t="shared" ca="1" si="577"/>
        <v>0.31594683586506883</v>
      </c>
      <c r="K309" s="1830">
        <f t="shared" ca="1" si="577"/>
        <v>0.25329758970295913</v>
      </c>
      <c r="L309" s="1830">
        <f ca="1">L104/L43</f>
        <v>0.24050547720068927</v>
      </c>
      <c r="M309" s="1830">
        <f ca="1">M104/M43</f>
        <v>0.17130467201351224</v>
      </c>
      <c r="N309" s="1830">
        <f ca="1">N104/N43</f>
        <v>7.1777639345075826E-3</v>
      </c>
      <c r="O309" s="1830">
        <f ca="1">O104/O43</f>
        <v>0.1323492087578749</v>
      </c>
      <c r="P309" s="1833">
        <f t="shared" ca="1" si="577"/>
        <v>0.20734330988894184</v>
      </c>
      <c r="Q309" s="1833">
        <f t="shared" ca="1" si="577"/>
        <v>0.21607965967536477</v>
      </c>
      <c r="R309" s="1833">
        <f t="shared" ref="R309" ca="1" si="578">R104/R43</f>
        <v>0.21338404867481348</v>
      </c>
      <c r="S309" s="1833">
        <f t="shared" ref="S309:U309" ca="1" si="579">S104/S43</f>
        <v>0.20425846739592166</v>
      </c>
      <c r="T309" s="1833">
        <f t="shared" ca="1" si="579"/>
        <v>0.19616226978346005</v>
      </c>
      <c r="U309" s="1833">
        <f t="shared" ca="1" si="579"/>
        <v>0.18758529713959246</v>
      </c>
      <c r="V309" s="1831"/>
      <c r="W309" s="1826"/>
      <c r="X309" s="1826"/>
      <c r="Y309" s="1826"/>
      <c r="Z309" s="1826"/>
      <c r="AA309" s="1826"/>
      <c r="AB309" s="1826"/>
      <c r="AC309" s="1832"/>
      <c r="AD309" s="1832"/>
      <c r="AE309" s="1832"/>
      <c r="AF309" s="1832"/>
      <c r="AG309" s="1832"/>
      <c r="AH309" s="1832"/>
      <c r="AI309" s="1832"/>
      <c r="AJ309" s="1826"/>
      <c r="AK309" s="1826"/>
      <c r="AL309" s="1826"/>
      <c r="AM309" s="1826"/>
      <c r="AN309" s="1826"/>
      <c r="AO309" s="1826"/>
      <c r="AP309" s="1826"/>
    </row>
    <row r="310" spans="1:42" s="1251" customFormat="1">
      <c r="A310" s="1826"/>
      <c r="B310" s="1250" t="s">
        <v>400</v>
      </c>
      <c r="C310" s="1827" t="s">
        <v>400</v>
      </c>
      <c r="D310" s="1828">
        <v>308</v>
      </c>
      <c r="E310" s="1829"/>
      <c r="F310" s="1830">
        <f t="shared" ref="F310:Q310" ca="1" si="580">F104/F23</f>
        <v>0.14755992752898306</v>
      </c>
      <c r="G310" s="1830">
        <f t="shared" ca="1" si="580"/>
        <v>0.10620643911511432</v>
      </c>
      <c r="H310" s="1830">
        <f t="shared" ca="1" si="580"/>
        <v>9.6656023640399491E-2</v>
      </c>
      <c r="I310" s="1830">
        <f t="shared" ca="1" si="580"/>
        <v>0.10239327750666599</v>
      </c>
      <c r="J310" s="1830">
        <f t="shared" ca="1" si="580"/>
        <v>9.1948227601360524E-2</v>
      </c>
      <c r="K310" s="1830">
        <f t="shared" ca="1" si="580"/>
        <v>8.5192260645039875E-2</v>
      </c>
      <c r="L310" s="1830">
        <f ca="1">L104/L23</f>
        <v>7.7830243633743107E-2</v>
      </c>
      <c r="M310" s="1830">
        <f ca="1">M104/M23</f>
        <v>7.3427438831649081E-2</v>
      </c>
      <c r="N310" s="1830">
        <f ca="1">N104/N23</f>
        <v>2.789528712980039E-3</v>
      </c>
      <c r="O310" s="1830">
        <f ca="1">O104/O23</f>
        <v>5.3003942339139819E-2</v>
      </c>
      <c r="P310" s="1833">
        <f t="shared" ca="1" si="580"/>
        <v>8.7693034560660341E-2</v>
      </c>
      <c r="Q310" s="1833">
        <f t="shared" ca="1" si="580"/>
        <v>9.7786178342009977E-2</v>
      </c>
      <c r="R310" s="1833">
        <f t="shared" ref="R310" ca="1" si="581">R104/R23</f>
        <v>0.10420444871514647</v>
      </c>
      <c r="S310" s="1833">
        <f t="shared" ref="S310:U310" ca="1" si="582">S104/S23</f>
        <v>0.10673833228219042</v>
      </c>
      <c r="T310" s="1833">
        <f t="shared" ca="1" si="582"/>
        <v>0.10865931054308535</v>
      </c>
      <c r="U310" s="1833">
        <f t="shared" ca="1" si="582"/>
        <v>0.10928082287237761</v>
      </c>
      <c r="V310" s="1833"/>
      <c r="W310" s="1826"/>
      <c r="X310" s="1826"/>
      <c r="Y310" s="1826"/>
      <c r="Z310" s="1826"/>
      <c r="AA310" s="1826"/>
      <c r="AB310" s="1826"/>
      <c r="AC310" s="1832"/>
      <c r="AD310" s="1832"/>
      <c r="AE310" s="1832"/>
      <c r="AF310" s="1832"/>
      <c r="AG310" s="1832"/>
      <c r="AH310" s="1832"/>
      <c r="AI310" s="1832"/>
      <c r="AJ310" s="1826"/>
      <c r="AK310" s="1826"/>
      <c r="AL310" s="1826"/>
      <c r="AM310" s="1826"/>
      <c r="AN310" s="1826"/>
      <c r="AO310" s="1826"/>
      <c r="AP310" s="1826"/>
    </row>
    <row r="311" spans="1:42">
      <c r="A311" s="999"/>
      <c r="B311" s="1198"/>
      <c r="C311" s="1834"/>
      <c r="D311" s="1606">
        <v>309</v>
      </c>
      <c r="E311" s="1817"/>
      <c r="F311" s="1822"/>
      <c r="G311" s="1822"/>
      <c r="H311" s="1822"/>
      <c r="I311" s="1822"/>
      <c r="J311" s="1822"/>
      <c r="K311" s="1822"/>
      <c r="L311" s="1822"/>
      <c r="M311" s="1822"/>
      <c r="N311" s="1822"/>
      <c r="O311" s="1822"/>
      <c r="P311" s="1823"/>
      <c r="Q311" s="1823"/>
      <c r="R311" s="1823"/>
      <c r="S311" s="1823"/>
      <c r="T311" s="1823"/>
      <c r="U311" s="1823"/>
      <c r="V311" s="1823"/>
      <c r="W311" s="999"/>
      <c r="X311" s="999"/>
      <c r="Y311" s="999"/>
      <c r="Z311" s="999"/>
      <c r="AA311" s="999"/>
      <c r="AB311" s="999"/>
      <c r="AC311" s="1189"/>
      <c r="AD311" s="1189"/>
      <c r="AE311" s="1189"/>
      <c r="AF311" s="1189"/>
      <c r="AG311" s="1189"/>
      <c r="AH311" s="1189"/>
      <c r="AI311" s="1189"/>
      <c r="AJ311" s="999"/>
      <c r="AK311" s="999"/>
      <c r="AL311" s="999"/>
      <c r="AM311" s="999"/>
      <c r="AN311" s="999"/>
      <c r="AO311" s="999"/>
      <c r="AP311" s="999"/>
    </row>
    <row r="312" spans="1:42">
      <c r="A312" s="999"/>
      <c r="B312" s="1019" t="s">
        <v>407</v>
      </c>
      <c r="C312" s="1816" t="s">
        <v>407</v>
      </c>
      <c r="D312" s="1606">
        <v>310</v>
      </c>
      <c r="E312" s="1817"/>
      <c r="F312" s="1835"/>
      <c r="G312" s="1835"/>
      <c r="H312" s="1835"/>
      <c r="I312" s="1835"/>
      <c r="J312" s="1835"/>
      <c r="K312" s="1835"/>
      <c r="L312" s="1835"/>
      <c r="M312" s="1835"/>
      <c r="N312" s="1835"/>
      <c r="O312" s="1835"/>
      <c r="P312" s="1836"/>
      <c r="Q312" s="1836"/>
      <c r="R312" s="1836"/>
      <c r="S312" s="1836"/>
      <c r="T312" s="1836"/>
      <c r="U312" s="1836"/>
      <c r="V312" s="1836"/>
      <c r="W312" s="999"/>
      <c r="X312" s="999"/>
      <c r="Y312" s="999"/>
      <c r="Z312" s="999"/>
      <c r="AA312" s="999"/>
      <c r="AB312" s="999"/>
      <c r="AC312" s="1189"/>
      <c r="AD312" s="1189"/>
      <c r="AE312" s="1189"/>
      <c r="AF312" s="1189"/>
      <c r="AG312" s="1189"/>
      <c r="AH312" s="1189"/>
      <c r="AI312" s="1189"/>
      <c r="AJ312" s="999"/>
      <c r="AK312" s="999"/>
      <c r="AL312" s="999"/>
      <c r="AM312" s="999"/>
      <c r="AN312" s="999"/>
      <c r="AO312" s="999"/>
      <c r="AP312" s="999"/>
    </row>
    <row r="313" spans="1:42" s="1251" customFormat="1">
      <c r="A313" s="1826"/>
      <c r="B313" s="1250" t="s">
        <v>409</v>
      </c>
      <c r="C313" s="1827" t="s">
        <v>409</v>
      </c>
      <c r="D313" s="1828">
        <v>311</v>
      </c>
      <c r="E313" s="1829"/>
      <c r="F313" s="1837">
        <f ca="1">Valuation!F57</f>
        <v>2823.6715401703586</v>
      </c>
      <c r="G313" s="1837">
        <f ca="1">Valuation!G57</f>
        <v>6310.1375145129241</v>
      </c>
      <c r="H313" s="1837">
        <f ca="1">Valuation!H57</f>
        <v>13328.935550817889</v>
      </c>
      <c r="I313" s="1837">
        <f ca="1">Valuation!I60</f>
        <v>10637.611357505248</v>
      </c>
      <c r="J313" s="1837">
        <f ca="1">Valuation!J60</f>
        <v>15.993563263498011</v>
      </c>
      <c r="K313" s="1837">
        <f ca="1">Valuation!K60</f>
        <v>32.999556928218858</v>
      </c>
      <c r="L313" s="1837">
        <f ca="1">Valuation!L60</f>
        <v>26.486322139296686</v>
      </c>
      <c r="M313" s="1837">
        <f ca="1">Valuation!M60</f>
        <v>31.663190527022302</v>
      </c>
      <c r="N313" s="1837">
        <f ca="1">Valuation!N60</f>
        <v>774.21153470966658</v>
      </c>
      <c r="O313" s="1837">
        <f ca="1">Valuation!O60</f>
        <v>34.878067262169921</v>
      </c>
      <c r="P313" s="1838">
        <f ca="1">Valuation!P60</f>
        <v>19.210270710858225</v>
      </c>
      <c r="Q313" s="1838">
        <f ca="1">Valuation!Q60</f>
        <v>15.09464429834788</v>
      </c>
      <c r="R313" s="1838">
        <f ca="1">Valuation!R60</f>
        <v>12.446815458063604</v>
      </c>
      <c r="S313" s="1838">
        <f ca="1">Valuation!S60</f>
        <v>10.637589464214715</v>
      </c>
      <c r="T313" s="1838">
        <f ca="1">Valuation!T60</f>
        <v>9.1010054405764436</v>
      </c>
      <c r="U313" s="1838">
        <f ca="1">Valuation!U60</f>
        <v>7.8670835555400913</v>
      </c>
      <c r="V313" s="1838"/>
      <c r="W313" s="1826"/>
      <c r="X313" s="1826"/>
      <c r="Y313" s="1826"/>
      <c r="Z313" s="1826"/>
      <c r="AA313" s="1826"/>
      <c r="AB313" s="1826"/>
      <c r="AC313" s="1832"/>
      <c r="AD313" s="1832"/>
      <c r="AE313" s="1832"/>
      <c r="AF313" s="1832"/>
      <c r="AG313" s="1832"/>
      <c r="AH313" s="1832"/>
      <c r="AI313" s="1832"/>
      <c r="AJ313" s="1826"/>
      <c r="AK313" s="1826"/>
      <c r="AL313" s="1826"/>
      <c r="AM313" s="1826"/>
      <c r="AN313" s="1826"/>
      <c r="AO313" s="1826"/>
      <c r="AP313" s="1826"/>
    </row>
    <row r="314" spans="1:42" s="1251" customFormat="1">
      <c r="A314" s="1826"/>
      <c r="B314" s="1250" t="s">
        <v>412</v>
      </c>
      <c r="C314" s="1827" t="s">
        <v>412</v>
      </c>
      <c r="D314" s="1828">
        <v>312</v>
      </c>
      <c r="E314" s="1829"/>
      <c r="F314" s="1837">
        <f ca="1">Valuation!F63</f>
        <v>1.1635525736885726</v>
      </c>
      <c r="G314" s="1837">
        <f>Valuation!G66</f>
        <v>0</v>
      </c>
      <c r="H314" s="1837">
        <f>Valuation!H66</f>
        <v>0</v>
      </c>
      <c r="I314" s="1837">
        <f>Valuation!I66</f>
        <v>0</v>
      </c>
      <c r="J314" s="1837">
        <f ca="1">Valuation!J66</f>
        <v>3.2308922637077551</v>
      </c>
      <c r="K314" s="1837">
        <f ca="1">Valuation!K66</f>
        <v>2.5878158810960374</v>
      </c>
      <c r="L314" s="1837">
        <f ca="1">Valuation!L66</f>
        <v>3.0932490342140522</v>
      </c>
      <c r="M314" s="1837">
        <f ca="1">Valuation!M66</f>
        <v>5.4071445763994994</v>
      </c>
      <c r="N314" s="1837">
        <f ca="1">Valuation!N66</f>
        <v>5.5397849793622145</v>
      </c>
      <c r="O314" s="1837">
        <f ca="1">Valuation!O66</f>
        <v>4.6001155093360282</v>
      </c>
      <c r="P314" s="1838">
        <f ca="1">Valuation!P66</f>
        <v>3.9831211130519413</v>
      </c>
      <c r="Q314" s="1838">
        <f ca="1">Valuation!Q66</f>
        <v>3.261645602907695</v>
      </c>
      <c r="R314" s="1838">
        <f ca="1">Valuation!R66</f>
        <v>2.6559518755498641</v>
      </c>
      <c r="S314" s="1838">
        <f ca="1">Valuation!S66</f>
        <v>2.172817720747501</v>
      </c>
      <c r="T314" s="1838">
        <f ca="1">Valuation!T66</f>
        <v>1.7852738845350942</v>
      </c>
      <c r="U314" s="1838">
        <f ca="1">Valuation!U66</f>
        <v>1.4757492063879898</v>
      </c>
      <c r="V314" s="1838"/>
      <c r="W314" s="1826"/>
      <c r="X314" s="1826"/>
      <c r="Y314" s="1826"/>
      <c r="Z314" s="1826"/>
      <c r="AA314" s="1826"/>
      <c r="AB314" s="1826"/>
      <c r="AC314" s="1832"/>
      <c r="AD314" s="1832"/>
      <c r="AE314" s="1832"/>
      <c r="AF314" s="1832"/>
      <c r="AG314" s="1832"/>
      <c r="AH314" s="1832"/>
      <c r="AI314" s="1832"/>
      <c r="AJ314" s="1826"/>
      <c r="AK314" s="1826"/>
      <c r="AL314" s="1826"/>
      <c r="AM314" s="1826"/>
      <c r="AN314" s="1826"/>
      <c r="AO314" s="1826"/>
      <c r="AP314" s="1826"/>
    </row>
    <row r="315" spans="1:42">
      <c r="A315" s="999"/>
      <c r="B315" s="1198"/>
      <c r="C315" s="1839"/>
      <c r="D315" s="1606">
        <v>313</v>
      </c>
      <c r="E315" s="1192"/>
      <c r="F315" s="1192"/>
      <c r="G315" s="1192"/>
      <c r="H315" s="1192"/>
      <c r="I315" s="1192"/>
      <c r="J315" s="1192"/>
      <c r="K315" s="1192"/>
      <c r="L315" s="1192"/>
      <c r="M315" s="1192"/>
      <c r="N315" s="1192"/>
      <c r="O315" s="1192"/>
      <c r="P315" s="1198"/>
      <c r="Q315" s="1198"/>
      <c r="R315" s="1198"/>
      <c r="S315" s="1198"/>
      <c r="T315" s="1198"/>
      <c r="U315" s="1198"/>
      <c r="V315" s="1198"/>
      <c r="W315" s="999"/>
      <c r="X315" s="999"/>
      <c r="Y315" s="999"/>
      <c r="Z315" s="999"/>
      <c r="AA315" s="999"/>
      <c r="AB315" s="999"/>
      <c r="AC315" s="1189"/>
      <c r="AD315" s="1189"/>
      <c r="AE315" s="1189"/>
      <c r="AF315" s="1189"/>
      <c r="AG315" s="1189"/>
      <c r="AH315" s="1189"/>
      <c r="AI315" s="1189"/>
      <c r="AJ315" s="999"/>
      <c r="AK315" s="999"/>
      <c r="AL315" s="999"/>
      <c r="AM315" s="999"/>
      <c r="AN315" s="999"/>
      <c r="AO315" s="999"/>
      <c r="AP315" s="999"/>
    </row>
    <row r="316" spans="1:42">
      <c r="A316" s="999"/>
      <c r="B316" s="1019" t="s">
        <v>670</v>
      </c>
      <c r="C316" s="1839" t="s">
        <v>670</v>
      </c>
      <c r="D316" s="1606">
        <v>314</v>
      </c>
      <c r="E316" s="1192"/>
      <c r="F316" s="1192"/>
      <c r="G316" s="1192"/>
      <c r="H316" s="1192"/>
      <c r="I316" s="1192"/>
      <c r="J316" s="1192"/>
      <c r="K316" s="1192"/>
      <c r="L316" s="1192"/>
      <c r="M316" s="1192"/>
      <c r="N316" s="1192"/>
      <c r="O316" s="1192"/>
      <c r="P316" s="1198"/>
      <c r="Q316" s="1198"/>
      <c r="R316" s="1198"/>
      <c r="S316" s="1198"/>
      <c r="T316" s="1198"/>
      <c r="U316" s="1198"/>
      <c r="V316" s="1198"/>
      <c r="W316" s="999"/>
      <c r="X316" s="999"/>
      <c r="Y316" s="999"/>
      <c r="Z316" s="999"/>
      <c r="AA316" s="999"/>
      <c r="AB316" s="999"/>
      <c r="AC316" s="1189"/>
      <c r="AD316" s="1189"/>
      <c r="AE316" s="1189"/>
      <c r="AF316" s="1189"/>
      <c r="AG316" s="1189"/>
      <c r="AH316" s="1189"/>
      <c r="AI316" s="1189"/>
      <c r="AJ316" s="999"/>
      <c r="AK316" s="999"/>
      <c r="AL316" s="999"/>
      <c r="AM316" s="999"/>
      <c r="AN316" s="999"/>
      <c r="AO316" s="999"/>
      <c r="AP316" s="999"/>
    </row>
    <row r="317" spans="1:42">
      <c r="A317" s="999"/>
      <c r="B317" s="1001" t="s">
        <v>420</v>
      </c>
      <c r="C317" s="1839" t="s">
        <v>420</v>
      </c>
      <c r="D317" s="1606">
        <v>315</v>
      </c>
      <c r="E317" s="1192"/>
      <c r="F317" s="1755" t="e">
        <f t="shared" ref="F317:Q317" si="583">F68</f>
        <v>#VALUE!</v>
      </c>
      <c r="G317" s="1755">
        <f t="shared" si="583"/>
        <v>0.76667343423738443</v>
      </c>
      <c r="H317" s="1755">
        <f t="shared" si="583"/>
        <v>0.4869950352833583</v>
      </c>
      <c r="I317" s="1755">
        <f t="shared" si="583"/>
        <v>0.30413841367201333</v>
      </c>
      <c r="J317" s="1755">
        <f t="shared" si="583"/>
        <v>0.18098276656014756</v>
      </c>
      <c r="K317" s="1755">
        <f t="shared" si="583"/>
        <v>6.2361857946711119E-2</v>
      </c>
      <c r="L317" s="1755">
        <f>L68</f>
        <v>0.132773974413678</v>
      </c>
      <c r="M317" s="1755">
        <f ca="1">M68</f>
        <v>8.4961257845499016E-2</v>
      </c>
      <c r="N317" s="1755">
        <f ca="1">N68</f>
        <v>-0.11337669339155632</v>
      </c>
      <c r="O317" s="1755">
        <f>O68</f>
        <v>0.13579128440367993</v>
      </c>
      <c r="P317" s="1793">
        <f t="shared" ca="1" si="583"/>
        <v>0.1879585925310554</v>
      </c>
      <c r="Q317" s="1793">
        <f t="shared" ca="1" si="583"/>
        <v>0.2155849422633227</v>
      </c>
      <c r="R317" s="1793">
        <f t="shared" ref="R317" ca="1" si="584">R68</f>
        <v>0.14742720547517951</v>
      </c>
      <c r="S317" s="1793">
        <f t="shared" ref="S317:U317" ca="1" si="585">S68</f>
        <v>0.15223963934697937</v>
      </c>
      <c r="T317" s="1793">
        <f t="shared" ca="1" si="585"/>
        <v>0.11275089097054458</v>
      </c>
      <c r="U317" s="1793">
        <f t="shared" ca="1" si="585"/>
        <v>9.341837170067091E-2</v>
      </c>
      <c r="V317" s="1793"/>
      <c r="W317" s="999"/>
      <c r="X317" s="999"/>
      <c r="Y317" s="999"/>
      <c r="Z317" s="999"/>
      <c r="AA317" s="999"/>
      <c r="AB317" s="999"/>
      <c r="AC317" s="1189"/>
      <c r="AD317" s="1189"/>
      <c r="AE317" s="1189"/>
      <c r="AF317" s="1189"/>
      <c r="AG317" s="1189"/>
      <c r="AH317" s="1189"/>
      <c r="AI317" s="1189"/>
      <c r="AJ317" s="999"/>
      <c r="AK317" s="999"/>
      <c r="AL317" s="999"/>
      <c r="AM317" s="999"/>
      <c r="AN317" s="999"/>
      <c r="AO317" s="999"/>
      <c r="AP317" s="999"/>
    </row>
    <row r="318" spans="1:42">
      <c r="A318" s="999"/>
      <c r="B318" s="1001" t="s">
        <v>432</v>
      </c>
      <c r="C318" s="1839" t="s">
        <v>432</v>
      </c>
      <c r="D318" s="1606">
        <v>316</v>
      </c>
      <c r="E318" s="1192"/>
      <c r="F318" s="1755" t="e">
        <f t="shared" ref="F318:Q318" si="586">F79</f>
        <v>#VALUE!</v>
      </c>
      <c r="G318" s="1755">
        <f t="shared" si="586"/>
        <v>0.50650656159179652</v>
      </c>
      <c r="H318" s="1755">
        <f t="shared" si="586"/>
        <v>0.39544806137849164</v>
      </c>
      <c r="I318" s="1755">
        <f t="shared" si="586"/>
        <v>0.39275476165587686</v>
      </c>
      <c r="J318" s="1755">
        <f t="shared" si="586"/>
        <v>0.28572099792286898</v>
      </c>
      <c r="K318" s="1755">
        <f t="shared" si="586"/>
        <v>4.8130543494043998E-2</v>
      </c>
      <c r="L318" s="1755">
        <f>L79</f>
        <v>0.1300359177306436</v>
      </c>
      <c r="M318" s="1755">
        <f>M79</f>
        <v>0.12716931108852214</v>
      </c>
      <c r="N318" s="1755">
        <f>N79</f>
        <v>-0.93873819198687625</v>
      </c>
      <c r="O318" s="1755">
        <f>O79</f>
        <v>9.0325820681853006</v>
      </c>
      <c r="P318" s="1793">
        <f t="shared" ca="1" si="586"/>
        <v>0.73741520890027323</v>
      </c>
      <c r="Q318" s="1793">
        <f t="shared" ca="1" si="586"/>
        <v>0.30283468292540427</v>
      </c>
      <c r="R318" s="1793">
        <f t="shared" ref="R318" ca="1" si="587">R79</f>
        <v>0.20798891665349761</v>
      </c>
      <c r="S318" s="1793">
        <f t="shared" ref="S318:U318" ca="1" si="588">S79</f>
        <v>0.17131457907774705</v>
      </c>
      <c r="T318" s="1793">
        <f t="shared" ca="1" si="588"/>
        <v>0.13856014991410515</v>
      </c>
      <c r="U318" s="1793">
        <f t="shared" ca="1" si="588"/>
        <v>0.12533836049251712</v>
      </c>
      <c r="V318" s="1793"/>
      <c r="W318" s="999"/>
      <c r="X318" s="999"/>
      <c r="Y318" s="999"/>
      <c r="Z318" s="999"/>
      <c r="AA318" s="999"/>
      <c r="AB318" s="999"/>
      <c r="AC318" s="1189"/>
      <c r="AD318" s="1189"/>
      <c r="AE318" s="1189"/>
      <c r="AF318" s="1189"/>
      <c r="AG318" s="1189"/>
      <c r="AH318" s="1189"/>
      <c r="AI318" s="1189"/>
      <c r="AJ318" s="999"/>
      <c r="AK318" s="999"/>
      <c r="AL318" s="999"/>
      <c r="AM318" s="999"/>
      <c r="AN318" s="999"/>
      <c r="AO318" s="999"/>
      <c r="AP318" s="999"/>
    </row>
    <row r="319" spans="1:42">
      <c r="A319" s="999"/>
      <c r="B319" s="1001" t="s">
        <v>435</v>
      </c>
      <c r="C319" s="1839" t="s">
        <v>435</v>
      </c>
      <c r="D319" s="1606">
        <v>317</v>
      </c>
      <c r="E319" s="1192"/>
      <c r="F319" s="1755" t="e">
        <f t="shared" ref="F319:Q319" si="589">F97</f>
        <v>#VALUE!</v>
      </c>
      <c r="G319" s="1755">
        <f t="shared" si="589"/>
        <v>0.44749428643621414</v>
      </c>
      <c r="H319" s="1755">
        <f t="shared" si="589"/>
        <v>0.40051461413333689</v>
      </c>
      <c r="I319" s="1755">
        <f t="shared" si="589"/>
        <v>0.34777430378667851</v>
      </c>
      <c r="J319" s="1755">
        <f t="shared" si="589"/>
        <v>0.33465980548455621</v>
      </c>
      <c r="K319" s="1755">
        <f t="shared" si="589"/>
        <v>7.123753896023155E-2</v>
      </c>
      <c r="L319" s="1755">
        <f>L97</f>
        <v>0.19587387031600945</v>
      </c>
      <c r="M319" s="1755">
        <f>M97</f>
        <v>-6.4481332165390759E-2</v>
      </c>
      <c r="N319" s="1755">
        <f>N97</f>
        <v>-0.88612088866066396</v>
      </c>
      <c r="O319" s="1755">
        <f>O97</f>
        <v>5.9969789977517953</v>
      </c>
      <c r="P319" s="1793">
        <f t="shared" ca="1" si="589"/>
        <v>0.79845826844098888</v>
      </c>
      <c r="Q319" s="1793">
        <f t="shared" ca="1" si="589"/>
        <v>0.2530709380329248</v>
      </c>
      <c r="R319" s="1793">
        <f t="shared" ref="R319" ca="1" si="590">R97</f>
        <v>0.20450694172307804</v>
      </c>
      <c r="S319" s="1793">
        <f t="shared" ref="S319:U319" ca="1" si="591">S97</f>
        <v>0.16555227824516372</v>
      </c>
      <c r="T319" s="1793">
        <f t="shared" ca="1" si="591"/>
        <v>0.15911436529158163</v>
      </c>
      <c r="U319" s="1793">
        <f t="shared" ca="1" si="591"/>
        <v>0.14898561958034673</v>
      </c>
      <c r="V319" s="1793"/>
      <c r="W319" s="999"/>
      <c r="X319" s="999"/>
      <c r="Y319" s="999"/>
      <c r="Z319" s="999"/>
      <c r="AA319" s="999"/>
      <c r="AB319" s="999"/>
      <c r="AC319" s="1189"/>
      <c r="AD319" s="1189"/>
      <c r="AE319" s="1189"/>
      <c r="AF319" s="1189"/>
      <c r="AG319" s="1189"/>
      <c r="AH319" s="1189"/>
      <c r="AI319" s="1189"/>
      <c r="AJ319" s="999"/>
      <c r="AK319" s="999"/>
      <c r="AL319" s="999"/>
      <c r="AM319" s="999"/>
      <c r="AN319" s="999"/>
      <c r="AO319" s="999"/>
      <c r="AP319" s="999"/>
    </row>
    <row r="320" spans="1:42">
      <c r="A320" s="999"/>
      <c r="B320" s="1001" t="s">
        <v>375</v>
      </c>
      <c r="C320" s="1839" t="s">
        <v>375</v>
      </c>
      <c r="D320" s="1606">
        <v>318</v>
      </c>
      <c r="E320" s="1192"/>
      <c r="F320" s="1755" t="e">
        <f t="shared" ref="F320:P320" ca="1" si="592">F108</f>
        <v>#VALUE!</v>
      </c>
      <c r="G320" s="1755">
        <f t="shared" ca="1" si="592"/>
        <v>0.47157567220241958</v>
      </c>
      <c r="H320" s="1755">
        <f t="shared" ca="1" si="592"/>
        <v>0.39832521070453075</v>
      </c>
      <c r="I320" s="1755">
        <f t="shared" ca="1" si="592"/>
        <v>0.30512789502746029</v>
      </c>
      <c r="J320" s="1755">
        <f t="shared" ca="1" si="592"/>
        <v>827.50771218077705</v>
      </c>
      <c r="K320" s="1755">
        <f t="shared" ca="1" si="592"/>
        <v>-0.50181466686630283</v>
      </c>
      <c r="L320" s="1755">
        <f ca="1">L108</f>
        <v>0.2459093699256476</v>
      </c>
      <c r="M320" s="1755">
        <f ca="1">M108</f>
        <v>-0.16349800198775044</v>
      </c>
      <c r="N320" s="1755">
        <f ca="1">N108</f>
        <v>-0.9591026623765091</v>
      </c>
      <c r="O320" s="1755">
        <f ca="1">O108</f>
        <v>21.197661610378447</v>
      </c>
      <c r="P320" s="1793">
        <f t="shared" ca="1" si="592"/>
        <v>0.81559478193380075</v>
      </c>
      <c r="Q320" s="1793">
        <f ca="1">Q108</f>
        <v>0.27265474635667997</v>
      </c>
      <c r="R320" s="1793">
        <f t="shared" ref="R320" ca="1" si="593">R108</f>
        <v>0.21273142911176501</v>
      </c>
      <c r="S320" s="1793">
        <f t="shared" ref="S320:U320" ca="1" si="594">S108</f>
        <v>0.17007856901558371</v>
      </c>
      <c r="T320" s="1793">
        <f t="shared" ca="1" si="594"/>
        <v>0.16883673278421263</v>
      </c>
      <c r="U320" s="1793">
        <f t="shared" ca="1" si="594"/>
        <v>0.15684616495110326</v>
      </c>
      <c r="V320" s="1793"/>
      <c r="W320" s="999"/>
      <c r="X320" s="999"/>
      <c r="Y320" s="999"/>
      <c r="Z320" s="999"/>
      <c r="AA320" s="999"/>
      <c r="AB320" s="999"/>
      <c r="AC320" s="1189"/>
      <c r="AD320" s="1189"/>
      <c r="AE320" s="1189"/>
      <c r="AF320" s="1189"/>
      <c r="AG320" s="1189"/>
      <c r="AH320" s="1189"/>
      <c r="AI320" s="1189"/>
      <c r="AJ320" s="999"/>
      <c r="AK320" s="999"/>
      <c r="AL320" s="999"/>
      <c r="AM320" s="999"/>
      <c r="AN320" s="999"/>
      <c r="AO320" s="999"/>
      <c r="AP320" s="999"/>
    </row>
    <row r="321" spans="1:42">
      <c r="A321" s="999"/>
      <c r="B321" s="1198" t="s">
        <v>438</v>
      </c>
      <c r="C321" s="1839" t="s">
        <v>438</v>
      </c>
      <c r="D321" s="1606">
        <v>319</v>
      </c>
      <c r="E321" s="1192"/>
      <c r="F321" s="1840">
        <f ca="1">Valuation!F27</f>
        <v>146.88897400000002</v>
      </c>
      <c r="G321" s="1840">
        <f ca="1">Valuation!G27</f>
        <v>153.95092700000001</v>
      </c>
      <c r="H321" s="1840">
        <f ca="1">Valuation!H27</f>
        <v>316.98843700000003</v>
      </c>
      <c r="I321" s="1840">
        <f ca="1">Valuation!I27</f>
        <v>443.49617799999999</v>
      </c>
      <c r="J321" s="1840">
        <f ca="1">Valuation!J27</f>
        <v>443.54617799999994</v>
      </c>
      <c r="K321" s="1840">
        <f ca="1">Valuation!K27</f>
        <v>453.20998700000001</v>
      </c>
      <c r="L321" s="1840">
        <f ca="1">Valuation!L27</f>
        <v>713.06549500000006</v>
      </c>
      <c r="M321" s="1840">
        <f ca="1">Valuation!M27</f>
        <v>1463.8792799999999</v>
      </c>
      <c r="N321" s="1840">
        <f ca="1">Valuation!N27</f>
        <v>1463.8792799999999</v>
      </c>
      <c r="O321" s="1840">
        <f ca="1">Valuation!O27</f>
        <v>1463.376716</v>
      </c>
      <c r="P321" s="1841">
        <f ca="1">Valuation!P27</f>
        <v>1468.4567630000001</v>
      </c>
      <c r="Q321" s="1841">
        <f ca="1">Valuation!Q27</f>
        <v>1468.4567630000001</v>
      </c>
      <c r="R321" s="1841">
        <f ca="1">Valuation!R27</f>
        <v>1468.4567630000001</v>
      </c>
      <c r="S321" s="1841">
        <f ca="1">Valuation!S27</f>
        <v>1468.4567630000001</v>
      </c>
      <c r="T321" s="1841">
        <f ca="1">Valuation!T27</f>
        <v>1468.4567630000001</v>
      </c>
      <c r="U321" s="1841">
        <f ca="1">Valuation!U27</f>
        <v>1468.4567630000001</v>
      </c>
      <c r="V321" s="1841"/>
      <c r="W321" s="999"/>
      <c r="X321" s="999"/>
      <c r="Y321" s="999"/>
      <c r="Z321" s="999"/>
      <c r="AA321" s="999"/>
      <c r="AB321" s="999"/>
      <c r="AC321" s="1189"/>
      <c r="AD321" s="1189"/>
      <c r="AE321" s="1189"/>
      <c r="AF321" s="1189"/>
      <c r="AG321" s="1189"/>
      <c r="AH321" s="1189"/>
      <c r="AI321" s="1189"/>
      <c r="AJ321" s="999"/>
      <c r="AK321" s="999"/>
      <c r="AL321" s="999"/>
      <c r="AM321" s="999"/>
      <c r="AN321" s="999"/>
      <c r="AO321" s="999"/>
      <c r="AP321" s="999"/>
    </row>
    <row r="322" spans="1:42">
      <c r="A322" s="999"/>
      <c r="B322" s="1019" t="s">
        <v>671</v>
      </c>
      <c r="C322" s="1839" t="s">
        <v>671</v>
      </c>
      <c r="D322" s="1606">
        <v>320</v>
      </c>
      <c r="E322" s="1192"/>
      <c r="F322" s="1192"/>
      <c r="G322" s="1192"/>
      <c r="H322" s="1192"/>
      <c r="I322" s="1192"/>
      <c r="J322" s="1192"/>
      <c r="K322" s="1192"/>
      <c r="L322" s="1192"/>
      <c r="M322" s="1192"/>
      <c r="N322" s="1192"/>
      <c r="O322" s="1192"/>
      <c r="P322" s="1198"/>
      <c r="Q322" s="1198"/>
      <c r="R322" s="1198"/>
      <c r="S322" s="1198"/>
      <c r="T322" s="1198"/>
      <c r="U322" s="1198"/>
      <c r="V322" s="1198"/>
      <c r="W322" s="999"/>
      <c r="X322" s="999"/>
      <c r="Y322" s="999"/>
      <c r="Z322" s="999"/>
      <c r="AA322" s="999"/>
      <c r="AB322" s="999"/>
      <c r="AC322" s="1189"/>
      <c r="AD322" s="1189"/>
      <c r="AE322" s="1189"/>
      <c r="AF322" s="1189"/>
      <c r="AG322" s="1189"/>
      <c r="AH322" s="1189"/>
      <c r="AI322" s="1189"/>
      <c r="AJ322" s="999"/>
      <c r="AK322" s="999"/>
      <c r="AL322" s="999"/>
      <c r="AM322" s="999"/>
      <c r="AN322" s="999"/>
      <c r="AO322" s="999"/>
      <c r="AP322" s="999"/>
    </row>
    <row r="323" spans="1:42">
      <c r="A323" s="999"/>
      <c r="B323" s="1001" t="s">
        <v>381</v>
      </c>
      <c r="C323" s="1839" t="s">
        <v>381</v>
      </c>
      <c r="D323" s="1606">
        <v>321</v>
      </c>
      <c r="E323" s="1192"/>
      <c r="F323" s="1842">
        <f t="shared" ref="F323:P323" ca="1" si="595">F187</f>
        <v>70.916372307076784</v>
      </c>
      <c r="G323" s="1842">
        <f t="shared" ca="1" si="595"/>
        <v>74.98610755766471</v>
      </c>
      <c r="H323" s="1842">
        <f t="shared" ca="1" si="595"/>
        <v>64.969042508060042</v>
      </c>
      <c r="I323" s="1842">
        <f t="shared" ca="1" si="595"/>
        <v>72.577041065217315</v>
      </c>
      <c r="J323" s="1842">
        <f t="shared" ca="1" si="595"/>
        <v>90.806176172442932</v>
      </c>
      <c r="K323" s="1842">
        <f t="shared" ca="1" si="595"/>
        <v>64.562967470282047</v>
      </c>
      <c r="L323" s="1842">
        <f ca="1">L187</f>
        <v>85.757281684057489</v>
      </c>
      <c r="M323" s="1842">
        <f ca="1">M187</f>
        <v>69.61781332202942</v>
      </c>
      <c r="N323" s="1842">
        <f ca="1">N187</f>
        <v>66.808407465023265</v>
      </c>
      <c r="O323" s="1842">
        <f ca="1">O187</f>
        <v>60.042897222868262</v>
      </c>
      <c r="P323" s="1843">
        <f t="shared" ca="1" si="595"/>
        <v>54.942897222868261</v>
      </c>
      <c r="Q323" s="1843">
        <f ca="1">Q187</f>
        <v>54.942897222868261</v>
      </c>
      <c r="R323" s="1843">
        <f t="shared" ref="R323" ca="1" si="596">R187</f>
        <v>54.942897222868261</v>
      </c>
      <c r="S323" s="1843">
        <f t="shared" ref="S323:U323" ca="1" si="597">S187</f>
        <v>54.942897222868261</v>
      </c>
      <c r="T323" s="1843">
        <f t="shared" ca="1" si="597"/>
        <v>54.942897222868261</v>
      </c>
      <c r="U323" s="1843">
        <f t="shared" ca="1" si="597"/>
        <v>54.942897222868261</v>
      </c>
      <c r="V323" s="1843"/>
      <c r="W323" s="999"/>
      <c r="X323" s="999"/>
      <c r="Y323" s="999"/>
      <c r="Z323" s="999"/>
      <c r="AA323" s="999"/>
      <c r="AB323" s="999"/>
      <c r="AC323" s="1189"/>
      <c r="AD323" s="1189"/>
      <c r="AE323" s="1189"/>
      <c r="AF323" s="1189"/>
      <c r="AG323" s="1189"/>
      <c r="AH323" s="1189"/>
      <c r="AI323" s="1189"/>
      <c r="AJ323" s="999"/>
      <c r="AK323" s="999"/>
      <c r="AL323" s="999"/>
      <c r="AM323" s="999"/>
      <c r="AN323" s="999"/>
      <c r="AO323" s="999"/>
      <c r="AP323" s="999"/>
    </row>
    <row r="324" spans="1:42">
      <c r="A324" s="999"/>
      <c r="B324" s="1001" t="s">
        <v>383</v>
      </c>
      <c r="C324" s="1839" t="s">
        <v>383</v>
      </c>
      <c r="D324" s="1606">
        <v>322</v>
      </c>
      <c r="E324" s="1192"/>
      <c r="F324" s="1842">
        <f t="shared" ref="F324:P324" ca="1" si="598">F183</f>
        <v>9.1483074221716105</v>
      </c>
      <c r="G324" s="1842">
        <f t="shared" ca="1" si="598"/>
        <v>11.288191908877906</v>
      </c>
      <c r="H324" s="1842">
        <f t="shared" ca="1" si="598"/>
        <v>14.91220405103072</v>
      </c>
      <c r="I324" s="1842">
        <f t="shared" ca="1" si="598"/>
        <v>6.4170703883615099</v>
      </c>
      <c r="J324" s="1842">
        <f t="shared" ca="1" si="598"/>
        <v>6.4019513101183909</v>
      </c>
      <c r="K324" s="1842">
        <f t="shared" ca="1" si="598"/>
        <v>5.302914148789819</v>
      </c>
      <c r="L324" s="1842">
        <f ca="1">L183</f>
        <v>9.2972477437688372</v>
      </c>
      <c r="M324" s="1842">
        <f ca="1">M183</f>
        <v>8.3231557202911262</v>
      </c>
      <c r="N324" s="1842">
        <f ca="1">N183</f>
        <v>15.792295397949998</v>
      </c>
      <c r="O324" s="1842">
        <f ca="1">O183</f>
        <v>23.654917302451402</v>
      </c>
      <c r="P324" s="1843">
        <f t="shared" ca="1" si="598"/>
        <v>23.654917302451402</v>
      </c>
      <c r="Q324" s="1843">
        <f ca="1">Q183</f>
        <v>23.654917302451402</v>
      </c>
      <c r="R324" s="1843">
        <f t="shared" ref="R324" ca="1" si="599">R183</f>
        <v>23.654917302451402</v>
      </c>
      <c r="S324" s="1843">
        <f t="shared" ref="S324:U324" ca="1" si="600">S183</f>
        <v>23.654917302451402</v>
      </c>
      <c r="T324" s="1843">
        <f t="shared" ca="1" si="600"/>
        <v>23.654917302451402</v>
      </c>
      <c r="U324" s="1843">
        <f t="shared" ca="1" si="600"/>
        <v>23.654917302451402</v>
      </c>
      <c r="V324" s="1843"/>
      <c r="W324" s="999"/>
      <c r="X324" s="999"/>
      <c r="Y324" s="999"/>
      <c r="Z324" s="999"/>
      <c r="AA324" s="999"/>
      <c r="AB324" s="999"/>
      <c r="AC324" s="1189"/>
      <c r="AD324" s="1189"/>
      <c r="AE324" s="1189"/>
      <c r="AF324" s="1189"/>
      <c r="AG324" s="1189"/>
      <c r="AH324" s="1189"/>
      <c r="AI324" s="1189"/>
      <c r="AJ324" s="999"/>
      <c r="AK324" s="999"/>
      <c r="AL324" s="999"/>
      <c r="AM324" s="999"/>
      <c r="AN324" s="999"/>
      <c r="AO324" s="999"/>
      <c r="AP324" s="999"/>
    </row>
    <row r="325" spans="1:42">
      <c r="A325" s="999"/>
      <c r="B325" s="1001" t="s">
        <v>385</v>
      </c>
      <c r="C325" s="1839" t="s">
        <v>385</v>
      </c>
      <c r="D325" s="1606">
        <v>323</v>
      </c>
      <c r="E325" s="1192"/>
      <c r="F325" s="1842">
        <f t="shared" ref="F325:P325" ca="1" si="601">F193</f>
        <v>33.732018477078554</v>
      </c>
      <c r="G325" s="1842">
        <f t="shared" ca="1" si="601"/>
        <v>45.675120891072019</v>
      </c>
      <c r="H325" s="1842">
        <f t="shared" ca="1" si="601"/>
        <v>48.755889961820451</v>
      </c>
      <c r="I325" s="1842">
        <f t="shared" ca="1" si="601"/>
        <v>42.250891145998757</v>
      </c>
      <c r="J325" s="1842">
        <f t="shared" ca="1" si="601"/>
        <v>53.215683889409753</v>
      </c>
      <c r="K325" s="1842">
        <f t="shared" ca="1" si="601"/>
        <v>37.660767233336976</v>
      </c>
      <c r="L325" s="1842">
        <f ca="1">L193</f>
        <v>46.635954505568613</v>
      </c>
      <c r="M325" s="1842">
        <f ca="1">M193</f>
        <v>31.107032761298615</v>
      </c>
      <c r="N325" s="1842">
        <f ca="1">N193</f>
        <v>30.215177207637232</v>
      </c>
      <c r="O325" s="1842">
        <f ca="1">O193</f>
        <v>31.216149702993171</v>
      </c>
      <c r="P325" s="1843">
        <f t="shared" ca="1" si="601"/>
        <v>31.216149702993171</v>
      </c>
      <c r="Q325" s="1843">
        <f ca="1">Q193</f>
        <v>31.216149702993171</v>
      </c>
      <c r="R325" s="1843">
        <f t="shared" ref="R325" ca="1" si="602">R193</f>
        <v>31.216149702993171</v>
      </c>
      <c r="S325" s="1843">
        <f t="shared" ref="S325:U325" ca="1" si="603">S193</f>
        <v>31.216149702993171</v>
      </c>
      <c r="T325" s="1843">
        <f t="shared" ca="1" si="603"/>
        <v>31.216149702993171</v>
      </c>
      <c r="U325" s="1843">
        <f t="shared" ca="1" si="603"/>
        <v>31.216149702993171</v>
      </c>
      <c r="V325" s="1843"/>
      <c r="W325" s="999"/>
      <c r="X325" s="999"/>
      <c r="Y325" s="999"/>
      <c r="Z325" s="999"/>
      <c r="AA325" s="999"/>
      <c r="AB325" s="999"/>
      <c r="AC325" s="1189"/>
      <c r="AD325" s="1189"/>
      <c r="AE325" s="1189"/>
      <c r="AF325" s="1189"/>
      <c r="AG325" s="1189"/>
      <c r="AH325" s="1189"/>
      <c r="AI325" s="1189"/>
      <c r="AJ325" s="999"/>
      <c r="AK325" s="999"/>
      <c r="AL325" s="999"/>
      <c r="AM325" s="999"/>
      <c r="AN325" s="999"/>
      <c r="AO325" s="999"/>
      <c r="AP325" s="999"/>
    </row>
    <row r="326" spans="1:42">
      <c r="A326" s="999"/>
      <c r="B326" s="1001" t="s">
        <v>387</v>
      </c>
      <c r="C326" s="1839" t="s">
        <v>387</v>
      </c>
      <c r="D326" s="1606">
        <v>324</v>
      </c>
      <c r="E326" s="1192"/>
      <c r="F326" s="1842">
        <f t="shared" ref="F326:K326" ca="1" si="604">F323+F324-F325</f>
        <v>46.332661252169842</v>
      </c>
      <c r="G326" s="1842">
        <f t="shared" ca="1" si="604"/>
        <v>40.599178575470596</v>
      </c>
      <c r="H326" s="1842">
        <f t="shared" ca="1" si="604"/>
        <v>31.125356597270304</v>
      </c>
      <c r="I326" s="1842">
        <f t="shared" ca="1" si="604"/>
        <v>36.743220307580067</v>
      </c>
      <c r="J326" s="1842">
        <f t="shared" ca="1" si="604"/>
        <v>43.99244359315157</v>
      </c>
      <c r="K326" s="1842">
        <f t="shared" ca="1" si="604"/>
        <v>32.205114385734895</v>
      </c>
      <c r="L326" s="1842">
        <f t="shared" ref="L326:Q326" ca="1" si="605">L323+L324-L325</f>
        <v>48.418574922257712</v>
      </c>
      <c r="M326" s="1842">
        <f t="shared" ca="1" si="605"/>
        <v>46.833936281021934</v>
      </c>
      <c r="N326" s="1842">
        <f t="shared" ca="1" si="605"/>
        <v>52.385525655336032</v>
      </c>
      <c r="O326" s="1842">
        <f t="shared" ref="O326" ca="1" si="606">O323+O324-O325</f>
        <v>52.481664822326501</v>
      </c>
      <c r="P326" s="1843">
        <f t="shared" ca="1" si="605"/>
        <v>47.381664822326492</v>
      </c>
      <c r="Q326" s="1843">
        <f t="shared" ca="1" si="605"/>
        <v>47.381664822326492</v>
      </c>
      <c r="R326" s="1843">
        <f t="shared" ref="R326" ca="1" si="607">R323+R324-R325</f>
        <v>47.381664822326492</v>
      </c>
      <c r="S326" s="1843">
        <f t="shared" ref="S326:U326" ca="1" si="608">S323+S324-S325</f>
        <v>47.381664822326492</v>
      </c>
      <c r="T326" s="1843">
        <f t="shared" ca="1" si="608"/>
        <v>47.381664822326492</v>
      </c>
      <c r="U326" s="1843">
        <f t="shared" ca="1" si="608"/>
        <v>47.381664822326492</v>
      </c>
      <c r="V326" s="1843"/>
      <c r="W326" s="999"/>
      <c r="X326" s="999"/>
      <c r="Y326" s="999"/>
      <c r="Z326" s="999"/>
      <c r="AA326" s="999"/>
      <c r="AB326" s="999"/>
      <c r="AC326" s="1189"/>
      <c r="AD326" s="1189"/>
      <c r="AE326" s="1189"/>
      <c r="AF326" s="1189"/>
      <c r="AG326" s="1189"/>
      <c r="AH326" s="1189"/>
      <c r="AI326" s="1189"/>
      <c r="AJ326" s="999"/>
      <c r="AK326" s="999"/>
      <c r="AL326" s="999"/>
      <c r="AM326" s="999"/>
      <c r="AN326" s="999"/>
      <c r="AO326" s="999"/>
      <c r="AP326" s="999"/>
    </row>
    <row r="327" spans="1:42">
      <c r="A327" s="999"/>
      <c r="B327" s="1198"/>
      <c r="C327" s="1844"/>
      <c r="D327" s="1606">
        <v>325</v>
      </c>
      <c r="E327" s="1192"/>
      <c r="F327" s="1192"/>
      <c r="G327" s="1192"/>
      <c r="H327" s="1192"/>
      <c r="I327" s="1192"/>
      <c r="J327" s="1192"/>
      <c r="K327" s="1192"/>
      <c r="L327" s="1192"/>
      <c r="M327" s="1192"/>
      <c r="N327" s="1192"/>
      <c r="O327" s="1192"/>
      <c r="P327" s="999"/>
      <c r="Q327" s="999"/>
      <c r="R327" s="999"/>
      <c r="S327" s="999"/>
      <c r="T327" s="999"/>
      <c r="U327" s="999"/>
      <c r="V327" s="999"/>
      <c r="W327" s="999"/>
      <c r="X327" s="999"/>
      <c r="Y327" s="999"/>
      <c r="Z327" s="999"/>
      <c r="AA327" s="999"/>
      <c r="AB327" s="999"/>
      <c r="AC327" s="1189"/>
      <c r="AD327" s="1189"/>
      <c r="AE327" s="1189"/>
      <c r="AF327" s="1189"/>
      <c r="AG327" s="1189"/>
      <c r="AH327" s="1189"/>
      <c r="AI327" s="1189"/>
      <c r="AJ327" s="999"/>
      <c r="AK327" s="999"/>
      <c r="AL327" s="999"/>
      <c r="AM327" s="999"/>
      <c r="AN327" s="999"/>
      <c r="AO327" s="999"/>
      <c r="AP327" s="999"/>
    </row>
    <row r="328" spans="1:42" s="1251" customFormat="1">
      <c r="A328" s="1826"/>
      <c r="B328" s="1252" t="s">
        <v>672</v>
      </c>
      <c r="C328" s="1845" t="s">
        <v>672</v>
      </c>
      <c r="D328" s="1828">
        <v>326</v>
      </c>
      <c r="E328" s="1846"/>
      <c r="F328" s="1846"/>
      <c r="G328" s="1847">
        <f t="shared" ref="G328:L328" ca="1" si="609">G43*10^4/($M$44)</f>
        <v>2622.5124903803544</v>
      </c>
      <c r="H328" s="1847">
        <f t="shared" ca="1" si="609"/>
        <v>4034.5813781611837</v>
      </c>
      <c r="I328" s="1847">
        <f t="shared" ca="1" si="609"/>
        <v>6132.1900040985611</v>
      </c>
      <c r="J328" s="1847">
        <f t="shared" ca="1" si="609"/>
        <v>8290.1686597674907</v>
      </c>
      <c r="K328" s="1847">
        <f t="shared" ca="1" si="609"/>
        <v>10575.796828295843</v>
      </c>
      <c r="L328" s="1847">
        <f t="shared" ca="1" si="609"/>
        <v>13920.714828237749</v>
      </c>
      <c r="M328" s="1847">
        <f t="shared" ref="M328:O328" ca="1" si="610">M43*10^4/($P$44)</f>
        <v>16297.777449492394</v>
      </c>
      <c r="N328" s="1847">
        <f t="shared" ca="1" si="610"/>
        <v>15907.555847688242</v>
      </c>
      <c r="O328" s="1847">
        <f t="shared" ca="1" si="610"/>
        <v>19150.428894074972</v>
      </c>
      <c r="P328" s="1848">
        <f ca="1">P43*10^4/($P$44)</f>
        <v>22193.651031682111</v>
      </c>
      <c r="Q328" s="1848">
        <f t="shared" ref="Q328" ca="1" si="611">Q43*10^4/($P$44)</f>
        <v>27102.883256596935</v>
      </c>
      <c r="R328" s="1848">
        <f t="shared" ref="R328" ca="1" si="612">R43*10^4/($P$44)</f>
        <v>33283.735602964734</v>
      </c>
      <c r="S328" s="1848">
        <f t="shared" ref="S328:U328" ca="1" si="613">S43*10^4/($P$44)</f>
        <v>40684.498821920643</v>
      </c>
      <c r="T328" s="1848">
        <f t="shared" ca="1" si="613"/>
        <v>49516.211918946196</v>
      </c>
      <c r="U328" s="1848">
        <f t="shared" ca="1" si="613"/>
        <v>59901.77708878179</v>
      </c>
      <c r="V328" s="1848"/>
      <c r="W328" s="1826"/>
      <c r="X328" s="1826"/>
      <c r="Y328" s="1826"/>
      <c r="Z328" s="1826"/>
      <c r="AA328" s="1826"/>
      <c r="AB328" s="1826"/>
      <c r="AC328" s="1832"/>
      <c r="AD328" s="1832"/>
      <c r="AE328" s="1832"/>
      <c r="AF328" s="1832"/>
      <c r="AG328" s="1832"/>
      <c r="AH328" s="1832"/>
      <c r="AI328" s="1832"/>
      <c r="AJ328" s="1826"/>
      <c r="AK328" s="1826"/>
      <c r="AL328" s="1826"/>
      <c r="AM328" s="1826"/>
      <c r="AN328" s="1826"/>
      <c r="AO328" s="1826"/>
      <c r="AP328" s="1826"/>
    </row>
    <row r="329" spans="1:42">
      <c r="A329" s="999"/>
      <c r="B329" s="1198"/>
      <c r="C329" s="999"/>
      <c r="D329" s="999"/>
      <c r="E329" s="1192"/>
      <c r="F329" s="1192"/>
      <c r="G329" s="1192"/>
      <c r="H329" s="1192"/>
      <c r="I329" s="1192"/>
      <c r="J329" s="1192"/>
      <c r="K329" s="1192"/>
      <c r="L329" s="1192"/>
      <c r="M329" s="1192"/>
      <c r="N329" s="1192"/>
      <c r="O329" s="1192"/>
      <c r="P329" s="1213">
        <f ca="1">P328-O328+O329</f>
        <v>3043.2221376071393</v>
      </c>
      <c r="Q329" s="1213">
        <f t="shared" ref="Q329" ca="1" si="614">Q328-P328+P329</f>
        <v>7952.454362521963</v>
      </c>
      <c r="R329" s="1213">
        <f t="shared" ref="R329" ca="1" si="615">R328-Q328+Q329</f>
        <v>14133.306708889762</v>
      </c>
      <c r="S329" s="1213">
        <f t="shared" ref="S329" ca="1" si="616">S328-R328+R329</f>
        <v>21534.06992784567</v>
      </c>
      <c r="T329" s="1213">
        <f t="shared" ref="T329" ca="1" si="617">T328-S328+S329</f>
        <v>30365.783024871223</v>
      </c>
      <c r="U329" s="1213">
        <f t="shared" ref="U329" ca="1" si="618">U328-T328+T329</f>
        <v>40751.348194706821</v>
      </c>
      <c r="V329" s="1213"/>
      <c r="W329" s="999"/>
      <c r="X329" s="999"/>
      <c r="Y329" s="999"/>
      <c r="Z329" s="999"/>
      <c r="AA329" s="999"/>
      <c r="AB329" s="999"/>
      <c r="AC329" s="1189"/>
      <c r="AD329" s="1189"/>
      <c r="AE329" s="1189"/>
      <c r="AF329" s="1189"/>
      <c r="AG329" s="1189"/>
      <c r="AH329" s="1189"/>
      <c r="AI329" s="1189"/>
      <c r="AJ329" s="999"/>
      <c r="AK329" s="999"/>
      <c r="AL329" s="999"/>
      <c r="AM329" s="999"/>
      <c r="AN329" s="999"/>
      <c r="AO329" s="999"/>
      <c r="AP329" s="999"/>
    </row>
  </sheetData>
  <mergeCells count="6">
    <mergeCell ref="Z39:AA40"/>
    <mergeCell ref="AI61:AI96"/>
    <mergeCell ref="AK39:AK40"/>
    <mergeCell ref="AK41:AK45"/>
    <mergeCell ref="AK46:AK50"/>
    <mergeCell ref="AJ39:AJ40"/>
  </mergeCells>
  <conditionalFormatting sqref="AG61:AH86">
    <cfRule type="cellIs" dxfId="43" priority="1" operator="lessThan">
      <formula>0</formula>
    </cfRule>
    <cfRule type="cellIs" dxfId="42" priority="2" operator="greaterThan">
      <formula>0</formula>
    </cfRule>
  </conditionalFormatting>
  <conditionalFormatting sqref="AJ41:AJ50">
    <cfRule type="cellIs" dxfId="41" priority="3" operator="lessThan">
      <formula>0</formula>
    </cfRule>
    <cfRule type="cellIs" dxfId="40" priority="4" operator="greaterThan">
      <formula>0</formula>
    </cfRule>
  </conditionalFormatting>
  <dataValidations count="3">
    <dataValidation type="whole" allowBlank="1" showInputMessage="1" showErrorMessage="1" promptTitle="Help" prompt="Choose Method to Projected A/R_x000a_1 - from A/P % COGS_x000a_2 - from Inventory Days" sqref="K194:L194" xr:uid="{00000000-0002-0000-0B00-000000000000}">
      <formula1>1</formula1>
      <formula2>2</formula2>
    </dataValidation>
    <dataValidation type="whole" allowBlank="1" showInputMessage="1" showErrorMessage="1" promptTitle="Help" prompt="Choose Method to Projected A/R_x000a_1 - from Inventory % Total Sales_x000a_2 - from Inventory Days" sqref="K188:L188" xr:uid="{00000000-0002-0000-0B00-000001000000}">
      <formula1>1</formula1>
      <formula2>2</formula2>
    </dataValidation>
    <dataValidation type="whole" allowBlank="1" showInputMessage="1" showErrorMessage="1" promptTitle="Help" prompt="Choose Method to Projected A/R_x000a_1 - from A/R % Total Sales_x000a_2 - from Day Sale Outstanding" sqref="K184:L184" xr:uid="{00000000-0002-0000-0B00-000002000000}">
      <formula1>1</formula1>
      <formula2>2</formula2>
    </dataValidation>
  </dataValidations>
  <pageMargins left="0.7" right="0.7" top="0.75" bottom="0.75" header="0.3" footer="0.3"/>
  <pageSetup paperSize="9" orientation="portrait" horizontalDpi="1200" verticalDpi="1200" r:id="rId1"/>
  <ignoredErrors>
    <ignoredError sqref="I90 J90:K90" formulaRange="1"/>
    <ignoredError sqref="I132:K132 H151:K151 H150:I150 P150 P132 P151" emptyCellReference="1"/>
    <ignoredError sqref="P48 P50 M206" formula="1"/>
  </ignoredErrors>
  <drawing r:id="rId2"/>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0ADC27-094A-4F64-9076-96AEECC6D305}">
  <sheetPr>
    <tabColor theme="8"/>
  </sheetPr>
  <dimension ref="A1:T28"/>
  <sheetViews>
    <sheetView workbookViewId="0">
      <selection activeCell="J22" sqref="J22:J23"/>
    </sheetView>
  </sheetViews>
  <sheetFormatPr baseColWidth="10" defaultColWidth="8.83203125" defaultRowHeight="15"/>
  <cols>
    <col min="7" max="10" width="9.5" bestFit="1" customWidth="1"/>
    <col min="12" max="12" width="9.5" bestFit="1" customWidth="1"/>
    <col min="13" max="13" width="52.5" customWidth="1"/>
    <col min="14" max="14" width="11.5" bestFit="1" customWidth="1"/>
    <col min="15" max="15" width="10.6640625" bestFit="1" customWidth="1"/>
  </cols>
  <sheetData>
    <row r="1" spans="1:20">
      <c r="A1" s="2038" t="s">
        <v>673</v>
      </c>
      <c r="G1">
        <v>2024</v>
      </c>
      <c r="H1">
        <v>2025</v>
      </c>
      <c r="M1" s="5" t="s">
        <v>674</v>
      </c>
      <c r="N1" s="2039">
        <v>45898</v>
      </c>
      <c r="O1" s="2039">
        <v>47848</v>
      </c>
      <c r="P1" s="152">
        <f>YEARFRAC(N1,O1,2)</f>
        <v>5.416666666666667</v>
      </c>
      <c r="R1">
        <f>[1]Milestones!R80+Rev_Year!K177+Rev_Year!K312</f>
        <v>4104.4693716802021</v>
      </c>
      <c r="S1">
        <f ca="1">Rev_Year!L98+Rev_Year!L177+Rev_Year!L312</f>
        <v>5251.7095680213724</v>
      </c>
      <c r="T1">
        <f ca="1">Rev_Year!M98+Rev_Year!M177+Rev_Year!M312</f>
        <v>6294.8053334565693</v>
      </c>
    </row>
    <row r="2" spans="1:20">
      <c r="A2" s="2038" t="s">
        <v>675</v>
      </c>
      <c r="G2" t="s">
        <v>676</v>
      </c>
      <c r="H2" t="s">
        <v>677</v>
      </c>
      <c r="I2" t="s">
        <v>676</v>
      </c>
      <c r="J2" t="s">
        <v>678</v>
      </c>
      <c r="M2" s="2044" t="s">
        <v>679</v>
      </c>
      <c r="N2" s="158">
        <f ca="1">T1</f>
        <v>6294.8053334565693</v>
      </c>
      <c r="S2" s="158"/>
    </row>
    <row r="3" spans="1:20">
      <c r="A3" s="2038" t="s">
        <v>680</v>
      </c>
      <c r="F3" t="s">
        <v>681</v>
      </c>
      <c r="M3" s="2044" t="s">
        <v>409</v>
      </c>
      <c r="N3">
        <v>13</v>
      </c>
      <c r="O3" s="988" t="s">
        <v>682</v>
      </c>
      <c r="R3" s="158"/>
    </row>
    <row r="4" spans="1:20">
      <c r="A4" s="2038" t="s">
        <v>683</v>
      </c>
      <c r="F4" t="s">
        <v>684</v>
      </c>
      <c r="G4" s="158">
        <v>4.9214513186483122E-2</v>
      </c>
      <c r="H4" s="158">
        <v>0.04</v>
      </c>
      <c r="I4" s="158">
        <v>4.5427032221499998E-2</v>
      </c>
      <c r="J4" s="158">
        <v>5.0854064442999995E-2</v>
      </c>
      <c r="M4" s="2044" t="s">
        <v>685</v>
      </c>
      <c r="N4" s="166">
        <v>0.12</v>
      </c>
      <c r="O4" s="124">
        <f ca="1">((T1/R1)^(1/2))-1</f>
        <v>0.23840484504559201</v>
      </c>
    </row>
    <row r="5" spans="1:20">
      <c r="A5" s="2038" t="s">
        <v>686</v>
      </c>
      <c r="F5" t="s">
        <v>687</v>
      </c>
      <c r="G5" s="158">
        <v>2.5007340188092867E-3</v>
      </c>
      <c r="H5" s="158">
        <v>5.0000000000000001E-3</v>
      </c>
      <c r="I5" s="158">
        <v>1.2924127342735393E-2</v>
      </c>
      <c r="J5" s="158">
        <v>2.5000000000000001E-2</v>
      </c>
      <c r="M5" s="2045" t="s">
        <v>688</v>
      </c>
      <c r="N5" s="2040">
        <f>N3/(N4*100)</f>
        <v>1.0833333333333333</v>
      </c>
    </row>
    <row r="6" spans="1:20">
      <c r="A6" s="2038" t="s">
        <v>689</v>
      </c>
      <c r="F6" t="s">
        <v>690</v>
      </c>
      <c r="G6" s="158"/>
      <c r="H6" s="158"/>
      <c r="I6" s="158"/>
      <c r="J6" s="158"/>
      <c r="M6" s="2046" t="s">
        <v>691</v>
      </c>
      <c r="N6" s="2041">
        <f ca="1">(N2*N3*(1+N4)^$P$1)/(1+8%)^$P$1</f>
        <v>99650.145464419722</v>
      </c>
    </row>
    <row r="7" spans="1:20">
      <c r="A7" s="2038" t="s">
        <v>692</v>
      </c>
      <c r="F7" t="s">
        <v>8</v>
      </c>
      <c r="G7" s="158">
        <v>4825.7630130780026</v>
      </c>
      <c r="H7" s="158">
        <v>4901.7191279677336</v>
      </c>
      <c r="I7" s="158">
        <v>5835.2686728914587</v>
      </c>
      <c r="J7" s="158">
        <v>6973.371163083063</v>
      </c>
      <c r="M7" s="2045" t="s">
        <v>693</v>
      </c>
      <c r="N7" s="190">
        <f>4426.023/0.9995</f>
        <v>4428.2371185592792</v>
      </c>
    </row>
    <row r="8" spans="1:20">
      <c r="A8" s="2038" t="s">
        <v>675</v>
      </c>
      <c r="F8" t="s">
        <v>497</v>
      </c>
      <c r="G8" s="158">
        <v>4468.6229806810006</v>
      </c>
      <c r="H8" s="158">
        <v>4003.1791763100505</v>
      </c>
      <c r="I8" s="158">
        <v>4546.313735766862</v>
      </c>
      <c r="J8" s="158">
        <v>5089.448295223674</v>
      </c>
      <c r="M8" s="2047" t="s">
        <v>694</v>
      </c>
      <c r="N8" s="301">
        <f ca="1">ROUND(N6/N7*1000,-2)</f>
        <v>22500</v>
      </c>
    </row>
    <row r="9" spans="1:20">
      <c r="A9" s="2038" t="s">
        <v>695</v>
      </c>
      <c r="F9" t="s">
        <v>7</v>
      </c>
      <c r="G9" s="158">
        <v>296.93615321537618</v>
      </c>
      <c r="H9" s="158">
        <v>246.3457290504264</v>
      </c>
      <c r="I9" s="158">
        <v>636.76071451734003</v>
      </c>
      <c r="J9" s="158">
        <v>1231.7286452521321</v>
      </c>
    </row>
    <row r="10" spans="1:20">
      <c r="A10" s="2038" t="s">
        <v>696</v>
      </c>
      <c r="F10" t="s">
        <v>697</v>
      </c>
      <c r="G10" s="158">
        <v>60.20387918162578</v>
      </c>
      <c r="H10" s="158">
        <v>652.19422260725662</v>
      </c>
      <c r="I10" s="158">
        <v>652.19422260725662</v>
      </c>
      <c r="J10" s="158">
        <v>652.19422260725662</v>
      </c>
      <c r="M10" t="s">
        <v>698</v>
      </c>
    </row>
    <row r="11" spans="1:20">
      <c r="A11" s="2038" t="s">
        <v>675</v>
      </c>
      <c r="F11" t="s">
        <v>9</v>
      </c>
      <c r="G11" s="158">
        <v>3721.8684416610026</v>
      </c>
      <c r="H11" s="158">
        <v>4871.9358941532628</v>
      </c>
      <c r="I11" s="158">
        <v>5799.813118071238</v>
      </c>
      <c r="J11" s="158">
        <v>6931.0004073536738</v>
      </c>
      <c r="M11" s="2044" t="s">
        <v>699</v>
      </c>
      <c r="N11" s="158">
        <f ca="1">N6*0.9995</f>
        <v>99600.320391687521</v>
      </c>
      <c r="O11" s="2042">
        <f>I14</f>
        <v>59102.078564969204</v>
      </c>
    </row>
    <row r="12" spans="1:20">
      <c r="A12" s="2038" t="s">
        <v>700</v>
      </c>
      <c r="F12" t="s">
        <v>409</v>
      </c>
      <c r="G12" s="158">
        <v>27.628193867086146</v>
      </c>
      <c r="H12" s="158">
        <v>21.10629226000345</v>
      </c>
      <c r="I12" s="158">
        <v>17.729623482798736</v>
      </c>
      <c r="J12" s="158">
        <v>14.836026087215446</v>
      </c>
      <c r="M12" s="2044" t="s">
        <v>701</v>
      </c>
      <c r="N12" s="158">
        <f>I15</f>
        <v>44794.157886058929</v>
      </c>
    </row>
    <row r="13" spans="1:20">
      <c r="A13" s="2038" t="s">
        <v>696</v>
      </c>
      <c r="F13" t="s">
        <v>702</v>
      </c>
      <c r="M13" s="2044" t="s">
        <v>703</v>
      </c>
      <c r="N13" s="158">
        <f>I16-Rev_Year!L165</f>
        <v>15426.686217668206</v>
      </c>
    </row>
    <row r="14" spans="1:20">
      <c r="A14" s="2038" t="s">
        <v>675</v>
      </c>
      <c r="F14" t="s">
        <v>497</v>
      </c>
      <c r="H14" s="2042">
        <v>51480.884207347248</v>
      </c>
      <c r="I14" s="2042">
        <v>59102.078564969204</v>
      </c>
      <c r="J14" s="2042">
        <v>65501.199559528679</v>
      </c>
      <c r="M14" s="2048" t="s">
        <v>704</v>
      </c>
      <c r="N14" s="2043">
        <f ca="1">SUM(N11:N13)</f>
        <v>159821.16449541465</v>
      </c>
    </row>
    <row r="15" spans="1:20">
      <c r="A15" s="2038" t="s">
        <v>705</v>
      </c>
      <c r="F15" t="s">
        <v>701</v>
      </c>
      <c r="H15" s="2042">
        <v>31085.358764230852</v>
      </c>
      <c r="I15" s="2042">
        <v>44794.157886058929</v>
      </c>
      <c r="J15" s="2042">
        <v>57683.625819334571</v>
      </c>
      <c r="M15" s="2044" t="e" vm="2">
        <v>#VALUE!</v>
      </c>
      <c r="N15" s="32" cm="1">
        <f t="array" aca="1" ref="N15" ca="1">_FV(M15,"Shares outstanding",TRUE)/10^9</f>
        <v>1.4684569999999999</v>
      </c>
    </row>
    <row r="16" spans="1:20">
      <c r="A16" s="2038" t="s">
        <v>706</v>
      </c>
      <c r="F16" t="s">
        <v>707</v>
      </c>
      <c r="H16" s="2042">
        <v>18286.611223740787</v>
      </c>
      <c r="I16" s="2042">
        <v>18286.611223740787</v>
      </c>
      <c r="J16" s="2042">
        <v>18286.611223740787</v>
      </c>
      <c r="M16" s="2047" t="s">
        <v>708</v>
      </c>
      <c r="N16" s="301">
        <f ca="1">ROUND(N14/N15,-2)</f>
        <v>108800</v>
      </c>
    </row>
    <row r="17" spans="1:10">
      <c r="A17" s="2038" t="s">
        <v>686</v>
      </c>
      <c r="F17" t="s">
        <v>709</v>
      </c>
      <c r="H17" s="2042">
        <v>2268.3045903003299</v>
      </c>
      <c r="I17" s="2042">
        <v>3528.4738071338465</v>
      </c>
      <c r="J17" s="2042">
        <v>4990.2700986607269</v>
      </c>
    </row>
    <row r="18" spans="1:10">
      <c r="A18" s="2038" t="s">
        <v>710</v>
      </c>
      <c r="F18" t="s">
        <v>704</v>
      </c>
      <c r="H18" s="2042">
        <v>103121.15878561922</v>
      </c>
      <c r="I18" s="2042">
        <v>125711.32148190276</v>
      </c>
      <c r="J18" s="2042">
        <v>146461.70670126477</v>
      </c>
    </row>
    <row r="19" spans="1:10">
      <c r="A19" s="2038" t="s">
        <v>706</v>
      </c>
      <c r="H19" s="2042"/>
      <c r="I19" s="2042"/>
      <c r="J19" s="2042"/>
    </row>
    <row r="20" spans="1:10">
      <c r="A20" s="2038" t="s">
        <v>686</v>
      </c>
      <c r="F20" t="s">
        <v>711</v>
      </c>
      <c r="H20" s="2042">
        <v>69500</v>
      </c>
      <c r="I20" s="2042">
        <v>84700</v>
      </c>
      <c r="J20" s="2042">
        <v>98700</v>
      </c>
    </row>
    <row r="21" spans="1:10">
      <c r="A21" s="2038" t="s">
        <v>712</v>
      </c>
      <c r="F21" t="s">
        <v>713</v>
      </c>
      <c r="H21">
        <v>2.8860028860029363E-3</v>
      </c>
      <c r="I21">
        <v>0.22222222222222232</v>
      </c>
      <c r="J21">
        <v>0.42424242424242431</v>
      </c>
    </row>
    <row r="22" spans="1:10">
      <c r="A22" s="2038" t="s">
        <v>714</v>
      </c>
      <c r="F22" t="s">
        <v>715</v>
      </c>
      <c r="I22" t="s">
        <v>716</v>
      </c>
    </row>
    <row r="23" spans="1:10">
      <c r="A23" s="2038" t="s">
        <v>686</v>
      </c>
      <c r="F23" t="s">
        <v>717</v>
      </c>
      <c r="H23">
        <v>69300</v>
      </c>
    </row>
    <row r="24" spans="1:10">
      <c r="A24" s="2038" t="s">
        <v>718</v>
      </c>
    </row>
    <row r="25" spans="1:10">
      <c r="A25" s="2038" t="s">
        <v>719</v>
      </c>
    </row>
    <row r="26" spans="1:10">
      <c r="A26" s="2038" t="s">
        <v>675</v>
      </c>
    </row>
    <row r="27" spans="1:10">
      <c r="A27" s="2038" t="s">
        <v>720</v>
      </c>
    </row>
    <row r="28" spans="1:10">
      <c r="A28" s="2038" t="s">
        <v>721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2">
    <tabColor theme="8"/>
  </sheetPr>
  <dimension ref="A1:BE373"/>
  <sheetViews>
    <sheetView zoomScale="85" zoomScaleNormal="85" workbookViewId="0">
      <pane xSplit="3" ySplit="1" topLeftCell="T127" activePane="bottomRight" state="frozen"/>
      <selection pane="topRight" activeCell="D1" sqref="D1"/>
      <selection pane="bottomLeft" activeCell="A2" sqref="A2"/>
      <selection pane="bottomRight" activeCell="W131" sqref="W131"/>
    </sheetView>
  </sheetViews>
  <sheetFormatPr baseColWidth="10" defaultColWidth="9.1640625" defaultRowHeight="15" outlineLevelCol="1"/>
  <cols>
    <col min="1" max="1" width="9.1640625" style="129"/>
    <col min="2" max="2" width="10" style="148" customWidth="1"/>
    <col min="3" max="3" width="40" style="129" bestFit="1" customWidth="1"/>
    <col min="4" max="7" width="12.5" style="129" customWidth="1" outlineLevel="1"/>
    <col min="8" max="8" width="12.6640625" style="129" customWidth="1" outlineLevel="1"/>
    <col min="9" max="10" width="13.5" style="129" customWidth="1" outlineLevel="1"/>
    <col min="11" max="12" width="12.5" style="129" customWidth="1" outlineLevel="1"/>
    <col min="13" max="15" width="12.5" style="129" bestFit="1" customWidth="1"/>
    <col min="16" max="16" width="12.6640625" style="129" bestFit="1" customWidth="1"/>
    <col min="17" max="17" width="13.5" style="129" bestFit="1" customWidth="1"/>
    <col min="18" max="20" width="13.5" style="129" customWidth="1"/>
    <col min="21" max="21" width="12.5" style="129" customWidth="1" outlineLevel="1"/>
    <col min="22" max="22" width="13.5" style="129" customWidth="1" outlineLevel="1"/>
    <col min="23" max="23" width="13.5" style="288" customWidth="1" outlineLevel="1"/>
    <col min="24" max="24" width="13.5" style="129" customWidth="1" outlineLevel="1"/>
    <col min="25" max="34" width="9.1640625" style="129" customWidth="1" outlineLevel="1"/>
    <col min="35" max="42" width="9.1640625" style="129"/>
    <col min="43" max="50" width="9.1640625" style="129" hidden="1" customWidth="1" outlineLevel="1"/>
    <col min="51" max="51" width="9.1640625" style="129" collapsed="1"/>
    <col min="52" max="16384" width="9.1640625" style="129"/>
  </cols>
  <sheetData>
    <row r="1" spans="1:57" ht="16">
      <c r="A1" s="129">
        <v>1</v>
      </c>
      <c r="B1" s="130" t="s">
        <v>722</v>
      </c>
      <c r="C1" s="131"/>
      <c r="D1" s="132"/>
      <c r="E1" s="132">
        <f t="shared" ref="E1:O1" si="0">F1-1</f>
        <v>2006</v>
      </c>
      <c r="F1" s="132">
        <f t="shared" si="0"/>
        <v>2007</v>
      </c>
      <c r="G1" s="132">
        <f t="shared" si="0"/>
        <v>2008</v>
      </c>
      <c r="H1" s="132">
        <f t="shared" si="0"/>
        <v>2009</v>
      </c>
      <c r="I1" s="132">
        <f t="shared" si="0"/>
        <v>2010</v>
      </c>
      <c r="J1" s="132">
        <f t="shared" si="0"/>
        <v>2011</v>
      </c>
      <c r="K1" s="132">
        <f t="shared" si="0"/>
        <v>2012</v>
      </c>
      <c r="L1" s="132">
        <f t="shared" si="0"/>
        <v>2013</v>
      </c>
      <c r="M1" s="132">
        <f t="shared" si="0"/>
        <v>2014</v>
      </c>
      <c r="N1" s="132">
        <f t="shared" si="0"/>
        <v>2015</v>
      </c>
      <c r="O1" s="132">
        <f t="shared" si="0"/>
        <v>2016</v>
      </c>
      <c r="P1" s="132">
        <f>Q1-1</f>
        <v>2017</v>
      </c>
      <c r="Q1" s="132">
        <f>YEAR(Hist_Year)</f>
        <v>2018</v>
      </c>
      <c r="R1" s="132">
        <f>Q1+1</f>
        <v>2019</v>
      </c>
      <c r="S1" s="186">
        <v>2020</v>
      </c>
      <c r="T1" s="132">
        <f>S1+1</f>
        <v>2021</v>
      </c>
      <c r="U1" s="132">
        <v>2022</v>
      </c>
      <c r="V1" s="132">
        <f>U1+1</f>
        <v>2023</v>
      </c>
      <c r="W1" s="995">
        <f>V1+1</f>
        <v>2024</v>
      </c>
      <c r="X1" s="132"/>
      <c r="Y1" s="133"/>
      <c r="Z1" s="149" t="s">
        <v>723</v>
      </c>
      <c r="AA1" s="149" t="s">
        <v>724</v>
      </c>
      <c r="AB1" s="149" t="s">
        <v>725</v>
      </c>
      <c r="AC1" s="149" t="s">
        <v>726</v>
      </c>
      <c r="AD1" s="149" t="s">
        <v>727</v>
      </c>
      <c r="AE1" s="149" t="s">
        <v>728</v>
      </c>
      <c r="AF1" s="149" t="s">
        <v>729</v>
      </c>
      <c r="AG1" s="149" t="s">
        <v>730</v>
      </c>
      <c r="AH1" s="149" t="s">
        <v>731</v>
      </c>
      <c r="AI1" s="149" t="s">
        <v>732</v>
      </c>
      <c r="AJ1" s="149" t="s">
        <v>733</v>
      </c>
      <c r="AK1" s="149" t="s">
        <v>734</v>
      </c>
      <c r="AL1" s="149" t="s">
        <v>735</v>
      </c>
      <c r="AM1" s="149" t="s">
        <v>736</v>
      </c>
      <c r="AN1" s="149">
        <f>AM1+1</f>
        <v>2019</v>
      </c>
      <c r="AO1" s="149">
        <f>AN1+1</f>
        <v>2020</v>
      </c>
      <c r="AP1" s="133"/>
      <c r="AQ1" s="149" t="s">
        <v>724</v>
      </c>
      <c r="AR1" s="149" t="s">
        <v>725</v>
      </c>
      <c r="AS1" s="149" t="s">
        <v>726</v>
      </c>
      <c r="AT1" s="149" t="s">
        <v>727</v>
      </c>
      <c r="AU1" s="149" t="s">
        <v>728</v>
      </c>
      <c r="AV1" s="149" t="s">
        <v>729</v>
      </c>
      <c r="AW1" s="149" t="s">
        <v>730</v>
      </c>
      <c r="AX1" s="149" t="s">
        <v>731</v>
      </c>
      <c r="AY1" s="149" t="s">
        <v>732</v>
      </c>
      <c r="AZ1" s="149" t="s">
        <v>733</v>
      </c>
      <c r="BA1" s="149" t="s">
        <v>734</v>
      </c>
      <c r="BB1" s="149" t="s">
        <v>735</v>
      </c>
      <c r="BC1" s="149" t="s">
        <v>736</v>
      </c>
      <c r="BD1" s="149">
        <f>BC1+1</f>
        <v>2019</v>
      </c>
      <c r="BE1" s="149">
        <f>BD1+1</f>
        <v>2020</v>
      </c>
    </row>
    <row r="2" spans="1:57" s="136" customFormat="1" ht="16">
      <c r="B2" s="154" t="s">
        <v>666</v>
      </c>
      <c r="C2" s="134" t="s">
        <v>737</v>
      </c>
      <c r="D2" s="135"/>
      <c r="E2" s="135"/>
      <c r="F2" s="135"/>
      <c r="G2" s="135"/>
      <c r="H2" s="135">
        <v>2012.5182380000001</v>
      </c>
      <c r="I2" s="135">
        <v>2866.1242703150001</v>
      </c>
      <c r="J2" s="135">
        <v>5431.2017319269999</v>
      </c>
      <c r="K2" s="135">
        <v>7398.101801328</v>
      </c>
      <c r="L2" s="135">
        <v>9544.5408921710005</v>
      </c>
      <c r="M2" s="135">
        <v>15836.649248254</v>
      </c>
      <c r="N2" s="135">
        <v>25388.072018729999</v>
      </c>
      <c r="O2" s="135">
        <v>45612.676802016002</v>
      </c>
      <c r="P2" s="135">
        <v>67698.540686709006</v>
      </c>
      <c r="Q2" s="135">
        <v>87738.378978635999</v>
      </c>
      <c r="R2" s="111">
        <v>103485.046672447</v>
      </c>
      <c r="S2" s="111">
        <v>109801.253690656</v>
      </c>
      <c r="T2" s="111">
        <v>124141.525689948</v>
      </c>
      <c r="U2" s="111">
        <v>134722.24888755701</v>
      </c>
      <c r="V2" s="111">
        <v>119234.18482508601</v>
      </c>
      <c r="W2" s="155">
        <v>135225.101298992</v>
      </c>
      <c r="X2" s="111"/>
      <c r="Z2" s="137" t="e">
        <f t="shared" ref="Z2:Z26" si="1">D2/D$2</f>
        <v>#DIV/0!</v>
      </c>
      <c r="AA2" s="137" t="e">
        <f t="shared" ref="AA2:AM21" si="2">E2/E$2</f>
        <v>#DIV/0!</v>
      </c>
      <c r="AB2" s="137" t="e">
        <f t="shared" si="2"/>
        <v>#DIV/0!</v>
      </c>
      <c r="AC2" s="137" t="e">
        <f t="shared" si="2"/>
        <v>#DIV/0!</v>
      </c>
      <c r="AD2" s="137">
        <f t="shared" si="2"/>
        <v>1</v>
      </c>
      <c r="AE2" s="137">
        <f t="shared" si="2"/>
        <v>1</v>
      </c>
      <c r="AF2" s="137">
        <f t="shared" si="2"/>
        <v>1</v>
      </c>
      <c r="AG2" s="137">
        <f t="shared" si="2"/>
        <v>1</v>
      </c>
      <c r="AH2" s="137">
        <f t="shared" si="2"/>
        <v>1</v>
      </c>
      <c r="AI2" s="162"/>
      <c r="AJ2" s="162"/>
      <c r="AK2" s="162"/>
      <c r="AL2" s="162"/>
      <c r="AM2" s="162"/>
      <c r="AN2" s="162"/>
      <c r="AO2" s="162"/>
      <c r="AP2" s="138"/>
      <c r="AQ2" s="139" t="str">
        <f t="shared" ref="AQ2:AQ26" si="3">IFERROR(E2/D2-1,"")</f>
        <v/>
      </c>
      <c r="AR2" s="139" t="str">
        <f t="shared" ref="AR2:BE17" si="4">IFERROR(F2/E2-1,"")</f>
        <v/>
      </c>
      <c r="AS2" s="139" t="str">
        <f t="shared" si="4"/>
        <v/>
      </c>
      <c r="AT2" s="139" t="str">
        <f t="shared" si="4"/>
        <v/>
      </c>
      <c r="AU2" s="139">
        <f t="shared" si="4"/>
        <v>0.4241482219625976</v>
      </c>
      <c r="AV2" s="139">
        <f t="shared" si="4"/>
        <v>0.89496379768979306</v>
      </c>
      <c r="AW2" s="139">
        <f t="shared" si="4"/>
        <v>0.36214822547258629</v>
      </c>
      <c r="AX2" s="139">
        <f t="shared" si="4"/>
        <v>0.29013375977844791</v>
      </c>
      <c r="AY2" s="139">
        <f t="shared" si="4"/>
        <v>0.65923635585700735</v>
      </c>
      <c r="AZ2" s="139">
        <f t="shared" si="4"/>
        <v>0.60312144448921545</v>
      </c>
      <c r="BA2" s="139">
        <f t="shared" si="4"/>
        <v>0.79661837922806189</v>
      </c>
      <c r="BB2" s="139">
        <f t="shared" si="4"/>
        <v>0.48420451140277843</v>
      </c>
      <c r="BC2" s="139">
        <f t="shared" si="4"/>
        <v>0.29601580903591529</v>
      </c>
      <c r="BD2" s="139">
        <f t="shared" si="4"/>
        <v>0.17947297268445395</v>
      </c>
      <c r="BE2" s="139">
        <f t="shared" si="4"/>
        <v>6.1034972890346095E-2</v>
      </c>
    </row>
    <row r="3" spans="1:57" ht="16">
      <c r="B3" s="140" t="s">
        <v>738</v>
      </c>
      <c r="C3" s="127" t="s">
        <v>739</v>
      </c>
      <c r="D3" s="128"/>
      <c r="E3" s="128"/>
      <c r="F3" s="128"/>
      <c r="G3" s="128"/>
      <c r="H3" s="128">
        <v>-52.601053999999998</v>
      </c>
      <c r="I3" s="128">
        <v>-49.522088130999997</v>
      </c>
      <c r="J3" s="128">
        <v>-43.695521306000003</v>
      </c>
      <c r="K3" s="128">
        <v>-23.135412286000001</v>
      </c>
      <c r="L3" s="128">
        <v>-45.691574828</v>
      </c>
      <c r="M3" s="128">
        <v>-79.923391577999993</v>
      </c>
      <c r="N3" s="128">
        <v>-135.33893948599999</v>
      </c>
      <c r="O3" s="128">
        <v>-999.344129028</v>
      </c>
      <c r="P3" s="128">
        <v>-1358.7364945310001</v>
      </c>
      <c r="Q3" s="128">
        <v>-1222.0919761370001</v>
      </c>
      <c r="R3" s="110">
        <v>-1310.8026957239999</v>
      </c>
      <c r="S3" s="110">
        <v>-1255.2340252439999</v>
      </c>
      <c r="T3" s="110">
        <v>-1183.419586774</v>
      </c>
      <c r="U3" s="110">
        <v>-1317.4712970329999</v>
      </c>
      <c r="V3" s="110">
        <v>-954.39636964399995</v>
      </c>
      <c r="W3" s="158">
        <v>-883.94845019000002</v>
      </c>
      <c r="X3" s="110"/>
      <c r="Z3" s="137" t="e">
        <f t="shared" si="1"/>
        <v>#DIV/0!</v>
      </c>
      <c r="AA3" s="137" t="e">
        <f t="shared" si="2"/>
        <v>#DIV/0!</v>
      </c>
      <c r="AB3" s="137" t="e">
        <f t="shared" si="2"/>
        <v>#DIV/0!</v>
      </c>
      <c r="AC3" s="137" t="e">
        <f t="shared" si="2"/>
        <v>#DIV/0!</v>
      </c>
      <c r="AD3" s="137">
        <f t="shared" si="2"/>
        <v>-2.6136932827139921E-2</v>
      </c>
      <c r="AE3" s="137">
        <f t="shared" si="2"/>
        <v>-1.7278416237533654E-2</v>
      </c>
      <c r="AF3" s="137">
        <f t="shared" si="2"/>
        <v>-8.0452768029473948E-3</v>
      </c>
      <c r="AG3" s="137">
        <f t="shared" si="2"/>
        <v>-3.1272092365432261E-3</v>
      </c>
      <c r="AH3" s="137">
        <f t="shared" si="2"/>
        <v>-4.7871946219517946E-3</v>
      </c>
      <c r="AI3" s="163"/>
      <c r="AJ3" s="163"/>
      <c r="AK3" s="163"/>
      <c r="AL3" s="163"/>
      <c r="AM3" s="163"/>
      <c r="AN3" s="163"/>
      <c r="AO3" s="163"/>
      <c r="AP3" s="141"/>
      <c r="AQ3" s="142" t="str">
        <f t="shared" si="3"/>
        <v/>
      </c>
      <c r="AR3" s="142" t="str">
        <f t="shared" si="4"/>
        <v/>
      </c>
      <c r="AS3" s="142" t="str">
        <f t="shared" si="4"/>
        <v/>
      </c>
      <c r="AT3" s="142" t="str">
        <f t="shared" si="4"/>
        <v/>
      </c>
      <c r="AU3" s="142">
        <f t="shared" si="4"/>
        <v>-5.8534299883040375E-2</v>
      </c>
      <c r="AV3" s="142">
        <f t="shared" si="4"/>
        <v>-0.11765591970974787</v>
      </c>
      <c r="AW3" s="142">
        <f t="shared" si="4"/>
        <v>-0.47053126740421369</v>
      </c>
      <c r="AX3" s="142">
        <f t="shared" si="4"/>
        <v>0.97496263577068287</v>
      </c>
      <c r="AY3" s="142">
        <f t="shared" si="4"/>
        <v>0.74919319106117976</v>
      </c>
      <c r="AZ3" s="142">
        <f t="shared" si="4"/>
        <v>0.69335831242744561</v>
      </c>
      <c r="BA3" s="142">
        <f t="shared" si="4"/>
        <v>6.3840103433895772</v>
      </c>
      <c r="BB3" s="142">
        <f t="shared" si="4"/>
        <v>0.35962823522319454</v>
      </c>
      <c r="BC3" s="142">
        <f t="shared" si="4"/>
        <v>-0.10056734248620158</v>
      </c>
      <c r="BD3" s="142">
        <f t="shared" si="4"/>
        <v>7.2589233314019452E-2</v>
      </c>
      <c r="BE3" s="142">
        <f t="shared" si="4"/>
        <v>-4.2392856423985048E-2</v>
      </c>
    </row>
    <row r="4" spans="1:57" s="136" customFormat="1" ht="16">
      <c r="B4" s="154" t="s">
        <v>395</v>
      </c>
      <c r="C4" s="134" t="s">
        <v>740</v>
      </c>
      <c r="D4" s="135"/>
      <c r="E4" s="135"/>
      <c r="F4" s="135"/>
      <c r="G4" s="135"/>
      <c r="H4" s="135">
        <v>1959.9171839999999</v>
      </c>
      <c r="I4" s="135">
        <v>2816.602182184</v>
      </c>
      <c r="J4" s="135">
        <v>5387.5062106209998</v>
      </c>
      <c r="K4" s="135">
        <v>7374.9663890419997</v>
      </c>
      <c r="L4" s="135">
        <v>9498.8493173429997</v>
      </c>
      <c r="M4" s="135">
        <v>15756.725856675999</v>
      </c>
      <c r="N4" s="135">
        <v>25252.733079244001</v>
      </c>
      <c r="O4" s="135">
        <v>44613.332672987999</v>
      </c>
      <c r="P4" s="135">
        <v>66339.804192177995</v>
      </c>
      <c r="Q4" s="135">
        <v>86516.287002498997</v>
      </c>
      <c r="R4" s="111">
        <v>102174.243976723</v>
      </c>
      <c r="S4" s="111">
        <v>108546.01966541199</v>
      </c>
      <c r="T4" s="111">
        <v>122958.106103174</v>
      </c>
      <c r="U4" s="111">
        <v>133404.777590524</v>
      </c>
      <c r="V4" s="111">
        <v>118279.788455442</v>
      </c>
      <c r="W4" s="155">
        <v>134341.15284880201</v>
      </c>
      <c r="X4" s="111"/>
      <c r="Y4" s="37"/>
      <c r="Z4" s="137" t="e">
        <f t="shared" si="1"/>
        <v>#DIV/0!</v>
      </c>
      <c r="AA4" s="137" t="e">
        <f t="shared" si="2"/>
        <v>#DIV/0!</v>
      </c>
      <c r="AB4" s="137" t="e">
        <f t="shared" si="2"/>
        <v>#DIV/0!</v>
      </c>
      <c r="AC4" s="137" t="e">
        <f t="shared" si="2"/>
        <v>#DIV/0!</v>
      </c>
      <c r="AD4" s="137">
        <f t="shared" si="2"/>
        <v>0.97386306717285998</v>
      </c>
      <c r="AE4" s="137">
        <f t="shared" si="2"/>
        <v>0.98272158376246632</v>
      </c>
      <c r="AF4" s="137">
        <f t="shared" si="2"/>
        <v>0.99195472319705258</v>
      </c>
      <c r="AG4" s="137">
        <f t="shared" si="2"/>
        <v>0.9968727907634567</v>
      </c>
      <c r="AH4" s="137">
        <f t="shared" si="2"/>
        <v>0.99521280537804813</v>
      </c>
      <c r="AI4" s="162"/>
      <c r="AJ4" s="162"/>
      <c r="AK4" s="162"/>
      <c r="AL4" s="162"/>
      <c r="AM4" s="162"/>
      <c r="AN4" s="162"/>
      <c r="AO4" s="162"/>
      <c r="AP4" s="138"/>
      <c r="AQ4" s="139" t="str">
        <f t="shared" si="3"/>
        <v/>
      </c>
      <c r="AR4" s="139" t="str">
        <f t="shared" si="4"/>
        <v/>
      </c>
      <c r="AS4" s="139" t="str">
        <f t="shared" si="4"/>
        <v/>
      </c>
      <c r="AT4" s="139" t="str">
        <f t="shared" si="4"/>
        <v/>
      </c>
      <c r="AU4" s="139">
        <f t="shared" si="4"/>
        <v>0.43710265167204132</v>
      </c>
      <c r="AV4" s="139">
        <f t="shared" si="4"/>
        <v>0.91276788916051843</v>
      </c>
      <c r="AW4" s="139">
        <f t="shared" si="4"/>
        <v>0.36890169602085932</v>
      </c>
      <c r="AX4" s="139">
        <f t="shared" si="4"/>
        <v>0.28798543834135226</v>
      </c>
      <c r="AY4" s="139">
        <f t="shared" si="4"/>
        <v>0.65880364350104692</v>
      </c>
      <c r="AZ4" s="139">
        <f t="shared" si="4"/>
        <v>0.60266373286837505</v>
      </c>
      <c r="BA4" s="139">
        <f t="shared" si="4"/>
        <v>0.76667343423738443</v>
      </c>
      <c r="BB4" s="139">
        <f t="shared" si="4"/>
        <v>0.4869950352833583</v>
      </c>
      <c r="BC4" s="139">
        <f t="shared" si="4"/>
        <v>0.30413841367201333</v>
      </c>
      <c r="BD4" s="139">
        <f t="shared" si="4"/>
        <v>0.18098276656014756</v>
      </c>
      <c r="BE4" s="139">
        <f t="shared" si="4"/>
        <v>6.2361857946711119E-2</v>
      </c>
    </row>
    <row r="5" spans="1:57" ht="16">
      <c r="B5" s="140" t="s">
        <v>741</v>
      </c>
      <c r="C5" s="127" t="s">
        <v>742</v>
      </c>
      <c r="D5" s="128"/>
      <c r="E5" s="128"/>
      <c r="F5" s="128"/>
      <c r="G5" s="128"/>
      <c r="H5" s="128">
        <v>-1730.6330419999999</v>
      </c>
      <c r="I5" s="128">
        <v>-2308.159135417</v>
      </c>
      <c r="J5" s="128">
        <v>-4431.5364762589998</v>
      </c>
      <c r="K5" s="128">
        <v>-6180.4258573360003</v>
      </c>
      <c r="L5" s="128">
        <v>-8091.4841025659998</v>
      </c>
      <c r="M5" s="168">
        <v>-13360.606457365</v>
      </c>
      <c r="N5" s="128">
        <v>-21330.302185370001</v>
      </c>
      <c r="O5" s="128">
        <v>-37399.226360426001</v>
      </c>
      <c r="P5" s="128">
        <v>-55198.024925234997</v>
      </c>
      <c r="Q5" s="128">
        <v>-71224.159239435001</v>
      </c>
      <c r="R5" s="110">
        <v>-82686.444673011996</v>
      </c>
      <c r="S5" s="110">
        <v>-84591.522392949002</v>
      </c>
      <c r="T5" s="110">
        <v>-95325.974107639995</v>
      </c>
      <c r="U5" s="110">
        <v>-102622.56222266299</v>
      </c>
      <c r="V5" s="110">
        <v>-95759.175291712003</v>
      </c>
      <c r="W5" s="158">
        <v>-106841.942771781</v>
      </c>
      <c r="X5" s="110"/>
      <c r="Z5" s="137" t="e">
        <f t="shared" si="1"/>
        <v>#DIV/0!</v>
      </c>
      <c r="AA5" s="137" t="e">
        <f t="shared" si="2"/>
        <v>#DIV/0!</v>
      </c>
      <c r="AB5" s="137" t="e">
        <f t="shared" si="2"/>
        <v>#DIV/0!</v>
      </c>
      <c r="AC5" s="137" t="e">
        <f t="shared" si="2"/>
        <v>#DIV/0!</v>
      </c>
      <c r="AD5" s="137">
        <f t="shared" si="2"/>
        <v>-0.85993409119107811</v>
      </c>
      <c r="AE5" s="137">
        <f t="shared" si="2"/>
        <v>-0.80532416522306716</v>
      </c>
      <c r="AF5" s="137">
        <f t="shared" si="2"/>
        <v>-0.81594031947082235</v>
      </c>
      <c r="AG5" s="137">
        <f t="shared" si="2"/>
        <v>-0.83540697645260564</v>
      </c>
      <c r="AH5" s="137">
        <f t="shared" si="2"/>
        <v>-0.84776043122232481</v>
      </c>
      <c r="AI5" s="162">
        <f t="shared" si="2"/>
        <v>-0.84365109360731816</v>
      </c>
      <c r="AJ5" s="162">
        <f t="shared" si="2"/>
        <v>-0.84017022519999207</v>
      </c>
      <c r="AK5" s="162">
        <f t="shared" si="2"/>
        <v>-0.81993053209218847</v>
      </c>
      <c r="AL5" s="162">
        <f t="shared" si="2"/>
        <v>-0.81535029212338417</v>
      </c>
      <c r="AM5" s="162">
        <f t="shared" si="2"/>
        <v>-0.811778836907596</v>
      </c>
      <c r="AN5" s="162">
        <f t="shared" ref="AN5:AO19" si="5">R5/R$2</f>
        <v>-0.79901828652339335</v>
      </c>
      <c r="AO5" s="162">
        <f t="shared" si="5"/>
        <v>-0.770405797289614</v>
      </c>
      <c r="AP5" s="141"/>
      <c r="AQ5" s="142" t="str">
        <f t="shared" si="3"/>
        <v/>
      </c>
      <c r="AR5" s="142" t="str">
        <f t="shared" si="4"/>
        <v/>
      </c>
      <c r="AS5" s="142" t="str">
        <f t="shared" si="4"/>
        <v/>
      </c>
      <c r="AT5" s="142" t="str">
        <f t="shared" si="4"/>
        <v/>
      </c>
      <c r="AU5" s="142">
        <f t="shared" si="4"/>
        <v>0.33370800129274314</v>
      </c>
      <c r="AV5" s="142">
        <f t="shared" si="4"/>
        <v>0.91994408369004543</v>
      </c>
      <c r="AW5" s="142">
        <f t="shared" si="4"/>
        <v>0.39464627910574546</v>
      </c>
      <c r="AX5" s="142">
        <f t="shared" si="4"/>
        <v>0.30921141832995613</v>
      </c>
      <c r="AY5" s="142">
        <f t="shared" si="4"/>
        <v>0.65119356202257594</v>
      </c>
      <c r="AZ5" s="142">
        <f t="shared" si="4"/>
        <v>0.59650703382642689</v>
      </c>
      <c r="BA5" s="142">
        <f t="shared" si="4"/>
        <v>0.75333785876120074</v>
      </c>
      <c r="BB5" s="142">
        <f t="shared" si="4"/>
        <v>0.47591354947499132</v>
      </c>
      <c r="BC5" s="142">
        <f t="shared" si="4"/>
        <v>0.29033890860963218</v>
      </c>
      <c r="BD5" s="142">
        <f t="shared" si="4"/>
        <v>0.16093254811255986</v>
      </c>
      <c r="BE5" s="142">
        <f t="shared" si="4"/>
        <v>2.3039782729451508E-2</v>
      </c>
    </row>
    <row r="6" spans="1:57" s="136" customFormat="1" ht="16">
      <c r="B6" s="154" t="s">
        <v>743</v>
      </c>
      <c r="C6" s="134" t="s">
        <v>529</v>
      </c>
      <c r="D6" s="135"/>
      <c r="E6" s="135"/>
      <c r="F6" s="135"/>
      <c r="G6" s="135"/>
      <c r="H6" s="135">
        <v>229.284142</v>
      </c>
      <c r="I6" s="135">
        <v>508.443046767</v>
      </c>
      <c r="J6" s="135">
        <v>955.96973436200005</v>
      </c>
      <c r="K6" s="135">
        <v>1194.5405317059999</v>
      </c>
      <c r="L6" s="135">
        <v>1407.3652147769999</v>
      </c>
      <c r="M6" s="135">
        <v>2396.1193993110001</v>
      </c>
      <c r="N6" s="135">
        <v>3922.430893874</v>
      </c>
      <c r="O6" s="135">
        <v>7214.1063125620003</v>
      </c>
      <c r="P6" s="135">
        <v>11141.779266943</v>
      </c>
      <c r="Q6" s="135">
        <v>15292.127763064</v>
      </c>
      <c r="R6" s="111">
        <v>19487.799303710999</v>
      </c>
      <c r="S6" s="111">
        <v>23954.497272462999</v>
      </c>
      <c r="T6" s="111">
        <v>27632.131995534</v>
      </c>
      <c r="U6" s="111">
        <v>30782.215367861001</v>
      </c>
      <c r="V6" s="111">
        <v>22520.613163729999</v>
      </c>
      <c r="W6" s="155">
        <v>27499.210077021002</v>
      </c>
      <c r="X6" s="111"/>
      <c r="Z6" s="137" t="e">
        <f t="shared" si="1"/>
        <v>#DIV/0!</v>
      </c>
      <c r="AA6" s="137" t="e">
        <f t="shared" si="2"/>
        <v>#DIV/0!</v>
      </c>
      <c r="AB6" s="137" t="e">
        <f t="shared" si="2"/>
        <v>#DIV/0!</v>
      </c>
      <c r="AC6" s="137" t="e">
        <f t="shared" si="2"/>
        <v>#DIV/0!</v>
      </c>
      <c r="AD6" s="137">
        <f t="shared" si="2"/>
        <v>0.11392897598178188</v>
      </c>
      <c r="AE6" s="137">
        <f t="shared" si="2"/>
        <v>0.17739741853939914</v>
      </c>
      <c r="AF6" s="137">
        <f t="shared" si="2"/>
        <v>0.17601440372623028</v>
      </c>
      <c r="AG6" s="137">
        <f t="shared" si="2"/>
        <v>0.16146581431085111</v>
      </c>
      <c r="AH6" s="137">
        <f t="shared" si="2"/>
        <v>0.14745237415572335</v>
      </c>
      <c r="AI6" s="164">
        <f t="shared" si="2"/>
        <v>0.15130217015920674</v>
      </c>
      <c r="AJ6" s="164">
        <f t="shared" si="2"/>
        <v>0.15449896671871083</v>
      </c>
      <c r="AK6" s="164">
        <f t="shared" si="2"/>
        <v>0.15816011728220145</v>
      </c>
      <c r="AL6" s="164">
        <f t="shared" si="2"/>
        <v>0.16457931225584635</v>
      </c>
      <c r="AM6" s="164">
        <f t="shared" si="2"/>
        <v>0.17429234436605651</v>
      </c>
      <c r="AN6" s="164">
        <f t="shared" si="5"/>
        <v>0.18831512310560367</v>
      </c>
      <c r="AO6" s="164">
        <f>S6/S$2</f>
        <v>0.2181623293660217</v>
      </c>
      <c r="AP6" s="138"/>
      <c r="AQ6" s="139" t="str">
        <f t="shared" si="3"/>
        <v/>
      </c>
      <c r="AR6" s="139" t="str">
        <f t="shared" si="4"/>
        <v/>
      </c>
      <c r="AS6" s="139" t="str">
        <f t="shared" si="4"/>
        <v/>
      </c>
      <c r="AT6" s="139" t="str">
        <f t="shared" si="4"/>
        <v/>
      </c>
      <c r="AU6" s="139">
        <f t="shared" si="4"/>
        <v>1.217523821455563</v>
      </c>
      <c r="AV6" s="139">
        <f t="shared" si="4"/>
        <v>0.88019039780493724</v>
      </c>
      <c r="AW6" s="139">
        <f t="shared" si="4"/>
        <v>0.24955894393792555</v>
      </c>
      <c r="AX6" s="139">
        <f t="shared" si="4"/>
        <v>0.17816447196400387</v>
      </c>
      <c r="AY6" s="139">
        <f t="shared" si="4"/>
        <v>0.70255692989446983</v>
      </c>
      <c r="AZ6" s="139">
        <f t="shared" si="4"/>
        <v>0.63699308765743812</v>
      </c>
      <c r="BA6" s="139">
        <f t="shared" si="4"/>
        <v>0.83919271180249333</v>
      </c>
      <c r="BB6" s="139">
        <f t="shared" si="4"/>
        <v>0.5444434534519822</v>
      </c>
      <c r="BC6" s="139">
        <f t="shared" si="4"/>
        <v>0.37250320587797292</v>
      </c>
      <c r="BD6" s="139">
        <f t="shared" si="4"/>
        <v>0.27436806739092634</v>
      </c>
      <c r="BE6" s="139">
        <f t="shared" si="4"/>
        <v>0.22920484243192196</v>
      </c>
    </row>
    <row r="7" spans="1:57" ht="16">
      <c r="B7" s="140" t="s">
        <v>542</v>
      </c>
      <c r="C7" s="127" t="s">
        <v>537</v>
      </c>
      <c r="D7" s="128"/>
      <c r="E7" s="128"/>
      <c r="F7" s="128"/>
      <c r="G7" s="128"/>
      <c r="H7" s="128">
        <v>5.5510060000000001</v>
      </c>
      <c r="I7" s="128">
        <v>7.4535216889999996</v>
      </c>
      <c r="J7" s="128">
        <v>7.6386726190000003</v>
      </c>
      <c r="K7" s="128">
        <v>3.1950069659999998</v>
      </c>
      <c r="L7" s="128">
        <v>29.466115267999999</v>
      </c>
      <c r="M7" s="128">
        <v>71.335314202000006</v>
      </c>
      <c r="N7" s="128">
        <v>80.985820412999999</v>
      </c>
      <c r="O7" s="128">
        <v>135.32770073200001</v>
      </c>
      <c r="P7" s="128">
        <v>250.50980812700001</v>
      </c>
      <c r="Q7" s="128">
        <v>342.083875229</v>
      </c>
      <c r="R7" s="110">
        <v>631.17785435099995</v>
      </c>
      <c r="S7" s="110">
        <v>794.12178266700005</v>
      </c>
      <c r="T7" s="110">
        <v>1287.9560261629999</v>
      </c>
      <c r="U7" s="110">
        <v>1313.1373043230001</v>
      </c>
      <c r="V7" s="110">
        <v>2166.9637150909998</v>
      </c>
      <c r="W7" s="158">
        <v>2376.5026052630001</v>
      </c>
      <c r="X7" s="110"/>
      <c r="Z7" s="137" t="e">
        <f t="shared" si="1"/>
        <v>#DIV/0!</v>
      </c>
      <c r="AA7" s="137" t="e">
        <f t="shared" si="2"/>
        <v>#DIV/0!</v>
      </c>
      <c r="AB7" s="137" t="e">
        <f t="shared" si="2"/>
        <v>#DIV/0!</v>
      </c>
      <c r="AC7" s="137" t="e">
        <f t="shared" si="2"/>
        <v>#DIV/0!</v>
      </c>
      <c r="AD7" s="137">
        <f t="shared" si="2"/>
        <v>2.7582388547775236E-3</v>
      </c>
      <c r="AE7" s="137">
        <f t="shared" si="2"/>
        <v>2.6005577518733421E-3</v>
      </c>
      <c r="AF7" s="137">
        <f t="shared" si="2"/>
        <v>1.4064424405553771E-3</v>
      </c>
      <c r="AG7" s="137">
        <f t="shared" si="2"/>
        <v>4.3186847813130638E-4</v>
      </c>
      <c r="AH7" s="137">
        <f t="shared" si="2"/>
        <v>3.0872218581168066E-3</v>
      </c>
      <c r="AI7" s="164">
        <f t="shared" si="2"/>
        <v>4.5044449165826395E-3</v>
      </c>
      <c r="AJ7" s="164">
        <f t="shared" si="2"/>
        <v>3.1899161288518824E-3</v>
      </c>
      <c r="AK7" s="164">
        <f t="shared" si="2"/>
        <v>2.9668879403722862E-3</v>
      </c>
      <c r="AL7" s="164">
        <f t="shared" si="2"/>
        <v>3.7003723505103802E-3</v>
      </c>
      <c r="AM7" s="164">
        <f t="shared" si="2"/>
        <v>3.898908085734024E-3</v>
      </c>
      <c r="AN7" s="164">
        <f t="shared" si="5"/>
        <v>6.0992179512545141E-3</v>
      </c>
      <c r="AO7" s="164">
        <f t="shared" si="5"/>
        <v>7.2323562434385867E-3</v>
      </c>
      <c r="AP7" s="141"/>
      <c r="AQ7" s="142" t="str">
        <f t="shared" si="3"/>
        <v/>
      </c>
      <c r="AR7" s="142" t="str">
        <f t="shared" si="4"/>
        <v/>
      </c>
      <c r="AS7" s="142" t="str">
        <f t="shared" si="4"/>
        <v/>
      </c>
      <c r="AT7" s="142" t="str">
        <f t="shared" si="4"/>
        <v/>
      </c>
      <c r="AU7" s="142">
        <f t="shared" si="4"/>
        <v>0.34273349533399888</v>
      </c>
      <c r="AV7" s="142">
        <f t="shared" si="4"/>
        <v>2.4840731365046942E-2</v>
      </c>
      <c r="AW7" s="142">
        <f t="shared" si="4"/>
        <v>-0.58173270077671335</v>
      </c>
      <c r="AX7" s="142">
        <f t="shared" si="4"/>
        <v>8.222551181129413</v>
      </c>
      <c r="AY7" s="142">
        <f t="shared" si="4"/>
        <v>1.4209270055856216</v>
      </c>
      <c r="AZ7" s="142">
        <f t="shared" si="4"/>
        <v>0.13528371352893576</v>
      </c>
      <c r="BA7" s="142">
        <f t="shared" si="4"/>
        <v>0.67100487519759633</v>
      </c>
      <c r="BB7" s="142">
        <f t="shared" si="4"/>
        <v>0.85113474013058199</v>
      </c>
      <c r="BC7" s="142">
        <f t="shared" si="4"/>
        <v>0.3655508252817592</v>
      </c>
      <c r="BD7" s="142">
        <f t="shared" si="4"/>
        <v>0.84509677320649157</v>
      </c>
      <c r="BE7" s="142">
        <f t="shared" si="4"/>
        <v>0.25815850032245669</v>
      </c>
    </row>
    <row r="8" spans="1:57" ht="16">
      <c r="B8" s="140" t="s">
        <v>549</v>
      </c>
      <c r="C8" s="127" t="s">
        <v>338</v>
      </c>
      <c r="D8" s="128"/>
      <c r="E8" s="128"/>
      <c r="F8" s="128"/>
      <c r="G8" s="128"/>
      <c r="H8" s="128">
        <v>-3.7626200000000001</v>
      </c>
      <c r="I8" s="128">
        <v>-13.152422779</v>
      </c>
      <c r="J8" s="128">
        <v>-27.855845141</v>
      </c>
      <c r="K8" s="128">
        <v>-56.440741017000001</v>
      </c>
      <c r="L8" s="128">
        <v>-26.843253776000001</v>
      </c>
      <c r="M8" s="128">
        <v>-21.291413995999999</v>
      </c>
      <c r="N8" s="128">
        <v>-40.666093756000002</v>
      </c>
      <c r="O8" s="128">
        <v>-120.085861346</v>
      </c>
      <c r="P8" s="128">
        <v>-234.28659627499999</v>
      </c>
      <c r="Q8" s="128">
        <v>-436.573150236</v>
      </c>
      <c r="R8" s="110">
        <v>-569.75484484399999</v>
      </c>
      <c r="S8" s="110">
        <v>-594.15151375100004</v>
      </c>
      <c r="T8" s="110">
        <v>-714.70722574499996</v>
      </c>
      <c r="U8" s="110">
        <v>-1382.6204545319999</v>
      </c>
      <c r="V8" s="110">
        <v>-1556.146106982</v>
      </c>
      <c r="W8" s="158">
        <v>-1188.4656095099999</v>
      </c>
      <c r="X8" s="110"/>
      <c r="Z8" s="137" t="e">
        <f t="shared" si="1"/>
        <v>#DIV/0!</v>
      </c>
      <c r="AA8" s="137" t="e">
        <f t="shared" si="2"/>
        <v>#DIV/0!</v>
      </c>
      <c r="AB8" s="137" t="e">
        <f t="shared" si="2"/>
        <v>#DIV/0!</v>
      </c>
      <c r="AC8" s="137" t="e">
        <f t="shared" si="2"/>
        <v>#DIV/0!</v>
      </c>
      <c r="AD8" s="137">
        <f t="shared" si="2"/>
        <v>-1.8696079016601687E-3</v>
      </c>
      <c r="AE8" s="137">
        <f t="shared" si="2"/>
        <v>-4.5889227188165467E-3</v>
      </c>
      <c r="AF8" s="137">
        <f t="shared" si="2"/>
        <v>-5.128854812600875E-3</v>
      </c>
      <c r="AG8" s="137">
        <f t="shared" si="2"/>
        <v>-7.6290841262644663E-3</v>
      </c>
      <c r="AH8" s="137">
        <f t="shared" si="2"/>
        <v>-2.8124195892982587E-3</v>
      </c>
      <c r="AI8" s="164">
        <f t="shared" si="2"/>
        <v>-1.3444393231319049E-3</v>
      </c>
      <c r="AJ8" s="164">
        <f t="shared" si="2"/>
        <v>-1.6017795177986998E-3</v>
      </c>
      <c r="AK8" s="164">
        <f t="shared" si="2"/>
        <v>-2.6327299725740368E-3</v>
      </c>
      <c r="AL8" s="164">
        <f t="shared" si="2"/>
        <v>-3.4607333318928775E-3</v>
      </c>
      <c r="AM8" s="164">
        <f t="shared" si="2"/>
        <v>-4.9758515636846232E-3</v>
      </c>
      <c r="AN8" s="164">
        <f t="shared" si="5"/>
        <v>-5.5056731688724048E-3</v>
      </c>
      <c r="AO8" s="164">
        <f t="shared" si="5"/>
        <v>-5.4111541879558874E-3</v>
      </c>
      <c r="AP8" s="141"/>
      <c r="AQ8" s="142" t="str">
        <f t="shared" si="3"/>
        <v/>
      </c>
      <c r="AR8" s="142" t="str">
        <f t="shared" si="4"/>
        <v/>
      </c>
      <c r="AS8" s="142" t="str">
        <f t="shared" si="4"/>
        <v/>
      </c>
      <c r="AT8" s="142" t="str">
        <f t="shared" si="4"/>
        <v/>
      </c>
      <c r="AU8" s="142">
        <f t="shared" si="4"/>
        <v>2.4955490533192295</v>
      </c>
      <c r="AV8" s="142">
        <f t="shared" si="4"/>
        <v>1.117925009639777</v>
      </c>
      <c r="AW8" s="142">
        <f t="shared" si="4"/>
        <v>1.0261722712525758</v>
      </c>
      <c r="AX8" s="142">
        <f t="shared" si="4"/>
        <v>-0.52439933827384033</v>
      </c>
      <c r="AY8" s="142">
        <f t="shared" si="4"/>
        <v>-0.20682439715872991</v>
      </c>
      <c r="AZ8" s="142">
        <f t="shared" si="4"/>
        <v>0.9099761886946498</v>
      </c>
      <c r="BA8" s="142">
        <f t="shared" si="4"/>
        <v>1.9529726180863429</v>
      </c>
      <c r="BB8" s="142">
        <f t="shared" si="4"/>
        <v>0.95099234538491295</v>
      </c>
      <c r="BC8" s="142">
        <f t="shared" si="4"/>
        <v>0.86341496772423509</v>
      </c>
      <c r="BD8" s="142">
        <f t="shared" si="4"/>
        <v>0.30506157910995091</v>
      </c>
      <c r="BE8" s="142">
        <f t="shared" si="4"/>
        <v>4.2819590088224446E-2</v>
      </c>
    </row>
    <row r="9" spans="1:57" ht="16">
      <c r="B9" s="153" t="s">
        <v>744</v>
      </c>
      <c r="C9" s="127" t="s">
        <v>745</v>
      </c>
      <c r="D9" s="128"/>
      <c r="E9" s="128"/>
      <c r="F9" s="128"/>
      <c r="G9" s="128"/>
      <c r="H9" s="128">
        <v>-2.7371780000000001</v>
      </c>
      <c r="I9" s="128">
        <v>-2.491792813</v>
      </c>
      <c r="J9" s="128">
        <v>-27.749767866999999</v>
      </c>
      <c r="K9" s="128">
        <v>-53.652435695999998</v>
      </c>
      <c r="L9" s="128">
        <v>-26.535371431000002</v>
      </c>
      <c r="M9" s="128">
        <v>-21.261415760999999</v>
      </c>
      <c r="N9" s="128">
        <v>-38.893852013999997</v>
      </c>
      <c r="O9" s="128">
        <v>-119.64569530599999</v>
      </c>
      <c r="P9" s="128">
        <v>-233.20234049199999</v>
      </c>
      <c r="Q9" s="128">
        <v>-436.416577674</v>
      </c>
      <c r="R9" s="110">
        <v>-568.13671713400004</v>
      </c>
      <c r="S9" s="110">
        <v>-594.00382102100002</v>
      </c>
      <c r="T9" s="110">
        <v>-674.427746189</v>
      </c>
      <c r="U9" s="110">
        <v>-1362.1439091029999</v>
      </c>
      <c r="V9" s="110">
        <v>-1447.7183547970001</v>
      </c>
      <c r="W9" s="158">
        <v>-1137.2361297479999</v>
      </c>
      <c r="X9" s="110"/>
      <c r="Z9" s="137" t="e">
        <f t="shared" si="1"/>
        <v>#DIV/0!</v>
      </c>
      <c r="AA9" s="137" t="e">
        <f t="shared" si="2"/>
        <v>#DIV/0!</v>
      </c>
      <c r="AB9" s="137" t="e">
        <f t="shared" si="2"/>
        <v>#DIV/0!</v>
      </c>
      <c r="AC9" s="137" t="e">
        <f t="shared" si="2"/>
        <v>#DIV/0!</v>
      </c>
      <c r="AD9" s="137">
        <f t="shared" si="2"/>
        <v>-1.3600761217051887E-3</v>
      </c>
      <c r="AE9" s="137">
        <f t="shared" si="2"/>
        <v>-8.69394547475829E-4</v>
      </c>
      <c r="AF9" s="137">
        <f t="shared" si="2"/>
        <v>-5.1093237255163291E-3</v>
      </c>
      <c r="AG9" s="137">
        <f t="shared" si="2"/>
        <v>-7.2521894313983476E-3</v>
      </c>
      <c r="AH9" s="137">
        <f t="shared" si="2"/>
        <v>-2.7801621608395948E-3</v>
      </c>
      <c r="AI9" s="164">
        <f t="shared" si="2"/>
        <v>-1.342545094464606E-3</v>
      </c>
      <c r="AJ9" s="164">
        <f t="shared" si="2"/>
        <v>-1.5319734395469705E-3</v>
      </c>
      <c r="AK9" s="164">
        <f t="shared" si="2"/>
        <v>-2.6230798912619804E-3</v>
      </c>
      <c r="AL9" s="164">
        <f t="shared" si="2"/>
        <v>-3.4447173916377152E-3</v>
      </c>
      <c r="AM9" s="164">
        <f t="shared" si="2"/>
        <v>-4.9740670246513899E-3</v>
      </c>
      <c r="AN9" s="164">
        <f t="shared" si="5"/>
        <v>-5.4900368256321904E-3</v>
      </c>
      <c r="AO9" s="164">
        <f t="shared" si="5"/>
        <v>-5.4098090964834703E-3</v>
      </c>
      <c r="AP9" s="141"/>
      <c r="AQ9" s="142" t="str">
        <f t="shared" si="3"/>
        <v/>
      </c>
      <c r="AR9" s="142" t="str">
        <f t="shared" si="4"/>
        <v/>
      </c>
      <c r="AS9" s="142" t="str">
        <f t="shared" si="4"/>
        <v/>
      </c>
      <c r="AT9" s="142" t="str">
        <f t="shared" si="4"/>
        <v/>
      </c>
      <c r="AU9" s="142">
        <f t="shared" si="4"/>
        <v>-8.9648969486091135E-2</v>
      </c>
      <c r="AV9" s="142">
        <f t="shared" si="4"/>
        <v>10.136466772929889</v>
      </c>
      <c r="AW9" s="142">
        <f t="shared" si="4"/>
        <v>0.93343727966111856</v>
      </c>
      <c r="AX9" s="142">
        <f t="shared" si="4"/>
        <v>-0.50542093594124893</v>
      </c>
      <c r="AY9" s="142">
        <f t="shared" si="4"/>
        <v>-0.1987519068166762</v>
      </c>
      <c r="AZ9" s="142">
        <f t="shared" si="4"/>
        <v>0.8293161871818211</v>
      </c>
      <c r="BA9" s="142">
        <f t="shared" si="4"/>
        <v>2.0762109976387282</v>
      </c>
      <c r="BB9" s="142">
        <f t="shared" si="4"/>
        <v>0.94910765402443498</v>
      </c>
      <c r="BC9" s="142">
        <f t="shared" si="4"/>
        <v>0.87140736560905685</v>
      </c>
      <c r="BD9" s="142">
        <f t="shared" si="4"/>
        <v>0.30182203472204949</v>
      </c>
      <c r="BE9" s="142">
        <f t="shared" si="4"/>
        <v>4.5529716891892003E-2</v>
      </c>
    </row>
    <row r="10" spans="1:57" ht="16">
      <c r="B10" s="153" t="s">
        <v>746</v>
      </c>
      <c r="C10" s="143" t="s">
        <v>747</v>
      </c>
      <c r="D10" s="128"/>
      <c r="E10" s="128"/>
      <c r="F10" s="128"/>
      <c r="G10" s="128"/>
      <c r="H10" s="128">
        <v>0</v>
      </c>
      <c r="I10" s="128">
        <v>0</v>
      </c>
      <c r="J10" s="128">
        <v>0</v>
      </c>
      <c r="K10" s="128">
        <v>0</v>
      </c>
      <c r="L10" s="128">
        <v>0</v>
      </c>
      <c r="M10" s="128">
        <v>0</v>
      </c>
      <c r="N10" s="128">
        <v>0</v>
      </c>
      <c r="O10" s="128">
        <v>0</v>
      </c>
      <c r="P10" s="128">
        <v>0</v>
      </c>
      <c r="Q10" s="128">
        <v>-2.1009868850000002</v>
      </c>
      <c r="R10" s="110">
        <v>-3.473283371</v>
      </c>
      <c r="S10" s="110">
        <v>-3.7069394710000001</v>
      </c>
      <c r="T10" s="110">
        <v>-2.2105004859999999</v>
      </c>
      <c r="U10" s="110">
        <v>0</v>
      </c>
      <c r="V10" s="110">
        <v>0</v>
      </c>
      <c r="W10" s="158">
        <v>-44.596454899000001</v>
      </c>
      <c r="X10" s="110"/>
      <c r="Z10" s="137" t="e">
        <f t="shared" si="1"/>
        <v>#DIV/0!</v>
      </c>
      <c r="AA10" s="137" t="e">
        <f t="shared" si="2"/>
        <v>#DIV/0!</v>
      </c>
      <c r="AB10" s="137" t="e">
        <f t="shared" si="2"/>
        <v>#DIV/0!</v>
      </c>
      <c r="AC10" s="137" t="e">
        <f t="shared" si="2"/>
        <v>#DIV/0!</v>
      </c>
      <c r="AD10" s="137">
        <f t="shared" si="2"/>
        <v>0</v>
      </c>
      <c r="AE10" s="137">
        <f t="shared" si="2"/>
        <v>0</v>
      </c>
      <c r="AF10" s="137">
        <f t="shared" si="2"/>
        <v>0</v>
      </c>
      <c r="AG10" s="137">
        <f t="shared" si="2"/>
        <v>0</v>
      </c>
      <c r="AH10" s="137">
        <f t="shared" si="2"/>
        <v>0</v>
      </c>
      <c r="AI10" s="163"/>
      <c r="AJ10" s="163"/>
      <c r="AK10" s="163"/>
      <c r="AL10" s="163"/>
      <c r="AM10" s="163"/>
      <c r="AN10" s="163"/>
      <c r="AO10" s="163"/>
      <c r="AP10" s="141"/>
      <c r="AQ10" s="142" t="str">
        <f t="shared" si="3"/>
        <v/>
      </c>
      <c r="AR10" s="142" t="str">
        <f t="shared" si="4"/>
        <v/>
      </c>
      <c r="AS10" s="142" t="str">
        <f t="shared" si="4"/>
        <v/>
      </c>
      <c r="AT10" s="142" t="str">
        <f t="shared" si="4"/>
        <v/>
      </c>
      <c r="AU10" s="142" t="str">
        <f t="shared" si="4"/>
        <v/>
      </c>
      <c r="AV10" s="142" t="str">
        <f t="shared" si="4"/>
        <v/>
      </c>
      <c r="AW10" s="142" t="str">
        <f t="shared" si="4"/>
        <v/>
      </c>
      <c r="AX10" s="142" t="str">
        <f t="shared" si="4"/>
        <v/>
      </c>
      <c r="AY10" s="142" t="str">
        <f t="shared" si="4"/>
        <v/>
      </c>
      <c r="AZ10" s="142" t="str">
        <f t="shared" si="4"/>
        <v/>
      </c>
      <c r="BA10" s="142" t="str">
        <f t="shared" si="4"/>
        <v/>
      </c>
      <c r="BB10" s="142" t="str">
        <f t="shared" si="4"/>
        <v/>
      </c>
      <c r="BC10" s="142" t="str">
        <f t="shared" si="4"/>
        <v/>
      </c>
      <c r="BD10" s="142">
        <f t="shared" si="4"/>
        <v>0.65316756415640342</v>
      </c>
      <c r="BE10" s="142">
        <f t="shared" si="4"/>
        <v>6.7272397625514735E-2</v>
      </c>
    </row>
    <row r="11" spans="1:57" ht="16">
      <c r="B11" s="140" t="s">
        <v>748</v>
      </c>
      <c r="C11" s="127" t="s">
        <v>331</v>
      </c>
      <c r="D11" s="128"/>
      <c r="E11" s="128"/>
      <c r="F11" s="128"/>
      <c r="G11" s="128"/>
      <c r="H11" s="128">
        <v>-140.69594000000001</v>
      </c>
      <c r="I11" s="128">
        <v>-309.58566901900002</v>
      </c>
      <c r="J11" s="128">
        <v>-675.86656616100004</v>
      </c>
      <c r="K11" s="128">
        <v>-910.87918706100004</v>
      </c>
      <c r="L11" s="128">
        <v>-935.79371127900004</v>
      </c>
      <c r="M11" s="128">
        <v>-1349.3010703699999</v>
      </c>
      <c r="N11" s="128">
        <v>-2351.0947199970001</v>
      </c>
      <c r="O11" s="128">
        <v>-4287.696260226</v>
      </c>
      <c r="P11" s="128">
        <v>-7017.0613213659999</v>
      </c>
      <c r="Q11" s="128">
        <v>-9659.7411887559992</v>
      </c>
      <c r="R11" s="110">
        <v>-12437.282718212</v>
      </c>
      <c r="S11" s="110">
        <v>-15333.798830787</v>
      </c>
      <c r="T11" s="110">
        <v>-17914.173302345</v>
      </c>
      <c r="U11" s="110">
        <v>-21789.998975781</v>
      </c>
      <c r="V11" s="110">
        <v>-20917.223252948999</v>
      </c>
      <c r="W11" s="158">
        <v>-19849.837609882001</v>
      </c>
      <c r="X11" s="110"/>
      <c r="Z11" s="137" t="e">
        <f t="shared" si="1"/>
        <v>#DIV/0!</v>
      </c>
      <c r="AA11" s="137" t="e">
        <f t="shared" si="2"/>
        <v>#DIV/0!</v>
      </c>
      <c r="AB11" s="137" t="e">
        <f t="shared" si="2"/>
        <v>#DIV/0!</v>
      </c>
      <c r="AC11" s="137" t="e">
        <f t="shared" si="2"/>
        <v>#DIV/0!</v>
      </c>
      <c r="AD11" s="137">
        <f t="shared" si="2"/>
        <v>-6.9910392533794274E-2</v>
      </c>
      <c r="AE11" s="137">
        <f t="shared" si="2"/>
        <v>-0.1080154382088168</v>
      </c>
      <c r="AF11" s="137">
        <f t="shared" si="2"/>
        <v>-0.12444144031475726</v>
      </c>
      <c r="AG11" s="137">
        <f t="shared" si="2"/>
        <v>-0.12312336482008022</v>
      </c>
      <c r="AH11" s="137">
        <f t="shared" si="2"/>
        <v>-9.8044916130706053E-2</v>
      </c>
      <c r="AI11" s="164">
        <f t="shared" si="2"/>
        <v>-8.5201171612660498E-2</v>
      </c>
      <c r="AJ11" s="164">
        <f t="shared" si="2"/>
        <v>-9.2606272672556014E-2</v>
      </c>
      <c r="AK11" s="164">
        <f t="shared" si="2"/>
        <v>-9.4002294117421573E-2</v>
      </c>
      <c r="AL11" s="164">
        <f t="shared" si="2"/>
        <v>-0.10365158909169267</v>
      </c>
      <c r="AM11" s="164">
        <f t="shared" si="2"/>
        <v>-0.11009710119112315</v>
      </c>
      <c r="AN11" s="164">
        <f t="shared" si="5"/>
        <v>-0.12018434660979323</v>
      </c>
      <c r="AO11" s="164">
        <f t="shared" si="5"/>
        <v>-0.13965048954711429</v>
      </c>
      <c r="AP11" s="141"/>
      <c r="AQ11" s="142" t="str">
        <f t="shared" si="3"/>
        <v/>
      </c>
      <c r="AR11" s="142" t="str">
        <f t="shared" si="4"/>
        <v/>
      </c>
      <c r="AS11" s="142" t="str">
        <f t="shared" si="4"/>
        <v/>
      </c>
      <c r="AT11" s="142" t="str">
        <f t="shared" si="4"/>
        <v/>
      </c>
      <c r="AU11" s="142">
        <f t="shared" si="4"/>
        <v>1.2003880781421268</v>
      </c>
      <c r="AV11" s="142">
        <f t="shared" si="4"/>
        <v>1.1831325988139345</v>
      </c>
      <c r="AW11" s="142">
        <f t="shared" si="4"/>
        <v>0.34772044167667415</v>
      </c>
      <c r="AX11" s="142">
        <f t="shared" si="4"/>
        <v>2.7352172024468047E-2</v>
      </c>
      <c r="AY11" s="142">
        <f t="shared" si="4"/>
        <v>0.44187875394656895</v>
      </c>
      <c r="AZ11" s="142">
        <f t="shared" si="4"/>
        <v>0.74245375744961972</v>
      </c>
      <c r="BA11" s="142">
        <f t="shared" si="4"/>
        <v>0.82370204983977469</v>
      </c>
      <c r="BB11" s="142">
        <f t="shared" si="4"/>
        <v>0.63655746477623354</v>
      </c>
      <c r="BC11" s="142">
        <f t="shared" si="4"/>
        <v>0.37660777729608808</v>
      </c>
      <c r="BD11" s="142">
        <f t="shared" si="4"/>
        <v>0.28753788276326464</v>
      </c>
      <c r="BE11" s="142">
        <f t="shared" si="4"/>
        <v>0.23288978615349887</v>
      </c>
    </row>
    <row r="12" spans="1:57" ht="16">
      <c r="B12" s="140" t="s">
        <v>749</v>
      </c>
      <c r="C12" s="127" t="s">
        <v>750</v>
      </c>
      <c r="D12" s="128"/>
      <c r="E12" s="128"/>
      <c r="F12" s="128"/>
      <c r="G12" s="128"/>
      <c r="H12" s="128">
        <v>-32.011451000000001</v>
      </c>
      <c r="I12" s="128">
        <v>-41.836266084000002</v>
      </c>
      <c r="J12" s="128">
        <v>-51.215687779</v>
      </c>
      <c r="K12" s="128">
        <v>-67.187459759000006</v>
      </c>
      <c r="L12" s="128">
        <v>-125.64642430799999</v>
      </c>
      <c r="M12" s="128">
        <v>-240.54326743799999</v>
      </c>
      <c r="N12" s="128">
        <v>-249.31530653499999</v>
      </c>
      <c r="O12" s="128">
        <v>-934.77694112400002</v>
      </c>
      <c r="P12" s="128">
        <v>-1345.4973815589999</v>
      </c>
      <c r="Q12" s="128">
        <v>-1761.6139000799999</v>
      </c>
      <c r="R12" s="110">
        <v>-2073.782880058</v>
      </c>
      <c r="S12" s="110">
        <v>-3404.431838167</v>
      </c>
      <c r="T12" s="110">
        <v>-3823.390074765</v>
      </c>
      <c r="U12" s="110">
        <v>-2348.039543287</v>
      </c>
      <c r="V12" s="110">
        <v>-1196.355624265</v>
      </c>
      <c r="W12" s="158">
        <v>-3565.7675831020001</v>
      </c>
      <c r="X12" s="110"/>
      <c r="Z12" s="137" t="e">
        <f t="shared" si="1"/>
        <v>#DIV/0!</v>
      </c>
      <c r="AA12" s="137" t="e">
        <f t="shared" si="2"/>
        <v>#DIV/0!</v>
      </c>
      <c r="AB12" s="137" t="e">
        <f t="shared" si="2"/>
        <v>#DIV/0!</v>
      </c>
      <c r="AC12" s="137" t="e">
        <f t="shared" si="2"/>
        <v>#DIV/0!</v>
      </c>
      <c r="AD12" s="137">
        <f t="shared" si="2"/>
        <v>-1.5906166908485925E-2</v>
      </c>
      <c r="AE12" s="137">
        <f t="shared" si="2"/>
        <v>-1.4596808141679777E-2</v>
      </c>
      <c r="AF12" s="137">
        <f t="shared" si="2"/>
        <v>-9.4298997361728608E-3</v>
      </c>
      <c r="AG12" s="137">
        <f t="shared" si="2"/>
        <v>-9.0817160351780359E-3</v>
      </c>
      <c r="AH12" s="137">
        <f t="shared" si="2"/>
        <v>-1.316421876415896E-2</v>
      </c>
      <c r="AI12" s="164">
        <f t="shared" si="2"/>
        <v>-1.5189025384553493E-2</v>
      </c>
      <c r="AJ12" s="164">
        <f t="shared" si="2"/>
        <v>-9.8201748581407886E-3</v>
      </c>
      <c r="AK12" s="164">
        <f t="shared" si="2"/>
        <v>-2.0493797046409794E-2</v>
      </c>
      <c r="AL12" s="164">
        <f t="shared" si="2"/>
        <v>-1.9874835822320115E-2</v>
      </c>
      <c r="AM12" s="164">
        <f t="shared" si="2"/>
        <v>-2.0078031080434561E-2</v>
      </c>
      <c r="AN12" s="164">
        <f t="shared" si="5"/>
        <v>-2.003944479652196E-2</v>
      </c>
      <c r="AO12" s="164">
        <f t="shared" si="5"/>
        <v>-3.1005400427925302E-2</v>
      </c>
      <c r="AP12" s="141"/>
      <c r="AQ12" s="142" t="str">
        <f t="shared" si="3"/>
        <v/>
      </c>
      <c r="AR12" s="142" t="str">
        <f t="shared" si="4"/>
        <v/>
      </c>
      <c r="AS12" s="142" t="str">
        <f t="shared" si="4"/>
        <v/>
      </c>
      <c r="AT12" s="142" t="str">
        <f t="shared" si="4"/>
        <v/>
      </c>
      <c r="AU12" s="142">
        <f t="shared" si="4"/>
        <v>0.30691564353018541</v>
      </c>
      <c r="AV12" s="142">
        <f t="shared" si="4"/>
        <v>0.22419356632276255</v>
      </c>
      <c r="AW12" s="142">
        <f t="shared" si="4"/>
        <v>0.31185311908569013</v>
      </c>
      <c r="AX12" s="142">
        <f t="shared" si="4"/>
        <v>0.87008743534420052</v>
      </c>
      <c r="AY12" s="142">
        <f t="shared" si="4"/>
        <v>0.91444578516894914</v>
      </c>
      <c r="AZ12" s="142">
        <f t="shared" si="4"/>
        <v>3.6467614290061068E-2</v>
      </c>
      <c r="BA12" s="142">
        <f t="shared" si="4"/>
        <v>2.7493764587324763</v>
      </c>
      <c r="BB12" s="142">
        <f t="shared" si="4"/>
        <v>0.43937801882568794</v>
      </c>
      <c r="BC12" s="142">
        <f t="shared" si="4"/>
        <v>0.30926594449322109</v>
      </c>
      <c r="BD12" s="142">
        <f t="shared" si="4"/>
        <v>0.17720624250513906</v>
      </c>
      <c r="BE12" s="142">
        <f t="shared" si="4"/>
        <v>0.64165297674353639</v>
      </c>
    </row>
    <row r="13" spans="1:57" s="136" customFormat="1" ht="16">
      <c r="B13" s="154" t="s">
        <v>751</v>
      </c>
      <c r="C13" s="144" t="s">
        <v>752</v>
      </c>
      <c r="D13" s="135"/>
      <c r="E13" s="135"/>
      <c r="F13" s="135"/>
      <c r="G13" s="135"/>
      <c r="H13" s="135">
        <v>58.365136999999997</v>
      </c>
      <c r="I13" s="135">
        <v>151.322210574</v>
      </c>
      <c r="J13" s="135">
        <v>208.67030790000001</v>
      </c>
      <c r="K13" s="135">
        <v>163.22815083500001</v>
      </c>
      <c r="L13" s="135">
        <v>348.54794068199999</v>
      </c>
      <c r="M13" s="135">
        <v>856.31896170899995</v>
      </c>
      <c r="N13" s="135">
        <v>1362.340593999</v>
      </c>
      <c r="O13" s="135">
        <v>2006.8749505979999</v>
      </c>
      <c r="P13" s="135">
        <v>2795.4437758700001</v>
      </c>
      <c r="Q13" s="135">
        <v>3774.1824123360002</v>
      </c>
      <c r="R13" s="111">
        <v>5034.6834315770002</v>
      </c>
      <c r="S13" s="111">
        <v>5412.5299329540003</v>
      </c>
      <c r="T13" s="111">
        <v>6465.6069183560003</v>
      </c>
      <c r="U13" s="111">
        <v>6574.6936985840002</v>
      </c>
      <c r="V13" s="155">
        <v>1017.851894625</v>
      </c>
      <c r="W13" s="155">
        <v>5227.045424891</v>
      </c>
      <c r="X13" s="111">
        <f>W12+W11+W6</f>
        <v>4083.6048840370022</v>
      </c>
      <c r="Z13" s="137" t="e">
        <f t="shared" si="1"/>
        <v>#DIV/0!</v>
      </c>
      <c r="AA13" s="137" t="e">
        <f t="shared" si="2"/>
        <v>#DIV/0!</v>
      </c>
      <c r="AB13" s="137" t="e">
        <f t="shared" si="2"/>
        <v>#DIV/0!</v>
      </c>
      <c r="AC13" s="137" t="e">
        <f t="shared" si="2"/>
        <v>#DIV/0!</v>
      </c>
      <c r="AD13" s="137">
        <f t="shared" si="2"/>
        <v>2.9001047492619041E-2</v>
      </c>
      <c r="AE13" s="137">
        <f t="shared" si="2"/>
        <v>5.2796807221959362E-2</v>
      </c>
      <c r="AF13" s="137">
        <f t="shared" si="2"/>
        <v>3.8420651303254651E-2</v>
      </c>
      <c r="AG13" s="137">
        <f t="shared" si="2"/>
        <v>2.2063517807459701E-2</v>
      </c>
      <c r="AH13" s="137">
        <f t="shared" si="2"/>
        <v>3.6518041529676901E-2</v>
      </c>
      <c r="AI13" s="164">
        <f t="shared" si="2"/>
        <v>5.4071978755443464E-2</v>
      </c>
      <c r="AJ13" s="164">
        <f t="shared" si="2"/>
        <v>5.3660655799067217E-2</v>
      </c>
      <c r="AK13" s="164">
        <f t="shared" si="2"/>
        <v>4.3998184086168332E-2</v>
      </c>
      <c r="AL13" s="164">
        <f t="shared" si="2"/>
        <v>4.1292526360451061E-2</v>
      </c>
      <c r="AM13" s="164">
        <f t="shared" si="2"/>
        <v>4.3016322574810743E-2</v>
      </c>
      <c r="AN13" s="164">
        <f t="shared" si="5"/>
        <v>4.8651313339142452E-2</v>
      </c>
      <c r="AO13" s="164">
        <f t="shared" si="5"/>
        <v>4.9293880998870623E-2</v>
      </c>
      <c r="AP13" s="165"/>
      <c r="AQ13" s="139" t="str">
        <f t="shared" si="3"/>
        <v/>
      </c>
      <c r="AR13" s="139" t="str">
        <f t="shared" si="4"/>
        <v/>
      </c>
      <c r="AS13" s="139" t="str">
        <f t="shared" si="4"/>
        <v/>
      </c>
      <c r="AT13" s="139" t="str">
        <f t="shared" si="4"/>
        <v/>
      </c>
      <c r="AU13" s="139">
        <f t="shared" si="4"/>
        <v>1.5926814936457703</v>
      </c>
      <c r="AV13" s="139">
        <f t="shared" si="4"/>
        <v>0.37898003940376945</v>
      </c>
      <c r="AW13" s="139">
        <f t="shared" si="4"/>
        <v>-0.21777011555844838</v>
      </c>
      <c r="AX13" s="139">
        <f t="shared" si="4"/>
        <v>1.1353420895782333</v>
      </c>
      <c r="AY13" s="139">
        <f t="shared" si="4"/>
        <v>1.45681830750011</v>
      </c>
      <c r="AZ13" s="139">
        <f t="shared" si="4"/>
        <v>0.59092657633098145</v>
      </c>
      <c r="BA13" s="139">
        <f t="shared" si="4"/>
        <v>0.4731080901781255</v>
      </c>
      <c r="BB13" s="139">
        <f t="shared" si="4"/>
        <v>0.39293371270443433</v>
      </c>
      <c r="BC13" s="139">
        <f t="shared" si="4"/>
        <v>0.35011923506184495</v>
      </c>
      <c r="BD13" s="139">
        <f t="shared" si="4"/>
        <v>0.3339798879675302</v>
      </c>
      <c r="BE13" s="139">
        <f t="shared" si="4"/>
        <v>7.5048710909445981E-2</v>
      </c>
    </row>
    <row r="14" spans="1:57" ht="16">
      <c r="B14" s="153" t="s">
        <v>556</v>
      </c>
      <c r="C14" s="127" t="s">
        <v>753</v>
      </c>
      <c r="D14" s="128"/>
      <c r="E14" s="128"/>
      <c r="F14" s="128"/>
      <c r="G14" s="128"/>
      <c r="H14" s="128">
        <v>3.3099349999999998</v>
      </c>
      <c r="I14" s="128">
        <v>5.446888822</v>
      </c>
      <c r="J14" s="128">
        <v>5.9663707730000004</v>
      </c>
      <c r="K14" s="128">
        <v>7.3544144950000003</v>
      </c>
      <c r="L14" s="128">
        <v>10.158134968000001</v>
      </c>
      <c r="M14" s="128">
        <v>15.118039591</v>
      </c>
      <c r="N14" s="128">
        <v>25.192750122</v>
      </c>
      <c r="O14" s="128">
        <v>31.129990082999999</v>
      </c>
      <c r="P14" s="128">
        <v>17.684643399999999</v>
      </c>
      <c r="Q14" s="128">
        <v>33.233337382000002</v>
      </c>
      <c r="R14" s="110">
        <v>41.557041540999997</v>
      </c>
      <c r="S14" s="110">
        <v>43.512695471000001</v>
      </c>
      <c r="T14" s="110">
        <v>54.872797433000002</v>
      </c>
      <c r="U14" s="110">
        <v>61.606712676000001</v>
      </c>
      <c r="V14" s="110">
        <v>36.883419050999997</v>
      </c>
      <c r="W14" s="158">
        <v>25.799428197000001</v>
      </c>
      <c r="X14" s="110"/>
      <c r="Z14" s="137" t="e">
        <f t="shared" si="1"/>
        <v>#DIV/0!</v>
      </c>
      <c r="AA14" s="137" t="e">
        <f t="shared" si="2"/>
        <v>#DIV/0!</v>
      </c>
      <c r="AB14" s="137" t="e">
        <f t="shared" si="2"/>
        <v>#DIV/0!</v>
      </c>
      <c r="AC14" s="137" t="e">
        <f t="shared" si="2"/>
        <v>#DIV/0!</v>
      </c>
      <c r="AD14" s="137">
        <f t="shared" si="2"/>
        <v>1.6446732941358814E-3</v>
      </c>
      <c r="AE14" s="137">
        <f t="shared" si="2"/>
        <v>1.9004370740007593E-3</v>
      </c>
      <c r="AF14" s="137">
        <f t="shared" si="2"/>
        <v>1.0985360271055743E-3</v>
      </c>
      <c r="AG14" s="137">
        <f t="shared" si="2"/>
        <v>9.9409479519190218E-4</v>
      </c>
      <c r="AH14" s="137">
        <f t="shared" si="2"/>
        <v>1.0642874374745784E-3</v>
      </c>
      <c r="AI14" s="163"/>
      <c r="AJ14" s="163"/>
      <c r="AK14" s="163"/>
      <c r="AL14" s="163"/>
      <c r="AM14" s="163"/>
      <c r="AN14" s="163"/>
      <c r="AO14" s="163"/>
      <c r="AP14" s="141"/>
      <c r="AQ14" s="142" t="str">
        <f t="shared" si="3"/>
        <v/>
      </c>
      <c r="AR14" s="142" t="str">
        <f t="shared" si="4"/>
        <v/>
      </c>
      <c r="AS14" s="142" t="str">
        <f t="shared" si="4"/>
        <v/>
      </c>
      <c r="AT14" s="142" t="str">
        <f t="shared" si="4"/>
        <v/>
      </c>
      <c r="AU14" s="142">
        <f t="shared" si="4"/>
        <v>0.64561806259035315</v>
      </c>
      <c r="AV14" s="142">
        <f t="shared" si="4"/>
        <v>9.5372233209866764E-2</v>
      </c>
      <c r="AW14" s="142">
        <f t="shared" si="4"/>
        <v>0.2326445631373435</v>
      </c>
      <c r="AX14" s="142">
        <f t="shared" si="4"/>
        <v>0.38122959685045599</v>
      </c>
      <c r="AY14" s="142">
        <f t="shared" si="4"/>
        <v>0.48826921857453298</v>
      </c>
      <c r="AZ14" s="142">
        <f t="shared" si="4"/>
        <v>0.66640323769211629</v>
      </c>
      <c r="BA14" s="142">
        <f t="shared" si="4"/>
        <v>0.23567256183814589</v>
      </c>
      <c r="BB14" s="142">
        <f t="shared" si="4"/>
        <v>-0.43190976441532714</v>
      </c>
      <c r="BC14" s="142">
        <f t="shared" si="4"/>
        <v>0.87922010245340898</v>
      </c>
      <c r="BD14" s="142">
        <f t="shared" si="4"/>
        <v>0.25046248179420938</v>
      </c>
      <c r="BE14" s="142">
        <f t="shared" si="4"/>
        <v>4.7059508027551988E-2</v>
      </c>
    </row>
    <row r="15" spans="1:57" ht="16">
      <c r="B15" s="153" t="s">
        <v>754</v>
      </c>
      <c r="C15" s="127" t="s">
        <v>755</v>
      </c>
      <c r="D15" s="128"/>
      <c r="E15" s="128"/>
      <c r="F15" s="128"/>
      <c r="G15" s="128"/>
      <c r="H15" s="128">
        <v>-3.285428</v>
      </c>
      <c r="I15" s="128">
        <v>-2.4829071599999999</v>
      </c>
      <c r="J15" s="128">
        <v>-2.0318428370000001</v>
      </c>
      <c r="K15" s="128">
        <v>-2.1136207429999998</v>
      </c>
      <c r="L15" s="128">
        <v>-7.9184460860000003</v>
      </c>
      <c r="M15" s="128">
        <v>-3.2395582059999999</v>
      </c>
      <c r="N15" s="128">
        <v>-1.7495564269999999</v>
      </c>
      <c r="O15" s="128">
        <v>-32.090825758000001</v>
      </c>
      <c r="P15" s="128">
        <v>-3.8163866240000002</v>
      </c>
      <c r="Q15" s="128">
        <v>-21.097180799</v>
      </c>
      <c r="R15" s="110">
        <v>-22.793268422000001</v>
      </c>
      <c r="S15" s="110">
        <v>-46.307221071999997</v>
      </c>
      <c r="T15" s="110">
        <v>-48.895965246000003</v>
      </c>
      <c r="U15" s="110">
        <v>-579.94503770200004</v>
      </c>
      <c r="V15" s="110">
        <v>-365.04294578000003</v>
      </c>
      <c r="W15" s="158">
        <v>-427.08184001000001</v>
      </c>
      <c r="X15" s="110"/>
      <c r="Z15" s="137" t="e">
        <f t="shared" si="1"/>
        <v>#DIV/0!</v>
      </c>
      <c r="AA15" s="137" t="e">
        <f t="shared" si="2"/>
        <v>#DIV/0!</v>
      </c>
      <c r="AB15" s="137" t="e">
        <f t="shared" si="2"/>
        <v>#DIV/0!</v>
      </c>
      <c r="AC15" s="137" t="e">
        <f t="shared" si="2"/>
        <v>#DIV/0!</v>
      </c>
      <c r="AD15" s="137">
        <f t="shared" si="2"/>
        <v>-1.6324960131864404E-3</v>
      </c>
      <c r="AE15" s="137">
        <f t="shared" si="2"/>
        <v>-8.6629431449150563E-4</v>
      </c>
      <c r="AF15" s="137">
        <f t="shared" si="2"/>
        <v>-3.7410557318391094E-4</v>
      </c>
      <c r="AG15" s="137">
        <f t="shared" si="2"/>
        <v>-2.8569771000185387E-4</v>
      </c>
      <c r="AH15" s="137">
        <f t="shared" si="2"/>
        <v>-8.2963090372373803E-4</v>
      </c>
      <c r="AI15" s="163"/>
      <c r="AJ15" s="163"/>
      <c r="AK15" s="163"/>
      <c r="AL15" s="163"/>
      <c r="AM15" s="163"/>
      <c r="AN15" s="163"/>
      <c r="AO15" s="163"/>
      <c r="AP15" s="141"/>
      <c r="AQ15" s="142" t="str">
        <f t="shared" si="3"/>
        <v/>
      </c>
      <c r="AR15" s="142" t="str">
        <f t="shared" si="4"/>
        <v/>
      </c>
      <c r="AS15" s="142" t="str">
        <f t="shared" si="4"/>
        <v/>
      </c>
      <c r="AT15" s="142" t="str">
        <f t="shared" si="4"/>
        <v/>
      </c>
      <c r="AU15" s="142">
        <f t="shared" si="4"/>
        <v>-0.24426675611214133</v>
      </c>
      <c r="AV15" s="142">
        <f t="shared" si="4"/>
        <v>-0.18166781677008004</v>
      </c>
      <c r="AW15" s="142">
        <f t="shared" si="4"/>
        <v>4.0248145432716598E-2</v>
      </c>
      <c r="AX15" s="142">
        <f t="shared" si="4"/>
        <v>2.7463892764228048</v>
      </c>
      <c r="AY15" s="142">
        <f t="shared" si="4"/>
        <v>-0.59088460402254739</v>
      </c>
      <c r="AZ15" s="142">
        <f t="shared" si="4"/>
        <v>-0.45993980791589462</v>
      </c>
      <c r="BA15" s="142">
        <f t="shared" si="4"/>
        <v>17.342263937738089</v>
      </c>
      <c r="BB15" s="142">
        <f t="shared" si="4"/>
        <v>-0.88107546210310272</v>
      </c>
      <c r="BC15" s="142">
        <f t="shared" si="4"/>
        <v>4.5280512373475919</v>
      </c>
      <c r="BD15" s="142">
        <f t="shared" si="4"/>
        <v>8.0394041230399615E-2</v>
      </c>
      <c r="BE15" s="142">
        <f t="shared" si="4"/>
        <v>1.0316182925000961</v>
      </c>
    </row>
    <row r="16" spans="1:57" ht="16">
      <c r="B16" s="140" t="s">
        <v>756</v>
      </c>
      <c r="C16" s="127" t="s">
        <v>541</v>
      </c>
      <c r="D16" s="128"/>
      <c r="E16" s="128"/>
      <c r="F16" s="128"/>
      <c r="G16" s="128"/>
      <c r="H16" s="128">
        <v>2.4507000000000001E-2</v>
      </c>
      <c r="I16" s="128">
        <v>2.9639816620000001</v>
      </c>
      <c r="J16" s="128">
        <v>3.9345279359999998</v>
      </c>
      <c r="K16" s="128">
        <v>5.2407937520000001</v>
      </c>
      <c r="L16" s="128">
        <v>2.2396888819999998</v>
      </c>
      <c r="M16" s="128">
        <v>11.878481385000001</v>
      </c>
      <c r="N16" s="128">
        <v>23.443193695000001</v>
      </c>
      <c r="O16" s="128">
        <v>-0.960835675</v>
      </c>
      <c r="P16" s="128">
        <v>13.868256776000001</v>
      </c>
      <c r="Q16" s="128">
        <v>12.136156583</v>
      </c>
      <c r="R16" s="110">
        <v>18.763773119</v>
      </c>
      <c r="S16" s="110">
        <v>-2.7945256010000001</v>
      </c>
      <c r="T16" s="110">
        <v>5.9768321870000003</v>
      </c>
      <c r="U16" s="110">
        <v>-518.33832502600001</v>
      </c>
      <c r="V16" s="110">
        <v>-328.15952672899999</v>
      </c>
      <c r="W16" s="158">
        <v>-401.28241181300001</v>
      </c>
      <c r="X16" s="110"/>
      <c r="Z16" s="137" t="e">
        <f t="shared" si="1"/>
        <v>#DIV/0!</v>
      </c>
      <c r="AA16" s="137" t="e">
        <f t="shared" si="2"/>
        <v>#DIV/0!</v>
      </c>
      <c r="AB16" s="137" t="e">
        <f t="shared" si="2"/>
        <v>#DIV/0!</v>
      </c>
      <c r="AC16" s="137" t="e">
        <f t="shared" si="2"/>
        <v>#DIV/0!</v>
      </c>
      <c r="AD16" s="137">
        <f t="shared" si="2"/>
        <v>1.2177280949441016E-5</v>
      </c>
      <c r="AE16" s="137">
        <f t="shared" si="2"/>
        <v>1.0341427595092537E-3</v>
      </c>
      <c r="AF16" s="137">
        <f t="shared" si="2"/>
        <v>7.2443045392166325E-4</v>
      </c>
      <c r="AG16" s="137">
        <f t="shared" si="2"/>
        <v>7.083970851900482E-4</v>
      </c>
      <c r="AH16" s="137">
        <f t="shared" si="2"/>
        <v>2.3465653375084032E-4</v>
      </c>
      <c r="AI16" s="163"/>
      <c r="AJ16" s="163"/>
      <c r="AK16" s="163"/>
      <c r="AL16" s="163"/>
      <c r="AM16" s="163"/>
      <c r="AN16" s="163"/>
      <c r="AO16" s="163"/>
      <c r="AP16" s="141"/>
      <c r="AQ16" s="142" t="str">
        <f t="shared" si="3"/>
        <v/>
      </c>
      <c r="AR16" s="142" t="str">
        <f t="shared" si="4"/>
        <v/>
      </c>
      <c r="AS16" s="142" t="str">
        <f t="shared" si="4"/>
        <v/>
      </c>
      <c r="AT16" s="142" t="str">
        <f t="shared" si="4"/>
        <v/>
      </c>
      <c r="AU16" s="142">
        <f t="shared" si="4"/>
        <v>119.94428783612845</v>
      </c>
      <c r="AV16" s="142">
        <f t="shared" si="4"/>
        <v>0.32744678769203528</v>
      </c>
      <c r="AW16" s="142">
        <f t="shared" si="4"/>
        <v>0.33200064588383715</v>
      </c>
      <c r="AX16" s="142">
        <f t="shared" si="4"/>
        <v>-0.57264319338167313</v>
      </c>
      <c r="AY16" s="142">
        <f t="shared" si="4"/>
        <v>4.3036301070498419</v>
      </c>
      <c r="AZ16" s="142">
        <f t="shared" si="4"/>
        <v>0.97358508509377106</v>
      </c>
      <c r="BA16" s="142">
        <f t="shared" si="4"/>
        <v>-1.0409856987704251</v>
      </c>
      <c r="BB16" s="142">
        <f t="shared" si="4"/>
        <v>-15.433536489993465</v>
      </c>
      <c r="BC16" s="142">
        <f t="shared" si="4"/>
        <v>-0.12489674953217789</v>
      </c>
      <c r="BD16" s="142">
        <f t="shared" si="4"/>
        <v>0.54610506140665538</v>
      </c>
      <c r="BE16" s="142">
        <f t="shared" si="4"/>
        <v>-1.1489319649772514</v>
      </c>
    </row>
    <row r="17" spans="1:57" ht="16">
      <c r="B17" s="140" t="s">
        <v>757</v>
      </c>
      <c r="C17" s="143" t="s">
        <v>758</v>
      </c>
      <c r="D17" s="128"/>
      <c r="E17" s="128"/>
      <c r="F17" s="128"/>
      <c r="G17" s="128"/>
      <c r="H17" s="128">
        <v>0</v>
      </c>
      <c r="I17" s="128">
        <v>0</v>
      </c>
      <c r="J17" s="128">
        <v>0</v>
      </c>
      <c r="K17" s="128">
        <v>0</v>
      </c>
      <c r="L17" s="128">
        <v>0</v>
      </c>
      <c r="M17" s="128">
        <v>0</v>
      </c>
      <c r="N17" s="128">
        <v>0</v>
      </c>
      <c r="O17" s="128">
        <v>0</v>
      </c>
      <c r="P17" s="128">
        <v>0</v>
      </c>
      <c r="Q17" s="128">
        <v>0</v>
      </c>
      <c r="R17" s="110">
        <v>0</v>
      </c>
      <c r="S17" s="110">
        <v>0</v>
      </c>
      <c r="T17" s="110">
        <v>0</v>
      </c>
      <c r="U17" s="110">
        <v>0</v>
      </c>
      <c r="V17" s="110">
        <v>0</v>
      </c>
      <c r="W17" s="158">
        <v>0</v>
      </c>
      <c r="X17" s="110"/>
      <c r="Z17" s="137" t="e">
        <f t="shared" si="1"/>
        <v>#DIV/0!</v>
      </c>
      <c r="AA17" s="137" t="e">
        <f t="shared" si="2"/>
        <v>#DIV/0!</v>
      </c>
      <c r="AB17" s="137" t="e">
        <f t="shared" si="2"/>
        <v>#DIV/0!</v>
      </c>
      <c r="AC17" s="137" t="e">
        <f t="shared" si="2"/>
        <v>#DIV/0!</v>
      </c>
      <c r="AD17" s="137">
        <f t="shared" si="2"/>
        <v>0</v>
      </c>
      <c r="AE17" s="137">
        <f t="shared" si="2"/>
        <v>0</v>
      </c>
      <c r="AF17" s="137">
        <f t="shared" si="2"/>
        <v>0</v>
      </c>
      <c r="AG17" s="137">
        <f t="shared" si="2"/>
        <v>0</v>
      </c>
      <c r="AH17" s="137">
        <f t="shared" si="2"/>
        <v>0</v>
      </c>
      <c r="AI17" s="163"/>
      <c r="AJ17" s="163"/>
      <c r="AK17" s="163"/>
      <c r="AL17" s="163"/>
      <c r="AM17" s="163"/>
      <c r="AN17" s="163"/>
      <c r="AO17" s="163"/>
      <c r="AP17" s="141"/>
      <c r="AQ17" s="142" t="str">
        <f t="shared" si="3"/>
        <v/>
      </c>
      <c r="AR17" s="142" t="str">
        <f t="shared" si="4"/>
        <v/>
      </c>
      <c r="AS17" s="142" t="str">
        <f t="shared" si="4"/>
        <v/>
      </c>
      <c r="AT17" s="142" t="str">
        <f t="shared" si="4"/>
        <v/>
      </c>
      <c r="AU17" s="142" t="str">
        <f t="shared" si="4"/>
        <v/>
      </c>
      <c r="AV17" s="142" t="str">
        <f t="shared" si="4"/>
        <v/>
      </c>
      <c r="AW17" s="142" t="str">
        <f t="shared" si="4"/>
        <v/>
      </c>
      <c r="AX17" s="142" t="str">
        <f t="shared" si="4"/>
        <v/>
      </c>
      <c r="AY17" s="142" t="str">
        <f t="shared" si="4"/>
        <v/>
      </c>
      <c r="AZ17" s="142" t="str">
        <f t="shared" si="4"/>
        <v/>
      </c>
      <c r="BA17" s="142" t="str">
        <f t="shared" si="4"/>
        <v/>
      </c>
      <c r="BB17" s="142" t="str">
        <f t="shared" si="4"/>
        <v/>
      </c>
      <c r="BC17" s="142" t="str">
        <f t="shared" si="4"/>
        <v/>
      </c>
      <c r="BD17" s="142" t="str">
        <f t="shared" si="4"/>
        <v/>
      </c>
      <c r="BE17" s="142" t="str">
        <f t="shared" si="4"/>
        <v/>
      </c>
    </row>
    <row r="18" spans="1:57" s="404" customFormat="1" ht="16">
      <c r="B18" s="185" t="s">
        <v>759</v>
      </c>
      <c r="C18" s="405" t="s">
        <v>760</v>
      </c>
      <c r="D18" s="406"/>
      <c r="E18" s="406"/>
      <c r="F18" s="406"/>
      <c r="G18" s="406"/>
      <c r="H18" s="406">
        <v>58.389643999999997</v>
      </c>
      <c r="I18" s="406">
        <v>154.28619223600001</v>
      </c>
      <c r="J18" s="406">
        <v>212.60483583600001</v>
      </c>
      <c r="K18" s="406">
        <v>168.46894458700001</v>
      </c>
      <c r="L18" s="406">
        <v>350.78762956399999</v>
      </c>
      <c r="M18" s="406">
        <v>868.19744309400005</v>
      </c>
      <c r="N18" s="406">
        <v>1385.783787694</v>
      </c>
      <c r="O18" s="406">
        <v>2005.9141149229999</v>
      </c>
      <c r="P18" s="406">
        <v>2809.3120326459998</v>
      </c>
      <c r="Q18" s="406">
        <v>3786.318568919</v>
      </c>
      <c r="R18" s="407">
        <v>5053.447204696</v>
      </c>
      <c r="S18" s="407">
        <v>5409.7354073529996</v>
      </c>
      <c r="T18" s="407">
        <v>6471.583750543</v>
      </c>
      <c r="U18" s="407">
        <v>6056.3553735579999</v>
      </c>
      <c r="V18" s="407">
        <v>689.69236789599995</v>
      </c>
      <c r="W18" s="996">
        <v>4825.7630130779999</v>
      </c>
      <c r="X18" s="407">
        <f>W16+W11+W12+W6+W7+W8</f>
        <v>4870.3594679770013</v>
      </c>
      <c r="Z18" s="408" t="e">
        <f t="shared" si="1"/>
        <v>#DIV/0!</v>
      </c>
      <c r="AA18" s="408" t="e">
        <f t="shared" si="2"/>
        <v>#DIV/0!</v>
      </c>
      <c r="AB18" s="408" t="e">
        <f t="shared" si="2"/>
        <v>#DIV/0!</v>
      </c>
      <c r="AC18" s="408" t="e">
        <f t="shared" si="2"/>
        <v>#DIV/0!</v>
      </c>
      <c r="AD18" s="408">
        <f t="shared" si="2"/>
        <v>2.9013224773568484E-2</v>
      </c>
      <c r="AE18" s="408">
        <f t="shared" si="2"/>
        <v>5.3830949981468618E-2</v>
      </c>
      <c r="AF18" s="408">
        <f t="shared" si="2"/>
        <v>3.9145081757176313E-2</v>
      </c>
      <c r="AG18" s="408">
        <f t="shared" si="2"/>
        <v>2.2771914892649747E-2</v>
      </c>
      <c r="AH18" s="408">
        <f t="shared" si="2"/>
        <v>3.6752698063427736E-2</v>
      </c>
      <c r="AI18" s="409">
        <f t="shared" si="2"/>
        <v>5.4822041549585962E-2</v>
      </c>
      <c r="AJ18" s="409">
        <f t="shared" si="2"/>
        <v>5.4584049811724211E-2</v>
      </c>
      <c r="AK18" s="409">
        <f t="shared" si="2"/>
        <v>4.3977118984482443E-2</v>
      </c>
      <c r="AL18" s="409">
        <f t="shared" si="2"/>
        <v>4.1497379473019291E-2</v>
      </c>
      <c r="AM18" s="409">
        <f t="shared" si="2"/>
        <v>4.3154644671985057E-2</v>
      </c>
      <c r="AN18" s="409">
        <f t="shared" si="5"/>
        <v>4.883263202935275E-2</v>
      </c>
      <c r="AO18" s="409">
        <f t="shared" si="5"/>
        <v>4.9268430236633666E-2</v>
      </c>
      <c r="AP18" s="410"/>
      <c r="AQ18" s="411" t="str">
        <f t="shared" si="3"/>
        <v/>
      </c>
      <c r="AR18" s="411" t="str">
        <f t="shared" ref="AR18:AR26" si="6">IFERROR(F18/E18-1,"")</f>
        <v/>
      </c>
      <c r="AS18" s="411" t="str">
        <f t="shared" ref="AS18:AS26" si="7">IFERROR(G18/F18-1,"")</f>
        <v/>
      </c>
      <c r="AT18" s="411" t="str">
        <f t="shared" ref="AT18:AT26" si="8">IFERROR(H18/G18-1,"")</f>
        <v/>
      </c>
      <c r="AU18" s="411">
        <f t="shared" ref="AU18:AU26" si="9">IFERROR(I18/H18-1,"")</f>
        <v>1.6423554189849146</v>
      </c>
      <c r="AV18" s="411">
        <f t="shared" ref="AV18:AV26" si="10">IFERROR(J18/I18-1,"")</f>
        <v>0.37799003757118044</v>
      </c>
      <c r="AW18" s="411">
        <f t="shared" ref="AW18:AW26" si="11">IFERROR(K18/J18-1,"")</f>
        <v>-0.20759589534005574</v>
      </c>
      <c r="AX18" s="411">
        <f t="shared" ref="AX18:AX26" si="12">IFERROR(L18/K18-1,"")</f>
        <v>1.082209456609065</v>
      </c>
      <c r="AY18" s="411">
        <f t="shared" ref="AY18:AY26" si="13">IFERROR(M18/L18-1,"")</f>
        <v>1.4749944693691099</v>
      </c>
      <c r="AZ18" s="411">
        <f t="shared" ref="AZ18:AZ26" si="14">IFERROR(N18/M18-1,"")</f>
        <v>0.59616202364691917</v>
      </c>
      <c r="BA18" s="411">
        <f t="shared" ref="BA18:BA26" si="15">IFERROR(O18/N18-1,"")</f>
        <v>0.4474942864362137</v>
      </c>
      <c r="BB18" s="411">
        <f t="shared" ref="BB18:BB26" si="16">IFERROR(P18/O18-1,"")</f>
        <v>0.40051461413333711</v>
      </c>
      <c r="BC18" s="411">
        <f t="shared" ref="BC18:BE26" si="17">IFERROR(Q18/P18-1,"")</f>
        <v>0.34777430378667806</v>
      </c>
      <c r="BD18" s="411">
        <f t="shared" si="17"/>
        <v>0.33465980548455732</v>
      </c>
      <c r="BE18" s="411">
        <f t="shared" si="17"/>
        <v>7.0503992270051441E-2</v>
      </c>
    </row>
    <row r="19" spans="1:57" s="367" customFormat="1" ht="16">
      <c r="B19" s="412" t="s">
        <v>559</v>
      </c>
      <c r="C19" s="364" t="s">
        <v>761</v>
      </c>
      <c r="D19" s="365"/>
      <c r="E19" s="365"/>
      <c r="F19" s="365"/>
      <c r="G19" s="365"/>
      <c r="H19" s="365">
        <v>-11.353142</v>
      </c>
      <c r="I19" s="365">
        <v>-46.086987190999999</v>
      </c>
      <c r="J19" s="365">
        <v>-53.183281807999997</v>
      </c>
      <c r="K19" s="365">
        <v>-44.459824550999997</v>
      </c>
      <c r="L19" s="365">
        <v>-92.541582226000003</v>
      </c>
      <c r="M19" s="365">
        <v>-203.799232655</v>
      </c>
      <c r="N19" s="365">
        <v>-312.61096032199998</v>
      </c>
      <c r="O19" s="365">
        <v>-495.80054547200001</v>
      </c>
      <c r="P19" s="365">
        <v>-639.74360545299999</v>
      </c>
      <c r="Q19" s="365">
        <v>-933.83673844600003</v>
      </c>
      <c r="R19" s="366">
        <v>-1248.353081834</v>
      </c>
      <c r="S19" s="366">
        <v>-1598.4138212190001</v>
      </c>
      <c r="T19" s="366">
        <v>-1632.975695694</v>
      </c>
      <c r="U19" s="366">
        <v>-1792.9988101020001</v>
      </c>
      <c r="V19" s="366">
        <v>-433.25717651500003</v>
      </c>
      <c r="W19" s="997">
        <v>-1125.69998455</v>
      </c>
      <c r="X19" s="366"/>
      <c r="Z19" s="413" t="e">
        <f t="shared" si="1"/>
        <v>#DIV/0!</v>
      </c>
      <c r="AA19" s="413" t="e">
        <f t="shared" si="2"/>
        <v>#DIV/0!</v>
      </c>
      <c r="AB19" s="413" t="e">
        <f t="shared" si="2"/>
        <v>#DIV/0!</v>
      </c>
      <c r="AC19" s="413" t="e">
        <f t="shared" si="2"/>
        <v>#DIV/0!</v>
      </c>
      <c r="AD19" s="413">
        <f t="shared" si="2"/>
        <v>-5.6412616718855288E-3</v>
      </c>
      <c r="AE19" s="413">
        <f t="shared" si="2"/>
        <v>-1.6079898442761809E-2</v>
      </c>
      <c r="AF19" s="413">
        <f t="shared" si="2"/>
        <v>-9.7921757343987434E-3</v>
      </c>
      <c r="AG19" s="413">
        <f t="shared" si="2"/>
        <v>-6.0096259479721151E-3</v>
      </c>
      <c r="AH19" s="413">
        <f t="shared" si="2"/>
        <v>-9.6957604636497604E-3</v>
      </c>
      <c r="AI19" s="414">
        <f t="shared" si="2"/>
        <v>-1.2868835412103921E-2</v>
      </c>
      <c r="AJ19" s="414">
        <f t="shared" si="2"/>
        <v>-1.2313300517320569E-2</v>
      </c>
      <c r="AK19" s="414">
        <f t="shared" si="2"/>
        <v>-1.086979717555376E-2</v>
      </c>
      <c r="AL19" s="414">
        <f t="shared" si="2"/>
        <v>-9.449887677986513E-3</v>
      </c>
      <c r="AM19" s="414">
        <f t="shared" si="2"/>
        <v>-1.0643423656976682E-2</v>
      </c>
      <c r="AN19" s="414">
        <f t="shared" si="5"/>
        <v>-1.2063125272439726E-2</v>
      </c>
      <c r="AO19" s="414">
        <f t="shared" si="5"/>
        <v>-1.4557336710582784E-2</v>
      </c>
      <c r="AP19" s="415"/>
      <c r="AQ19" s="416" t="str">
        <f t="shared" si="3"/>
        <v/>
      </c>
      <c r="AR19" s="416" t="str">
        <f t="shared" si="6"/>
        <v/>
      </c>
      <c r="AS19" s="416" t="str">
        <f t="shared" si="7"/>
        <v/>
      </c>
      <c r="AT19" s="416" t="str">
        <f t="shared" si="8"/>
        <v/>
      </c>
      <c r="AU19" s="416">
        <f t="shared" si="9"/>
        <v>3.0594037484072691</v>
      </c>
      <c r="AV19" s="416">
        <f t="shared" si="10"/>
        <v>0.15397610148805274</v>
      </c>
      <c r="AW19" s="416">
        <f t="shared" si="11"/>
        <v>-0.16402630602024615</v>
      </c>
      <c r="AX19" s="416">
        <f t="shared" si="12"/>
        <v>1.0814653040262288</v>
      </c>
      <c r="AY19" s="416">
        <f t="shared" si="13"/>
        <v>1.2022449557572146</v>
      </c>
      <c r="AZ19" s="416">
        <f t="shared" si="14"/>
        <v>0.53391627755145232</v>
      </c>
      <c r="BA19" s="416">
        <f t="shared" si="15"/>
        <v>0.58599860018122363</v>
      </c>
      <c r="BB19" s="416">
        <f t="shared" si="16"/>
        <v>0.29032452928014996</v>
      </c>
      <c r="BC19" s="416">
        <f t="shared" si="17"/>
        <v>0.45970468557439315</v>
      </c>
      <c r="BD19" s="416">
        <f t="shared" si="17"/>
        <v>0.33680013908147099</v>
      </c>
      <c r="BE19" s="416">
        <f t="shared" si="17"/>
        <v>0.28041805197509762</v>
      </c>
    </row>
    <row r="20" spans="1:57" ht="16">
      <c r="B20" s="153" t="s">
        <v>560</v>
      </c>
      <c r="C20" s="127" t="s">
        <v>762</v>
      </c>
      <c r="D20" s="128"/>
      <c r="E20" s="128"/>
      <c r="F20" s="128"/>
      <c r="G20" s="128"/>
      <c r="H20" s="128">
        <v>1.5222880000000001</v>
      </c>
      <c r="I20" s="128">
        <v>2.155488455</v>
      </c>
      <c r="J20" s="128">
        <v>-2.6116356779999998</v>
      </c>
      <c r="K20" s="128">
        <v>2.1713748850000001</v>
      </c>
      <c r="L20" s="128">
        <v>0.22280614800000001</v>
      </c>
      <c r="M20" s="128">
        <v>9.3460061650000004</v>
      </c>
      <c r="N20" s="128">
        <v>2.5984020710000002</v>
      </c>
      <c r="O20" s="128">
        <v>68.137051385999996</v>
      </c>
      <c r="P20" s="128">
        <v>37.328692156000002</v>
      </c>
      <c r="Q20" s="128">
        <v>27.827229661000001</v>
      </c>
      <c r="R20" s="110">
        <v>31.145964164999999</v>
      </c>
      <c r="S20" s="110">
        <v>108.551123373</v>
      </c>
      <c r="T20" s="110">
        <v>62.818619040999998</v>
      </c>
      <c r="U20" s="110">
        <v>-161.64213851700001</v>
      </c>
      <c r="V20" s="110">
        <v>-88.606036442000004</v>
      </c>
      <c r="W20" s="158">
        <v>33.225200192000003</v>
      </c>
      <c r="X20" s="110"/>
      <c r="Z20" s="137" t="e">
        <f t="shared" si="1"/>
        <v>#DIV/0!</v>
      </c>
      <c r="AA20" s="137" t="e">
        <f t="shared" si="2"/>
        <v>#DIV/0!</v>
      </c>
      <c r="AB20" s="137" t="e">
        <f t="shared" si="2"/>
        <v>#DIV/0!</v>
      </c>
      <c r="AC20" s="137" t="e">
        <f t="shared" si="2"/>
        <v>#DIV/0!</v>
      </c>
      <c r="AD20" s="137">
        <f t="shared" si="2"/>
        <v>7.5640954265975696E-4</v>
      </c>
      <c r="AE20" s="137">
        <f t="shared" si="2"/>
        <v>7.5205687252461731E-4</v>
      </c>
      <c r="AF20" s="137">
        <f t="shared" si="2"/>
        <v>-4.8085779297197769E-4</v>
      </c>
      <c r="AG20" s="137">
        <f t="shared" si="2"/>
        <v>2.9350432628680865E-4</v>
      </c>
      <c r="AH20" s="137">
        <f t="shared" si="2"/>
        <v>2.3343830836615605E-5</v>
      </c>
      <c r="AI20" s="163"/>
      <c r="AJ20" s="163"/>
      <c r="AK20" s="163"/>
      <c r="AL20" s="163"/>
      <c r="AM20" s="163"/>
      <c r="AN20" s="163"/>
      <c r="AO20" s="163"/>
      <c r="AP20" s="141"/>
      <c r="AQ20" s="142" t="str">
        <f t="shared" si="3"/>
        <v/>
      </c>
      <c r="AR20" s="142" t="str">
        <f t="shared" si="6"/>
        <v/>
      </c>
      <c r="AS20" s="142" t="str">
        <f t="shared" si="7"/>
        <v/>
      </c>
      <c r="AT20" s="142" t="str">
        <f t="shared" si="8"/>
        <v/>
      </c>
      <c r="AU20" s="142">
        <f t="shared" si="9"/>
        <v>0.41595312779185001</v>
      </c>
      <c r="AV20" s="142">
        <f t="shared" si="10"/>
        <v>-2.2116212786674376</v>
      </c>
      <c r="AW20" s="142">
        <f t="shared" si="11"/>
        <v>-1.8314233502365256</v>
      </c>
      <c r="AX20" s="142">
        <f t="shared" si="12"/>
        <v>-0.89738936857971441</v>
      </c>
      <c r="AY20" s="142">
        <f t="shared" si="13"/>
        <v>40.946805547753556</v>
      </c>
      <c r="AZ20" s="142">
        <f t="shared" si="14"/>
        <v>-0.72197727830195579</v>
      </c>
      <c r="BA20" s="142">
        <f t="shared" si="15"/>
        <v>25.222674368396465</v>
      </c>
      <c r="BB20" s="142">
        <f t="shared" si="16"/>
        <v>-0.45215280971683103</v>
      </c>
      <c r="BC20" s="142">
        <f t="shared" si="17"/>
        <v>-0.25453510279150759</v>
      </c>
      <c r="BD20" s="142">
        <f t="shared" si="17"/>
        <v>0.11926212362602584</v>
      </c>
      <c r="BE20" s="142">
        <f t="shared" si="17"/>
        <v>2.485238819319755</v>
      </c>
    </row>
    <row r="21" spans="1:57" ht="16">
      <c r="B21" s="140" t="s">
        <v>763</v>
      </c>
      <c r="C21" s="127" t="s">
        <v>764</v>
      </c>
      <c r="D21" s="128"/>
      <c r="E21" s="128"/>
      <c r="F21" s="128"/>
      <c r="G21" s="128"/>
      <c r="H21" s="128">
        <v>-9.8308540000000004</v>
      </c>
      <c r="I21" s="128">
        <v>-43.931498736000002</v>
      </c>
      <c r="J21" s="128">
        <v>-55.794917486000003</v>
      </c>
      <c r="K21" s="128">
        <v>-42.288449665999998</v>
      </c>
      <c r="L21" s="128">
        <v>-92.318776077999999</v>
      </c>
      <c r="M21" s="128">
        <v>-194.45322648999999</v>
      </c>
      <c r="N21" s="128">
        <v>-310.01255825099997</v>
      </c>
      <c r="O21" s="128">
        <v>-427.66349408600001</v>
      </c>
      <c r="P21" s="128">
        <v>-602.414913297</v>
      </c>
      <c r="Q21" s="128">
        <v>-906.00950878499998</v>
      </c>
      <c r="R21" s="110">
        <v>-1217.2071176689999</v>
      </c>
      <c r="S21" s="110">
        <v>-1489.8626978459999</v>
      </c>
      <c r="T21" s="110">
        <v>-1570.1570766530001</v>
      </c>
      <c r="U21" s="110">
        <v>-1954.640948619</v>
      </c>
      <c r="V21" s="110">
        <v>-521.86321295699997</v>
      </c>
      <c r="W21" s="158">
        <v>-1092.4747843580001</v>
      </c>
      <c r="X21" s="110"/>
      <c r="Z21" s="137" t="e">
        <f t="shared" si="1"/>
        <v>#DIV/0!</v>
      </c>
      <c r="AA21" s="137" t="e">
        <f t="shared" si="2"/>
        <v>#DIV/0!</v>
      </c>
      <c r="AB21" s="137" t="e">
        <f t="shared" si="2"/>
        <v>#DIV/0!</v>
      </c>
      <c r="AC21" s="137" t="e">
        <f t="shared" si="2"/>
        <v>#DIV/0!</v>
      </c>
      <c r="AD21" s="137">
        <f t="shared" si="2"/>
        <v>-4.8848521292257727E-3</v>
      </c>
      <c r="AE21" s="137">
        <f t="shared" si="2"/>
        <v>-1.5327841570237194E-2</v>
      </c>
      <c r="AF21" s="137">
        <f t="shared" si="2"/>
        <v>-1.0273033527370723E-2</v>
      </c>
      <c r="AG21" s="137">
        <f t="shared" si="2"/>
        <v>-5.7161216216853068E-3</v>
      </c>
      <c r="AH21" s="137">
        <f t="shared" si="2"/>
        <v>-9.6724166328131453E-3</v>
      </c>
      <c r="AI21" s="164">
        <f t="shared" ref="AI21:AO24" si="18">M21/M$2</f>
        <v>-1.2278684931500809E-2</v>
      </c>
      <c r="AJ21" s="164">
        <f t="shared" si="18"/>
        <v>-1.2210953160298616E-2</v>
      </c>
      <c r="AK21" s="164">
        <f t="shared" si="18"/>
        <v>-9.3759788740812953E-3</v>
      </c>
      <c r="AL21" s="164">
        <f t="shared" si="18"/>
        <v>-8.8984918609223401E-3</v>
      </c>
      <c r="AM21" s="164">
        <f t="shared" si="18"/>
        <v>-1.0326262227908384E-2</v>
      </c>
      <c r="AN21" s="164">
        <f t="shared" si="18"/>
        <v>-1.1762154599221749E-2</v>
      </c>
      <c r="AO21" s="164">
        <f t="shared" si="18"/>
        <v>-1.3568722102603698E-2</v>
      </c>
      <c r="AP21" s="141"/>
      <c r="AQ21" s="142" t="str">
        <f t="shared" si="3"/>
        <v/>
      </c>
      <c r="AR21" s="142" t="str">
        <f t="shared" si="6"/>
        <v/>
      </c>
      <c r="AS21" s="142" t="str">
        <f t="shared" si="7"/>
        <v/>
      </c>
      <c r="AT21" s="142" t="str">
        <f t="shared" si="8"/>
        <v/>
      </c>
      <c r="AU21" s="142">
        <f t="shared" si="9"/>
        <v>3.4687367685452353</v>
      </c>
      <c r="AV21" s="142">
        <f t="shared" si="10"/>
        <v>0.27004356990621936</v>
      </c>
      <c r="AW21" s="142">
        <f t="shared" si="11"/>
        <v>-0.24207344375747186</v>
      </c>
      <c r="AX21" s="142">
        <f t="shared" si="12"/>
        <v>1.1830730804072132</v>
      </c>
      <c r="AY21" s="142">
        <f t="shared" si="13"/>
        <v>1.1063237052201251</v>
      </c>
      <c r="AZ21" s="142">
        <f t="shared" si="14"/>
        <v>0.59427829430715451</v>
      </c>
      <c r="BA21" s="142">
        <f t="shared" si="15"/>
        <v>0.37950377397210011</v>
      </c>
      <c r="BB21" s="142">
        <f t="shared" si="16"/>
        <v>0.40861897643257516</v>
      </c>
      <c r="BC21" s="142">
        <f t="shared" si="17"/>
        <v>0.50396261577661683</v>
      </c>
      <c r="BD21" s="142">
        <f t="shared" si="17"/>
        <v>0.34348161455979653</v>
      </c>
      <c r="BE21" s="142">
        <f t="shared" si="17"/>
        <v>0.22400097421312015</v>
      </c>
    </row>
    <row r="22" spans="1:57" s="136" customFormat="1" ht="16">
      <c r="B22" s="154" t="s">
        <v>765</v>
      </c>
      <c r="C22" s="144" t="s">
        <v>766</v>
      </c>
      <c r="D22" s="135"/>
      <c r="E22" s="135"/>
      <c r="F22" s="135"/>
      <c r="G22" s="135"/>
      <c r="H22" s="135">
        <v>48.558790000000002</v>
      </c>
      <c r="I22" s="135">
        <v>110.3546935</v>
      </c>
      <c r="J22" s="135">
        <v>156.80991835</v>
      </c>
      <c r="K22" s="135">
        <v>126.180494921</v>
      </c>
      <c r="L22" s="135">
        <v>258.468853486</v>
      </c>
      <c r="M22" s="135">
        <v>673.74421660400003</v>
      </c>
      <c r="N22" s="135">
        <v>1075.771229443</v>
      </c>
      <c r="O22" s="135">
        <v>1578.250620837</v>
      </c>
      <c r="P22" s="135">
        <v>2206.8971193490001</v>
      </c>
      <c r="Q22" s="135">
        <v>2880.309060134</v>
      </c>
      <c r="R22" s="111">
        <v>3836.2400870269998</v>
      </c>
      <c r="S22" s="111">
        <v>3919.8727095069999</v>
      </c>
      <c r="T22" s="111">
        <v>4901.4266738899996</v>
      </c>
      <c r="U22" s="111">
        <v>4101.7144249390003</v>
      </c>
      <c r="V22" s="111">
        <v>167.82915493900001</v>
      </c>
      <c r="W22" s="155">
        <v>3733.28822872</v>
      </c>
      <c r="X22" s="111"/>
      <c r="Z22" s="137" t="e">
        <f t="shared" si="1"/>
        <v>#DIV/0!</v>
      </c>
      <c r="AA22" s="137" t="e">
        <f t="shared" ref="AA22:AH26" si="19">E22/E$2</f>
        <v>#DIV/0!</v>
      </c>
      <c r="AB22" s="137" t="e">
        <f t="shared" si="19"/>
        <v>#DIV/0!</v>
      </c>
      <c r="AC22" s="137" t="e">
        <f t="shared" si="19"/>
        <v>#DIV/0!</v>
      </c>
      <c r="AD22" s="137">
        <f t="shared" si="19"/>
        <v>2.4128372644342713E-2</v>
      </c>
      <c r="AE22" s="137">
        <f t="shared" si="19"/>
        <v>3.8503108411231418E-2</v>
      </c>
      <c r="AF22" s="137">
        <f t="shared" si="19"/>
        <v>2.8872048229805592E-2</v>
      </c>
      <c r="AG22" s="137">
        <f t="shared" si="19"/>
        <v>1.7055793270964442E-2</v>
      </c>
      <c r="AH22" s="137">
        <f t="shared" si="19"/>
        <v>2.7080281430614594E-2</v>
      </c>
      <c r="AI22" s="164">
        <f t="shared" si="18"/>
        <v>4.254335661808515E-2</v>
      </c>
      <c r="AJ22" s="164">
        <f t="shared" si="18"/>
        <v>4.23730966514256E-2</v>
      </c>
      <c r="AK22" s="164">
        <f t="shared" si="18"/>
        <v>3.4601140110401156E-2</v>
      </c>
      <c r="AL22" s="164">
        <f t="shared" si="18"/>
        <v>3.2598887612096956E-2</v>
      </c>
      <c r="AM22" s="164">
        <f t="shared" si="18"/>
        <v>3.2828382444076674E-2</v>
      </c>
      <c r="AN22" s="164">
        <f t="shared" si="18"/>
        <v>3.7070477430130998E-2</v>
      </c>
      <c r="AO22" s="164">
        <f t="shared" si="18"/>
        <v>3.5699708134029964E-2</v>
      </c>
      <c r="AP22" s="138"/>
      <c r="AQ22" s="139" t="str">
        <f t="shared" si="3"/>
        <v/>
      </c>
      <c r="AR22" s="139" t="str">
        <f t="shared" si="6"/>
        <v/>
      </c>
      <c r="AS22" s="139" t="str">
        <f t="shared" si="7"/>
        <v/>
      </c>
      <c r="AT22" s="139" t="str">
        <f t="shared" si="8"/>
        <v/>
      </c>
      <c r="AU22" s="139">
        <f t="shared" si="9"/>
        <v>1.2725997394086632</v>
      </c>
      <c r="AV22" s="139">
        <f t="shared" si="10"/>
        <v>0.42096283698164605</v>
      </c>
      <c r="AW22" s="139">
        <f t="shared" si="11"/>
        <v>-0.19532835519137937</v>
      </c>
      <c r="AX22" s="139">
        <f t="shared" si="12"/>
        <v>1.0484057670547577</v>
      </c>
      <c r="AY22" s="139">
        <f t="shared" si="13"/>
        <v>1.6066746825280185</v>
      </c>
      <c r="AZ22" s="139">
        <f t="shared" si="14"/>
        <v>0.5967056976984717</v>
      </c>
      <c r="BA22" s="139">
        <f t="shared" si="15"/>
        <v>0.46708759041099079</v>
      </c>
      <c r="BB22" s="139">
        <f t="shared" si="16"/>
        <v>0.39831854979952896</v>
      </c>
      <c r="BC22" s="139">
        <f t="shared" si="17"/>
        <v>0.30513970718473993</v>
      </c>
      <c r="BD22" s="139">
        <f t="shared" si="17"/>
        <v>0.3318848800373273</v>
      </c>
      <c r="BE22" s="139">
        <f t="shared" si="17"/>
        <v>2.1800674770804829E-2</v>
      </c>
    </row>
    <row r="23" spans="1:57" ht="16">
      <c r="B23" s="140" t="s">
        <v>767</v>
      </c>
      <c r="C23" s="127" t="s">
        <v>768</v>
      </c>
      <c r="D23" s="128"/>
      <c r="E23" s="128"/>
      <c r="F23" s="128"/>
      <c r="G23" s="128"/>
      <c r="H23" s="128">
        <v>0.48558800000000002</v>
      </c>
      <c r="I23" s="128">
        <v>0.31837941199999997</v>
      </c>
      <c r="J23" s="128">
        <v>-1.745730507</v>
      </c>
      <c r="K23" s="128">
        <v>1.1252268030000001</v>
      </c>
      <c r="L23" s="128">
        <v>2.8676030620000001</v>
      </c>
      <c r="M23" s="128">
        <v>5.6381847719999998</v>
      </c>
      <c r="N23" s="128">
        <v>3.8777100440000001</v>
      </c>
      <c r="O23" s="128">
        <v>0.87819449800000005</v>
      </c>
      <c r="P23" s="128">
        <v>1.2174889289999999</v>
      </c>
      <c r="Q23" s="128">
        <v>1.5849292260000001</v>
      </c>
      <c r="R23" s="110">
        <v>1.9705399800000001</v>
      </c>
      <c r="S23" s="110">
        <v>2.1049263479999998</v>
      </c>
      <c r="T23" s="110">
        <v>2.55739567</v>
      </c>
      <c r="U23" s="110">
        <v>1.9513976340000001</v>
      </c>
      <c r="V23" s="110">
        <v>0.159762235</v>
      </c>
      <c r="W23" s="158">
        <v>11.419787059000001</v>
      </c>
      <c r="X23" s="110"/>
      <c r="Z23" s="137" t="e">
        <f t="shared" si="1"/>
        <v>#DIV/0!</v>
      </c>
      <c r="AA23" s="137" t="e">
        <f t="shared" si="19"/>
        <v>#DIV/0!</v>
      </c>
      <c r="AB23" s="137" t="e">
        <f t="shared" si="19"/>
        <v>#DIV/0!</v>
      </c>
      <c r="AC23" s="137" t="e">
        <f t="shared" si="19"/>
        <v>#DIV/0!</v>
      </c>
      <c r="AD23" s="137">
        <f t="shared" si="19"/>
        <v>2.4128377613241784E-4</v>
      </c>
      <c r="AE23" s="137">
        <f t="shared" si="19"/>
        <v>1.1108360349113844E-4</v>
      </c>
      <c r="AF23" s="137">
        <f t="shared" si="19"/>
        <v>-3.214261950053937E-4</v>
      </c>
      <c r="AG23" s="137">
        <f t="shared" si="19"/>
        <v>1.5209669091036511E-4</v>
      </c>
      <c r="AH23" s="137">
        <f t="shared" si="19"/>
        <v>3.0044431622187071E-4</v>
      </c>
      <c r="AI23" s="163"/>
      <c r="AJ23" s="163"/>
      <c r="AK23" s="163"/>
      <c r="AL23" s="163"/>
      <c r="AM23" s="163"/>
      <c r="AN23" s="163"/>
      <c r="AO23" s="163"/>
      <c r="AP23" s="141"/>
      <c r="AQ23" s="142" t="str">
        <f t="shared" si="3"/>
        <v/>
      </c>
      <c r="AR23" s="142" t="str">
        <f t="shared" si="6"/>
        <v/>
      </c>
      <c r="AS23" s="142" t="str">
        <f t="shared" si="7"/>
        <v/>
      </c>
      <c r="AT23" s="142" t="str">
        <f t="shared" si="8"/>
        <v/>
      </c>
      <c r="AU23" s="142">
        <f t="shared" si="9"/>
        <v>-0.34434250434524749</v>
      </c>
      <c r="AV23" s="142">
        <f t="shared" si="10"/>
        <v>-6.4831764906959499</v>
      </c>
      <c r="AW23" s="142">
        <f t="shared" si="11"/>
        <v>-1.6445592824826543</v>
      </c>
      <c r="AX23" s="142">
        <f t="shared" si="12"/>
        <v>1.5484667218685155</v>
      </c>
      <c r="AY23" s="142">
        <f t="shared" si="13"/>
        <v>0.96616639405722582</v>
      </c>
      <c r="AZ23" s="142">
        <f t="shared" si="14"/>
        <v>-0.31224140378349408</v>
      </c>
      <c r="BA23" s="142">
        <f t="shared" si="15"/>
        <v>-0.77352754898246334</v>
      </c>
      <c r="BB23" s="142">
        <f t="shared" si="16"/>
        <v>0.38635453965233091</v>
      </c>
      <c r="BC23" s="142">
        <f t="shared" si="17"/>
        <v>0.30180175626056971</v>
      </c>
      <c r="BD23" s="142">
        <f t="shared" si="17"/>
        <v>0.24329840580528228</v>
      </c>
      <c r="BE23" s="142">
        <f t="shared" si="17"/>
        <v>6.819773735318968E-2</v>
      </c>
    </row>
    <row r="24" spans="1:57" ht="16">
      <c r="B24" s="140" t="s">
        <v>769</v>
      </c>
      <c r="C24" s="127" t="s">
        <v>770</v>
      </c>
      <c r="D24" s="128"/>
      <c r="E24" s="128"/>
      <c r="F24" s="128"/>
      <c r="G24" s="128"/>
      <c r="H24" s="128">
        <v>48.073202000000002</v>
      </c>
      <c r="I24" s="128">
        <v>110.036314088</v>
      </c>
      <c r="J24" s="128">
        <v>158.55564885699999</v>
      </c>
      <c r="K24" s="128">
        <v>125.055268118</v>
      </c>
      <c r="L24" s="128">
        <v>255.601250424</v>
      </c>
      <c r="M24" s="128">
        <v>668.10603183199999</v>
      </c>
      <c r="N24" s="128">
        <v>1071.8935193990001</v>
      </c>
      <c r="O24" s="128">
        <v>1577.372426339</v>
      </c>
      <c r="P24" s="128">
        <v>2205.6796304200002</v>
      </c>
      <c r="Q24" s="128">
        <v>2878.724130908</v>
      </c>
      <c r="R24" s="110">
        <v>3834.2695470469998</v>
      </c>
      <c r="S24" s="110">
        <v>3917.7677831589999</v>
      </c>
      <c r="T24" s="110">
        <v>4898.8692782199996</v>
      </c>
      <c r="U24" s="110">
        <v>4099.7630273049999</v>
      </c>
      <c r="V24" s="110">
        <v>167.66939270399999</v>
      </c>
      <c r="W24" s="158">
        <v>3721.8684416609999</v>
      </c>
      <c r="X24" s="110"/>
      <c r="Z24" s="137" t="e">
        <f t="shared" si="1"/>
        <v>#DIV/0!</v>
      </c>
      <c r="AA24" s="137" t="e">
        <f t="shared" si="19"/>
        <v>#DIV/0!</v>
      </c>
      <c r="AB24" s="137" t="e">
        <f t="shared" si="19"/>
        <v>#DIV/0!</v>
      </c>
      <c r="AC24" s="137" t="e">
        <f t="shared" si="19"/>
        <v>#DIV/0!</v>
      </c>
      <c r="AD24" s="137">
        <f t="shared" si="19"/>
        <v>2.3887088868210296E-2</v>
      </c>
      <c r="AE24" s="137">
        <f t="shared" si="19"/>
        <v>3.8392024807740281E-2</v>
      </c>
      <c r="AF24" s="137">
        <f t="shared" si="19"/>
        <v>2.9193474424810986E-2</v>
      </c>
      <c r="AG24" s="137">
        <f t="shared" si="19"/>
        <v>1.6903696580054074E-2</v>
      </c>
      <c r="AH24" s="137">
        <f t="shared" si="19"/>
        <v>2.6779837114392725E-2</v>
      </c>
      <c r="AI24" s="164">
        <f t="shared" si="18"/>
        <v>4.2187335297942469E-2</v>
      </c>
      <c r="AJ24" s="164">
        <f t="shared" si="18"/>
        <v>4.2220359175293529E-2</v>
      </c>
      <c r="AK24" s="164">
        <f t="shared" si="18"/>
        <v>3.4581886811547155E-2</v>
      </c>
      <c r="AL24" s="164">
        <f t="shared" si="18"/>
        <v>3.2580903636125688E-2</v>
      </c>
      <c r="AM24" s="164">
        <f t="shared" si="18"/>
        <v>3.2810318180245379E-2</v>
      </c>
      <c r="AN24" s="164">
        <f t="shared" si="18"/>
        <v>3.7051435645415597E-2</v>
      </c>
      <c r="AO24" s="164">
        <f t="shared" si="18"/>
        <v>3.5680537803298315E-2</v>
      </c>
      <c r="AP24" s="141"/>
      <c r="AQ24" s="142" t="str">
        <f t="shared" si="3"/>
        <v/>
      </c>
      <c r="AR24" s="142" t="str">
        <f t="shared" si="6"/>
        <v/>
      </c>
      <c r="AS24" s="142" t="str">
        <f t="shared" si="7"/>
        <v/>
      </c>
      <c r="AT24" s="142" t="str">
        <f t="shared" si="8"/>
        <v/>
      </c>
      <c r="AU24" s="142">
        <f t="shared" si="9"/>
        <v>1.2889324927430463</v>
      </c>
      <c r="AV24" s="142">
        <f t="shared" si="10"/>
        <v>0.44093929509668373</v>
      </c>
      <c r="AW24" s="142">
        <f t="shared" si="11"/>
        <v>-0.21128468761913177</v>
      </c>
      <c r="AX24" s="142">
        <f t="shared" si="12"/>
        <v>1.0439063005551996</v>
      </c>
      <c r="AY24" s="142">
        <f t="shared" si="13"/>
        <v>1.6138605766745004</v>
      </c>
      <c r="AZ24" s="142">
        <f t="shared" si="14"/>
        <v>0.60437635394457168</v>
      </c>
      <c r="BA24" s="142">
        <f t="shared" si="15"/>
        <v>0.47157567220241869</v>
      </c>
      <c r="BB24" s="142">
        <f t="shared" si="16"/>
        <v>0.39832521070453142</v>
      </c>
      <c r="BC24" s="142">
        <f t="shared" si="17"/>
        <v>0.30514154966369267</v>
      </c>
      <c r="BD24" s="142">
        <f t="shared" si="17"/>
        <v>0.3319336527872172</v>
      </c>
      <c r="BE24" s="142">
        <f t="shared" si="17"/>
        <v>2.1776830003072511E-2</v>
      </c>
    </row>
    <row r="25" spans="1:57" ht="16">
      <c r="B25" s="140" t="s">
        <v>771</v>
      </c>
      <c r="C25" s="143" t="s">
        <v>772</v>
      </c>
      <c r="D25" s="128"/>
      <c r="E25" s="128"/>
      <c r="F25" s="128"/>
      <c r="G25" s="128"/>
      <c r="H25" s="128">
        <v>0</v>
      </c>
      <c r="I25" s="128">
        <v>0</v>
      </c>
      <c r="J25" s="128">
        <v>29581</v>
      </c>
      <c r="K25" s="128">
        <v>0</v>
      </c>
      <c r="L25" s="128">
        <v>24294</v>
      </c>
      <c r="M25" s="128">
        <v>5975</v>
      </c>
      <c r="N25" s="128">
        <v>6957</v>
      </c>
      <c r="O25" s="128">
        <v>10246</v>
      </c>
      <c r="P25" s="128">
        <v>7162</v>
      </c>
      <c r="Q25" s="128">
        <v>6689</v>
      </c>
      <c r="R25" s="110">
        <v>8665</v>
      </c>
      <c r="S25" s="110">
        <v>8654</v>
      </c>
      <c r="T25" s="110">
        <v>6897</v>
      </c>
      <c r="U25" s="110">
        <v>2810</v>
      </c>
      <c r="V25" s="110">
        <v>115</v>
      </c>
      <c r="W25" s="158">
        <v>2546</v>
      </c>
      <c r="X25" s="110"/>
      <c r="Z25" s="137" t="e">
        <f t="shared" si="1"/>
        <v>#DIV/0!</v>
      </c>
      <c r="AA25" s="137" t="e">
        <f t="shared" si="19"/>
        <v>#DIV/0!</v>
      </c>
      <c r="AB25" s="137" t="e">
        <f t="shared" si="19"/>
        <v>#DIV/0!</v>
      </c>
      <c r="AC25" s="137" t="e">
        <f t="shared" si="19"/>
        <v>#DIV/0!</v>
      </c>
      <c r="AD25" s="137">
        <f t="shared" si="19"/>
        <v>0</v>
      </c>
      <c r="AE25" s="137">
        <f t="shared" si="19"/>
        <v>0</v>
      </c>
      <c r="AF25" s="137">
        <f t="shared" si="19"/>
        <v>5.4464925922581431</v>
      </c>
      <c r="AG25" s="137">
        <f t="shared" si="19"/>
        <v>0</v>
      </c>
      <c r="AH25" s="137">
        <f t="shared" si="19"/>
        <v>2.5453293431774577</v>
      </c>
      <c r="AI25" s="163"/>
      <c r="AJ25" s="163"/>
      <c r="AK25" s="163"/>
      <c r="AL25" s="163"/>
      <c r="AM25" s="163"/>
      <c r="AN25" s="163"/>
      <c r="AO25" s="163"/>
      <c r="AP25" s="141"/>
      <c r="AQ25" s="142" t="str">
        <f t="shared" si="3"/>
        <v/>
      </c>
      <c r="AR25" s="142" t="str">
        <f t="shared" si="6"/>
        <v/>
      </c>
      <c r="AS25" s="142" t="str">
        <f t="shared" si="7"/>
        <v/>
      </c>
      <c r="AT25" s="142" t="str">
        <f t="shared" si="8"/>
        <v/>
      </c>
      <c r="AU25" s="142" t="str">
        <f t="shared" si="9"/>
        <v/>
      </c>
      <c r="AV25" s="142" t="str">
        <f t="shared" si="10"/>
        <v/>
      </c>
      <c r="AW25" s="142">
        <f t="shared" si="11"/>
        <v>-1</v>
      </c>
      <c r="AX25" s="142" t="str">
        <f t="shared" si="12"/>
        <v/>
      </c>
      <c r="AY25" s="142">
        <f t="shared" si="13"/>
        <v>-0.75405449905326416</v>
      </c>
      <c r="AZ25" s="142">
        <f t="shared" si="14"/>
        <v>0.16435146443514648</v>
      </c>
      <c r="BA25" s="142">
        <f t="shared" si="15"/>
        <v>0.47276124766422312</v>
      </c>
      <c r="BB25" s="142">
        <f t="shared" si="16"/>
        <v>-0.3009955104430998</v>
      </c>
      <c r="BC25" s="142">
        <f t="shared" si="17"/>
        <v>-6.6043004747277312E-2</v>
      </c>
      <c r="BD25" s="142">
        <f t="shared" si="17"/>
        <v>0.29541037524293623</v>
      </c>
      <c r="BE25" s="142">
        <f t="shared" si="17"/>
        <v>-1.2694748990190741E-3</v>
      </c>
    </row>
    <row r="26" spans="1:57" ht="16">
      <c r="B26" s="140" t="s">
        <v>773</v>
      </c>
      <c r="C26" s="143" t="s">
        <v>774</v>
      </c>
      <c r="D26" s="128"/>
      <c r="E26" s="128"/>
      <c r="F26" s="128"/>
      <c r="G26" s="128"/>
      <c r="H26" s="128">
        <v>0</v>
      </c>
      <c r="I26" s="128">
        <v>0</v>
      </c>
      <c r="J26" s="128">
        <v>0</v>
      </c>
      <c r="K26" s="128">
        <v>0</v>
      </c>
      <c r="L26" s="128">
        <v>0</v>
      </c>
      <c r="M26" s="128">
        <v>0</v>
      </c>
      <c r="N26" s="128">
        <v>6957</v>
      </c>
      <c r="O26" s="128">
        <v>9948</v>
      </c>
      <c r="P26" s="128">
        <v>0</v>
      </c>
      <c r="Q26" s="128">
        <v>6689</v>
      </c>
      <c r="R26" s="110">
        <v>8665</v>
      </c>
      <c r="S26" s="110">
        <v>8654</v>
      </c>
      <c r="T26" s="110">
        <v>6897</v>
      </c>
      <c r="U26" s="110">
        <v>2810</v>
      </c>
      <c r="V26" s="110">
        <v>115</v>
      </c>
      <c r="W26" s="158">
        <v>2546</v>
      </c>
      <c r="X26" s="110"/>
      <c r="Z26" s="137" t="e">
        <f t="shared" si="1"/>
        <v>#DIV/0!</v>
      </c>
      <c r="AA26" s="137" t="e">
        <f t="shared" si="19"/>
        <v>#DIV/0!</v>
      </c>
      <c r="AB26" s="137" t="e">
        <f t="shared" si="19"/>
        <v>#DIV/0!</v>
      </c>
      <c r="AC26" s="137" t="e">
        <f t="shared" si="19"/>
        <v>#DIV/0!</v>
      </c>
      <c r="AD26" s="137">
        <f t="shared" si="19"/>
        <v>0</v>
      </c>
      <c r="AE26" s="137">
        <f t="shared" si="19"/>
        <v>0</v>
      </c>
      <c r="AF26" s="137">
        <f t="shared" si="19"/>
        <v>0</v>
      </c>
      <c r="AG26" s="137">
        <f t="shared" si="19"/>
        <v>0</v>
      </c>
      <c r="AH26" s="137">
        <f t="shared" si="19"/>
        <v>0</v>
      </c>
      <c r="AI26" s="163"/>
      <c r="AJ26" s="163"/>
      <c r="AK26" s="163"/>
      <c r="AL26" s="163"/>
      <c r="AM26" s="163"/>
      <c r="AN26" s="163"/>
      <c r="AO26" s="163"/>
      <c r="AP26" s="141"/>
      <c r="AQ26" s="142" t="str">
        <f t="shared" si="3"/>
        <v/>
      </c>
      <c r="AR26" s="142" t="str">
        <f t="shared" si="6"/>
        <v/>
      </c>
      <c r="AS26" s="142" t="str">
        <f t="shared" si="7"/>
        <v/>
      </c>
      <c r="AT26" s="142" t="str">
        <f t="shared" si="8"/>
        <v/>
      </c>
      <c r="AU26" s="142" t="str">
        <f t="shared" si="9"/>
        <v/>
      </c>
      <c r="AV26" s="142" t="str">
        <f t="shared" si="10"/>
        <v/>
      </c>
      <c r="AW26" s="142" t="str">
        <f t="shared" si="11"/>
        <v/>
      </c>
      <c r="AX26" s="142" t="str">
        <f t="shared" si="12"/>
        <v/>
      </c>
      <c r="AY26" s="142" t="str">
        <f t="shared" si="13"/>
        <v/>
      </c>
      <c r="AZ26" s="142" t="str">
        <f t="shared" si="14"/>
        <v/>
      </c>
      <c r="BA26" s="142">
        <f t="shared" si="15"/>
        <v>0.42992669253988791</v>
      </c>
      <c r="BB26" s="142">
        <f t="shared" si="16"/>
        <v>-1</v>
      </c>
      <c r="BC26" s="142" t="str">
        <f t="shared" si="17"/>
        <v/>
      </c>
      <c r="BD26" s="142"/>
      <c r="BE26" s="142"/>
    </row>
    <row r="27" spans="1:57" s="136" customFormat="1" ht="16">
      <c r="B27" s="154" t="s">
        <v>536</v>
      </c>
      <c r="C27" s="144"/>
      <c r="D27" s="135"/>
      <c r="E27" s="135"/>
      <c r="F27" s="135"/>
      <c r="G27" s="135"/>
      <c r="H27" s="135"/>
      <c r="I27" s="161">
        <f>-SUM(I11:I12)/I2</f>
        <v>0.12261224635049657</v>
      </c>
      <c r="J27" s="161">
        <f>-SUM(J11:J12)/J2</f>
        <v>0.13387134005093013</v>
      </c>
      <c r="K27" s="161">
        <f>-SUM(K11:K12)/K2</f>
        <v>0.13220508085525826</v>
      </c>
      <c r="L27" s="161">
        <f>-SUM(L11:L12)/L2</f>
        <v>0.111209134894865</v>
      </c>
      <c r="M27" s="161">
        <f t="shared" ref="M27:S27" si="20">-SUM(M11:M12)/M2</f>
        <v>0.10039019699721399</v>
      </c>
      <c r="N27" s="161">
        <f t="shared" si="20"/>
        <v>0.10242644753069682</v>
      </c>
      <c r="O27" s="161">
        <f t="shared" si="20"/>
        <v>0.11449609116383136</v>
      </c>
      <c r="P27" s="161">
        <f t="shared" si="20"/>
        <v>0.12352642491401279</v>
      </c>
      <c r="Q27" s="161">
        <f t="shared" si="20"/>
        <v>0.13017513227155769</v>
      </c>
      <c r="R27" s="161">
        <f t="shared" si="20"/>
        <v>0.14022379140631519</v>
      </c>
      <c r="S27" s="161">
        <f t="shared" si="20"/>
        <v>0.17065588997503958</v>
      </c>
      <c r="T27" s="161">
        <f>-SUM(T11:T12)/T2</f>
        <v>0.17510307897617644</v>
      </c>
      <c r="U27" s="161">
        <f t="shared" ref="U27:W27" si="21">-SUM(U11:U12)/U2</f>
        <v>0.17916891024595563</v>
      </c>
      <c r="V27" s="161">
        <f t="shared" si="21"/>
        <v>0.18546341311138367</v>
      </c>
      <c r="W27" s="161">
        <f t="shared" si="21"/>
        <v>0.1731601970939588</v>
      </c>
      <c r="X27" s="111"/>
      <c r="Z27" s="137"/>
      <c r="AA27" s="137"/>
      <c r="AB27" s="137"/>
      <c r="AC27" s="137"/>
      <c r="AD27" s="137"/>
      <c r="AE27" s="137"/>
      <c r="AF27" s="137"/>
      <c r="AG27" s="137"/>
      <c r="AH27" s="137"/>
      <c r="AI27" s="137"/>
      <c r="AJ27" s="137"/>
      <c r="AK27" s="137"/>
      <c r="AL27" s="137"/>
      <c r="AM27" s="137"/>
      <c r="AN27" s="137"/>
      <c r="AO27" s="137"/>
      <c r="AP27" s="138"/>
      <c r="AQ27" s="139"/>
      <c r="AR27" s="139"/>
      <c r="AS27" s="139"/>
      <c r="AT27" s="139"/>
      <c r="AU27" s="139"/>
      <c r="AV27" s="139"/>
      <c r="AW27" s="139"/>
      <c r="AX27" s="139"/>
      <c r="AY27" s="139"/>
      <c r="AZ27" s="139"/>
      <c r="BA27" s="139"/>
      <c r="BB27" s="139"/>
      <c r="BC27" s="139"/>
      <c r="BD27" s="139"/>
      <c r="BE27" s="139"/>
    </row>
    <row r="28" spans="1:57" s="136" customFormat="1" ht="16">
      <c r="B28" s="154" t="s">
        <v>775</v>
      </c>
      <c r="C28" s="144"/>
      <c r="D28" s="135"/>
      <c r="E28" s="135"/>
      <c r="F28" s="135"/>
      <c r="G28" s="135"/>
      <c r="H28" s="135"/>
      <c r="I28" s="135"/>
      <c r="J28" s="135"/>
      <c r="K28" s="135"/>
      <c r="L28" s="135"/>
      <c r="M28" s="122">
        <f t="shared" ref="M28:S28" si="22">-M21/M18</f>
        <v>0.2239735074512843</v>
      </c>
      <c r="N28" s="122">
        <f t="shared" si="22"/>
        <v>0.22370918248861416</v>
      </c>
      <c r="O28" s="122">
        <f t="shared" si="22"/>
        <v>0.2132012985523144</v>
      </c>
      <c r="P28" s="122">
        <f t="shared" si="22"/>
        <v>0.21443503117366602</v>
      </c>
      <c r="Q28" s="122">
        <f t="shared" si="22"/>
        <v>0.23928507131497578</v>
      </c>
      <c r="R28" s="122">
        <f t="shared" si="22"/>
        <v>0.24086669324216742</v>
      </c>
      <c r="S28" s="122">
        <f t="shared" si="22"/>
        <v>0.27540398663878357</v>
      </c>
      <c r="T28" s="122">
        <f>-T21/T18</f>
        <v>0.24262331095093309</v>
      </c>
      <c r="U28" s="122">
        <f t="shared" ref="U28:W28" si="23">-U21/U18</f>
        <v>0.32274211601798453</v>
      </c>
      <c r="V28" s="122">
        <f t="shared" si="23"/>
        <v>0.75666084945816414</v>
      </c>
      <c r="W28" s="122">
        <f t="shared" si="23"/>
        <v>0.22638384466815967</v>
      </c>
      <c r="X28" s="111"/>
      <c r="Z28" s="137"/>
      <c r="AA28" s="137"/>
      <c r="AB28" s="137"/>
      <c r="AC28" s="137"/>
      <c r="AD28" s="137"/>
      <c r="AE28" s="137"/>
      <c r="AF28" s="137"/>
      <c r="AG28" s="137"/>
      <c r="AH28" s="137"/>
      <c r="AI28" s="137"/>
      <c r="AJ28" s="137"/>
      <c r="AK28" s="137"/>
      <c r="AL28" s="137"/>
      <c r="AM28" s="137"/>
      <c r="AN28" s="137"/>
      <c r="AO28" s="137"/>
      <c r="AP28" s="138"/>
      <c r="AQ28" s="139"/>
      <c r="AR28" s="139"/>
      <c r="AS28" s="139"/>
      <c r="AT28" s="139"/>
      <c r="AU28" s="139"/>
      <c r="AV28" s="139"/>
      <c r="AW28" s="139"/>
      <c r="AX28" s="139"/>
      <c r="AY28" s="139"/>
      <c r="AZ28" s="139"/>
      <c r="BA28" s="139"/>
      <c r="BB28" s="139"/>
      <c r="BC28" s="139"/>
      <c r="BD28" s="139"/>
      <c r="BE28" s="139"/>
    </row>
    <row r="29" spans="1:57" ht="16">
      <c r="B29" s="140"/>
      <c r="C29" s="143"/>
      <c r="D29" s="128"/>
      <c r="E29" s="128"/>
      <c r="F29" s="128"/>
      <c r="G29" s="128"/>
      <c r="H29" s="128"/>
      <c r="I29" s="128"/>
      <c r="J29" s="128"/>
      <c r="K29" s="128"/>
      <c r="L29" s="128"/>
      <c r="M29" s="128"/>
      <c r="N29" s="128"/>
      <c r="O29" s="128"/>
      <c r="P29" s="128"/>
      <c r="Q29" s="128"/>
      <c r="R29" s="110"/>
      <c r="S29" s="110"/>
      <c r="T29" s="110"/>
      <c r="U29" s="110"/>
      <c r="V29" s="110"/>
      <c r="W29" s="158"/>
      <c r="X29" s="110"/>
      <c r="Z29" s="137"/>
      <c r="AA29" s="137"/>
      <c r="AB29" s="137"/>
      <c r="AC29" s="137"/>
      <c r="AD29" s="137"/>
      <c r="AE29" s="137"/>
      <c r="AF29" s="137"/>
      <c r="AG29" s="137"/>
      <c r="AH29" s="137"/>
      <c r="AI29" s="137"/>
      <c r="AJ29" s="137"/>
      <c r="AK29" s="137"/>
      <c r="AL29" s="137"/>
      <c r="AM29" s="137"/>
      <c r="AN29" s="137"/>
      <c r="AO29" s="137"/>
      <c r="AP29" s="141"/>
      <c r="AQ29" s="142"/>
      <c r="AR29" s="142"/>
      <c r="AS29" s="142"/>
      <c r="AT29" s="142"/>
      <c r="AU29" s="142"/>
      <c r="AV29" s="142"/>
      <c r="AW29" s="142"/>
      <c r="AX29" s="142"/>
      <c r="AY29" s="142"/>
      <c r="AZ29" s="142"/>
      <c r="BA29" s="142"/>
      <c r="BB29" s="142"/>
      <c r="BC29" s="142"/>
      <c r="BD29" s="142"/>
      <c r="BE29" s="142"/>
    </row>
    <row r="30" spans="1:57">
      <c r="B30" s="140"/>
    </row>
    <row r="31" spans="1:57" ht="16">
      <c r="A31" s="129">
        <v>2</v>
      </c>
      <c r="B31" s="130" t="s">
        <v>776</v>
      </c>
      <c r="C31" s="150"/>
      <c r="D31" s="149"/>
      <c r="E31" s="149" t="s">
        <v>724</v>
      </c>
      <c r="F31" s="149" t="s">
        <v>725</v>
      </c>
      <c r="G31" s="149" t="s">
        <v>726</v>
      </c>
      <c r="H31" s="149" t="s">
        <v>727</v>
      </c>
      <c r="I31" s="149" t="s">
        <v>728</v>
      </c>
      <c r="J31" s="149" t="s">
        <v>729</v>
      </c>
      <c r="K31" s="149" t="s">
        <v>730</v>
      </c>
      <c r="L31" s="149" t="s">
        <v>731</v>
      </c>
      <c r="M31" s="149" t="s">
        <v>732</v>
      </c>
      <c r="N31" s="149" t="s">
        <v>733</v>
      </c>
      <c r="O31" s="149" t="s">
        <v>734</v>
      </c>
      <c r="P31" s="149" t="s">
        <v>735</v>
      </c>
      <c r="Q31" s="149" t="s">
        <v>736</v>
      </c>
      <c r="R31" s="149">
        <f>R1</f>
        <v>2019</v>
      </c>
      <c r="S31" s="149">
        <f>S1</f>
        <v>2020</v>
      </c>
      <c r="T31" s="149">
        <v>2021</v>
      </c>
      <c r="U31" s="149">
        <v>2022</v>
      </c>
      <c r="V31" s="149">
        <v>2023</v>
      </c>
      <c r="W31" s="291"/>
      <c r="X31" s="149"/>
      <c r="Y31" s="133"/>
      <c r="Z31" s="151" t="s">
        <v>723</v>
      </c>
      <c r="AA31" s="151" t="s">
        <v>724</v>
      </c>
      <c r="AB31" s="151" t="s">
        <v>725</v>
      </c>
      <c r="AC31" s="151" t="s">
        <v>726</v>
      </c>
      <c r="AD31" s="151" t="s">
        <v>727</v>
      </c>
      <c r="AE31" s="151" t="s">
        <v>728</v>
      </c>
      <c r="AF31" s="151" t="s">
        <v>729</v>
      </c>
      <c r="AG31" s="151" t="s">
        <v>730</v>
      </c>
      <c r="AH31" s="151" t="s">
        <v>731</v>
      </c>
      <c r="AI31" s="151" t="s">
        <v>732</v>
      </c>
      <c r="AJ31" s="151" t="s">
        <v>733</v>
      </c>
      <c r="AK31" s="151" t="s">
        <v>734</v>
      </c>
      <c r="AL31" s="151" t="s">
        <v>735</v>
      </c>
      <c r="AM31" s="151" t="s">
        <v>736</v>
      </c>
      <c r="AN31" s="151">
        <v>2019</v>
      </c>
      <c r="AO31" s="151">
        <v>2019</v>
      </c>
      <c r="AP31" s="133"/>
      <c r="AQ31" s="151" t="s">
        <v>724</v>
      </c>
      <c r="AR31" s="151" t="s">
        <v>725</v>
      </c>
      <c r="AS31" s="151" t="s">
        <v>726</v>
      </c>
      <c r="AT31" s="151" t="s">
        <v>727</v>
      </c>
      <c r="AU31" s="151" t="s">
        <v>728</v>
      </c>
      <c r="AV31" s="151" t="s">
        <v>729</v>
      </c>
      <c r="AW31" s="151" t="s">
        <v>730</v>
      </c>
      <c r="AX31" s="151" t="s">
        <v>731</v>
      </c>
      <c r="AY31" s="151" t="s">
        <v>732</v>
      </c>
      <c r="AZ31" s="151" t="s">
        <v>733</v>
      </c>
      <c r="BA31" s="151" t="s">
        <v>734</v>
      </c>
      <c r="BB31" s="151" t="s">
        <v>735</v>
      </c>
      <c r="BC31" s="151" t="s">
        <v>736</v>
      </c>
      <c r="BD31" s="151">
        <f>BD1</f>
        <v>2019</v>
      </c>
      <c r="BE31" s="151">
        <f>BE1</f>
        <v>2020</v>
      </c>
    </row>
    <row r="32" spans="1:57" s="136" customFormat="1">
      <c r="B32" s="154" t="s">
        <v>777</v>
      </c>
      <c r="C32" s="134" t="s">
        <v>778</v>
      </c>
      <c r="D32" s="135"/>
      <c r="E32" s="135"/>
      <c r="F32" s="135"/>
      <c r="G32" s="135"/>
      <c r="H32" s="135">
        <v>294.99419999999998</v>
      </c>
      <c r="I32" s="135">
        <v>526.39070518599999</v>
      </c>
      <c r="J32" s="135">
        <v>1239.5417719699999</v>
      </c>
      <c r="K32" s="135">
        <v>1281.019061857</v>
      </c>
      <c r="L32" s="135">
        <v>1909.084643229</v>
      </c>
      <c r="M32" s="135">
        <v>2837.6866223930001</v>
      </c>
      <c r="N32" s="135">
        <v>6176.4323263639999</v>
      </c>
      <c r="O32" s="135">
        <v>12288.439407268999</v>
      </c>
      <c r="P32" s="135">
        <v>18862.861306281</v>
      </c>
      <c r="Q32" s="135">
        <v>23371.994756394</v>
      </c>
      <c r="R32" s="111">
        <v>35011.896908246003</v>
      </c>
      <c r="S32" s="111">
        <v>37317.233970267</v>
      </c>
      <c r="T32" s="111">
        <v>51955.257770657001</v>
      </c>
      <c r="U32" s="111">
        <v>44631.140049888003</v>
      </c>
      <c r="V32" s="111">
        <v>51946.979209618003</v>
      </c>
      <c r="W32" s="155">
        <v>65774.193760868002</v>
      </c>
      <c r="X32" s="111"/>
      <c r="Z32" s="145" t="e">
        <f>D32/D$153</f>
        <v>#DIV/0!</v>
      </c>
      <c r="AA32" s="145" t="e">
        <f t="shared" ref="AA32:AM51" si="24">E32/E$153</f>
        <v>#DIV/0!</v>
      </c>
      <c r="AB32" s="145" t="e">
        <f t="shared" si="24"/>
        <v>#DIV/0!</v>
      </c>
      <c r="AC32" s="145" t="e">
        <f t="shared" si="24"/>
        <v>#DIV/0!</v>
      </c>
      <c r="AD32" s="145">
        <f t="shared" si="24"/>
        <v>0.91823533761154741</v>
      </c>
      <c r="AE32" s="145">
        <f t="shared" si="24"/>
        <v>0.87795975278550964</v>
      </c>
      <c r="AF32" s="145">
        <f t="shared" si="24"/>
        <v>0.80692927792451496</v>
      </c>
      <c r="AG32" s="145">
        <f t="shared" si="24"/>
        <v>0.80323544909036659</v>
      </c>
      <c r="AH32" s="145">
        <f t="shared" si="24"/>
        <v>0.8553721438306493</v>
      </c>
      <c r="AI32" s="145">
        <f t="shared" si="24"/>
        <v>0.83285015442606369</v>
      </c>
      <c r="AJ32" s="145">
        <f t="shared" si="24"/>
        <v>0.85007355423338904</v>
      </c>
      <c r="AK32" s="145">
        <f t="shared" si="24"/>
        <v>0.82726684013358798</v>
      </c>
      <c r="AL32" s="145">
        <f t="shared" si="24"/>
        <v>0.82649690362187067</v>
      </c>
      <c r="AM32" s="145">
        <f t="shared" si="24"/>
        <v>0.83107720111604022</v>
      </c>
      <c r="AN32" s="145">
        <f t="shared" ref="AN32:AO95" si="25">R32/R$153</f>
        <v>0.83945086561358162</v>
      </c>
      <c r="AO32" s="145">
        <f t="shared" si="25"/>
        <v>0.81069999115403701</v>
      </c>
      <c r="AP32" s="146"/>
      <c r="AQ32" s="145" t="str">
        <f>IFERROR(E32/D32-1,"")</f>
        <v/>
      </c>
      <c r="AR32" s="145" t="str">
        <f t="shared" ref="AR32:BC53" si="26">IFERROR(F32/E32-1,"")</f>
        <v/>
      </c>
      <c r="AS32" s="145" t="str">
        <f t="shared" si="26"/>
        <v/>
      </c>
      <c r="AT32" s="145" t="str">
        <f t="shared" si="26"/>
        <v/>
      </c>
      <c r="AU32" s="145">
        <f t="shared" si="26"/>
        <v>0.78441035513918589</v>
      </c>
      <c r="AV32" s="145">
        <f t="shared" si="26"/>
        <v>1.3547941856838226</v>
      </c>
      <c r="AW32" s="145">
        <f t="shared" si="26"/>
        <v>3.3461792756754205E-2</v>
      </c>
      <c r="AX32" s="145">
        <f t="shared" si="26"/>
        <v>0.49028589821414448</v>
      </c>
      <c r="AY32" s="145">
        <f t="shared" si="26"/>
        <v>0.48641215697664153</v>
      </c>
      <c r="AZ32" s="145">
        <f t="shared" si="26"/>
        <v>1.17657308514055</v>
      </c>
      <c r="BA32" s="145">
        <f t="shared" si="26"/>
        <v>0.9895691813566867</v>
      </c>
      <c r="BB32" s="145">
        <f t="shared" si="26"/>
        <v>0.53500869240751792</v>
      </c>
      <c r="BC32" s="145">
        <f t="shared" si="26"/>
        <v>0.23904822162963879</v>
      </c>
      <c r="BD32" s="145">
        <f t="shared" ref="BD32:BE95" si="27">IFERROR(R32/Q32-1,"")</f>
        <v>0.49802775814279232</v>
      </c>
      <c r="BE32" s="145">
        <f t="shared" si="27"/>
        <v>6.5844391923764789E-2</v>
      </c>
    </row>
    <row r="33" spans="2:57" s="136" customFormat="1">
      <c r="B33" s="154" t="s">
        <v>779</v>
      </c>
      <c r="C33" s="134" t="s">
        <v>360</v>
      </c>
      <c r="D33" s="135"/>
      <c r="E33" s="135"/>
      <c r="F33" s="135"/>
      <c r="G33" s="135"/>
      <c r="H33" s="135">
        <v>29.526221</v>
      </c>
      <c r="I33" s="135">
        <v>28.546379178999999</v>
      </c>
      <c r="J33" s="135">
        <v>79.996993337999996</v>
      </c>
      <c r="K33" s="135">
        <v>104.831347041</v>
      </c>
      <c r="L33" s="135">
        <v>304.73376846799999</v>
      </c>
      <c r="M33" s="135">
        <v>212.92062019100001</v>
      </c>
      <c r="N33" s="135">
        <v>343.87296870500001</v>
      </c>
      <c r="O33" s="135">
        <v>996.98346201200002</v>
      </c>
      <c r="P33" s="135">
        <v>3410.9833513929998</v>
      </c>
      <c r="Q33" s="135">
        <v>3749.5502582119998</v>
      </c>
      <c r="R33" s="111">
        <v>3115.2368164680001</v>
      </c>
      <c r="S33" s="111">
        <v>7347.8573979250004</v>
      </c>
      <c r="T33" s="111">
        <v>4142.015762555</v>
      </c>
      <c r="U33" s="111">
        <v>5061.0205474220002</v>
      </c>
      <c r="V33" s="111">
        <v>5365.7048571719997</v>
      </c>
      <c r="W33" s="155">
        <v>5697.3315407299997</v>
      </c>
      <c r="X33" s="111"/>
      <c r="Z33" s="145" t="e">
        <f t="shared" ref="Z33:AH78" si="28">D33/D$153</f>
        <v>#DIV/0!</v>
      </c>
      <c r="AA33" s="145" t="e">
        <f t="shared" si="24"/>
        <v>#DIV/0!</v>
      </c>
      <c r="AB33" s="145" t="e">
        <f t="shared" si="24"/>
        <v>#DIV/0!</v>
      </c>
      <c r="AC33" s="145" t="e">
        <f t="shared" si="24"/>
        <v>#DIV/0!</v>
      </c>
      <c r="AD33" s="145">
        <f t="shared" si="24"/>
        <v>9.1906957859944918E-2</v>
      </c>
      <c r="AE33" s="145">
        <f t="shared" si="24"/>
        <v>4.7612109712424362E-2</v>
      </c>
      <c r="AF33" s="145">
        <f t="shared" si="24"/>
        <v>5.2077241388785479E-2</v>
      </c>
      <c r="AG33" s="145">
        <f t="shared" si="24"/>
        <v>6.5732241327588786E-2</v>
      </c>
      <c r="AH33" s="145">
        <f t="shared" si="24"/>
        <v>0.13653704551893925</v>
      </c>
      <c r="AI33" s="145">
        <f t="shared" si="24"/>
        <v>6.2491386472064245E-2</v>
      </c>
      <c r="AJ33" s="145">
        <f t="shared" si="24"/>
        <v>4.732785874850351E-2</v>
      </c>
      <c r="AK33" s="145">
        <f t="shared" si="24"/>
        <v>6.7117664900250396E-2</v>
      </c>
      <c r="AL33" s="145">
        <f t="shared" si="24"/>
        <v>0.14945596706971134</v>
      </c>
      <c r="AM33" s="145">
        <f t="shared" si="24"/>
        <v>0.13332904471862631</v>
      </c>
      <c r="AN33" s="145">
        <f t="shared" si="25"/>
        <v>7.4691418434956483E-2</v>
      </c>
      <c r="AO33" s="145">
        <f t="shared" si="25"/>
        <v>0.15962887099952716</v>
      </c>
      <c r="AP33" s="146"/>
      <c r="AQ33" s="145" t="str">
        <f t="shared" ref="AQ33:AW96" si="29">IFERROR(E33/D33-1,"")</f>
        <v/>
      </c>
      <c r="AR33" s="145" t="str">
        <f t="shared" si="26"/>
        <v/>
      </c>
      <c r="AS33" s="145" t="str">
        <f t="shared" si="26"/>
        <v/>
      </c>
      <c r="AT33" s="145" t="str">
        <f t="shared" si="26"/>
        <v/>
      </c>
      <c r="AU33" s="145">
        <f t="shared" si="26"/>
        <v>-3.3185480153386404E-2</v>
      </c>
      <c r="AV33" s="145">
        <f t="shared" si="26"/>
        <v>1.8023516690638433</v>
      </c>
      <c r="AW33" s="145">
        <f t="shared" si="26"/>
        <v>0.31044108868030729</v>
      </c>
      <c r="AX33" s="145">
        <f t="shared" si="26"/>
        <v>1.9068954761099968</v>
      </c>
      <c r="AY33" s="145">
        <f t="shared" si="26"/>
        <v>-0.3012897085169649</v>
      </c>
      <c r="AZ33" s="145">
        <f t="shared" si="26"/>
        <v>0.61502896429913378</v>
      </c>
      <c r="BA33" s="145">
        <f t="shared" si="26"/>
        <v>1.8992783752865643</v>
      </c>
      <c r="BB33" s="145">
        <f t="shared" si="26"/>
        <v>2.4213038444081474</v>
      </c>
      <c r="BC33" s="145">
        <f t="shared" si="26"/>
        <v>9.9257859666988413E-2</v>
      </c>
      <c r="BD33" s="145">
        <f t="shared" si="27"/>
        <v>-0.16917053994803011</v>
      </c>
      <c r="BE33" s="145">
        <f t="shared" si="27"/>
        <v>1.358683410224931</v>
      </c>
    </row>
    <row r="34" spans="2:57">
      <c r="B34" s="140" t="s">
        <v>780</v>
      </c>
      <c r="C34" s="127" t="s">
        <v>781</v>
      </c>
      <c r="D34" s="128"/>
      <c r="E34" s="128"/>
      <c r="F34" s="128"/>
      <c r="G34" s="128"/>
      <c r="H34" s="128">
        <v>29.526221</v>
      </c>
      <c r="I34" s="128">
        <v>28.546379178999999</v>
      </c>
      <c r="J34" s="128">
        <v>79.996993337999996</v>
      </c>
      <c r="K34" s="128">
        <v>102.392457029</v>
      </c>
      <c r="L34" s="128">
        <v>109.285768468</v>
      </c>
      <c r="M34" s="128">
        <v>210.211076663</v>
      </c>
      <c r="N34" s="128">
        <v>341.11172675099999</v>
      </c>
      <c r="O34" s="128">
        <v>994.084241883</v>
      </c>
      <c r="P34" s="128">
        <v>2189.863295952</v>
      </c>
      <c r="Q34" s="128">
        <v>3363.7172769540002</v>
      </c>
      <c r="R34" s="110">
        <v>2024.347938868</v>
      </c>
      <c r="S34" s="110">
        <v>2243.2744661739998</v>
      </c>
      <c r="T34" s="110">
        <v>2606.672264502</v>
      </c>
      <c r="U34" s="110">
        <v>3846.0205474220002</v>
      </c>
      <c r="V34" s="110">
        <v>4795.6365832219999</v>
      </c>
      <c r="W34" s="158">
        <v>4697.3315407299997</v>
      </c>
      <c r="X34" s="110"/>
      <c r="Z34" s="145" t="e">
        <f t="shared" si="28"/>
        <v>#DIV/0!</v>
      </c>
      <c r="AA34" s="145" t="e">
        <f t="shared" si="24"/>
        <v>#DIV/0!</v>
      </c>
      <c r="AB34" s="145" t="e">
        <f t="shared" si="24"/>
        <v>#DIV/0!</v>
      </c>
      <c r="AC34" s="145" t="e">
        <f t="shared" si="24"/>
        <v>#DIV/0!</v>
      </c>
      <c r="AD34" s="145">
        <f t="shared" si="24"/>
        <v>9.1906957859944918E-2</v>
      </c>
      <c r="AE34" s="145">
        <f t="shared" si="24"/>
        <v>4.7612109712424362E-2</v>
      </c>
      <c r="AF34" s="145">
        <f t="shared" si="24"/>
        <v>5.2077241388785479E-2</v>
      </c>
      <c r="AG34" s="145">
        <f t="shared" si="24"/>
        <v>6.4202987804045569E-2</v>
      </c>
      <c r="AH34" s="145">
        <f t="shared" si="24"/>
        <v>4.8965876078989522E-2</v>
      </c>
      <c r="AI34" s="145">
        <f t="shared" si="24"/>
        <v>6.1696145825013538E-2</v>
      </c>
      <c r="AJ34" s="145">
        <f t="shared" si="24"/>
        <v>4.6947824023292339E-2</v>
      </c>
      <c r="AK34" s="145">
        <f t="shared" si="24"/>
        <v>6.6922487254376925E-2</v>
      </c>
      <c r="AL34" s="145">
        <f t="shared" si="24"/>
        <v>9.5951255966497631E-2</v>
      </c>
      <c r="AM34" s="145">
        <f t="shared" si="24"/>
        <v>0.11960933454821253</v>
      </c>
      <c r="AN34" s="145">
        <f t="shared" si="25"/>
        <v>4.8536091433126087E-2</v>
      </c>
      <c r="AO34" s="145">
        <f t="shared" si="25"/>
        <v>4.8734120844335635E-2</v>
      </c>
      <c r="AP34" s="133"/>
      <c r="AQ34" s="147" t="str">
        <f t="shared" si="29"/>
        <v/>
      </c>
      <c r="AR34" s="147" t="str">
        <f t="shared" si="26"/>
        <v/>
      </c>
      <c r="AS34" s="147" t="str">
        <f t="shared" si="26"/>
        <v/>
      </c>
      <c r="AT34" s="147" t="str">
        <f t="shared" si="26"/>
        <v/>
      </c>
      <c r="AU34" s="147">
        <f t="shared" si="26"/>
        <v>-3.3185480153386404E-2</v>
      </c>
      <c r="AV34" s="147">
        <f t="shared" si="26"/>
        <v>1.8023516690638433</v>
      </c>
      <c r="AW34" s="147">
        <f t="shared" si="26"/>
        <v>0.27995381771881878</v>
      </c>
      <c r="AX34" s="147">
        <f t="shared" si="26"/>
        <v>6.7322453616360134E-2</v>
      </c>
      <c r="AY34" s="147">
        <f t="shared" si="26"/>
        <v>0.92349909425353927</v>
      </c>
      <c r="AZ34" s="147">
        <f t="shared" si="26"/>
        <v>0.6227105258485186</v>
      </c>
      <c r="BA34" s="147">
        <f t="shared" si="26"/>
        <v>1.914248218175882</v>
      </c>
      <c r="BB34" s="147">
        <f t="shared" si="26"/>
        <v>1.2028950904643136</v>
      </c>
      <c r="BC34" s="147">
        <f t="shared" si="26"/>
        <v>0.53603984466605259</v>
      </c>
      <c r="BD34" s="147">
        <f t="shared" si="27"/>
        <v>-0.39818130592082945</v>
      </c>
      <c r="BE34" s="147">
        <f t="shared" si="27"/>
        <v>0.10814668916472026</v>
      </c>
    </row>
    <row r="35" spans="2:57">
      <c r="B35" s="140" t="s">
        <v>782</v>
      </c>
      <c r="C35" s="127" t="s">
        <v>783</v>
      </c>
      <c r="D35" s="128"/>
      <c r="E35" s="128"/>
      <c r="F35" s="128"/>
      <c r="G35" s="128"/>
      <c r="H35" s="128">
        <v>0</v>
      </c>
      <c r="I35" s="128">
        <v>0</v>
      </c>
      <c r="J35" s="128">
        <v>0</v>
      </c>
      <c r="K35" s="128">
        <v>2.4388900119999999</v>
      </c>
      <c r="L35" s="128">
        <v>195.44800000000001</v>
      </c>
      <c r="M35" s="128">
        <v>2.7095435280000002</v>
      </c>
      <c r="N35" s="128">
        <v>2.7612419539999999</v>
      </c>
      <c r="O35" s="128">
        <v>2.8992201290000001</v>
      </c>
      <c r="P35" s="128">
        <v>1221.120055441</v>
      </c>
      <c r="Q35" s="128">
        <v>385.83298125800002</v>
      </c>
      <c r="R35" s="110">
        <v>1090.8888775999999</v>
      </c>
      <c r="S35" s="110">
        <v>5104.5829317509997</v>
      </c>
      <c r="T35" s="110">
        <v>1535.3434980530001</v>
      </c>
      <c r="U35" s="110">
        <v>1215</v>
      </c>
      <c r="V35" s="110">
        <v>570.06827395000005</v>
      </c>
      <c r="W35" s="158">
        <v>1000</v>
      </c>
      <c r="X35" s="110"/>
      <c r="Z35" s="145" t="e">
        <f t="shared" si="28"/>
        <v>#DIV/0!</v>
      </c>
      <c r="AA35" s="145" t="e">
        <f t="shared" si="24"/>
        <v>#DIV/0!</v>
      </c>
      <c r="AB35" s="145" t="e">
        <f t="shared" si="24"/>
        <v>#DIV/0!</v>
      </c>
      <c r="AC35" s="145" t="e">
        <f t="shared" si="24"/>
        <v>#DIV/0!</v>
      </c>
      <c r="AD35" s="145">
        <f t="shared" si="24"/>
        <v>0</v>
      </c>
      <c r="AE35" s="145">
        <f t="shared" si="24"/>
        <v>0</v>
      </c>
      <c r="AF35" s="145">
        <f t="shared" si="24"/>
        <v>0</v>
      </c>
      <c r="AG35" s="145">
        <f t="shared" si="24"/>
        <v>1.5292535235432059E-3</v>
      </c>
      <c r="AH35" s="145">
        <f t="shared" si="24"/>
        <v>8.7571169439949734E-2</v>
      </c>
      <c r="AI35" s="145">
        <f t="shared" si="24"/>
        <v>7.9524064705070588E-4</v>
      </c>
      <c r="AJ35" s="145">
        <f t="shared" si="24"/>
        <v>3.8003472521116967E-4</v>
      </c>
      <c r="AK35" s="145">
        <f t="shared" si="24"/>
        <v>1.9517764587346847E-4</v>
      </c>
      <c r="AL35" s="145">
        <f t="shared" si="24"/>
        <v>5.3504711103213719E-2</v>
      </c>
      <c r="AM35" s="145">
        <f t="shared" si="24"/>
        <v>1.3719710170413778E-2</v>
      </c>
      <c r="AN35" s="145">
        <f t="shared" si="25"/>
        <v>2.6155327001830386E-2</v>
      </c>
      <c r="AO35" s="145">
        <f t="shared" si="25"/>
        <v>0.1108947501551915</v>
      </c>
      <c r="AP35" s="133"/>
      <c r="AQ35" s="147" t="str">
        <f t="shared" si="29"/>
        <v/>
      </c>
      <c r="AR35" s="147" t="str">
        <f t="shared" si="26"/>
        <v/>
      </c>
      <c r="AS35" s="147" t="str">
        <f t="shared" si="26"/>
        <v/>
      </c>
      <c r="AT35" s="147" t="str">
        <f t="shared" si="26"/>
        <v/>
      </c>
      <c r="AU35" s="147" t="str">
        <f t="shared" si="26"/>
        <v/>
      </c>
      <c r="AV35" s="147" t="str">
        <f t="shared" si="26"/>
        <v/>
      </c>
      <c r="AW35" s="147" t="str">
        <f t="shared" si="26"/>
        <v/>
      </c>
      <c r="AX35" s="147">
        <f t="shared" si="26"/>
        <v>79.138095214766906</v>
      </c>
      <c r="AY35" s="147">
        <f t="shared" si="26"/>
        <v>-0.9861367549015595</v>
      </c>
      <c r="AZ35" s="147">
        <f t="shared" si="26"/>
        <v>1.9080123816338945E-2</v>
      </c>
      <c r="BA35" s="147">
        <f t="shared" si="26"/>
        <v>4.9969606901025809E-2</v>
      </c>
      <c r="BB35" s="147">
        <f t="shared" si="26"/>
        <v>420.18914780789311</v>
      </c>
      <c r="BC35" s="147">
        <f t="shared" si="26"/>
        <v>-0.68403353991376481</v>
      </c>
      <c r="BD35" s="147">
        <f t="shared" si="27"/>
        <v>1.82736036210067</v>
      </c>
      <c r="BE35" s="147">
        <f t="shared" si="27"/>
        <v>3.6792877226700584</v>
      </c>
    </row>
    <row r="36" spans="2:57" s="136" customFormat="1">
      <c r="B36" s="154" t="s">
        <v>784</v>
      </c>
      <c r="C36" s="134" t="s">
        <v>785</v>
      </c>
      <c r="D36" s="135"/>
      <c r="E36" s="135"/>
      <c r="F36" s="135"/>
      <c r="G36" s="135"/>
      <c r="H36" s="135">
        <v>0</v>
      </c>
      <c r="I36" s="135">
        <v>0</v>
      </c>
      <c r="J36" s="135">
        <v>0.05</v>
      </c>
      <c r="K36" s="135">
        <v>0</v>
      </c>
      <c r="L36" s="135">
        <v>0</v>
      </c>
      <c r="M36" s="135">
        <v>0</v>
      </c>
      <c r="N36" s="135">
        <v>0</v>
      </c>
      <c r="O36" s="135">
        <v>0</v>
      </c>
      <c r="P36" s="135">
        <v>0</v>
      </c>
      <c r="Q36" s="36">
        <v>50.922451739000003</v>
      </c>
      <c r="R36" s="111">
        <v>3137</v>
      </c>
      <c r="S36" s="111">
        <v>8057.3188219180001</v>
      </c>
      <c r="T36" s="111">
        <v>14236.626334707</v>
      </c>
      <c r="U36" s="111">
        <v>10059.049605640001</v>
      </c>
      <c r="V36" s="111">
        <v>18937.008073822999</v>
      </c>
      <c r="W36" s="155">
        <v>28524.44175632</v>
      </c>
      <c r="X36" s="111"/>
      <c r="Z36" s="145" t="e">
        <f t="shared" si="28"/>
        <v>#DIV/0!</v>
      </c>
      <c r="AA36" s="145" t="e">
        <f t="shared" si="24"/>
        <v>#DIV/0!</v>
      </c>
      <c r="AB36" s="145" t="e">
        <f t="shared" si="24"/>
        <v>#DIV/0!</v>
      </c>
      <c r="AC36" s="145" t="e">
        <f t="shared" si="24"/>
        <v>#DIV/0!</v>
      </c>
      <c r="AD36" s="145">
        <f t="shared" si="24"/>
        <v>0</v>
      </c>
      <c r="AE36" s="145">
        <f t="shared" si="24"/>
        <v>0</v>
      </c>
      <c r="AF36" s="145">
        <f t="shared" si="24"/>
        <v>3.2549499184769898E-5</v>
      </c>
      <c r="AG36" s="145">
        <f t="shared" si="24"/>
        <v>0</v>
      </c>
      <c r="AH36" s="145">
        <f t="shared" si="24"/>
        <v>0</v>
      </c>
      <c r="AI36" s="145">
        <f t="shared" si="24"/>
        <v>0</v>
      </c>
      <c r="AJ36" s="145">
        <f t="shared" si="24"/>
        <v>0</v>
      </c>
      <c r="AK36" s="145">
        <f t="shared" si="24"/>
        <v>0</v>
      </c>
      <c r="AL36" s="145">
        <f t="shared" si="24"/>
        <v>0</v>
      </c>
      <c r="AM36" s="145">
        <f t="shared" si="24"/>
        <v>1.8107349888753898E-3</v>
      </c>
      <c r="AN36" s="145">
        <f t="shared" si="25"/>
        <v>7.5213216019997975E-2</v>
      </c>
      <c r="AO36" s="145">
        <f t="shared" si="25"/>
        <v>0.17504159881889131</v>
      </c>
      <c r="AP36" s="146"/>
      <c r="AQ36" s="145" t="str">
        <f t="shared" si="29"/>
        <v/>
      </c>
      <c r="AR36" s="145" t="str">
        <f t="shared" si="26"/>
        <v/>
      </c>
      <c r="AS36" s="145" t="str">
        <f t="shared" si="26"/>
        <v/>
      </c>
      <c r="AT36" s="145" t="str">
        <f t="shared" si="26"/>
        <v/>
      </c>
      <c r="AU36" s="145" t="str">
        <f t="shared" si="26"/>
        <v/>
      </c>
      <c r="AV36" s="145" t="str">
        <f t="shared" si="26"/>
        <v/>
      </c>
      <c r="AW36" s="145">
        <f t="shared" si="26"/>
        <v>-1</v>
      </c>
      <c r="AX36" s="145" t="str">
        <f t="shared" si="26"/>
        <v/>
      </c>
      <c r="AY36" s="145" t="str">
        <f t="shared" si="26"/>
        <v/>
      </c>
      <c r="AZ36" s="145" t="str">
        <f t="shared" si="26"/>
        <v/>
      </c>
      <c r="BA36" s="145" t="str">
        <f t="shared" si="26"/>
        <v/>
      </c>
      <c r="BB36" s="145" t="str">
        <f t="shared" si="26"/>
        <v/>
      </c>
      <c r="BC36" s="145" t="str">
        <f t="shared" si="26"/>
        <v/>
      </c>
      <c r="BD36" s="145">
        <f t="shared" si="27"/>
        <v>60.603475340867462</v>
      </c>
      <c r="BE36" s="145">
        <f t="shared" si="27"/>
        <v>1.5684790634102646</v>
      </c>
    </row>
    <row r="37" spans="2:57">
      <c r="B37" s="140" t="s">
        <v>784</v>
      </c>
      <c r="C37" s="127" t="s">
        <v>786</v>
      </c>
      <c r="D37" s="128"/>
      <c r="E37" s="128"/>
      <c r="F37" s="128"/>
      <c r="G37" s="128"/>
      <c r="H37" s="128">
        <v>0</v>
      </c>
      <c r="I37" s="128">
        <v>0</v>
      </c>
      <c r="J37" s="128">
        <v>0.05</v>
      </c>
      <c r="K37" s="128">
        <v>0</v>
      </c>
      <c r="L37" s="128">
        <v>0</v>
      </c>
      <c r="M37" s="128">
        <v>0</v>
      </c>
      <c r="N37" s="128">
        <v>0</v>
      </c>
      <c r="O37" s="128">
        <v>0</v>
      </c>
      <c r="P37" s="128">
        <v>0</v>
      </c>
      <c r="Q37" s="128">
        <v>0</v>
      </c>
      <c r="R37" s="110">
        <v>0</v>
      </c>
      <c r="S37" s="110">
        <v>0</v>
      </c>
      <c r="T37" s="110">
        <v>0</v>
      </c>
      <c r="U37" s="110">
        <v>0</v>
      </c>
      <c r="V37" s="110">
        <v>0</v>
      </c>
      <c r="W37" s="158">
        <v>0</v>
      </c>
      <c r="X37" s="110"/>
      <c r="Z37" s="145" t="e">
        <f t="shared" si="28"/>
        <v>#DIV/0!</v>
      </c>
      <c r="AA37" s="145" t="e">
        <f t="shared" si="24"/>
        <v>#DIV/0!</v>
      </c>
      <c r="AB37" s="145" t="e">
        <f t="shared" si="24"/>
        <v>#DIV/0!</v>
      </c>
      <c r="AC37" s="145" t="e">
        <f t="shared" si="24"/>
        <v>#DIV/0!</v>
      </c>
      <c r="AD37" s="145">
        <f t="shared" si="24"/>
        <v>0</v>
      </c>
      <c r="AE37" s="145">
        <f t="shared" si="24"/>
        <v>0</v>
      </c>
      <c r="AF37" s="145">
        <f t="shared" si="24"/>
        <v>3.2549499184769898E-5</v>
      </c>
      <c r="AG37" s="145">
        <f t="shared" si="24"/>
        <v>0</v>
      </c>
      <c r="AH37" s="145">
        <f t="shared" si="24"/>
        <v>0</v>
      </c>
      <c r="AI37" s="145">
        <f t="shared" si="24"/>
        <v>0</v>
      </c>
      <c r="AJ37" s="145">
        <f t="shared" si="24"/>
        <v>0</v>
      </c>
      <c r="AK37" s="145">
        <f t="shared" si="24"/>
        <v>0</v>
      </c>
      <c r="AL37" s="145">
        <f t="shared" si="24"/>
        <v>0</v>
      </c>
      <c r="AM37" s="145">
        <f t="shared" si="24"/>
        <v>0</v>
      </c>
      <c r="AN37" s="145">
        <f t="shared" si="25"/>
        <v>0</v>
      </c>
      <c r="AO37" s="145">
        <f t="shared" si="25"/>
        <v>0</v>
      </c>
      <c r="AP37" s="133"/>
      <c r="AQ37" s="147" t="str">
        <f t="shared" si="29"/>
        <v/>
      </c>
      <c r="AR37" s="147" t="str">
        <f t="shared" si="26"/>
        <v/>
      </c>
      <c r="AS37" s="147" t="str">
        <f t="shared" si="26"/>
        <v/>
      </c>
      <c r="AT37" s="147" t="str">
        <f t="shared" si="26"/>
        <v/>
      </c>
      <c r="AU37" s="147" t="str">
        <f t="shared" si="26"/>
        <v/>
      </c>
      <c r="AV37" s="147" t="str">
        <f t="shared" si="26"/>
        <v/>
      </c>
      <c r="AW37" s="147">
        <f t="shared" si="26"/>
        <v>-1</v>
      </c>
      <c r="AX37" s="147" t="str">
        <f t="shared" si="26"/>
        <v/>
      </c>
      <c r="AY37" s="147" t="str">
        <f t="shared" si="26"/>
        <v/>
      </c>
      <c r="AZ37" s="147" t="str">
        <f t="shared" si="26"/>
        <v/>
      </c>
      <c r="BA37" s="147" t="str">
        <f t="shared" si="26"/>
        <v/>
      </c>
      <c r="BB37" s="147" t="str">
        <f t="shared" si="26"/>
        <v/>
      </c>
      <c r="BC37" s="147" t="str">
        <f t="shared" si="26"/>
        <v/>
      </c>
      <c r="BD37" s="147" t="str">
        <f t="shared" si="27"/>
        <v/>
      </c>
      <c r="BE37" s="147" t="str">
        <f t="shared" si="27"/>
        <v/>
      </c>
    </row>
    <row r="38" spans="2:57">
      <c r="B38" s="140" t="s">
        <v>787</v>
      </c>
      <c r="C38" s="127" t="s">
        <v>788</v>
      </c>
      <c r="D38" s="128"/>
      <c r="E38" s="128"/>
      <c r="F38" s="128"/>
      <c r="G38" s="128"/>
      <c r="H38" s="128">
        <v>0</v>
      </c>
      <c r="I38" s="128">
        <v>0</v>
      </c>
      <c r="J38" s="128">
        <v>0</v>
      </c>
      <c r="K38" s="128">
        <v>0</v>
      </c>
      <c r="L38" s="128">
        <v>0</v>
      </c>
      <c r="M38" s="128">
        <v>0</v>
      </c>
      <c r="N38" s="128">
        <v>0</v>
      </c>
      <c r="O38" s="128">
        <v>0</v>
      </c>
      <c r="P38" s="128">
        <v>0</v>
      </c>
      <c r="Q38" s="128">
        <v>0</v>
      </c>
      <c r="R38" s="110">
        <v>0</v>
      </c>
      <c r="S38" s="110">
        <v>0</v>
      </c>
      <c r="T38" s="110">
        <v>0</v>
      </c>
      <c r="U38" s="110">
        <v>0</v>
      </c>
      <c r="V38" s="110">
        <v>0</v>
      </c>
      <c r="W38" s="158">
        <v>0</v>
      </c>
      <c r="X38" s="110"/>
      <c r="Z38" s="145" t="e">
        <f t="shared" si="28"/>
        <v>#DIV/0!</v>
      </c>
      <c r="AA38" s="145" t="e">
        <f t="shared" si="24"/>
        <v>#DIV/0!</v>
      </c>
      <c r="AB38" s="145" t="e">
        <f t="shared" si="24"/>
        <v>#DIV/0!</v>
      </c>
      <c r="AC38" s="145" t="e">
        <f t="shared" si="24"/>
        <v>#DIV/0!</v>
      </c>
      <c r="AD38" s="145">
        <f t="shared" si="24"/>
        <v>0</v>
      </c>
      <c r="AE38" s="145">
        <f t="shared" si="24"/>
        <v>0</v>
      </c>
      <c r="AF38" s="145">
        <f t="shared" si="24"/>
        <v>0</v>
      </c>
      <c r="AG38" s="145">
        <f t="shared" si="24"/>
        <v>0</v>
      </c>
      <c r="AH38" s="145">
        <f t="shared" si="24"/>
        <v>0</v>
      </c>
      <c r="AI38" s="145">
        <f t="shared" si="24"/>
        <v>0</v>
      </c>
      <c r="AJ38" s="145">
        <f t="shared" si="24"/>
        <v>0</v>
      </c>
      <c r="AK38" s="145">
        <f t="shared" si="24"/>
        <v>0</v>
      </c>
      <c r="AL38" s="145">
        <f t="shared" si="24"/>
        <v>0</v>
      </c>
      <c r="AM38" s="145">
        <f t="shared" si="24"/>
        <v>0</v>
      </c>
      <c r="AN38" s="145">
        <f t="shared" si="25"/>
        <v>0</v>
      </c>
      <c r="AO38" s="145">
        <f t="shared" si="25"/>
        <v>0</v>
      </c>
      <c r="AP38" s="133"/>
      <c r="AQ38" s="147" t="str">
        <f t="shared" si="29"/>
        <v/>
      </c>
      <c r="AR38" s="147" t="str">
        <f t="shared" si="26"/>
        <v/>
      </c>
      <c r="AS38" s="147" t="str">
        <f t="shared" si="26"/>
        <v/>
      </c>
      <c r="AT38" s="147" t="str">
        <f t="shared" si="26"/>
        <v/>
      </c>
      <c r="AU38" s="147" t="str">
        <f t="shared" si="26"/>
        <v/>
      </c>
      <c r="AV38" s="147" t="str">
        <f t="shared" si="26"/>
        <v/>
      </c>
      <c r="AW38" s="147" t="str">
        <f t="shared" si="26"/>
        <v/>
      </c>
      <c r="AX38" s="147" t="str">
        <f t="shared" si="26"/>
        <v/>
      </c>
      <c r="AY38" s="147" t="str">
        <f t="shared" si="26"/>
        <v/>
      </c>
      <c r="AZ38" s="147" t="str">
        <f t="shared" si="26"/>
        <v/>
      </c>
      <c r="BA38" s="147" t="str">
        <f t="shared" si="26"/>
        <v/>
      </c>
      <c r="BB38" s="147" t="str">
        <f t="shared" si="26"/>
        <v/>
      </c>
      <c r="BC38" s="147" t="str">
        <f t="shared" si="26"/>
        <v/>
      </c>
      <c r="BD38" s="147" t="str">
        <f t="shared" si="27"/>
        <v/>
      </c>
      <c r="BE38" s="147" t="str">
        <f t="shared" si="27"/>
        <v/>
      </c>
    </row>
    <row r="39" spans="2:57">
      <c r="B39" s="140" t="s">
        <v>789</v>
      </c>
      <c r="C39" s="127" t="s">
        <v>790</v>
      </c>
      <c r="D39" s="128"/>
      <c r="E39" s="128"/>
      <c r="F39" s="128"/>
      <c r="G39" s="128"/>
      <c r="H39" s="128">
        <v>0</v>
      </c>
      <c r="I39" s="128">
        <v>0</v>
      </c>
      <c r="J39" s="128">
        <v>0</v>
      </c>
      <c r="K39" s="128">
        <v>0</v>
      </c>
      <c r="L39" s="128">
        <v>0</v>
      </c>
      <c r="M39" s="128">
        <v>0</v>
      </c>
      <c r="N39" s="128">
        <v>0</v>
      </c>
      <c r="O39" s="128">
        <v>0</v>
      </c>
      <c r="P39" s="128">
        <v>0</v>
      </c>
      <c r="Q39" s="128">
        <v>50.922451739000003</v>
      </c>
      <c r="R39" s="110">
        <v>3137</v>
      </c>
      <c r="S39" s="110">
        <v>8057.3188219180001</v>
      </c>
      <c r="T39" s="110">
        <v>14236.626334707</v>
      </c>
      <c r="U39" s="110">
        <v>10059.049605640001</v>
      </c>
      <c r="V39" s="110">
        <v>18937.008073822999</v>
      </c>
      <c r="W39" s="158">
        <v>28524.44175632</v>
      </c>
      <c r="X39" s="110"/>
      <c r="Z39" s="145" t="e">
        <f t="shared" si="28"/>
        <v>#DIV/0!</v>
      </c>
      <c r="AA39" s="145" t="e">
        <f t="shared" si="24"/>
        <v>#DIV/0!</v>
      </c>
      <c r="AB39" s="145" t="e">
        <f t="shared" si="24"/>
        <v>#DIV/0!</v>
      </c>
      <c r="AC39" s="145" t="e">
        <f t="shared" si="24"/>
        <v>#DIV/0!</v>
      </c>
      <c r="AD39" s="145">
        <f t="shared" si="24"/>
        <v>0</v>
      </c>
      <c r="AE39" s="145">
        <f t="shared" si="24"/>
        <v>0</v>
      </c>
      <c r="AF39" s="145">
        <f t="shared" si="24"/>
        <v>0</v>
      </c>
      <c r="AG39" s="145">
        <f t="shared" si="24"/>
        <v>0</v>
      </c>
      <c r="AH39" s="145">
        <f t="shared" si="24"/>
        <v>0</v>
      </c>
      <c r="AI39" s="145">
        <f t="shared" si="24"/>
        <v>0</v>
      </c>
      <c r="AJ39" s="145">
        <f t="shared" si="24"/>
        <v>0</v>
      </c>
      <c r="AK39" s="145">
        <f t="shared" si="24"/>
        <v>0</v>
      </c>
      <c r="AL39" s="145">
        <f t="shared" si="24"/>
        <v>0</v>
      </c>
      <c r="AM39" s="145">
        <f t="shared" si="24"/>
        <v>1.8107349888753898E-3</v>
      </c>
      <c r="AN39" s="145">
        <f t="shared" si="25"/>
        <v>7.5213216019997975E-2</v>
      </c>
      <c r="AO39" s="145">
        <f t="shared" si="25"/>
        <v>0.17504159881889131</v>
      </c>
      <c r="AP39" s="133"/>
      <c r="AQ39" s="147" t="str">
        <f t="shared" si="29"/>
        <v/>
      </c>
      <c r="AR39" s="147" t="str">
        <f t="shared" si="26"/>
        <v/>
      </c>
      <c r="AS39" s="147" t="str">
        <f t="shared" si="26"/>
        <v/>
      </c>
      <c r="AT39" s="147" t="str">
        <f t="shared" si="26"/>
        <v/>
      </c>
      <c r="AU39" s="147" t="str">
        <f t="shared" si="26"/>
        <v/>
      </c>
      <c r="AV39" s="147" t="str">
        <f t="shared" si="26"/>
        <v/>
      </c>
      <c r="AW39" s="147" t="str">
        <f t="shared" si="26"/>
        <v/>
      </c>
      <c r="AX39" s="147" t="str">
        <f t="shared" si="26"/>
        <v/>
      </c>
      <c r="AY39" s="147" t="str">
        <f t="shared" si="26"/>
        <v/>
      </c>
      <c r="AZ39" s="147" t="str">
        <f t="shared" si="26"/>
        <v/>
      </c>
      <c r="BA39" s="147" t="str">
        <f t="shared" si="26"/>
        <v/>
      </c>
      <c r="BB39" s="147" t="str">
        <f t="shared" si="26"/>
        <v/>
      </c>
      <c r="BC39" s="147" t="str">
        <f t="shared" si="26"/>
        <v/>
      </c>
      <c r="BD39" s="147">
        <f t="shared" si="27"/>
        <v>60.603475340867462</v>
      </c>
      <c r="BE39" s="147">
        <f t="shared" si="27"/>
        <v>1.5684790634102646</v>
      </c>
    </row>
    <row r="40" spans="2:57" s="136" customFormat="1">
      <c r="B40" s="154" t="s">
        <v>791</v>
      </c>
      <c r="C40" s="134" t="s">
        <v>792</v>
      </c>
      <c r="D40" s="135"/>
      <c r="E40" s="135"/>
      <c r="F40" s="135"/>
      <c r="G40" s="135"/>
      <c r="H40" s="135">
        <v>65.231812000000005</v>
      </c>
      <c r="I40" s="135">
        <v>129.75906989699999</v>
      </c>
      <c r="J40" s="135">
        <v>201.54999225399999</v>
      </c>
      <c r="K40" s="135">
        <v>159.81379333699999</v>
      </c>
      <c r="L40" s="135">
        <v>247.31087345700001</v>
      </c>
      <c r="M40" s="135">
        <v>296.73554923699999</v>
      </c>
      <c r="N40" s="135">
        <v>636.32297995500005</v>
      </c>
      <c r="O40" s="135">
        <v>1410.642874572</v>
      </c>
      <c r="P40" s="135">
        <v>2765.8478155540001</v>
      </c>
      <c r="Q40" s="135">
        <v>1542.5297360730001</v>
      </c>
      <c r="R40" s="111">
        <v>1815.085561979</v>
      </c>
      <c r="S40" s="111">
        <v>1595.2510184959999</v>
      </c>
      <c r="T40" s="111">
        <v>3162.1219715860002</v>
      </c>
      <c r="U40" s="111">
        <v>3072.0938533670001</v>
      </c>
      <c r="V40" s="111">
        <v>5158.8533377849999</v>
      </c>
      <c r="W40" s="155">
        <v>8763.6673655979994</v>
      </c>
      <c r="X40" s="111"/>
      <c r="Z40" s="145" t="e">
        <f t="shared" si="28"/>
        <v>#DIV/0!</v>
      </c>
      <c r="AA40" s="145" t="e">
        <f t="shared" si="24"/>
        <v>#DIV/0!</v>
      </c>
      <c r="AB40" s="145" t="e">
        <f t="shared" si="24"/>
        <v>#DIV/0!</v>
      </c>
      <c r="AC40" s="145" t="e">
        <f t="shared" si="24"/>
        <v>#DIV/0!</v>
      </c>
      <c r="AD40" s="145">
        <f t="shared" si="24"/>
        <v>0.20304858507330992</v>
      </c>
      <c r="AE40" s="145">
        <f t="shared" si="24"/>
        <v>0.21642335209584113</v>
      </c>
      <c r="AF40" s="145">
        <f t="shared" si="24"/>
        <v>0.13120702617123903</v>
      </c>
      <c r="AG40" s="145">
        <f t="shared" si="24"/>
        <v>0.10020780165112791</v>
      </c>
      <c r="AH40" s="145">
        <f t="shared" si="24"/>
        <v>0.11080851379315683</v>
      </c>
      <c r="AI40" s="145">
        <f t="shared" si="24"/>
        <v>8.7090747109111744E-2</v>
      </c>
      <c r="AJ40" s="145">
        <f t="shared" si="24"/>
        <v>8.7578282838429986E-2</v>
      </c>
      <c r="AK40" s="145">
        <f t="shared" si="24"/>
        <v>9.496552285669696E-2</v>
      </c>
      <c r="AL40" s="145">
        <f t="shared" si="24"/>
        <v>0.12118864780517206</v>
      </c>
      <c r="AM40" s="145">
        <f t="shared" si="24"/>
        <v>5.4850315903955962E-2</v>
      </c>
      <c r="AN40" s="145">
        <f t="shared" si="25"/>
        <v>4.3518783062768872E-2</v>
      </c>
      <c r="AO40" s="145">
        <f t="shared" si="25"/>
        <v>3.4656105209019662E-2</v>
      </c>
      <c r="AP40" s="146"/>
      <c r="AQ40" s="145" t="str">
        <f t="shared" si="29"/>
        <v/>
      </c>
      <c r="AR40" s="145" t="str">
        <f t="shared" si="26"/>
        <v/>
      </c>
      <c r="AS40" s="145" t="str">
        <f t="shared" si="26"/>
        <v/>
      </c>
      <c r="AT40" s="145" t="str">
        <f t="shared" si="26"/>
        <v/>
      </c>
      <c r="AU40" s="145">
        <f t="shared" si="26"/>
        <v>0.98919922532582683</v>
      </c>
      <c r="AV40" s="145">
        <f t="shared" si="26"/>
        <v>0.5532632317261994</v>
      </c>
      <c r="AW40" s="145">
        <f t="shared" si="26"/>
        <v>-0.20707616234687154</v>
      </c>
      <c r="AX40" s="145">
        <f t="shared" si="26"/>
        <v>0.54749391959863303</v>
      </c>
      <c r="AY40" s="145">
        <f t="shared" si="26"/>
        <v>0.19984837338174488</v>
      </c>
      <c r="AZ40" s="145">
        <f t="shared" si="26"/>
        <v>1.1444110137500738</v>
      </c>
      <c r="BA40" s="145">
        <f t="shared" si="26"/>
        <v>1.2168661497526916</v>
      </c>
      <c r="BB40" s="145">
        <f t="shared" si="26"/>
        <v>0.96070023491465184</v>
      </c>
      <c r="BC40" s="145">
        <f t="shared" si="26"/>
        <v>-0.44229406715783781</v>
      </c>
      <c r="BD40" s="145">
        <f t="shared" si="27"/>
        <v>0.17669404973668601</v>
      </c>
      <c r="BE40" s="145">
        <f t="shared" si="27"/>
        <v>-0.12111525103164444</v>
      </c>
    </row>
    <row r="41" spans="2:57">
      <c r="B41" s="140" t="s">
        <v>793</v>
      </c>
      <c r="C41" s="127" t="s">
        <v>794</v>
      </c>
      <c r="D41" s="128"/>
      <c r="E41" s="128"/>
      <c r="F41" s="128"/>
      <c r="G41" s="128"/>
      <c r="H41" s="128">
        <v>2.267957</v>
      </c>
      <c r="I41" s="128">
        <v>6.6247570700000002</v>
      </c>
      <c r="J41" s="128">
        <v>15.16169947</v>
      </c>
      <c r="K41" s="128">
        <v>14.938461286000001</v>
      </c>
      <c r="L41" s="128">
        <v>47.767842809999998</v>
      </c>
      <c r="M41" s="128">
        <v>44.481521770999997</v>
      </c>
      <c r="N41" s="128">
        <v>76.906740739</v>
      </c>
      <c r="O41" s="128">
        <v>243.46394551099999</v>
      </c>
      <c r="P41" s="128">
        <v>1431.7768401410001</v>
      </c>
      <c r="Q41" s="128">
        <v>369.57365745700002</v>
      </c>
      <c r="R41" s="110">
        <v>262.26836281700002</v>
      </c>
      <c r="S41" s="110">
        <v>196.39454543400001</v>
      </c>
      <c r="T41" s="110">
        <v>384.236578232</v>
      </c>
      <c r="U41" s="110">
        <v>178.06136525100001</v>
      </c>
      <c r="V41" s="110">
        <v>308.47434392700001</v>
      </c>
      <c r="W41" s="158">
        <v>241.40539688699999</v>
      </c>
      <c r="X41" s="110"/>
      <c r="Z41" s="145" t="e">
        <f t="shared" si="28"/>
        <v>#DIV/0!</v>
      </c>
      <c r="AA41" s="145" t="e">
        <f t="shared" si="24"/>
        <v>#DIV/0!</v>
      </c>
      <c r="AB41" s="145" t="e">
        <f t="shared" si="24"/>
        <v>#DIV/0!</v>
      </c>
      <c r="AC41" s="145" t="e">
        <f t="shared" si="24"/>
        <v>#DIV/0!</v>
      </c>
      <c r="AD41" s="145">
        <f t="shared" si="24"/>
        <v>7.0595227349672376E-3</v>
      </c>
      <c r="AE41" s="145">
        <f t="shared" si="24"/>
        <v>1.1049340389447189E-2</v>
      </c>
      <c r="AF41" s="145">
        <f t="shared" si="24"/>
        <v>9.8701144907698251E-3</v>
      </c>
      <c r="AG41" s="145">
        <f t="shared" si="24"/>
        <v>9.3668408355961873E-3</v>
      </c>
      <c r="AH41" s="145">
        <f t="shared" si="24"/>
        <v>2.1402551351230991E-2</v>
      </c>
      <c r="AI41" s="145">
        <f t="shared" si="24"/>
        <v>1.3055156261350195E-2</v>
      </c>
      <c r="AJ41" s="145">
        <f t="shared" si="24"/>
        <v>1.0584813852075976E-2</v>
      </c>
      <c r="AK41" s="145">
        <f t="shared" si="24"/>
        <v>1.6390173089855565E-2</v>
      </c>
      <c r="AL41" s="145">
        <f t="shared" si="24"/>
        <v>6.2734868577971517E-2</v>
      </c>
      <c r="AM41" s="145">
        <f t="shared" si="24"/>
        <v>1.3141550134977448E-2</v>
      </c>
      <c r="AN41" s="145">
        <f t="shared" si="25"/>
        <v>6.288188405408424E-3</v>
      </c>
      <c r="AO41" s="145">
        <f t="shared" si="25"/>
        <v>4.2665824689177992E-3</v>
      </c>
      <c r="AP41" s="133"/>
      <c r="AQ41" s="147" t="str">
        <f t="shared" si="29"/>
        <v/>
      </c>
      <c r="AR41" s="147" t="str">
        <f t="shared" si="26"/>
        <v/>
      </c>
      <c r="AS41" s="147" t="str">
        <f t="shared" si="26"/>
        <v/>
      </c>
      <c r="AT41" s="147" t="str">
        <f t="shared" si="26"/>
        <v/>
      </c>
      <c r="AU41" s="147">
        <f t="shared" si="26"/>
        <v>1.9210241067180727</v>
      </c>
      <c r="AV41" s="147">
        <f t="shared" si="26"/>
        <v>1.288642332057619</v>
      </c>
      <c r="AW41" s="147">
        <f t="shared" si="26"/>
        <v>-1.472382330501365E-2</v>
      </c>
      <c r="AX41" s="147">
        <f t="shared" si="26"/>
        <v>2.197641436790212</v>
      </c>
      <c r="AY41" s="147">
        <f t="shared" si="26"/>
        <v>-6.8797769496763306E-2</v>
      </c>
      <c r="AZ41" s="147">
        <f t="shared" si="26"/>
        <v>0.72895929988483044</v>
      </c>
      <c r="BA41" s="147">
        <f t="shared" si="26"/>
        <v>2.1657035933592432</v>
      </c>
      <c r="BB41" s="147">
        <f t="shared" si="26"/>
        <v>4.8808577883508866</v>
      </c>
      <c r="BC41" s="147">
        <f t="shared" si="26"/>
        <v>-0.7418776117229241</v>
      </c>
      <c r="BD41" s="147">
        <f t="shared" si="27"/>
        <v>-0.29034887220684824</v>
      </c>
      <c r="BE41" s="147">
        <f t="shared" si="27"/>
        <v>-0.25116951459739745</v>
      </c>
    </row>
    <row r="42" spans="2:57">
      <c r="B42" s="140" t="s">
        <v>795</v>
      </c>
      <c r="C42" s="127" t="s">
        <v>796</v>
      </c>
      <c r="D42" s="128"/>
      <c r="E42" s="128"/>
      <c r="F42" s="128"/>
      <c r="G42" s="128"/>
      <c r="H42" s="128">
        <v>45.794969999999999</v>
      </c>
      <c r="I42" s="128">
        <v>74.473635027</v>
      </c>
      <c r="J42" s="128">
        <v>79.548522749</v>
      </c>
      <c r="K42" s="128">
        <v>46.307239226</v>
      </c>
      <c r="L42" s="128">
        <v>37.945761587</v>
      </c>
      <c r="M42" s="128">
        <v>90.846398086999997</v>
      </c>
      <c r="N42" s="128">
        <v>218.45341917499999</v>
      </c>
      <c r="O42" s="128">
        <v>315.21018115300001</v>
      </c>
      <c r="P42" s="128">
        <v>117.94203876</v>
      </c>
      <c r="Q42" s="128">
        <v>21.007291749</v>
      </c>
      <c r="R42" s="110">
        <v>195.01684698599999</v>
      </c>
      <c r="S42" s="110">
        <v>287.91333155199999</v>
      </c>
      <c r="T42" s="110">
        <v>390.73878275599998</v>
      </c>
      <c r="U42" s="110">
        <v>465.04181209299998</v>
      </c>
      <c r="V42" s="110">
        <v>95.981093251000004</v>
      </c>
      <c r="W42" s="158">
        <v>53.659523938</v>
      </c>
      <c r="X42" s="110"/>
      <c r="Z42" s="145" t="e">
        <f t="shared" si="28"/>
        <v>#DIV/0!</v>
      </c>
      <c r="AA42" s="145" t="e">
        <f t="shared" si="24"/>
        <v>#DIV/0!</v>
      </c>
      <c r="AB42" s="145" t="e">
        <f t="shared" si="24"/>
        <v>#DIV/0!</v>
      </c>
      <c r="AC42" s="145" t="e">
        <f t="shared" si="24"/>
        <v>#DIV/0!</v>
      </c>
      <c r="AD42" s="145">
        <f t="shared" si="24"/>
        <v>0.14254707292163943</v>
      </c>
      <c r="AE42" s="145">
        <f t="shared" si="24"/>
        <v>0.12421354243753122</v>
      </c>
      <c r="AF42" s="145">
        <f t="shared" si="24"/>
        <v>5.1785291527364503E-2</v>
      </c>
      <c r="AG42" s="145">
        <f t="shared" si="24"/>
        <v>2.903595832673354E-2</v>
      </c>
      <c r="AH42" s="145">
        <f t="shared" si="24"/>
        <v>1.7001733031103479E-2</v>
      </c>
      <c r="AI42" s="145">
        <f t="shared" si="24"/>
        <v>2.6663069867808333E-2</v>
      </c>
      <c r="AJ42" s="145">
        <f t="shared" si="24"/>
        <v>3.0066139262930953E-2</v>
      </c>
      <c r="AK42" s="145">
        <f t="shared" si="24"/>
        <v>2.1220182799300671E-2</v>
      </c>
      <c r="AL42" s="145">
        <f t="shared" si="24"/>
        <v>5.1677594538391668E-3</v>
      </c>
      <c r="AM42" s="145">
        <f t="shared" si="24"/>
        <v>7.469914918156801E-4</v>
      </c>
      <c r="AN42" s="145">
        <f t="shared" si="25"/>
        <v>4.6757552565817369E-3</v>
      </c>
      <c r="AO42" s="145">
        <f t="shared" si="25"/>
        <v>6.2547866095410314E-3</v>
      </c>
      <c r="AP42" s="133"/>
      <c r="AQ42" s="147" t="str">
        <f t="shared" si="29"/>
        <v/>
      </c>
      <c r="AR42" s="147" t="str">
        <f t="shared" si="26"/>
        <v/>
      </c>
      <c r="AS42" s="147" t="str">
        <f t="shared" si="26"/>
        <v/>
      </c>
      <c r="AT42" s="147" t="str">
        <f t="shared" si="26"/>
        <v/>
      </c>
      <c r="AU42" s="147">
        <f t="shared" si="26"/>
        <v>0.62624050254864239</v>
      </c>
      <c r="AV42" s="147">
        <f t="shared" si="26"/>
        <v>6.8143413708221967E-2</v>
      </c>
      <c r="AW42" s="147">
        <f t="shared" si="26"/>
        <v>-0.41787430330901865</v>
      </c>
      <c r="AX42" s="147">
        <f t="shared" si="26"/>
        <v>-0.1805652372881108</v>
      </c>
      <c r="AY42" s="147">
        <f t="shared" si="26"/>
        <v>1.394111866188593</v>
      </c>
      <c r="AZ42" s="147">
        <f t="shared" si="26"/>
        <v>1.4046459053422877</v>
      </c>
      <c r="BA42" s="147">
        <f t="shared" si="26"/>
        <v>0.44291713237268904</v>
      </c>
      <c r="BB42" s="147">
        <f t="shared" si="26"/>
        <v>-0.62583049085349163</v>
      </c>
      <c r="BC42" s="147">
        <f t="shared" si="26"/>
        <v>-0.82188461408787672</v>
      </c>
      <c r="BD42" s="147">
        <f t="shared" si="27"/>
        <v>8.2832931210794118</v>
      </c>
      <c r="BE42" s="147">
        <f t="shared" si="27"/>
        <v>0.47635107428779677</v>
      </c>
    </row>
    <row r="43" spans="2:57">
      <c r="B43" s="140" t="s">
        <v>797</v>
      </c>
      <c r="C43" s="127" t="s">
        <v>798</v>
      </c>
      <c r="D43" s="128"/>
      <c r="E43" s="128"/>
      <c r="F43" s="128"/>
      <c r="G43" s="128"/>
      <c r="H43" s="128">
        <v>0</v>
      </c>
      <c r="I43" s="128">
        <v>0</v>
      </c>
      <c r="J43" s="128">
        <v>0</v>
      </c>
      <c r="K43" s="128">
        <v>0</v>
      </c>
      <c r="L43" s="128">
        <v>0</v>
      </c>
      <c r="M43" s="128">
        <v>0</v>
      </c>
      <c r="N43" s="128">
        <v>0</v>
      </c>
      <c r="O43" s="128">
        <v>0</v>
      </c>
      <c r="P43" s="128">
        <v>0</v>
      </c>
      <c r="Q43" s="128">
        <v>0</v>
      </c>
      <c r="R43" s="110">
        <v>0</v>
      </c>
      <c r="S43" s="110">
        <v>0</v>
      </c>
      <c r="T43" s="110">
        <v>0</v>
      </c>
      <c r="U43" s="110">
        <v>0</v>
      </c>
      <c r="V43" s="110">
        <v>0</v>
      </c>
      <c r="W43" s="158">
        <v>0</v>
      </c>
      <c r="X43" s="110"/>
      <c r="Z43" s="145" t="e">
        <f t="shared" si="28"/>
        <v>#DIV/0!</v>
      </c>
      <c r="AA43" s="145" t="e">
        <f t="shared" si="24"/>
        <v>#DIV/0!</v>
      </c>
      <c r="AB43" s="145" t="e">
        <f t="shared" si="24"/>
        <v>#DIV/0!</v>
      </c>
      <c r="AC43" s="145" t="e">
        <f t="shared" si="24"/>
        <v>#DIV/0!</v>
      </c>
      <c r="AD43" s="145">
        <f t="shared" si="24"/>
        <v>0</v>
      </c>
      <c r="AE43" s="145">
        <f t="shared" si="24"/>
        <v>0</v>
      </c>
      <c r="AF43" s="145">
        <f t="shared" si="24"/>
        <v>0</v>
      </c>
      <c r="AG43" s="145">
        <f t="shared" si="24"/>
        <v>0</v>
      </c>
      <c r="AH43" s="145">
        <f t="shared" si="24"/>
        <v>0</v>
      </c>
      <c r="AI43" s="145">
        <f t="shared" si="24"/>
        <v>0</v>
      </c>
      <c r="AJ43" s="145">
        <f t="shared" si="24"/>
        <v>0</v>
      </c>
      <c r="AK43" s="145">
        <f t="shared" si="24"/>
        <v>0</v>
      </c>
      <c r="AL43" s="145">
        <f t="shared" si="24"/>
        <v>0</v>
      </c>
      <c r="AM43" s="145">
        <f t="shared" si="24"/>
        <v>0</v>
      </c>
      <c r="AN43" s="145">
        <f t="shared" si="25"/>
        <v>0</v>
      </c>
      <c r="AO43" s="145">
        <f t="shared" si="25"/>
        <v>0</v>
      </c>
      <c r="AP43" s="133"/>
      <c r="AQ43" s="147" t="str">
        <f t="shared" si="29"/>
        <v/>
      </c>
      <c r="AR43" s="147" t="str">
        <f t="shared" si="26"/>
        <v/>
      </c>
      <c r="AS43" s="147" t="str">
        <f t="shared" si="26"/>
        <v/>
      </c>
      <c r="AT43" s="147" t="str">
        <f t="shared" si="26"/>
        <v/>
      </c>
      <c r="AU43" s="147" t="str">
        <f t="shared" si="26"/>
        <v/>
      </c>
      <c r="AV43" s="147" t="str">
        <f t="shared" si="26"/>
        <v/>
      </c>
      <c r="AW43" s="147" t="str">
        <f t="shared" si="26"/>
        <v/>
      </c>
      <c r="AX43" s="147" t="str">
        <f t="shared" si="26"/>
        <v/>
      </c>
      <c r="AY43" s="147" t="str">
        <f t="shared" si="26"/>
        <v/>
      </c>
      <c r="AZ43" s="147" t="str">
        <f t="shared" si="26"/>
        <v/>
      </c>
      <c r="BA43" s="147" t="str">
        <f t="shared" si="26"/>
        <v/>
      </c>
      <c r="BB43" s="147" t="str">
        <f t="shared" si="26"/>
        <v/>
      </c>
      <c r="BC43" s="147" t="str">
        <f t="shared" si="26"/>
        <v/>
      </c>
      <c r="BD43" s="147" t="str">
        <f t="shared" si="27"/>
        <v/>
      </c>
      <c r="BE43" s="147" t="str">
        <f t="shared" si="27"/>
        <v/>
      </c>
    </row>
    <row r="44" spans="2:57">
      <c r="B44" s="140" t="s">
        <v>799</v>
      </c>
      <c r="C44" s="127" t="s">
        <v>800</v>
      </c>
      <c r="D44" s="128"/>
      <c r="E44" s="128"/>
      <c r="F44" s="128"/>
      <c r="G44" s="128"/>
      <c r="H44" s="128">
        <v>0</v>
      </c>
      <c r="I44" s="128">
        <v>0</v>
      </c>
      <c r="J44" s="128">
        <v>0</v>
      </c>
      <c r="K44" s="128">
        <v>0</v>
      </c>
      <c r="L44" s="128">
        <v>0</v>
      </c>
      <c r="M44" s="128">
        <v>0</v>
      </c>
      <c r="N44" s="128">
        <v>0</v>
      </c>
      <c r="O44" s="128">
        <v>0</v>
      </c>
      <c r="P44" s="128">
        <v>0</v>
      </c>
      <c r="Q44" s="128">
        <v>0</v>
      </c>
      <c r="R44" s="110">
        <v>0</v>
      </c>
      <c r="S44" s="110">
        <v>0</v>
      </c>
      <c r="T44" s="110">
        <v>0</v>
      </c>
      <c r="U44" s="110">
        <v>0</v>
      </c>
      <c r="V44" s="110">
        <v>0</v>
      </c>
      <c r="W44" s="158">
        <v>0</v>
      </c>
      <c r="X44" s="110"/>
      <c r="Z44" s="145" t="e">
        <f t="shared" si="28"/>
        <v>#DIV/0!</v>
      </c>
      <c r="AA44" s="145" t="e">
        <f t="shared" si="24"/>
        <v>#DIV/0!</v>
      </c>
      <c r="AB44" s="145" t="e">
        <f t="shared" si="24"/>
        <v>#DIV/0!</v>
      </c>
      <c r="AC44" s="145" t="e">
        <f t="shared" si="24"/>
        <v>#DIV/0!</v>
      </c>
      <c r="AD44" s="145">
        <f t="shared" si="24"/>
        <v>0</v>
      </c>
      <c r="AE44" s="145">
        <f t="shared" si="24"/>
        <v>0</v>
      </c>
      <c r="AF44" s="145">
        <f t="shared" si="24"/>
        <v>0</v>
      </c>
      <c r="AG44" s="145">
        <f t="shared" si="24"/>
        <v>0</v>
      </c>
      <c r="AH44" s="145">
        <f t="shared" si="24"/>
        <v>0</v>
      </c>
      <c r="AI44" s="145">
        <f t="shared" si="24"/>
        <v>0</v>
      </c>
      <c r="AJ44" s="145">
        <f t="shared" si="24"/>
        <v>0</v>
      </c>
      <c r="AK44" s="145">
        <f t="shared" si="24"/>
        <v>0</v>
      </c>
      <c r="AL44" s="145">
        <f t="shared" si="24"/>
        <v>0</v>
      </c>
      <c r="AM44" s="145">
        <f t="shared" si="24"/>
        <v>0</v>
      </c>
      <c r="AN44" s="145">
        <f t="shared" si="25"/>
        <v>0</v>
      </c>
      <c r="AO44" s="145">
        <f t="shared" si="25"/>
        <v>0</v>
      </c>
      <c r="AP44" s="133"/>
      <c r="AQ44" s="147" t="str">
        <f t="shared" si="29"/>
        <v/>
      </c>
      <c r="AR44" s="147" t="str">
        <f t="shared" si="26"/>
        <v/>
      </c>
      <c r="AS44" s="147" t="str">
        <f t="shared" si="26"/>
        <v/>
      </c>
      <c r="AT44" s="147" t="str">
        <f t="shared" si="26"/>
        <v/>
      </c>
      <c r="AU44" s="147" t="str">
        <f t="shared" si="26"/>
        <v/>
      </c>
      <c r="AV44" s="147" t="str">
        <f t="shared" si="26"/>
        <v/>
      </c>
      <c r="AW44" s="147" t="str">
        <f t="shared" si="26"/>
        <v/>
      </c>
      <c r="AX44" s="147" t="str">
        <f t="shared" si="26"/>
        <v/>
      </c>
      <c r="AY44" s="147" t="str">
        <f t="shared" si="26"/>
        <v/>
      </c>
      <c r="AZ44" s="147" t="str">
        <f t="shared" si="26"/>
        <v/>
      </c>
      <c r="BA44" s="147" t="str">
        <f t="shared" si="26"/>
        <v/>
      </c>
      <c r="BB44" s="147" t="str">
        <f t="shared" si="26"/>
        <v/>
      </c>
      <c r="BC44" s="147" t="str">
        <f t="shared" si="26"/>
        <v/>
      </c>
      <c r="BD44" s="147" t="str">
        <f t="shared" si="27"/>
        <v/>
      </c>
      <c r="BE44" s="147" t="str">
        <f t="shared" si="27"/>
        <v/>
      </c>
    </row>
    <row r="45" spans="2:57">
      <c r="B45" s="140" t="s">
        <v>801</v>
      </c>
      <c r="C45" s="127" t="s">
        <v>802</v>
      </c>
      <c r="D45" s="128"/>
      <c r="E45" s="128"/>
      <c r="F45" s="128"/>
      <c r="G45" s="128"/>
      <c r="H45" s="128">
        <v>0</v>
      </c>
      <c r="I45" s="128">
        <v>0</v>
      </c>
      <c r="J45" s="128">
        <v>0</v>
      </c>
      <c r="K45" s="128">
        <v>0</v>
      </c>
      <c r="L45" s="128">
        <v>0</v>
      </c>
      <c r="M45" s="128">
        <v>0</v>
      </c>
      <c r="N45" s="128">
        <v>0</v>
      </c>
      <c r="O45" s="128">
        <v>0</v>
      </c>
      <c r="P45" s="128">
        <v>84.7</v>
      </c>
      <c r="Q45" s="128">
        <v>0</v>
      </c>
      <c r="R45" s="110">
        <v>0</v>
      </c>
      <c r="S45" s="110">
        <v>80</v>
      </c>
      <c r="T45" s="110">
        <v>961.91769763800005</v>
      </c>
      <c r="U45" s="110">
        <v>26.662420966999999</v>
      </c>
      <c r="V45" s="110">
        <v>2085.9176976379999</v>
      </c>
      <c r="W45" s="158">
        <v>6037.7145961010001</v>
      </c>
      <c r="X45" s="110"/>
      <c r="Z45" s="145" t="e">
        <f t="shared" si="28"/>
        <v>#DIV/0!</v>
      </c>
      <c r="AA45" s="145" t="e">
        <f t="shared" si="24"/>
        <v>#DIV/0!</v>
      </c>
      <c r="AB45" s="145" t="e">
        <f t="shared" si="24"/>
        <v>#DIV/0!</v>
      </c>
      <c r="AC45" s="145" t="e">
        <f t="shared" si="24"/>
        <v>#DIV/0!</v>
      </c>
      <c r="AD45" s="145">
        <f t="shared" si="24"/>
        <v>0</v>
      </c>
      <c r="AE45" s="145">
        <f t="shared" si="24"/>
        <v>0</v>
      </c>
      <c r="AF45" s="145">
        <f t="shared" si="24"/>
        <v>0</v>
      </c>
      <c r="AG45" s="145">
        <f t="shared" si="24"/>
        <v>0</v>
      </c>
      <c r="AH45" s="145">
        <f t="shared" si="24"/>
        <v>0</v>
      </c>
      <c r="AI45" s="145">
        <f t="shared" si="24"/>
        <v>0</v>
      </c>
      <c r="AJ45" s="145">
        <f t="shared" si="24"/>
        <v>0</v>
      </c>
      <c r="AK45" s="145">
        <f t="shared" si="24"/>
        <v>0</v>
      </c>
      <c r="AL45" s="145">
        <f t="shared" si="24"/>
        <v>3.7112231596307318E-3</v>
      </c>
      <c r="AM45" s="145">
        <f t="shared" si="24"/>
        <v>0</v>
      </c>
      <c r="AN45" s="145">
        <f t="shared" si="25"/>
        <v>0</v>
      </c>
      <c r="AO45" s="145">
        <f t="shared" si="25"/>
        <v>1.7379637339680063E-3</v>
      </c>
      <c r="AP45" s="133"/>
      <c r="AQ45" s="147" t="str">
        <f t="shared" si="29"/>
        <v/>
      </c>
      <c r="AR45" s="147" t="str">
        <f t="shared" si="26"/>
        <v/>
      </c>
      <c r="AS45" s="147" t="str">
        <f t="shared" si="26"/>
        <v/>
      </c>
      <c r="AT45" s="147" t="str">
        <f t="shared" si="26"/>
        <v/>
      </c>
      <c r="AU45" s="147" t="str">
        <f t="shared" si="26"/>
        <v/>
      </c>
      <c r="AV45" s="147" t="str">
        <f t="shared" si="26"/>
        <v/>
      </c>
      <c r="AW45" s="147" t="str">
        <f t="shared" si="26"/>
        <v/>
      </c>
      <c r="AX45" s="147" t="str">
        <f t="shared" si="26"/>
        <v/>
      </c>
      <c r="AY45" s="147" t="str">
        <f t="shared" si="26"/>
        <v/>
      </c>
      <c r="AZ45" s="147" t="str">
        <f t="shared" si="26"/>
        <v/>
      </c>
      <c r="BA45" s="147" t="str">
        <f t="shared" si="26"/>
        <v/>
      </c>
      <c r="BB45" s="147" t="str">
        <f t="shared" si="26"/>
        <v/>
      </c>
      <c r="BC45" s="147">
        <f t="shared" si="26"/>
        <v>-1</v>
      </c>
      <c r="BD45" s="147" t="str">
        <f t="shared" si="27"/>
        <v/>
      </c>
      <c r="BE45" s="147" t="str">
        <f t="shared" si="27"/>
        <v/>
      </c>
    </row>
    <row r="46" spans="2:57">
      <c r="B46" s="140" t="s">
        <v>803</v>
      </c>
      <c r="C46" s="127" t="s">
        <v>804</v>
      </c>
      <c r="D46" s="128"/>
      <c r="E46" s="128"/>
      <c r="F46" s="128"/>
      <c r="G46" s="128"/>
      <c r="H46" s="128">
        <v>17.168885</v>
      </c>
      <c r="I46" s="128">
        <v>48.938646743</v>
      </c>
      <c r="J46" s="128">
        <v>107.11773897800001</v>
      </c>
      <c r="K46" s="128">
        <v>98.568092824999994</v>
      </c>
      <c r="L46" s="128">
        <v>161.59726906</v>
      </c>
      <c r="M46" s="128">
        <v>161.40762937900001</v>
      </c>
      <c r="N46" s="128">
        <v>340.96282004099999</v>
      </c>
      <c r="O46" s="128">
        <v>851.96874790799995</v>
      </c>
      <c r="P46" s="128">
        <v>1131.4289366529999</v>
      </c>
      <c r="Q46" s="128">
        <v>1151.9487868670001</v>
      </c>
      <c r="R46" s="110">
        <v>1357.8003521759999</v>
      </c>
      <c r="S46" s="110">
        <v>1030.94314151</v>
      </c>
      <c r="T46" s="110">
        <v>1425.2289129599999</v>
      </c>
      <c r="U46" s="110">
        <v>2402.3282550560002</v>
      </c>
      <c r="V46" s="110">
        <v>2668.4802029689999</v>
      </c>
      <c r="W46" s="158">
        <v>2430.887848672</v>
      </c>
      <c r="X46" s="110"/>
      <c r="Z46" s="145" t="e">
        <f t="shared" si="28"/>
        <v>#DIV/0!</v>
      </c>
      <c r="AA46" s="145" t="e">
        <f t="shared" si="24"/>
        <v>#DIV/0!</v>
      </c>
      <c r="AB46" s="145" t="e">
        <f t="shared" si="24"/>
        <v>#DIV/0!</v>
      </c>
      <c r="AC46" s="145" t="e">
        <f t="shared" si="24"/>
        <v>#DIV/0!</v>
      </c>
      <c r="AD46" s="145">
        <f t="shared" si="24"/>
        <v>5.3441989416703216E-2</v>
      </c>
      <c r="AE46" s="145">
        <f t="shared" si="24"/>
        <v>8.1624089811691461E-2</v>
      </c>
      <c r="AF46" s="145">
        <f t="shared" si="24"/>
        <v>6.9732575150776119E-2</v>
      </c>
      <c r="AG46" s="145">
        <f t="shared" si="24"/>
        <v>6.1805002488798187E-2</v>
      </c>
      <c r="AH46" s="145">
        <f t="shared" si="24"/>
        <v>7.2404229410822349E-2</v>
      </c>
      <c r="AI46" s="145">
        <f t="shared" si="24"/>
        <v>4.7372520979953231E-2</v>
      </c>
      <c r="AJ46" s="145">
        <f t="shared" si="24"/>
        <v>4.6927329723423047E-2</v>
      </c>
      <c r="AK46" s="145">
        <f t="shared" si="24"/>
        <v>5.735516696754072E-2</v>
      </c>
      <c r="AL46" s="145">
        <f t="shared" si="24"/>
        <v>4.957479661373064E-2</v>
      </c>
      <c r="AM46" s="145">
        <f t="shared" si="24"/>
        <v>4.0961774277162834E-2</v>
      </c>
      <c r="AN46" s="145">
        <f t="shared" si="25"/>
        <v>3.2554839400778711E-2</v>
      </c>
      <c r="AO46" s="145">
        <f t="shared" si="25"/>
        <v>2.239677239659283E-2</v>
      </c>
      <c r="AP46" s="133"/>
      <c r="AQ46" s="147" t="str">
        <f t="shared" si="29"/>
        <v/>
      </c>
      <c r="AR46" s="147" t="str">
        <f t="shared" si="26"/>
        <v/>
      </c>
      <c r="AS46" s="147" t="str">
        <f t="shared" si="26"/>
        <v/>
      </c>
      <c r="AT46" s="147" t="str">
        <f t="shared" si="26"/>
        <v/>
      </c>
      <c r="AU46" s="147">
        <f t="shared" si="26"/>
        <v>1.8504266143666288</v>
      </c>
      <c r="AV46" s="147">
        <f t="shared" si="26"/>
        <v>1.1888169393102745</v>
      </c>
      <c r="AW46" s="147">
        <f t="shared" si="26"/>
        <v>-7.9815409049624808E-2</v>
      </c>
      <c r="AX46" s="147">
        <f t="shared" si="26"/>
        <v>0.63944806507419627</v>
      </c>
      <c r="AY46" s="147">
        <f t="shared" si="26"/>
        <v>-1.1735327094517523E-3</v>
      </c>
      <c r="AZ46" s="147">
        <f t="shared" si="26"/>
        <v>1.1124331071140872</v>
      </c>
      <c r="BA46" s="147">
        <f t="shared" si="26"/>
        <v>1.4987145161620634</v>
      </c>
      <c r="BB46" s="147">
        <f t="shared" si="26"/>
        <v>0.32801694831085237</v>
      </c>
      <c r="BC46" s="147">
        <f t="shared" si="26"/>
        <v>1.8136225395385397E-2</v>
      </c>
      <c r="BD46" s="147">
        <f t="shared" si="27"/>
        <v>0.17869853908077138</v>
      </c>
      <c r="BE46" s="147">
        <f t="shared" si="27"/>
        <v>-0.2407255309237335</v>
      </c>
    </row>
    <row r="47" spans="2:57">
      <c r="B47" s="140" t="s">
        <v>805</v>
      </c>
      <c r="C47" s="127" t="s">
        <v>806</v>
      </c>
      <c r="D47" s="128"/>
      <c r="E47" s="128"/>
      <c r="F47" s="128"/>
      <c r="G47" s="128"/>
      <c r="H47" s="128">
        <v>0</v>
      </c>
      <c r="I47" s="128">
        <v>-0.27796894300000002</v>
      </c>
      <c r="J47" s="128">
        <v>-0.27796894300000002</v>
      </c>
      <c r="K47" s="128">
        <v>0</v>
      </c>
      <c r="L47" s="128">
        <v>0</v>
      </c>
      <c r="M47" s="128">
        <v>0</v>
      </c>
      <c r="N47" s="128">
        <v>0</v>
      </c>
      <c r="O47" s="128">
        <v>0</v>
      </c>
      <c r="P47" s="128">
        <v>0</v>
      </c>
      <c r="Q47" s="128">
        <v>0</v>
      </c>
      <c r="R47" s="110">
        <v>0</v>
      </c>
      <c r="S47" s="110">
        <v>0</v>
      </c>
      <c r="T47" s="110">
        <v>0</v>
      </c>
      <c r="U47" s="110">
        <v>0</v>
      </c>
      <c r="V47" s="110">
        <v>0</v>
      </c>
      <c r="W47" s="158">
        <v>0</v>
      </c>
      <c r="X47" s="110"/>
      <c r="Z47" s="145" t="e">
        <f t="shared" si="28"/>
        <v>#DIV/0!</v>
      </c>
      <c r="AA47" s="145" t="e">
        <f t="shared" si="24"/>
        <v>#DIV/0!</v>
      </c>
      <c r="AB47" s="145" t="e">
        <f t="shared" si="24"/>
        <v>#DIV/0!</v>
      </c>
      <c r="AC47" s="145" t="e">
        <f t="shared" si="24"/>
        <v>#DIV/0!</v>
      </c>
      <c r="AD47" s="145">
        <f t="shared" si="24"/>
        <v>0</v>
      </c>
      <c r="AE47" s="145">
        <f t="shared" si="24"/>
        <v>-4.636205428287265E-4</v>
      </c>
      <c r="AF47" s="145">
        <f t="shared" si="24"/>
        <v>-1.8095499767139704E-4</v>
      </c>
      <c r="AG47" s="145">
        <f t="shared" si="24"/>
        <v>0</v>
      </c>
      <c r="AH47" s="145">
        <f t="shared" si="24"/>
        <v>0</v>
      </c>
      <c r="AI47" s="145">
        <f t="shared" si="24"/>
        <v>0</v>
      </c>
      <c r="AJ47" s="145">
        <f t="shared" si="24"/>
        <v>0</v>
      </c>
      <c r="AK47" s="145">
        <f t="shared" si="24"/>
        <v>0</v>
      </c>
      <c r="AL47" s="145">
        <f t="shared" si="24"/>
        <v>0</v>
      </c>
      <c r="AM47" s="145">
        <f t="shared" si="24"/>
        <v>0</v>
      </c>
      <c r="AN47" s="145">
        <f t="shared" si="25"/>
        <v>0</v>
      </c>
      <c r="AO47" s="145">
        <f t="shared" si="25"/>
        <v>0</v>
      </c>
      <c r="AP47" s="133"/>
      <c r="AQ47" s="147" t="str">
        <f t="shared" si="29"/>
        <v/>
      </c>
      <c r="AR47" s="147" t="str">
        <f t="shared" si="26"/>
        <v/>
      </c>
      <c r="AS47" s="147" t="str">
        <f t="shared" si="26"/>
        <v/>
      </c>
      <c r="AT47" s="147" t="str">
        <f t="shared" si="26"/>
        <v/>
      </c>
      <c r="AU47" s="147" t="str">
        <f t="shared" si="26"/>
        <v/>
      </c>
      <c r="AV47" s="147">
        <f t="shared" si="26"/>
        <v>0</v>
      </c>
      <c r="AW47" s="147">
        <f t="shared" si="26"/>
        <v>-1</v>
      </c>
      <c r="AX47" s="147" t="str">
        <f t="shared" si="26"/>
        <v/>
      </c>
      <c r="AY47" s="147" t="str">
        <f t="shared" si="26"/>
        <v/>
      </c>
      <c r="AZ47" s="147" t="str">
        <f t="shared" si="26"/>
        <v/>
      </c>
      <c r="BA47" s="147" t="str">
        <f t="shared" si="26"/>
        <v/>
      </c>
      <c r="BB47" s="147" t="str">
        <f t="shared" si="26"/>
        <v/>
      </c>
      <c r="BC47" s="147" t="str">
        <f t="shared" si="26"/>
        <v/>
      </c>
      <c r="BD47" s="147" t="str">
        <f t="shared" si="27"/>
        <v/>
      </c>
      <c r="BE47" s="147" t="str">
        <f t="shared" si="27"/>
        <v/>
      </c>
    </row>
    <row r="48" spans="2:57">
      <c r="B48" s="140" t="s">
        <v>807</v>
      </c>
      <c r="C48" s="127" t="s">
        <v>808</v>
      </c>
      <c r="D48" s="128"/>
      <c r="E48" s="128"/>
      <c r="F48" s="128"/>
      <c r="G48" s="128"/>
      <c r="H48" s="128">
        <v>0</v>
      </c>
      <c r="I48" s="128">
        <v>0</v>
      </c>
      <c r="J48" s="128">
        <v>0</v>
      </c>
      <c r="K48" s="128">
        <v>0</v>
      </c>
      <c r="L48" s="128">
        <v>0</v>
      </c>
      <c r="M48" s="128">
        <v>0</v>
      </c>
      <c r="N48" s="128">
        <v>0</v>
      </c>
      <c r="O48" s="128">
        <v>0</v>
      </c>
      <c r="P48" s="128">
        <v>0</v>
      </c>
      <c r="Q48" s="128">
        <v>0</v>
      </c>
      <c r="R48" s="110">
        <v>0</v>
      </c>
      <c r="S48" s="110">
        <v>0</v>
      </c>
      <c r="T48" s="110">
        <v>0</v>
      </c>
      <c r="U48" s="110">
        <v>0</v>
      </c>
      <c r="V48" s="110">
        <v>0</v>
      </c>
      <c r="W48" s="158">
        <v>0</v>
      </c>
      <c r="X48" s="110"/>
      <c r="Z48" s="145" t="e">
        <f t="shared" si="28"/>
        <v>#DIV/0!</v>
      </c>
      <c r="AA48" s="145" t="e">
        <f t="shared" si="24"/>
        <v>#DIV/0!</v>
      </c>
      <c r="AB48" s="145" t="e">
        <f t="shared" si="24"/>
        <v>#DIV/0!</v>
      </c>
      <c r="AC48" s="145" t="e">
        <f t="shared" si="24"/>
        <v>#DIV/0!</v>
      </c>
      <c r="AD48" s="145">
        <f t="shared" si="24"/>
        <v>0</v>
      </c>
      <c r="AE48" s="145">
        <f t="shared" si="24"/>
        <v>0</v>
      </c>
      <c r="AF48" s="145">
        <f t="shared" si="24"/>
        <v>0</v>
      </c>
      <c r="AG48" s="145">
        <f t="shared" si="24"/>
        <v>0</v>
      </c>
      <c r="AH48" s="145">
        <f t="shared" si="24"/>
        <v>0</v>
      </c>
      <c r="AI48" s="145">
        <f t="shared" si="24"/>
        <v>0</v>
      </c>
      <c r="AJ48" s="145">
        <f t="shared" si="24"/>
        <v>0</v>
      </c>
      <c r="AK48" s="145">
        <f t="shared" si="24"/>
        <v>0</v>
      </c>
      <c r="AL48" s="145">
        <f t="shared" si="24"/>
        <v>0</v>
      </c>
      <c r="AM48" s="145">
        <f t="shared" si="24"/>
        <v>0</v>
      </c>
      <c r="AN48" s="145">
        <f t="shared" si="25"/>
        <v>0</v>
      </c>
      <c r="AO48" s="145">
        <f t="shared" si="25"/>
        <v>0</v>
      </c>
      <c r="AP48" s="133"/>
      <c r="AQ48" s="147" t="str">
        <f t="shared" si="29"/>
        <v/>
      </c>
      <c r="AR48" s="147" t="str">
        <f t="shared" si="26"/>
        <v/>
      </c>
      <c r="AS48" s="147" t="str">
        <f t="shared" si="26"/>
        <v/>
      </c>
      <c r="AT48" s="147" t="str">
        <f t="shared" si="26"/>
        <v/>
      </c>
      <c r="AU48" s="147" t="str">
        <f t="shared" si="26"/>
        <v/>
      </c>
      <c r="AV48" s="147" t="str">
        <f t="shared" si="26"/>
        <v/>
      </c>
      <c r="AW48" s="147" t="str">
        <f t="shared" si="26"/>
        <v/>
      </c>
      <c r="AX48" s="147" t="str">
        <f t="shared" si="26"/>
        <v/>
      </c>
      <c r="AY48" s="147" t="str">
        <f t="shared" si="26"/>
        <v/>
      </c>
      <c r="AZ48" s="147" t="str">
        <f t="shared" si="26"/>
        <v/>
      </c>
      <c r="BA48" s="147" t="str">
        <f t="shared" si="26"/>
        <v/>
      </c>
      <c r="BB48" s="147" t="str">
        <f t="shared" si="26"/>
        <v/>
      </c>
      <c r="BC48" s="147" t="str">
        <f t="shared" si="26"/>
        <v/>
      </c>
      <c r="BD48" s="147" t="str">
        <f t="shared" si="27"/>
        <v/>
      </c>
      <c r="BE48" s="147" t="str">
        <f t="shared" si="27"/>
        <v/>
      </c>
    </row>
    <row r="49" spans="2:57" s="136" customFormat="1">
      <c r="B49" s="154" t="s">
        <v>809</v>
      </c>
      <c r="C49" s="134" t="s">
        <v>810</v>
      </c>
      <c r="D49" s="135"/>
      <c r="E49" s="135"/>
      <c r="F49" s="135"/>
      <c r="G49" s="135"/>
      <c r="H49" s="135">
        <v>188.46732600000001</v>
      </c>
      <c r="I49" s="135">
        <v>339.82833371499999</v>
      </c>
      <c r="J49" s="135">
        <v>877.09952858099996</v>
      </c>
      <c r="K49" s="135">
        <v>951.56438608300004</v>
      </c>
      <c r="L49" s="135">
        <v>1288.949605087</v>
      </c>
      <c r="M49" s="135">
        <v>2195.306348135</v>
      </c>
      <c r="N49" s="135">
        <v>4932.6848422989997</v>
      </c>
      <c r="O49" s="135">
        <v>9370.7317497780004</v>
      </c>
      <c r="P49" s="135">
        <v>12050.162650982</v>
      </c>
      <c r="Q49" s="135">
        <v>17446.005298980999</v>
      </c>
      <c r="R49" s="111">
        <v>25745.428436580001</v>
      </c>
      <c r="S49" s="111">
        <v>19422.177452674001</v>
      </c>
      <c r="T49" s="111">
        <v>29167.232293921999</v>
      </c>
      <c r="U49" s="111">
        <v>25696.077735282001</v>
      </c>
      <c r="V49" s="111">
        <v>21824.235626176</v>
      </c>
      <c r="W49" s="155">
        <v>22244.676326705001</v>
      </c>
      <c r="X49" s="111"/>
      <c r="Z49" s="145" t="e">
        <f t="shared" si="28"/>
        <v>#DIV/0!</v>
      </c>
      <c r="AA49" s="145" t="e">
        <f t="shared" si="24"/>
        <v>#DIV/0!</v>
      </c>
      <c r="AB49" s="145" t="e">
        <f t="shared" si="24"/>
        <v>#DIV/0!</v>
      </c>
      <c r="AC49" s="145" t="e">
        <f t="shared" si="24"/>
        <v>#DIV/0!</v>
      </c>
      <c r="AD49" s="145">
        <f t="shared" si="24"/>
        <v>0.58664664836920721</v>
      </c>
      <c r="AE49" s="145">
        <f t="shared" si="24"/>
        <v>0.56679496221824288</v>
      </c>
      <c r="AF49" s="145">
        <f t="shared" si="24"/>
        <v>0.5709830078101864</v>
      </c>
      <c r="AG49" s="145">
        <f t="shared" si="24"/>
        <v>0.59665798094041134</v>
      </c>
      <c r="AH49" s="145">
        <f t="shared" si="24"/>
        <v>0.57751844105148165</v>
      </c>
      <c r="AI49" s="145">
        <f t="shared" si="24"/>
        <v>0.6443140044530038</v>
      </c>
      <c r="AJ49" s="145">
        <f t="shared" si="24"/>
        <v>0.67889433806437161</v>
      </c>
      <c r="AK49" s="145">
        <f t="shared" si="24"/>
        <v>0.630844600152622</v>
      </c>
      <c r="AL49" s="145">
        <f t="shared" si="24"/>
        <v>0.52799105912209743</v>
      </c>
      <c r="AM49" s="145">
        <f t="shared" si="24"/>
        <v>0.6203568589525793</v>
      </c>
      <c r="AN49" s="145">
        <f t="shared" si="25"/>
        <v>0.61727652869872185</v>
      </c>
      <c r="AO49" s="145">
        <f t="shared" si="25"/>
        <v>0.42193800059298159</v>
      </c>
      <c r="AP49" s="146"/>
      <c r="AQ49" s="145" t="str">
        <f t="shared" si="29"/>
        <v/>
      </c>
      <c r="AR49" s="145" t="str">
        <f t="shared" si="26"/>
        <v/>
      </c>
      <c r="AS49" s="145" t="str">
        <f t="shared" si="26"/>
        <v/>
      </c>
      <c r="AT49" s="145" t="str">
        <f t="shared" si="26"/>
        <v/>
      </c>
      <c r="AU49" s="145">
        <f t="shared" si="26"/>
        <v>0.80311537775518693</v>
      </c>
      <c r="AV49" s="145">
        <f t="shared" si="26"/>
        <v>1.5810076487518172</v>
      </c>
      <c r="AW49" s="145">
        <f t="shared" si="26"/>
        <v>8.4898982470634543E-2</v>
      </c>
      <c r="AX49" s="145">
        <f t="shared" si="26"/>
        <v>0.35455847648187588</v>
      </c>
      <c r="AY49" s="145">
        <f t="shared" si="26"/>
        <v>0.70317469315398395</v>
      </c>
      <c r="AZ49" s="145">
        <f t="shared" si="26"/>
        <v>1.2469232353331967</v>
      </c>
      <c r="BA49" s="145">
        <f t="shared" si="26"/>
        <v>0.89972237216974515</v>
      </c>
      <c r="BB49" s="145">
        <f t="shared" si="26"/>
        <v>0.28593614380941768</v>
      </c>
      <c r="BC49" s="145">
        <f t="shared" si="26"/>
        <v>0.44778172745736988</v>
      </c>
      <c r="BD49" s="145">
        <f t="shared" si="27"/>
        <v>0.4757205443519934</v>
      </c>
      <c r="BE49" s="145">
        <f t="shared" si="27"/>
        <v>-0.24560674915480163</v>
      </c>
    </row>
    <row r="50" spans="2:57">
      <c r="B50" s="140" t="s">
        <v>809</v>
      </c>
      <c r="C50" s="127" t="s">
        <v>811</v>
      </c>
      <c r="D50" s="128"/>
      <c r="E50" s="128"/>
      <c r="F50" s="128"/>
      <c r="G50" s="128"/>
      <c r="H50" s="128">
        <v>188.46732600000001</v>
      </c>
      <c r="I50" s="128">
        <v>339.82833371499999</v>
      </c>
      <c r="J50" s="128">
        <v>877.09952858099996</v>
      </c>
      <c r="K50" s="128">
        <v>964.51444880999998</v>
      </c>
      <c r="L50" s="128">
        <v>1304.678340679</v>
      </c>
      <c r="M50" s="128">
        <v>2253.516929935</v>
      </c>
      <c r="N50" s="128">
        <v>5009.7084926280004</v>
      </c>
      <c r="O50" s="128">
        <v>9513.6575698279994</v>
      </c>
      <c r="P50" s="128">
        <v>12309.955461928999</v>
      </c>
      <c r="Q50" s="128">
        <v>17821.137643753002</v>
      </c>
      <c r="R50" s="110">
        <v>26195.934673883999</v>
      </c>
      <c r="S50" s="110">
        <v>19926.363502364999</v>
      </c>
      <c r="T50" s="110">
        <v>29850.068817718999</v>
      </c>
      <c r="U50" s="110">
        <v>26058.131396686</v>
      </c>
      <c r="V50" s="110">
        <v>22028.684523095999</v>
      </c>
      <c r="W50" s="158">
        <v>22667.774012643</v>
      </c>
      <c r="X50" s="110"/>
      <c r="Z50" s="145" t="e">
        <f t="shared" si="28"/>
        <v>#DIV/0!</v>
      </c>
      <c r="AA50" s="145" t="e">
        <f t="shared" si="24"/>
        <v>#DIV/0!</v>
      </c>
      <c r="AB50" s="145" t="e">
        <f t="shared" si="24"/>
        <v>#DIV/0!</v>
      </c>
      <c r="AC50" s="145" t="e">
        <f t="shared" si="24"/>
        <v>#DIV/0!</v>
      </c>
      <c r="AD50" s="145">
        <f t="shared" si="24"/>
        <v>0.58664664836920721</v>
      </c>
      <c r="AE50" s="145">
        <f t="shared" si="24"/>
        <v>0.56679496221824288</v>
      </c>
      <c r="AF50" s="145">
        <f t="shared" si="24"/>
        <v>0.5709830078101864</v>
      </c>
      <c r="AG50" s="145">
        <f t="shared" si="24"/>
        <v>0.60477803922837403</v>
      </c>
      <c r="AH50" s="145">
        <f t="shared" si="24"/>
        <v>0.58456575680607203</v>
      </c>
      <c r="AI50" s="145">
        <f t="shared" si="24"/>
        <v>0.66139858724617973</v>
      </c>
      <c r="AJ50" s="145">
        <f t="shared" si="24"/>
        <v>0.68949524239480864</v>
      </c>
      <c r="AK50" s="145">
        <f t="shared" si="24"/>
        <v>0.64046647219085029</v>
      </c>
      <c r="AL50" s="145">
        <f t="shared" si="24"/>
        <v>0.53937416534042171</v>
      </c>
      <c r="AM50" s="145">
        <f t="shared" si="24"/>
        <v>0.63369606865165395</v>
      </c>
      <c r="AN50" s="145">
        <f t="shared" si="25"/>
        <v>0.6280779386269022</v>
      </c>
      <c r="AO50" s="145">
        <f t="shared" si="25"/>
        <v>0.43289121396217589</v>
      </c>
      <c r="AP50" s="133"/>
      <c r="AQ50" s="147" t="str">
        <f t="shared" si="29"/>
        <v/>
      </c>
      <c r="AR50" s="147" t="str">
        <f t="shared" si="26"/>
        <v/>
      </c>
      <c r="AS50" s="147" t="str">
        <f t="shared" si="26"/>
        <v/>
      </c>
      <c r="AT50" s="147" t="str">
        <f t="shared" si="26"/>
        <v/>
      </c>
      <c r="AU50" s="147">
        <f t="shared" si="26"/>
        <v>0.80311537775518693</v>
      </c>
      <c r="AV50" s="147">
        <f t="shared" si="26"/>
        <v>1.5810076487518172</v>
      </c>
      <c r="AW50" s="147">
        <f t="shared" si="26"/>
        <v>9.9663626966511654E-2</v>
      </c>
      <c r="AX50" s="147">
        <f t="shared" si="26"/>
        <v>0.35267889691926113</v>
      </c>
      <c r="AY50" s="147">
        <f t="shared" si="26"/>
        <v>0.72725863507643673</v>
      </c>
      <c r="AZ50" s="147">
        <f t="shared" si="26"/>
        <v>1.223062283704476</v>
      </c>
      <c r="BA50" s="147">
        <f t="shared" si="26"/>
        <v>0.89904414275356581</v>
      </c>
      <c r="BB50" s="147">
        <f t="shared" si="26"/>
        <v>0.29392458910538188</v>
      </c>
      <c r="BC50" s="147">
        <f t="shared" si="26"/>
        <v>0.44770122839748994</v>
      </c>
      <c r="BD50" s="147">
        <f t="shared" si="27"/>
        <v>0.46993616218809064</v>
      </c>
      <c r="BE50" s="147">
        <f t="shared" si="27"/>
        <v>-0.23933374584910083</v>
      </c>
    </row>
    <row r="51" spans="2:57">
      <c r="B51" s="140" t="s">
        <v>812</v>
      </c>
      <c r="C51" s="127" t="s">
        <v>813</v>
      </c>
      <c r="D51" s="128"/>
      <c r="E51" s="128"/>
      <c r="F51" s="128"/>
      <c r="G51" s="128"/>
      <c r="H51" s="128">
        <v>0</v>
      </c>
      <c r="I51" s="128">
        <v>0</v>
      </c>
      <c r="J51" s="128">
        <v>0</v>
      </c>
      <c r="K51" s="128">
        <v>-12.950062727000001</v>
      </c>
      <c r="L51" s="128">
        <v>-15.728735592</v>
      </c>
      <c r="M51" s="128">
        <v>-58.2105818</v>
      </c>
      <c r="N51" s="128">
        <v>-77.023650329000006</v>
      </c>
      <c r="O51" s="128">
        <v>-142.92582005</v>
      </c>
      <c r="P51" s="128">
        <v>-259.79281094700002</v>
      </c>
      <c r="Q51" s="128">
        <v>-375.13234477200001</v>
      </c>
      <c r="R51" s="110">
        <v>-450.50623730400002</v>
      </c>
      <c r="S51" s="110">
        <v>-504.18604969099999</v>
      </c>
      <c r="T51" s="110">
        <v>-682.83652379700004</v>
      </c>
      <c r="U51" s="110">
        <v>-362.05366140400002</v>
      </c>
      <c r="V51" s="110">
        <v>-204.44889692000001</v>
      </c>
      <c r="W51" s="158">
        <v>-423.09768593799998</v>
      </c>
      <c r="X51" s="110"/>
      <c r="Z51" s="145" t="e">
        <f t="shared" si="28"/>
        <v>#DIV/0!</v>
      </c>
      <c r="AA51" s="145" t="e">
        <f t="shared" si="24"/>
        <v>#DIV/0!</v>
      </c>
      <c r="AB51" s="145" t="e">
        <f t="shared" si="24"/>
        <v>#DIV/0!</v>
      </c>
      <c r="AC51" s="145" t="e">
        <f t="shared" si="24"/>
        <v>#DIV/0!</v>
      </c>
      <c r="AD51" s="145">
        <f t="shared" si="24"/>
        <v>0</v>
      </c>
      <c r="AE51" s="145">
        <f t="shared" si="24"/>
        <v>0</v>
      </c>
      <c r="AF51" s="145">
        <f t="shared" si="24"/>
        <v>0</v>
      </c>
      <c r="AG51" s="145">
        <f t="shared" si="24"/>
        <v>-8.1200582879627989E-3</v>
      </c>
      <c r="AH51" s="145">
        <f t="shared" si="24"/>
        <v>-7.0473157545904797E-3</v>
      </c>
      <c r="AI51" s="145">
        <f t="shared" ref="AI51:AM101" si="30">M51/M$153</f>
        <v>-1.7084582793175943E-2</v>
      </c>
      <c r="AJ51" s="145">
        <f t="shared" si="30"/>
        <v>-1.0600904330436933E-2</v>
      </c>
      <c r="AK51" s="145">
        <f t="shared" si="30"/>
        <v>-9.6218720382283806E-3</v>
      </c>
      <c r="AL51" s="145">
        <f t="shared" si="30"/>
        <v>-1.1383106218324376E-2</v>
      </c>
      <c r="AM51" s="145">
        <f t="shared" si="30"/>
        <v>-1.3339209699074586E-2</v>
      </c>
      <c r="AN51" s="145">
        <f t="shared" si="25"/>
        <v>-1.0801409928180497E-2</v>
      </c>
      <c r="AO51" s="145">
        <f t="shared" si="25"/>
        <v>-1.0953213369194364E-2</v>
      </c>
      <c r="AP51" s="133"/>
      <c r="AQ51" s="147" t="str">
        <f t="shared" si="29"/>
        <v/>
      </c>
      <c r="AR51" s="147" t="str">
        <f t="shared" si="26"/>
        <v/>
      </c>
      <c r="AS51" s="147" t="str">
        <f t="shared" si="26"/>
        <v/>
      </c>
      <c r="AT51" s="147" t="str">
        <f t="shared" si="26"/>
        <v/>
      </c>
      <c r="AU51" s="147" t="str">
        <f t="shared" si="26"/>
        <v/>
      </c>
      <c r="AV51" s="147" t="str">
        <f t="shared" si="26"/>
        <v/>
      </c>
      <c r="AW51" s="147" t="str">
        <f t="shared" si="26"/>
        <v/>
      </c>
      <c r="AX51" s="147">
        <f t="shared" si="26"/>
        <v>0.21456829388221066</v>
      </c>
      <c r="AY51" s="147">
        <f t="shared" si="26"/>
        <v>2.7009066278415448</v>
      </c>
      <c r="AZ51" s="147">
        <f t="shared" si="26"/>
        <v>0.32318983846679239</v>
      </c>
      <c r="BA51" s="147">
        <f t="shared" si="26"/>
        <v>0.85560953602568102</v>
      </c>
      <c r="BB51" s="147">
        <f t="shared" si="26"/>
        <v>0.81767584650636405</v>
      </c>
      <c r="BC51" s="147">
        <f t="shared" si="26"/>
        <v>0.44396738079303599</v>
      </c>
      <c r="BD51" s="147">
        <f t="shared" si="27"/>
        <v>0.20092613602223808</v>
      </c>
      <c r="BE51" s="147">
        <f t="shared" si="27"/>
        <v>0.1191544266029263</v>
      </c>
    </row>
    <row r="52" spans="2:57" s="136" customFormat="1">
      <c r="B52" s="154" t="s">
        <v>472</v>
      </c>
      <c r="C52" s="134" t="s">
        <v>814</v>
      </c>
      <c r="D52" s="135"/>
      <c r="E52" s="135"/>
      <c r="F52" s="135"/>
      <c r="G52" s="135"/>
      <c r="H52" s="135">
        <v>11.768841</v>
      </c>
      <c r="I52" s="135">
        <v>28.256922395</v>
      </c>
      <c r="J52" s="135">
        <v>80.845257797000002</v>
      </c>
      <c r="K52" s="135">
        <v>64.809535396000001</v>
      </c>
      <c r="L52" s="135">
        <v>68.090396217000006</v>
      </c>
      <c r="M52" s="135">
        <v>132.72410482999999</v>
      </c>
      <c r="N52" s="135">
        <v>263.55153540499998</v>
      </c>
      <c r="O52" s="135">
        <v>510.08132090700002</v>
      </c>
      <c r="P52" s="135">
        <v>635.86748835200001</v>
      </c>
      <c r="Q52" s="135">
        <v>582.98701138900003</v>
      </c>
      <c r="R52" s="110">
        <v>1199.146093219</v>
      </c>
      <c r="S52" s="110">
        <v>894.62927925400004</v>
      </c>
      <c r="T52" s="110">
        <v>1247.2614078869999</v>
      </c>
      <c r="U52" s="110">
        <v>742.89830817699999</v>
      </c>
      <c r="V52" s="110">
        <v>661.17731466199996</v>
      </c>
      <c r="W52" s="158">
        <v>544.07677151500002</v>
      </c>
      <c r="X52" s="110"/>
      <c r="Z52" s="145" t="e">
        <f t="shared" si="28"/>
        <v>#DIV/0!</v>
      </c>
      <c r="AA52" s="145" t="e">
        <f t="shared" si="28"/>
        <v>#DIV/0!</v>
      </c>
      <c r="AB52" s="145" t="e">
        <f t="shared" si="28"/>
        <v>#DIV/0!</v>
      </c>
      <c r="AC52" s="145" t="e">
        <f t="shared" si="28"/>
        <v>#DIV/0!</v>
      </c>
      <c r="AD52" s="145">
        <f t="shared" si="28"/>
        <v>3.6633146309085471E-2</v>
      </c>
      <c r="AE52" s="145">
        <f t="shared" si="28"/>
        <v>4.7129328759001318E-2</v>
      </c>
      <c r="AF52" s="145">
        <f t="shared" si="28"/>
        <v>5.2629453055119277E-2</v>
      </c>
      <c r="AG52" s="145">
        <f t="shared" si="28"/>
        <v>4.063742517123857E-2</v>
      </c>
      <c r="AH52" s="145">
        <f t="shared" si="28"/>
        <v>3.050814346707165E-2</v>
      </c>
      <c r="AI52" s="145">
        <f t="shared" si="30"/>
        <v>3.8954016391883887E-2</v>
      </c>
      <c r="AJ52" s="145">
        <f t="shared" si="30"/>
        <v>3.6273074582083877E-2</v>
      </c>
      <c r="AK52" s="145">
        <f t="shared" si="30"/>
        <v>3.4339052224018785E-2</v>
      </c>
      <c r="AL52" s="145">
        <f t="shared" si="30"/>
        <v>2.7861229624889811E-2</v>
      </c>
      <c r="AM52" s="145">
        <f t="shared" si="30"/>
        <v>2.073024655200327E-2</v>
      </c>
      <c r="AN52" s="145">
        <f t="shared" si="25"/>
        <v>2.8750919397136525E-2</v>
      </c>
      <c r="AO52" s="145">
        <f t="shared" si="25"/>
        <v>1.9435415533617353E-2</v>
      </c>
      <c r="AP52" s="146"/>
      <c r="AQ52" s="145" t="str">
        <f t="shared" si="29"/>
        <v/>
      </c>
      <c r="AR52" s="145" t="str">
        <f t="shared" si="26"/>
        <v/>
      </c>
      <c r="AS52" s="145" t="str">
        <f t="shared" si="26"/>
        <v/>
      </c>
      <c r="AT52" s="145" t="str">
        <f t="shared" si="26"/>
        <v/>
      </c>
      <c r="AU52" s="145">
        <f t="shared" si="26"/>
        <v>1.4009944900266729</v>
      </c>
      <c r="AV52" s="145">
        <f t="shared" si="26"/>
        <v>1.8610779570002074</v>
      </c>
      <c r="AW52" s="145">
        <f t="shared" si="26"/>
        <v>-0.19835081039960578</v>
      </c>
      <c r="AX52" s="145">
        <f t="shared" si="26"/>
        <v>5.0623118973978976E-2</v>
      </c>
      <c r="AY52" s="145">
        <f t="shared" si="26"/>
        <v>0.94923384506408559</v>
      </c>
      <c r="AZ52" s="145">
        <f t="shared" si="26"/>
        <v>0.98570964741160361</v>
      </c>
      <c r="BA52" s="145">
        <f t="shared" si="26"/>
        <v>0.93541396039737501</v>
      </c>
      <c r="BB52" s="145">
        <f t="shared" si="26"/>
        <v>0.24660022292393213</v>
      </c>
      <c r="BC52" s="145">
        <f t="shared" si="26"/>
        <v>-8.3162731121938838E-2</v>
      </c>
      <c r="BD52" s="145">
        <f t="shared" si="27"/>
        <v>1.0569001878137314</v>
      </c>
      <c r="BE52" s="145">
        <f t="shared" si="27"/>
        <v>-0.25394471589992174</v>
      </c>
    </row>
    <row r="53" spans="2:57">
      <c r="B53" s="140" t="s">
        <v>815</v>
      </c>
      <c r="C53" s="127" t="s">
        <v>816</v>
      </c>
      <c r="D53" s="128"/>
      <c r="E53" s="128"/>
      <c r="F53" s="128"/>
      <c r="G53" s="128"/>
      <c r="H53" s="128">
        <v>10.94445</v>
      </c>
      <c r="I53" s="128">
        <v>14.885770167</v>
      </c>
      <c r="J53" s="128">
        <v>36.086137827999998</v>
      </c>
      <c r="K53" s="128">
        <v>36.529644089000001</v>
      </c>
      <c r="L53" s="128">
        <v>30.512602907000002</v>
      </c>
      <c r="M53" s="128">
        <v>77.713718761999999</v>
      </c>
      <c r="N53" s="128">
        <v>109.62606802800001</v>
      </c>
      <c r="O53" s="128">
        <v>208.179145656</v>
      </c>
      <c r="P53" s="128">
        <v>338.16964345700001</v>
      </c>
      <c r="Q53" s="128">
        <v>283.03471690200001</v>
      </c>
      <c r="R53" s="110">
        <v>487.03059195600002</v>
      </c>
      <c r="S53" s="110">
        <v>563.78631614100004</v>
      </c>
      <c r="T53" s="110">
        <v>569.19555678799998</v>
      </c>
      <c r="U53" s="110">
        <v>557.51664784699994</v>
      </c>
      <c r="V53" s="110">
        <v>481.24096130200002</v>
      </c>
      <c r="W53" s="158">
        <v>390.39136066899999</v>
      </c>
      <c r="X53" s="110"/>
      <c r="Z53" s="145" t="e">
        <f t="shared" si="28"/>
        <v>#DIV/0!</v>
      </c>
      <c r="AA53" s="145" t="e">
        <f t="shared" si="28"/>
        <v>#DIV/0!</v>
      </c>
      <c r="AB53" s="145" t="e">
        <f t="shared" si="28"/>
        <v>#DIV/0!</v>
      </c>
      <c r="AC53" s="145" t="e">
        <f t="shared" si="28"/>
        <v>#DIV/0!</v>
      </c>
      <c r="AD53" s="145">
        <f t="shared" si="28"/>
        <v>3.4067045185033132E-2</v>
      </c>
      <c r="AE53" s="145">
        <f t="shared" si="28"/>
        <v>2.4827769501027323E-2</v>
      </c>
      <c r="AF53" s="145">
        <f t="shared" si="28"/>
        <v>2.3491714276279604E-2</v>
      </c>
      <c r="AG53" s="145">
        <f t="shared" si="28"/>
        <v>2.2905127603959578E-2</v>
      </c>
      <c r="AH53" s="145">
        <f t="shared" si="28"/>
        <v>1.3671279927258402E-2</v>
      </c>
      <c r="AI53" s="145">
        <f t="shared" si="30"/>
        <v>2.280867878827797E-2</v>
      </c>
      <c r="AJ53" s="145">
        <f t="shared" si="30"/>
        <v>1.5088034056070255E-2</v>
      </c>
      <c r="AK53" s="145">
        <f t="shared" si="30"/>
        <v>1.4014774236236678E-2</v>
      </c>
      <c r="AL53" s="145">
        <f t="shared" si="30"/>
        <v>1.4817272876997467E-2</v>
      </c>
      <c r="AM53" s="145">
        <f t="shared" si="30"/>
        <v>1.0064339941597566E-2</v>
      </c>
      <c r="AN53" s="145">
        <f t="shared" si="25"/>
        <v>1.1677123723664046E-2</v>
      </c>
      <c r="AO53" s="145">
        <f t="shared" si="25"/>
        <v>1.2248002139505991E-2</v>
      </c>
      <c r="AP53" s="133"/>
      <c r="AQ53" s="147" t="str">
        <f t="shared" si="29"/>
        <v/>
      </c>
      <c r="AR53" s="147" t="str">
        <f t="shared" si="26"/>
        <v/>
      </c>
      <c r="AS53" s="147" t="str">
        <f t="shared" si="26"/>
        <v/>
      </c>
      <c r="AT53" s="147" t="str">
        <f t="shared" si="26"/>
        <v/>
      </c>
      <c r="AU53" s="147">
        <f t="shared" ref="AU53:BC81" si="31">IFERROR(I53/H53-1,"")</f>
        <v>0.3601204415936845</v>
      </c>
      <c r="AV53" s="147">
        <f t="shared" si="31"/>
        <v>1.4242036134615805</v>
      </c>
      <c r="AW53" s="147">
        <f t="shared" si="31"/>
        <v>1.2290211357999015E-2</v>
      </c>
      <c r="AX53" s="147">
        <f t="shared" si="31"/>
        <v>-0.16471666593137935</v>
      </c>
      <c r="AY53" s="147">
        <f t="shared" si="31"/>
        <v>1.5469383585158325</v>
      </c>
      <c r="AZ53" s="147">
        <f t="shared" si="31"/>
        <v>0.41063984293085087</v>
      </c>
      <c r="BA53" s="147">
        <f t="shared" si="31"/>
        <v>0.89899308988103255</v>
      </c>
      <c r="BB53" s="147">
        <f t="shared" si="31"/>
        <v>0.6244165206432315</v>
      </c>
      <c r="BC53" s="147">
        <f t="shared" si="31"/>
        <v>-0.16303925447409562</v>
      </c>
      <c r="BD53" s="147">
        <f t="shared" si="27"/>
        <v>0.7207450636687549</v>
      </c>
      <c r="BE53" s="147">
        <f t="shared" si="27"/>
        <v>0.15759938996180023</v>
      </c>
    </row>
    <row r="54" spans="2:57">
      <c r="B54" s="140" t="s">
        <v>817</v>
      </c>
      <c r="C54" s="127" t="s">
        <v>818</v>
      </c>
      <c r="D54" s="128"/>
      <c r="E54" s="128"/>
      <c r="F54" s="128"/>
      <c r="G54" s="128"/>
      <c r="H54" s="128">
        <v>0.42258800000000002</v>
      </c>
      <c r="I54" s="128">
        <v>12.533969739</v>
      </c>
      <c r="J54" s="128">
        <v>39.746213984000001</v>
      </c>
      <c r="K54" s="128">
        <v>25.342943956999999</v>
      </c>
      <c r="L54" s="128">
        <v>34.623166927</v>
      </c>
      <c r="M54" s="128">
        <v>49.618196517999998</v>
      </c>
      <c r="N54" s="128">
        <v>153.92296737699999</v>
      </c>
      <c r="O54" s="128">
        <v>301.89967525100002</v>
      </c>
      <c r="P54" s="128">
        <v>297.598157759</v>
      </c>
      <c r="Q54" s="128">
        <v>298.10934556000001</v>
      </c>
      <c r="R54" s="110">
        <v>709.22513597199998</v>
      </c>
      <c r="S54" s="110">
        <v>326.09127564599999</v>
      </c>
      <c r="T54" s="110">
        <v>636.08144006999999</v>
      </c>
      <c r="U54" s="110">
        <v>156.74375373999999</v>
      </c>
      <c r="V54" s="110">
        <v>149.051709905</v>
      </c>
      <c r="W54" s="158">
        <v>121.055116271</v>
      </c>
      <c r="X54" s="110"/>
      <c r="Z54" s="145" t="e">
        <f t="shared" si="28"/>
        <v>#DIV/0!</v>
      </c>
      <c r="AA54" s="145" t="e">
        <f t="shared" si="28"/>
        <v>#DIV/0!</v>
      </c>
      <c r="AB54" s="145" t="e">
        <f t="shared" si="28"/>
        <v>#DIV/0!</v>
      </c>
      <c r="AC54" s="145" t="e">
        <f t="shared" si="28"/>
        <v>#DIV/0!</v>
      </c>
      <c r="AD54" s="145">
        <f t="shared" si="28"/>
        <v>1.3153995395522645E-3</v>
      </c>
      <c r="AE54" s="145">
        <f t="shared" si="28"/>
        <v>2.0905234201628098E-2</v>
      </c>
      <c r="AF54" s="145">
        <f t="shared" si="28"/>
        <v>2.587438719339796E-2</v>
      </c>
      <c r="AG54" s="145">
        <f t="shared" si="28"/>
        <v>1.5890747902739064E-2</v>
      </c>
      <c r="AH54" s="145">
        <f t="shared" si="28"/>
        <v>1.5513032712087003E-2</v>
      </c>
      <c r="AI54" s="145">
        <f t="shared" si="30"/>
        <v>1.4562750624489468E-2</v>
      </c>
      <c r="AJ54" s="145">
        <f t="shared" si="30"/>
        <v>2.1184696446491132E-2</v>
      </c>
      <c r="AK54" s="145">
        <f t="shared" si="30"/>
        <v>2.0324109685930927E-2</v>
      </c>
      <c r="AL54" s="145">
        <f t="shared" si="30"/>
        <v>1.3039588846973328E-2</v>
      </c>
      <c r="AM54" s="145">
        <f t="shared" si="30"/>
        <v>1.0600373785671866E-2</v>
      </c>
      <c r="AN54" s="145">
        <f t="shared" si="25"/>
        <v>1.7004495810862118E-2</v>
      </c>
      <c r="AO54" s="145">
        <f t="shared" si="25"/>
        <v>7.084185137951407E-3</v>
      </c>
      <c r="AP54" s="133"/>
      <c r="AQ54" s="147" t="str">
        <f t="shared" si="29"/>
        <v/>
      </c>
      <c r="AR54" s="147" t="str">
        <f t="shared" si="29"/>
        <v/>
      </c>
      <c r="AS54" s="147" t="str">
        <f t="shared" si="29"/>
        <v/>
      </c>
      <c r="AT54" s="147" t="str">
        <f t="shared" si="29"/>
        <v/>
      </c>
      <c r="AU54" s="147">
        <f t="shared" si="31"/>
        <v>28.660022856777758</v>
      </c>
      <c r="AV54" s="147">
        <f t="shared" si="31"/>
        <v>2.1710794593932921</v>
      </c>
      <c r="AW54" s="147">
        <f t="shared" si="31"/>
        <v>-0.3623809309937821</v>
      </c>
      <c r="AX54" s="147">
        <f t="shared" si="31"/>
        <v>0.36618567226230647</v>
      </c>
      <c r="AY54" s="147">
        <f t="shared" si="31"/>
        <v>0.43309237490076335</v>
      </c>
      <c r="AZ54" s="147">
        <f t="shared" si="31"/>
        <v>2.1021475623597352</v>
      </c>
      <c r="BA54" s="147">
        <f t="shared" si="31"/>
        <v>0.96136860142232106</v>
      </c>
      <c r="BB54" s="147">
        <f t="shared" si="31"/>
        <v>-1.4248168662068683E-2</v>
      </c>
      <c r="BC54" s="147">
        <f t="shared" si="31"/>
        <v>1.7177115774149598E-3</v>
      </c>
      <c r="BD54" s="147">
        <f t="shared" si="27"/>
        <v>1.3790771625750837</v>
      </c>
      <c r="BE54" s="147">
        <f t="shared" si="27"/>
        <v>-0.54021472293267114</v>
      </c>
    </row>
    <row r="55" spans="2:57">
      <c r="B55" s="140" t="s">
        <v>819</v>
      </c>
      <c r="C55" s="127" t="s">
        <v>820</v>
      </c>
      <c r="D55" s="128"/>
      <c r="E55" s="128"/>
      <c r="F55" s="128"/>
      <c r="G55" s="128"/>
      <c r="H55" s="128">
        <v>0</v>
      </c>
      <c r="I55" s="128">
        <v>0</v>
      </c>
      <c r="J55" s="128">
        <v>7.0790920000000004E-3</v>
      </c>
      <c r="K55" s="128">
        <v>0.19223093499999999</v>
      </c>
      <c r="L55" s="128">
        <v>0</v>
      </c>
      <c r="M55" s="128">
        <v>0.17499999999999999</v>
      </c>
      <c r="N55" s="128">
        <v>2.5000000000000001E-3</v>
      </c>
      <c r="O55" s="128">
        <v>2.5000000000000001E-3</v>
      </c>
      <c r="P55" s="128">
        <v>9.9687135999999996E-2</v>
      </c>
      <c r="Q55" s="128">
        <v>1.8429489269999999</v>
      </c>
      <c r="R55" s="110">
        <v>2.8903652910000002</v>
      </c>
      <c r="S55" s="110">
        <v>4.751687467</v>
      </c>
      <c r="T55" s="110">
        <v>41.984411029</v>
      </c>
      <c r="U55" s="110">
        <v>28.63790659</v>
      </c>
      <c r="V55" s="110">
        <v>30.884643454999999</v>
      </c>
      <c r="W55" s="158">
        <v>32.630294575000001</v>
      </c>
      <c r="X55" s="110"/>
      <c r="Z55" s="145" t="e">
        <f t="shared" si="28"/>
        <v>#DIV/0!</v>
      </c>
      <c r="AA55" s="145" t="e">
        <f t="shared" si="28"/>
        <v>#DIV/0!</v>
      </c>
      <c r="AB55" s="145" t="e">
        <f t="shared" si="28"/>
        <v>#DIV/0!</v>
      </c>
      <c r="AC55" s="145" t="e">
        <f t="shared" si="28"/>
        <v>#DIV/0!</v>
      </c>
      <c r="AD55" s="145">
        <f t="shared" si="28"/>
        <v>0</v>
      </c>
      <c r="AE55" s="145">
        <f t="shared" si="28"/>
        <v>0</v>
      </c>
      <c r="AF55" s="145">
        <f t="shared" si="28"/>
        <v>4.6084179856582227E-6</v>
      </c>
      <c r="AG55" s="145">
        <f t="shared" si="28"/>
        <v>1.2053427306534683E-4</v>
      </c>
      <c r="AH55" s="145">
        <f t="shared" si="28"/>
        <v>0</v>
      </c>
      <c r="AI55" s="145">
        <f t="shared" si="30"/>
        <v>5.136182969409507E-5</v>
      </c>
      <c r="AJ55" s="145">
        <f t="shared" si="30"/>
        <v>3.4407952249588491E-7</v>
      </c>
      <c r="AK55" s="145">
        <f t="shared" si="30"/>
        <v>1.6830185117815563E-7</v>
      </c>
      <c r="AL55" s="145">
        <f t="shared" si="30"/>
        <v>4.3679009190136768E-6</v>
      </c>
      <c r="AM55" s="145">
        <f t="shared" si="30"/>
        <v>6.5532824733838889E-5</v>
      </c>
      <c r="AN55" s="145">
        <f t="shared" si="25"/>
        <v>6.9299862610356166E-5</v>
      </c>
      <c r="AO55" s="145">
        <f t="shared" si="25"/>
        <v>1.0322825615995372E-4</v>
      </c>
      <c r="AP55" s="133"/>
      <c r="AQ55" s="147" t="str">
        <f t="shared" si="29"/>
        <v/>
      </c>
      <c r="AR55" s="147" t="str">
        <f t="shared" si="29"/>
        <v/>
      </c>
      <c r="AS55" s="147" t="str">
        <f t="shared" si="29"/>
        <v/>
      </c>
      <c r="AT55" s="147" t="str">
        <f t="shared" si="29"/>
        <v/>
      </c>
      <c r="AU55" s="147" t="str">
        <f t="shared" si="31"/>
        <v/>
      </c>
      <c r="AV55" s="147" t="str">
        <f t="shared" si="31"/>
        <v/>
      </c>
      <c r="AW55" s="147">
        <f t="shared" si="31"/>
        <v>26.154744563285796</v>
      </c>
      <c r="AX55" s="147">
        <f t="shared" si="31"/>
        <v>-1</v>
      </c>
      <c r="AY55" s="147" t="str">
        <f t="shared" si="31"/>
        <v/>
      </c>
      <c r="AZ55" s="147">
        <f t="shared" si="31"/>
        <v>-0.98571428571428577</v>
      </c>
      <c r="BA55" s="147">
        <f t="shared" si="31"/>
        <v>0</v>
      </c>
      <c r="BB55" s="147">
        <f t="shared" si="31"/>
        <v>38.874854399999997</v>
      </c>
      <c r="BC55" s="147">
        <f t="shared" si="31"/>
        <v>17.487329468468229</v>
      </c>
      <c r="BD55" s="147">
        <f t="shared" si="27"/>
        <v>0.56833716260656875</v>
      </c>
      <c r="BE55" s="147">
        <f t="shared" si="27"/>
        <v>0.64397471897264058</v>
      </c>
    </row>
    <row r="56" spans="2:57">
      <c r="B56" s="140" t="s">
        <v>821</v>
      </c>
      <c r="C56" s="127" t="s">
        <v>822</v>
      </c>
      <c r="D56" s="128"/>
      <c r="E56" s="128"/>
      <c r="F56" s="128"/>
      <c r="G56" s="128"/>
      <c r="H56" s="128">
        <v>0</v>
      </c>
      <c r="I56" s="128">
        <v>0</v>
      </c>
      <c r="J56" s="128">
        <v>0</v>
      </c>
      <c r="K56" s="128">
        <v>0</v>
      </c>
      <c r="L56" s="128">
        <v>0</v>
      </c>
      <c r="M56" s="128">
        <v>0</v>
      </c>
      <c r="N56" s="128">
        <v>0</v>
      </c>
      <c r="O56" s="128">
        <v>0</v>
      </c>
      <c r="P56" s="128">
        <v>0</v>
      </c>
      <c r="Q56" s="128">
        <v>0</v>
      </c>
      <c r="R56" s="110">
        <v>0</v>
      </c>
      <c r="S56" s="110">
        <v>0</v>
      </c>
      <c r="T56" s="110">
        <v>0</v>
      </c>
      <c r="U56" s="110">
        <v>0</v>
      </c>
      <c r="V56" s="110">
        <v>0</v>
      </c>
      <c r="W56" s="158">
        <v>0</v>
      </c>
      <c r="X56" s="110"/>
      <c r="Z56" s="145" t="e">
        <f t="shared" si="28"/>
        <v>#DIV/0!</v>
      </c>
      <c r="AA56" s="145" t="e">
        <f t="shared" si="28"/>
        <v>#DIV/0!</v>
      </c>
      <c r="AB56" s="145" t="e">
        <f t="shared" si="28"/>
        <v>#DIV/0!</v>
      </c>
      <c r="AC56" s="145" t="e">
        <f t="shared" si="28"/>
        <v>#DIV/0!</v>
      </c>
      <c r="AD56" s="145">
        <f t="shared" si="28"/>
        <v>0</v>
      </c>
      <c r="AE56" s="145">
        <f t="shared" si="28"/>
        <v>0</v>
      </c>
      <c r="AF56" s="145">
        <f t="shared" si="28"/>
        <v>0</v>
      </c>
      <c r="AG56" s="145">
        <f t="shared" si="28"/>
        <v>0</v>
      </c>
      <c r="AH56" s="145">
        <f t="shared" si="28"/>
        <v>0</v>
      </c>
      <c r="AI56" s="145">
        <f t="shared" si="30"/>
        <v>0</v>
      </c>
      <c r="AJ56" s="145">
        <f t="shared" si="30"/>
        <v>0</v>
      </c>
      <c r="AK56" s="145">
        <f t="shared" si="30"/>
        <v>0</v>
      </c>
      <c r="AL56" s="145">
        <f t="shared" si="30"/>
        <v>0</v>
      </c>
      <c r="AM56" s="145">
        <f t="shared" si="30"/>
        <v>0</v>
      </c>
      <c r="AN56" s="145">
        <f t="shared" si="25"/>
        <v>0</v>
      </c>
      <c r="AO56" s="145">
        <f t="shared" si="25"/>
        <v>0</v>
      </c>
      <c r="AP56" s="133"/>
      <c r="AQ56" s="147" t="str">
        <f t="shared" si="29"/>
        <v/>
      </c>
      <c r="AR56" s="147" t="str">
        <f t="shared" si="29"/>
        <v/>
      </c>
      <c r="AS56" s="147" t="str">
        <f t="shared" si="29"/>
        <v/>
      </c>
      <c r="AT56" s="147" t="str">
        <f t="shared" si="29"/>
        <v/>
      </c>
      <c r="AU56" s="147" t="str">
        <f t="shared" si="31"/>
        <v/>
      </c>
      <c r="AV56" s="147" t="str">
        <f t="shared" si="31"/>
        <v/>
      </c>
      <c r="AW56" s="147" t="str">
        <f t="shared" si="31"/>
        <v/>
      </c>
      <c r="AX56" s="147" t="str">
        <f t="shared" si="31"/>
        <v/>
      </c>
      <c r="AY56" s="147" t="str">
        <f t="shared" si="31"/>
        <v/>
      </c>
      <c r="AZ56" s="147" t="str">
        <f t="shared" si="31"/>
        <v/>
      </c>
      <c r="BA56" s="147" t="str">
        <f t="shared" si="31"/>
        <v/>
      </c>
      <c r="BB56" s="147" t="str">
        <f t="shared" si="31"/>
        <v/>
      </c>
      <c r="BC56" s="147" t="str">
        <f t="shared" si="31"/>
        <v/>
      </c>
      <c r="BD56" s="147" t="str">
        <f t="shared" si="27"/>
        <v/>
      </c>
      <c r="BE56" s="147" t="str">
        <f t="shared" si="27"/>
        <v/>
      </c>
    </row>
    <row r="57" spans="2:57">
      <c r="B57" s="140" t="s">
        <v>472</v>
      </c>
      <c r="C57" s="127" t="s">
        <v>823</v>
      </c>
      <c r="D57" s="128"/>
      <c r="E57" s="128"/>
      <c r="F57" s="128"/>
      <c r="G57" s="128"/>
      <c r="H57" s="128">
        <v>0.40180300000000002</v>
      </c>
      <c r="I57" s="128">
        <v>0.83718248900000003</v>
      </c>
      <c r="J57" s="128">
        <v>5.0058268930000001</v>
      </c>
      <c r="K57" s="128">
        <v>2.7447164150000001</v>
      </c>
      <c r="L57" s="128">
        <v>2.9546263829999999</v>
      </c>
      <c r="M57" s="128">
        <v>5.2171895499999996</v>
      </c>
      <c r="N57" s="128">
        <v>0</v>
      </c>
      <c r="O57" s="128">
        <v>0</v>
      </c>
      <c r="P57" s="128">
        <v>0</v>
      </c>
      <c r="Q57" s="128">
        <v>0</v>
      </c>
      <c r="R57" s="110">
        <v>0</v>
      </c>
      <c r="S57" s="110">
        <v>0</v>
      </c>
      <c r="T57" s="110">
        <v>0</v>
      </c>
      <c r="U57" s="110">
        <v>0</v>
      </c>
      <c r="V57" s="110">
        <v>0</v>
      </c>
      <c r="W57" s="158">
        <v>0</v>
      </c>
      <c r="X57" s="110"/>
      <c r="Z57" s="145" t="e">
        <f t="shared" si="28"/>
        <v>#DIV/0!</v>
      </c>
      <c r="AA57" s="145" t="e">
        <f t="shared" si="28"/>
        <v>#DIV/0!</v>
      </c>
      <c r="AB57" s="145" t="e">
        <f t="shared" si="28"/>
        <v>#DIV/0!</v>
      </c>
      <c r="AC57" s="145" t="e">
        <f t="shared" si="28"/>
        <v>#DIV/0!</v>
      </c>
      <c r="AD57" s="145">
        <f t="shared" si="28"/>
        <v>1.2507015845000769E-3</v>
      </c>
      <c r="AE57" s="145">
        <f t="shared" si="28"/>
        <v>1.3963250563458966E-3</v>
      </c>
      <c r="AF57" s="145">
        <f t="shared" si="28"/>
        <v>3.2587431674560548E-3</v>
      </c>
      <c r="AG57" s="145">
        <f t="shared" si="28"/>
        <v>1.7210153914745815E-3</v>
      </c>
      <c r="AH57" s="145">
        <f t="shared" si="28"/>
        <v>1.3238308277262435E-3</v>
      </c>
      <c r="AI57" s="145">
        <f t="shared" si="30"/>
        <v>1.5312251494223571E-3</v>
      </c>
      <c r="AJ57" s="145">
        <f t="shared" si="30"/>
        <v>0</v>
      </c>
      <c r="AK57" s="145">
        <f t="shared" si="30"/>
        <v>0</v>
      </c>
      <c r="AL57" s="145">
        <f t="shared" si="30"/>
        <v>0</v>
      </c>
      <c r="AM57" s="145">
        <f t="shared" si="30"/>
        <v>0</v>
      </c>
      <c r="AN57" s="145">
        <f t="shared" si="25"/>
        <v>0</v>
      </c>
      <c r="AO57" s="145">
        <f t="shared" si="25"/>
        <v>0</v>
      </c>
      <c r="AP57" s="133"/>
      <c r="AQ57" s="147" t="str">
        <f t="shared" si="29"/>
        <v/>
      </c>
      <c r="AR57" s="147" t="str">
        <f t="shared" si="29"/>
        <v/>
      </c>
      <c r="AS57" s="147" t="str">
        <f t="shared" si="29"/>
        <v/>
      </c>
      <c r="AT57" s="147" t="str">
        <f t="shared" si="29"/>
        <v/>
      </c>
      <c r="AU57" s="147">
        <f t="shared" si="31"/>
        <v>1.0835645552671336</v>
      </c>
      <c r="AV57" s="147">
        <f t="shared" si="31"/>
        <v>4.979373623759586</v>
      </c>
      <c r="AW57" s="147">
        <f t="shared" si="31"/>
        <v>-0.45169569909855845</v>
      </c>
      <c r="AX57" s="147">
        <f t="shared" si="31"/>
        <v>7.6477834596256455E-2</v>
      </c>
      <c r="AY57" s="147">
        <f t="shared" si="31"/>
        <v>0.76576963504356543</v>
      </c>
      <c r="AZ57" s="147">
        <f t="shared" si="31"/>
        <v>-1</v>
      </c>
      <c r="BA57" s="147" t="str">
        <f t="shared" si="31"/>
        <v/>
      </c>
      <c r="BB57" s="147" t="str">
        <f t="shared" si="31"/>
        <v/>
      </c>
      <c r="BC57" s="147" t="str">
        <f t="shared" si="31"/>
        <v/>
      </c>
      <c r="BD57" s="147" t="str">
        <f t="shared" si="27"/>
        <v/>
      </c>
      <c r="BE57" s="147" t="str">
        <f t="shared" si="27"/>
        <v/>
      </c>
    </row>
    <row r="58" spans="2:57" s="136" customFormat="1">
      <c r="B58" s="154" t="s">
        <v>824</v>
      </c>
      <c r="C58" s="134" t="s">
        <v>825</v>
      </c>
      <c r="D58" s="135"/>
      <c r="E58" s="135"/>
      <c r="F58" s="135"/>
      <c r="G58" s="135"/>
      <c r="H58" s="135">
        <v>26.267886000000001</v>
      </c>
      <c r="I58" s="135">
        <v>73.170611281999996</v>
      </c>
      <c r="J58" s="135">
        <v>296.58017313800002</v>
      </c>
      <c r="K58" s="135">
        <v>313.804801193</v>
      </c>
      <c r="L58" s="135">
        <v>322.79145537699998</v>
      </c>
      <c r="M58" s="135">
        <v>569.51286879099996</v>
      </c>
      <c r="N58" s="135">
        <v>1089.3299075100001</v>
      </c>
      <c r="O58" s="135">
        <v>2565.823825722</v>
      </c>
      <c r="P58" s="135">
        <v>3959.8029089390002</v>
      </c>
      <c r="Q58" s="135">
        <v>4750.5367304620004</v>
      </c>
      <c r="R58" s="111">
        <v>6696.1986366370002</v>
      </c>
      <c r="S58" s="111">
        <v>8713.6459821869994</v>
      </c>
      <c r="T58" s="111">
        <v>11016.147044285</v>
      </c>
      <c r="U58" s="111">
        <v>11203.069784187001</v>
      </c>
      <c r="V58" s="111">
        <v>8160.8992366769999</v>
      </c>
      <c r="W58" s="155">
        <v>4444.5159691939998</v>
      </c>
      <c r="X58" s="111"/>
      <c r="Z58" s="145" t="e">
        <f t="shared" si="28"/>
        <v>#DIV/0!</v>
      </c>
      <c r="AA58" s="145" t="e">
        <f t="shared" si="28"/>
        <v>#DIV/0!</v>
      </c>
      <c r="AB58" s="145" t="e">
        <f t="shared" si="28"/>
        <v>#DIV/0!</v>
      </c>
      <c r="AC58" s="145" t="e">
        <f t="shared" si="28"/>
        <v>#DIV/0!</v>
      </c>
      <c r="AD58" s="145">
        <f t="shared" si="28"/>
        <v>8.1764662388452522E-2</v>
      </c>
      <c r="AE58" s="145">
        <f t="shared" si="28"/>
        <v>0.12204024721449035</v>
      </c>
      <c r="AF58" s="145">
        <f t="shared" si="28"/>
        <v>0.19307072207548495</v>
      </c>
      <c r="AG58" s="145">
        <f t="shared" si="28"/>
        <v>0.19676455090963343</v>
      </c>
      <c r="AH58" s="145">
        <f t="shared" si="28"/>
        <v>0.14462785616935062</v>
      </c>
      <c r="AI58" s="145">
        <f t="shared" si="30"/>
        <v>0.16714984557393631</v>
      </c>
      <c r="AJ58" s="145">
        <f t="shared" si="30"/>
        <v>0.14992644576661093</v>
      </c>
      <c r="AK58" s="145">
        <f t="shared" si="30"/>
        <v>0.17273315986641199</v>
      </c>
      <c r="AL58" s="145">
        <f t="shared" si="30"/>
        <v>0.17350309637812938</v>
      </c>
      <c r="AM58" s="145">
        <f t="shared" si="30"/>
        <v>0.1689227988839597</v>
      </c>
      <c r="AN58" s="145">
        <f t="shared" si="25"/>
        <v>0.16054913438641844</v>
      </c>
      <c r="AO58" s="145">
        <f t="shared" si="25"/>
        <v>0.1893000088459629</v>
      </c>
      <c r="AP58" s="146"/>
      <c r="AQ58" s="145" t="str">
        <f t="shared" si="29"/>
        <v/>
      </c>
      <c r="AR58" s="145" t="str">
        <f t="shared" si="29"/>
        <v/>
      </c>
      <c r="AS58" s="145" t="str">
        <f t="shared" si="29"/>
        <v/>
      </c>
      <c r="AT58" s="145" t="str">
        <f t="shared" si="29"/>
        <v/>
      </c>
      <c r="AU58" s="145">
        <f t="shared" si="31"/>
        <v>1.785553861547899</v>
      </c>
      <c r="AV58" s="145">
        <f t="shared" si="31"/>
        <v>3.0532690371408568</v>
      </c>
      <c r="AW58" s="145">
        <f t="shared" si="31"/>
        <v>5.8077476564778019E-2</v>
      </c>
      <c r="AX58" s="145">
        <f t="shared" si="31"/>
        <v>2.8637720486860641E-2</v>
      </c>
      <c r="AY58" s="145">
        <f t="shared" si="31"/>
        <v>0.76433687851447307</v>
      </c>
      <c r="AZ58" s="145">
        <f t="shared" si="31"/>
        <v>0.91273975919543759</v>
      </c>
      <c r="BA58" s="145">
        <f t="shared" si="31"/>
        <v>1.3554148362519327</v>
      </c>
      <c r="BB58" s="145">
        <f t="shared" si="31"/>
        <v>0.54328713812794494</v>
      </c>
      <c r="BC58" s="145">
        <f t="shared" si="31"/>
        <v>0.19969019663528442</v>
      </c>
      <c r="BD58" s="145">
        <f t="shared" si="27"/>
        <v>0.40956675352045524</v>
      </c>
      <c r="BE58" s="145">
        <f t="shared" si="27"/>
        <v>0.30128248205062391</v>
      </c>
    </row>
    <row r="59" spans="2:57" s="136" customFormat="1">
      <c r="B59" s="154" t="s">
        <v>826</v>
      </c>
      <c r="C59" s="134" t="s">
        <v>827</v>
      </c>
      <c r="D59" s="135"/>
      <c r="E59" s="135"/>
      <c r="F59" s="135"/>
      <c r="G59" s="135"/>
      <c r="H59" s="135">
        <v>0</v>
      </c>
      <c r="I59" s="135">
        <v>0</v>
      </c>
      <c r="J59" s="135">
        <v>0</v>
      </c>
      <c r="K59" s="135">
        <v>0</v>
      </c>
      <c r="L59" s="135">
        <v>0</v>
      </c>
      <c r="M59" s="135">
        <v>0</v>
      </c>
      <c r="N59" s="135">
        <v>112.464049268</v>
      </c>
      <c r="O59" s="135">
        <v>179.685175407</v>
      </c>
      <c r="P59" s="135">
        <v>242.11597011800001</v>
      </c>
      <c r="Q59" s="135">
        <v>313.77564533200001</v>
      </c>
      <c r="R59" s="111">
        <v>374.563598474</v>
      </c>
      <c r="S59" s="111">
        <v>439.49325775699998</v>
      </c>
      <c r="T59" s="111">
        <v>482.38917946399999</v>
      </c>
      <c r="U59" s="111">
        <v>494.62157681000002</v>
      </c>
      <c r="V59" s="111">
        <v>457.56998663000002</v>
      </c>
      <c r="W59" s="155">
        <v>389.70780247200003</v>
      </c>
      <c r="X59" s="111"/>
      <c r="Z59" s="145" t="e">
        <f t="shared" si="28"/>
        <v>#DIV/0!</v>
      </c>
      <c r="AA59" s="145" t="e">
        <f t="shared" si="28"/>
        <v>#DIV/0!</v>
      </c>
      <c r="AB59" s="145" t="e">
        <f t="shared" si="28"/>
        <v>#DIV/0!</v>
      </c>
      <c r="AC59" s="145" t="e">
        <f t="shared" si="28"/>
        <v>#DIV/0!</v>
      </c>
      <c r="AD59" s="145">
        <f t="shared" si="28"/>
        <v>0</v>
      </c>
      <c r="AE59" s="145">
        <f t="shared" si="28"/>
        <v>0</v>
      </c>
      <c r="AF59" s="145">
        <f t="shared" si="28"/>
        <v>0</v>
      </c>
      <c r="AG59" s="145">
        <f t="shared" si="28"/>
        <v>0</v>
      </c>
      <c r="AH59" s="145">
        <f t="shared" si="28"/>
        <v>0</v>
      </c>
      <c r="AI59" s="145">
        <f t="shared" si="30"/>
        <v>0</v>
      </c>
      <c r="AJ59" s="145">
        <f t="shared" si="30"/>
        <v>1.5478630548034845E-2</v>
      </c>
      <c r="AK59" s="145">
        <f t="shared" si="30"/>
        <v>1.2096539060107882E-2</v>
      </c>
      <c r="AL59" s="145">
        <f t="shared" si="30"/>
        <v>1.06085760993906E-2</v>
      </c>
      <c r="AM59" s="145">
        <f t="shared" si="30"/>
        <v>1.1157446671493761E-2</v>
      </c>
      <c r="AN59" s="145">
        <f t="shared" si="25"/>
        <v>8.9805970179320186E-3</v>
      </c>
      <c r="AO59" s="145">
        <f t="shared" si="25"/>
        <v>9.5477917913139899E-3</v>
      </c>
      <c r="AP59" s="146"/>
      <c r="AQ59" s="145" t="str">
        <f t="shared" si="29"/>
        <v/>
      </c>
      <c r="AR59" s="145" t="str">
        <f t="shared" si="29"/>
        <v/>
      </c>
      <c r="AS59" s="145" t="str">
        <f t="shared" si="29"/>
        <v/>
      </c>
      <c r="AT59" s="145" t="str">
        <f t="shared" si="29"/>
        <v/>
      </c>
      <c r="AU59" s="145" t="str">
        <f t="shared" si="31"/>
        <v/>
      </c>
      <c r="AV59" s="145" t="str">
        <f t="shared" si="31"/>
        <v/>
      </c>
      <c r="AW59" s="145" t="str">
        <f t="shared" si="31"/>
        <v/>
      </c>
      <c r="AX59" s="145" t="str">
        <f t="shared" si="31"/>
        <v/>
      </c>
      <c r="AY59" s="145" t="str">
        <f t="shared" si="31"/>
        <v/>
      </c>
      <c r="AZ59" s="145" t="str">
        <f t="shared" si="31"/>
        <v/>
      </c>
      <c r="BA59" s="145">
        <f t="shared" si="31"/>
        <v>0.59771212735558854</v>
      </c>
      <c r="BB59" s="145">
        <f t="shared" si="31"/>
        <v>0.34744543933348826</v>
      </c>
      <c r="BC59" s="145">
        <f t="shared" si="31"/>
        <v>0.29597252580684885</v>
      </c>
      <c r="BD59" s="145">
        <f t="shared" si="27"/>
        <v>0.19373062902215188</v>
      </c>
      <c r="BE59" s="145">
        <f t="shared" si="27"/>
        <v>0.17334748904465958</v>
      </c>
    </row>
    <row r="60" spans="2:57">
      <c r="B60" s="140" t="s">
        <v>828</v>
      </c>
      <c r="C60" s="127" t="s">
        <v>829</v>
      </c>
      <c r="D60" s="128"/>
      <c r="E60" s="128"/>
      <c r="F60" s="128"/>
      <c r="G60" s="128"/>
      <c r="H60" s="128">
        <v>0</v>
      </c>
      <c r="I60" s="128">
        <v>0</v>
      </c>
      <c r="J60" s="128">
        <v>0</v>
      </c>
      <c r="K60" s="128">
        <v>0</v>
      </c>
      <c r="L60" s="128">
        <v>0</v>
      </c>
      <c r="M60" s="128">
        <v>0</v>
      </c>
      <c r="N60" s="128">
        <v>0</v>
      </c>
      <c r="O60" s="128">
        <v>0</v>
      </c>
      <c r="P60" s="128">
        <v>0</v>
      </c>
      <c r="Q60" s="128">
        <v>0</v>
      </c>
      <c r="R60" s="110">
        <v>0</v>
      </c>
      <c r="S60" s="110">
        <v>0</v>
      </c>
      <c r="T60" s="110">
        <v>0</v>
      </c>
      <c r="U60" s="110">
        <v>0</v>
      </c>
      <c r="V60" s="110">
        <v>0</v>
      </c>
      <c r="W60" s="158">
        <v>0</v>
      </c>
      <c r="X60" s="110"/>
      <c r="Z60" s="145" t="e">
        <f t="shared" si="28"/>
        <v>#DIV/0!</v>
      </c>
      <c r="AA60" s="145" t="e">
        <f t="shared" si="28"/>
        <v>#DIV/0!</v>
      </c>
      <c r="AB60" s="145" t="e">
        <f t="shared" si="28"/>
        <v>#DIV/0!</v>
      </c>
      <c r="AC60" s="145" t="e">
        <f t="shared" si="28"/>
        <v>#DIV/0!</v>
      </c>
      <c r="AD60" s="145">
        <f t="shared" si="28"/>
        <v>0</v>
      </c>
      <c r="AE60" s="145">
        <f t="shared" si="28"/>
        <v>0</v>
      </c>
      <c r="AF60" s="145">
        <f t="shared" si="28"/>
        <v>0</v>
      </c>
      <c r="AG60" s="145">
        <f t="shared" si="28"/>
        <v>0</v>
      </c>
      <c r="AH60" s="145">
        <f t="shared" si="28"/>
        <v>0</v>
      </c>
      <c r="AI60" s="145">
        <f t="shared" si="30"/>
        <v>0</v>
      </c>
      <c r="AJ60" s="145">
        <f t="shared" si="30"/>
        <v>0</v>
      </c>
      <c r="AK60" s="145">
        <f t="shared" si="30"/>
        <v>0</v>
      </c>
      <c r="AL60" s="145">
        <f t="shared" si="30"/>
        <v>0</v>
      </c>
      <c r="AM60" s="145">
        <f t="shared" si="30"/>
        <v>0</v>
      </c>
      <c r="AN60" s="145">
        <f t="shared" si="25"/>
        <v>0</v>
      </c>
      <c r="AO60" s="145">
        <f t="shared" si="25"/>
        <v>0</v>
      </c>
      <c r="AP60" s="133"/>
      <c r="AQ60" s="147" t="str">
        <f t="shared" si="29"/>
        <v/>
      </c>
      <c r="AR60" s="147" t="str">
        <f t="shared" si="29"/>
        <v/>
      </c>
      <c r="AS60" s="147" t="str">
        <f t="shared" si="29"/>
        <v/>
      </c>
      <c r="AT60" s="147" t="str">
        <f t="shared" si="29"/>
        <v/>
      </c>
      <c r="AU60" s="147" t="str">
        <f t="shared" si="31"/>
        <v/>
      </c>
      <c r="AV60" s="147" t="str">
        <f t="shared" si="31"/>
        <v/>
      </c>
      <c r="AW60" s="147" t="str">
        <f t="shared" si="31"/>
        <v/>
      </c>
      <c r="AX60" s="147" t="str">
        <f t="shared" si="31"/>
        <v/>
      </c>
      <c r="AY60" s="147" t="str">
        <f t="shared" si="31"/>
        <v/>
      </c>
      <c r="AZ60" s="147" t="str">
        <f t="shared" si="31"/>
        <v/>
      </c>
      <c r="BA60" s="147" t="str">
        <f t="shared" si="31"/>
        <v/>
      </c>
      <c r="BB60" s="147" t="str">
        <f t="shared" si="31"/>
        <v/>
      </c>
      <c r="BC60" s="147" t="str">
        <f t="shared" si="31"/>
        <v/>
      </c>
      <c r="BD60" s="147" t="str">
        <f t="shared" si="27"/>
        <v/>
      </c>
      <c r="BE60" s="147" t="str">
        <f t="shared" si="27"/>
        <v/>
      </c>
    </row>
    <row r="61" spans="2:57">
      <c r="B61" s="140" t="s">
        <v>830</v>
      </c>
      <c r="C61" s="127" t="s">
        <v>831</v>
      </c>
      <c r="D61" s="128"/>
      <c r="E61" s="128"/>
      <c r="F61" s="128"/>
      <c r="G61" s="128"/>
      <c r="H61" s="128">
        <v>0</v>
      </c>
      <c r="I61" s="128">
        <v>0</v>
      </c>
      <c r="J61" s="128">
        <v>0</v>
      </c>
      <c r="K61" s="128">
        <v>0</v>
      </c>
      <c r="L61" s="128">
        <v>0</v>
      </c>
      <c r="M61" s="128">
        <v>0</v>
      </c>
      <c r="N61" s="128">
        <v>0</v>
      </c>
      <c r="O61" s="128">
        <v>0</v>
      </c>
      <c r="P61" s="128">
        <v>0</v>
      </c>
      <c r="Q61" s="128">
        <v>0</v>
      </c>
      <c r="R61" s="110">
        <v>0</v>
      </c>
      <c r="S61" s="110">
        <v>0</v>
      </c>
      <c r="T61" s="110">
        <v>0</v>
      </c>
      <c r="U61" s="110">
        <v>0</v>
      </c>
      <c r="V61" s="110">
        <v>0</v>
      </c>
      <c r="W61" s="158">
        <v>0</v>
      </c>
      <c r="X61" s="110"/>
      <c r="Z61" s="145" t="e">
        <f t="shared" si="28"/>
        <v>#DIV/0!</v>
      </c>
      <c r="AA61" s="145" t="e">
        <f t="shared" si="28"/>
        <v>#DIV/0!</v>
      </c>
      <c r="AB61" s="145" t="e">
        <f t="shared" si="28"/>
        <v>#DIV/0!</v>
      </c>
      <c r="AC61" s="145" t="e">
        <f t="shared" si="28"/>
        <v>#DIV/0!</v>
      </c>
      <c r="AD61" s="145">
        <f t="shared" si="28"/>
        <v>0</v>
      </c>
      <c r="AE61" s="145">
        <f t="shared" si="28"/>
        <v>0</v>
      </c>
      <c r="AF61" s="145">
        <f t="shared" si="28"/>
        <v>0</v>
      </c>
      <c r="AG61" s="145">
        <f t="shared" si="28"/>
        <v>0</v>
      </c>
      <c r="AH61" s="145">
        <f t="shared" si="28"/>
        <v>0</v>
      </c>
      <c r="AI61" s="145">
        <f t="shared" si="30"/>
        <v>0</v>
      </c>
      <c r="AJ61" s="145">
        <f t="shared" si="30"/>
        <v>0</v>
      </c>
      <c r="AK61" s="145">
        <f t="shared" si="30"/>
        <v>0</v>
      </c>
      <c r="AL61" s="145">
        <f t="shared" si="30"/>
        <v>0</v>
      </c>
      <c r="AM61" s="145">
        <f t="shared" si="30"/>
        <v>0</v>
      </c>
      <c r="AN61" s="145">
        <f t="shared" si="25"/>
        <v>0</v>
      </c>
      <c r="AO61" s="145">
        <f t="shared" si="25"/>
        <v>0</v>
      </c>
      <c r="AP61" s="133"/>
      <c r="AQ61" s="147" t="str">
        <f t="shared" si="29"/>
        <v/>
      </c>
      <c r="AR61" s="147" t="str">
        <f t="shared" si="29"/>
        <v/>
      </c>
      <c r="AS61" s="147" t="str">
        <f t="shared" si="29"/>
        <v/>
      </c>
      <c r="AT61" s="147" t="str">
        <f t="shared" si="29"/>
        <v/>
      </c>
      <c r="AU61" s="147" t="str">
        <f t="shared" si="31"/>
        <v/>
      </c>
      <c r="AV61" s="147" t="str">
        <f t="shared" si="31"/>
        <v/>
      </c>
      <c r="AW61" s="147" t="str">
        <f t="shared" si="31"/>
        <v/>
      </c>
      <c r="AX61" s="147" t="str">
        <f t="shared" si="31"/>
        <v/>
      </c>
      <c r="AY61" s="147" t="str">
        <f t="shared" si="31"/>
        <v/>
      </c>
      <c r="AZ61" s="147" t="str">
        <f t="shared" si="31"/>
        <v/>
      </c>
      <c r="BA61" s="147" t="str">
        <f t="shared" si="31"/>
        <v/>
      </c>
      <c r="BB61" s="147" t="str">
        <f t="shared" si="31"/>
        <v/>
      </c>
      <c r="BC61" s="147" t="str">
        <f t="shared" si="31"/>
        <v/>
      </c>
      <c r="BD61" s="147" t="str">
        <f t="shared" si="27"/>
        <v/>
      </c>
      <c r="BE61" s="147" t="str">
        <f t="shared" si="27"/>
        <v/>
      </c>
    </row>
    <row r="62" spans="2:57">
      <c r="B62" s="140" t="s">
        <v>832</v>
      </c>
      <c r="C62" s="127" t="s">
        <v>833</v>
      </c>
      <c r="D62" s="128"/>
      <c r="E62" s="128"/>
      <c r="F62" s="128"/>
      <c r="G62" s="128"/>
      <c r="H62" s="128">
        <v>0</v>
      </c>
      <c r="I62" s="128">
        <v>0</v>
      </c>
      <c r="J62" s="128">
        <v>0</v>
      </c>
      <c r="K62" s="128">
        <v>0</v>
      </c>
      <c r="L62" s="128">
        <v>0</v>
      </c>
      <c r="M62" s="128">
        <v>0</v>
      </c>
      <c r="N62" s="128">
        <v>0</v>
      </c>
      <c r="O62" s="128">
        <v>0</v>
      </c>
      <c r="P62" s="128">
        <v>0</v>
      </c>
      <c r="Q62" s="128">
        <v>0</v>
      </c>
      <c r="R62" s="110">
        <v>0</v>
      </c>
      <c r="S62" s="110">
        <v>0</v>
      </c>
      <c r="T62" s="110">
        <v>0</v>
      </c>
      <c r="U62" s="110">
        <v>0</v>
      </c>
      <c r="V62" s="110">
        <v>0</v>
      </c>
      <c r="W62" s="158">
        <v>0</v>
      </c>
      <c r="X62" s="110"/>
      <c r="Z62" s="145" t="e">
        <f t="shared" si="28"/>
        <v>#DIV/0!</v>
      </c>
      <c r="AA62" s="145" t="e">
        <f t="shared" si="28"/>
        <v>#DIV/0!</v>
      </c>
      <c r="AB62" s="145" t="e">
        <f t="shared" si="28"/>
        <v>#DIV/0!</v>
      </c>
      <c r="AC62" s="145" t="e">
        <f t="shared" si="28"/>
        <v>#DIV/0!</v>
      </c>
      <c r="AD62" s="145">
        <f t="shared" si="28"/>
        <v>0</v>
      </c>
      <c r="AE62" s="145">
        <f t="shared" si="28"/>
        <v>0</v>
      </c>
      <c r="AF62" s="145">
        <f t="shared" si="28"/>
        <v>0</v>
      </c>
      <c r="AG62" s="145">
        <f t="shared" si="28"/>
        <v>0</v>
      </c>
      <c r="AH62" s="145">
        <f t="shared" si="28"/>
        <v>0</v>
      </c>
      <c r="AI62" s="145">
        <f t="shared" si="30"/>
        <v>0</v>
      </c>
      <c r="AJ62" s="145">
        <f t="shared" si="30"/>
        <v>0</v>
      </c>
      <c r="AK62" s="145">
        <f t="shared" si="30"/>
        <v>0</v>
      </c>
      <c r="AL62" s="145">
        <f t="shared" si="30"/>
        <v>0</v>
      </c>
      <c r="AM62" s="145">
        <f t="shared" si="30"/>
        <v>0</v>
      </c>
      <c r="AN62" s="145">
        <f t="shared" si="25"/>
        <v>0</v>
      </c>
      <c r="AO62" s="145">
        <f t="shared" si="25"/>
        <v>0</v>
      </c>
      <c r="AP62" s="133"/>
      <c r="AQ62" s="147" t="str">
        <f t="shared" si="29"/>
        <v/>
      </c>
      <c r="AR62" s="147" t="str">
        <f t="shared" si="29"/>
        <v/>
      </c>
      <c r="AS62" s="147" t="str">
        <f t="shared" si="29"/>
        <v/>
      </c>
      <c r="AT62" s="147" t="str">
        <f t="shared" si="29"/>
        <v/>
      </c>
      <c r="AU62" s="147" t="str">
        <f t="shared" si="31"/>
        <v/>
      </c>
      <c r="AV62" s="147" t="str">
        <f t="shared" si="31"/>
        <v/>
      </c>
      <c r="AW62" s="147" t="str">
        <f t="shared" si="31"/>
        <v/>
      </c>
      <c r="AX62" s="147" t="str">
        <f t="shared" si="31"/>
        <v/>
      </c>
      <c r="AY62" s="147" t="str">
        <f t="shared" si="31"/>
        <v/>
      </c>
      <c r="AZ62" s="147" t="str">
        <f t="shared" si="31"/>
        <v/>
      </c>
      <c r="BA62" s="147" t="str">
        <f t="shared" si="31"/>
        <v/>
      </c>
      <c r="BB62" s="147" t="str">
        <f t="shared" si="31"/>
        <v/>
      </c>
      <c r="BC62" s="147" t="str">
        <f t="shared" si="31"/>
        <v/>
      </c>
      <c r="BD62" s="147" t="str">
        <f t="shared" si="27"/>
        <v/>
      </c>
      <c r="BE62" s="147" t="str">
        <f t="shared" si="27"/>
        <v/>
      </c>
    </row>
    <row r="63" spans="2:57">
      <c r="B63" s="140" t="s">
        <v>834</v>
      </c>
      <c r="C63" s="127" t="s">
        <v>835</v>
      </c>
      <c r="D63" s="128"/>
      <c r="E63" s="128"/>
      <c r="F63" s="128"/>
      <c r="G63" s="128"/>
      <c r="H63" s="128">
        <v>0</v>
      </c>
      <c r="I63" s="128">
        <v>0</v>
      </c>
      <c r="J63" s="128">
        <v>0</v>
      </c>
      <c r="K63" s="128">
        <v>0</v>
      </c>
      <c r="L63" s="128">
        <v>0</v>
      </c>
      <c r="M63" s="128">
        <v>0</v>
      </c>
      <c r="N63" s="128">
        <v>0</v>
      </c>
      <c r="O63" s="128">
        <v>0</v>
      </c>
      <c r="P63" s="128">
        <v>0</v>
      </c>
      <c r="Q63" s="128">
        <v>0</v>
      </c>
      <c r="R63" s="110">
        <v>0</v>
      </c>
      <c r="S63" s="110">
        <v>0</v>
      </c>
      <c r="T63" s="110">
        <v>0</v>
      </c>
      <c r="U63" s="110">
        <v>0</v>
      </c>
      <c r="V63" s="110">
        <v>0</v>
      </c>
      <c r="W63" s="158">
        <v>0</v>
      </c>
      <c r="X63" s="110"/>
      <c r="Z63" s="145" t="e">
        <f t="shared" si="28"/>
        <v>#DIV/0!</v>
      </c>
      <c r="AA63" s="145" t="e">
        <f t="shared" si="28"/>
        <v>#DIV/0!</v>
      </c>
      <c r="AB63" s="145" t="e">
        <f t="shared" si="28"/>
        <v>#DIV/0!</v>
      </c>
      <c r="AC63" s="145" t="e">
        <f t="shared" si="28"/>
        <v>#DIV/0!</v>
      </c>
      <c r="AD63" s="145">
        <f t="shared" si="28"/>
        <v>0</v>
      </c>
      <c r="AE63" s="145">
        <f t="shared" si="28"/>
        <v>0</v>
      </c>
      <c r="AF63" s="145">
        <f t="shared" si="28"/>
        <v>0</v>
      </c>
      <c r="AG63" s="145">
        <f t="shared" si="28"/>
        <v>0</v>
      </c>
      <c r="AH63" s="145">
        <f t="shared" si="28"/>
        <v>0</v>
      </c>
      <c r="AI63" s="145">
        <f t="shared" si="30"/>
        <v>0</v>
      </c>
      <c r="AJ63" s="145">
        <f t="shared" si="30"/>
        <v>0</v>
      </c>
      <c r="AK63" s="145">
        <f t="shared" si="30"/>
        <v>0</v>
      </c>
      <c r="AL63" s="145">
        <f t="shared" si="30"/>
        <v>0</v>
      </c>
      <c r="AM63" s="145">
        <f t="shared" si="30"/>
        <v>0</v>
      </c>
      <c r="AN63" s="145">
        <f t="shared" si="25"/>
        <v>0</v>
      </c>
      <c r="AO63" s="145">
        <f t="shared" si="25"/>
        <v>0</v>
      </c>
      <c r="AP63" s="133"/>
      <c r="AQ63" s="147" t="str">
        <f t="shared" si="29"/>
        <v/>
      </c>
      <c r="AR63" s="147" t="str">
        <f t="shared" si="29"/>
        <v/>
      </c>
      <c r="AS63" s="147" t="str">
        <f t="shared" si="29"/>
        <v/>
      </c>
      <c r="AT63" s="147" t="str">
        <f t="shared" si="29"/>
        <v/>
      </c>
      <c r="AU63" s="147" t="str">
        <f t="shared" si="31"/>
        <v/>
      </c>
      <c r="AV63" s="147" t="str">
        <f t="shared" si="31"/>
        <v/>
      </c>
      <c r="AW63" s="147" t="str">
        <f t="shared" si="31"/>
        <v/>
      </c>
      <c r="AX63" s="147" t="str">
        <f t="shared" si="31"/>
        <v/>
      </c>
      <c r="AY63" s="147" t="str">
        <f t="shared" si="31"/>
        <v/>
      </c>
      <c r="AZ63" s="147" t="str">
        <f t="shared" si="31"/>
        <v/>
      </c>
      <c r="BA63" s="147" t="str">
        <f t="shared" si="31"/>
        <v/>
      </c>
      <c r="BB63" s="147" t="str">
        <f t="shared" si="31"/>
        <v/>
      </c>
      <c r="BC63" s="147" t="str">
        <f t="shared" si="31"/>
        <v/>
      </c>
      <c r="BD63" s="147" t="str">
        <f t="shared" si="27"/>
        <v/>
      </c>
      <c r="BE63" s="147" t="str">
        <f t="shared" si="27"/>
        <v/>
      </c>
    </row>
    <row r="64" spans="2:57">
      <c r="B64" s="140" t="s">
        <v>836</v>
      </c>
      <c r="C64" s="127" t="s">
        <v>837</v>
      </c>
      <c r="D64" s="128"/>
      <c r="E64" s="128"/>
      <c r="F64" s="128"/>
      <c r="G64" s="128"/>
      <c r="H64" s="128">
        <v>0</v>
      </c>
      <c r="I64" s="128">
        <v>0</v>
      </c>
      <c r="J64" s="128">
        <v>0</v>
      </c>
      <c r="K64" s="128">
        <v>0</v>
      </c>
      <c r="L64" s="128">
        <v>0</v>
      </c>
      <c r="M64" s="128">
        <v>0</v>
      </c>
      <c r="N64" s="128">
        <v>0</v>
      </c>
      <c r="O64" s="128">
        <v>0</v>
      </c>
      <c r="P64" s="128">
        <v>0</v>
      </c>
      <c r="Q64" s="128">
        <v>0</v>
      </c>
      <c r="R64" s="110">
        <v>0</v>
      </c>
      <c r="S64" s="110">
        <v>0</v>
      </c>
      <c r="T64" s="110">
        <v>0</v>
      </c>
      <c r="U64" s="110">
        <v>0</v>
      </c>
      <c r="V64" s="110">
        <v>9.2449733290000005</v>
      </c>
      <c r="W64" s="158">
        <v>0</v>
      </c>
      <c r="X64" s="110"/>
      <c r="Z64" s="145" t="e">
        <f t="shared" si="28"/>
        <v>#DIV/0!</v>
      </c>
      <c r="AA64" s="145" t="e">
        <f t="shared" si="28"/>
        <v>#DIV/0!</v>
      </c>
      <c r="AB64" s="145" t="e">
        <f t="shared" si="28"/>
        <v>#DIV/0!</v>
      </c>
      <c r="AC64" s="145" t="e">
        <f t="shared" si="28"/>
        <v>#DIV/0!</v>
      </c>
      <c r="AD64" s="145">
        <f t="shared" si="28"/>
        <v>0</v>
      </c>
      <c r="AE64" s="145">
        <f t="shared" si="28"/>
        <v>0</v>
      </c>
      <c r="AF64" s="145">
        <f t="shared" si="28"/>
        <v>0</v>
      </c>
      <c r="AG64" s="145">
        <f t="shared" si="28"/>
        <v>0</v>
      </c>
      <c r="AH64" s="145">
        <f t="shared" si="28"/>
        <v>0</v>
      </c>
      <c r="AI64" s="145">
        <f t="shared" si="30"/>
        <v>0</v>
      </c>
      <c r="AJ64" s="145">
        <f t="shared" si="30"/>
        <v>0</v>
      </c>
      <c r="AK64" s="145">
        <f t="shared" si="30"/>
        <v>0</v>
      </c>
      <c r="AL64" s="145">
        <f t="shared" si="30"/>
        <v>0</v>
      </c>
      <c r="AM64" s="145">
        <f t="shared" si="30"/>
        <v>0</v>
      </c>
      <c r="AN64" s="145">
        <f t="shared" si="25"/>
        <v>0</v>
      </c>
      <c r="AO64" s="145">
        <f t="shared" si="25"/>
        <v>0</v>
      </c>
      <c r="AP64" s="133"/>
      <c r="AQ64" s="147" t="str">
        <f t="shared" si="29"/>
        <v/>
      </c>
      <c r="AR64" s="147" t="str">
        <f t="shared" si="29"/>
        <v/>
      </c>
      <c r="AS64" s="147" t="str">
        <f t="shared" si="29"/>
        <v/>
      </c>
      <c r="AT64" s="147" t="str">
        <f t="shared" si="29"/>
        <v/>
      </c>
      <c r="AU64" s="147" t="str">
        <f t="shared" si="31"/>
        <v/>
      </c>
      <c r="AV64" s="147" t="str">
        <f t="shared" si="31"/>
        <v/>
      </c>
      <c r="AW64" s="147" t="str">
        <f t="shared" si="31"/>
        <v/>
      </c>
      <c r="AX64" s="147" t="str">
        <f t="shared" si="31"/>
        <v/>
      </c>
      <c r="AY64" s="147" t="str">
        <f t="shared" si="31"/>
        <v/>
      </c>
      <c r="AZ64" s="147" t="str">
        <f t="shared" si="31"/>
        <v/>
      </c>
      <c r="BA64" s="147" t="str">
        <f t="shared" si="31"/>
        <v/>
      </c>
      <c r="BB64" s="147" t="str">
        <f t="shared" si="31"/>
        <v/>
      </c>
      <c r="BC64" s="147" t="str">
        <f t="shared" si="31"/>
        <v/>
      </c>
      <c r="BD64" s="147" t="str">
        <f t="shared" si="27"/>
        <v/>
      </c>
      <c r="BE64" s="147" t="str">
        <f t="shared" si="27"/>
        <v/>
      </c>
    </row>
    <row r="65" spans="2:57">
      <c r="B65" s="140" t="s">
        <v>838</v>
      </c>
      <c r="C65" s="127" t="s">
        <v>839</v>
      </c>
      <c r="D65" s="128"/>
      <c r="E65" s="128"/>
      <c r="F65" s="128"/>
      <c r="G65" s="128"/>
      <c r="H65" s="128">
        <v>0</v>
      </c>
      <c r="I65" s="128">
        <v>0</v>
      </c>
      <c r="J65" s="128">
        <v>0</v>
      </c>
      <c r="K65" s="128">
        <v>0</v>
      </c>
      <c r="L65" s="128">
        <v>0</v>
      </c>
      <c r="M65" s="128">
        <v>0</v>
      </c>
      <c r="N65" s="128">
        <v>112.464049268</v>
      </c>
      <c r="O65" s="128">
        <v>179.685175407</v>
      </c>
      <c r="P65" s="128">
        <v>242.11597011800001</v>
      </c>
      <c r="Q65" s="128">
        <v>313.77564533200001</v>
      </c>
      <c r="R65" s="110">
        <v>374.563598474</v>
      </c>
      <c r="S65" s="110">
        <v>439.49325775699998</v>
      </c>
      <c r="T65" s="110">
        <v>482.38917946399999</v>
      </c>
      <c r="U65" s="110">
        <v>494.62157681000002</v>
      </c>
      <c r="V65" s="110">
        <v>448.32501330100001</v>
      </c>
      <c r="W65" s="158">
        <v>389.70780247200003</v>
      </c>
      <c r="X65" s="110"/>
      <c r="Z65" s="145" t="e">
        <f t="shared" si="28"/>
        <v>#DIV/0!</v>
      </c>
      <c r="AA65" s="145" t="e">
        <f t="shared" si="28"/>
        <v>#DIV/0!</v>
      </c>
      <c r="AB65" s="145" t="e">
        <f t="shared" si="28"/>
        <v>#DIV/0!</v>
      </c>
      <c r="AC65" s="145" t="e">
        <f t="shared" si="28"/>
        <v>#DIV/0!</v>
      </c>
      <c r="AD65" s="145">
        <f t="shared" si="28"/>
        <v>0</v>
      </c>
      <c r="AE65" s="145">
        <f t="shared" si="28"/>
        <v>0</v>
      </c>
      <c r="AF65" s="145">
        <f t="shared" si="28"/>
        <v>0</v>
      </c>
      <c r="AG65" s="145">
        <f t="shared" si="28"/>
        <v>0</v>
      </c>
      <c r="AH65" s="145">
        <f t="shared" si="28"/>
        <v>0</v>
      </c>
      <c r="AI65" s="145">
        <f t="shared" si="30"/>
        <v>0</v>
      </c>
      <c r="AJ65" s="145">
        <f t="shared" si="30"/>
        <v>1.5478630548034845E-2</v>
      </c>
      <c r="AK65" s="145">
        <f t="shared" si="30"/>
        <v>1.2096539060107882E-2</v>
      </c>
      <c r="AL65" s="145">
        <f t="shared" si="30"/>
        <v>1.06085760993906E-2</v>
      </c>
      <c r="AM65" s="145">
        <f t="shared" si="30"/>
        <v>1.1157446671493761E-2</v>
      </c>
      <c r="AN65" s="145">
        <f t="shared" si="25"/>
        <v>8.9805970179320186E-3</v>
      </c>
      <c r="AO65" s="145">
        <f t="shared" si="25"/>
        <v>9.5477917913139899E-3</v>
      </c>
      <c r="AP65" s="133"/>
      <c r="AQ65" s="147" t="str">
        <f t="shared" si="29"/>
        <v/>
      </c>
      <c r="AR65" s="147" t="str">
        <f t="shared" si="29"/>
        <v/>
      </c>
      <c r="AS65" s="147" t="str">
        <f t="shared" si="29"/>
        <v/>
      </c>
      <c r="AT65" s="147" t="str">
        <f t="shared" si="29"/>
        <v/>
      </c>
      <c r="AU65" s="147" t="str">
        <f t="shared" si="31"/>
        <v/>
      </c>
      <c r="AV65" s="147" t="str">
        <f t="shared" si="31"/>
        <v/>
      </c>
      <c r="AW65" s="147" t="str">
        <f t="shared" si="31"/>
        <v/>
      </c>
      <c r="AX65" s="147" t="str">
        <f t="shared" si="31"/>
        <v/>
      </c>
      <c r="AY65" s="147" t="str">
        <f t="shared" si="31"/>
        <v/>
      </c>
      <c r="AZ65" s="147" t="str">
        <f t="shared" si="31"/>
        <v/>
      </c>
      <c r="BA65" s="147">
        <f t="shared" si="31"/>
        <v>0.59771212735558854</v>
      </c>
      <c r="BB65" s="147">
        <f t="shared" si="31"/>
        <v>0.34744543933348826</v>
      </c>
      <c r="BC65" s="147">
        <f t="shared" si="31"/>
        <v>0.29597252580684885</v>
      </c>
      <c r="BD65" s="147">
        <f t="shared" si="27"/>
        <v>0.19373062902215188</v>
      </c>
      <c r="BE65" s="147">
        <f t="shared" si="27"/>
        <v>0.17334748904465958</v>
      </c>
    </row>
    <row r="66" spans="2:57">
      <c r="B66" s="140" t="s">
        <v>840</v>
      </c>
      <c r="C66" s="127" t="s">
        <v>841</v>
      </c>
      <c r="D66" s="128"/>
      <c r="E66" s="128"/>
      <c r="F66" s="128"/>
      <c r="G66" s="128"/>
      <c r="H66" s="128">
        <v>0</v>
      </c>
      <c r="I66" s="128">
        <v>0</v>
      </c>
      <c r="J66" s="128">
        <v>0</v>
      </c>
      <c r="K66" s="128">
        <v>0</v>
      </c>
      <c r="L66" s="128">
        <v>0</v>
      </c>
      <c r="M66" s="128">
        <v>0</v>
      </c>
      <c r="N66" s="128">
        <v>0</v>
      </c>
      <c r="O66" s="128">
        <v>0</v>
      </c>
      <c r="P66" s="128">
        <v>0</v>
      </c>
      <c r="Q66" s="128">
        <v>0</v>
      </c>
      <c r="R66" s="110">
        <v>0</v>
      </c>
      <c r="S66" s="110">
        <v>0</v>
      </c>
      <c r="T66" s="110">
        <v>0</v>
      </c>
      <c r="U66" s="110">
        <v>0</v>
      </c>
      <c r="V66" s="110">
        <v>0</v>
      </c>
      <c r="W66" s="158">
        <v>0</v>
      </c>
      <c r="X66" s="110"/>
      <c r="Z66" s="145" t="e">
        <f t="shared" si="28"/>
        <v>#DIV/0!</v>
      </c>
      <c r="AA66" s="145" t="e">
        <f t="shared" si="28"/>
        <v>#DIV/0!</v>
      </c>
      <c r="AB66" s="145" t="e">
        <f t="shared" si="28"/>
        <v>#DIV/0!</v>
      </c>
      <c r="AC66" s="145" t="e">
        <f t="shared" si="28"/>
        <v>#DIV/0!</v>
      </c>
      <c r="AD66" s="145">
        <f t="shared" si="28"/>
        <v>0</v>
      </c>
      <c r="AE66" s="145">
        <f t="shared" si="28"/>
        <v>0</v>
      </c>
      <c r="AF66" s="145">
        <f t="shared" si="28"/>
        <v>0</v>
      </c>
      <c r="AG66" s="145">
        <f t="shared" si="28"/>
        <v>0</v>
      </c>
      <c r="AH66" s="145">
        <f t="shared" si="28"/>
        <v>0</v>
      </c>
      <c r="AI66" s="145">
        <f t="shared" si="30"/>
        <v>0</v>
      </c>
      <c r="AJ66" s="145">
        <f t="shared" si="30"/>
        <v>0</v>
      </c>
      <c r="AK66" s="145">
        <f t="shared" si="30"/>
        <v>0</v>
      </c>
      <c r="AL66" s="145">
        <f t="shared" si="30"/>
        <v>0</v>
      </c>
      <c r="AM66" s="145">
        <f t="shared" si="30"/>
        <v>0</v>
      </c>
      <c r="AN66" s="145">
        <f t="shared" si="25"/>
        <v>0</v>
      </c>
      <c r="AO66" s="145">
        <f t="shared" si="25"/>
        <v>0</v>
      </c>
      <c r="AP66" s="133"/>
      <c r="AQ66" s="147" t="str">
        <f t="shared" si="29"/>
        <v/>
      </c>
      <c r="AR66" s="147" t="str">
        <f t="shared" si="29"/>
        <v/>
      </c>
      <c r="AS66" s="147" t="str">
        <f t="shared" si="29"/>
        <v/>
      </c>
      <c r="AT66" s="147" t="str">
        <f t="shared" si="29"/>
        <v/>
      </c>
      <c r="AU66" s="147" t="str">
        <f t="shared" si="31"/>
        <v/>
      </c>
      <c r="AV66" s="147" t="str">
        <f t="shared" si="31"/>
        <v/>
      </c>
      <c r="AW66" s="147" t="str">
        <f t="shared" si="31"/>
        <v/>
      </c>
      <c r="AX66" s="147" t="str">
        <f t="shared" si="31"/>
        <v/>
      </c>
      <c r="AY66" s="147" t="str">
        <f t="shared" si="31"/>
        <v/>
      </c>
      <c r="AZ66" s="147" t="str">
        <f t="shared" si="31"/>
        <v/>
      </c>
      <c r="BA66" s="147" t="str">
        <f t="shared" si="31"/>
        <v/>
      </c>
      <c r="BB66" s="147" t="str">
        <f t="shared" si="31"/>
        <v/>
      </c>
      <c r="BC66" s="147" t="str">
        <f t="shared" si="31"/>
        <v/>
      </c>
      <c r="BD66" s="147" t="str">
        <f t="shared" si="27"/>
        <v/>
      </c>
      <c r="BE66" s="147" t="str">
        <f t="shared" si="27"/>
        <v/>
      </c>
    </row>
    <row r="67" spans="2:57" s="136" customFormat="1">
      <c r="B67" s="154" t="s">
        <v>842</v>
      </c>
      <c r="C67" s="134" t="s">
        <v>843</v>
      </c>
      <c r="D67" s="135"/>
      <c r="E67" s="135"/>
      <c r="F67" s="135"/>
      <c r="G67" s="135"/>
      <c r="H67" s="135">
        <v>13.642332</v>
      </c>
      <c r="I67" s="135">
        <v>25.614284336000001</v>
      </c>
      <c r="J67" s="135">
        <v>113.686312583</v>
      </c>
      <c r="K67" s="135">
        <v>110.98304914400001</v>
      </c>
      <c r="L67" s="135">
        <v>275.039772239</v>
      </c>
      <c r="M67" s="135">
        <v>434.41926159799999</v>
      </c>
      <c r="N67" s="135">
        <v>849.14698968599998</v>
      </c>
      <c r="O67" s="135">
        <v>2096.126249031</v>
      </c>
      <c r="P67" s="135">
        <v>3463.6579949349998</v>
      </c>
      <c r="Q67" s="135">
        <v>3333.1476596020002</v>
      </c>
      <c r="R67" s="111">
        <v>5403.7769889210003</v>
      </c>
      <c r="S67" s="111">
        <v>7294.9616661359996</v>
      </c>
      <c r="T67" s="111">
        <v>9647.1688732319999</v>
      </c>
      <c r="U67" s="111">
        <v>9727.5029114400004</v>
      </c>
      <c r="V67" s="111">
        <v>6500.1356089139999</v>
      </c>
      <c r="W67" s="155">
        <v>3586.6286640449998</v>
      </c>
      <c r="X67" s="111"/>
      <c r="Z67" s="145" t="e">
        <f t="shared" si="28"/>
        <v>#DIV/0!</v>
      </c>
      <c r="AA67" s="145" t="e">
        <f t="shared" si="28"/>
        <v>#DIV/0!</v>
      </c>
      <c r="AB67" s="145" t="e">
        <f t="shared" si="28"/>
        <v>#DIV/0!</v>
      </c>
      <c r="AC67" s="145" t="e">
        <f t="shared" si="28"/>
        <v>#DIV/0!</v>
      </c>
      <c r="AD67" s="145">
        <f t="shared" si="28"/>
        <v>4.24648055108501E-2</v>
      </c>
      <c r="AE67" s="145">
        <f t="shared" si="28"/>
        <v>4.2721709410628889E-2</v>
      </c>
      <c r="AF67" s="145">
        <f t="shared" si="28"/>
        <v>7.4008650774797083E-2</v>
      </c>
      <c r="AG67" s="145">
        <f t="shared" si="28"/>
        <v>6.9589533813315244E-2</v>
      </c>
      <c r="AH67" s="145">
        <f t="shared" si="28"/>
        <v>0.12323254521645989</v>
      </c>
      <c r="AI67" s="145">
        <f t="shared" si="30"/>
        <v>0.12750038931446292</v>
      </c>
      <c r="AJ67" s="145">
        <f t="shared" si="30"/>
        <v>0.11686963629599079</v>
      </c>
      <c r="AK67" s="145">
        <f t="shared" si="30"/>
        <v>0.14111277120601637</v>
      </c>
      <c r="AL67" s="145">
        <f t="shared" si="30"/>
        <v>0.15176396420121505</v>
      </c>
      <c r="AM67" s="145">
        <f t="shared" si="30"/>
        <v>0.11852231941352283</v>
      </c>
      <c r="AN67" s="145">
        <f t="shared" si="25"/>
        <v>0.12956182530813179</v>
      </c>
      <c r="AO67" s="145">
        <f t="shared" si="25"/>
        <v>0.15847973520538988</v>
      </c>
      <c r="AP67" s="146"/>
      <c r="AQ67" s="145" t="str">
        <f t="shared" si="29"/>
        <v/>
      </c>
      <c r="AR67" s="145" t="str">
        <f t="shared" si="29"/>
        <v/>
      </c>
      <c r="AS67" s="145" t="str">
        <f t="shared" si="29"/>
        <v/>
      </c>
      <c r="AT67" s="145" t="str">
        <f t="shared" si="29"/>
        <v/>
      </c>
      <c r="AU67" s="145">
        <f t="shared" si="31"/>
        <v>0.87755908124798609</v>
      </c>
      <c r="AV67" s="145">
        <f t="shared" si="31"/>
        <v>3.4383950412863102</v>
      </c>
      <c r="AW67" s="145">
        <f t="shared" si="31"/>
        <v>-2.3778266508788337E-2</v>
      </c>
      <c r="AX67" s="145">
        <f t="shared" si="31"/>
        <v>1.4782142350597804</v>
      </c>
      <c r="AY67" s="145">
        <f t="shared" si="31"/>
        <v>0.57947797171859472</v>
      </c>
      <c r="AZ67" s="145">
        <f t="shared" si="31"/>
        <v>0.95467159205242136</v>
      </c>
      <c r="BA67" s="145">
        <f t="shared" si="31"/>
        <v>1.46850813167943</v>
      </c>
      <c r="BB67" s="145">
        <f t="shared" si="31"/>
        <v>0.65240905529243953</v>
      </c>
      <c r="BC67" s="145">
        <f t="shared" si="31"/>
        <v>-3.767991398800008E-2</v>
      </c>
      <c r="BD67" s="145">
        <f t="shared" si="27"/>
        <v>0.62122340225582651</v>
      </c>
      <c r="BE67" s="145">
        <f t="shared" si="27"/>
        <v>0.3499745975994879</v>
      </c>
    </row>
    <row r="68" spans="2:57">
      <c r="B68" s="140" t="s">
        <v>844</v>
      </c>
      <c r="C68" s="127" t="s">
        <v>845</v>
      </c>
      <c r="D68" s="128"/>
      <c r="E68" s="128"/>
      <c r="F68" s="128"/>
      <c r="G68" s="128"/>
      <c r="H68" s="128">
        <v>11.796362999999999</v>
      </c>
      <c r="I68" s="128">
        <v>18.728383438000002</v>
      </c>
      <c r="J68" s="128">
        <v>65.041039741999995</v>
      </c>
      <c r="K68" s="128">
        <v>106.083774284</v>
      </c>
      <c r="L68" s="128">
        <v>258.93288251799999</v>
      </c>
      <c r="M68" s="128">
        <v>388.33122408700001</v>
      </c>
      <c r="N68" s="128">
        <v>826.92540604299995</v>
      </c>
      <c r="O68" s="128">
        <v>2069.5117813679999</v>
      </c>
      <c r="P68" s="128">
        <v>3435.8483332989999</v>
      </c>
      <c r="Q68" s="128">
        <v>3304.9235294700002</v>
      </c>
      <c r="R68" s="110">
        <v>5375.2791729740002</v>
      </c>
      <c r="S68" s="110">
        <v>7267.3192879079998</v>
      </c>
      <c r="T68" s="110">
        <v>9566.9549332200004</v>
      </c>
      <c r="U68" s="110">
        <v>9653.3300059760004</v>
      </c>
      <c r="V68" s="110">
        <v>6431.3153731129996</v>
      </c>
      <c r="W68" s="158">
        <v>3523.1610979060001</v>
      </c>
      <c r="X68" s="110"/>
      <c r="Z68" s="145" t="e">
        <f t="shared" si="28"/>
        <v>#DIV/0!</v>
      </c>
      <c r="AA68" s="145" t="e">
        <f t="shared" si="28"/>
        <v>#DIV/0!</v>
      </c>
      <c r="AB68" s="145" t="e">
        <f t="shared" si="28"/>
        <v>#DIV/0!</v>
      </c>
      <c r="AC68" s="145" t="e">
        <f t="shared" si="28"/>
        <v>#DIV/0!</v>
      </c>
      <c r="AD68" s="145">
        <f t="shared" si="28"/>
        <v>3.6718814681418709E-2</v>
      </c>
      <c r="AE68" s="145">
        <f t="shared" si="28"/>
        <v>3.1236810854189889E-2</v>
      </c>
      <c r="AF68" s="145">
        <f t="shared" si="28"/>
        <v>4.2341065401176312E-2</v>
      </c>
      <c r="AG68" s="145">
        <f t="shared" si="28"/>
        <v>6.6517548891650943E-2</v>
      </c>
      <c r="AH68" s="145">
        <f t="shared" si="28"/>
        <v>0.1160157961634725</v>
      </c>
      <c r="AI68" s="145">
        <f t="shared" si="30"/>
        <v>0.11397372683689122</v>
      </c>
      <c r="AJ68" s="145">
        <f t="shared" si="30"/>
        <v>0.11381123954039646</v>
      </c>
      <c r="AK68" s="145">
        <f t="shared" si="30"/>
        <v>0.13932106553569473</v>
      </c>
      <c r="AL68" s="145">
        <f t="shared" si="30"/>
        <v>0.15054545345357612</v>
      </c>
      <c r="AM68" s="145">
        <f t="shared" si="30"/>
        <v>0.11751870670016552</v>
      </c>
      <c r="AN68" s="145">
        <f t="shared" si="25"/>
        <v>0.12887855709425869</v>
      </c>
      <c r="AO68" s="145">
        <f t="shared" si="25"/>
        <v>0.15787921706937874</v>
      </c>
      <c r="AP68" s="133"/>
      <c r="AQ68" s="147" t="str">
        <f t="shared" si="29"/>
        <v/>
      </c>
      <c r="AR68" s="147" t="str">
        <f t="shared" si="29"/>
        <v/>
      </c>
      <c r="AS68" s="147" t="str">
        <f t="shared" si="29"/>
        <v/>
      </c>
      <c r="AT68" s="147" t="str">
        <f t="shared" si="29"/>
        <v/>
      </c>
      <c r="AU68" s="147">
        <f t="shared" si="31"/>
        <v>0.58764048190107432</v>
      </c>
      <c r="AV68" s="147">
        <f t="shared" si="31"/>
        <v>2.472859254367429</v>
      </c>
      <c r="AW68" s="147">
        <f t="shared" si="31"/>
        <v>0.63102826622706676</v>
      </c>
      <c r="AX68" s="147">
        <f t="shared" si="31"/>
        <v>1.4408339943185196</v>
      </c>
      <c r="AY68" s="147">
        <f t="shared" si="31"/>
        <v>0.49973699867958943</v>
      </c>
      <c r="AZ68" s="147">
        <f t="shared" si="31"/>
        <v>1.1294332125550102</v>
      </c>
      <c r="BA68" s="147">
        <f t="shared" si="31"/>
        <v>1.5026583610135034</v>
      </c>
      <c r="BB68" s="147">
        <f t="shared" si="31"/>
        <v>0.66022168331306474</v>
      </c>
      <c r="BC68" s="147">
        <f t="shared" si="31"/>
        <v>-3.8105524787029665E-2</v>
      </c>
      <c r="BD68" s="147">
        <f t="shared" si="27"/>
        <v>0.62644585420589638</v>
      </c>
      <c r="BE68" s="147">
        <f t="shared" si="27"/>
        <v>0.35198918122185341</v>
      </c>
    </row>
    <row r="69" spans="2:57">
      <c r="B69" s="140" t="s">
        <v>846</v>
      </c>
      <c r="C69" s="127" t="s">
        <v>847</v>
      </c>
      <c r="D69" s="128"/>
      <c r="E69" s="128"/>
      <c r="F69" s="128"/>
      <c r="G69" s="128"/>
      <c r="H69" s="128">
        <v>16.617996000000002</v>
      </c>
      <c r="I69" s="128">
        <v>26.834779650000002</v>
      </c>
      <c r="J69" s="128">
        <v>81.500222476999994</v>
      </c>
      <c r="K69" s="128">
        <v>148.80742862100001</v>
      </c>
      <c r="L69" s="128">
        <v>331.60012358300003</v>
      </c>
      <c r="M69" s="128">
        <v>558.48201090600003</v>
      </c>
      <c r="N69" s="128">
        <v>1182.7695131979999</v>
      </c>
      <c r="O69" s="128">
        <v>2784.1901224339999</v>
      </c>
      <c r="P69" s="128">
        <v>4832.6999063780004</v>
      </c>
      <c r="Q69" s="128">
        <v>5788.3263316760003</v>
      </c>
      <c r="R69" s="110">
        <v>9148.4559895250004</v>
      </c>
      <c r="S69" s="110">
        <v>12963.311412900999</v>
      </c>
      <c r="T69" s="110">
        <v>17987.087849355001</v>
      </c>
      <c r="U69" s="110">
        <v>20841.293419594</v>
      </c>
      <c r="V69" s="110">
        <v>20139.282722977001</v>
      </c>
      <c r="W69" s="158">
        <v>19174.626383751998</v>
      </c>
      <c r="X69" s="110">
        <f>U69-T69</f>
        <v>2854.2055702389989</v>
      </c>
      <c r="Z69" s="145" t="e">
        <f t="shared" si="28"/>
        <v>#DIV/0!</v>
      </c>
      <c r="AA69" s="145" t="e">
        <f t="shared" si="28"/>
        <v>#DIV/0!</v>
      </c>
      <c r="AB69" s="145" t="e">
        <f t="shared" si="28"/>
        <v>#DIV/0!</v>
      </c>
      <c r="AC69" s="145" t="e">
        <f t="shared" si="28"/>
        <v>#DIV/0!</v>
      </c>
      <c r="AD69" s="145">
        <f t="shared" si="28"/>
        <v>5.1727224357249552E-2</v>
      </c>
      <c r="AE69" s="145">
        <f t="shared" si="28"/>
        <v>4.4757356608800224E-2</v>
      </c>
      <c r="AF69" s="145">
        <f t="shared" si="28"/>
        <v>5.3055828501473536E-2</v>
      </c>
      <c r="AG69" s="145">
        <f t="shared" si="28"/>
        <v>9.3306497393646465E-2</v>
      </c>
      <c r="AH69" s="145">
        <f t="shared" si="28"/>
        <v>0.14857461119374549</v>
      </c>
      <c r="AI69" s="145">
        <f t="shared" si="30"/>
        <v>0.16391233103639841</v>
      </c>
      <c r="AJ69" s="145">
        <f t="shared" si="30"/>
        <v>0.16278670772954321</v>
      </c>
      <c r="AK69" s="145">
        <f t="shared" si="30"/>
        <v>0.18743374065503118</v>
      </c>
      <c r="AL69" s="145">
        <f t="shared" si="30"/>
        <v>0.21175003324787844</v>
      </c>
      <c r="AM69" s="145">
        <f t="shared" si="30"/>
        <v>0.20582522360696323</v>
      </c>
      <c r="AN69" s="145">
        <f t="shared" si="25"/>
        <v>0.21934485068204915</v>
      </c>
      <c r="AO69" s="145">
        <f t="shared" si="25"/>
        <v>0.28162206384694366</v>
      </c>
      <c r="AP69" s="133"/>
      <c r="AQ69" s="147" t="str">
        <f t="shared" si="29"/>
        <v/>
      </c>
      <c r="AR69" s="147" t="str">
        <f t="shared" si="29"/>
        <v/>
      </c>
      <c r="AS69" s="147" t="str">
        <f t="shared" si="29"/>
        <v/>
      </c>
      <c r="AT69" s="147" t="str">
        <f t="shared" si="29"/>
        <v/>
      </c>
      <c r="AU69" s="147">
        <f t="shared" si="31"/>
        <v>0.61480238953000099</v>
      </c>
      <c r="AV69" s="147">
        <f t="shared" si="31"/>
        <v>2.0371116714945705</v>
      </c>
      <c r="AW69" s="147">
        <f t="shared" si="31"/>
        <v>0.82585303571403923</v>
      </c>
      <c r="AX69" s="147">
        <f t="shared" si="31"/>
        <v>1.2283842053850527</v>
      </c>
      <c r="AY69" s="147">
        <f t="shared" si="31"/>
        <v>0.68420326528078368</v>
      </c>
      <c r="AZ69" s="147">
        <f t="shared" si="31"/>
        <v>1.1178292050611383</v>
      </c>
      <c r="BA69" s="147">
        <f t="shared" si="31"/>
        <v>1.3539583083318081</v>
      </c>
      <c r="BB69" s="147">
        <f t="shared" si="31"/>
        <v>0.73576504974924206</v>
      </c>
      <c r="BC69" s="147">
        <f t="shared" si="31"/>
        <v>0.19774172694580172</v>
      </c>
      <c r="BD69" s="147">
        <f t="shared" si="27"/>
        <v>0.58050107497586101</v>
      </c>
      <c r="BE69" s="147">
        <f t="shared" si="27"/>
        <v>0.41699445542985791</v>
      </c>
    </row>
    <row r="70" spans="2:57">
      <c r="B70" s="140" t="s">
        <v>848</v>
      </c>
      <c r="C70" s="127" t="s">
        <v>849</v>
      </c>
      <c r="D70" s="128"/>
      <c r="E70" s="128"/>
      <c r="F70" s="128"/>
      <c r="G70" s="128"/>
      <c r="H70" s="128">
        <v>-4.8216330000000003</v>
      </c>
      <c r="I70" s="128">
        <v>-8.1063962119999999</v>
      </c>
      <c r="J70" s="128">
        <v>-16.459182734999999</v>
      </c>
      <c r="K70" s="128">
        <v>-42.723654336999999</v>
      </c>
      <c r="L70" s="128">
        <v>-72.667241064999999</v>
      </c>
      <c r="M70" s="128">
        <v>-170.15078681899999</v>
      </c>
      <c r="N70" s="128">
        <v>-355.84410715500002</v>
      </c>
      <c r="O70" s="128">
        <v>-714.67834106600003</v>
      </c>
      <c r="P70" s="128">
        <v>-1396.851573079</v>
      </c>
      <c r="Q70" s="128">
        <v>-2483.4028022060002</v>
      </c>
      <c r="R70" s="110">
        <v>-3773.1768165509998</v>
      </c>
      <c r="S70" s="110">
        <v>-5695.9921249930003</v>
      </c>
      <c r="T70" s="110">
        <v>-8420.1329161350004</v>
      </c>
      <c r="U70" s="110">
        <v>-11187.963413617999</v>
      </c>
      <c r="V70" s="110">
        <v>-13707.967349864</v>
      </c>
      <c r="W70" s="158">
        <v>-15651.465285845999</v>
      </c>
      <c r="X70" s="110"/>
      <c r="Z70" s="145" t="e">
        <f t="shared" si="28"/>
        <v>#DIV/0!</v>
      </c>
      <c r="AA70" s="145" t="e">
        <f t="shared" si="28"/>
        <v>#DIV/0!</v>
      </c>
      <c r="AB70" s="145" t="e">
        <f t="shared" si="28"/>
        <v>#DIV/0!</v>
      </c>
      <c r="AC70" s="145" t="e">
        <f t="shared" si="28"/>
        <v>#DIV/0!</v>
      </c>
      <c r="AD70" s="145">
        <f t="shared" si="28"/>
        <v>-1.5008409675830841E-2</v>
      </c>
      <c r="AE70" s="145">
        <f t="shared" si="28"/>
        <v>-1.3520545754610334E-2</v>
      </c>
      <c r="AF70" s="145">
        <f t="shared" si="28"/>
        <v>-1.0714763100297226E-2</v>
      </c>
      <c r="AG70" s="145">
        <f t="shared" si="28"/>
        <v>-2.6788948501995515E-2</v>
      </c>
      <c r="AH70" s="145">
        <f t="shared" si="28"/>
        <v>-3.2558815030272956E-2</v>
      </c>
      <c r="AI70" s="145">
        <f t="shared" si="30"/>
        <v>-4.9938604199507165E-2</v>
      </c>
      <c r="AJ70" s="145">
        <f t="shared" si="30"/>
        <v>-4.8975468189146762E-2</v>
      </c>
      <c r="AK70" s="145">
        <f t="shared" si="30"/>
        <v>-4.8112675119336437E-2</v>
      </c>
      <c r="AL70" s="145">
        <f t="shared" si="30"/>
        <v>-6.1204579794302293E-2</v>
      </c>
      <c r="AM70" s="145">
        <f t="shared" si="30"/>
        <v>-8.8306516906797694E-2</v>
      </c>
      <c r="AN70" s="145">
        <f t="shared" si="25"/>
        <v>-9.0466293587790431E-2</v>
      </c>
      <c r="AO70" s="145">
        <f t="shared" si="25"/>
        <v>-0.12374284677756492</v>
      </c>
      <c r="AP70" s="133"/>
      <c r="AQ70" s="147" t="str">
        <f t="shared" si="29"/>
        <v/>
      </c>
      <c r="AR70" s="147" t="str">
        <f t="shared" si="29"/>
        <v/>
      </c>
      <c r="AS70" s="147" t="str">
        <f t="shared" si="29"/>
        <v/>
      </c>
      <c r="AT70" s="147" t="str">
        <f t="shared" si="29"/>
        <v/>
      </c>
      <c r="AU70" s="147">
        <f t="shared" si="31"/>
        <v>0.68125533652187942</v>
      </c>
      <c r="AV70" s="147">
        <f t="shared" si="31"/>
        <v>1.030394555676327</v>
      </c>
      <c r="AW70" s="147">
        <f t="shared" si="31"/>
        <v>1.5957336415099959</v>
      </c>
      <c r="AX70" s="147">
        <f t="shared" si="31"/>
        <v>0.70086670236136461</v>
      </c>
      <c r="AY70" s="147">
        <f t="shared" si="31"/>
        <v>1.3415060806671071</v>
      </c>
      <c r="AZ70" s="147">
        <f t="shared" si="31"/>
        <v>1.0913456458684121</v>
      </c>
      <c r="BA70" s="147">
        <f t="shared" si="31"/>
        <v>1.0084029121063893</v>
      </c>
      <c r="BB70" s="147">
        <f t="shared" si="31"/>
        <v>0.95451784784114757</v>
      </c>
      <c r="BC70" s="147">
        <f t="shared" si="31"/>
        <v>0.77785732576581301</v>
      </c>
      <c r="BD70" s="147">
        <f t="shared" si="27"/>
        <v>0.51935755778293258</v>
      </c>
      <c r="BE70" s="147">
        <f t="shared" si="27"/>
        <v>0.50960116684900414</v>
      </c>
    </row>
    <row r="71" spans="2:57">
      <c r="B71" s="140" t="s">
        <v>850</v>
      </c>
      <c r="C71" s="127" t="s">
        <v>851</v>
      </c>
      <c r="D71" s="128"/>
      <c r="E71" s="128"/>
      <c r="F71" s="128"/>
      <c r="G71" s="128"/>
      <c r="H71" s="128">
        <v>0</v>
      </c>
      <c r="I71" s="128">
        <v>0</v>
      </c>
      <c r="J71" s="128">
        <v>0</v>
      </c>
      <c r="K71" s="128">
        <v>0</v>
      </c>
      <c r="L71" s="128">
        <v>0</v>
      </c>
      <c r="M71" s="128">
        <v>0</v>
      </c>
      <c r="N71" s="128">
        <v>0</v>
      </c>
      <c r="O71" s="128">
        <v>0</v>
      </c>
      <c r="P71" s="128">
        <v>0</v>
      </c>
      <c r="Q71" s="128">
        <v>0</v>
      </c>
      <c r="R71" s="110">
        <v>0</v>
      </c>
      <c r="S71" s="110">
        <v>0</v>
      </c>
      <c r="T71" s="110">
        <v>0</v>
      </c>
      <c r="U71" s="110">
        <v>0</v>
      </c>
      <c r="V71" s="110">
        <v>0</v>
      </c>
      <c r="W71" s="158">
        <v>0</v>
      </c>
      <c r="X71" s="110"/>
      <c r="Z71" s="145" t="e">
        <f t="shared" si="28"/>
        <v>#DIV/0!</v>
      </c>
      <c r="AA71" s="145" t="e">
        <f t="shared" si="28"/>
        <v>#DIV/0!</v>
      </c>
      <c r="AB71" s="145" t="e">
        <f t="shared" si="28"/>
        <v>#DIV/0!</v>
      </c>
      <c r="AC71" s="145" t="e">
        <f t="shared" si="28"/>
        <v>#DIV/0!</v>
      </c>
      <c r="AD71" s="145">
        <f t="shared" si="28"/>
        <v>0</v>
      </c>
      <c r="AE71" s="145">
        <f t="shared" si="28"/>
        <v>0</v>
      </c>
      <c r="AF71" s="145">
        <f t="shared" si="28"/>
        <v>0</v>
      </c>
      <c r="AG71" s="145">
        <f t="shared" si="28"/>
        <v>0</v>
      </c>
      <c r="AH71" s="145">
        <f t="shared" si="28"/>
        <v>0</v>
      </c>
      <c r="AI71" s="145">
        <f t="shared" si="30"/>
        <v>0</v>
      </c>
      <c r="AJ71" s="145">
        <f t="shared" si="30"/>
        <v>0</v>
      </c>
      <c r="AK71" s="145">
        <f t="shared" si="30"/>
        <v>0</v>
      </c>
      <c r="AL71" s="145">
        <f t="shared" si="30"/>
        <v>0</v>
      </c>
      <c r="AM71" s="145">
        <f t="shared" si="30"/>
        <v>0</v>
      </c>
      <c r="AN71" s="145">
        <f t="shared" si="25"/>
        <v>0</v>
      </c>
      <c r="AO71" s="145">
        <f t="shared" si="25"/>
        <v>0</v>
      </c>
      <c r="AP71" s="133"/>
      <c r="AQ71" s="147" t="str">
        <f t="shared" si="29"/>
        <v/>
      </c>
      <c r="AR71" s="147" t="str">
        <f t="shared" si="29"/>
        <v/>
      </c>
      <c r="AS71" s="147" t="str">
        <f t="shared" si="29"/>
        <v/>
      </c>
      <c r="AT71" s="147" t="str">
        <f t="shared" si="29"/>
        <v/>
      </c>
      <c r="AU71" s="147" t="str">
        <f t="shared" si="31"/>
        <v/>
      </c>
      <c r="AV71" s="147" t="str">
        <f t="shared" si="31"/>
        <v/>
      </c>
      <c r="AW71" s="147" t="str">
        <f t="shared" si="31"/>
        <v/>
      </c>
      <c r="AX71" s="147" t="str">
        <f t="shared" si="31"/>
        <v/>
      </c>
      <c r="AY71" s="147" t="str">
        <f t="shared" si="31"/>
        <v/>
      </c>
      <c r="AZ71" s="147" t="str">
        <f t="shared" si="31"/>
        <v/>
      </c>
      <c r="BA71" s="147" t="str">
        <f t="shared" si="31"/>
        <v/>
      </c>
      <c r="BB71" s="147" t="str">
        <f t="shared" si="31"/>
        <v/>
      </c>
      <c r="BC71" s="147" t="str">
        <f t="shared" si="31"/>
        <v/>
      </c>
      <c r="BD71" s="147" t="str">
        <f t="shared" si="27"/>
        <v/>
      </c>
      <c r="BE71" s="147" t="str">
        <f t="shared" si="27"/>
        <v/>
      </c>
    </row>
    <row r="72" spans="2:57">
      <c r="B72" s="140" t="s">
        <v>846</v>
      </c>
      <c r="C72" s="127" t="s">
        <v>852</v>
      </c>
      <c r="D72" s="128"/>
      <c r="E72" s="128"/>
      <c r="F72" s="128"/>
      <c r="G72" s="128"/>
      <c r="H72" s="128">
        <v>0</v>
      </c>
      <c r="I72" s="128">
        <v>0</v>
      </c>
      <c r="J72" s="128">
        <v>0</v>
      </c>
      <c r="K72" s="128">
        <v>0</v>
      </c>
      <c r="L72" s="128">
        <v>0</v>
      </c>
      <c r="M72" s="128">
        <v>0</v>
      </c>
      <c r="N72" s="128">
        <v>0</v>
      </c>
      <c r="O72" s="128">
        <v>0</v>
      </c>
      <c r="P72" s="128">
        <v>0</v>
      </c>
      <c r="Q72" s="128">
        <v>0</v>
      </c>
      <c r="R72" s="110">
        <v>0</v>
      </c>
      <c r="S72" s="110">
        <v>0</v>
      </c>
      <c r="T72" s="110">
        <v>0</v>
      </c>
      <c r="U72" s="110">
        <v>0</v>
      </c>
      <c r="V72" s="110">
        <v>0</v>
      </c>
      <c r="W72" s="158">
        <v>0</v>
      </c>
      <c r="X72" s="110"/>
      <c r="Z72" s="145" t="e">
        <f t="shared" si="28"/>
        <v>#DIV/0!</v>
      </c>
      <c r="AA72" s="145" t="e">
        <f t="shared" si="28"/>
        <v>#DIV/0!</v>
      </c>
      <c r="AB72" s="145" t="e">
        <f t="shared" si="28"/>
        <v>#DIV/0!</v>
      </c>
      <c r="AC72" s="145" t="e">
        <f t="shared" si="28"/>
        <v>#DIV/0!</v>
      </c>
      <c r="AD72" s="145">
        <f t="shared" si="28"/>
        <v>0</v>
      </c>
      <c r="AE72" s="145">
        <f t="shared" si="28"/>
        <v>0</v>
      </c>
      <c r="AF72" s="145">
        <f t="shared" si="28"/>
        <v>0</v>
      </c>
      <c r="AG72" s="145">
        <f t="shared" si="28"/>
        <v>0</v>
      </c>
      <c r="AH72" s="145">
        <f t="shared" si="28"/>
        <v>0</v>
      </c>
      <c r="AI72" s="145">
        <f t="shared" si="30"/>
        <v>0</v>
      </c>
      <c r="AJ72" s="145">
        <f t="shared" si="30"/>
        <v>0</v>
      </c>
      <c r="AK72" s="145">
        <f t="shared" si="30"/>
        <v>0</v>
      </c>
      <c r="AL72" s="145">
        <f t="shared" si="30"/>
        <v>0</v>
      </c>
      <c r="AM72" s="145">
        <f t="shared" si="30"/>
        <v>0</v>
      </c>
      <c r="AN72" s="145">
        <f t="shared" si="25"/>
        <v>0</v>
      </c>
      <c r="AO72" s="145">
        <f t="shared" si="25"/>
        <v>0</v>
      </c>
      <c r="AP72" s="133"/>
      <c r="AQ72" s="147" t="str">
        <f t="shared" si="29"/>
        <v/>
      </c>
      <c r="AR72" s="147" t="str">
        <f t="shared" si="29"/>
        <v/>
      </c>
      <c r="AS72" s="147" t="str">
        <f t="shared" si="29"/>
        <v/>
      </c>
      <c r="AT72" s="147" t="str">
        <f t="shared" si="29"/>
        <v/>
      </c>
      <c r="AU72" s="147" t="str">
        <f t="shared" si="31"/>
        <v/>
      </c>
      <c r="AV72" s="147" t="str">
        <f t="shared" si="31"/>
        <v/>
      </c>
      <c r="AW72" s="147" t="str">
        <f t="shared" si="31"/>
        <v/>
      </c>
      <c r="AX72" s="147" t="str">
        <f t="shared" si="31"/>
        <v/>
      </c>
      <c r="AY72" s="147" t="str">
        <f t="shared" si="31"/>
        <v/>
      </c>
      <c r="AZ72" s="147" t="str">
        <f t="shared" si="31"/>
        <v/>
      </c>
      <c r="BA72" s="147" t="str">
        <f t="shared" si="31"/>
        <v/>
      </c>
      <c r="BB72" s="147" t="str">
        <f t="shared" si="31"/>
        <v/>
      </c>
      <c r="BC72" s="147" t="str">
        <f t="shared" si="31"/>
        <v/>
      </c>
      <c r="BD72" s="147" t="str">
        <f t="shared" si="27"/>
        <v/>
      </c>
      <c r="BE72" s="147" t="str">
        <f t="shared" si="27"/>
        <v/>
      </c>
    </row>
    <row r="73" spans="2:57">
      <c r="B73" s="140" t="s">
        <v>853</v>
      </c>
      <c r="C73" s="127" t="s">
        <v>854</v>
      </c>
      <c r="D73" s="128"/>
      <c r="E73" s="128"/>
      <c r="F73" s="128"/>
      <c r="G73" s="128"/>
      <c r="H73" s="128">
        <v>0</v>
      </c>
      <c r="I73" s="128">
        <v>0</v>
      </c>
      <c r="J73" s="128">
        <v>0</v>
      </c>
      <c r="K73" s="128">
        <v>0</v>
      </c>
      <c r="L73" s="128">
        <v>0</v>
      </c>
      <c r="M73" s="128">
        <v>0</v>
      </c>
      <c r="N73" s="128">
        <v>0</v>
      </c>
      <c r="O73" s="128">
        <v>0</v>
      </c>
      <c r="P73" s="128">
        <v>0</v>
      </c>
      <c r="Q73" s="128">
        <v>0</v>
      </c>
      <c r="R73" s="110">
        <v>0</v>
      </c>
      <c r="S73" s="110">
        <v>0</v>
      </c>
      <c r="T73" s="110">
        <v>0</v>
      </c>
      <c r="U73" s="110">
        <v>0</v>
      </c>
      <c r="V73" s="110">
        <v>0</v>
      </c>
      <c r="W73" s="158">
        <v>0</v>
      </c>
      <c r="X73" s="110"/>
      <c r="Z73" s="145" t="e">
        <f t="shared" si="28"/>
        <v>#DIV/0!</v>
      </c>
      <c r="AA73" s="145" t="e">
        <f t="shared" si="28"/>
        <v>#DIV/0!</v>
      </c>
      <c r="AB73" s="145" t="e">
        <f t="shared" si="28"/>
        <v>#DIV/0!</v>
      </c>
      <c r="AC73" s="145" t="e">
        <f t="shared" si="28"/>
        <v>#DIV/0!</v>
      </c>
      <c r="AD73" s="145">
        <f t="shared" si="28"/>
        <v>0</v>
      </c>
      <c r="AE73" s="145">
        <f t="shared" si="28"/>
        <v>0</v>
      </c>
      <c r="AF73" s="145">
        <f t="shared" si="28"/>
        <v>0</v>
      </c>
      <c r="AG73" s="145">
        <f t="shared" si="28"/>
        <v>0</v>
      </c>
      <c r="AH73" s="145">
        <f t="shared" si="28"/>
        <v>0</v>
      </c>
      <c r="AI73" s="145">
        <f t="shared" si="30"/>
        <v>0</v>
      </c>
      <c r="AJ73" s="145">
        <f t="shared" si="30"/>
        <v>0</v>
      </c>
      <c r="AK73" s="145">
        <f t="shared" si="30"/>
        <v>0</v>
      </c>
      <c r="AL73" s="145">
        <f t="shared" si="30"/>
        <v>0</v>
      </c>
      <c r="AM73" s="145">
        <f t="shared" si="30"/>
        <v>0</v>
      </c>
      <c r="AN73" s="145">
        <f t="shared" si="25"/>
        <v>0</v>
      </c>
      <c r="AO73" s="145">
        <f t="shared" si="25"/>
        <v>0</v>
      </c>
      <c r="AP73" s="133"/>
      <c r="AQ73" s="147" t="str">
        <f t="shared" si="29"/>
        <v/>
      </c>
      <c r="AR73" s="147" t="str">
        <f t="shared" si="29"/>
        <v/>
      </c>
      <c r="AS73" s="147" t="str">
        <f t="shared" si="29"/>
        <v/>
      </c>
      <c r="AT73" s="147" t="str">
        <f t="shared" si="29"/>
        <v/>
      </c>
      <c r="AU73" s="147" t="str">
        <f t="shared" si="31"/>
        <v/>
      </c>
      <c r="AV73" s="147" t="str">
        <f t="shared" si="31"/>
        <v/>
      </c>
      <c r="AW73" s="147" t="str">
        <f t="shared" si="31"/>
        <v/>
      </c>
      <c r="AX73" s="147" t="str">
        <f t="shared" si="31"/>
        <v/>
      </c>
      <c r="AY73" s="147" t="str">
        <f t="shared" si="31"/>
        <v/>
      </c>
      <c r="AZ73" s="147" t="str">
        <f t="shared" si="31"/>
        <v/>
      </c>
      <c r="BA73" s="147" t="str">
        <f t="shared" si="31"/>
        <v/>
      </c>
      <c r="BB73" s="147" t="str">
        <f t="shared" si="31"/>
        <v/>
      </c>
      <c r="BC73" s="147" t="str">
        <f t="shared" si="31"/>
        <v/>
      </c>
      <c r="BD73" s="147" t="str">
        <f t="shared" si="27"/>
        <v/>
      </c>
      <c r="BE73" s="147" t="str">
        <f t="shared" si="27"/>
        <v/>
      </c>
    </row>
    <row r="74" spans="2:57">
      <c r="B74" s="140" t="s">
        <v>855</v>
      </c>
      <c r="C74" s="127" t="s">
        <v>856</v>
      </c>
      <c r="D74" s="128"/>
      <c r="E74" s="128"/>
      <c r="F74" s="128"/>
      <c r="G74" s="128"/>
      <c r="H74" s="128">
        <v>0.65934899999999996</v>
      </c>
      <c r="I74" s="128">
        <v>3.92959266</v>
      </c>
      <c r="J74" s="128">
        <v>5.5803839440000003</v>
      </c>
      <c r="K74" s="128">
        <v>4.8992748600000002</v>
      </c>
      <c r="L74" s="128">
        <v>5.0542413829999999</v>
      </c>
      <c r="M74" s="128">
        <v>23.027313235000001</v>
      </c>
      <c r="N74" s="128">
        <v>22.221583642999999</v>
      </c>
      <c r="O74" s="128">
        <v>26.614467662999999</v>
      </c>
      <c r="P74" s="128">
        <v>27.809661636000001</v>
      </c>
      <c r="Q74" s="128">
        <v>28.224130131999999</v>
      </c>
      <c r="R74" s="110">
        <v>28.497815946999999</v>
      </c>
      <c r="S74" s="110">
        <v>27.642378227999998</v>
      </c>
      <c r="T74" s="110">
        <v>80.213940011999995</v>
      </c>
      <c r="U74" s="110">
        <v>74.172905463999996</v>
      </c>
      <c r="V74" s="110">
        <v>68.820235800999995</v>
      </c>
      <c r="W74" s="158">
        <v>63.467566138999999</v>
      </c>
      <c r="X74" s="110"/>
      <c r="Z74" s="145" t="e">
        <f t="shared" si="28"/>
        <v>#DIV/0!</v>
      </c>
      <c r="AA74" s="145" t="e">
        <f t="shared" si="28"/>
        <v>#DIV/0!</v>
      </c>
      <c r="AB74" s="145" t="e">
        <f t="shared" si="28"/>
        <v>#DIV/0!</v>
      </c>
      <c r="AC74" s="145" t="e">
        <f t="shared" si="28"/>
        <v>#DIV/0!</v>
      </c>
      <c r="AD74" s="145">
        <f t="shared" si="28"/>
        <v>2.0523710351553902E-3</v>
      </c>
      <c r="AE74" s="145">
        <f t="shared" si="28"/>
        <v>6.5541130691171463E-3</v>
      </c>
      <c r="AF74" s="145">
        <f t="shared" si="28"/>
        <v>3.6327740527186208E-3</v>
      </c>
      <c r="AG74" s="145">
        <f t="shared" si="28"/>
        <v>3.0719849216642933E-3</v>
      </c>
      <c r="AH74" s="145">
        <f t="shared" si="28"/>
        <v>2.2645707735105955E-3</v>
      </c>
      <c r="AI74" s="145">
        <f t="shared" si="30"/>
        <v>6.7584282325065803E-3</v>
      </c>
      <c r="AJ74" s="145">
        <f t="shared" si="30"/>
        <v>3.0583967555943225E-3</v>
      </c>
      <c r="AK74" s="145">
        <f t="shared" si="30"/>
        <v>1.7917056703216246E-3</v>
      </c>
      <c r="AL74" s="145">
        <f t="shared" si="30"/>
        <v>1.2185107476389311E-3</v>
      </c>
      <c r="AM74" s="145">
        <f t="shared" si="30"/>
        <v>1.0036127133573121E-3</v>
      </c>
      <c r="AN74" s="145">
        <f t="shared" si="25"/>
        <v>6.832682138730806E-4</v>
      </c>
      <c r="AO74" s="145">
        <f t="shared" si="25"/>
        <v>6.0051813601113494E-4</v>
      </c>
      <c r="AP74" s="133"/>
      <c r="AQ74" s="147" t="str">
        <f t="shared" si="29"/>
        <v/>
      </c>
      <c r="AR74" s="147" t="str">
        <f t="shared" si="29"/>
        <v/>
      </c>
      <c r="AS74" s="147" t="str">
        <f t="shared" si="29"/>
        <v/>
      </c>
      <c r="AT74" s="147" t="str">
        <f t="shared" si="29"/>
        <v/>
      </c>
      <c r="AU74" s="147">
        <f t="shared" si="31"/>
        <v>4.9598068094438608</v>
      </c>
      <c r="AV74" s="147">
        <f t="shared" si="31"/>
        <v>0.42009221485058457</v>
      </c>
      <c r="AW74" s="147">
        <f t="shared" si="31"/>
        <v>-0.12205416165536875</v>
      </c>
      <c r="AX74" s="147">
        <f t="shared" si="31"/>
        <v>3.1630501947384149E-2</v>
      </c>
      <c r="AY74" s="147">
        <f t="shared" si="31"/>
        <v>3.5560374920858822</v>
      </c>
      <c r="AZ74" s="147">
        <f t="shared" si="31"/>
        <v>-3.4990169446922126E-2</v>
      </c>
      <c r="BA74" s="147">
        <f t="shared" si="31"/>
        <v>0.19768546160227429</v>
      </c>
      <c r="BB74" s="147">
        <f t="shared" si="31"/>
        <v>4.490767909145843E-2</v>
      </c>
      <c r="BC74" s="147">
        <f t="shared" si="31"/>
        <v>1.4903759039752718E-2</v>
      </c>
      <c r="BD74" s="147">
        <f t="shared" si="27"/>
        <v>9.6968733392317485E-3</v>
      </c>
      <c r="BE74" s="147">
        <f t="shared" si="27"/>
        <v>-3.0017658917825041E-2</v>
      </c>
    </row>
    <row r="75" spans="2:57">
      <c r="B75" s="140" t="s">
        <v>846</v>
      </c>
      <c r="C75" s="127" t="s">
        <v>857</v>
      </c>
      <c r="D75" s="128"/>
      <c r="E75" s="128"/>
      <c r="F75" s="128"/>
      <c r="G75" s="128"/>
      <c r="H75" s="128">
        <v>0.98902900000000005</v>
      </c>
      <c r="I75" s="128">
        <v>4.5065286599999999</v>
      </c>
      <c r="J75" s="128">
        <v>6.5791909439999996</v>
      </c>
      <c r="K75" s="128">
        <v>6.5791909439999996</v>
      </c>
      <c r="L75" s="128">
        <v>7.2880700440000004</v>
      </c>
      <c r="M75" s="128">
        <v>26.151751644000001</v>
      </c>
      <c r="N75" s="128">
        <v>26.203355943999998</v>
      </c>
      <c r="O75" s="128">
        <v>31.108130144</v>
      </c>
      <c r="P75" s="128">
        <v>32.779467144000002</v>
      </c>
      <c r="Q75" s="128">
        <v>33.838423143999997</v>
      </c>
      <c r="R75" s="110">
        <v>34.852200199999999</v>
      </c>
      <c r="S75" s="110">
        <v>35.811638199999997</v>
      </c>
      <c r="T75" s="110">
        <v>90.297772827000003</v>
      </c>
      <c r="U75" s="110">
        <v>90.297772827000003</v>
      </c>
      <c r="V75" s="110">
        <v>90.297772827000003</v>
      </c>
      <c r="W75" s="158">
        <v>90.297772827000003</v>
      </c>
      <c r="X75" s="110"/>
      <c r="Z75" s="145" t="e">
        <f t="shared" si="28"/>
        <v>#DIV/0!</v>
      </c>
      <c r="AA75" s="145" t="e">
        <f t="shared" si="28"/>
        <v>#DIV/0!</v>
      </c>
      <c r="AB75" s="145" t="e">
        <f t="shared" si="28"/>
        <v>#DIV/0!</v>
      </c>
      <c r="AC75" s="145" t="e">
        <f t="shared" si="28"/>
        <v>#DIV/0!</v>
      </c>
      <c r="AD75" s="145">
        <f t="shared" si="28"/>
        <v>3.0785736727115694E-3</v>
      </c>
      <c r="AE75" s="145">
        <f t="shared" si="28"/>
        <v>7.5163766177375191E-3</v>
      </c>
      <c r="AF75" s="145">
        <f t="shared" si="28"/>
        <v>4.2829874053634696E-3</v>
      </c>
      <c r="AG75" s="145">
        <f t="shared" si="28"/>
        <v>4.1253401685485891E-3</v>
      </c>
      <c r="AH75" s="145">
        <f t="shared" si="28"/>
        <v>3.2654456260148273E-3</v>
      </c>
      <c r="AI75" s="145">
        <f t="shared" si="30"/>
        <v>7.6754389379508504E-3</v>
      </c>
      <c r="AJ75" s="145">
        <f t="shared" si="30"/>
        <v>3.6064152804004906E-3</v>
      </c>
      <c r="AK75" s="145">
        <f t="shared" si="30"/>
        <v>2.0942223559704742E-3</v>
      </c>
      <c r="AL75" s="145">
        <f t="shared" si="30"/>
        <v>1.4362682128118943E-3</v>
      </c>
      <c r="AM75" s="145">
        <f t="shared" si="30"/>
        <v>1.2032495424466145E-3</v>
      </c>
      <c r="AN75" s="145">
        <f t="shared" si="25"/>
        <v>8.3562195167829654E-4</v>
      </c>
      <c r="AO75" s="145">
        <f t="shared" si="25"/>
        <v>7.7799160556979105E-4</v>
      </c>
      <c r="AP75" s="133"/>
      <c r="AQ75" s="147" t="str">
        <f t="shared" si="29"/>
        <v/>
      </c>
      <c r="AR75" s="147" t="str">
        <f t="shared" si="29"/>
        <v/>
      </c>
      <c r="AS75" s="147" t="str">
        <f t="shared" si="29"/>
        <v/>
      </c>
      <c r="AT75" s="147" t="str">
        <f t="shared" si="29"/>
        <v/>
      </c>
      <c r="AU75" s="147">
        <f t="shared" si="31"/>
        <v>3.5565182214070568</v>
      </c>
      <c r="AV75" s="147">
        <f t="shared" si="31"/>
        <v>0.45992435428115086</v>
      </c>
      <c r="AW75" s="147">
        <f t="shared" si="31"/>
        <v>0</v>
      </c>
      <c r="AX75" s="147">
        <f t="shared" si="31"/>
        <v>0.10774563408080962</v>
      </c>
      <c r="AY75" s="147">
        <f t="shared" si="31"/>
        <v>2.588295870664659</v>
      </c>
      <c r="AZ75" s="147">
        <f t="shared" si="31"/>
        <v>1.9732636154732308E-3</v>
      </c>
      <c r="BA75" s="147">
        <f t="shared" si="31"/>
        <v>0.18718114620440773</v>
      </c>
      <c r="BB75" s="147">
        <f t="shared" si="31"/>
        <v>5.3726694348498416E-2</v>
      </c>
      <c r="BC75" s="147">
        <f t="shared" si="31"/>
        <v>3.2305467180049341E-2</v>
      </c>
      <c r="BD75" s="147">
        <f t="shared" si="27"/>
        <v>2.9959346855078284E-2</v>
      </c>
      <c r="BE75" s="147">
        <f t="shared" si="27"/>
        <v>2.7528764166802944E-2</v>
      </c>
    </row>
    <row r="76" spans="2:57">
      <c r="B76" s="140" t="s">
        <v>570</v>
      </c>
      <c r="C76" s="127" t="s">
        <v>858</v>
      </c>
      <c r="D76" s="128"/>
      <c r="E76" s="128"/>
      <c r="F76" s="128"/>
      <c r="G76" s="128"/>
      <c r="H76" s="128">
        <v>-0.32967999999999997</v>
      </c>
      <c r="I76" s="128">
        <v>-0.576936</v>
      </c>
      <c r="J76" s="128">
        <v>-0.998807</v>
      </c>
      <c r="K76" s="128">
        <v>-1.679916084</v>
      </c>
      <c r="L76" s="128">
        <v>-2.233828661</v>
      </c>
      <c r="M76" s="128">
        <v>-3.1244384090000001</v>
      </c>
      <c r="N76" s="128">
        <v>-3.9817723009999999</v>
      </c>
      <c r="O76" s="128">
        <v>-4.4936624810000003</v>
      </c>
      <c r="P76" s="128">
        <v>-4.9698055080000003</v>
      </c>
      <c r="Q76" s="128">
        <v>-5.6142930120000001</v>
      </c>
      <c r="R76" s="110">
        <v>-6.3543842530000001</v>
      </c>
      <c r="S76" s="110">
        <v>-8.1692599720000008</v>
      </c>
      <c r="T76" s="110">
        <v>-10.083832814999999</v>
      </c>
      <c r="U76" s="110">
        <v>-16.124867363</v>
      </c>
      <c r="V76" s="110">
        <v>-21.477537026</v>
      </c>
      <c r="W76" s="158">
        <v>-26.830206688000001</v>
      </c>
      <c r="X76" s="110"/>
      <c r="Z76" s="145" t="e">
        <f t="shared" si="28"/>
        <v>#DIV/0!</v>
      </c>
      <c r="AA76" s="145" t="e">
        <f t="shared" si="28"/>
        <v>#DIV/0!</v>
      </c>
      <c r="AB76" s="145" t="e">
        <f t="shared" si="28"/>
        <v>#DIV/0!</v>
      </c>
      <c r="AC76" s="145" t="e">
        <f t="shared" si="28"/>
        <v>#DIV/0!</v>
      </c>
      <c r="AD76" s="145">
        <f t="shared" si="28"/>
        <v>-1.0262026375561788E-3</v>
      </c>
      <c r="AE76" s="145">
        <f t="shared" si="28"/>
        <v>-9.6226354862037275E-4</v>
      </c>
      <c r="AF76" s="145">
        <f t="shared" si="28"/>
        <v>-6.5021335264484937E-4</v>
      </c>
      <c r="AG76" s="145">
        <f t="shared" si="28"/>
        <v>-1.0533552468842964E-3</v>
      </c>
      <c r="AH76" s="145">
        <f t="shared" si="28"/>
        <v>-1.0008748525042314E-3</v>
      </c>
      <c r="AI76" s="145">
        <f t="shared" si="30"/>
        <v>-9.1701070544427071E-4</v>
      </c>
      <c r="AJ76" s="145">
        <f t="shared" si="30"/>
        <v>-5.480185248061683E-4</v>
      </c>
      <c r="AK76" s="145">
        <f t="shared" si="30"/>
        <v>-3.0251668564884945E-4</v>
      </c>
      <c r="AL76" s="145">
        <f t="shared" si="30"/>
        <v>-2.1775746517296309E-4</v>
      </c>
      <c r="AM76" s="145">
        <f t="shared" si="30"/>
        <v>-1.996368290893025E-4</v>
      </c>
      <c r="AN76" s="145">
        <f t="shared" si="25"/>
        <v>-1.5235373780521597E-4</v>
      </c>
      <c r="AO76" s="145">
        <f t="shared" si="25"/>
        <v>-1.7747346955865616E-4</v>
      </c>
      <c r="AP76" s="133"/>
      <c r="AQ76" s="147" t="str">
        <f t="shared" si="29"/>
        <v/>
      </c>
      <c r="AR76" s="147" t="str">
        <f t="shared" si="29"/>
        <v/>
      </c>
      <c r="AS76" s="147" t="str">
        <f t="shared" si="29"/>
        <v/>
      </c>
      <c r="AT76" s="147" t="str">
        <f t="shared" si="29"/>
        <v/>
      </c>
      <c r="AU76" s="147">
        <f t="shared" si="31"/>
        <v>0.74998786702256748</v>
      </c>
      <c r="AV76" s="147">
        <f t="shared" si="31"/>
        <v>0.73122668718887351</v>
      </c>
      <c r="AW76" s="147">
        <f t="shared" si="31"/>
        <v>0.68192261768289564</v>
      </c>
      <c r="AX76" s="147">
        <f t="shared" si="31"/>
        <v>0.32972633709244259</v>
      </c>
      <c r="AY76" s="147">
        <f t="shared" si="31"/>
        <v>0.39869205886243231</v>
      </c>
      <c r="AZ76" s="147">
        <f t="shared" si="31"/>
        <v>0.27439615693189356</v>
      </c>
      <c r="BA76" s="147">
        <f t="shared" si="31"/>
        <v>0.12855837584470664</v>
      </c>
      <c r="BB76" s="147">
        <f t="shared" si="31"/>
        <v>0.10595878729504427</v>
      </c>
      <c r="BC76" s="147">
        <f t="shared" si="31"/>
        <v>0.12968062894263266</v>
      </c>
      <c r="BD76" s="147">
        <f t="shared" si="27"/>
        <v>0.13182269600431029</v>
      </c>
      <c r="BE76" s="147">
        <f t="shared" si="27"/>
        <v>0.2856100051146846</v>
      </c>
    </row>
    <row r="77" spans="2:57">
      <c r="B77" s="140" t="s">
        <v>859</v>
      </c>
      <c r="C77" s="127" t="s">
        <v>860</v>
      </c>
      <c r="D77" s="128"/>
      <c r="E77" s="128"/>
      <c r="F77" s="128"/>
      <c r="G77" s="128"/>
      <c r="H77" s="128">
        <v>1.18662</v>
      </c>
      <c r="I77" s="128">
        <v>2.9563082380000001</v>
      </c>
      <c r="J77" s="128">
        <v>43.064888897000003</v>
      </c>
      <c r="K77" s="128">
        <v>0</v>
      </c>
      <c r="L77" s="128">
        <v>11.052648337999999</v>
      </c>
      <c r="M77" s="128">
        <v>23.060724275999998</v>
      </c>
      <c r="N77" s="128">
        <v>0</v>
      </c>
      <c r="O77" s="128">
        <v>0</v>
      </c>
      <c r="P77" s="128">
        <v>0</v>
      </c>
      <c r="Q77" s="128">
        <v>0</v>
      </c>
      <c r="R77" s="110">
        <v>0</v>
      </c>
      <c r="S77" s="110">
        <v>0</v>
      </c>
      <c r="T77" s="110">
        <v>0</v>
      </c>
      <c r="U77" s="110">
        <v>0</v>
      </c>
      <c r="V77" s="110">
        <v>0</v>
      </c>
      <c r="W77" s="158">
        <v>0</v>
      </c>
      <c r="X77" s="110"/>
      <c r="Z77" s="145" t="e">
        <f t="shared" si="28"/>
        <v>#DIV/0!</v>
      </c>
      <c r="AA77" s="145" t="e">
        <f t="shared" si="28"/>
        <v>#DIV/0!</v>
      </c>
      <c r="AB77" s="145" t="e">
        <f t="shared" si="28"/>
        <v>#DIV/0!</v>
      </c>
      <c r="AC77" s="145" t="e">
        <f t="shared" si="28"/>
        <v>#DIV/0!</v>
      </c>
      <c r="AD77" s="145">
        <f t="shared" si="28"/>
        <v>3.6936197942760043E-3</v>
      </c>
      <c r="AE77" s="145">
        <f t="shared" si="28"/>
        <v>4.9307854873218548E-3</v>
      </c>
      <c r="AF77" s="145">
        <f t="shared" si="28"/>
        <v>2.8034811320902159E-2</v>
      </c>
      <c r="AG77" s="145">
        <f t="shared" si="28"/>
        <v>0</v>
      </c>
      <c r="AH77" s="145">
        <f t="shared" si="28"/>
        <v>4.9521782794767748E-3</v>
      </c>
      <c r="AI77" s="145">
        <f t="shared" si="30"/>
        <v>6.7682342450651189E-3</v>
      </c>
      <c r="AJ77" s="145">
        <f t="shared" si="30"/>
        <v>0</v>
      </c>
      <c r="AK77" s="145">
        <f t="shared" si="30"/>
        <v>0</v>
      </c>
      <c r="AL77" s="145">
        <f t="shared" si="30"/>
        <v>0</v>
      </c>
      <c r="AM77" s="145">
        <f t="shared" si="30"/>
        <v>0</v>
      </c>
      <c r="AN77" s="145">
        <f t="shared" si="25"/>
        <v>0</v>
      </c>
      <c r="AO77" s="145">
        <f t="shared" si="25"/>
        <v>0</v>
      </c>
      <c r="AP77" s="133"/>
      <c r="AQ77" s="147" t="str">
        <f t="shared" si="29"/>
        <v/>
      </c>
      <c r="AR77" s="147" t="str">
        <f t="shared" si="29"/>
        <v/>
      </c>
      <c r="AS77" s="147" t="str">
        <f t="shared" si="29"/>
        <v/>
      </c>
      <c r="AT77" s="147" t="str">
        <f t="shared" si="29"/>
        <v/>
      </c>
      <c r="AU77" s="147">
        <f t="shared" si="31"/>
        <v>1.4913689622625608</v>
      </c>
      <c r="AV77" s="147">
        <f t="shared" si="31"/>
        <v>13.567117306459977</v>
      </c>
      <c r="AW77" s="147">
        <f t="shared" si="31"/>
        <v>-1</v>
      </c>
      <c r="AX77" s="147" t="str">
        <f t="shared" si="31"/>
        <v/>
      </c>
      <c r="AY77" s="147">
        <f t="shared" si="31"/>
        <v>1.0864433184502174</v>
      </c>
      <c r="AZ77" s="147">
        <f t="shared" si="31"/>
        <v>-1</v>
      </c>
      <c r="BA77" s="147" t="str">
        <f t="shared" si="31"/>
        <v/>
      </c>
      <c r="BB77" s="147" t="str">
        <f t="shared" si="31"/>
        <v/>
      </c>
      <c r="BC77" s="147" t="str">
        <f t="shared" si="31"/>
        <v/>
      </c>
      <c r="BD77" s="147" t="str">
        <f t="shared" si="27"/>
        <v/>
      </c>
      <c r="BE77" s="147" t="str">
        <f t="shared" si="27"/>
        <v/>
      </c>
    </row>
    <row r="78" spans="2:57" s="136" customFormat="1">
      <c r="B78" s="154" t="s">
        <v>861</v>
      </c>
      <c r="C78" s="134" t="s">
        <v>862</v>
      </c>
      <c r="D78" s="135"/>
      <c r="E78" s="135"/>
      <c r="F78" s="135"/>
      <c r="G78" s="135"/>
      <c r="H78" s="135">
        <v>0</v>
      </c>
      <c r="I78" s="135">
        <v>0</v>
      </c>
      <c r="J78" s="135">
        <v>0</v>
      </c>
      <c r="K78" s="135">
        <v>0</v>
      </c>
      <c r="L78" s="135">
        <v>0</v>
      </c>
      <c r="M78" s="135">
        <v>0</v>
      </c>
      <c r="N78" s="135">
        <v>0</v>
      </c>
      <c r="O78" s="135">
        <v>0</v>
      </c>
      <c r="P78" s="135">
        <v>0</v>
      </c>
      <c r="Q78" s="135">
        <v>0</v>
      </c>
      <c r="R78" s="111">
        <v>0</v>
      </c>
      <c r="S78" s="111">
        <v>0</v>
      </c>
      <c r="T78" s="111">
        <v>0</v>
      </c>
      <c r="U78" s="111">
        <v>0</v>
      </c>
      <c r="V78" s="111">
        <v>0</v>
      </c>
      <c r="W78" s="155">
        <v>0</v>
      </c>
      <c r="X78" s="111"/>
      <c r="Z78" s="145" t="e">
        <f t="shared" si="28"/>
        <v>#DIV/0!</v>
      </c>
      <c r="AA78" s="145" t="e">
        <f t="shared" si="28"/>
        <v>#DIV/0!</v>
      </c>
      <c r="AB78" s="145" t="e">
        <f t="shared" ref="AB78:AM109" si="32">F78/F$153</f>
        <v>#DIV/0!</v>
      </c>
      <c r="AC78" s="145" t="e">
        <f t="shared" si="32"/>
        <v>#DIV/0!</v>
      </c>
      <c r="AD78" s="145">
        <f t="shared" si="32"/>
        <v>0</v>
      </c>
      <c r="AE78" s="145">
        <f t="shared" si="32"/>
        <v>0</v>
      </c>
      <c r="AF78" s="145">
        <f t="shared" si="32"/>
        <v>0</v>
      </c>
      <c r="AG78" s="145">
        <f t="shared" si="32"/>
        <v>0</v>
      </c>
      <c r="AH78" s="145">
        <f t="shared" si="32"/>
        <v>0</v>
      </c>
      <c r="AI78" s="145">
        <f t="shared" si="30"/>
        <v>0</v>
      </c>
      <c r="AJ78" s="145">
        <f t="shared" si="30"/>
        <v>0</v>
      </c>
      <c r="AK78" s="145">
        <f t="shared" si="30"/>
        <v>0</v>
      </c>
      <c r="AL78" s="145">
        <f t="shared" si="30"/>
        <v>0</v>
      </c>
      <c r="AM78" s="145">
        <f t="shared" si="30"/>
        <v>0</v>
      </c>
      <c r="AN78" s="145">
        <f t="shared" si="25"/>
        <v>0</v>
      </c>
      <c r="AO78" s="145">
        <f t="shared" si="25"/>
        <v>0</v>
      </c>
      <c r="AP78" s="146"/>
      <c r="AQ78" s="145" t="str">
        <f t="shared" si="29"/>
        <v/>
      </c>
      <c r="AR78" s="145" t="str">
        <f t="shared" si="29"/>
        <v/>
      </c>
      <c r="AS78" s="145" t="str">
        <f t="shared" si="29"/>
        <v/>
      </c>
      <c r="AT78" s="145" t="str">
        <f t="shared" si="29"/>
        <v/>
      </c>
      <c r="AU78" s="145" t="str">
        <f t="shared" si="31"/>
        <v/>
      </c>
      <c r="AV78" s="145" t="str">
        <f t="shared" si="31"/>
        <v/>
      </c>
      <c r="AW78" s="145" t="str">
        <f t="shared" si="31"/>
        <v/>
      </c>
      <c r="AX78" s="145" t="str">
        <f t="shared" si="31"/>
        <v/>
      </c>
      <c r="AY78" s="145" t="str">
        <f t="shared" si="31"/>
        <v/>
      </c>
      <c r="AZ78" s="145" t="str">
        <f t="shared" si="31"/>
        <v/>
      </c>
      <c r="BA78" s="145" t="str">
        <f t="shared" si="31"/>
        <v/>
      </c>
      <c r="BB78" s="145" t="str">
        <f t="shared" si="31"/>
        <v/>
      </c>
      <c r="BC78" s="145" t="str">
        <f t="shared" si="31"/>
        <v/>
      </c>
      <c r="BD78" s="145" t="str">
        <f t="shared" si="27"/>
        <v/>
      </c>
      <c r="BE78" s="145" t="str">
        <f t="shared" si="27"/>
        <v/>
      </c>
    </row>
    <row r="79" spans="2:57">
      <c r="B79" s="140" t="s">
        <v>846</v>
      </c>
      <c r="C79" s="127" t="s">
        <v>863</v>
      </c>
      <c r="D79" s="128"/>
      <c r="E79" s="128"/>
      <c r="F79" s="128"/>
      <c r="G79" s="128"/>
      <c r="H79" s="128">
        <v>0</v>
      </c>
      <c r="I79" s="128">
        <v>0</v>
      </c>
      <c r="J79" s="128">
        <v>0</v>
      </c>
      <c r="K79" s="128">
        <v>0</v>
      </c>
      <c r="L79" s="128">
        <v>0</v>
      </c>
      <c r="M79" s="128">
        <v>0</v>
      </c>
      <c r="N79" s="128">
        <v>0</v>
      </c>
      <c r="O79" s="128">
        <v>0</v>
      </c>
      <c r="P79" s="128">
        <v>0</v>
      </c>
      <c r="Q79" s="128">
        <v>0</v>
      </c>
      <c r="R79" s="110">
        <v>0</v>
      </c>
      <c r="S79" s="110">
        <v>0</v>
      </c>
      <c r="T79" s="110">
        <v>0</v>
      </c>
      <c r="U79" s="110">
        <v>0</v>
      </c>
      <c r="V79" s="110">
        <v>0</v>
      </c>
      <c r="W79" s="158">
        <v>0</v>
      </c>
      <c r="X79" s="110"/>
      <c r="Z79" s="145" t="e">
        <f t="shared" ref="Z79:Z110" si="33">D79/D$153</f>
        <v>#DIV/0!</v>
      </c>
      <c r="AA79" s="145" t="e">
        <f t="shared" ref="AA79:AA110" si="34">E79/E$153</f>
        <v>#DIV/0!</v>
      </c>
      <c r="AB79" s="145" t="e">
        <f t="shared" si="32"/>
        <v>#DIV/0!</v>
      </c>
      <c r="AC79" s="145" t="e">
        <f t="shared" si="32"/>
        <v>#DIV/0!</v>
      </c>
      <c r="AD79" s="145">
        <f t="shared" si="32"/>
        <v>0</v>
      </c>
      <c r="AE79" s="145">
        <f t="shared" si="32"/>
        <v>0</v>
      </c>
      <c r="AF79" s="145">
        <f t="shared" si="32"/>
        <v>0</v>
      </c>
      <c r="AG79" s="145">
        <f t="shared" si="32"/>
        <v>0</v>
      </c>
      <c r="AH79" s="145">
        <f t="shared" si="32"/>
        <v>0</v>
      </c>
      <c r="AI79" s="145">
        <f t="shared" si="30"/>
        <v>0</v>
      </c>
      <c r="AJ79" s="145">
        <f t="shared" si="30"/>
        <v>0</v>
      </c>
      <c r="AK79" s="145">
        <f t="shared" si="30"/>
        <v>0</v>
      </c>
      <c r="AL79" s="145">
        <f t="shared" si="30"/>
        <v>0</v>
      </c>
      <c r="AM79" s="145">
        <f t="shared" si="30"/>
        <v>0</v>
      </c>
      <c r="AN79" s="145">
        <f t="shared" si="25"/>
        <v>0</v>
      </c>
      <c r="AO79" s="145">
        <f t="shared" si="25"/>
        <v>0</v>
      </c>
      <c r="AP79" s="133"/>
      <c r="AQ79" s="147" t="str">
        <f t="shared" si="29"/>
        <v/>
      </c>
      <c r="AR79" s="147" t="str">
        <f t="shared" si="29"/>
        <v/>
      </c>
      <c r="AS79" s="147" t="str">
        <f t="shared" si="29"/>
        <v/>
      </c>
      <c r="AT79" s="147" t="str">
        <f t="shared" si="29"/>
        <v/>
      </c>
      <c r="AU79" s="147" t="str">
        <f t="shared" si="31"/>
        <v/>
      </c>
      <c r="AV79" s="147" t="str">
        <f t="shared" si="31"/>
        <v/>
      </c>
      <c r="AW79" s="147" t="str">
        <f t="shared" si="31"/>
        <v/>
      </c>
      <c r="AX79" s="147" t="str">
        <f t="shared" si="31"/>
        <v/>
      </c>
      <c r="AY79" s="147" t="str">
        <f t="shared" si="31"/>
        <v/>
      </c>
      <c r="AZ79" s="147" t="str">
        <f t="shared" si="31"/>
        <v/>
      </c>
      <c r="BA79" s="147" t="str">
        <f t="shared" si="31"/>
        <v/>
      </c>
      <c r="BB79" s="147" t="str">
        <f t="shared" si="31"/>
        <v/>
      </c>
      <c r="BC79" s="147" t="str">
        <f t="shared" si="31"/>
        <v/>
      </c>
      <c r="BD79" s="147" t="str">
        <f t="shared" si="27"/>
        <v/>
      </c>
      <c r="BE79" s="147" t="str">
        <f t="shared" si="27"/>
        <v/>
      </c>
    </row>
    <row r="80" spans="2:57">
      <c r="B80" s="140" t="s">
        <v>853</v>
      </c>
      <c r="C80" s="127" t="s">
        <v>864</v>
      </c>
      <c r="D80" s="128"/>
      <c r="E80" s="128"/>
      <c r="F80" s="128"/>
      <c r="G80" s="128"/>
      <c r="H80" s="128">
        <v>0</v>
      </c>
      <c r="I80" s="128">
        <v>0</v>
      </c>
      <c r="J80" s="128">
        <v>0</v>
      </c>
      <c r="K80" s="128">
        <v>0</v>
      </c>
      <c r="L80" s="128">
        <v>0</v>
      </c>
      <c r="M80" s="128">
        <v>0</v>
      </c>
      <c r="N80" s="128">
        <v>0</v>
      </c>
      <c r="O80" s="128">
        <v>0</v>
      </c>
      <c r="P80" s="128">
        <v>0</v>
      </c>
      <c r="Q80" s="128">
        <v>0</v>
      </c>
      <c r="R80" s="110">
        <v>0</v>
      </c>
      <c r="S80" s="110">
        <v>0</v>
      </c>
      <c r="T80" s="110">
        <v>0</v>
      </c>
      <c r="U80" s="110">
        <v>0</v>
      </c>
      <c r="V80" s="110">
        <v>0</v>
      </c>
      <c r="W80" s="158">
        <v>0</v>
      </c>
      <c r="X80" s="110"/>
      <c r="Z80" s="145" t="e">
        <f t="shared" si="33"/>
        <v>#DIV/0!</v>
      </c>
      <c r="AA80" s="145" t="e">
        <f t="shared" si="34"/>
        <v>#DIV/0!</v>
      </c>
      <c r="AB80" s="145" t="e">
        <f t="shared" si="32"/>
        <v>#DIV/0!</v>
      </c>
      <c r="AC80" s="145" t="e">
        <f t="shared" si="32"/>
        <v>#DIV/0!</v>
      </c>
      <c r="AD80" s="145">
        <f t="shared" si="32"/>
        <v>0</v>
      </c>
      <c r="AE80" s="145">
        <f t="shared" si="32"/>
        <v>0</v>
      </c>
      <c r="AF80" s="145">
        <f t="shared" si="32"/>
        <v>0</v>
      </c>
      <c r="AG80" s="145">
        <f t="shared" si="32"/>
        <v>0</v>
      </c>
      <c r="AH80" s="145">
        <f t="shared" si="32"/>
        <v>0</v>
      </c>
      <c r="AI80" s="145">
        <f t="shared" si="30"/>
        <v>0</v>
      </c>
      <c r="AJ80" s="145">
        <f t="shared" si="30"/>
        <v>0</v>
      </c>
      <c r="AK80" s="145">
        <f t="shared" si="30"/>
        <v>0</v>
      </c>
      <c r="AL80" s="145">
        <f t="shared" si="30"/>
        <v>0</v>
      </c>
      <c r="AM80" s="145">
        <f t="shared" si="30"/>
        <v>0</v>
      </c>
      <c r="AN80" s="145">
        <f t="shared" si="25"/>
        <v>0</v>
      </c>
      <c r="AO80" s="145">
        <f t="shared" si="25"/>
        <v>0</v>
      </c>
      <c r="AP80" s="133"/>
      <c r="AQ80" s="147" t="str">
        <f t="shared" si="29"/>
        <v/>
      </c>
      <c r="AR80" s="147" t="str">
        <f t="shared" si="29"/>
        <v/>
      </c>
      <c r="AS80" s="147" t="str">
        <f t="shared" si="29"/>
        <v/>
      </c>
      <c r="AT80" s="147" t="str">
        <f t="shared" si="29"/>
        <v/>
      </c>
      <c r="AU80" s="147" t="str">
        <f t="shared" si="31"/>
        <v/>
      </c>
      <c r="AV80" s="147" t="str">
        <f t="shared" si="31"/>
        <v/>
      </c>
      <c r="AW80" s="147" t="str">
        <f t="shared" si="31"/>
        <v/>
      </c>
      <c r="AX80" s="147" t="str">
        <f t="shared" si="31"/>
        <v/>
      </c>
      <c r="AY80" s="147" t="str">
        <f t="shared" si="31"/>
        <v/>
      </c>
      <c r="AZ80" s="147" t="str">
        <f t="shared" si="31"/>
        <v/>
      </c>
      <c r="BA80" s="147" t="str">
        <f t="shared" si="31"/>
        <v/>
      </c>
      <c r="BB80" s="147" t="str">
        <f t="shared" si="31"/>
        <v/>
      </c>
      <c r="BC80" s="147" t="str">
        <f t="shared" si="31"/>
        <v/>
      </c>
      <c r="BD80" s="147" t="str">
        <f t="shared" si="27"/>
        <v/>
      </c>
      <c r="BE80" s="147" t="str">
        <f t="shared" si="27"/>
        <v/>
      </c>
    </row>
    <row r="81" spans="2:57" s="136" customFormat="1">
      <c r="B81" s="154" t="s">
        <v>865</v>
      </c>
      <c r="C81" s="134" t="s">
        <v>866</v>
      </c>
      <c r="D81" s="135"/>
      <c r="E81" s="135"/>
      <c r="F81" s="135"/>
      <c r="G81" s="135"/>
      <c r="H81" s="135">
        <v>0</v>
      </c>
      <c r="I81" s="135">
        <v>0</v>
      </c>
      <c r="J81" s="135">
        <v>0</v>
      </c>
      <c r="K81" s="135">
        <v>0</v>
      </c>
      <c r="L81" s="135">
        <v>0</v>
      </c>
      <c r="M81" s="135">
        <v>0</v>
      </c>
      <c r="N81" s="135">
        <v>42.854581813999999</v>
      </c>
      <c r="O81" s="135">
        <v>80.420562146999998</v>
      </c>
      <c r="P81" s="135">
        <v>35.457406785000003</v>
      </c>
      <c r="Q81" s="135">
        <v>256.83199720699997</v>
      </c>
      <c r="R81" s="111">
        <v>87.43043831</v>
      </c>
      <c r="S81" s="111">
        <v>132.62036247</v>
      </c>
      <c r="T81" s="111">
        <v>79.697939172000005</v>
      </c>
      <c r="U81" s="111">
        <v>69.320373958000005</v>
      </c>
      <c r="V81" s="111">
        <v>4.4938569340000001</v>
      </c>
      <c r="W81" s="155">
        <v>24.526423340000001</v>
      </c>
      <c r="X81" s="111"/>
      <c r="Z81" s="145" t="e">
        <f t="shared" si="33"/>
        <v>#DIV/0!</v>
      </c>
      <c r="AA81" s="145" t="e">
        <f t="shared" si="34"/>
        <v>#DIV/0!</v>
      </c>
      <c r="AB81" s="145" t="e">
        <f t="shared" si="32"/>
        <v>#DIV/0!</v>
      </c>
      <c r="AC81" s="145" t="e">
        <f t="shared" si="32"/>
        <v>#DIV/0!</v>
      </c>
      <c r="AD81" s="145">
        <f t="shared" si="32"/>
        <v>0</v>
      </c>
      <c r="AE81" s="145">
        <f t="shared" si="32"/>
        <v>0</v>
      </c>
      <c r="AF81" s="145">
        <f t="shared" si="32"/>
        <v>0</v>
      </c>
      <c r="AG81" s="145">
        <f t="shared" si="32"/>
        <v>0</v>
      </c>
      <c r="AH81" s="145">
        <f t="shared" si="32"/>
        <v>0</v>
      </c>
      <c r="AI81" s="145">
        <f t="shared" si="30"/>
        <v>0</v>
      </c>
      <c r="AJ81" s="145">
        <f t="shared" si="30"/>
        <v>5.8981536189287812E-3</v>
      </c>
      <c r="AK81" s="145">
        <f t="shared" si="30"/>
        <v>5.413971792851204E-3</v>
      </c>
      <c r="AL81" s="145">
        <f t="shared" si="30"/>
        <v>1.5536050677796914E-3</v>
      </c>
      <c r="AM81" s="145">
        <f t="shared" si="30"/>
        <v>9.132605908079041E-3</v>
      </c>
      <c r="AN81" s="145">
        <f t="shared" si="25"/>
        <v>2.0962462363191383E-3</v>
      </c>
      <c r="AO81" s="145">
        <f t="shared" si="25"/>
        <v>2.8811172544818955E-3</v>
      </c>
      <c r="AP81" s="146"/>
      <c r="AQ81" s="145" t="str">
        <f t="shared" si="29"/>
        <v/>
      </c>
      <c r="AR81" s="145" t="str">
        <f t="shared" si="29"/>
        <v/>
      </c>
      <c r="AS81" s="145" t="str">
        <f t="shared" si="29"/>
        <v/>
      </c>
      <c r="AT81" s="145" t="str">
        <f t="shared" si="29"/>
        <v/>
      </c>
      <c r="AU81" s="145" t="str">
        <f t="shared" si="31"/>
        <v/>
      </c>
      <c r="AV81" s="145" t="str">
        <f t="shared" si="31"/>
        <v/>
      </c>
      <c r="AW81" s="145" t="str">
        <f t="shared" si="31"/>
        <v/>
      </c>
      <c r="AX81" s="145" t="str">
        <f t="shared" ref="AX81:BC123" si="35">IFERROR(L81/K81-1,"")</f>
        <v/>
      </c>
      <c r="AY81" s="145" t="str">
        <f t="shared" si="35"/>
        <v/>
      </c>
      <c r="AZ81" s="145" t="str">
        <f t="shared" si="35"/>
        <v/>
      </c>
      <c r="BA81" s="145">
        <f t="shared" si="35"/>
        <v>0.87659192419718623</v>
      </c>
      <c r="BB81" s="145">
        <f t="shared" si="35"/>
        <v>-0.55910023707385004</v>
      </c>
      <c r="BC81" s="145">
        <f t="shared" si="35"/>
        <v>6.2433948360727518</v>
      </c>
      <c r="BD81" s="145">
        <f t="shared" si="27"/>
        <v>-0.65958120771247475</v>
      </c>
      <c r="BE81" s="145">
        <f t="shared" si="27"/>
        <v>0.51686718073825944</v>
      </c>
    </row>
    <row r="82" spans="2:57">
      <c r="B82" s="140" t="s">
        <v>867</v>
      </c>
      <c r="C82" s="127" t="s">
        <v>868</v>
      </c>
      <c r="D82" s="128"/>
      <c r="E82" s="128"/>
      <c r="F82" s="128"/>
      <c r="G82" s="128"/>
      <c r="H82" s="128">
        <v>0</v>
      </c>
      <c r="I82" s="128">
        <v>0</v>
      </c>
      <c r="J82" s="128">
        <v>0</v>
      </c>
      <c r="K82" s="128">
        <v>0</v>
      </c>
      <c r="L82" s="128">
        <v>0</v>
      </c>
      <c r="M82" s="128">
        <v>0</v>
      </c>
      <c r="N82" s="128">
        <v>0</v>
      </c>
      <c r="O82" s="128">
        <v>0</v>
      </c>
      <c r="P82" s="128">
        <v>0</v>
      </c>
      <c r="Q82" s="128">
        <v>0</v>
      </c>
      <c r="R82" s="110">
        <v>0</v>
      </c>
      <c r="S82" s="110">
        <v>0</v>
      </c>
      <c r="T82" s="110">
        <v>0</v>
      </c>
      <c r="U82" s="110">
        <v>0</v>
      </c>
      <c r="V82" s="110">
        <v>0</v>
      </c>
      <c r="W82" s="158">
        <v>0</v>
      </c>
      <c r="X82" s="110"/>
      <c r="Z82" s="145" t="e">
        <f t="shared" si="33"/>
        <v>#DIV/0!</v>
      </c>
      <c r="AA82" s="145" t="e">
        <f t="shared" si="34"/>
        <v>#DIV/0!</v>
      </c>
      <c r="AB82" s="145" t="e">
        <f t="shared" si="32"/>
        <v>#DIV/0!</v>
      </c>
      <c r="AC82" s="145" t="e">
        <f t="shared" si="32"/>
        <v>#DIV/0!</v>
      </c>
      <c r="AD82" s="145">
        <f t="shared" si="32"/>
        <v>0</v>
      </c>
      <c r="AE82" s="145">
        <f t="shared" si="32"/>
        <v>0</v>
      </c>
      <c r="AF82" s="145">
        <f t="shared" si="32"/>
        <v>0</v>
      </c>
      <c r="AG82" s="145">
        <f t="shared" si="32"/>
        <v>0</v>
      </c>
      <c r="AH82" s="145">
        <f t="shared" si="32"/>
        <v>0</v>
      </c>
      <c r="AI82" s="145">
        <f t="shared" si="30"/>
        <v>0</v>
      </c>
      <c r="AJ82" s="145">
        <f t="shared" si="30"/>
        <v>0</v>
      </c>
      <c r="AK82" s="145">
        <f t="shared" si="30"/>
        <v>0</v>
      </c>
      <c r="AL82" s="145">
        <f t="shared" si="30"/>
        <v>0</v>
      </c>
      <c r="AM82" s="145">
        <f t="shared" si="30"/>
        <v>0</v>
      </c>
      <c r="AN82" s="145">
        <f t="shared" si="25"/>
        <v>0</v>
      </c>
      <c r="AO82" s="145">
        <f t="shared" si="25"/>
        <v>0</v>
      </c>
      <c r="AP82" s="133"/>
      <c r="AQ82" s="147" t="str">
        <f t="shared" si="29"/>
        <v/>
      </c>
      <c r="AR82" s="147" t="str">
        <f t="shared" si="29"/>
        <v/>
      </c>
      <c r="AS82" s="147" t="str">
        <f t="shared" si="29"/>
        <v/>
      </c>
      <c r="AT82" s="147" t="str">
        <f t="shared" si="29"/>
        <v/>
      </c>
      <c r="AU82" s="147" t="str">
        <f t="shared" si="29"/>
        <v/>
      </c>
      <c r="AV82" s="147" t="str">
        <f t="shared" si="29"/>
        <v/>
      </c>
      <c r="AW82" s="147" t="str">
        <f t="shared" si="29"/>
        <v/>
      </c>
      <c r="AX82" s="147" t="str">
        <f t="shared" si="35"/>
        <v/>
      </c>
      <c r="AY82" s="147" t="str">
        <f t="shared" si="35"/>
        <v/>
      </c>
      <c r="AZ82" s="147" t="str">
        <f t="shared" si="35"/>
        <v/>
      </c>
      <c r="BA82" s="147" t="str">
        <f t="shared" si="35"/>
        <v/>
      </c>
      <c r="BB82" s="147" t="str">
        <f t="shared" si="35"/>
        <v/>
      </c>
      <c r="BC82" s="147" t="str">
        <f t="shared" si="35"/>
        <v/>
      </c>
      <c r="BD82" s="147" t="str">
        <f t="shared" si="27"/>
        <v/>
      </c>
      <c r="BE82" s="147" t="str">
        <f t="shared" si="27"/>
        <v/>
      </c>
    </row>
    <row r="83" spans="2:57">
      <c r="B83" s="140" t="s">
        <v>473</v>
      </c>
      <c r="C83" s="127" t="s">
        <v>869</v>
      </c>
      <c r="D83" s="128"/>
      <c r="E83" s="128"/>
      <c r="F83" s="128"/>
      <c r="G83" s="128"/>
      <c r="H83" s="128">
        <v>0</v>
      </c>
      <c r="I83" s="128">
        <v>0</v>
      </c>
      <c r="J83" s="128">
        <v>0</v>
      </c>
      <c r="K83" s="128">
        <v>0</v>
      </c>
      <c r="L83" s="128">
        <v>0</v>
      </c>
      <c r="M83" s="128">
        <v>0</v>
      </c>
      <c r="N83" s="128">
        <v>42.854581813999999</v>
      </c>
      <c r="O83" s="128">
        <v>80.420562146999998</v>
      </c>
      <c r="P83" s="128">
        <v>35.457406785000003</v>
      </c>
      <c r="Q83" s="128">
        <v>256.83199720699997</v>
      </c>
      <c r="R83" s="110">
        <v>87.43043831</v>
      </c>
      <c r="S83" s="110">
        <v>132.62036247</v>
      </c>
      <c r="T83" s="110">
        <v>79.697939172000005</v>
      </c>
      <c r="U83" s="110">
        <v>69.320373958000005</v>
      </c>
      <c r="V83" s="110">
        <v>4.4938569340000001</v>
      </c>
      <c r="W83" s="158">
        <v>24.526423340000001</v>
      </c>
      <c r="X83" s="110"/>
      <c r="Z83" s="145" t="e">
        <f t="shared" si="33"/>
        <v>#DIV/0!</v>
      </c>
      <c r="AA83" s="145" t="e">
        <f t="shared" si="34"/>
        <v>#DIV/0!</v>
      </c>
      <c r="AB83" s="145" t="e">
        <f t="shared" si="32"/>
        <v>#DIV/0!</v>
      </c>
      <c r="AC83" s="145" t="e">
        <f t="shared" si="32"/>
        <v>#DIV/0!</v>
      </c>
      <c r="AD83" s="145">
        <f t="shared" si="32"/>
        <v>0</v>
      </c>
      <c r="AE83" s="145">
        <f t="shared" si="32"/>
        <v>0</v>
      </c>
      <c r="AF83" s="145">
        <f t="shared" si="32"/>
        <v>0</v>
      </c>
      <c r="AG83" s="145">
        <f t="shared" si="32"/>
        <v>0</v>
      </c>
      <c r="AH83" s="145">
        <f t="shared" si="32"/>
        <v>0</v>
      </c>
      <c r="AI83" s="145">
        <f t="shared" si="30"/>
        <v>0</v>
      </c>
      <c r="AJ83" s="145">
        <f t="shared" si="30"/>
        <v>5.8981536189287812E-3</v>
      </c>
      <c r="AK83" s="145">
        <f t="shared" si="30"/>
        <v>5.413971792851204E-3</v>
      </c>
      <c r="AL83" s="145">
        <f t="shared" si="30"/>
        <v>1.5536050677796914E-3</v>
      </c>
      <c r="AM83" s="145">
        <f t="shared" si="30"/>
        <v>9.132605908079041E-3</v>
      </c>
      <c r="AN83" s="145">
        <f t="shared" si="25"/>
        <v>2.0962462363191383E-3</v>
      </c>
      <c r="AO83" s="145">
        <f t="shared" si="25"/>
        <v>2.8811172544818955E-3</v>
      </c>
      <c r="AP83" s="133"/>
      <c r="AQ83" s="147" t="str">
        <f t="shared" si="29"/>
        <v/>
      </c>
      <c r="AR83" s="147" t="str">
        <f t="shared" si="29"/>
        <v/>
      </c>
      <c r="AS83" s="147" t="str">
        <f t="shared" si="29"/>
        <v/>
      </c>
      <c r="AT83" s="147" t="str">
        <f t="shared" si="29"/>
        <v/>
      </c>
      <c r="AU83" s="147" t="str">
        <f t="shared" si="29"/>
        <v/>
      </c>
      <c r="AV83" s="147" t="str">
        <f t="shared" si="29"/>
        <v/>
      </c>
      <c r="AW83" s="147" t="str">
        <f t="shared" si="29"/>
        <v/>
      </c>
      <c r="AX83" s="147" t="str">
        <f t="shared" si="35"/>
        <v/>
      </c>
      <c r="AY83" s="147" t="str">
        <f t="shared" si="35"/>
        <v/>
      </c>
      <c r="AZ83" s="147" t="str">
        <f t="shared" si="35"/>
        <v/>
      </c>
      <c r="BA83" s="147">
        <f t="shared" si="35"/>
        <v>0.87659192419718623</v>
      </c>
      <c r="BB83" s="147">
        <f t="shared" si="35"/>
        <v>-0.55910023707385004</v>
      </c>
      <c r="BC83" s="147">
        <f t="shared" si="35"/>
        <v>6.2433948360727518</v>
      </c>
      <c r="BD83" s="147">
        <f t="shared" si="27"/>
        <v>-0.65958120771247475</v>
      </c>
      <c r="BE83" s="147">
        <f t="shared" si="27"/>
        <v>0.51686718073825944</v>
      </c>
    </row>
    <row r="84" spans="2:57" s="136" customFormat="1">
      <c r="B84" s="154" t="s">
        <v>870</v>
      </c>
      <c r="C84" s="134" t="s">
        <v>871</v>
      </c>
      <c r="D84" s="135"/>
      <c r="E84" s="135"/>
      <c r="F84" s="135"/>
      <c r="G84" s="135"/>
      <c r="H84" s="135">
        <v>0</v>
      </c>
      <c r="I84" s="135">
        <v>0</v>
      </c>
      <c r="J84" s="135">
        <v>0</v>
      </c>
      <c r="K84" s="135">
        <v>0</v>
      </c>
      <c r="L84" s="135">
        <v>0</v>
      </c>
      <c r="M84" s="135">
        <v>0</v>
      </c>
      <c r="N84" s="135">
        <v>0</v>
      </c>
      <c r="O84" s="135">
        <v>0</v>
      </c>
      <c r="P84" s="135">
        <v>0</v>
      </c>
      <c r="Q84" s="135">
        <v>59.937763115000003</v>
      </c>
      <c r="R84" s="111">
        <v>56.464479744000002</v>
      </c>
      <c r="S84" s="111">
        <v>52.757540272999996</v>
      </c>
      <c r="T84" s="111">
        <v>0</v>
      </c>
      <c r="U84" s="111">
        <v>241.03484</v>
      </c>
      <c r="V84" s="111">
        <v>746.63225272900002</v>
      </c>
      <c r="W84" s="155">
        <v>242.03579783000001</v>
      </c>
      <c r="X84" s="111"/>
      <c r="Z84" s="145" t="e">
        <f t="shared" si="33"/>
        <v>#DIV/0!</v>
      </c>
      <c r="AA84" s="145" t="e">
        <f t="shared" si="34"/>
        <v>#DIV/0!</v>
      </c>
      <c r="AB84" s="145" t="e">
        <f t="shared" si="32"/>
        <v>#DIV/0!</v>
      </c>
      <c r="AC84" s="145" t="e">
        <f t="shared" si="32"/>
        <v>#DIV/0!</v>
      </c>
      <c r="AD84" s="145">
        <f t="shared" si="32"/>
        <v>0</v>
      </c>
      <c r="AE84" s="145">
        <f t="shared" si="32"/>
        <v>0</v>
      </c>
      <c r="AF84" s="145">
        <f t="shared" si="32"/>
        <v>0</v>
      </c>
      <c r="AG84" s="145">
        <f t="shared" si="32"/>
        <v>0</v>
      </c>
      <c r="AH84" s="145">
        <f t="shared" si="32"/>
        <v>0</v>
      </c>
      <c r="AI84" s="145">
        <f t="shared" si="30"/>
        <v>0</v>
      </c>
      <c r="AJ84" s="145">
        <f t="shared" si="30"/>
        <v>0</v>
      </c>
      <c r="AK84" s="145">
        <f t="shared" si="30"/>
        <v>0</v>
      </c>
      <c r="AL84" s="145">
        <f t="shared" si="30"/>
        <v>0</v>
      </c>
      <c r="AM84" s="145">
        <f t="shared" si="30"/>
        <v>2.1313075298009321E-3</v>
      </c>
      <c r="AN84" s="145">
        <f t="shared" si="25"/>
        <v>1.3538014384578488E-3</v>
      </c>
      <c r="AO84" s="145">
        <f t="shared" si="25"/>
        <v>1.1461336460978817E-3</v>
      </c>
      <c r="AP84" s="146"/>
      <c r="AQ84" s="145" t="str">
        <f t="shared" si="29"/>
        <v/>
      </c>
      <c r="AR84" s="145" t="str">
        <f t="shared" si="29"/>
        <v/>
      </c>
      <c r="AS84" s="145" t="str">
        <f t="shared" si="29"/>
        <v/>
      </c>
      <c r="AT84" s="145" t="str">
        <f t="shared" si="29"/>
        <v/>
      </c>
      <c r="AU84" s="145" t="str">
        <f t="shared" si="29"/>
        <v/>
      </c>
      <c r="AV84" s="145" t="str">
        <f t="shared" si="29"/>
        <v/>
      </c>
      <c r="AW84" s="145" t="str">
        <f t="shared" si="29"/>
        <v/>
      </c>
      <c r="AX84" s="145" t="str">
        <f t="shared" si="35"/>
        <v/>
      </c>
      <c r="AY84" s="145" t="str">
        <f t="shared" si="35"/>
        <v/>
      </c>
      <c r="AZ84" s="145" t="str">
        <f t="shared" si="35"/>
        <v/>
      </c>
      <c r="BA84" s="145" t="str">
        <f t="shared" si="35"/>
        <v/>
      </c>
      <c r="BB84" s="145" t="str">
        <f t="shared" si="35"/>
        <v/>
      </c>
      <c r="BC84" s="145" t="str">
        <f t="shared" si="35"/>
        <v/>
      </c>
      <c r="BD84" s="145">
        <f t="shared" si="27"/>
        <v>-5.7948164737745778E-2</v>
      </c>
      <c r="BE84" s="145">
        <f t="shared" si="27"/>
        <v>-6.5650821327082332E-2</v>
      </c>
    </row>
    <row r="85" spans="2:57">
      <c r="B85" s="140" t="s">
        <v>872</v>
      </c>
      <c r="C85" s="127" t="s">
        <v>873</v>
      </c>
      <c r="D85" s="128"/>
      <c r="E85" s="128"/>
      <c r="F85" s="128"/>
      <c r="G85" s="128"/>
      <c r="H85" s="128">
        <v>0</v>
      </c>
      <c r="I85" s="128">
        <v>0</v>
      </c>
      <c r="J85" s="128">
        <v>0</v>
      </c>
      <c r="K85" s="128">
        <v>0</v>
      </c>
      <c r="L85" s="128">
        <v>0</v>
      </c>
      <c r="M85" s="128">
        <v>0</v>
      </c>
      <c r="N85" s="128">
        <v>0</v>
      </c>
      <c r="O85" s="128">
        <v>0</v>
      </c>
      <c r="P85" s="128">
        <v>0</v>
      </c>
      <c r="Q85" s="128">
        <v>0</v>
      </c>
      <c r="R85" s="110">
        <v>0</v>
      </c>
      <c r="S85" s="110">
        <v>0</v>
      </c>
      <c r="T85" s="110">
        <v>0</v>
      </c>
      <c r="U85" s="110">
        <v>0</v>
      </c>
      <c r="V85" s="110">
        <v>0</v>
      </c>
      <c r="W85" s="158">
        <v>0</v>
      </c>
      <c r="X85" s="110"/>
      <c r="Z85" s="145" t="e">
        <f t="shared" si="33"/>
        <v>#DIV/0!</v>
      </c>
      <c r="AA85" s="145" t="e">
        <f t="shared" si="34"/>
        <v>#DIV/0!</v>
      </c>
      <c r="AB85" s="145" t="e">
        <f t="shared" si="32"/>
        <v>#DIV/0!</v>
      </c>
      <c r="AC85" s="145" t="e">
        <f t="shared" si="32"/>
        <v>#DIV/0!</v>
      </c>
      <c r="AD85" s="145">
        <f t="shared" si="32"/>
        <v>0</v>
      </c>
      <c r="AE85" s="145">
        <f t="shared" si="32"/>
        <v>0</v>
      </c>
      <c r="AF85" s="145">
        <f t="shared" si="32"/>
        <v>0</v>
      </c>
      <c r="AG85" s="145">
        <f t="shared" si="32"/>
        <v>0</v>
      </c>
      <c r="AH85" s="145">
        <f t="shared" si="32"/>
        <v>0</v>
      </c>
      <c r="AI85" s="145">
        <f t="shared" si="30"/>
        <v>0</v>
      </c>
      <c r="AJ85" s="145">
        <f t="shared" si="30"/>
        <v>0</v>
      </c>
      <c r="AK85" s="145">
        <f t="shared" si="30"/>
        <v>0</v>
      </c>
      <c r="AL85" s="145">
        <f t="shared" si="30"/>
        <v>0</v>
      </c>
      <c r="AM85" s="145">
        <f t="shared" si="30"/>
        <v>0</v>
      </c>
      <c r="AN85" s="145">
        <f t="shared" si="25"/>
        <v>0</v>
      </c>
      <c r="AO85" s="145">
        <f t="shared" si="25"/>
        <v>0</v>
      </c>
      <c r="AP85" s="133"/>
      <c r="AQ85" s="147" t="str">
        <f t="shared" si="29"/>
        <v/>
      </c>
      <c r="AR85" s="147" t="str">
        <f t="shared" si="29"/>
        <v/>
      </c>
      <c r="AS85" s="147" t="str">
        <f t="shared" si="29"/>
        <v/>
      </c>
      <c r="AT85" s="147" t="str">
        <f t="shared" si="29"/>
        <v/>
      </c>
      <c r="AU85" s="147" t="str">
        <f t="shared" si="29"/>
        <v/>
      </c>
      <c r="AV85" s="147" t="str">
        <f t="shared" si="29"/>
        <v/>
      </c>
      <c r="AW85" s="147" t="str">
        <f t="shared" si="29"/>
        <v/>
      </c>
      <c r="AX85" s="147" t="str">
        <f t="shared" si="35"/>
        <v/>
      </c>
      <c r="AY85" s="147" t="str">
        <f t="shared" si="35"/>
        <v/>
      </c>
      <c r="AZ85" s="147" t="str">
        <f t="shared" si="35"/>
        <v/>
      </c>
      <c r="BA85" s="147" t="str">
        <f t="shared" si="35"/>
        <v/>
      </c>
      <c r="BB85" s="147" t="str">
        <f t="shared" si="35"/>
        <v/>
      </c>
      <c r="BC85" s="147" t="str">
        <f t="shared" si="35"/>
        <v/>
      </c>
      <c r="BD85" s="147" t="str">
        <f t="shared" si="27"/>
        <v/>
      </c>
      <c r="BE85" s="147" t="str">
        <f t="shared" si="27"/>
        <v/>
      </c>
    </row>
    <row r="86" spans="2:57">
      <c r="B86" s="140" t="s">
        <v>874</v>
      </c>
      <c r="C86" s="127" t="s">
        <v>875</v>
      </c>
      <c r="D86" s="128"/>
      <c r="E86" s="128"/>
      <c r="F86" s="128"/>
      <c r="G86" s="128"/>
      <c r="H86" s="128">
        <v>0</v>
      </c>
      <c r="I86" s="128">
        <v>0</v>
      </c>
      <c r="J86" s="128">
        <v>0</v>
      </c>
      <c r="K86" s="128">
        <v>0</v>
      </c>
      <c r="L86" s="128">
        <v>0</v>
      </c>
      <c r="M86" s="128">
        <v>0</v>
      </c>
      <c r="N86" s="128">
        <v>0</v>
      </c>
      <c r="O86" s="128">
        <v>0</v>
      </c>
      <c r="P86" s="128">
        <v>0</v>
      </c>
      <c r="Q86" s="128">
        <v>59.937763115000003</v>
      </c>
      <c r="R86" s="110">
        <v>56.464479744000002</v>
      </c>
      <c r="S86" s="110">
        <v>52.757540272999996</v>
      </c>
      <c r="T86" s="110">
        <v>0</v>
      </c>
      <c r="U86" s="110">
        <v>181.03484</v>
      </c>
      <c r="V86" s="110">
        <v>286.63225272900002</v>
      </c>
      <c r="W86" s="158">
        <v>242.03579783000001</v>
      </c>
      <c r="X86" s="110"/>
      <c r="Z86" s="145" t="e">
        <f t="shared" si="33"/>
        <v>#DIV/0!</v>
      </c>
      <c r="AA86" s="145" t="e">
        <f t="shared" si="34"/>
        <v>#DIV/0!</v>
      </c>
      <c r="AB86" s="145" t="e">
        <f t="shared" si="32"/>
        <v>#DIV/0!</v>
      </c>
      <c r="AC86" s="145" t="e">
        <f t="shared" si="32"/>
        <v>#DIV/0!</v>
      </c>
      <c r="AD86" s="145">
        <f t="shared" si="32"/>
        <v>0</v>
      </c>
      <c r="AE86" s="145">
        <f t="shared" si="32"/>
        <v>0</v>
      </c>
      <c r="AF86" s="145">
        <f t="shared" si="32"/>
        <v>0</v>
      </c>
      <c r="AG86" s="145">
        <f t="shared" si="32"/>
        <v>0</v>
      </c>
      <c r="AH86" s="145">
        <f t="shared" si="32"/>
        <v>0</v>
      </c>
      <c r="AI86" s="145">
        <f t="shared" si="30"/>
        <v>0</v>
      </c>
      <c r="AJ86" s="145">
        <f t="shared" si="30"/>
        <v>0</v>
      </c>
      <c r="AK86" s="145">
        <f t="shared" si="30"/>
        <v>0</v>
      </c>
      <c r="AL86" s="145">
        <f t="shared" si="30"/>
        <v>0</v>
      </c>
      <c r="AM86" s="145">
        <f t="shared" si="30"/>
        <v>2.1313075298009321E-3</v>
      </c>
      <c r="AN86" s="145">
        <f t="shared" si="25"/>
        <v>1.3538014384578488E-3</v>
      </c>
      <c r="AO86" s="145">
        <f t="shared" si="25"/>
        <v>1.1461336460978817E-3</v>
      </c>
      <c r="AP86" s="133"/>
      <c r="AQ86" s="147" t="str">
        <f t="shared" si="29"/>
        <v/>
      </c>
      <c r="AR86" s="147" t="str">
        <f t="shared" si="29"/>
        <v/>
      </c>
      <c r="AS86" s="147" t="str">
        <f t="shared" si="29"/>
        <v/>
      </c>
      <c r="AT86" s="147" t="str">
        <f t="shared" si="29"/>
        <v/>
      </c>
      <c r="AU86" s="147" t="str">
        <f t="shared" si="29"/>
        <v/>
      </c>
      <c r="AV86" s="147" t="str">
        <f t="shared" si="29"/>
        <v/>
      </c>
      <c r="AW86" s="147" t="str">
        <f t="shared" si="29"/>
        <v/>
      </c>
      <c r="AX86" s="147" t="str">
        <f t="shared" si="35"/>
        <v/>
      </c>
      <c r="AY86" s="147" t="str">
        <f t="shared" si="35"/>
        <v/>
      </c>
      <c r="AZ86" s="147" t="str">
        <f t="shared" si="35"/>
        <v/>
      </c>
      <c r="BA86" s="147" t="str">
        <f t="shared" si="35"/>
        <v/>
      </c>
      <c r="BB86" s="147" t="str">
        <f t="shared" si="35"/>
        <v/>
      </c>
      <c r="BC86" s="147" t="str">
        <f t="shared" si="35"/>
        <v/>
      </c>
      <c r="BD86" s="147">
        <f t="shared" si="27"/>
        <v>-5.7948164737745778E-2</v>
      </c>
      <c r="BE86" s="147">
        <f t="shared" si="27"/>
        <v>-6.5650821327082332E-2</v>
      </c>
    </row>
    <row r="87" spans="2:57">
      <c r="B87" s="140" t="s">
        <v>876</v>
      </c>
      <c r="C87" s="127" t="s">
        <v>877</v>
      </c>
      <c r="D87" s="128"/>
      <c r="E87" s="128"/>
      <c r="F87" s="128"/>
      <c r="G87" s="128"/>
      <c r="H87" s="128">
        <v>0</v>
      </c>
      <c r="I87" s="128">
        <v>0</v>
      </c>
      <c r="J87" s="128">
        <v>0</v>
      </c>
      <c r="K87" s="128">
        <v>0</v>
      </c>
      <c r="L87" s="128">
        <v>0</v>
      </c>
      <c r="M87" s="128">
        <v>0</v>
      </c>
      <c r="N87" s="128">
        <v>0</v>
      </c>
      <c r="O87" s="128">
        <v>0</v>
      </c>
      <c r="P87" s="128">
        <v>0</v>
      </c>
      <c r="Q87" s="128">
        <v>0</v>
      </c>
      <c r="R87" s="110">
        <v>0</v>
      </c>
      <c r="S87" s="110">
        <v>0</v>
      </c>
      <c r="T87" s="110">
        <v>0</v>
      </c>
      <c r="U87" s="110">
        <v>0</v>
      </c>
      <c r="V87" s="110">
        <v>0</v>
      </c>
      <c r="W87" s="158">
        <v>0</v>
      </c>
      <c r="X87" s="110"/>
      <c r="Z87" s="145" t="e">
        <f t="shared" si="33"/>
        <v>#DIV/0!</v>
      </c>
      <c r="AA87" s="145" t="e">
        <f t="shared" si="34"/>
        <v>#DIV/0!</v>
      </c>
      <c r="AB87" s="145" t="e">
        <f t="shared" si="32"/>
        <v>#DIV/0!</v>
      </c>
      <c r="AC87" s="145" t="e">
        <f t="shared" si="32"/>
        <v>#DIV/0!</v>
      </c>
      <c r="AD87" s="145">
        <f t="shared" si="32"/>
        <v>0</v>
      </c>
      <c r="AE87" s="145">
        <f t="shared" si="32"/>
        <v>0</v>
      </c>
      <c r="AF87" s="145">
        <f t="shared" si="32"/>
        <v>0</v>
      </c>
      <c r="AG87" s="145">
        <f t="shared" si="32"/>
        <v>0</v>
      </c>
      <c r="AH87" s="145">
        <f t="shared" si="32"/>
        <v>0</v>
      </c>
      <c r="AI87" s="145">
        <f t="shared" si="30"/>
        <v>0</v>
      </c>
      <c r="AJ87" s="145">
        <f t="shared" si="30"/>
        <v>0</v>
      </c>
      <c r="AK87" s="145">
        <f t="shared" si="30"/>
        <v>0</v>
      </c>
      <c r="AL87" s="145">
        <f t="shared" si="30"/>
        <v>0</v>
      </c>
      <c r="AM87" s="145">
        <f t="shared" si="30"/>
        <v>0</v>
      </c>
      <c r="AN87" s="145">
        <f t="shared" si="25"/>
        <v>0</v>
      </c>
      <c r="AO87" s="145">
        <f t="shared" si="25"/>
        <v>0</v>
      </c>
      <c r="AP87" s="133"/>
      <c r="AQ87" s="147" t="str">
        <f t="shared" si="29"/>
        <v/>
      </c>
      <c r="AR87" s="147" t="str">
        <f t="shared" si="29"/>
        <v/>
      </c>
      <c r="AS87" s="147" t="str">
        <f t="shared" si="29"/>
        <v/>
      </c>
      <c r="AT87" s="147" t="str">
        <f t="shared" si="29"/>
        <v/>
      </c>
      <c r="AU87" s="147" t="str">
        <f t="shared" si="29"/>
        <v/>
      </c>
      <c r="AV87" s="147" t="str">
        <f t="shared" si="29"/>
        <v/>
      </c>
      <c r="AW87" s="147" t="str">
        <f t="shared" si="29"/>
        <v/>
      </c>
      <c r="AX87" s="147" t="str">
        <f t="shared" si="35"/>
        <v/>
      </c>
      <c r="AY87" s="147" t="str">
        <f t="shared" si="35"/>
        <v/>
      </c>
      <c r="AZ87" s="147" t="str">
        <f t="shared" si="35"/>
        <v/>
      </c>
      <c r="BA87" s="147" t="str">
        <f t="shared" si="35"/>
        <v/>
      </c>
      <c r="BB87" s="147" t="str">
        <f t="shared" si="35"/>
        <v/>
      </c>
      <c r="BC87" s="147" t="str">
        <f t="shared" si="35"/>
        <v/>
      </c>
      <c r="BD87" s="147" t="str">
        <f t="shared" si="27"/>
        <v/>
      </c>
      <c r="BE87" s="147" t="str">
        <f t="shared" si="27"/>
        <v/>
      </c>
    </row>
    <row r="88" spans="2:57">
      <c r="B88" s="140" t="s">
        <v>878</v>
      </c>
      <c r="C88" s="127" t="s">
        <v>879</v>
      </c>
      <c r="D88" s="128"/>
      <c r="E88" s="128"/>
      <c r="F88" s="128"/>
      <c r="G88" s="128"/>
      <c r="H88" s="128">
        <v>0</v>
      </c>
      <c r="I88" s="128">
        <v>0</v>
      </c>
      <c r="J88" s="128">
        <v>0</v>
      </c>
      <c r="K88" s="128">
        <v>0</v>
      </c>
      <c r="L88" s="128">
        <v>0</v>
      </c>
      <c r="M88" s="128">
        <v>0</v>
      </c>
      <c r="N88" s="128">
        <v>0</v>
      </c>
      <c r="O88" s="128">
        <v>0</v>
      </c>
      <c r="P88" s="128">
        <v>0</v>
      </c>
      <c r="Q88" s="128">
        <v>0</v>
      </c>
      <c r="R88" s="110">
        <v>0</v>
      </c>
      <c r="S88" s="110">
        <v>0</v>
      </c>
      <c r="T88" s="110">
        <v>0</v>
      </c>
      <c r="U88" s="110">
        <v>0</v>
      </c>
      <c r="V88" s="110">
        <v>0</v>
      </c>
      <c r="W88" s="158">
        <v>0</v>
      </c>
      <c r="X88" s="110"/>
      <c r="Z88" s="145" t="e">
        <f t="shared" si="33"/>
        <v>#DIV/0!</v>
      </c>
      <c r="AA88" s="145" t="e">
        <f t="shared" si="34"/>
        <v>#DIV/0!</v>
      </c>
      <c r="AB88" s="145" t="e">
        <f t="shared" si="32"/>
        <v>#DIV/0!</v>
      </c>
      <c r="AC88" s="145" t="e">
        <f t="shared" si="32"/>
        <v>#DIV/0!</v>
      </c>
      <c r="AD88" s="145">
        <f t="shared" si="32"/>
        <v>0</v>
      </c>
      <c r="AE88" s="145">
        <f t="shared" si="32"/>
        <v>0</v>
      </c>
      <c r="AF88" s="145">
        <f t="shared" si="32"/>
        <v>0</v>
      </c>
      <c r="AG88" s="145">
        <f t="shared" si="32"/>
        <v>0</v>
      </c>
      <c r="AH88" s="145">
        <f t="shared" si="32"/>
        <v>0</v>
      </c>
      <c r="AI88" s="145">
        <f t="shared" si="30"/>
        <v>0</v>
      </c>
      <c r="AJ88" s="145">
        <f t="shared" si="30"/>
        <v>0</v>
      </c>
      <c r="AK88" s="145">
        <f t="shared" si="30"/>
        <v>0</v>
      </c>
      <c r="AL88" s="145">
        <f t="shared" si="30"/>
        <v>0</v>
      </c>
      <c r="AM88" s="145">
        <f t="shared" si="30"/>
        <v>0</v>
      </c>
      <c r="AN88" s="145">
        <f t="shared" si="25"/>
        <v>0</v>
      </c>
      <c r="AO88" s="145">
        <f t="shared" si="25"/>
        <v>0</v>
      </c>
      <c r="AP88" s="133"/>
      <c r="AQ88" s="147" t="str">
        <f t="shared" si="29"/>
        <v/>
      </c>
      <c r="AR88" s="147" t="str">
        <f t="shared" si="29"/>
        <v/>
      </c>
      <c r="AS88" s="147" t="str">
        <f t="shared" si="29"/>
        <v/>
      </c>
      <c r="AT88" s="147" t="str">
        <f t="shared" si="29"/>
        <v/>
      </c>
      <c r="AU88" s="147" t="str">
        <f t="shared" si="29"/>
        <v/>
      </c>
      <c r="AV88" s="147" t="str">
        <f t="shared" si="29"/>
        <v/>
      </c>
      <c r="AW88" s="147" t="str">
        <f t="shared" si="29"/>
        <v/>
      </c>
      <c r="AX88" s="147" t="str">
        <f t="shared" si="35"/>
        <v/>
      </c>
      <c r="AY88" s="147" t="str">
        <f t="shared" si="35"/>
        <v/>
      </c>
      <c r="AZ88" s="147" t="str">
        <f t="shared" si="35"/>
        <v/>
      </c>
      <c r="BA88" s="147" t="str">
        <f t="shared" si="35"/>
        <v/>
      </c>
      <c r="BB88" s="147" t="str">
        <f t="shared" si="35"/>
        <v/>
      </c>
      <c r="BC88" s="147" t="str">
        <f t="shared" si="35"/>
        <v/>
      </c>
      <c r="BD88" s="147" t="str">
        <f t="shared" si="27"/>
        <v/>
      </c>
      <c r="BE88" s="147" t="str">
        <f t="shared" si="27"/>
        <v/>
      </c>
    </row>
    <row r="89" spans="2:57">
      <c r="B89" s="140" t="s">
        <v>789</v>
      </c>
      <c r="C89" s="127" t="s">
        <v>790</v>
      </c>
      <c r="D89" s="128"/>
      <c r="E89" s="128"/>
      <c r="F89" s="128"/>
      <c r="G89" s="128"/>
      <c r="H89" s="128">
        <v>0</v>
      </c>
      <c r="I89" s="128">
        <v>0</v>
      </c>
      <c r="J89" s="128">
        <v>0</v>
      </c>
      <c r="K89" s="128">
        <v>0</v>
      </c>
      <c r="L89" s="128">
        <v>0</v>
      </c>
      <c r="M89" s="128">
        <v>0</v>
      </c>
      <c r="N89" s="128">
        <v>0</v>
      </c>
      <c r="O89" s="128">
        <v>0</v>
      </c>
      <c r="P89" s="128">
        <v>0</v>
      </c>
      <c r="Q89" s="128">
        <v>0</v>
      </c>
      <c r="R89" s="110">
        <v>0</v>
      </c>
      <c r="S89" s="110">
        <v>0</v>
      </c>
      <c r="T89" s="110">
        <v>0</v>
      </c>
      <c r="U89" s="110">
        <v>60</v>
      </c>
      <c r="V89" s="110">
        <v>460</v>
      </c>
      <c r="W89" s="158">
        <v>0</v>
      </c>
      <c r="X89" s="110"/>
      <c r="Z89" s="145" t="e">
        <f t="shared" si="33"/>
        <v>#DIV/0!</v>
      </c>
      <c r="AA89" s="145" t="e">
        <f t="shared" si="34"/>
        <v>#DIV/0!</v>
      </c>
      <c r="AB89" s="145" t="e">
        <f t="shared" si="32"/>
        <v>#DIV/0!</v>
      </c>
      <c r="AC89" s="145" t="e">
        <f t="shared" si="32"/>
        <v>#DIV/0!</v>
      </c>
      <c r="AD89" s="145">
        <f t="shared" si="32"/>
        <v>0</v>
      </c>
      <c r="AE89" s="145">
        <f t="shared" si="32"/>
        <v>0</v>
      </c>
      <c r="AF89" s="145">
        <f t="shared" si="32"/>
        <v>0</v>
      </c>
      <c r="AG89" s="145">
        <f t="shared" si="32"/>
        <v>0</v>
      </c>
      <c r="AH89" s="145">
        <f t="shared" si="32"/>
        <v>0</v>
      </c>
      <c r="AI89" s="145">
        <f t="shared" si="30"/>
        <v>0</v>
      </c>
      <c r="AJ89" s="145">
        <f t="shared" si="30"/>
        <v>0</v>
      </c>
      <c r="AK89" s="145">
        <f t="shared" si="30"/>
        <v>0</v>
      </c>
      <c r="AL89" s="145">
        <f t="shared" si="30"/>
        <v>0</v>
      </c>
      <c r="AM89" s="145">
        <f t="shared" si="30"/>
        <v>0</v>
      </c>
      <c r="AN89" s="145">
        <f t="shared" si="25"/>
        <v>0</v>
      </c>
      <c r="AO89" s="145">
        <f t="shared" si="25"/>
        <v>0</v>
      </c>
      <c r="AP89" s="133"/>
      <c r="AQ89" s="147" t="str">
        <f t="shared" si="29"/>
        <v/>
      </c>
      <c r="AR89" s="147" t="str">
        <f t="shared" si="29"/>
        <v/>
      </c>
      <c r="AS89" s="147" t="str">
        <f t="shared" si="29"/>
        <v/>
      </c>
      <c r="AT89" s="147" t="str">
        <f t="shared" si="29"/>
        <v/>
      </c>
      <c r="AU89" s="147" t="str">
        <f t="shared" si="29"/>
        <v/>
      </c>
      <c r="AV89" s="147" t="str">
        <f t="shared" si="29"/>
        <v/>
      </c>
      <c r="AW89" s="147" t="str">
        <f t="shared" si="29"/>
        <v/>
      </c>
      <c r="AX89" s="147" t="str">
        <f t="shared" si="35"/>
        <v/>
      </c>
      <c r="AY89" s="147" t="str">
        <f t="shared" si="35"/>
        <v/>
      </c>
      <c r="AZ89" s="147" t="str">
        <f t="shared" si="35"/>
        <v/>
      </c>
      <c r="BA89" s="147" t="str">
        <f t="shared" si="35"/>
        <v/>
      </c>
      <c r="BB89" s="147" t="str">
        <f t="shared" si="35"/>
        <v/>
      </c>
      <c r="BC89" s="147" t="str">
        <f t="shared" si="35"/>
        <v/>
      </c>
      <c r="BD89" s="147" t="str">
        <f t="shared" si="27"/>
        <v/>
      </c>
      <c r="BE89" s="147" t="str">
        <f t="shared" si="27"/>
        <v/>
      </c>
    </row>
    <row r="90" spans="2:57" s="136" customFormat="1">
      <c r="B90" s="154" t="s">
        <v>880</v>
      </c>
      <c r="C90" s="144" t="s">
        <v>881</v>
      </c>
      <c r="D90" s="135"/>
      <c r="E90" s="135"/>
      <c r="F90" s="135"/>
      <c r="G90" s="135"/>
      <c r="H90" s="135">
        <v>0</v>
      </c>
      <c r="I90" s="135">
        <v>0</v>
      </c>
      <c r="J90" s="135">
        <v>0</v>
      </c>
      <c r="K90" s="135">
        <v>2.4884012929999999</v>
      </c>
      <c r="L90" s="135">
        <v>0.69843289600000003</v>
      </c>
      <c r="M90" s="135">
        <v>22.546549263999999</v>
      </c>
      <c r="N90" s="135">
        <v>0</v>
      </c>
      <c r="O90" s="135">
        <v>0</v>
      </c>
      <c r="P90" s="135">
        <v>0</v>
      </c>
      <c r="Q90" s="135">
        <v>0</v>
      </c>
      <c r="R90" s="110">
        <v>0</v>
      </c>
      <c r="S90" s="110">
        <v>0</v>
      </c>
      <c r="T90" s="110">
        <v>0</v>
      </c>
      <c r="U90" s="110">
        <v>0</v>
      </c>
      <c r="V90" s="110">
        <v>0</v>
      </c>
      <c r="W90" s="158">
        <v>0</v>
      </c>
      <c r="X90" s="110"/>
      <c r="Z90" s="145" t="e">
        <f t="shared" si="33"/>
        <v>#DIV/0!</v>
      </c>
      <c r="AA90" s="145" t="e">
        <f t="shared" si="34"/>
        <v>#DIV/0!</v>
      </c>
      <c r="AB90" s="145" t="e">
        <f t="shared" si="32"/>
        <v>#DIV/0!</v>
      </c>
      <c r="AC90" s="145" t="e">
        <f t="shared" si="32"/>
        <v>#DIV/0!</v>
      </c>
      <c r="AD90" s="145">
        <f t="shared" si="32"/>
        <v>0</v>
      </c>
      <c r="AE90" s="145">
        <f t="shared" si="32"/>
        <v>0</v>
      </c>
      <c r="AF90" s="145">
        <f t="shared" si="32"/>
        <v>0</v>
      </c>
      <c r="AG90" s="145">
        <f t="shared" si="32"/>
        <v>1.5602985073480712E-3</v>
      </c>
      <c r="AH90" s="145">
        <f t="shared" si="32"/>
        <v>3.1293533562917395E-4</v>
      </c>
      <c r="AI90" s="145">
        <f t="shared" si="30"/>
        <v>6.6173258484976717E-3</v>
      </c>
      <c r="AJ90" s="145">
        <f t="shared" si="30"/>
        <v>0</v>
      </c>
      <c r="AK90" s="145">
        <f t="shared" si="30"/>
        <v>0</v>
      </c>
      <c r="AL90" s="145">
        <f t="shared" si="30"/>
        <v>0</v>
      </c>
      <c r="AM90" s="145">
        <f t="shared" si="30"/>
        <v>0</v>
      </c>
      <c r="AN90" s="145">
        <f t="shared" si="25"/>
        <v>0</v>
      </c>
      <c r="AO90" s="145">
        <f t="shared" si="25"/>
        <v>0</v>
      </c>
      <c r="AP90" s="146"/>
      <c r="AQ90" s="145" t="str">
        <f t="shared" si="29"/>
        <v/>
      </c>
      <c r="AR90" s="145" t="str">
        <f t="shared" si="29"/>
        <v/>
      </c>
      <c r="AS90" s="145" t="str">
        <f t="shared" si="29"/>
        <v/>
      </c>
      <c r="AT90" s="145" t="str">
        <f t="shared" si="29"/>
        <v/>
      </c>
      <c r="AU90" s="145" t="str">
        <f t="shared" si="29"/>
        <v/>
      </c>
      <c r="AV90" s="145" t="str">
        <f t="shared" si="29"/>
        <v/>
      </c>
      <c r="AW90" s="145" t="str">
        <f t="shared" si="29"/>
        <v/>
      </c>
      <c r="AX90" s="145">
        <f t="shared" si="35"/>
        <v>-0.71932465315593297</v>
      </c>
      <c r="AY90" s="145">
        <f t="shared" si="35"/>
        <v>31.281625612319381</v>
      </c>
      <c r="AZ90" s="145">
        <f t="shared" si="35"/>
        <v>-1</v>
      </c>
      <c r="BA90" s="145" t="str">
        <f t="shared" si="35"/>
        <v/>
      </c>
      <c r="BB90" s="145" t="str">
        <f t="shared" si="35"/>
        <v/>
      </c>
      <c r="BC90" s="145" t="str">
        <f t="shared" si="35"/>
        <v/>
      </c>
      <c r="BD90" s="145" t="str">
        <f t="shared" si="27"/>
        <v/>
      </c>
      <c r="BE90" s="145" t="str">
        <f t="shared" si="27"/>
        <v/>
      </c>
    </row>
    <row r="91" spans="2:57" s="136" customFormat="1">
      <c r="B91" s="154" t="s">
        <v>882</v>
      </c>
      <c r="C91" s="134" t="s">
        <v>883</v>
      </c>
      <c r="D91" s="135"/>
      <c r="E91" s="135"/>
      <c r="F91" s="135"/>
      <c r="G91" s="135"/>
      <c r="H91" s="135">
        <v>12.625553999999999</v>
      </c>
      <c r="I91" s="135">
        <v>47.556326945999999</v>
      </c>
      <c r="J91" s="135">
        <v>182.893860555</v>
      </c>
      <c r="K91" s="135">
        <v>200.33335075599999</v>
      </c>
      <c r="L91" s="135">
        <v>47.053250241999997</v>
      </c>
      <c r="M91" s="135">
        <v>112.547057929</v>
      </c>
      <c r="N91" s="135">
        <v>84.864286742000004</v>
      </c>
      <c r="O91" s="135">
        <v>209.59183913699999</v>
      </c>
      <c r="P91" s="135">
        <v>218.57153710099999</v>
      </c>
      <c r="Q91" s="135">
        <v>786.84366520599997</v>
      </c>
      <c r="R91" s="111">
        <v>773.96313118800003</v>
      </c>
      <c r="S91" s="111">
        <v>793.81315555100002</v>
      </c>
      <c r="T91" s="111">
        <v>806.89105241699997</v>
      </c>
      <c r="U91" s="111">
        <v>670.59008197900005</v>
      </c>
      <c r="V91" s="111">
        <v>452.06753147000001</v>
      </c>
      <c r="W91" s="155">
        <v>201.617281507</v>
      </c>
      <c r="X91" s="111"/>
      <c r="Z91" s="145" t="e">
        <f t="shared" si="33"/>
        <v>#DIV/0!</v>
      </c>
      <c r="AA91" s="145" t="e">
        <f t="shared" si="34"/>
        <v>#DIV/0!</v>
      </c>
      <c r="AB91" s="145" t="e">
        <f t="shared" si="32"/>
        <v>#DIV/0!</v>
      </c>
      <c r="AC91" s="145" t="e">
        <f t="shared" si="32"/>
        <v>#DIV/0!</v>
      </c>
      <c r="AD91" s="145">
        <f t="shared" si="32"/>
        <v>3.9299856877602415E-2</v>
      </c>
      <c r="AE91" s="145">
        <f t="shared" si="32"/>
        <v>7.9318537803861458E-2</v>
      </c>
      <c r="AF91" s="145">
        <f t="shared" si="32"/>
        <v>0.11906207130068784</v>
      </c>
      <c r="AG91" s="145">
        <f t="shared" si="32"/>
        <v>0.12561471858897014</v>
      </c>
      <c r="AH91" s="145">
        <f t="shared" si="32"/>
        <v>2.1082375617261562E-2</v>
      </c>
      <c r="AI91" s="145">
        <f t="shared" si="30"/>
        <v>3.3032130410975719E-2</v>
      </c>
      <c r="AJ91" s="145">
        <f t="shared" si="30"/>
        <v>1.1680025303656487E-2</v>
      </c>
      <c r="AK91" s="145">
        <f t="shared" si="30"/>
        <v>1.4109877807436522E-2</v>
      </c>
      <c r="AL91" s="145">
        <f t="shared" si="30"/>
        <v>9.5769510097440235E-3</v>
      </c>
      <c r="AM91" s="145">
        <f t="shared" si="30"/>
        <v>2.7979119361063121E-2</v>
      </c>
      <c r="AN91" s="145">
        <f t="shared" si="25"/>
        <v>1.8556664385577647E-2</v>
      </c>
      <c r="AO91" s="145">
        <f t="shared" si="25"/>
        <v>1.7245230948679274E-2</v>
      </c>
      <c r="AP91" s="146"/>
      <c r="AQ91" s="145" t="str">
        <f t="shared" si="29"/>
        <v/>
      </c>
      <c r="AR91" s="145" t="str">
        <f t="shared" si="29"/>
        <v/>
      </c>
      <c r="AS91" s="145" t="str">
        <f t="shared" si="29"/>
        <v/>
      </c>
      <c r="AT91" s="145" t="str">
        <f t="shared" si="29"/>
        <v/>
      </c>
      <c r="AU91" s="145">
        <f t="shared" si="29"/>
        <v>2.7666724918367938</v>
      </c>
      <c r="AV91" s="145">
        <f t="shared" si="29"/>
        <v>2.8458365542543937</v>
      </c>
      <c r="AW91" s="145">
        <f t="shared" si="29"/>
        <v>9.5353065149803351E-2</v>
      </c>
      <c r="AX91" s="145">
        <f t="shared" si="35"/>
        <v>-0.76512522720538212</v>
      </c>
      <c r="AY91" s="145">
        <f t="shared" si="35"/>
        <v>1.3919082603254442</v>
      </c>
      <c r="AZ91" s="145">
        <f t="shared" si="35"/>
        <v>-0.24596619135494058</v>
      </c>
      <c r="BA91" s="145">
        <f t="shared" si="35"/>
        <v>1.4697295786411333</v>
      </c>
      <c r="BB91" s="145">
        <f t="shared" si="35"/>
        <v>4.2843738577676316E-2</v>
      </c>
      <c r="BC91" s="145">
        <f t="shared" si="35"/>
        <v>2.599936550029414</v>
      </c>
      <c r="BD91" s="145">
        <f t="shared" si="27"/>
        <v>-1.6369877000442901E-2</v>
      </c>
      <c r="BE91" s="145">
        <f t="shared" si="27"/>
        <v>2.5647247992977462E-2</v>
      </c>
    </row>
    <row r="92" spans="2:57">
      <c r="B92" s="140" t="s">
        <v>884</v>
      </c>
      <c r="C92" s="127" t="s">
        <v>885</v>
      </c>
      <c r="D92" s="128"/>
      <c r="E92" s="128"/>
      <c r="F92" s="128"/>
      <c r="G92" s="128"/>
      <c r="H92" s="128">
        <v>5.1528169999999998</v>
      </c>
      <c r="I92" s="128">
        <v>31.676176270999999</v>
      </c>
      <c r="J92" s="128">
        <v>145.97879127799999</v>
      </c>
      <c r="K92" s="128">
        <v>161.83421296399999</v>
      </c>
      <c r="L92" s="128">
        <v>5.3954189250000004</v>
      </c>
      <c r="M92" s="128">
        <v>25.459480409000001</v>
      </c>
      <c r="N92" s="128">
        <v>56.933695976000003</v>
      </c>
      <c r="O92" s="128">
        <v>123.544885549</v>
      </c>
      <c r="P92" s="128">
        <v>97.701063493000007</v>
      </c>
      <c r="Q92" s="128">
        <v>84.768088474999999</v>
      </c>
      <c r="R92" s="110">
        <v>104.02947390999999</v>
      </c>
      <c r="S92" s="110">
        <v>76.720247018999999</v>
      </c>
      <c r="T92" s="110">
        <v>88.371396962999995</v>
      </c>
      <c r="U92" s="110">
        <v>175.10443716099999</v>
      </c>
      <c r="V92" s="110">
        <v>105.411103799</v>
      </c>
      <c r="W92" s="158">
        <v>68.471833529999998</v>
      </c>
      <c r="X92" s="110"/>
      <c r="Z92" s="145" t="e">
        <f t="shared" si="33"/>
        <v>#DIV/0!</v>
      </c>
      <c r="AA92" s="145" t="e">
        <f t="shared" si="34"/>
        <v>#DIV/0!</v>
      </c>
      <c r="AB92" s="145" t="e">
        <f t="shared" si="32"/>
        <v>#DIV/0!</v>
      </c>
      <c r="AC92" s="145" t="e">
        <f t="shared" si="32"/>
        <v>#DIV/0!</v>
      </c>
      <c r="AD92" s="145">
        <f t="shared" si="32"/>
        <v>1.6039293849321516E-2</v>
      </c>
      <c r="AE92" s="145">
        <f t="shared" si="32"/>
        <v>5.2832254851936621E-2</v>
      </c>
      <c r="AF92" s="145">
        <f t="shared" si="32"/>
        <v>9.5030730953939116E-2</v>
      </c>
      <c r="AG92" s="145">
        <f t="shared" si="32"/>
        <v>0.10147466232070435</v>
      </c>
      <c r="AH92" s="145">
        <f t="shared" si="32"/>
        <v>2.4174365809866896E-3</v>
      </c>
      <c r="AI92" s="145">
        <f t="shared" si="30"/>
        <v>7.4722599820983317E-3</v>
      </c>
      <c r="AJ92" s="145">
        <f t="shared" si="30"/>
        <v>7.8358875701391856E-3</v>
      </c>
      <c r="AK92" s="145">
        <f t="shared" si="30"/>
        <v>8.3171331765960269E-3</v>
      </c>
      <c r="AL92" s="145">
        <f t="shared" si="30"/>
        <v>4.2808789794070157E-3</v>
      </c>
      <c r="AM92" s="145">
        <f t="shared" si="30"/>
        <v>3.0142410371064633E-3</v>
      </c>
      <c r="AN92" s="145">
        <f t="shared" si="25"/>
        <v>2.4942273808223055E-3</v>
      </c>
      <c r="AO92" s="145">
        <f t="shared" si="25"/>
        <v>1.6667125872511131E-3</v>
      </c>
      <c r="AP92" s="133"/>
      <c r="AQ92" s="147" t="str">
        <f t="shared" si="29"/>
        <v/>
      </c>
      <c r="AR92" s="147" t="str">
        <f t="shared" si="29"/>
        <v/>
      </c>
      <c r="AS92" s="147" t="str">
        <f t="shared" si="29"/>
        <v/>
      </c>
      <c r="AT92" s="147" t="str">
        <f t="shared" si="29"/>
        <v/>
      </c>
      <c r="AU92" s="147">
        <f t="shared" si="29"/>
        <v>5.1473512975523876</v>
      </c>
      <c r="AV92" s="147">
        <f t="shared" si="29"/>
        <v>3.6084726271600429</v>
      </c>
      <c r="AW92" s="147">
        <f t="shared" si="29"/>
        <v>0.10861455658860164</v>
      </c>
      <c r="AX92" s="147">
        <f t="shared" si="35"/>
        <v>-0.96666082637173756</v>
      </c>
      <c r="AY92" s="147">
        <f t="shared" si="35"/>
        <v>3.7187217087132858</v>
      </c>
      <c r="AZ92" s="147">
        <f t="shared" si="35"/>
        <v>1.2362473648862755</v>
      </c>
      <c r="BA92" s="147">
        <f t="shared" si="35"/>
        <v>1.1699783130376686</v>
      </c>
      <c r="BB92" s="147">
        <f t="shared" si="35"/>
        <v>-0.20918568940476212</v>
      </c>
      <c r="BC92" s="147">
        <f t="shared" si="35"/>
        <v>-0.13237291955298536</v>
      </c>
      <c r="BD92" s="147">
        <f t="shared" si="27"/>
        <v>0.22722448720405675</v>
      </c>
      <c r="BE92" s="147">
        <f t="shared" si="27"/>
        <v>-0.26251432276420317</v>
      </c>
    </row>
    <row r="93" spans="2:57">
      <c r="B93" s="140" t="s">
        <v>886</v>
      </c>
      <c r="C93" s="127" t="s">
        <v>887</v>
      </c>
      <c r="D93" s="128"/>
      <c r="E93" s="128"/>
      <c r="F93" s="128"/>
      <c r="G93" s="128"/>
      <c r="H93" s="128">
        <v>1.5222880000000001</v>
      </c>
      <c r="I93" s="128">
        <v>3.6777764749999999</v>
      </c>
      <c r="J93" s="128">
        <v>1.0661407970000001</v>
      </c>
      <c r="K93" s="128">
        <v>3.2375156820000002</v>
      </c>
      <c r="L93" s="128">
        <v>3.4603218299999998</v>
      </c>
      <c r="M93" s="128">
        <v>12.806327995</v>
      </c>
      <c r="N93" s="128">
        <v>15.404730066000001</v>
      </c>
      <c r="O93" s="128">
        <v>83.541781451999995</v>
      </c>
      <c r="P93" s="128">
        <v>120.870473608</v>
      </c>
      <c r="Q93" s="128">
        <v>149.548727665</v>
      </c>
      <c r="R93" s="110">
        <v>178.79868033100001</v>
      </c>
      <c r="S93" s="110">
        <v>287.34980370400001</v>
      </c>
      <c r="T93" s="110">
        <v>350.16842274499999</v>
      </c>
      <c r="U93" s="110">
        <v>188.52628422800001</v>
      </c>
      <c r="V93" s="110">
        <v>101.0889392</v>
      </c>
      <c r="W93" s="158">
        <v>133.145447977</v>
      </c>
      <c r="X93" s="110"/>
      <c r="Z93" s="145" t="e">
        <f t="shared" si="33"/>
        <v>#DIV/0!</v>
      </c>
      <c r="AA93" s="145" t="e">
        <f t="shared" si="34"/>
        <v>#DIV/0!</v>
      </c>
      <c r="AB93" s="145" t="e">
        <f t="shared" si="32"/>
        <v>#DIV/0!</v>
      </c>
      <c r="AC93" s="145" t="e">
        <f t="shared" si="32"/>
        <v>#DIV/0!</v>
      </c>
      <c r="AD93" s="145">
        <f t="shared" si="32"/>
        <v>4.7384614193160656E-3</v>
      </c>
      <c r="AE93" s="145">
        <f t="shared" si="32"/>
        <v>6.1341123484511722E-3</v>
      </c>
      <c r="AF93" s="145">
        <f t="shared" si="32"/>
        <v>6.9404698005602866E-4</v>
      </c>
      <c r="AG93" s="145">
        <f t="shared" si="32"/>
        <v>2.0300145721474567E-3</v>
      </c>
      <c r="AH93" s="145">
        <f t="shared" si="32"/>
        <v>1.5504094659023727E-3</v>
      </c>
      <c r="AI93" s="145">
        <f t="shared" si="30"/>
        <v>3.7586082142052114E-3</v>
      </c>
      <c r="AJ93" s="145">
        <f t="shared" si="30"/>
        <v>2.1201808661149126E-3</v>
      </c>
      <c r="AK93" s="145">
        <f t="shared" si="30"/>
        <v>5.624094587637002E-3</v>
      </c>
      <c r="AL93" s="145">
        <f t="shared" si="30"/>
        <v>5.2960720303370096E-3</v>
      </c>
      <c r="AM93" s="145">
        <f t="shared" si="30"/>
        <v>5.3177548306736384E-3</v>
      </c>
      <c r="AN93" s="145">
        <f t="shared" si="25"/>
        <v>4.2869058870978853E-3</v>
      </c>
      <c r="AO93" s="145">
        <f t="shared" si="25"/>
        <v>6.2425442225047187E-3</v>
      </c>
      <c r="AP93" s="133"/>
      <c r="AQ93" s="147" t="str">
        <f t="shared" si="29"/>
        <v/>
      </c>
      <c r="AR93" s="147" t="str">
        <f t="shared" si="29"/>
        <v/>
      </c>
      <c r="AS93" s="147" t="str">
        <f t="shared" si="29"/>
        <v/>
      </c>
      <c r="AT93" s="147" t="str">
        <f t="shared" si="29"/>
        <v/>
      </c>
      <c r="AU93" s="147">
        <f t="shared" si="29"/>
        <v>1.4159531409299686</v>
      </c>
      <c r="AV93" s="147">
        <f t="shared" si="29"/>
        <v>-0.71011267154293267</v>
      </c>
      <c r="AW93" s="147">
        <f t="shared" si="29"/>
        <v>2.0366680377582438</v>
      </c>
      <c r="AX93" s="147">
        <f t="shared" si="35"/>
        <v>6.8820098459680512E-2</v>
      </c>
      <c r="AY93" s="147">
        <f t="shared" si="35"/>
        <v>2.7009066278092408</v>
      </c>
      <c r="AZ93" s="147">
        <f t="shared" si="35"/>
        <v>0.20289985326117677</v>
      </c>
      <c r="BA93" s="147">
        <f t="shared" si="35"/>
        <v>4.4231253059335494</v>
      </c>
      <c r="BB93" s="147">
        <f t="shared" si="35"/>
        <v>0.44682662384267791</v>
      </c>
      <c r="BC93" s="147">
        <f t="shared" si="35"/>
        <v>0.23726434753625303</v>
      </c>
      <c r="BD93" s="147">
        <f t="shared" si="27"/>
        <v>0.1955881077873296</v>
      </c>
      <c r="BE93" s="147">
        <f t="shared" si="27"/>
        <v>0.607113672047497</v>
      </c>
    </row>
    <row r="94" spans="2:57">
      <c r="B94" s="140" t="s">
        <v>888</v>
      </c>
      <c r="C94" s="127" t="s">
        <v>889</v>
      </c>
      <c r="D94" s="128"/>
      <c r="E94" s="128"/>
      <c r="F94" s="128"/>
      <c r="G94" s="128"/>
      <c r="H94" s="128">
        <v>0</v>
      </c>
      <c r="I94" s="128">
        <v>0</v>
      </c>
      <c r="J94" s="128">
        <v>0</v>
      </c>
      <c r="K94" s="128">
        <v>0</v>
      </c>
      <c r="L94" s="128">
        <v>0</v>
      </c>
      <c r="M94" s="128">
        <v>0</v>
      </c>
      <c r="N94" s="128">
        <v>0</v>
      </c>
      <c r="O94" s="128">
        <v>2.5051721360000001</v>
      </c>
      <c r="P94" s="128">
        <v>0</v>
      </c>
      <c r="Q94" s="128">
        <v>0</v>
      </c>
      <c r="R94" s="110">
        <v>0</v>
      </c>
      <c r="S94" s="110">
        <v>0</v>
      </c>
      <c r="T94" s="110">
        <v>0</v>
      </c>
      <c r="U94" s="110">
        <v>0</v>
      </c>
      <c r="V94" s="110">
        <v>0</v>
      </c>
      <c r="W94" s="158">
        <v>0</v>
      </c>
      <c r="X94" s="110"/>
      <c r="Z94" s="145" t="e">
        <f t="shared" si="33"/>
        <v>#DIV/0!</v>
      </c>
      <c r="AA94" s="145" t="e">
        <f t="shared" si="34"/>
        <v>#DIV/0!</v>
      </c>
      <c r="AB94" s="145" t="e">
        <f t="shared" si="32"/>
        <v>#DIV/0!</v>
      </c>
      <c r="AC94" s="145" t="e">
        <f t="shared" si="32"/>
        <v>#DIV/0!</v>
      </c>
      <c r="AD94" s="145">
        <f t="shared" si="32"/>
        <v>0</v>
      </c>
      <c r="AE94" s="145">
        <f t="shared" si="32"/>
        <v>0</v>
      </c>
      <c r="AF94" s="145">
        <f t="shared" si="32"/>
        <v>0</v>
      </c>
      <c r="AG94" s="145">
        <f t="shared" si="32"/>
        <v>0</v>
      </c>
      <c r="AH94" s="145">
        <f t="shared" si="32"/>
        <v>0</v>
      </c>
      <c r="AI94" s="145">
        <f t="shared" si="30"/>
        <v>0</v>
      </c>
      <c r="AJ94" s="145">
        <f t="shared" si="30"/>
        <v>0</v>
      </c>
      <c r="AK94" s="145">
        <f t="shared" si="30"/>
        <v>1.6865004320349371E-4</v>
      </c>
      <c r="AL94" s="145">
        <f t="shared" si="30"/>
        <v>0</v>
      </c>
      <c r="AM94" s="145">
        <f t="shared" si="30"/>
        <v>0</v>
      </c>
      <c r="AN94" s="145">
        <f t="shared" si="25"/>
        <v>0</v>
      </c>
      <c r="AO94" s="145">
        <f t="shared" si="25"/>
        <v>0</v>
      </c>
      <c r="AP94" s="133"/>
      <c r="AQ94" s="147" t="str">
        <f t="shared" si="29"/>
        <v/>
      </c>
      <c r="AR94" s="147" t="str">
        <f t="shared" si="29"/>
        <v/>
      </c>
      <c r="AS94" s="147" t="str">
        <f t="shared" si="29"/>
        <v/>
      </c>
      <c r="AT94" s="147" t="str">
        <f t="shared" si="29"/>
        <v/>
      </c>
      <c r="AU94" s="147" t="str">
        <f t="shared" si="29"/>
        <v/>
      </c>
      <c r="AV94" s="147" t="str">
        <f t="shared" si="29"/>
        <v/>
      </c>
      <c r="AW94" s="147" t="str">
        <f t="shared" si="29"/>
        <v/>
      </c>
      <c r="AX94" s="147" t="str">
        <f t="shared" si="35"/>
        <v/>
      </c>
      <c r="AY94" s="147" t="str">
        <f t="shared" si="35"/>
        <v/>
      </c>
      <c r="AZ94" s="147" t="str">
        <f t="shared" si="35"/>
        <v/>
      </c>
      <c r="BA94" s="147" t="str">
        <f t="shared" si="35"/>
        <v/>
      </c>
      <c r="BB94" s="147">
        <f t="shared" si="35"/>
        <v>-1</v>
      </c>
      <c r="BC94" s="147" t="str">
        <f t="shared" si="35"/>
        <v/>
      </c>
      <c r="BD94" s="147" t="str">
        <f t="shared" si="27"/>
        <v/>
      </c>
      <c r="BE94" s="147" t="str">
        <f t="shared" si="27"/>
        <v/>
      </c>
    </row>
    <row r="95" spans="2:57">
      <c r="B95" s="140" t="s">
        <v>882</v>
      </c>
      <c r="C95" s="127" t="s">
        <v>890</v>
      </c>
      <c r="D95" s="128"/>
      <c r="E95" s="128"/>
      <c r="F95" s="128"/>
      <c r="G95" s="128"/>
      <c r="H95" s="128">
        <v>5.9504489999999999</v>
      </c>
      <c r="I95" s="128">
        <v>12.2023742</v>
      </c>
      <c r="J95" s="128">
        <v>35.848928479999998</v>
      </c>
      <c r="K95" s="128">
        <v>35.261622109999998</v>
      </c>
      <c r="L95" s="128">
        <v>38.197509486999998</v>
      </c>
      <c r="M95" s="128">
        <v>74.281249525000007</v>
      </c>
      <c r="N95" s="128">
        <v>0</v>
      </c>
      <c r="O95" s="128">
        <v>0</v>
      </c>
      <c r="P95" s="128">
        <v>0</v>
      </c>
      <c r="Q95" s="128">
        <v>0</v>
      </c>
      <c r="R95" s="110">
        <v>0</v>
      </c>
      <c r="S95" s="110">
        <v>0</v>
      </c>
      <c r="T95" s="110">
        <v>0</v>
      </c>
      <c r="U95" s="110">
        <v>0</v>
      </c>
      <c r="V95" s="110">
        <v>0</v>
      </c>
      <c r="W95" s="158">
        <v>0</v>
      </c>
      <c r="X95" s="110"/>
      <c r="Z95" s="145" t="e">
        <f t="shared" si="33"/>
        <v>#DIV/0!</v>
      </c>
      <c r="AA95" s="145" t="e">
        <f t="shared" si="34"/>
        <v>#DIV/0!</v>
      </c>
      <c r="AB95" s="145" t="e">
        <f t="shared" si="32"/>
        <v>#DIV/0!</v>
      </c>
      <c r="AC95" s="145" t="e">
        <f t="shared" si="32"/>
        <v>#DIV/0!</v>
      </c>
      <c r="AD95" s="145">
        <f t="shared" si="32"/>
        <v>1.8522101608964836E-2</v>
      </c>
      <c r="AE95" s="145">
        <f t="shared" si="32"/>
        <v>2.0352170603473663E-2</v>
      </c>
      <c r="AF95" s="145">
        <f t="shared" si="32"/>
        <v>2.3337293366692685E-2</v>
      </c>
      <c r="AG95" s="145">
        <f t="shared" si="32"/>
        <v>2.2110041696118323E-2</v>
      </c>
      <c r="AH95" s="145">
        <f t="shared" si="32"/>
        <v>1.7114529570372499E-2</v>
      </c>
      <c r="AI95" s="145">
        <f t="shared" si="30"/>
        <v>2.1801262214672178E-2</v>
      </c>
      <c r="AJ95" s="145">
        <f t="shared" si="30"/>
        <v>0</v>
      </c>
      <c r="AK95" s="145">
        <f t="shared" si="30"/>
        <v>0</v>
      </c>
      <c r="AL95" s="145">
        <f t="shared" si="30"/>
        <v>0</v>
      </c>
      <c r="AM95" s="145">
        <f t="shared" si="30"/>
        <v>0</v>
      </c>
      <c r="AN95" s="145">
        <f t="shared" si="25"/>
        <v>0</v>
      </c>
      <c r="AO95" s="145">
        <f t="shared" si="25"/>
        <v>0</v>
      </c>
      <c r="AP95" s="133"/>
      <c r="AQ95" s="147" t="str">
        <f t="shared" si="29"/>
        <v/>
      </c>
      <c r="AR95" s="147" t="str">
        <f t="shared" si="29"/>
        <v/>
      </c>
      <c r="AS95" s="147" t="str">
        <f t="shared" si="29"/>
        <v/>
      </c>
      <c r="AT95" s="147" t="str">
        <f t="shared" si="29"/>
        <v/>
      </c>
      <c r="AU95" s="147">
        <f t="shared" si="29"/>
        <v>1.050664445657798</v>
      </c>
      <c r="AV95" s="147">
        <f t="shared" si="29"/>
        <v>1.937865032855655</v>
      </c>
      <c r="AW95" s="147">
        <f t="shared" si="29"/>
        <v>-1.6382815188678679E-2</v>
      </c>
      <c r="AX95" s="147">
        <f t="shared" si="35"/>
        <v>8.3260133860018959E-2</v>
      </c>
      <c r="AY95" s="147">
        <f t="shared" si="35"/>
        <v>0.94466211338413619</v>
      </c>
      <c r="AZ95" s="147">
        <f t="shared" si="35"/>
        <v>-1</v>
      </c>
      <c r="BA95" s="147" t="str">
        <f t="shared" si="35"/>
        <v/>
      </c>
      <c r="BB95" s="147" t="str">
        <f t="shared" si="35"/>
        <v/>
      </c>
      <c r="BC95" s="147" t="str">
        <f t="shared" si="35"/>
        <v/>
      </c>
      <c r="BD95" s="147" t="str">
        <f t="shared" si="27"/>
        <v/>
      </c>
      <c r="BE95" s="147" t="str">
        <f t="shared" si="27"/>
        <v/>
      </c>
    </row>
    <row r="96" spans="2:57">
      <c r="B96" s="140" t="s">
        <v>891</v>
      </c>
      <c r="C96" s="127" t="s">
        <v>892</v>
      </c>
      <c r="D96" s="128"/>
      <c r="E96" s="128"/>
      <c r="F96" s="128"/>
      <c r="G96" s="128"/>
      <c r="H96" s="128">
        <v>0</v>
      </c>
      <c r="I96" s="128">
        <v>0</v>
      </c>
      <c r="J96" s="128">
        <v>0</v>
      </c>
      <c r="K96" s="128">
        <v>0</v>
      </c>
      <c r="L96" s="128">
        <v>0</v>
      </c>
      <c r="M96" s="128">
        <v>0</v>
      </c>
      <c r="N96" s="128">
        <v>12.525860700000001</v>
      </c>
      <c r="O96" s="128">
        <v>0</v>
      </c>
      <c r="P96" s="128">
        <v>0</v>
      </c>
      <c r="Q96" s="128">
        <v>552.52684906599995</v>
      </c>
      <c r="R96" s="110">
        <v>491.13497694699998</v>
      </c>
      <c r="S96" s="110">
        <v>429.74310482800001</v>
      </c>
      <c r="T96" s="110">
        <v>368.35123270899999</v>
      </c>
      <c r="U96" s="110">
        <v>306.95936059000002</v>
      </c>
      <c r="V96" s="110">
        <v>245.56748847099999</v>
      </c>
      <c r="W96" s="158">
        <v>0</v>
      </c>
      <c r="X96" s="110"/>
      <c r="Z96" s="145" t="e">
        <f t="shared" si="33"/>
        <v>#DIV/0!</v>
      </c>
      <c r="AA96" s="145" t="e">
        <f t="shared" si="34"/>
        <v>#DIV/0!</v>
      </c>
      <c r="AB96" s="145" t="e">
        <f t="shared" si="32"/>
        <v>#DIV/0!</v>
      </c>
      <c r="AC96" s="145" t="e">
        <f t="shared" si="32"/>
        <v>#DIV/0!</v>
      </c>
      <c r="AD96" s="145">
        <f t="shared" si="32"/>
        <v>0</v>
      </c>
      <c r="AE96" s="145">
        <f t="shared" si="32"/>
        <v>0</v>
      </c>
      <c r="AF96" s="145">
        <f t="shared" si="32"/>
        <v>0</v>
      </c>
      <c r="AG96" s="145">
        <f t="shared" si="32"/>
        <v>0</v>
      </c>
      <c r="AH96" s="145">
        <f t="shared" si="32"/>
        <v>0</v>
      </c>
      <c r="AI96" s="145">
        <f t="shared" si="30"/>
        <v>0</v>
      </c>
      <c r="AJ96" s="145">
        <f t="shared" si="30"/>
        <v>1.7239568674023884E-3</v>
      </c>
      <c r="AK96" s="145">
        <f t="shared" si="30"/>
        <v>0</v>
      </c>
      <c r="AL96" s="145">
        <f t="shared" si="30"/>
        <v>0</v>
      </c>
      <c r="AM96" s="145">
        <f t="shared" si="30"/>
        <v>1.9647123493283018E-2</v>
      </c>
      <c r="AN96" s="145">
        <f t="shared" ref="AN96:AO136" si="36">R96/R$153</f>
        <v>1.1775531117657454E-2</v>
      </c>
      <c r="AO96" s="145">
        <f t="shared" si="36"/>
        <v>9.3359741389234408E-3</v>
      </c>
      <c r="AP96" s="133"/>
      <c r="AQ96" s="147" t="str">
        <f t="shared" si="29"/>
        <v/>
      </c>
      <c r="AR96" s="147" t="str">
        <f t="shared" si="29"/>
        <v/>
      </c>
      <c r="AS96" s="147" t="str">
        <f t="shared" si="29"/>
        <v/>
      </c>
      <c r="AT96" s="147" t="str">
        <f t="shared" si="29"/>
        <v/>
      </c>
      <c r="AU96" s="147" t="str">
        <f t="shared" si="29"/>
        <v/>
      </c>
      <c r="AV96" s="147" t="str">
        <f t="shared" si="29"/>
        <v/>
      </c>
      <c r="AW96" s="147" t="str">
        <f t="shared" si="29"/>
        <v/>
      </c>
      <c r="AX96" s="147" t="str">
        <f t="shared" si="35"/>
        <v/>
      </c>
      <c r="AY96" s="147" t="str">
        <f t="shared" si="35"/>
        <v/>
      </c>
      <c r="AZ96" s="147" t="str">
        <f t="shared" si="35"/>
        <v/>
      </c>
      <c r="BA96" s="147">
        <f t="shared" si="35"/>
        <v>-1</v>
      </c>
      <c r="BB96" s="147" t="str">
        <f t="shared" si="35"/>
        <v/>
      </c>
      <c r="BC96" s="147" t="str">
        <f t="shared" si="35"/>
        <v/>
      </c>
      <c r="BD96" s="147">
        <f t="shared" ref="BD96:BE122" si="37">IFERROR(R96/Q96-1,"")</f>
        <v>-0.11111111111211658</v>
      </c>
      <c r="BE96" s="147">
        <f t="shared" si="37"/>
        <v>-0.12500000000127254</v>
      </c>
    </row>
    <row r="97" spans="2:57" s="136" customFormat="1">
      <c r="B97" s="154" t="s">
        <v>470</v>
      </c>
      <c r="C97" s="134" t="s">
        <v>893</v>
      </c>
      <c r="D97" s="135"/>
      <c r="E97" s="135"/>
      <c r="F97" s="135"/>
      <c r="G97" s="135"/>
      <c r="H97" s="135">
        <v>321.26208600000001</v>
      </c>
      <c r="I97" s="135">
        <v>599.56131646799997</v>
      </c>
      <c r="J97" s="135">
        <v>1536.1219451080001</v>
      </c>
      <c r="K97" s="135">
        <v>1594.82386305</v>
      </c>
      <c r="L97" s="135">
        <v>2231.8760986060001</v>
      </c>
      <c r="M97" s="135">
        <v>3407.1994911840002</v>
      </c>
      <c r="N97" s="135">
        <v>7265.7622338740002</v>
      </c>
      <c r="O97" s="135">
        <v>14854.263232990999</v>
      </c>
      <c r="P97" s="135">
        <v>22822.66421522</v>
      </c>
      <c r="Q97" s="135">
        <v>28122.531486856002</v>
      </c>
      <c r="R97" s="111">
        <v>41708.095544882999</v>
      </c>
      <c r="S97" s="111">
        <v>46030.879952454001</v>
      </c>
      <c r="T97" s="111">
        <v>62971.404814941998</v>
      </c>
      <c r="U97" s="111">
        <v>55834.209834075002</v>
      </c>
      <c r="V97" s="111">
        <v>60107.878446294999</v>
      </c>
      <c r="W97" s="155">
        <v>70218.709730061993</v>
      </c>
      <c r="X97" s="111"/>
      <c r="Z97" s="145" t="e">
        <f t="shared" si="33"/>
        <v>#DIV/0!</v>
      </c>
      <c r="AA97" s="145" t="e">
        <f t="shared" si="34"/>
        <v>#DIV/0!</v>
      </c>
      <c r="AB97" s="145" t="e">
        <f t="shared" si="32"/>
        <v>#DIV/0!</v>
      </c>
      <c r="AC97" s="145" t="e">
        <f t="shared" si="32"/>
        <v>#DIV/0!</v>
      </c>
      <c r="AD97" s="145">
        <f t="shared" si="32"/>
        <v>1</v>
      </c>
      <c r="AE97" s="145">
        <f t="shared" si="32"/>
        <v>1</v>
      </c>
      <c r="AF97" s="145">
        <f t="shared" si="32"/>
        <v>1</v>
      </c>
      <c r="AG97" s="145">
        <f t="shared" si="32"/>
        <v>1</v>
      </c>
      <c r="AH97" s="145">
        <f t="shared" si="32"/>
        <v>1</v>
      </c>
      <c r="AI97" s="145">
        <f t="shared" si="30"/>
        <v>1</v>
      </c>
      <c r="AJ97" s="145">
        <f t="shared" si="30"/>
        <v>1</v>
      </c>
      <c r="AK97" s="145">
        <f t="shared" si="30"/>
        <v>1</v>
      </c>
      <c r="AL97" s="145">
        <f t="shared" si="30"/>
        <v>1</v>
      </c>
      <c r="AM97" s="145">
        <f t="shared" si="30"/>
        <v>1</v>
      </c>
      <c r="AN97" s="145">
        <f t="shared" si="36"/>
        <v>1</v>
      </c>
      <c r="AO97" s="145">
        <f t="shared" si="36"/>
        <v>1</v>
      </c>
      <c r="AP97" s="146"/>
      <c r="AQ97" s="145" t="str">
        <f t="shared" ref="AQ97:AZ130" si="38">IFERROR(E97/D97-1,"")</f>
        <v/>
      </c>
      <c r="AR97" s="145" t="str">
        <f t="shared" si="38"/>
        <v/>
      </c>
      <c r="AS97" s="145" t="str">
        <f t="shared" si="38"/>
        <v/>
      </c>
      <c r="AT97" s="145" t="str">
        <f t="shared" si="38"/>
        <v/>
      </c>
      <c r="AU97" s="145">
        <f t="shared" si="38"/>
        <v>0.86626851594308563</v>
      </c>
      <c r="AV97" s="145">
        <f t="shared" si="38"/>
        <v>1.562076476443234</v>
      </c>
      <c r="AW97" s="145">
        <f t="shared" si="38"/>
        <v>3.8214360603951114E-2</v>
      </c>
      <c r="AX97" s="145">
        <f t="shared" si="35"/>
        <v>0.39944990184538498</v>
      </c>
      <c r="AY97" s="145">
        <f t="shared" si="35"/>
        <v>0.5266078136291219</v>
      </c>
      <c r="AZ97" s="145">
        <f t="shared" si="35"/>
        <v>1.1324733854515667</v>
      </c>
      <c r="BA97" s="145">
        <f t="shared" si="35"/>
        <v>1.0444191200942892</v>
      </c>
      <c r="BB97" s="145">
        <f t="shared" si="35"/>
        <v>0.5364386544955897</v>
      </c>
      <c r="BC97" s="145">
        <f t="shared" si="35"/>
        <v>0.2322194824257906</v>
      </c>
      <c r="BD97" s="145">
        <f t="shared" si="37"/>
        <v>0.48308467764990004</v>
      </c>
      <c r="BE97" s="145">
        <f t="shared" si="37"/>
        <v>0.10364377349522358</v>
      </c>
    </row>
    <row r="98" spans="2:57" s="136" customFormat="1">
      <c r="B98" s="154" t="s">
        <v>894</v>
      </c>
      <c r="C98" s="134" t="s">
        <v>895</v>
      </c>
      <c r="D98" s="135"/>
      <c r="E98" s="135"/>
      <c r="F98" s="135"/>
      <c r="G98" s="135"/>
      <c r="H98" s="135">
        <v>266.56138099999998</v>
      </c>
      <c r="I98" s="135">
        <v>447.791328013</v>
      </c>
      <c r="J98" s="135">
        <v>1227.282590303</v>
      </c>
      <c r="K98" s="135">
        <v>1135.6875750290001</v>
      </c>
      <c r="L98" s="135">
        <v>1407.2399415550001</v>
      </c>
      <c r="M98" s="135">
        <v>1923.1903266730001</v>
      </c>
      <c r="N98" s="135">
        <v>4782.2095455480003</v>
      </c>
      <c r="O98" s="135">
        <v>11012.905506628</v>
      </c>
      <c r="P98" s="135">
        <v>16913.747880005001</v>
      </c>
      <c r="Q98" s="135">
        <v>19139.496155514</v>
      </c>
      <c r="R98" s="111">
        <v>29564.503350530002</v>
      </c>
      <c r="S98" s="111">
        <v>30549.190106022001</v>
      </c>
      <c r="T98" s="111">
        <v>42593.158815096001</v>
      </c>
      <c r="U98" s="111">
        <v>31901.628316499002</v>
      </c>
      <c r="V98" s="111">
        <v>36748.320478957001</v>
      </c>
      <c r="W98" s="155">
        <v>42097.132906207</v>
      </c>
      <c r="X98" s="111"/>
      <c r="Z98" s="145" t="e">
        <f t="shared" si="33"/>
        <v>#DIV/0!</v>
      </c>
      <c r="AA98" s="145" t="e">
        <f t="shared" si="34"/>
        <v>#DIV/0!</v>
      </c>
      <c r="AB98" s="145" t="e">
        <f t="shared" si="32"/>
        <v>#DIV/0!</v>
      </c>
      <c r="AC98" s="145" t="e">
        <f t="shared" si="32"/>
        <v>#DIV/0!</v>
      </c>
      <c r="AD98" s="145">
        <f t="shared" si="32"/>
        <v>0.82973183769964054</v>
      </c>
      <c r="AE98" s="145">
        <f t="shared" si="32"/>
        <v>0.74686494227300548</v>
      </c>
      <c r="AF98" s="145">
        <f t="shared" si="32"/>
        <v>0.79894867345099574</v>
      </c>
      <c r="AG98" s="145">
        <f t="shared" si="32"/>
        <v>0.71210846623342416</v>
      </c>
      <c r="AH98" s="145">
        <f t="shared" si="32"/>
        <v>0.63051884575220962</v>
      </c>
      <c r="AI98" s="145">
        <f t="shared" si="30"/>
        <v>0.56444899444519825</v>
      </c>
      <c r="AJ98" s="145">
        <f t="shared" si="30"/>
        <v>0.65818415076296743</v>
      </c>
      <c r="AK98" s="145">
        <f t="shared" si="30"/>
        <v>0.74139695344623846</v>
      </c>
      <c r="AL98" s="145">
        <f t="shared" si="30"/>
        <v>0.74109436656941852</v>
      </c>
      <c r="AM98" s="145">
        <f t="shared" si="30"/>
        <v>0.68057515250572231</v>
      </c>
      <c r="AN98" s="145">
        <f t="shared" si="36"/>
        <v>0.70884328244417172</v>
      </c>
      <c r="AO98" s="145">
        <f t="shared" si="36"/>
        <v>0.66366730632950588</v>
      </c>
      <c r="AP98" s="146"/>
      <c r="AQ98" s="145" t="str">
        <f t="shared" si="38"/>
        <v/>
      </c>
      <c r="AR98" s="145" t="str">
        <f t="shared" si="38"/>
        <v/>
      </c>
      <c r="AS98" s="145" t="str">
        <f t="shared" si="38"/>
        <v/>
      </c>
      <c r="AT98" s="145" t="str">
        <f t="shared" si="38"/>
        <v/>
      </c>
      <c r="AU98" s="145">
        <f t="shared" si="38"/>
        <v>0.67988073265946958</v>
      </c>
      <c r="AV98" s="145">
        <f t="shared" si="38"/>
        <v>1.7407466682056207</v>
      </c>
      <c r="AW98" s="145">
        <f t="shared" si="38"/>
        <v>-7.463237562213465E-2</v>
      </c>
      <c r="AX98" s="145">
        <f t="shared" si="35"/>
        <v>0.23910833621567606</v>
      </c>
      <c r="AY98" s="145">
        <f t="shared" si="35"/>
        <v>0.36663995235089386</v>
      </c>
      <c r="AZ98" s="145">
        <f t="shared" si="35"/>
        <v>1.4866023290689725</v>
      </c>
      <c r="BA98" s="145">
        <f t="shared" si="35"/>
        <v>1.3028906202741508</v>
      </c>
      <c r="BB98" s="145">
        <f t="shared" si="35"/>
        <v>0.53581158667216777</v>
      </c>
      <c r="BC98" s="145">
        <f t="shared" si="35"/>
        <v>0.13159403174858841</v>
      </c>
      <c r="BD98" s="145">
        <f t="shared" si="37"/>
        <v>0.54468556070179552</v>
      </c>
      <c r="BE98" s="145">
        <f t="shared" si="37"/>
        <v>3.3306385830910612E-2</v>
      </c>
    </row>
    <row r="99" spans="2:57" s="136" customFormat="1">
      <c r="B99" s="154" t="s">
        <v>477</v>
      </c>
      <c r="C99" s="134" t="s">
        <v>896</v>
      </c>
      <c r="D99" s="135"/>
      <c r="E99" s="135"/>
      <c r="F99" s="135"/>
      <c r="G99" s="135"/>
      <c r="H99" s="135">
        <v>205.521592</v>
      </c>
      <c r="I99" s="135">
        <v>442.30603246300001</v>
      </c>
      <c r="J99" s="135">
        <v>1218.062148194</v>
      </c>
      <c r="K99" s="135">
        <v>1135.6875750290001</v>
      </c>
      <c r="L99" s="135">
        <v>1407.2399415550001</v>
      </c>
      <c r="M99" s="135">
        <v>1923.1903266730001</v>
      </c>
      <c r="N99" s="135">
        <v>4782.2095455480003</v>
      </c>
      <c r="O99" s="135">
        <v>11012.905506628</v>
      </c>
      <c r="P99" s="135">
        <v>15713.814885174999</v>
      </c>
      <c r="Q99" s="135">
        <v>17929.433003626</v>
      </c>
      <c r="R99" s="111">
        <v>28442.366683872999</v>
      </c>
      <c r="S99" s="111">
        <v>29422.513439368999</v>
      </c>
      <c r="T99" s="111">
        <v>42593.158815096001</v>
      </c>
      <c r="U99" s="111">
        <v>26000.378316499002</v>
      </c>
      <c r="V99" s="111">
        <v>30761.901787543</v>
      </c>
      <c r="W99" s="155">
        <v>42097.132906207</v>
      </c>
      <c r="X99" s="111"/>
      <c r="Z99" s="145" t="e">
        <f t="shared" si="33"/>
        <v>#DIV/0!</v>
      </c>
      <c r="AA99" s="145" t="e">
        <f t="shared" si="34"/>
        <v>#DIV/0!</v>
      </c>
      <c r="AB99" s="145" t="e">
        <f t="shared" si="32"/>
        <v>#DIV/0!</v>
      </c>
      <c r="AC99" s="145" t="e">
        <f t="shared" si="32"/>
        <v>#DIV/0!</v>
      </c>
      <c r="AD99" s="145">
        <f t="shared" si="32"/>
        <v>0.63973186054703013</v>
      </c>
      <c r="AE99" s="145">
        <f t="shared" si="32"/>
        <v>0.73771609394117232</v>
      </c>
      <c r="AF99" s="145">
        <f t="shared" si="32"/>
        <v>0.7929462579927935</v>
      </c>
      <c r="AG99" s="145">
        <f t="shared" si="32"/>
        <v>0.71210846623342416</v>
      </c>
      <c r="AH99" s="145">
        <f t="shared" si="32"/>
        <v>0.63051884575220962</v>
      </c>
      <c r="AI99" s="145">
        <f t="shared" si="30"/>
        <v>0.56444899444519825</v>
      </c>
      <c r="AJ99" s="145">
        <f t="shared" si="30"/>
        <v>0.65818415076296743</v>
      </c>
      <c r="AK99" s="145">
        <f t="shared" si="30"/>
        <v>0.74139695344623846</v>
      </c>
      <c r="AL99" s="145">
        <f t="shared" si="30"/>
        <v>0.68851798970497735</v>
      </c>
      <c r="AM99" s="145">
        <f t="shared" si="30"/>
        <v>0.6375469083217461</v>
      </c>
      <c r="AN99" s="145">
        <f t="shared" si="36"/>
        <v>0.68193875343134625</v>
      </c>
      <c r="AO99" s="145">
        <f t="shared" si="36"/>
        <v>0.63919076649761986</v>
      </c>
      <c r="AP99" s="146"/>
      <c r="AQ99" s="145" t="str">
        <f t="shared" si="38"/>
        <v/>
      </c>
      <c r="AR99" s="145" t="str">
        <f t="shared" si="38"/>
        <v/>
      </c>
      <c r="AS99" s="145" t="str">
        <f t="shared" si="38"/>
        <v/>
      </c>
      <c r="AT99" s="145" t="str">
        <f t="shared" si="38"/>
        <v/>
      </c>
      <c r="AU99" s="145">
        <f t="shared" si="38"/>
        <v>1.1521146666818347</v>
      </c>
      <c r="AV99" s="145">
        <f t="shared" si="38"/>
        <v>1.7538899738969622</v>
      </c>
      <c r="AW99" s="145">
        <f t="shared" si="38"/>
        <v>-6.762756176861362E-2</v>
      </c>
      <c r="AX99" s="145">
        <f t="shared" si="35"/>
        <v>0.23910833621567606</v>
      </c>
      <c r="AY99" s="145">
        <f t="shared" si="35"/>
        <v>0.36663995235089386</v>
      </c>
      <c r="AZ99" s="145">
        <f t="shared" si="35"/>
        <v>1.4866023290689725</v>
      </c>
      <c r="BA99" s="145">
        <f t="shared" si="35"/>
        <v>1.3028906202741508</v>
      </c>
      <c r="BB99" s="145">
        <f t="shared" si="35"/>
        <v>0.42685460033392708</v>
      </c>
      <c r="BC99" s="145">
        <f t="shared" si="35"/>
        <v>0.14099810482948327</v>
      </c>
      <c r="BD99" s="145">
        <f t="shared" si="37"/>
        <v>0.58635059335791007</v>
      </c>
      <c r="BE99" s="145">
        <f t="shared" si="37"/>
        <v>3.4460801605927793E-2</v>
      </c>
    </row>
    <row r="100" spans="2:57" s="136" customFormat="1">
      <c r="B100" s="154" t="s">
        <v>479</v>
      </c>
      <c r="C100" s="134" t="s">
        <v>897</v>
      </c>
      <c r="D100" s="135"/>
      <c r="E100" s="135"/>
      <c r="F100" s="135"/>
      <c r="G100" s="135"/>
      <c r="H100" s="135">
        <v>140.75397100000001</v>
      </c>
      <c r="I100" s="135">
        <v>249.147533098</v>
      </c>
      <c r="J100" s="135">
        <v>724.57015296099996</v>
      </c>
      <c r="K100" s="135">
        <v>598.21175343699997</v>
      </c>
      <c r="L100" s="135">
        <v>693.53902950400004</v>
      </c>
      <c r="M100" s="135">
        <v>981.794284232</v>
      </c>
      <c r="N100" s="135">
        <v>1971.2716368179999</v>
      </c>
      <c r="O100" s="135">
        <v>4680.0388636850003</v>
      </c>
      <c r="P100" s="135">
        <v>7373.2296694919996</v>
      </c>
      <c r="Q100" s="135">
        <v>8244.6142438099996</v>
      </c>
      <c r="R100" s="111">
        <v>12055.385483995</v>
      </c>
      <c r="S100" s="111">
        <v>8728.1688623409991</v>
      </c>
      <c r="T100" s="111">
        <v>12179.774771734001</v>
      </c>
      <c r="U100" s="111">
        <v>8745.9822615800003</v>
      </c>
      <c r="V100" s="111">
        <v>7927.0697279349997</v>
      </c>
      <c r="W100" s="155">
        <v>9137.5180277330001</v>
      </c>
      <c r="X100" s="111"/>
      <c r="Z100" s="145" t="e">
        <f t="shared" si="33"/>
        <v>#DIV/0!</v>
      </c>
      <c r="AA100" s="145" t="e">
        <f t="shared" si="34"/>
        <v>#DIV/0!</v>
      </c>
      <c r="AB100" s="145" t="e">
        <f t="shared" si="32"/>
        <v>#DIV/0!</v>
      </c>
      <c r="AC100" s="145" t="e">
        <f t="shared" si="32"/>
        <v>#DIV/0!</v>
      </c>
      <c r="AD100" s="145">
        <f t="shared" si="32"/>
        <v>0.4381281736432478</v>
      </c>
      <c r="AE100" s="145">
        <f t="shared" si="32"/>
        <v>0.41554971318983952</v>
      </c>
      <c r="AF100" s="145">
        <f t="shared" si="32"/>
        <v>0.47168791206225336</v>
      </c>
      <c r="AG100" s="145">
        <f t="shared" si="32"/>
        <v>0.37509581295890426</v>
      </c>
      <c r="AH100" s="145">
        <f t="shared" si="32"/>
        <v>0.31074262139245779</v>
      </c>
      <c r="AI100" s="145">
        <f t="shared" si="30"/>
        <v>0.28815286183634259</v>
      </c>
      <c r="AJ100" s="145">
        <f t="shared" si="30"/>
        <v>0.27130968140240752</v>
      </c>
      <c r="AK100" s="145">
        <f t="shared" si="30"/>
        <v>0.315063681737559</v>
      </c>
      <c r="AL100" s="145">
        <f t="shared" si="30"/>
        <v>0.32306612409321317</v>
      </c>
      <c r="AM100" s="145">
        <f t="shared" si="30"/>
        <v>0.29316757090887757</v>
      </c>
      <c r="AN100" s="145">
        <f t="shared" si="36"/>
        <v>0.28904185929616311</v>
      </c>
      <c r="AO100" s="145">
        <f t="shared" si="36"/>
        <v>0.18961551183371811</v>
      </c>
      <c r="AP100" s="146"/>
      <c r="AQ100" s="145" t="str">
        <f t="shared" si="38"/>
        <v/>
      </c>
      <c r="AR100" s="145" t="str">
        <f t="shared" si="38"/>
        <v/>
      </c>
      <c r="AS100" s="145" t="str">
        <f t="shared" si="38"/>
        <v/>
      </c>
      <c r="AT100" s="145" t="str">
        <f t="shared" si="38"/>
        <v/>
      </c>
      <c r="AU100" s="145">
        <f t="shared" si="38"/>
        <v>0.77009239119797179</v>
      </c>
      <c r="AV100" s="145">
        <f t="shared" si="38"/>
        <v>1.9081971792030412</v>
      </c>
      <c r="AW100" s="145">
        <f t="shared" si="38"/>
        <v>-0.17439084263632543</v>
      </c>
      <c r="AX100" s="145">
        <f t="shared" si="35"/>
        <v>0.15935373305405864</v>
      </c>
      <c r="AY100" s="145">
        <f t="shared" si="35"/>
        <v>0.41562946346963647</v>
      </c>
      <c r="AZ100" s="145">
        <f t="shared" si="35"/>
        <v>1.0078255378722334</v>
      </c>
      <c r="BA100" s="145">
        <f t="shared" si="35"/>
        <v>1.3741217477462699</v>
      </c>
      <c r="BB100" s="145">
        <f t="shared" si="35"/>
        <v>0.5754633421326798</v>
      </c>
      <c r="BC100" s="145">
        <f t="shared" si="35"/>
        <v>0.11818220961209214</v>
      </c>
      <c r="BD100" s="145">
        <f t="shared" si="37"/>
        <v>0.46221340713983095</v>
      </c>
      <c r="BE100" s="145">
        <f t="shared" si="37"/>
        <v>-0.2759942123851028</v>
      </c>
    </row>
    <row r="101" spans="2:57">
      <c r="B101" s="140" t="s">
        <v>898</v>
      </c>
      <c r="C101" s="127" t="s">
        <v>899</v>
      </c>
      <c r="D101" s="128"/>
      <c r="E101" s="128"/>
      <c r="F101" s="128"/>
      <c r="G101" s="128"/>
      <c r="H101" s="128">
        <v>0</v>
      </c>
      <c r="I101" s="128">
        <v>0</v>
      </c>
      <c r="J101" s="128">
        <v>0.92181884999999997</v>
      </c>
      <c r="K101" s="128">
        <v>1.627712077</v>
      </c>
      <c r="L101" s="128">
        <v>1.5659121069999999</v>
      </c>
      <c r="M101" s="128">
        <v>8.3537920680000006</v>
      </c>
      <c r="N101" s="128">
        <v>19.29758584</v>
      </c>
      <c r="O101" s="128">
        <v>20.044459341</v>
      </c>
      <c r="P101" s="128">
        <v>22.475498438999999</v>
      </c>
      <c r="Q101" s="128">
        <v>38.061594053</v>
      </c>
      <c r="R101" s="110">
        <v>81.194129528999994</v>
      </c>
      <c r="S101" s="110">
        <v>86.907353149000002</v>
      </c>
      <c r="T101" s="110">
        <v>98.379250626000001</v>
      </c>
      <c r="U101" s="110">
        <v>97.659957856000005</v>
      </c>
      <c r="V101" s="110">
        <v>88.995836420000003</v>
      </c>
      <c r="W101" s="158">
        <v>90.966314914999998</v>
      </c>
      <c r="X101" s="110"/>
      <c r="Z101" s="145" t="e">
        <f t="shared" si="33"/>
        <v>#DIV/0!</v>
      </c>
      <c r="AA101" s="145" t="e">
        <f t="shared" si="34"/>
        <v>#DIV/0!</v>
      </c>
      <c r="AB101" s="145" t="e">
        <f t="shared" si="32"/>
        <v>#DIV/0!</v>
      </c>
      <c r="AC101" s="145" t="e">
        <f t="shared" si="32"/>
        <v>#DIV/0!</v>
      </c>
      <c r="AD101" s="145">
        <f t="shared" si="32"/>
        <v>0</v>
      </c>
      <c r="AE101" s="145">
        <f t="shared" si="32"/>
        <v>0</v>
      </c>
      <c r="AF101" s="145">
        <f t="shared" si="32"/>
        <v>6.0009483813161046E-4</v>
      </c>
      <c r="AG101" s="145">
        <f t="shared" si="32"/>
        <v>1.0206218471594118E-3</v>
      </c>
      <c r="AH101" s="145">
        <f t="shared" si="32"/>
        <v>7.0161247211619304E-4</v>
      </c>
      <c r="AI101" s="145">
        <f t="shared" si="30"/>
        <v>2.4518059742657046E-3</v>
      </c>
      <c r="AJ101" s="145">
        <f t="shared" si="30"/>
        <v>2.6559616484602201E-3</v>
      </c>
      <c r="AK101" s="145">
        <f t="shared" si="30"/>
        <v>1.3494078451822293E-3</v>
      </c>
      <c r="AL101" s="145">
        <f t="shared" si="30"/>
        <v>9.847885517244527E-4</v>
      </c>
      <c r="AM101" s="145">
        <f t="shared" si="30"/>
        <v>1.353419910678715E-3</v>
      </c>
      <c r="AN101" s="145">
        <f t="shared" si="36"/>
        <v>1.9467234950017126E-3</v>
      </c>
      <c r="AO101" s="145">
        <f t="shared" si="36"/>
        <v>1.8880228498514026E-3</v>
      </c>
      <c r="AP101" s="133"/>
      <c r="AQ101" s="147" t="str">
        <f t="shared" si="38"/>
        <v/>
      </c>
      <c r="AR101" s="147" t="str">
        <f t="shared" si="38"/>
        <v/>
      </c>
      <c r="AS101" s="147" t="str">
        <f t="shared" si="38"/>
        <v/>
      </c>
      <c r="AT101" s="147" t="str">
        <f t="shared" si="38"/>
        <v/>
      </c>
      <c r="AU101" s="147" t="str">
        <f t="shared" si="38"/>
        <v/>
      </c>
      <c r="AV101" s="147" t="str">
        <f t="shared" si="38"/>
        <v/>
      </c>
      <c r="AW101" s="147">
        <f t="shared" si="38"/>
        <v>0.76576132826964871</v>
      </c>
      <c r="AX101" s="147">
        <f t="shared" si="35"/>
        <v>-3.7967384326288323E-2</v>
      </c>
      <c r="AY101" s="147">
        <f t="shared" si="35"/>
        <v>4.3347771121102907</v>
      </c>
      <c r="AZ101" s="147">
        <f t="shared" si="35"/>
        <v>1.310039043696245</v>
      </c>
      <c r="BA101" s="147">
        <f t="shared" si="35"/>
        <v>3.8702950057715624E-2</v>
      </c>
      <c r="BB101" s="147">
        <f t="shared" si="35"/>
        <v>0.12128234823612449</v>
      </c>
      <c r="BC101" s="147">
        <f t="shared" si="35"/>
        <v>0.69347052107884077</v>
      </c>
      <c r="BD101" s="147">
        <f t="shared" si="37"/>
        <v>1.1332298751318404</v>
      </c>
      <c r="BE101" s="147">
        <f t="shared" si="37"/>
        <v>7.0364983935931269E-2</v>
      </c>
    </row>
    <row r="102" spans="2:57">
      <c r="B102" s="140" t="s">
        <v>900</v>
      </c>
      <c r="C102" s="127" t="s">
        <v>901</v>
      </c>
      <c r="D102" s="128"/>
      <c r="E102" s="128"/>
      <c r="F102" s="128"/>
      <c r="G102" s="128"/>
      <c r="H102" s="128">
        <v>12.95557</v>
      </c>
      <c r="I102" s="128">
        <v>33.958086950000002</v>
      </c>
      <c r="J102" s="128">
        <v>42.690680972999999</v>
      </c>
      <c r="K102" s="128">
        <v>48.552486246000001</v>
      </c>
      <c r="L102" s="128">
        <v>84.241128747000005</v>
      </c>
      <c r="M102" s="128">
        <v>57.948259321000002</v>
      </c>
      <c r="N102" s="128">
        <v>174.477742839</v>
      </c>
      <c r="O102" s="128">
        <v>152.82400591800001</v>
      </c>
      <c r="P102" s="128">
        <v>137.42161228500001</v>
      </c>
      <c r="Q102" s="128">
        <v>217.69964388299999</v>
      </c>
      <c r="R102" s="110">
        <v>374.62326911000002</v>
      </c>
      <c r="S102" s="110">
        <v>634.91786817599996</v>
      </c>
      <c r="T102" s="110">
        <v>696.55903354500003</v>
      </c>
      <c r="U102" s="110">
        <v>764.244077963</v>
      </c>
      <c r="V102" s="110">
        <v>418.17325159500001</v>
      </c>
      <c r="W102" s="158">
        <v>534.22242872699996</v>
      </c>
      <c r="X102" s="110"/>
      <c r="Z102" s="145" t="e">
        <f t="shared" si="33"/>
        <v>#DIV/0!</v>
      </c>
      <c r="AA102" s="145" t="e">
        <f t="shared" si="34"/>
        <v>#DIV/0!</v>
      </c>
      <c r="AB102" s="145" t="e">
        <f t="shared" si="32"/>
        <v>#DIV/0!</v>
      </c>
      <c r="AC102" s="145" t="e">
        <f t="shared" si="32"/>
        <v>#DIV/0!</v>
      </c>
      <c r="AD102" s="145">
        <f t="shared" si="32"/>
        <v>4.0327105390207792E-2</v>
      </c>
      <c r="AE102" s="145">
        <f t="shared" si="32"/>
        <v>5.6638222008795036E-2</v>
      </c>
      <c r="AF102" s="145">
        <f t="shared" si="32"/>
        <v>2.7791205710558705E-2</v>
      </c>
      <c r="AG102" s="145">
        <f t="shared" si="32"/>
        <v>3.0443792177241715E-2</v>
      </c>
      <c r="AH102" s="145">
        <f t="shared" si="32"/>
        <v>3.7744536446093886E-2</v>
      </c>
      <c r="AI102" s="145">
        <f t="shared" si="32"/>
        <v>1.7007592150368341E-2</v>
      </c>
      <c r="AJ102" s="145">
        <f t="shared" si="32"/>
        <v>2.4013687376881167E-2</v>
      </c>
      <c r="AK102" s="145">
        <f t="shared" si="32"/>
        <v>1.0288225240184325E-2</v>
      </c>
      <c r="AL102" s="145">
        <f t="shared" si="32"/>
        <v>6.0212782779915834E-3</v>
      </c>
      <c r="AM102" s="145">
        <f t="shared" si="32"/>
        <v>7.7411112148545068E-3</v>
      </c>
      <c r="AN102" s="145">
        <f t="shared" si="36"/>
        <v>8.9820276906880034E-3</v>
      </c>
      <c r="AO102" s="145">
        <f t="shared" si="36"/>
        <v>1.3793302861727091E-2</v>
      </c>
      <c r="AP102" s="133"/>
      <c r="AQ102" s="147" t="str">
        <f t="shared" si="38"/>
        <v/>
      </c>
      <c r="AR102" s="147" t="str">
        <f t="shared" si="38"/>
        <v/>
      </c>
      <c r="AS102" s="147" t="str">
        <f t="shared" si="38"/>
        <v/>
      </c>
      <c r="AT102" s="147" t="str">
        <f t="shared" si="38"/>
        <v/>
      </c>
      <c r="AU102" s="147">
        <f t="shared" si="38"/>
        <v>1.6211187118745065</v>
      </c>
      <c r="AV102" s="147">
        <f t="shared" si="38"/>
        <v>0.257158008808267</v>
      </c>
      <c r="AW102" s="147">
        <f t="shared" si="38"/>
        <v>0.13730877885755288</v>
      </c>
      <c r="AX102" s="147">
        <f t="shared" si="35"/>
        <v>0.73505283169593016</v>
      </c>
      <c r="AY102" s="147">
        <f t="shared" si="35"/>
        <v>-0.3121144008524025</v>
      </c>
      <c r="AZ102" s="147">
        <f t="shared" si="35"/>
        <v>2.0109229316534556</v>
      </c>
      <c r="BA102" s="147">
        <f t="shared" si="35"/>
        <v>-0.12410601242693209</v>
      </c>
      <c r="BB102" s="147">
        <f t="shared" si="35"/>
        <v>-0.10078517141648802</v>
      </c>
      <c r="BC102" s="147">
        <f t="shared" si="35"/>
        <v>0.58417326258340352</v>
      </c>
      <c r="BD102" s="147">
        <f t="shared" si="37"/>
        <v>0.7208262835346515</v>
      </c>
      <c r="BE102" s="147">
        <f t="shared" si="37"/>
        <v>0.69481695486878592</v>
      </c>
    </row>
    <row r="103" spans="2:57">
      <c r="B103" s="140" t="s">
        <v>902</v>
      </c>
      <c r="C103" s="127" t="s">
        <v>903</v>
      </c>
      <c r="D103" s="128"/>
      <c r="E103" s="128"/>
      <c r="F103" s="128"/>
      <c r="G103" s="128"/>
      <c r="H103" s="128">
        <v>0.25079200000000001</v>
      </c>
      <c r="I103" s="128">
        <v>0.52262329100000005</v>
      </c>
      <c r="J103" s="128">
        <v>1.1794627099999999</v>
      </c>
      <c r="K103" s="128">
        <v>12.155145211000001</v>
      </c>
      <c r="L103" s="128">
        <v>4.5003647249999998</v>
      </c>
      <c r="M103" s="128">
        <v>0.34450208399999999</v>
      </c>
      <c r="N103" s="128">
        <v>52.487558084</v>
      </c>
      <c r="O103" s="128">
        <v>91.329782828999996</v>
      </c>
      <c r="P103" s="128">
        <v>133.72511131799999</v>
      </c>
      <c r="Q103" s="128">
        <v>149.77499180199999</v>
      </c>
      <c r="R103" s="110">
        <v>258.242266298</v>
      </c>
      <c r="S103" s="110">
        <v>533.57231976699995</v>
      </c>
      <c r="T103" s="110">
        <v>531.98743233899995</v>
      </c>
      <c r="U103" s="110">
        <v>475.43193959000001</v>
      </c>
      <c r="V103" s="110">
        <v>438.40432341399998</v>
      </c>
      <c r="W103" s="158">
        <v>649.99968513900001</v>
      </c>
      <c r="X103" s="110"/>
      <c r="Z103" s="145" t="e">
        <f t="shared" si="33"/>
        <v>#DIV/0!</v>
      </c>
      <c r="AA103" s="145" t="e">
        <f t="shared" si="34"/>
        <v>#DIV/0!</v>
      </c>
      <c r="AB103" s="145" t="e">
        <f t="shared" si="32"/>
        <v>#DIV/0!</v>
      </c>
      <c r="AC103" s="145" t="e">
        <f t="shared" si="32"/>
        <v>#DIV/0!</v>
      </c>
      <c r="AD103" s="145">
        <f t="shared" si="32"/>
        <v>7.8064611707713311E-4</v>
      </c>
      <c r="AE103" s="145">
        <f t="shared" si="32"/>
        <v>8.7167613494272805E-4</v>
      </c>
      <c r="AF103" s="145">
        <f t="shared" si="32"/>
        <v>7.6781841035222982E-4</v>
      </c>
      <c r="AG103" s="145">
        <f t="shared" si="32"/>
        <v>7.6216223575649618E-3</v>
      </c>
      <c r="AH103" s="145">
        <f t="shared" si="32"/>
        <v>2.0164043728999417E-3</v>
      </c>
      <c r="AI103" s="145">
        <f t="shared" si="32"/>
        <v>1.0111004210096476E-4</v>
      </c>
      <c r="AJ103" s="145">
        <f t="shared" si="32"/>
        <v>7.2239575690070971E-3</v>
      </c>
      <c r="AK103" s="145">
        <f t="shared" si="32"/>
        <v>6.1483886071278518E-3</v>
      </c>
      <c r="AL103" s="145">
        <f t="shared" si="32"/>
        <v>5.8593120442450913E-3</v>
      </c>
      <c r="AM103" s="145">
        <f t="shared" si="32"/>
        <v>5.3258004839287776E-3</v>
      </c>
      <c r="AN103" s="145">
        <f t="shared" si="36"/>
        <v>6.1916580683982515E-3</v>
      </c>
      <c r="AO103" s="145">
        <f t="shared" si="36"/>
        <v>1.1591616765052829E-2</v>
      </c>
      <c r="AP103" s="133"/>
      <c r="AQ103" s="147" t="str">
        <f t="shared" si="38"/>
        <v/>
      </c>
      <c r="AR103" s="147" t="str">
        <f t="shared" si="38"/>
        <v/>
      </c>
      <c r="AS103" s="147" t="str">
        <f t="shared" si="38"/>
        <v/>
      </c>
      <c r="AT103" s="147" t="str">
        <f t="shared" si="38"/>
        <v/>
      </c>
      <c r="AU103" s="147">
        <f t="shared" si="38"/>
        <v>1.0838913960572905</v>
      </c>
      <c r="AV103" s="147">
        <f t="shared" si="38"/>
        <v>1.2568123738672026</v>
      </c>
      <c r="AW103" s="147">
        <f t="shared" si="38"/>
        <v>9.3056630005708296</v>
      </c>
      <c r="AX103" s="147">
        <f t="shared" si="35"/>
        <v>-0.62975639970739961</v>
      </c>
      <c r="AY103" s="147">
        <f t="shared" si="35"/>
        <v>-0.92345018569578263</v>
      </c>
      <c r="AZ103" s="147">
        <f t="shared" si="35"/>
        <v>151.35773750500738</v>
      </c>
      <c r="BA103" s="147">
        <f t="shared" si="35"/>
        <v>0.74002727813775793</v>
      </c>
      <c r="BB103" s="147">
        <f t="shared" si="35"/>
        <v>0.464200474103593</v>
      </c>
      <c r="BC103" s="147">
        <f t="shared" si="35"/>
        <v>0.12002144044459362</v>
      </c>
      <c r="BD103" s="147">
        <f t="shared" si="37"/>
        <v>0.72420150514440973</v>
      </c>
      <c r="BE103" s="147">
        <f t="shared" si="37"/>
        <v>1.0661695988652817</v>
      </c>
    </row>
    <row r="104" spans="2:57">
      <c r="B104" s="140" t="s">
        <v>904</v>
      </c>
      <c r="C104" s="127" t="s">
        <v>905</v>
      </c>
      <c r="D104" s="128"/>
      <c r="E104" s="128"/>
      <c r="F104" s="128"/>
      <c r="G104" s="128"/>
      <c r="H104" s="128">
        <v>20.849815</v>
      </c>
      <c r="I104" s="128">
        <v>61.405925981999999</v>
      </c>
      <c r="J104" s="128">
        <v>112.541211389</v>
      </c>
      <c r="K104" s="128">
        <v>67.382892264000006</v>
      </c>
      <c r="L104" s="128">
        <v>94.070205539</v>
      </c>
      <c r="M104" s="128">
        <v>191.807973852</v>
      </c>
      <c r="N104" s="128">
        <v>307.223642031</v>
      </c>
      <c r="O104" s="128">
        <v>903.45811712299997</v>
      </c>
      <c r="P104" s="128">
        <v>1585.372350657</v>
      </c>
      <c r="Q104" s="128">
        <v>2173.0648794140002</v>
      </c>
      <c r="R104" s="110">
        <v>1851.9669586550001</v>
      </c>
      <c r="S104" s="110">
        <v>3191.0053945139998</v>
      </c>
      <c r="T104" s="110">
        <v>3885.3563812329999</v>
      </c>
      <c r="U104" s="110">
        <v>2180.365916409</v>
      </c>
      <c r="V104" s="110">
        <v>1372.8082658139999</v>
      </c>
      <c r="W104" s="158">
        <v>3356.9402247759999</v>
      </c>
      <c r="X104" s="110"/>
      <c r="Z104" s="145" t="e">
        <f t="shared" si="33"/>
        <v>#DIV/0!</v>
      </c>
      <c r="AA104" s="145" t="e">
        <f t="shared" si="34"/>
        <v>#DIV/0!</v>
      </c>
      <c r="AB104" s="145" t="e">
        <f t="shared" si="32"/>
        <v>#DIV/0!</v>
      </c>
      <c r="AC104" s="145" t="e">
        <f t="shared" si="32"/>
        <v>#DIV/0!</v>
      </c>
      <c r="AD104" s="145">
        <f t="shared" si="32"/>
        <v>6.4899706216811404E-2</v>
      </c>
      <c r="AE104" s="145">
        <f t="shared" si="32"/>
        <v>0.10241809185379187</v>
      </c>
      <c r="AF104" s="145">
        <f t="shared" si="32"/>
        <v>7.3263201367185449E-2</v>
      </c>
      <c r="AG104" s="145">
        <f t="shared" si="32"/>
        <v>4.2250993244567131E-2</v>
      </c>
      <c r="AH104" s="145">
        <f t="shared" si="32"/>
        <v>4.2148489155717464E-2</v>
      </c>
      <c r="AI104" s="145">
        <f t="shared" si="32"/>
        <v>5.6294905639747803E-2</v>
      </c>
      <c r="AJ104" s="145">
        <f t="shared" si="32"/>
        <v>4.2283745619789259E-2</v>
      </c>
      <c r="AK104" s="145">
        <f t="shared" si="32"/>
        <v>6.0821469429492736E-2</v>
      </c>
      <c r="AL104" s="145">
        <f t="shared" si="32"/>
        <v>6.9464823900784789E-2</v>
      </c>
      <c r="AM104" s="145">
        <f t="shared" si="32"/>
        <v>7.7271311099061407E-2</v>
      </c>
      <c r="AN104" s="145">
        <f t="shared" si="36"/>
        <v>4.4403057355185585E-2</v>
      </c>
      <c r="AO104" s="145">
        <f t="shared" si="36"/>
        <v>6.9323145632020022E-2</v>
      </c>
      <c r="AP104" s="133"/>
      <c r="AQ104" s="147" t="str">
        <f t="shared" si="38"/>
        <v/>
      </c>
      <c r="AR104" s="147" t="str">
        <f t="shared" si="38"/>
        <v/>
      </c>
      <c r="AS104" s="147" t="str">
        <f t="shared" si="38"/>
        <v/>
      </c>
      <c r="AT104" s="147" t="str">
        <f t="shared" si="38"/>
        <v/>
      </c>
      <c r="AU104" s="147">
        <f t="shared" si="38"/>
        <v>1.9451544765265303</v>
      </c>
      <c r="AV104" s="147">
        <f t="shared" si="38"/>
        <v>0.83274186634673253</v>
      </c>
      <c r="AW104" s="147">
        <f t="shared" si="38"/>
        <v>-0.40126029005418951</v>
      </c>
      <c r="AX104" s="147">
        <f t="shared" si="35"/>
        <v>0.39605473107983458</v>
      </c>
      <c r="AY104" s="147">
        <f t="shared" si="35"/>
        <v>1.0389875067561056</v>
      </c>
      <c r="AZ104" s="147">
        <f t="shared" si="35"/>
        <v>0.60172507879185089</v>
      </c>
      <c r="BA104" s="147">
        <f t="shared" si="35"/>
        <v>1.9407180747887809</v>
      </c>
      <c r="BB104" s="147">
        <f t="shared" si="35"/>
        <v>0.75478234199224281</v>
      </c>
      <c r="BC104" s="147">
        <f t="shared" si="35"/>
        <v>0.37069684513764378</v>
      </c>
      <c r="BD104" s="147">
        <f t="shared" si="37"/>
        <v>-0.14776269397239028</v>
      </c>
      <c r="BE104" s="147">
        <f t="shared" si="37"/>
        <v>0.72303581313971321</v>
      </c>
    </row>
    <row r="105" spans="2:57">
      <c r="B105" s="140" t="s">
        <v>906</v>
      </c>
      <c r="C105" s="127" t="s">
        <v>907</v>
      </c>
      <c r="D105" s="128"/>
      <c r="E105" s="128"/>
      <c r="F105" s="128"/>
      <c r="G105" s="128"/>
      <c r="H105" s="128">
        <v>0</v>
      </c>
      <c r="I105" s="128">
        <v>0</v>
      </c>
      <c r="J105" s="128">
        <v>0</v>
      </c>
      <c r="K105" s="128">
        <v>0</v>
      </c>
      <c r="L105" s="128">
        <v>0</v>
      </c>
      <c r="M105" s="128">
        <v>0</v>
      </c>
      <c r="N105" s="128">
        <v>0</v>
      </c>
      <c r="O105" s="128">
        <v>0</v>
      </c>
      <c r="P105" s="128">
        <v>0</v>
      </c>
      <c r="Q105" s="128">
        <v>0</v>
      </c>
      <c r="R105" s="110">
        <v>0</v>
      </c>
      <c r="S105" s="110">
        <v>0</v>
      </c>
      <c r="T105" s="110">
        <v>0</v>
      </c>
      <c r="U105" s="110">
        <v>0</v>
      </c>
      <c r="V105" s="110">
        <v>0</v>
      </c>
      <c r="W105" s="158">
        <v>0</v>
      </c>
      <c r="X105" s="110"/>
      <c r="Z105" s="145" t="e">
        <f t="shared" si="33"/>
        <v>#DIV/0!</v>
      </c>
      <c r="AA105" s="145" t="e">
        <f t="shared" si="34"/>
        <v>#DIV/0!</v>
      </c>
      <c r="AB105" s="145" t="e">
        <f t="shared" si="32"/>
        <v>#DIV/0!</v>
      </c>
      <c r="AC105" s="145" t="e">
        <f t="shared" si="32"/>
        <v>#DIV/0!</v>
      </c>
      <c r="AD105" s="145">
        <f t="shared" si="32"/>
        <v>0</v>
      </c>
      <c r="AE105" s="145">
        <f t="shared" si="32"/>
        <v>0</v>
      </c>
      <c r="AF105" s="145">
        <f t="shared" si="32"/>
        <v>0</v>
      </c>
      <c r="AG105" s="145">
        <f t="shared" si="32"/>
        <v>0</v>
      </c>
      <c r="AH105" s="145">
        <f t="shared" si="32"/>
        <v>0</v>
      </c>
      <c r="AI105" s="145">
        <f t="shared" si="32"/>
        <v>0</v>
      </c>
      <c r="AJ105" s="145">
        <f t="shared" si="32"/>
        <v>0</v>
      </c>
      <c r="AK105" s="145">
        <f t="shared" si="32"/>
        <v>0</v>
      </c>
      <c r="AL105" s="145">
        <f t="shared" si="32"/>
        <v>0</v>
      </c>
      <c r="AM105" s="145">
        <f t="shared" si="32"/>
        <v>0</v>
      </c>
      <c r="AN105" s="145">
        <f t="shared" si="36"/>
        <v>0</v>
      </c>
      <c r="AO105" s="145">
        <f t="shared" si="36"/>
        <v>0</v>
      </c>
      <c r="AP105" s="133"/>
      <c r="AQ105" s="147" t="str">
        <f t="shared" si="38"/>
        <v/>
      </c>
      <c r="AR105" s="147" t="str">
        <f t="shared" si="38"/>
        <v/>
      </c>
      <c r="AS105" s="147" t="str">
        <f t="shared" si="38"/>
        <v/>
      </c>
      <c r="AT105" s="147" t="str">
        <f t="shared" si="38"/>
        <v/>
      </c>
      <c r="AU105" s="147" t="str">
        <f t="shared" si="38"/>
        <v/>
      </c>
      <c r="AV105" s="147" t="str">
        <f t="shared" si="38"/>
        <v/>
      </c>
      <c r="AW105" s="147" t="str">
        <f t="shared" si="38"/>
        <v/>
      </c>
      <c r="AX105" s="147" t="str">
        <f t="shared" si="35"/>
        <v/>
      </c>
      <c r="AY105" s="147" t="str">
        <f t="shared" si="35"/>
        <v/>
      </c>
      <c r="AZ105" s="147" t="str">
        <f t="shared" si="35"/>
        <v/>
      </c>
      <c r="BA105" s="147" t="str">
        <f t="shared" si="35"/>
        <v/>
      </c>
      <c r="BB105" s="147" t="str">
        <f t="shared" si="35"/>
        <v/>
      </c>
      <c r="BC105" s="147" t="str">
        <f t="shared" si="35"/>
        <v/>
      </c>
      <c r="BD105" s="147" t="str">
        <f t="shared" si="37"/>
        <v/>
      </c>
      <c r="BE105" s="147" t="str">
        <f t="shared" si="37"/>
        <v/>
      </c>
    </row>
    <row r="106" spans="2:57">
      <c r="B106" s="140" t="s">
        <v>908</v>
      </c>
      <c r="C106" s="127" t="s">
        <v>909</v>
      </c>
      <c r="D106" s="128"/>
      <c r="E106" s="128"/>
      <c r="F106" s="128"/>
      <c r="G106" s="128"/>
      <c r="H106" s="128">
        <v>0</v>
      </c>
      <c r="I106" s="128">
        <v>0</v>
      </c>
      <c r="J106" s="128">
        <v>0</v>
      </c>
      <c r="K106" s="128">
        <v>0</v>
      </c>
      <c r="L106" s="128">
        <v>0</v>
      </c>
      <c r="M106" s="128">
        <v>0</v>
      </c>
      <c r="N106" s="128">
        <v>0</v>
      </c>
      <c r="O106" s="128">
        <v>0</v>
      </c>
      <c r="P106" s="128">
        <v>0</v>
      </c>
      <c r="Q106" s="128">
        <v>0</v>
      </c>
      <c r="R106" s="110">
        <v>0</v>
      </c>
      <c r="S106" s="110">
        <v>0</v>
      </c>
      <c r="T106" s="110">
        <v>0</v>
      </c>
      <c r="U106" s="110">
        <v>0</v>
      </c>
      <c r="V106" s="110">
        <v>0</v>
      </c>
      <c r="W106" s="158">
        <v>0</v>
      </c>
      <c r="X106" s="110"/>
      <c r="Z106" s="145" t="e">
        <f t="shared" si="33"/>
        <v>#DIV/0!</v>
      </c>
      <c r="AA106" s="145" t="e">
        <f t="shared" si="34"/>
        <v>#DIV/0!</v>
      </c>
      <c r="AB106" s="145" t="e">
        <f t="shared" si="32"/>
        <v>#DIV/0!</v>
      </c>
      <c r="AC106" s="145" t="e">
        <f t="shared" si="32"/>
        <v>#DIV/0!</v>
      </c>
      <c r="AD106" s="145">
        <f t="shared" si="32"/>
        <v>0</v>
      </c>
      <c r="AE106" s="145">
        <f t="shared" si="32"/>
        <v>0</v>
      </c>
      <c r="AF106" s="145">
        <f t="shared" si="32"/>
        <v>0</v>
      </c>
      <c r="AG106" s="145">
        <f t="shared" si="32"/>
        <v>0</v>
      </c>
      <c r="AH106" s="145">
        <f t="shared" si="32"/>
        <v>0</v>
      </c>
      <c r="AI106" s="145">
        <f t="shared" si="32"/>
        <v>0</v>
      </c>
      <c r="AJ106" s="145">
        <f t="shared" si="32"/>
        <v>0</v>
      </c>
      <c r="AK106" s="145">
        <f t="shared" si="32"/>
        <v>0</v>
      </c>
      <c r="AL106" s="145">
        <f t="shared" si="32"/>
        <v>0</v>
      </c>
      <c r="AM106" s="145">
        <f t="shared" si="32"/>
        <v>0</v>
      </c>
      <c r="AN106" s="145">
        <f t="shared" si="36"/>
        <v>0</v>
      </c>
      <c r="AO106" s="145">
        <f t="shared" si="36"/>
        <v>0</v>
      </c>
      <c r="AP106" s="133"/>
      <c r="AQ106" s="147" t="str">
        <f t="shared" si="38"/>
        <v/>
      </c>
      <c r="AR106" s="147" t="str">
        <f t="shared" si="38"/>
        <v/>
      </c>
      <c r="AS106" s="147" t="str">
        <f t="shared" si="38"/>
        <v/>
      </c>
      <c r="AT106" s="147" t="str">
        <f t="shared" si="38"/>
        <v/>
      </c>
      <c r="AU106" s="147" t="str">
        <f t="shared" si="38"/>
        <v/>
      </c>
      <c r="AV106" s="147" t="str">
        <f t="shared" si="38"/>
        <v/>
      </c>
      <c r="AW106" s="147" t="str">
        <f t="shared" si="38"/>
        <v/>
      </c>
      <c r="AX106" s="147" t="str">
        <f t="shared" si="35"/>
        <v/>
      </c>
      <c r="AY106" s="147" t="str">
        <f t="shared" si="35"/>
        <v/>
      </c>
      <c r="AZ106" s="147" t="str">
        <f t="shared" si="35"/>
        <v/>
      </c>
      <c r="BA106" s="147" t="str">
        <f t="shared" si="35"/>
        <v/>
      </c>
      <c r="BB106" s="147" t="str">
        <f t="shared" si="35"/>
        <v/>
      </c>
      <c r="BC106" s="147" t="str">
        <f t="shared" si="35"/>
        <v/>
      </c>
      <c r="BD106" s="147" t="str">
        <f t="shared" si="37"/>
        <v/>
      </c>
      <c r="BE106" s="147" t="str">
        <f t="shared" si="37"/>
        <v/>
      </c>
    </row>
    <row r="107" spans="2:57">
      <c r="B107" s="140" t="s">
        <v>910</v>
      </c>
      <c r="C107" s="127" t="s">
        <v>911</v>
      </c>
      <c r="D107" s="128"/>
      <c r="E107" s="128"/>
      <c r="F107" s="128"/>
      <c r="G107" s="128"/>
      <c r="H107" s="128">
        <v>0</v>
      </c>
      <c r="I107" s="128">
        <v>0</v>
      </c>
      <c r="J107" s="128">
        <v>0</v>
      </c>
      <c r="K107" s="128">
        <v>0</v>
      </c>
      <c r="L107" s="128">
        <v>0</v>
      </c>
      <c r="M107" s="128">
        <v>0</v>
      </c>
      <c r="N107" s="128">
        <v>0</v>
      </c>
      <c r="O107" s="128">
        <v>0</v>
      </c>
      <c r="P107" s="128">
        <v>0</v>
      </c>
      <c r="Q107" s="128">
        <v>0</v>
      </c>
      <c r="R107" s="110">
        <v>0.33358517900000001</v>
      </c>
      <c r="S107" s="110">
        <v>0.30840847500000002</v>
      </c>
      <c r="T107" s="110">
        <v>0</v>
      </c>
      <c r="U107" s="110">
        <v>0.38694369200000001</v>
      </c>
      <c r="V107" s="110">
        <v>3.4057932310000001</v>
      </c>
      <c r="W107" s="158">
        <v>51.807612124999999</v>
      </c>
      <c r="X107" s="110"/>
      <c r="Z107" s="145" t="e">
        <f t="shared" si="33"/>
        <v>#DIV/0!</v>
      </c>
      <c r="AA107" s="145" t="e">
        <f t="shared" si="34"/>
        <v>#DIV/0!</v>
      </c>
      <c r="AB107" s="145" t="e">
        <f t="shared" si="32"/>
        <v>#DIV/0!</v>
      </c>
      <c r="AC107" s="145" t="e">
        <f t="shared" si="32"/>
        <v>#DIV/0!</v>
      </c>
      <c r="AD107" s="145">
        <f t="shared" si="32"/>
        <v>0</v>
      </c>
      <c r="AE107" s="145">
        <f t="shared" si="32"/>
        <v>0</v>
      </c>
      <c r="AF107" s="145">
        <f t="shared" si="32"/>
        <v>0</v>
      </c>
      <c r="AG107" s="145">
        <f t="shared" si="32"/>
        <v>0</v>
      </c>
      <c r="AH107" s="145">
        <f t="shared" si="32"/>
        <v>0</v>
      </c>
      <c r="AI107" s="145">
        <f t="shared" si="32"/>
        <v>0</v>
      </c>
      <c r="AJ107" s="145">
        <f t="shared" si="32"/>
        <v>0</v>
      </c>
      <c r="AK107" s="145">
        <f t="shared" si="32"/>
        <v>0</v>
      </c>
      <c r="AL107" s="145">
        <f t="shared" si="32"/>
        <v>0</v>
      </c>
      <c r="AM107" s="145">
        <f t="shared" si="32"/>
        <v>0</v>
      </c>
      <c r="AN107" s="145">
        <f t="shared" si="36"/>
        <v>7.9980918486441472E-6</v>
      </c>
      <c r="AO107" s="145">
        <f t="shared" si="36"/>
        <v>6.7000343099797317E-6</v>
      </c>
      <c r="AP107" s="133"/>
      <c r="AQ107" s="147" t="str">
        <f t="shared" si="38"/>
        <v/>
      </c>
      <c r="AR107" s="147" t="str">
        <f t="shared" si="38"/>
        <v/>
      </c>
      <c r="AS107" s="147" t="str">
        <f t="shared" si="38"/>
        <v/>
      </c>
      <c r="AT107" s="147" t="str">
        <f t="shared" si="38"/>
        <v/>
      </c>
      <c r="AU107" s="147" t="str">
        <f t="shared" si="38"/>
        <v/>
      </c>
      <c r="AV107" s="147" t="str">
        <f t="shared" si="38"/>
        <v/>
      </c>
      <c r="AW107" s="147" t="str">
        <f t="shared" si="38"/>
        <v/>
      </c>
      <c r="AX107" s="147" t="str">
        <f t="shared" si="35"/>
        <v/>
      </c>
      <c r="AY107" s="147" t="str">
        <f t="shared" si="35"/>
        <v/>
      </c>
      <c r="AZ107" s="147" t="str">
        <f t="shared" si="35"/>
        <v/>
      </c>
      <c r="BA107" s="147" t="str">
        <f t="shared" si="35"/>
        <v/>
      </c>
      <c r="BB107" s="147" t="str">
        <f t="shared" si="35"/>
        <v/>
      </c>
      <c r="BC107" s="147" t="str">
        <f t="shared" si="35"/>
        <v/>
      </c>
      <c r="BD107" s="147" t="str">
        <f t="shared" si="37"/>
        <v/>
      </c>
      <c r="BE107" s="147">
        <f t="shared" si="37"/>
        <v>-7.5473089288538131E-2</v>
      </c>
    </row>
    <row r="108" spans="2:57">
      <c r="B108" s="140" t="s">
        <v>912</v>
      </c>
      <c r="C108" s="127" t="s">
        <v>913</v>
      </c>
      <c r="D108" s="128"/>
      <c r="E108" s="128"/>
      <c r="F108" s="128"/>
      <c r="G108" s="128"/>
      <c r="H108" s="128">
        <v>1.919672</v>
      </c>
      <c r="I108" s="128">
        <v>4.3202594190000001</v>
      </c>
      <c r="J108" s="128">
        <v>36.775997136999997</v>
      </c>
      <c r="K108" s="128">
        <v>16.412255531</v>
      </c>
      <c r="L108" s="128">
        <v>16.134307486000001</v>
      </c>
      <c r="M108" s="128">
        <v>48.482430641999997</v>
      </c>
      <c r="N108" s="128">
        <v>175.36224076400001</v>
      </c>
      <c r="O108" s="128">
        <v>334.54604294699999</v>
      </c>
      <c r="P108" s="128">
        <v>807.31011272900002</v>
      </c>
      <c r="Q108" s="128">
        <v>1208.21426309</v>
      </c>
      <c r="R108" s="110">
        <v>717.88473075599995</v>
      </c>
      <c r="S108" s="110">
        <v>546.04542386499998</v>
      </c>
      <c r="T108" s="110">
        <v>476.31993660299997</v>
      </c>
      <c r="U108" s="110">
        <v>2971.9074799670002</v>
      </c>
      <c r="V108" s="110">
        <v>1316.566967015</v>
      </c>
      <c r="W108" s="158">
        <v>905.19222410199995</v>
      </c>
      <c r="X108" s="110"/>
      <c r="Z108" s="145" t="e">
        <f t="shared" si="33"/>
        <v>#DIV/0!</v>
      </c>
      <c r="AA108" s="145" t="e">
        <f t="shared" si="34"/>
        <v>#DIV/0!</v>
      </c>
      <c r="AB108" s="145" t="e">
        <f t="shared" si="32"/>
        <v>#DIV/0!</v>
      </c>
      <c r="AC108" s="145" t="e">
        <f t="shared" si="32"/>
        <v>#DIV/0!</v>
      </c>
      <c r="AD108" s="145">
        <f t="shared" si="32"/>
        <v>5.9754078792852014E-3</v>
      </c>
      <c r="AE108" s="145">
        <f t="shared" si="32"/>
        <v>7.2057007354152458E-3</v>
      </c>
      <c r="AF108" s="145">
        <f t="shared" si="32"/>
        <v>2.3940805776597632E-2</v>
      </c>
      <c r="AG108" s="145">
        <f t="shared" si="32"/>
        <v>1.0290951816843646E-2</v>
      </c>
      <c r="AH108" s="145">
        <f t="shared" si="32"/>
        <v>7.2290336798163986E-3</v>
      </c>
      <c r="AI108" s="145">
        <f t="shared" si="32"/>
        <v>1.4229407690229602E-2</v>
      </c>
      <c r="AJ108" s="145">
        <f t="shared" si="32"/>
        <v>2.4135422426354209E-2</v>
      </c>
      <c r="AK108" s="145">
        <f t="shared" si="32"/>
        <v>2.2521887332922742E-2</v>
      </c>
      <c r="AL108" s="145">
        <f t="shared" si="32"/>
        <v>3.5373175765808285E-2</v>
      </c>
      <c r="AM108" s="145">
        <f t="shared" si="32"/>
        <v>4.296250014529094E-2</v>
      </c>
      <c r="AN108" s="145">
        <f t="shared" si="36"/>
        <v>1.7212119646735451E-2</v>
      </c>
      <c r="AO108" s="145">
        <f t="shared" si="36"/>
        <v>1.1862589297206976E-2</v>
      </c>
      <c r="AP108" s="133"/>
      <c r="AQ108" s="147" t="str">
        <f t="shared" si="38"/>
        <v/>
      </c>
      <c r="AR108" s="147" t="str">
        <f t="shared" si="38"/>
        <v/>
      </c>
      <c r="AS108" s="147" t="str">
        <f t="shared" si="38"/>
        <v/>
      </c>
      <c r="AT108" s="147" t="str">
        <f t="shared" si="38"/>
        <v/>
      </c>
      <c r="AU108" s="147">
        <f t="shared" si="38"/>
        <v>1.2505195778237117</v>
      </c>
      <c r="AV108" s="147">
        <f t="shared" si="38"/>
        <v>7.5124511216302032</v>
      </c>
      <c r="AW108" s="147">
        <f t="shared" si="38"/>
        <v>-0.55372371087967653</v>
      </c>
      <c r="AX108" s="147">
        <f t="shared" si="35"/>
        <v>-1.6935395898205585E-2</v>
      </c>
      <c r="AY108" s="147">
        <f t="shared" si="35"/>
        <v>2.0049278956700798</v>
      </c>
      <c r="AZ108" s="147">
        <f t="shared" si="35"/>
        <v>2.6170265896711231</v>
      </c>
      <c r="BA108" s="147">
        <f t="shared" si="35"/>
        <v>0.90774274718140302</v>
      </c>
      <c r="BB108" s="147">
        <f t="shared" si="35"/>
        <v>1.4131509839944423</v>
      </c>
      <c r="BC108" s="147">
        <f t="shared" si="35"/>
        <v>0.49659250397074683</v>
      </c>
      <c r="BD108" s="147">
        <f t="shared" si="37"/>
        <v>-0.40582994863840249</v>
      </c>
      <c r="BE108" s="147">
        <f t="shared" si="37"/>
        <v>-0.23936893978791984</v>
      </c>
    </row>
    <row r="109" spans="2:57" s="136" customFormat="1">
      <c r="B109" s="154" t="s">
        <v>480</v>
      </c>
      <c r="C109" s="134" t="s">
        <v>914</v>
      </c>
      <c r="D109" s="135"/>
      <c r="E109" s="135"/>
      <c r="F109" s="135"/>
      <c r="G109" s="135"/>
      <c r="H109" s="135">
        <v>28.791772000000002</v>
      </c>
      <c r="I109" s="135">
        <v>92.951603723000005</v>
      </c>
      <c r="J109" s="135">
        <v>299.38282417400001</v>
      </c>
      <c r="K109" s="135">
        <v>391.34533026299999</v>
      </c>
      <c r="L109" s="135">
        <v>513.18899344700003</v>
      </c>
      <c r="M109" s="135">
        <v>618.69030527300004</v>
      </c>
      <c r="N109" s="135">
        <v>2052.9459726810001</v>
      </c>
      <c r="O109" s="135">
        <v>4788.9917467570003</v>
      </c>
      <c r="P109" s="135">
        <v>5603.5059905259996</v>
      </c>
      <c r="Q109" s="135">
        <v>5836.4546370890002</v>
      </c>
      <c r="R109" s="111">
        <v>13031.015620192</v>
      </c>
      <c r="S109" s="111">
        <v>15625.180321923999</v>
      </c>
      <c r="T109" s="111">
        <v>24647.474278786001</v>
      </c>
      <c r="U109" s="111">
        <v>10688.138631456</v>
      </c>
      <c r="V109" s="111">
        <v>19128.541817780999</v>
      </c>
      <c r="W109" s="155">
        <v>27300.246721779</v>
      </c>
      <c r="X109" s="111"/>
      <c r="Z109" s="145" t="e">
        <f t="shared" si="33"/>
        <v>#DIV/0!</v>
      </c>
      <c r="AA109" s="145" t="e">
        <f t="shared" si="34"/>
        <v>#DIV/0!</v>
      </c>
      <c r="AB109" s="145" t="e">
        <f t="shared" si="32"/>
        <v>#DIV/0!</v>
      </c>
      <c r="AC109" s="145" t="e">
        <f t="shared" si="32"/>
        <v>#DIV/0!</v>
      </c>
      <c r="AD109" s="145">
        <f t="shared" si="32"/>
        <v>8.9620821300400819E-2</v>
      </c>
      <c r="AE109" s="145">
        <f t="shared" ref="AE109:AM137" si="39">I109/I$153</f>
        <v>0.1550326900183879</v>
      </c>
      <c r="AF109" s="145">
        <f t="shared" si="39"/>
        <v>0.19489521982771446</v>
      </c>
      <c r="AG109" s="145">
        <f t="shared" si="39"/>
        <v>0.24538467183114299</v>
      </c>
      <c r="AH109" s="145">
        <f t="shared" si="39"/>
        <v>0.22993614823310801</v>
      </c>
      <c r="AI109" s="145">
        <f t="shared" si="39"/>
        <v>0.18158323481611152</v>
      </c>
      <c r="AJ109" s="145">
        <f t="shared" si="39"/>
        <v>0.28255066799597139</v>
      </c>
      <c r="AK109" s="145">
        <f t="shared" si="39"/>
        <v>0.32239847050244491</v>
      </c>
      <c r="AL109" s="145">
        <f t="shared" si="39"/>
        <v>0.2455237450669378</v>
      </c>
      <c r="AM109" s="145">
        <f t="shared" si="39"/>
        <v>0.20753660245048924</v>
      </c>
      <c r="AN109" s="145">
        <f t="shared" si="36"/>
        <v>0.31243372419555904</v>
      </c>
      <c r="AO109" s="145">
        <f t="shared" si="36"/>
        <v>0.33944995920268062</v>
      </c>
      <c r="AP109" s="146"/>
      <c r="AQ109" s="145" t="str">
        <f t="shared" si="38"/>
        <v/>
      </c>
      <c r="AR109" s="145" t="str">
        <f t="shared" si="38"/>
        <v/>
      </c>
      <c r="AS109" s="145" t="str">
        <f t="shared" si="38"/>
        <v/>
      </c>
      <c r="AT109" s="145" t="str">
        <f t="shared" si="38"/>
        <v/>
      </c>
      <c r="AU109" s="145">
        <f t="shared" si="38"/>
        <v>2.228408578777298</v>
      </c>
      <c r="AV109" s="145">
        <f t="shared" si="38"/>
        <v>2.2208462488304601</v>
      </c>
      <c r="AW109" s="145">
        <f t="shared" si="38"/>
        <v>0.30717362074035282</v>
      </c>
      <c r="AX109" s="145">
        <f t="shared" si="35"/>
        <v>0.31134564222886252</v>
      </c>
      <c r="AY109" s="145">
        <f t="shared" si="35"/>
        <v>0.20557984129271034</v>
      </c>
      <c r="AZ109" s="145">
        <f t="shared" si="35"/>
        <v>2.3182126100636538</v>
      </c>
      <c r="BA109" s="145">
        <f t="shared" si="35"/>
        <v>1.332741246231103</v>
      </c>
      <c r="BB109" s="145">
        <f t="shared" si="35"/>
        <v>0.17008052776882954</v>
      </c>
      <c r="BC109" s="145">
        <f t="shared" si="35"/>
        <v>4.1571945663456678E-2</v>
      </c>
      <c r="BD109" s="145">
        <f t="shared" si="37"/>
        <v>1.2326937208392956</v>
      </c>
      <c r="BE109" s="145">
        <f t="shared" si="37"/>
        <v>0.19907617160033575</v>
      </c>
    </row>
    <row r="110" spans="2:57">
      <c r="B110" s="140" t="s">
        <v>915</v>
      </c>
      <c r="C110" s="127" t="s">
        <v>916</v>
      </c>
      <c r="D110" s="128"/>
      <c r="E110" s="128"/>
      <c r="F110" s="128"/>
      <c r="G110" s="128"/>
      <c r="H110" s="128">
        <v>0</v>
      </c>
      <c r="I110" s="128">
        <v>0</v>
      </c>
      <c r="J110" s="128">
        <v>0</v>
      </c>
      <c r="K110" s="128">
        <v>0</v>
      </c>
      <c r="L110" s="128">
        <v>0</v>
      </c>
      <c r="M110" s="128">
        <v>10.818779201</v>
      </c>
      <c r="N110" s="128">
        <v>24.193166490999999</v>
      </c>
      <c r="O110" s="128">
        <v>36.722488028000001</v>
      </c>
      <c r="P110" s="128">
        <v>45.824539729000001</v>
      </c>
      <c r="Q110" s="128">
        <v>56.568632731999998</v>
      </c>
      <c r="R110" s="110">
        <v>71.690522405999999</v>
      </c>
      <c r="S110" s="110">
        <v>76.377369404999996</v>
      </c>
      <c r="T110" s="110">
        <v>77.277612477000005</v>
      </c>
      <c r="U110" s="110">
        <v>76.261107985999999</v>
      </c>
      <c r="V110" s="110">
        <v>67.935804337999997</v>
      </c>
      <c r="W110" s="158">
        <v>70.239666911</v>
      </c>
      <c r="X110" s="110"/>
      <c r="Z110" s="145" t="e">
        <f t="shared" si="33"/>
        <v>#DIV/0!</v>
      </c>
      <c r="AA110" s="145" t="e">
        <f t="shared" si="34"/>
        <v>#DIV/0!</v>
      </c>
      <c r="AB110" s="145" t="e">
        <f t="shared" ref="AB110:AB142" si="40">F110/F$153</f>
        <v>#DIV/0!</v>
      </c>
      <c r="AC110" s="145" t="e">
        <f t="shared" ref="AC110:AC142" si="41">G110/G$153</f>
        <v>#DIV/0!</v>
      </c>
      <c r="AD110" s="145">
        <f t="shared" ref="AD110:AD142" si="42">H110/H$153</f>
        <v>0</v>
      </c>
      <c r="AE110" s="145">
        <f t="shared" si="39"/>
        <v>0</v>
      </c>
      <c r="AF110" s="145">
        <f t="shared" si="39"/>
        <v>0</v>
      </c>
      <c r="AG110" s="145">
        <f t="shared" si="39"/>
        <v>0</v>
      </c>
      <c r="AH110" s="145">
        <f t="shared" si="39"/>
        <v>0</v>
      </c>
      <c r="AI110" s="145">
        <f t="shared" si="39"/>
        <v>3.1752702561130284E-3</v>
      </c>
      <c r="AJ110" s="145">
        <f t="shared" si="39"/>
        <v>3.3297492695546892E-3</v>
      </c>
      <c r="AK110" s="145">
        <f t="shared" si="39"/>
        <v>2.472185085992023E-3</v>
      </c>
      <c r="AL110" s="145">
        <f t="shared" si="39"/>
        <v>2.0078523390989773E-3</v>
      </c>
      <c r="AM110" s="145">
        <f t="shared" si="39"/>
        <v>2.011505712365874E-3</v>
      </c>
      <c r="AN110" s="145">
        <f t="shared" si="36"/>
        <v>1.7188634836815373E-3</v>
      </c>
      <c r="AO110" s="145">
        <f t="shared" si="36"/>
        <v>1.6592637265220945E-3</v>
      </c>
      <c r="AP110" s="133"/>
      <c r="AQ110" s="147" t="str">
        <f t="shared" si="38"/>
        <v/>
      </c>
      <c r="AR110" s="147" t="str">
        <f t="shared" si="38"/>
        <v/>
      </c>
      <c r="AS110" s="147" t="str">
        <f t="shared" si="38"/>
        <v/>
      </c>
      <c r="AT110" s="147" t="str">
        <f t="shared" si="38"/>
        <v/>
      </c>
      <c r="AU110" s="147" t="str">
        <f t="shared" si="38"/>
        <v/>
      </c>
      <c r="AV110" s="147" t="str">
        <f t="shared" si="38"/>
        <v/>
      </c>
      <c r="AW110" s="147" t="str">
        <f t="shared" si="38"/>
        <v/>
      </c>
      <c r="AX110" s="147" t="str">
        <f t="shared" si="35"/>
        <v/>
      </c>
      <c r="AY110" s="147" t="str">
        <f t="shared" si="35"/>
        <v/>
      </c>
      <c r="AZ110" s="147">
        <f t="shared" si="35"/>
        <v>1.236219636385941</v>
      </c>
      <c r="BA110" s="147">
        <f t="shared" si="35"/>
        <v>0.51788679839247087</v>
      </c>
      <c r="BB110" s="147">
        <f t="shared" si="35"/>
        <v>0.24786043075458042</v>
      </c>
      <c r="BC110" s="147">
        <f t="shared" si="35"/>
        <v>0.23446155851295125</v>
      </c>
      <c r="BD110" s="147">
        <f t="shared" si="37"/>
        <v>0.26731934189821382</v>
      </c>
      <c r="BE110" s="147">
        <f t="shared" si="37"/>
        <v>6.5376103307732913E-2</v>
      </c>
    </row>
    <row r="111" spans="2:57" s="136" customFormat="1">
      <c r="B111" s="154" t="s">
        <v>483</v>
      </c>
      <c r="C111" s="134" t="s">
        <v>917</v>
      </c>
      <c r="D111" s="135"/>
      <c r="E111" s="135"/>
      <c r="F111" s="135"/>
      <c r="G111" s="135"/>
      <c r="H111" s="135">
        <v>0</v>
      </c>
      <c r="I111" s="135">
        <v>0</v>
      </c>
      <c r="J111" s="135">
        <v>0</v>
      </c>
      <c r="K111" s="135">
        <v>0</v>
      </c>
      <c r="L111" s="135">
        <v>0</v>
      </c>
      <c r="M111" s="135">
        <v>4.95</v>
      </c>
      <c r="N111" s="135">
        <v>4.95</v>
      </c>
      <c r="O111" s="135">
        <v>4.95</v>
      </c>
      <c r="P111" s="135">
        <v>4.95</v>
      </c>
      <c r="Q111" s="135">
        <v>4.980117753</v>
      </c>
      <c r="R111" s="111">
        <v>3.0117753000000001E-2</v>
      </c>
      <c r="S111" s="111">
        <v>3.0117753000000001E-2</v>
      </c>
      <c r="T111" s="111">
        <v>3.0117753000000001E-2</v>
      </c>
      <c r="U111" s="111">
        <v>0</v>
      </c>
      <c r="V111" s="111">
        <v>0</v>
      </c>
      <c r="W111" s="155">
        <v>0</v>
      </c>
      <c r="X111" s="111"/>
      <c r="Z111" s="145" t="e">
        <f t="shared" ref="Z111:Z142" si="43">D111/D$153</f>
        <v>#DIV/0!</v>
      </c>
      <c r="AA111" s="145" t="e">
        <f t="shared" ref="AA111:AA142" si="44">E111/E$153</f>
        <v>#DIV/0!</v>
      </c>
      <c r="AB111" s="145" t="e">
        <f t="shared" si="40"/>
        <v>#DIV/0!</v>
      </c>
      <c r="AC111" s="145" t="e">
        <f t="shared" si="41"/>
        <v>#DIV/0!</v>
      </c>
      <c r="AD111" s="145">
        <f t="shared" si="42"/>
        <v>0</v>
      </c>
      <c r="AE111" s="145">
        <f t="shared" si="39"/>
        <v>0</v>
      </c>
      <c r="AF111" s="145">
        <f t="shared" si="39"/>
        <v>0</v>
      </c>
      <c r="AG111" s="145">
        <f t="shared" si="39"/>
        <v>0</v>
      </c>
      <c r="AH111" s="145">
        <f t="shared" si="39"/>
        <v>0</v>
      </c>
      <c r="AI111" s="145">
        <f t="shared" si="39"/>
        <v>1.4528060399186893E-3</v>
      </c>
      <c r="AJ111" s="145">
        <f t="shared" si="39"/>
        <v>6.8127745454185217E-4</v>
      </c>
      <c r="AK111" s="145">
        <f t="shared" si="39"/>
        <v>3.3323766533274816E-4</v>
      </c>
      <c r="AL111" s="145">
        <f t="shared" si="39"/>
        <v>2.1688966517322458E-4</v>
      </c>
      <c r="AM111" s="145">
        <f t="shared" si="39"/>
        <v>1.7708639619899166E-4</v>
      </c>
      <c r="AN111" s="145">
        <f t="shared" si="36"/>
        <v>7.2210808493016959E-7</v>
      </c>
      <c r="AO111" s="145">
        <f t="shared" si="36"/>
        <v>6.5429453078257658E-7</v>
      </c>
      <c r="AP111" s="146"/>
      <c r="AQ111" s="145" t="str">
        <f t="shared" si="38"/>
        <v/>
      </c>
      <c r="AR111" s="145" t="str">
        <f t="shared" si="38"/>
        <v/>
      </c>
      <c r="AS111" s="145" t="str">
        <f t="shared" si="38"/>
        <v/>
      </c>
      <c r="AT111" s="145" t="str">
        <f t="shared" si="38"/>
        <v/>
      </c>
      <c r="AU111" s="145" t="str">
        <f t="shared" si="38"/>
        <v/>
      </c>
      <c r="AV111" s="145" t="str">
        <f t="shared" si="38"/>
        <v/>
      </c>
      <c r="AW111" s="145" t="str">
        <f t="shared" si="38"/>
        <v/>
      </c>
      <c r="AX111" s="145" t="str">
        <f t="shared" si="35"/>
        <v/>
      </c>
      <c r="AY111" s="145" t="str">
        <f t="shared" si="35"/>
        <v/>
      </c>
      <c r="AZ111" s="145">
        <f t="shared" si="35"/>
        <v>0</v>
      </c>
      <c r="BA111" s="145">
        <f t="shared" si="35"/>
        <v>0</v>
      </c>
      <c r="BB111" s="145">
        <f t="shared" si="35"/>
        <v>0</v>
      </c>
      <c r="BC111" s="145">
        <f t="shared" si="35"/>
        <v>6.0843945454545079E-3</v>
      </c>
      <c r="BD111" s="145">
        <f t="shared" si="37"/>
        <v>-0.99395240143029606</v>
      </c>
      <c r="BE111" s="145">
        <f t="shared" si="37"/>
        <v>0</v>
      </c>
    </row>
    <row r="112" spans="2:57">
      <c r="B112" s="140" t="s">
        <v>918</v>
      </c>
      <c r="C112" s="127" t="s">
        <v>919</v>
      </c>
      <c r="D112" s="128"/>
      <c r="E112" s="128"/>
      <c r="F112" s="128"/>
      <c r="G112" s="128"/>
      <c r="H112" s="128">
        <v>0</v>
      </c>
      <c r="I112" s="128">
        <v>0</v>
      </c>
      <c r="J112" s="128">
        <v>0</v>
      </c>
      <c r="K112" s="128">
        <v>0</v>
      </c>
      <c r="L112" s="128">
        <v>0</v>
      </c>
      <c r="M112" s="128">
        <v>0</v>
      </c>
      <c r="N112" s="128">
        <v>0</v>
      </c>
      <c r="O112" s="128">
        <v>0</v>
      </c>
      <c r="P112" s="128">
        <v>0</v>
      </c>
      <c r="Q112" s="128">
        <v>0</v>
      </c>
      <c r="R112" s="110">
        <v>0</v>
      </c>
      <c r="S112" s="110">
        <v>0</v>
      </c>
      <c r="T112" s="110">
        <v>0</v>
      </c>
      <c r="U112" s="110">
        <v>0</v>
      </c>
      <c r="V112" s="110">
        <v>0</v>
      </c>
      <c r="W112" s="158">
        <v>0</v>
      </c>
      <c r="X112" s="110"/>
      <c r="Z112" s="145" t="e">
        <f t="shared" si="43"/>
        <v>#DIV/0!</v>
      </c>
      <c r="AA112" s="145" t="e">
        <f t="shared" si="44"/>
        <v>#DIV/0!</v>
      </c>
      <c r="AB112" s="145" t="e">
        <f t="shared" si="40"/>
        <v>#DIV/0!</v>
      </c>
      <c r="AC112" s="145" t="e">
        <f t="shared" si="41"/>
        <v>#DIV/0!</v>
      </c>
      <c r="AD112" s="145">
        <f t="shared" si="42"/>
        <v>0</v>
      </c>
      <c r="AE112" s="145">
        <f t="shared" si="39"/>
        <v>0</v>
      </c>
      <c r="AF112" s="145">
        <f t="shared" si="39"/>
        <v>0</v>
      </c>
      <c r="AG112" s="145">
        <f t="shared" si="39"/>
        <v>0</v>
      </c>
      <c r="AH112" s="145">
        <f t="shared" si="39"/>
        <v>0</v>
      </c>
      <c r="AI112" s="145">
        <f t="shared" si="39"/>
        <v>0</v>
      </c>
      <c r="AJ112" s="145">
        <f t="shared" si="39"/>
        <v>0</v>
      </c>
      <c r="AK112" s="145">
        <f t="shared" si="39"/>
        <v>0</v>
      </c>
      <c r="AL112" s="145">
        <f t="shared" si="39"/>
        <v>0</v>
      </c>
      <c r="AM112" s="145">
        <f t="shared" si="39"/>
        <v>0</v>
      </c>
      <c r="AN112" s="145">
        <f t="shared" si="36"/>
        <v>0</v>
      </c>
      <c r="AO112" s="145">
        <f t="shared" si="36"/>
        <v>0</v>
      </c>
      <c r="AP112" s="133"/>
      <c r="AQ112" s="147" t="str">
        <f t="shared" si="38"/>
        <v/>
      </c>
      <c r="AR112" s="147" t="str">
        <f t="shared" si="38"/>
        <v/>
      </c>
      <c r="AS112" s="147" t="str">
        <f t="shared" si="38"/>
        <v/>
      </c>
      <c r="AT112" s="147" t="str">
        <f t="shared" si="38"/>
        <v/>
      </c>
      <c r="AU112" s="147" t="str">
        <f t="shared" si="38"/>
        <v/>
      </c>
      <c r="AV112" s="147" t="str">
        <f t="shared" si="38"/>
        <v/>
      </c>
      <c r="AW112" s="147" t="str">
        <f t="shared" si="38"/>
        <v/>
      </c>
      <c r="AX112" s="147" t="str">
        <f t="shared" si="35"/>
        <v/>
      </c>
      <c r="AY112" s="147" t="str">
        <f t="shared" si="35"/>
        <v/>
      </c>
      <c r="AZ112" s="147" t="str">
        <f t="shared" si="35"/>
        <v/>
      </c>
      <c r="BA112" s="147" t="str">
        <f t="shared" si="35"/>
        <v/>
      </c>
      <c r="BB112" s="147" t="str">
        <f t="shared" si="35"/>
        <v/>
      </c>
      <c r="BC112" s="147" t="str">
        <f t="shared" si="35"/>
        <v/>
      </c>
      <c r="BD112" s="147" t="str">
        <f t="shared" si="37"/>
        <v/>
      </c>
      <c r="BE112" s="147" t="str">
        <f t="shared" si="37"/>
        <v/>
      </c>
    </row>
    <row r="113" spans="2:57">
      <c r="B113" s="140" t="s">
        <v>821</v>
      </c>
      <c r="C113" s="127" t="s">
        <v>822</v>
      </c>
      <c r="D113" s="128"/>
      <c r="E113" s="128"/>
      <c r="F113" s="128"/>
      <c r="G113" s="128"/>
      <c r="H113" s="128">
        <v>0</v>
      </c>
      <c r="I113" s="128">
        <v>0</v>
      </c>
      <c r="J113" s="128">
        <v>0</v>
      </c>
      <c r="K113" s="128">
        <v>0</v>
      </c>
      <c r="L113" s="128">
        <v>0</v>
      </c>
      <c r="M113" s="128">
        <v>0</v>
      </c>
      <c r="N113" s="128">
        <v>0</v>
      </c>
      <c r="O113" s="128">
        <v>0</v>
      </c>
      <c r="P113" s="128">
        <v>0</v>
      </c>
      <c r="Q113" s="128">
        <v>0</v>
      </c>
      <c r="R113" s="110">
        <v>0</v>
      </c>
      <c r="S113" s="110">
        <v>0</v>
      </c>
      <c r="T113" s="110">
        <v>0</v>
      </c>
      <c r="U113" s="110">
        <v>0</v>
      </c>
      <c r="V113" s="110">
        <v>0</v>
      </c>
      <c r="W113" s="158">
        <v>0</v>
      </c>
      <c r="X113" s="110"/>
      <c r="Z113" s="145" t="e">
        <f t="shared" si="43"/>
        <v>#DIV/0!</v>
      </c>
      <c r="AA113" s="145" t="e">
        <f t="shared" si="44"/>
        <v>#DIV/0!</v>
      </c>
      <c r="AB113" s="145" t="e">
        <f t="shared" si="40"/>
        <v>#DIV/0!</v>
      </c>
      <c r="AC113" s="145" t="e">
        <f t="shared" si="41"/>
        <v>#DIV/0!</v>
      </c>
      <c r="AD113" s="145">
        <f t="shared" si="42"/>
        <v>0</v>
      </c>
      <c r="AE113" s="145">
        <f t="shared" si="39"/>
        <v>0</v>
      </c>
      <c r="AF113" s="145">
        <f t="shared" si="39"/>
        <v>0</v>
      </c>
      <c r="AG113" s="145">
        <f t="shared" si="39"/>
        <v>0</v>
      </c>
      <c r="AH113" s="145">
        <f t="shared" si="39"/>
        <v>0</v>
      </c>
      <c r="AI113" s="145">
        <f t="shared" si="39"/>
        <v>0</v>
      </c>
      <c r="AJ113" s="145">
        <f t="shared" si="39"/>
        <v>0</v>
      </c>
      <c r="AK113" s="145">
        <f t="shared" si="39"/>
        <v>0</v>
      </c>
      <c r="AL113" s="145">
        <f t="shared" si="39"/>
        <v>0</v>
      </c>
      <c r="AM113" s="145">
        <f t="shared" si="39"/>
        <v>0</v>
      </c>
      <c r="AN113" s="145">
        <f t="shared" si="36"/>
        <v>0</v>
      </c>
      <c r="AO113" s="145">
        <f t="shared" si="36"/>
        <v>0</v>
      </c>
      <c r="AP113" s="133"/>
      <c r="AQ113" s="147" t="str">
        <f t="shared" si="38"/>
        <v/>
      </c>
      <c r="AR113" s="147" t="str">
        <f t="shared" si="38"/>
        <v/>
      </c>
      <c r="AS113" s="147" t="str">
        <f t="shared" si="38"/>
        <v/>
      </c>
      <c r="AT113" s="147" t="str">
        <f t="shared" si="38"/>
        <v/>
      </c>
      <c r="AU113" s="147" t="str">
        <f t="shared" si="38"/>
        <v/>
      </c>
      <c r="AV113" s="147" t="str">
        <f t="shared" si="38"/>
        <v/>
      </c>
      <c r="AW113" s="147" t="str">
        <f t="shared" si="38"/>
        <v/>
      </c>
      <c r="AX113" s="147" t="str">
        <f t="shared" si="35"/>
        <v/>
      </c>
      <c r="AY113" s="147" t="str">
        <f t="shared" si="35"/>
        <v/>
      </c>
      <c r="AZ113" s="147" t="str">
        <f t="shared" si="35"/>
        <v/>
      </c>
      <c r="BA113" s="147" t="str">
        <f t="shared" si="35"/>
        <v/>
      </c>
      <c r="BB113" s="147" t="str">
        <f t="shared" si="35"/>
        <v/>
      </c>
      <c r="BC113" s="147" t="str">
        <f t="shared" si="35"/>
        <v/>
      </c>
      <c r="BD113" s="147" t="str">
        <f t="shared" si="37"/>
        <v/>
      </c>
      <c r="BE113" s="147" t="str">
        <f t="shared" si="37"/>
        <v/>
      </c>
    </row>
    <row r="114" spans="2:57" s="136" customFormat="1">
      <c r="B114" s="154" t="s">
        <v>920</v>
      </c>
      <c r="C114" s="134" t="s">
        <v>921</v>
      </c>
      <c r="D114" s="135"/>
      <c r="E114" s="135"/>
      <c r="F114" s="135"/>
      <c r="G114" s="135"/>
      <c r="H114" s="135">
        <v>61.039788999999999</v>
      </c>
      <c r="I114" s="135">
        <v>5.48529555</v>
      </c>
      <c r="J114" s="135">
        <v>9.2204421090000004</v>
      </c>
      <c r="K114" s="135">
        <v>0</v>
      </c>
      <c r="L114" s="135">
        <v>0</v>
      </c>
      <c r="M114" s="135">
        <v>0</v>
      </c>
      <c r="N114" s="135">
        <v>0</v>
      </c>
      <c r="O114" s="135">
        <v>0</v>
      </c>
      <c r="P114" s="135">
        <v>1199.9329948300001</v>
      </c>
      <c r="Q114" s="135">
        <v>1210.063151888</v>
      </c>
      <c r="R114" s="111">
        <v>1122.136666657</v>
      </c>
      <c r="S114" s="111">
        <v>1126.676666653</v>
      </c>
      <c r="T114" s="111">
        <v>0</v>
      </c>
      <c r="U114" s="111">
        <v>5901.25</v>
      </c>
      <c r="V114" s="111">
        <v>5986.418691414</v>
      </c>
      <c r="W114" s="155">
        <v>0</v>
      </c>
      <c r="X114" s="111"/>
      <c r="Z114" s="145" t="e">
        <f t="shared" si="43"/>
        <v>#DIV/0!</v>
      </c>
      <c r="AA114" s="145" t="e">
        <f t="shared" si="44"/>
        <v>#DIV/0!</v>
      </c>
      <c r="AB114" s="145" t="e">
        <f t="shared" si="40"/>
        <v>#DIV/0!</v>
      </c>
      <c r="AC114" s="145" t="e">
        <f t="shared" si="41"/>
        <v>#DIV/0!</v>
      </c>
      <c r="AD114" s="145">
        <f t="shared" si="42"/>
        <v>0.18999997715261052</v>
      </c>
      <c r="AE114" s="145">
        <f t="shared" si="39"/>
        <v>9.1488483318332356E-3</v>
      </c>
      <c r="AF114" s="145">
        <f t="shared" si="39"/>
        <v>6.0024154582022709E-3</v>
      </c>
      <c r="AG114" s="145">
        <f t="shared" si="39"/>
        <v>0</v>
      </c>
      <c r="AH114" s="145">
        <f t="shared" si="39"/>
        <v>0</v>
      </c>
      <c r="AI114" s="145">
        <f t="shared" si="39"/>
        <v>0</v>
      </c>
      <c r="AJ114" s="145">
        <f t="shared" si="39"/>
        <v>0</v>
      </c>
      <c r="AK114" s="145">
        <f t="shared" si="39"/>
        <v>0</v>
      </c>
      <c r="AL114" s="145">
        <f t="shared" si="39"/>
        <v>5.2576376864441075E-2</v>
      </c>
      <c r="AM114" s="145">
        <f t="shared" si="39"/>
        <v>4.3028244183976223E-2</v>
      </c>
      <c r="AN114" s="145">
        <f t="shared" si="36"/>
        <v>2.6904529012825435E-2</v>
      </c>
      <c r="AO114" s="145">
        <f t="shared" si="36"/>
        <v>2.4476539831885934E-2</v>
      </c>
      <c r="AP114" s="146"/>
      <c r="AQ114" s="145" t="str">
        <f t="shared" si="38"/>
        <v/>
      </c>
      <c r="AR114" s="145" t="str">
        <f t="shared" si="38"/>
        <v/>
      </c>
      <c r="AS114" s="145" t="str">
        <f t="shared" si="38"/>
        <v/>
      </c>
      <c r="AT114" s="145" t="str">
        <f t="shared" si="38"/>
        <v/>
      </c>
      <c r="AU114" s="145">
        <f t="shared" si="38"/>
        <v>-0.9101357386736707</v>
      </c>
      <c r="AV114" s="145">
        <f t="shared" si="38"/>
        <v>0.68093806887032748</v>
      </c>
      <c r="AW114" s="145">
        <f t="shared" si="38"/>
        <v>-1</v>
      </c>
      <c r="AX114" s="145" t="str">
        <f t="shared" si="35"/>
        <v/>
      </c>
      <c r="AY114" s="145" t="str">
        <f t="shared" si="35"/>
        <v/>
      </c>
      <c r="AZ114" s="145" t="str">
        <f t="shared" si="35"/>
        <v/>
      </c>
      <c r="BA114" s="145" t="str">
        <f t="shared" si="35"/>
        <v/>
      </c>
      <c r="BB114" s="145" t="str">
        <f t="shared" si="35"/>
        <v/>
      </c>
      <c r="BC114" s="145">
        <f t="shared" si="35"/>
        <v>8.4422689447214427E-3</v>
      </c>
      <c r="BD114" s="145">
        <f t="shared" si="37"/>
        <v>-7.2662724332868689E-2</v>
      </c>
      <c r="BE114" s="145">
        <f t="shared" si="37"/>
        <v>4.04585299714455E-3</v>
      </c>
    </row>
    <row r="115" spans="2:57">
      <c r="B115" s="140" t="s">
        <v>922</v>
      </c>
      <c r="C115" s="127" t="s">
        <v>923</v>
      </c>
      <c r="D115" s="128"/>
      <c r="E115" s="128"/>
      <c r="F115" s="128"/>
      <c r="G115" s="128"/>
      <c r="H115" s="128">
        <v>0</v>
      </c>
      <c r="I115" s="128">
        <v>0</v>
      </c>
      <c r="J115" s="128">
        <v>0</v>
      </c>
      <c r="K115" s="128">
        <v>0</v>
      </c>
      <c r="L115" s="128">
        <v>0</v>
      </c>
      <c r="M115" s="128">
        <v>0</v>
      </c>
      <c r="N115" s="128">
        <v>0</v>
      </c>
      <c r="O115" s="128">
        <v>0</v>
      </c>
      <c r="P115" s="128">
        <v>0</v>
      </c>
      <c r="Q115" s="128">
        <v>0</v>
      </c>
      <c r="R115" s="110">
        <v>0</v>
      </c>
      <c r="S115" s="110">
        <v>0</v>
      </c>
      <c r="T115" s="110">
        <v>0</v>
      </c>
      <c r="U115" s="110">
        <v>0</v>
      </c>
      <c r="V115" s="110">
        <v>0</v>
      </c>
      <c r="W115" s="158">
        <v>0</v>
      </c>
      <c r="X115" s="110"/>
      <c r="Z115" s="145" t="e">
        <f t="shared" si="43"/>
        <v>#DIV/0!</v>
      </c>
      <c r="AA115" s="145" t="e">
        <f t="shared" si="44"/>
        <v>#DIV/0!</v>
      </c>
      <c r="AB115" s="145" t="e">
        <f t="shared" si="40"/>
        <v>#DIV/0!</v>
      </c>
      <c r="AC115" s="145" t="e">
        <f t="shared" si="41"/>
        <v>#DIV/0!</v>
      </c>
      <c r="AD115" s="145">
        <f t="shared" si="42"/>
        <v>0</v>
      </c>
      <c r="AE115" s="145">
        <f t="shared" si="39"/>
        <v>0</v>
      </c>
      <c r="AF115" s="145">
        <f t="shared" si="39"/>
        <v>0</v>
      </c>
      <c r="AG115" s="145">
        <f t="shared" si="39"/>
        <v>0</v>
      </c>
      <c r="AH115" s="145">
        <f t="shared" si="39"/>
        <v>0</v>
      </c>
      <c r="AI115" s="145">
        <f t="shared" si="39"/>
        <v>0</v>
      </c>
      <c r="AJ115" s="145">
        <f t="shared" si="39"/>
        <v>0</v>
      </c>
      <c r="AK115" s="145">
        <f t="shared" si="39"/>
        <v>0</v>
      </c>
      <c r="AL115" s="145">
        <f t="shared" si="39"/>
        <v>0</v>
      </c>
      <c r="AM115" s="145">
        <f t="shared" si="39"/>
        <v>0</v>
      </c>
      <c r="AN115" s="145">
        <f t="shared" si="36"/>
        <v>0</v>
      </c>
      <c r="AO115" s="145">
        <f t="shared" si="36"/>
        <v>0</v>
      </c>
      <c r="AP115" s="133"/>
      <c r="AQ115" s="147" t="str">
        <f t="shared" si="38"/>
        <v/>
      </c>
      <c r="AR115" s="147" t="str">
        <f t="shared" si="38"/>
        <v/>
      </c>
      <c r="AS115" s="147" t="str">
        <f t="shared" si="38"/>
        <v/>
      </c>
      <c r="AT115" s="147" t="str">
        <f t="shared" si="38"/>
        <v/>
      </c>
      <c r="AU115" s="147" t="str">
        <f t="shared" si="38"/>
        <v/>
      </c>
      <c r="AV115" s="147" t="str">
        <f t="shared" si="38"/>
        <v/>
      </c>
      <c r="AW115" s="147" t="str">
        <f t="shared" si="38"/>
        <v/>
      </c>
      <c r="AX115" s="147" t="str">
        <f t="shared" si="35"/>
        <v/>
      </c>
      <c r="AY115" s="147" t="str">
        <f t="shared" si="35"/>
        <v/>
      </c>
      <c r="AZ115" s="147" t="str">
        <f t="shared" si="35"/>
        <v/>
      </c>
      <c r="BA115" s="147" t="str">
        <f t="shared" si="35"/>
        <v/>
      </c>
      <c r="BB115" s="147" t="str">
        <f t="shared" si="35"/>
        <v/>
      </c>
      <c r="BC115" s="147" t="str">
        <f t="shared" si="35"/>
        <v/>
      </c>
      <c r="BD115" s="147" t="str">
        <f t="shared" si="37"/>
        <v/>
      </c>
      <c r="BE115" s="147" t="str">
        <f t="shared" si="37"/>
        <v/>
      </c>
    </row>
    <row r="116" spans="2:57">
      <c r="B116" s="140" t="s">
        <v>924</v>
      </c>
      <c r="C116" s="127" t="s">
        <v>925</v>
      </c>
      <c r="D116" s="128"/>
      <c r="E116" s="128"/>
      <c r="F116" s="128"/>
      <c r="G116" s="128"/>
      <c r="H116" s="128">
        <v>0</v>
      </c>
      <c r="I116" s="128">
        <v>0</v>
      </c>
      <c r="J116" s="128">
        <v>0</v>
      </c>
      <c r="K116" s="128">
        <v>0</v>
      </c>
      <c r="L116" s="128">
        <v>0</v>
      </c>
      <c r="M116" s="128">
        <v>0</v>
      </c>
      <c r="N116" s="128">
        <v>0</v>
      </c>
      <c r="O116" s="128">
        <v>0</v>
      </c>
      <c r="P116" s="128">
        <v>0</v>
      </c>
      <c r="Q116" s="128">
        <v>0</v>
      </c>
      <c r="R116" s="110">
        <v>0</v>
      </c>
      <c r="S116" s="110">
        <v>0</v>
      </c>
      <c r="T116" s="110">
        <v>0</v>
      </c>
      <c r="U116" s="110">
        <v>0</v>
      </c>
      <c r="V116" s="110">
        <v>0</v>
      </c>
      <c r="W116" s="158">
        <v>0</v>
      </c>
      <c r="X116" s="110"/>
      <c r="Z116" s="145" t="e">
        <f t="shared" si="43"/>
        <v>#DIV/0!</v>
      </c>
      <c r="AA116" s="145" t="e">
        <f t="shared" si="44"/>
        <v>#DIV/0!</v>
      </c>
      <c r="AB116" s="145" t="e">
        <f t="shared" si="40"/>
        <v>#DIV/0!</v>
      </c>
      <c r="AC116" s="145" t="e">
        <f t="shared" si="41"/>
        <v>#DIV/0!</v>
      </c>
      <c r="AD116" s="145">
        <f t="shared" si="42"/>
        <v>0</v>
      </c>
      <c r="AE116" s="145">
        <f t="shared" si="39"/>
        <v>0</v>
      </c>
      <c r="AF116" s="145">
        <f t="shared" si="39"/>
        <v>0</v>
      </c>
      <c r="AG116" s="145">
        <f t="shared" si="39"/>
        <v>0</v>
      </c>
      <c r="AH116" s="145">
        <f t="shared" si="39"/>
        <v>0</v>
      </c>
      <c r="AI116" s="145">
        <f t="shared" si="39"/>
        <v>0</v>
      </c>
      <c r="AJ116" s="145">
        <f t="shared" si="39"/>
        <v>0</v>
      </c>
      <c r="AK116" s="145">
        <f t="shared" si="39"/>
        <v>0</v>
      </c>
      <c r="AL116" s="145">
        <f t="shared" si="39"/>
        <v>0</v>
      </c>
      <c r="AM116" s="145">
        <f t="shared" si="39"/>
        <v>0</v>
      </c>
      <c r="AN116" s="145">
        <f t="shared" si="36"/>
        <v>0</v>
      </c>
      <c r="AO116" s="145">
        <f t="shared" si="36"/>
        <v>0</v>
      </c>
      <c r="AP116" s="133"/>
      <c r="AQ116" s="147" t="str">
        <f t="shared" si="38"/>
        <v/>
      </c>
      <c r="AR116" s="147" t="str">
        <f t="shared" si="38"/>
        <v/>
      </c>
      <c r="AS116" s="147" t="str">
        <f t="shared" si="38"/>
        <v/>
      </c>
      <c r="AT116" s="147" t="str">
        <f t="shared" si="38"/>
        <v/>
      </c>
      <c r="AU116" s="147" t="str">
        <f t="shared" si="38"/>
        <v/>
      </c>
      <c r="AV116" s="147" t="str">
        <f t="shared" si="38"/>
        <v/>
      </c>
      <c r="AW116" s="147" t="str">
        <f t="shared" si="38"/>
        <v/>
      </c>
      <c r="AX116" s="147" t="str">
        <f t="shared" si="35"/>
        <v/>
      </c>
      <c r="AY116" s="147" t="str">
        <f t="shared" si="35"/>
        <v/>
      </c>
      <c r="AZ116" s="147" t="str">
        <f t="shared" si="35"/>
        <v/>
      </c>
      <c r="BA116" s="147" t="str">
        <f t="shared" si="35"/>
        <v/>
      </c>
      <c r="BB116" s="147" t="str">
        <f t="shared" si="35"/>
        <v/>
      </c>
      <c r="BC116" s="147" t="str">
        <f t="shared" si="35"/>
        <v/>
      </c>
      <c r="BD116" s="147" t="str">
        <f t="shared" si="37"/>
        <v/>
      </c>
      <c r="BE116" s="147" t="str">
        <f t="shared" si="37"/>
        <v/>
      </c>
    </row>
    <row r="117" spans="2:57">
      <c r="B117" s="140" t="s">
        <v>926</v>
      </c>
      <c r="C117" s="127" t="s">
        <v>927</v>
      </c>
      <c r="D117" s="128"/>
      <c r="E117" s="128"/>
      <c r="F117" s="128"/>
      <c r="G117" s="128"/>
      <c r="H117" s="128">
        <v>0</v>
      </c>
      <c r="I117" s="128">
        <v>0</v>
      </c>
      <c r="J117" s="128">
        <v>0</v>
      </c>
      <c r="K117" s="128">
        <v>0</v>
      </c>
      <c r="L117" s="128">
        <v>0</v>
      </c>
      <c r="M117" s="128">
        <v>0</v>
      </c>
      <c r="N117" s="128">
        <v>0</v>
      </c>
      <c r="O117" s="128">
        <v>0</v>
      </c>
      <c r="P117" s="128">
        <v>0</v>
      </c>
      <c r="Q117" s="128">
        <v>0</v>
      </c>
      <c r="R117" s="110">
        <v>0</v>
      </c>
      <c r="S117" s="110">
        <v>0</v>
      </c>
      <c r="T117" s="110">
        <v>0</v>
      </c>
      <c r="U117" s="110">
        <v>0</v>
      </c>
      <c r="V117" s="110">
        <v>0</v>
      </c>
      <c r="W117" s="158">
        <v>0</v>
      </c>
      <c r="X117" s="110"/>
      <c r="Z117" s="145" t="e">
        <f t="shared" si="43"/>
        <v>#DIV/0!</v>
      </c>
      <c r="AA117" s="145" t="e">
        <f t="shared" si="44"/>
        <v>#DIV/0!</v>
      </c>
      <c r="AB117" s="145" t="e">
        <f t="shared" si="40"/>
        <v>#DIV/0!</v>
      </c>
      <c r="AC117" s="145" t="e">
        <f t="shared" si="41"/>
        <v>#DIV/0!</v>
      </c>
      <c r="AD117" s="145">
        <f t="shared" si="42"/>
        <v>0</v>
      </c>
      <c r="AE117" s="145">
        <f t="shared" si="39"/>
        <v>0</v>
      </c>
      <c r="AF117" s="145">
        <f t="shared" si="39"/>
        <v>0</v>
      </c>
      <c r="AG117" s="145">
        <f t="shared" si="39"/>
        <v>0</v>
      </c>
      <c r="AH117" s="145">
        <f t="shared" si="39"/>
        <v>0</v>
      </c>
      <c r="AI117" s="145">
        <f t="shared" si="39"/>
        <v>0</v>
      </c>
      <c r="AJ117" s="145">
        <f t="shared" si="39"/>
        <v>0</v>
      </c>
      <c r="AK117" s="145">
        <f t="shared" si="39"/>
        <v>0</v>
      </c>
      <c r="AL117" s="145">
        <f t="shared" si="39"/>
        <v>0</v>
      </c>
      <c r="AM117" s="145">
        <f t="shared" si="39"/>
        <v>0</v>
      </c>
      <c r="AN117" s="145">
        <f t="shared" si="36"/>
        <v>0</v>
      </c>
      <c r="AO117" s="145">
        <f t="shared" si="36"/>
        <v>0</v>
      </c>
      <c r="AP117" s="133"/>
      <c r="AQ117" s="147" t="str">
        <f t="shared" si="38"/>
        <v/>
      </c>
      <c r="AR117" s="147" t="str">
        <f t="shared" si="38"/>
        <v/>
      </c>
      <c r="AS117" s="147" t="str">
        <f t="shared" si="38"/>
        <v/>
      </c>
      <c r="AT117" s="147" t="str">
        <f t="shared" si="38"/>
        <v/>
      </c>
      <c r="AU117" s="147" t="str">
        <f t="shared" si="38"/>
        <v/>
      </c>
      <c r="AV117" s="147" t="str">
        <f t="shared" si="38"/>
        <v/>
      </c>
      <c r="AW117" s="147" t="str">
        <f t="shared" si="38"/>
        <v/>
      </c>
      <c r="AX117" s="147" t="str">
        <f t="shared" si="35"/>
        <v/>
      </c>
      <c r="AY117" s="147" t="str">
        <f t="shared" si="35"/>
        <v/>
      </c>
      <c r="AZ117" s="147" t="str">
        <f t="shared" si="35"/>
        <v/>
      </c>
      <c r="BA117" s="147" t="str">
        <f t="shared" si="35"/>
        <v/>
      </c>
      <c r="BB117" s="147" t="str">
        <f t="shared" si="35"/>
        <v/>
      </c>
      <c r="BC117" s="147" t="str">
        <f t="shared" si="35"/>
        <v/>
      </c>
      <c r="BD117" s="147" t="str">
        <f t="shared" si="37"/>
        <v/>
      </c>
      <c r="BE117" s="147" t="str">
        <f t="shared" si="37"/>
        <v/>
      </c>
    </row>
    <row r="118" spans="2:57">
      <c r="B118" s="140" t="s">
        <v>928</v>
      </c>
      <c r="C118" s="127" t="s">
        <v>929</v>
      </c>
      <c r="D118" s="128"/>
      <c r="E118" s="128"/>
      <c r="F118" s="128"/>
      <c r="G118" s="128"/>
      <c r="H118" s="128">
        <v>0</v>
      </c>
      <c r="I118" s="128">
        <v>0</v>
      </c>
      <c r="J118" s="128">
        <v>0</v>
      </c>
      <c r="K118" s="128">
        <v>0</v>
      </c>
      <c r="L118" s="128">
        <v>0</v>
      </c>
      <c r="M118" s="128">
        <v>0</v>
      </c>
      <c r="N118" s="128">
        <v>0</v>
      </c>
      <c r="O118" s="128">
        <v>0</v>
      </c>
      <c r="P118" s="128">
        <v>0</v>
      </c>
      <c r="Q118" s="128">
        <v>0</v>
      </c>
      <c r="R118" s="110">
        <v>0</v>
      </c>
      <c r="S118" s="110">
        <v>0</v>
      </c>
      <c r="T118" s="110">
        <v>0</v>
      </c>
      <c r="U118" s="110">
        <v>0</v>
      </c>
      <c r="V118" s="110">
        <v>0</v>
      </c>
      <c r="W118" s="158">
        <v>0</v>
      </c>
      <c r="X118" s="110"/>
      <c r="Z118" s="145" t="e">
        <f t="shared" si="43"/>
        <v>#DIV/0!</v>
      </c>
      <c r="AA118" s="145" t="e">
        <f t="shared" si="44"/>
        <v>#DIV/0!</v>
      </c>
      <c r="AB118" s="145" t="e">
        <f t="shared" si="40"/>
        <v>#DIV/0!</v>
      </c>
      <c r="AC118" s="145" t="e">
        <f t="shared" si="41"/>
        <v>#DIV/0!</v>
      </c>
      <c r="AD118" s="145">
        <f t="shared" si="42"/>
        <v>0</v>
      </c>
      <c r="AE118" s="145">
        <f t="shared" si="39"/>
        <v>0</v>
      </c>
      <c r="AF118" s="145">
        <f t="shared" si="39"/>
        <v>0</v>
      </c>
      <c r="AG118" s="145">
        <f t="shared" si="39"/>
        <v>0</v>
      </c>
      <c r="AH118" s="145">
        <f t="shared" si="39"/>
        <v>0</v>
      </c>
      <c r="AI118" s="145">
        <f t="shared" si="39"/>
        <v>0</v>
      </c>
      <c r="AJ118" s="145">
        <f t="shared" si="39"/>
        <v>0</v>
      </c>
      <c r="AK118" s="145">
        <f t="shared" si="39"/>
        <v>0</v>
      </c>
      <c r="AL118" s="145">
        <f t="shared" si="39"/>
        <v>0</v>
      </c>
      <c r="AM118" s="145">
        <f t="shared" si="39"/>
        <v>0</v>
      </c>
      <c r="AN118" s="145">
        <f t="shared" si="36"/>
        <v>0</v>
      </c>
      <c r="AO118" s="145">
        <f t="shared" si="36"/>
        <v>0</v>
      </c>
      <c r="AP118" s="133"/>
      <c r="AQ118" s="147" t="str">
        <f t="shared" si="38"/>
        <v/>
      </c>
      <c r="AR118" s="147" t="str">
        <f t="shared" si="38"/>
        <v/>
      </c>
      <c r="AS118" s="147" t="str">
        <f t="shared" si="38"/>
        <v/>
      </c>
      <c r="AT118" s="147" t="str">
        <f t="shared" si="38"/>
        <v/>
      </c>
      <c r="AU118" s="147" t="str">
        <f t="shared" si="38"/>
        <v/>
      </c>
      <c r="AV118" s="147" t="str">
        <f t="shared" si="38"/>
        <v/>
      </c>
      <c r="AW118" s="147" t="str">
        <f t="shared" si="38"/>
        <v/>
      </c>
      <c r="AX118" s="147" t="str">
        <f t="shared" si="35"/>
        <v/>
      </c>
      <c r="AY118" s="147" t="str">
        <f t="shared" si="35"/>
        <v/>
      </c>
      <c r="AZ118" s="147" t="str">
        <f t="shared" si="35"/>
        <v/>
      </c>
      <c r="BA118" s="147" t="str">
        <f t="shared" si="35"/>
        <v/>
      </c>
      <c r="BB118" s="147" t="str">
        <f t="shared" si="35"/>
        <v/>
      </c>
      <c r="BC118" s="147" t="str">
        <f t="shared" si="35"/>
        <v/>
      </c>
      <c r="BD118" s="147" t="str">
        <f t="shared" si="37"/>
        <v/>
      </c>
      <c r="BE118" s="147" t="str">
        <f t="shared" si="37"/>
        <v/>
      </c>
    </row>
    <row r="119" spans="2:57">
      <c r="B119" s="140" t="s">
        <v>930</v>
      </c>
      <c r="C119" s="127" t="s">
        <v>931</v>
      </c>
      <c r="D119" s="128"/>
      <c r="E119" s="128"/>
      <c r="F119" s="128"/>
      <c r="G119" s="128"/>
      <c r="H119" s="128">
        <v>0</v>
      </c>
      <c r="I119" s="128">
        <v>0</v>
      </c>
      <c r="J119" s="128">
        <v>0</v>
      </c>
      <c r="K119" s="128">
        <v>0</v>
      </c>
      <c r="L119" s="128">
        <v>0</v>
      </c>
      <c r="M119" s="128">
        <v>0</v>
      </c>
      <c r="N119" s="128">
        <v>0</v>
      </c>
      <c r="O119" s="128">
        <v>0</v>
      </c>
      <c r="P119" s="128">
        <v>0</v>
      </c>
      <c r="Q119" s="128">
        <v>0</v>
      </c>
      <c r="R119" s="110">
        <v>0</v>
      </c>
      <c r="S119" s="110">
        <v>0</v>
      </c>
      <c r="T119" s="110">
        <v>0</v>
      </c>
      <c r="U119" s="110">
        <v>0</v>
      </c>
      <c r="V119" s="110">
        <v>0</v>
      </c>
      <c r="W119" s="158">
        <v>0</v>
      </c>
      <c r="X119" s="110"/>
      <c r="Z119" s="145" t="e">
        <f t="shared" si="43"/>
        <v>#DIV/0!</v>
      </c>
      <c r="AA119" s="145" t="e">
        <f t="shared" si="44"/>
        <v>#DIV/0!</v>
      </c>
      <c r="AB119" s="145" t="e">
        <f t="shared" si="40"/>
        <v>#DIV/0!</v>
      </c>
      <c r="AC119" s="145" t="e">
        <f t="shared" si="41"/>
        <v>#DIV/0!</v>
      </c>
      <c r="AD119" s="145">
        <f t="shared" si="42"/>
        <v>0</v>
      </c>
      <c r="AE119" s="145">
        <f t="shared" si="39"/>
        <v>0</v>
      </c>
      <c r="AF119" s="145">
        <f t="shared" si="39"/>
        <v>0</v>
      </c>
      <c r="AG119" s="145">
        <f t="shared" si="39"/>
        <v>0</v>
      </c>
      <c r="AH119" s="145">
        <f t="shared" si="39"/>
        <v>0</v>
      </c>
      <c r="AI119" s="145">
        <f t="shared" si="39"/>
        <v>0</v>
      </c>
      <c r="AJ119" s="145">
        <f t="shared" si="39"/>
        <v>0</v>
      </c>
      <c r="AK119" s="145">
        <f t="shared" si="39"/>
        <v>0</v>
      </c>
      <c r="AL119" s="145">
        <f t="shared" si="39"/>
        <v>0</v>
      </c>
      <c r="AM119" s="145">
        <f t="shared" si="39"/>
        <v>0</v>
      </c>
      <c r="AN119" s="145">
        <f t="shared" si="36"/>
        <v>0</v>
      </c>
      <c r="AO119" s="145">
        <f t="shared" si="36"/>
        <v>0</v>
      </c>
      <c r="AP119" s="133"/>
      <c r="AQ119" s="147" t="str">
        <f t="shared" si="38"/>
        <v/>
      </c>
      <c r="AR119" s="147" t="str">
        <f t="shared" si="38"/>
        <v/>
      </c>
      <c r="AS119" s="147" t="str">
        <f t="shared" si="38"/>
        <v/>
      </c>
      <c r="AT119" s="147" t="str">
        <f t="shared" si="38"/>
        <v/>
      </c>
      <c r="AU119" s="147" t="str">
        <f t="shared" si="38"/>
        <v/>
      </c>
      <c r="AV119" s="147" t="str">
        <f t="shared" si="38"/>
        <v/>
      </c>
      <c r="AW119" s="147" t="str">
        <f t="shared" si="38"/>
        <v/>
      </c>
      <c r="AX119" s="147" t="str">
        <f t="shared" si="35"/>
        <v/>
      </c>
      <c r="AY119" s="147" t="str">
        <f t="shared" si="35"/>
        <v/>
      </c>
      <c r="AZ119" s="147" t="str">
        <f t="shared" si="35"/>
        <v/>
      </c>
      <c r="BA119" s="147" t="str">
        <f t="shared" si="35"/>
        <v/>
      </c>
      <c r="BB119" s="147" t="str">
        <f t="shared" si="35"/>
        <v/>
      </c>
      <c r="BC119" s="147" t="str">
        <f t="shared" si="35"/>
        <v/>
      </c>
      <c r="BD119" s="147" t="str">
        <f t="shared" si="37"/>
        <v/>
      </c>
      <c r="BE119" s="147" t="str">
        <f t="shared" si="37"/>
        <v/>
      </c>
    </row>
    <row r="120" spans="2:57">
      <c r="B120" s="140" t="s">
        <v>932</v>
      </c>
      <c r="C120" s="127" t="s">
        <v>933</v>
      </c>
      <c r="D120" s="128"/>
      <c r="E120" s="128"/>
      <c r="F120" s="128"/>
      <c r="G120" s="128"/>
      <c r="H120" s="128">
        <v>0</v>
      </c>
      <c r="I120" s="128">
        <v>0</v>
      </c>
      <c r="J120" s="128">
        <v>0</v>
      </c>
      <c r="K120" s="128">
        <v>0</v>
      </c>
      <c r="L120" s="128">
        <v>0</v>
      </c>
      <c r="M120" s="128">
        <v>0</v>
      </c>
      <c r="N120" s="128">
        <v>0</v>
      </c>
      <c r="O120" s="128">
        <v>0</v>
      </c>
      <c r="P120" s="128">
        <v>0</v>
      </c>
      <c r="Q120" s="128">
        <v>0</v>
      </c>
      <c r="R120" s="110">
        <v>0</v>
      </c>
      <c r="S120" s="110">
        <v>0</v>
      </c>
      <c r="T120" s="110">
        <v>0</v>
      </c>
      <c r="U120" s="110">
        <v>0</v>
      </c>
      <c r="V120" s="110">
        <v>0</v>
      </c>
      <c r="W120" s="158">
        <v>0</v>
      </c>
      <c r="X120" s="110"/>
      <c r="Z120" s="145" t="e">
        <f t="shared" si="43"/>
        <v>#DIV/0!</v>
      </c>
      <c r="AA120" s="145" t="e">
        <f t="shared" si="44"/>
        <v>#DIV/0!</v>
      </c>
      <c r="AB120" s="145" t="e">
        <f t="shared" si="40"/>
        <v>#DIV/0!</v>
      </c>
      <c r="AC120" s="145" t="e">
        <f t="shared" si="41"/>
        <v>#DIV/0!</v>
      </c>
      <c r="AD120" s="145">
        <f t="shared" si="42"/>
        <v>0</v>
      </c>
      <c r="AE120" s="145">
        <f t="shared" si="39"/>
        <v>0</v>
      </c>
      <c r="AF120" s="145">
        <f t="shared" si="39"/>
        <v>0</v>
      </c>
      <c r="AG120" s="145">
        <f t="shared" si="39"/>
        <v>0</v>
      </c>
      <c r="AH120" s="145">
        <f t="shared" si="39"/>
        <v>0</v>
      </c>
      <c r="AI120" s="145">
        <f t="shared" si="39"/>
        <v>0</v>
      </c>
      <c r="AJ120" s="145">
        <f t="shared" si="39"/>
        <v>0</v>
      </c>
      <c r="AK120" s="145">
        <f t="shared" si="39"/>
        <v>0</v>
      </c>
      <c r="AL120" s="145">
        <f t="shared" si="39"/>
        <v>0</v>
      </c>
      <c r="AM120" s="145">
        <f t="shared" si="39"/>
        <v>0</v>
      </c>
      <c r="AN120" s="145">
        <f t="shared" si="36"/>
        <v>0</v>
      </c>
      <c r="AO120" s="145">
        <f t="shared" si="36"/>
        <v>0</v>
      </c>
      <c r="AP120" s="133"/>
      <c r="AQ120" s="147" t="str">
        <f t="shared" si="38"/>
        <v/>
      </c>
      <c r="AR120" s="147" t="str">
        <f t="shared" si="38"/>
        <v/>
      </c>
      <c r="AS120" s="147" t="str">
        <f t="shared" si="38"/>
        <v/>
      </c>
      <c r="AT120" s="147" t="str">
        <f t="shared" si="38"/>
        <v/>
      </c>
      <c r="AU120" s="147" t="str">
        <f t="shared" si="38"/>
        <v/>
      </c>
      <c r="AV120" s="147" t="str">
        <f t="shared" si="38"/>
        <v/>
      </c>
      <c r="AW120" s="147" t="str">
        <f t="shared" si="38"/>
        <v/>
      </c>
      <c r="AX120" s="147" t="str">
        <f t="shared" si="35"/>
        <v/>
      </c>
      <c r="AY120" s="147" t="str">
        <f t="shared" si="35"/>
        <v/>
      </c>
      <c r="AZ120" s="147" t="str">
        <f t="shared" si="35"/>
        <v/>
      </c>
      <c r="BA120" s="147" t="str">
        <f t="shared" si="35"/>
        <v/>
      </c>
      <c r="BB120" s="147" t="str">
        <f t="shared" si="35"/>
        <v/>
      </c>
      <c r="BC120" s="147" t="str">
        <f t="shared" si="35"/>
        <v/>
      </c>
      <c r="BD120" s="147" t="str">
        <f t="shared" si="37"/>
        <v/>
      </c>
      <c r="BE120" s="147" t="str">
        <f t="shared" si="37"/>
        <v/>
      </c>
    </row>
    <row r="121" spans="2:57">
      <c r="B121" s="140" t="s">
        <v>934</v>
      </c>
      <c r="C121" s="127" t="s">
        <v>935</v>
      </c>
      <c r="D121" s="128"/>
      <c r="E121" s="128"/>
      <c r="F121" s="128"/>
      <c r="G121" s="128"/>
      <c r="H121" s="128">
        <v>0</v>
      </c>
      <c r="I121" s="128">
        <v>0</v>
      </c>
      <c r="J121" s="128">
        <v>6.5455921090000002</v>
      </c>
      <c r="K121" s="128">
        <v>0</v>
      </c>
      <c r="L121" s="128">
        <v>0</v>
      </c>
      <c r="M121" s="128">
        <v>0</v>
      </c>
      <c r="N121" s="128">
        <v>0</v>
      </c>
      <c r="O121" s="128">
        <v>0</v>
      </c>
      <c r="P121" s="128">
        <v>0</v>
      </c>
      <c r="Q121" s="128">
        <v>0</v>
      </c>
      <c r="R121" s="110">
        <v>0</v>
      </c>
      <c r="S121" s="110">
        <v>0</v>
      </c>
      <c r="T121" s="110">
        <v>0</v>
      </c>
      <c r="U121" s="110">
        <v>0</v>
      </c>
      <c r="V121" s="110">
        <v>0</v>
      </c>
      <c r="W121" s="158">
        <v>0</v>
      </c>
      <c r="X121" s="110"/>
      <c r="Z121" s="145" t="e">
        <f t="shared" si="43"/>
        <v>#DIV/0!</v>
      </c>
      <c r="AA121" s="145" t="e">
        <f t="shared" si="44"/>
        <v>#DIV/0!</v>
      </c>
      <c r="AB121" s="145" t="e">
        <f t="shared" si="40"/>
        <v>#DIV/0!</v>
      </c>
      <c r="AC121" s="145" t="e">
        <f t="shared" si="41"/>
        <v>#DIV/0!</v>
      </c>
      <c r="AD121" s="145">
        <f t="shared" si="42"/>
        <v>0</v>
      </c>
      <c r="AE121" s="145">
        <f t="shared" si="39"/>
        <v>0</v>
      </c>
      <c r="AF121" s="145">
        <f t="shared" si="39"/>
        <v>4.2611149003146361E-3</v>
      </c>
      <c r="AG121" s="145">
        <f t="shared" si="39"/>
        <v>0</v>
      </c>
      <c r="AH121" s="145">
        <f t="shared" si="39"/>
        <v>0</v>
      </c>
      <c r="AI121" s="145">
        <f t="shared" si="39"/>
        <v>0</v>
      </c>
      <c r="AJ121" s="145">
        <f t="shared" si="39"/>
        <v>0</v>
      </c>
      <c r="AK121" s="145">
        <f t="shared" si="39"/>
        <v>0</v>
      </c>
      <c r="AL121" s="145">
        <f t="shared" si="39"/>
        <v>0</v>
      </c>
      <c r="AM121" s="145">
        <f t="shared" si="39"/>
        <v>0</v>
      </c>
      <c r="AN121" s="145">
        <f t="shared" si="36"/>
        <v>0</v>
      </c>
      <c r="AO121" s="145">
        <f t="shared" si="36"/>
        <v>0</v>
      </c>
      <c r="AP121" s="133"/>
      <c r="AQ121" s="147" t="str">
        <f t="shared" si="38"/>
        <v/>
      </c>
      <c r="AR121" s="147" t="str">
        <f t="shared" si="38"/>
        <v/>
      </c>
      <c r="AS121" s="147" t="str">
        <f t="shared" si="38"/>
        <v/>
      </c>
      <c r="AT121" s="147" t="str">
        <f t="shared" si="38"/>
        <v/>
      </c>
      <c r="AU121" s="147" t="str">
        <f t="shared" si="38"/>
        <v/>
      </c>
      <c r="AV121" s="147" t="str">
        <f t="shared" si="38"/>
        <v/>
      </c>
      <c r="AW121" s="147">
        <f t="shared" si="38"/>
        <v>-1</v>
      </c>
      <c r="AX121" s="147" t="str">
        <f t="shared" si="35"/>
        <v/>
      </c>
      <c r="AY121" s="147" t="str">
        <f t="shared" si="35"/>
        <v/>
      </c>
      <c r="AZ121" s="147" t="str">
        <f t="shared" si="35"/>
        <v/>
      </c>
      <c r="BA121" s="147" t="str">
        <f t="shared" si="35"/>
        <v/>
      </c>
      <c r="BB121" s="147" t="str">
        <f t="shared" si="35"/>
        <v/>
      </c>
      <c r="BC121" s="147" t="str">
        <f t="shared" si="35"/>
        <v/>
      </c>
      <c r="BD121" s="147" t="str">
        <f t="shared" si="37"/>
        <v/>
      </c>
      <c r="BE121" s="147" t="str">
        <f t="shared" si="37"/>
        <v/>
      </c>
    </row>
    <row r="122" spans="2:57" s="367" customFormat="1">
      <c r="B122" s="363" t="s">
        <v>486</v>
      </c>
      <c r="C122" s="364" t="s">
        <v>936</v>
      </c>
      <c r="D122" s="365"/>
      <c r="E122" s="365"/>
      <c r="F122" s="365"/>
      <c r="G122" s="365"/>
      <c r="H122" s="365">
        <v>58.643431999999997</v>
      </c>
      <c r="I122" s="365">
        <v>2.4328863549999999</v>
      </c>
      <c r="J122" s="365">
        <v>0</v>
      </c>
      <c r="K122" s="365">
        <v>0</v>
      </c>
      <c r="L122" s="365">
        <v>0</v>
      </c>
      <c r="M122" s="365">
        <v>0</v>
      </c>
      <c r="N122" s="365">
        <v>0</v>
      </c>
      <c r="O122" s="365">
        <v>0</v>
      </c>
      <c r="P122" s="365">
        <v>1199.9329948300001</v>
      </c>
      <c r="Q122" s="365">
        <v>1208.167140389</v>
      </c>
      <c r="R122" s="366">
        <v>1122.136666657</v>
      </c>
      <c r="S122" s="366">
        <v>1126.676666653</v>
      </c>
      <c r="T122" s="366">
        <v>0</v>
      </c>
      <c r="U122" s="366">
        <v>5901.25</v>
      </c>
      <c r="V122" s="366">
        <v>5985.25</v>
      </c>
      <c r="W122" s="997">
        <v>0</v>
      </c>
      <c r="X122" s="366"/>
      <c r="Z122" s="368" t="e">
        <f t="shared" si="43"/>
        <v>#DIV/0!</v>
      </c>
      <c r="AA122" s="368" t="e">
        <f t="shared" si="44"/>
        <v>#DIV/0!</v>
      </c>
      <c r="AB122" s="368" t="e">
        <f t="shared" si="40"/>
        <v>#DIV/0!</v>
      </c>
      <c r="AC122" s="368" t="e">
        <f t="shared" si="41"/>
        <v>#DIV/0!</v>
      </c>
      <c r="AD122" s="368">
        <f t="shared" si="42"/>
        <v>0.18254078073812915</v>
      </c>
      <c r="AE122" s="368">
        <f t="shared" si="39"/>
        <v>4.057777391863888E-3</v>
      </c>
      <c r="AF122" s="368">
        <f t="shared" si="39"/>
        <v>0</v>
      </c>
      <c r="AG122" s="368">
        <f t="shared" si="39"/>
        <v>0</v>
      </c>
      <c r="AH122" s="368">
        <f t="shared" si="39"/>
        <v>0</v>
      </c>
      <c r="AI122" s="368">
        <f t="shared" si="39"/>
        <v>0</v>
      </c>
      <c r="AJ122" s="368">
        <f t="shared" si="39"/>
        <v>0</v>
      </c>
      <c r="AK122" s="368">
        <f t="shared" si="39"/>
        <v>0</v>
      </c>
      <c r="AL122" s="368">
        <f t="shared" si="39"/>
        <v>5.2576376864441075E-2</v>
      </c>
      <c r="AM122" s="368">
        <f t="shared" si="39"/>
        <v>4.2960824524409441E-2</v>
      </c>
      <c r="AN122" s="368">
        <f t="shared" si="36"/>
        <v>2.6904529012825435E-2</v>
      </c>
      <c r="AO122" s="368">
        <f t="shared" si="36"/>
        <v>2.4476539831885934E-2</v>
      </c>
      <c r="AP122" s="369"/>
      <c r="AQ122" s="368" t="str">
        <f t="shared" si="38"/>
        <v/>
      </c>
      <c r="AR122" s="368" t="str">
        <f t="shared" si="38"/>
        <v/>
      </c>
      <c r="AS122" s="368" t="str">
        <f t="shared" si="38"/>
        <v/>
      </c>
      <c r="AT122" s="368" t="str">
        <f t="shared" si="38"/>
        <v/>
      </c>
      <c r="AU122" s="368">
        <f t="shared" si="38"/>
        <v>-0.958513915846535</v>
      </c>
      <c r="AV122" s="368">
        <f t="shared" si="38"/>
        <v>-1</v>
      </c>
      <c r="AW122" s="368" t="str">
        <f t="shared" si="38"/>
        <v/>
      </c>
      <c r="AX122" s="368" t="str">
        <f t="shared" si="35"/>
        <v/>
      </c>
      <c r="AY122" s="368" t="str">
        <f t="shared" si="35"/>
        <v/>
      </c>
      <c r="AZ122" s="368" t="str">
        <f t="shared" si="35"/>
        <v/>
      </c>
      <c r="BA122" s="368" t="str">
        <f t="shared" si="35"/>
        <v/>
      </c>
      <c r="BB122" s="368" t="str">
        <f t="shared" si="35"/>
        <v/>
      </c>
      <c r="BC122" s="368">
        <f t="shared" si="35"/>
        <v>6.8621711332861324E-3</v>
      </c>
      <c r="BD122" s="368">
        <f t="shared" si="37"/>
        <v>-7.1207427230888243E-2</v>
      </c>
      <c r="BE122" s="368">
        <f t="shared" si="37"/>
        <v>4.04585299714455E-3</v>
      </c>
    </row>
    <row r="123" spans="2:57">
      <c r="B123" s="140" t="s">
        <v>937</v>
      </c>
      <c r="C123" s="127" t="s">
        <v>938</v>
      </c>
      <c r="D123" s="128"/>
      <c r="E123" s="128"/>
      <c r="F123" s="128"/>
      <c r="G123" s="128"/>
      <c r="H123" s="128">
        <v>0</v>
      </c>
      <c r="I123" s="128">
        <v>0</v>
      </c>
      <c r="J123" s="128">
        <v>0</v>
      </c>
      <c r="K123" s="128">
        <v>0</v>
      </c>
      <c r="L123" s="128">
        <v>0</v>
      </c>
      <c r="M123" s="128">
        <v>0</v>
      </c>
      <c r="N123" s="128">
        <v>0</v>
      </c>
      <c r="O123" s="128">
        <v>0</v>
      </c>
      <c r="P123" s="128">
        <v>0</v>
      </c>
      <c r="Q123" s="128">
        <v>0</v>
      </c>
      <c r="R123" s="110">
        <v>0</v>
      </c>
      <c r="S123" s="110">
        <v>0</v>
      </c>
      <c r="T123" s="110">
        <v>0</v>
      </c>
      <c r="U123" s="110">
        <v>0</v>
      </c>
      <c r="V123" s="110">
        <v>0</v>
      </c>
      <c r="W123" s="158">
        <v>0</v>
      </c>
      <c r="X123" s="110"/>
      <c r="Z123" s="145" t="e">
        <f t="shared" si="43"/>
        <v>#DIV/0!</v>
      </c>
      <c r="AA123" s="145" t="e">
        <f t="shared" si="44"/>
        <v>#DIV/0!</v>
      </c>
      <c r="AB123" s="145" t="e">
        <f t="shared" si="40"/>
        <v>#DIV/0!</v>
      </c>
      <c r="AC123" s="145" t="e">
        <f t="shared" si="41"/>
        <v>#DIV/0!</v>
      </c>
      <c r="AD123" s="145">
        <f t="shared" si="42"/>
        <v>0</v>
      </c>
      <c r="AE123" s="145">
        <f t="shared" si="39"/>
        <v>0</v>
      </c>
      <c r="AF123" s="145">
        <f t="shared" si="39"/>
        <v>0</v>
      </c>
      <c r="AG123" s="145">
        <f t="shared" si="39"/>
        <v>0</v>
      </c>
      <c r="AH123" s="145">
        <f t="shared" si="39"/>
        <v>0</v>
      </c>
      <c r="AI123" s="145">
        <f t="shared" si="39"/>
        <v>0</v>
      </c>
      <c r="AJ123" s="145">
        <f t="shared" si="39"/>
        <v>0</v>
      </c>
      <c r="AK123" s="145">
        <f t="shared" si="39"/>
        <v>0</v>
      </c>
      <c r="AL123" s="145">
        <f t="shared" si="39"/>
        <v>0</v>
      </c>
      <c r="AM123" s="145">
        <f t="shared" si="39"/>
        <v>0</v>
      </c>
      <c r="AN123" s="145">
        <f t="shared" si="36"/>
        <v>0</v>
      </c>
      <c r="AO123" s="145">
        <f t="shared" si="36"/>
        <v>0</v>
      </c>
      <c r="AP123" s="133"/>
      <c r="AQ123" s="147" t="str">
        <f t="shared" si="38"/>
        <v/>
      </c>
      <c r="AR123" s="147" t="str">
        <f t="shared" si="38"/>
        <v/>
      </c>
      <c r="AS123" s="147" t="str">
        <f t="shared" si="38"/>
        <v/>
      </c>
      <c r="AT123" s="147" t="str">
        <f t="shared" si="38"/>
        <v/>
      </c>
      <c r="AU123" s="147" t="str">
        <f t="shared" si="38"/>
        <v/>
      </c>
      <c r="AV123" s="147" t="str">
        <f t="shared" si="38"/>
        <v/>
      </c>
      <c r="AW123" s="147" t="str">
        <f t="shared" si="38"/>
        <v/>
      </c>
      <c r="AX123" s="147" t="str">
        <f t="shared" si="35"/>
        <v/>
      </c>
      <c r="AY123" s="147" t="str">
        <f t="shared" si="35"/>
        <v/>
      </c>
      <c r="AZ123" s="147" t="str">
        <f t="shared" si="35"/>
        <v/>
      </c>
      <c r="BA123" s="147" t="str">
        <f t="shared" ref="BA123:BE153" si="45">IFERROR(O123/N123-1,"")</f>
        <v/>
      </c>
      <c r="BB123" s="147" t="str">
        <f t="shared" si="45"/>
        <v/>
      </c>
      <c r="BC123" s="147" t="str">
        <f t="shared" si="45"/>
        <v/>
      </c>
      <c r="BD123" s="147" t="str">
        <f t="shared" si="45"/>
        <v/>
      </c>
      <c r="BE123" s="147" t="str">
        <f t="shared" si="45"/>
        <v/>
      </c>
    </row>
    <row r="124" spans="2:57">
      <c r="B124" s="140" t="s">
        <v>939</v>
      </c>
      <c r="C124" s="127" t="s">
        <v>940</v>
      </c>
      <c r="D124" s="128"/>
      <c r="E124" s="128"/>
      <c r="F124" s="128"/>
      <c r="G124" s="128"/>
      <c r="H124" s="128">
        <v>0</v>
      </c>
      <c r="I124" s="128">
        <v>0</v>
      </c>
      <c r="J124" s="128">
        <v>0</v>
      </c>
      <c r="K124" s="128">
        <v>0</v>
      </c>
      <c r="L124" s="128">
        <v>0</v>
      </c>
      <c r="M124" s="128">
        <v>0</v>
      </c>
      <c r="N124" s="128">
        <v>0</v>
      </c>
      <c r="O124" s="128">
        <v>0</v>
      </c>
      <c r="P124" s="128">
        <v>0</v>
      </c>
      <c r="Q124" s="128">
        <v>0</v>
      </c>
      <c r="R124" s="110">
        <v>0</v>
      </c>
      <c r="S124" s="110">
        <v>0</v>
      </c>
      <c r="T124" s="110">
        <v>0</v>
      </c>
      <c r="U124" s="110">
        <v>0</v>
      </c>
      <c r="V124" s="110">
        <v>0</v>
      </c>
      <c r="W124" s="158">
        <v>0</v>
      </c>
      <c r="X124" s="110"/>
      <c r="Z124" s="145" t="e">
        <f t="shared" si="43"/>
        <v>#DIV/0!</v>
      </c>
      <c r="AA124" s="145" t="e">
        <f t="shared" si="44"/>
        <v>#DIV/0!</v>
      </c>
      <c r="AB124" s="145" t="e">
        <f t="shared" si="40"/>
        <v>#DIV/0!</v>
      </c>
      <c r="AC124" s="145" t="e">
        <f t="shared" si="41"/>
        <v>#DIV/0!</v>
      </c>
      <c r="AD124" s="145">
        <f t="shared" si="42"/>
        <v>0</v>
      </c>
      <c r="AE124" s="145">
        <f t="shared" si="39"/>
        <v>0</v>
      </c>
      <c r="AF124" s="145">
        <f t="shared" si="39"/>
        <v>0</v>
      </c>
      <c r="AG124" s="145">
        <f t="shared" si="39"/>
        <v>0</v>
      </c>
      <c r="AH124" s="145">
        <f t="shared" si="39"/>
        <v>0</v>
      </c>
      <c r="AI124" s="145">
        <f t="shared" si="39"/>
        <v>0</v>
      </c>
      <c r="AJ124" s="145">
        <f t="shared" si="39"/>
        <v>0</v>
      </c>
      <c r="AK124" s="145">
        <f t="shared" si="39"/>
        <v>0</v>
      </c>
      <c r="AL124" s="145">
        <f t="shared" si="39"/>
        <v>0</v>
      </c>
      <c r="AM124" s="145">
        <f t="shared" si="39"/>
        <v>0</v>
      </c>
      <c r="AN124" s="145">
        <f t="shared" si="36"/>
        <v>0</v>
      </c>
      <c r="AO124" s="145">
        <f t="shared" si="36"/>
        <v>0</v>
      </c>
      <c r="AP124" s="133"/>
      <c r="AQ124" s="147" t="str">
        <f t="shared" si="38"/>
        <v/>
      </c>
      <c r="AR124" s="147" t="str">
        <f t="shared" si="38"/>
        <v/>
      </c>
      <c r="AS124" s="147" t="str">
        <f t="shared" si="38"/>
        <v/>
      </c>
      <c r="AT124" s="147" t="str">
        <f t="shared" si="38"/>
        <v/>
      </c>
      <c r="AU124" s="147" t="str">
        <f t="shared" si="38"/>
        <v/>
      </c>
      <c r="AV124" s="147" t="str">
        <f t="shared" si="38"/>
        <v/>
      </c>
      <c r="AW124" s="147" t="str">
        <f t="shared" si="38"/>
        <v/>
      </c>
      <c r="AX124" s="147" t="str">
        <f t="shared" si="38"/>
        <v/>
      </c>
      <c r="AY124" s="147" t="str">
        <f t="shared" si="38"/>
        <v/>
      </c>
      <c r="AZ124" s="147" t="str">
        <f t="shared" si="38"/>
        <v/>
      </c>
      <c r="BA124" s="147" t="str">
        <f t="shared" si="45"/>
        <v/>
      </c>
      <c r="BB124" s="147" t="str">
        <f t="shared" si="45"/>
        <v/>
      </c>
      <c r="BC124" s="147" t="str">
        <f t="shared" si="45"/>
        <v/>
      </c>
      <c r="BD124" s="147" t="str">
        <f t="shared" si="45"/>
        <v/>
      </c>
      <c r="BE124" s="147" t="str">
        <f t="shared" si="45"/>
        <v/>
      </c>
    </row>
    <row r="125" spans="2:57">
      <c r="B125" s="140" t="s">
        <v>941</v>
      </c>
      <c r="C125" s="127" t="s">
        <v>942</v>
      </c>
      <c r="D125" s="128"/>
      <c r="E125" s="128"/>
      <c r="F125" s="128"/>
      <c r="G125" s="128"/>
      <c r="H125" s="128">
        <v>0</v>
      </c>
      <c r="I125" s="128">
        <v>0</v>
      </c>
      <c r="J125" s="128">
        <v>0</v>
      </c>
      <c r="K125" s="128">
        <v>0</v>
      </c>
      <c r="L125" s="128">
        <v>0</v>
      </c>
      <c r="M125" s="128">
        <v>0</v>
      </c>
      <c r="N125" s="128">
        <v>0</v>
      </c>
      <c r="O125" s="128">
        <v>0</v>
      </c>
      <c r="P125" s="128">
        <v>0</v>
      </c>
      <c r="Q125" s="128">
        <v>1.8960114990000001</v>
      </c>
      <c r="R125" s="110">
        <v>0</v>
      </c>
      <c r="S125" s="110">
        <v>0</v>
      </c>
      <c r="T125" s="110">
        <v>0</v>
      </c>
      <c r="U125" s="110">
        <v>0</v>
      </c>
      <c r="V125" s="110">
        <v>1.168691414</v>
      </c>
      <c r="W125" s="158">
        <v>0</v>
      </c>
      <c r="X125" s="110"/>
      <c r="Z125" s="145" t="e">
        <f t="shared" si="43"/>
        <v>#DIV/0!</v>
      </c>
      <c r="AA125" s="145" t="e">
        <f t="shared" si="44"/>
        <v>#DIV/0!</v>
      </c>
      <c r="AB125" s="145" t="e">
        <f t="shared" si="40"/>
        <v>#DIV/0!</v>
      </c>
      <c r="AC125" s="145" t="e">
        <f t="shared" si="41"/>
        <v>#DIV/0!</v>
      </c>
      <c r="AD125" s="145">
        <f t="shared" si="42"/>
        <v>0</v>
      </c>
      <c r="AE125" s="145">
        <f t="shared" si="39"/>
        <v>0</v>
      </c>
      <c r="AF125" s="145">
        <f t="shared" si="39"/>
        <v>0</v>
      </c>
      <c r="AG125" s="145">
        <f t="shared" si="39"/>
        <v>0</v>
      </c>
      <c r="AH125" s="145">
        <f t="shared" si="39"/>
        <v>0</v>
      </c>
      <c r="AI125" s="145">
        <f t="shared" si="39"/>
        <v>0</v>
      </c>
      <c r="AJ125" s="145">
        <f t="shared" si="39"/>
        <v>0</v>
      </c>
      <c r="AK125" s="145">
        <f t="shared" si="39"/>
        <v>0</v>
      </c>
      <c r="AL125" s="145">
        <f t="shared" si="39"/>
        <v>0</v>
      </c>
      <c r="AM125" s="145">
        <f t="shared" si="39"/>
        <v>6.7419659566784164E-5</v>
      </c>
      <c r="AN125" s="145">
        <f t="shared" si="36"/>
        <v>0</v>
      </c>
      <c r="AO125" s="145">
        <f t="shared" si="36"/>
        <v>0</v>
      </c>
      <c r="AP125" s="133"/>
      <c r="AQ125" s="147" t="str">
        <f t="shared" si="38"/>
        <v/>
      </c>
      <c r="AR125" s="147" t="str">
        <f t="shared" si="38"/>
        <v/>
      </c>
      <c r="AS125" s="147" t="str">
        <f t="shared" si="38"/>
        <v/>
      </c>
      <c r="AT125" s="147" t="str">
        <f t="shared" si="38"/>
        <v/>
      </c>
      <c r="AU125" s="147" t="str">
        <f t="shared" si="38"/>
        <v/>
      </c>
      <c r="AV125" s="147" t="str">
        <f t="shared" si="38"/>
        <v/>
      </c>
      <c r="AW125" s="147" t="str">
        <f t="shared" si="38"/>
        <v/>
      </c>
      <c r="AX125" s="147" t="str">
        <f t="shared" si="38"/>
        <v/>
      </c>
      <c r="AY125" s="147" t="str">
        <f t="shared" si="38"/>
        <v/>
      </c>
      <c r="AZ125" s="147" t="str">
        <f t="shared" si="38"/>
        <v/>
      </c>
      <c r="BA125" s="147" t="str">
        <f t="shared" si="45"/>
        <v/>
      </c>
      <c r="BB125" s="147" t="str">
        <f t="shared" si="45"/>
        <v/>
      </c>
      <c r="BC125" s="147" t="str">
        <f t="shared" si="45"/>
        <v/>
      </c>
      <c r="BD125" s="147">
        <f t="shared" si="45"/>
        <v>-1</v>
      </c>
      <c r="BE125" s="147" t="str">
        <f t="shared" si="45"/>
        <v/>
      </c>
    </row>
    <row r="126" spans="2:57">
      <c r="B126" s="140" t="s">
        <v>943</v>
      </c>
      <c r="C126" s="127" t="s">
        <v>944</v>
      </c>
      <c r="D126" s="128"/>
      <c r="E126" s="128"/>
      <c r="F126" s="128"/>
      <c r="G126" s="128"/>
      <c r="H126" s="128">
        <v>2.3963570000000001</v>
      </c>
      <c r="I126" s="128">
        <v>3.0524091950000001</v>
      </c>
      <c r="J126" s="128">
        <v>2.6748500000000002</v>
      </c>
      <c r="K126" s="128">
        <v>0</v>
      </c>
      <c r="L126" s="128">
        <v>0</v>
      </c>
      <c r="M126" s="128">
        <v>0</v>
      </c>
      <c r="N126" s="128">
        <v>0</v>
      </c>
      <c r="O126" s="128">
        <v>0</v>
      </c>
      <c r="P126" s="128">
        <v>0</v>
      </c>
      <c r="Q126" s="128">
        <v>0</v>
      </c>
      <c r="R126" s="110">
        <v>0</v>
      </c>
      <c r="S126" s="110">
        <v>0</v>
      </c>
      <c r="T126" s="110">
        <v>0</v>
      </c>
      <c r="U126" s="110">
        <v>0</v>
      </c>
      <c r="V126" s="110"/>
      <c r="W126" s="158"/>
      <c r="X126" s="110"/>
      <c r="Z126" s="145" t="e">
        <f t="shared" si="43"/>
        <v>#DIV/0!</v>
      </c>
      <c r="AA126" s="145" t="e">
        <f t="shared" si="44"/>
        <v>#DIV/0!</v>
      </c>
      <c r="AB126" s="145" t="e">
        <f t="shared" si="40"/>
        <v>#DIV/0!</v>
      </c>
      <c r="AC126" s="145" t="e">
        <f t="shared" si="41"/>
        <v>#DIV/0!</v>
      </c>
      <c r="AD126" s="145">
        <f t="shared" si="42"/>
        <v>7.4591964144813524E-3</v>
      </c>
      <c r="AE126" s="145">
        <f t="shared" si="39"/>
        <v>5.0910709399693476E-3</v>
      </c>
      <c r="AF126" s="145">
        <f t="shared" si="39"/>
        <v>1.7413005578876353E-3</v>
      </c>
      <c r="AG126" s="145">
        <f t="shared" si="39"/>
        <v>0</v>
      </c>
      <c r="AH126" s="145">
        <f t="shared" si="39"/>
        <v>0</v>
      </c>
      <c r="AI126" s="145">
        <f t="shared" si="39"/>
        <v>0</v>
      </c>
      <c r="AJ126" s="145">
        <f t="shared" si="39"/>
        <v>0</v>
      </c>
      <c r="AK126" s="145">
        <f t="shared" si="39"/>
        <v>0</v>
      </c>
      <c r="AL126" s="145">
        <f t="shared" si="39"/>
        <v>0</v>
      </c>
      <c r="AM126" s="145">
        <f t="shared" si="39"/>
        <v>0</v>
      </c>
      <c r="AN126" s="145">
        <f t="shared" si="36"/>
        <v>0</v>
      </c>
      <c r="AO126" s="145">
        <f t="shared" si="36"/>
        <v>0</v>
      </c>
      <c r="AP126" s="133"/>
      <c r="AQ126" s="147" t="str">
        <f t="shared" si="38"/>
        <v/>
      </c>
      <c r="AR126" s="147" t="str">
        <f t="shared" si="38"/>
        <v/>
      </c>
      <c r="AS126" s="147" t="str">
        <f t="shared" si="38"/>
        <v/>
      </c>
      <c r="AT126" s="147" t="str">
        <f t="shared" si="38"/>
        <v/>
      </c>
      <c r="AU126" s="147">
        <f t="shared" si="38"/>
        <v>0.27377064227074688</v>
      </c>
      <c r="AV126" s="147">
        <f t="shared" si="38"/>
        <v>-0.12369219553474708</v>
      </c>
      <c r="AW126" s="147">
        <f t="shared" si="38"/>
        <v>-1</v>
      </c>
      <c r="AX126" s="147" t="str">
        <f t="shared" si="38"/>
        <v/>
      </c>
      <c r="AY126" s="147" t="str">
        <f t="shared" si="38"/>
        <v/>
      </c>
      <c r="AZ126" s="147" t="str">
        <f t="shared" si="38"/>
        <v/>
      </c>
      <c r="BA126" s="147" t="str">
        <f t="shared" si="45"/>
        <v/>
      </c>
      <c r="BB126" s="147" t="str">
        <f t="shared" si="45"/>
        <v/>
      </c>
      <c r="BC126" s="147" t="str">
        <f t="shared" si="45"/>
        <v/>
      </c>
      <c r="BD126" s="147" t="str">
        <f t="shared" si="45"/>
        <v/>
      </c>
      <c r="BE126" s="147" t="str">
        <f t="shared" si="45"/>
        <v/>
      </c>
    </row>
    <row r="127" spans="2:57">
      <c r="B127" s="140" t="s">
        <v>945</v>
      </c>
      <c r="C127" s="127" t="s">
        <v>946</v>
      </c>
      <c r="D127" s="128"/>
      <c r="E127" s="128"/>
      <c r="F127" s="128"/>
      <c r="G127" s="128"/>
      <c r="H127" s="128">
        <v>0</v>
      </c>
      <c r="I127" s="128">
        <v>0</v>
      </c>
      <c r="J127" s="128">
        <v>0</v>
      </c>
      <c r="K127" s="128">
        <v>0</v>
      </c>
      <c r="L127" s="128">
        <v>0</v>
      </c>
      <c r="M127" s="128">
        <v>0</v>
      </c>
      <c r="N127" s="128">
        <v>0</v>
      </c>
      <c r="O127" s="128">
        <v>0</v>
      </c>
      <c r="P127" s="128">
        <v>0</v>
      </c>
      <c r="Q127" s="128">
        <v>0</v>
      </c>
      <c r="R127" s="110">
        <v>0</v>
      </c>
      <c r="S127" s="110">
        <v>0</v>
      </c>
      <c r="T127" s="110">
        <v>0</v>
      </c>
      <c r="U127" s="110">
        <v>0</v>
      </c>
      <c r="V127" s="110">
        <v>0</v>
      </c>
      <c r="W127" s="158">
        <v>0</v>
      </c>
      <c r="X127" s="110"/>
      <c r="Z127" s="145" t="e">
        <f t="shared" si="43"/>
        <v>#DIV/0!</v>
      </c>
      <c r="AA127" s="145" t="e">
        <f t="shared" si="44"/>
        <v>#DIV/0!</v>
      </c>
      <c r="AB127" s="145" t="e">
        <f t="shared" si="40"/>
        <v>#DIV/0!</v>
      </c>
      <c r="AC127" s="145" t="e">
        <f t="shared" si="41"/>
        <v>#DIV/0!</v>
      </c>
      <c r="AD127" s="145">
        <f t="shared" si="42"/>
        <v>0</v>
      </c>
      <c r="AE127" s="145">
        <f t="shared" si="39"/>
        <v>0</v>
      </c>
      <c r="AF127" s="145">
        <f t="shared" si="39"/>
        <v>0</v>
      </c>
      <c r="AG127" s="145">
        <f t="shared" si="39"/>
        <v>0</v>
      </c>
      <c r="AH127" s="145">
        <f t="shared" si="39"/>
        <v>0</v>
      </c>
      <c r="AI127" s="145">
        <f t="shared" si="39"/>
        <v>0</v>
      </c>
      <c r="AJ127" s="145">
        <f t="shared" si="39"/>
        <v>0</v>
      </c>
      <c r="AK127" s="145">
        <f t="shared" si="39"/>
        <v>0</v>
      </c>
      <c r="AL127" s="145">
        <f t="shared" si="39"/>
        <v>0</v>
      </c>
      <c r="AM127" s="145">
        <f t="shared" si="39"/>
        <v>0</v>
      </c>
      <c r="AN127" s="145">
        <f t="shared" si="36"/>
        <v>0</v>
      </c>
      <c r="AO127" s="145">
        <f t="shared" si="36"/>
        <v>0</v>
      </c>
      <c r="AP127" s="133"/>
      <c r="AQ127" s="147" t="str">
        <f t="shared" si="38"/>
        <v/>
      </c>
      <c r="AR127" s="147" t="str">
        <f t="shared" si="38"/>
        <v/>
      </c>
      <c r="AS127" s="147" t="str">
        <f t="shared" si="38"/>
        <v/>
      </c>
      <c r="AT127" s="147" t="str">
        <f t="shared" si="38"/>
        <v/>
      </c>
      <c r="AU127" s="147" t="str">
        <f t="shared" si="38"/>
        <v/>
      </c>
      <c r="AV127" s="147" t="str">
        <f t="shared" si="38"/>
        <v/>
      </c>
      <c r="AW127" s="147" t="str">
        <f t="shared" si="38"/>
        <v/>
      </c>
      <c r="AX127" s="147" t="str">
        <f t="shared" si="38"/>
        <v/>
      </c>
      <c r="AY127" s="147" t="str">
        <f t="shared" si="38"/>
        <v/>
      </c>
      <c r="AZ127" s="147" t="str">
        <f t="shared" si="38"/>
        <v/>
      </c>
      <c r="BA127" s="147" t="str">
        <f t="shared" si="45"/>
        <v/>
      </c>
      <c r="BB127" s="147" t="str">
        <f t="shared" si="45"/>
        <v/>
      </c>
      <c r="BC127" s="147" t="str">
        <f t="shared" si="45"/>
        <v/>
      </c>
      <c r="BD127" s="147" t="str">
        <f t="shared" si="45"/>
        <v/>
      </c>
      <c r="BE127" s="147" t="str">
        <f t="shared" si="45"/>
        <v/>
      </c>
    </row>
    <row r="128" spans="2:57">
      <c r="B128" s="140" t="s">
        <v>947</v>
      </c>
      <c r="C128" s="127" t="s">
        <v>948</v>
      </c>
      <c r="D128" s="128"/>
      <c r="E128" s="128"/>
      <c r="F128" s="128"/>
      <c r="G128" s="128"/>
      <c r="H128" s="128">
        <v>0</v>
      </c>
      <c r="I128" s="128">
        <v>0</v>
      </c>
      <c r="J128" s="128">
        <v>0</v>
      </c>
      <c r="K128" s="128">
        <v>0</v>
      </c>
      <c r="L128" s="128">
        <v>0</v>
      </c>
      <c r="M128" s="128">
        <v>0</v>
      </c>
      <c r="N128" s="128">
        <v>0</v>
      </c>
      <c r="O128" s="128">
        <v>0</v>
      </c>
      <c r="P128" s="128">
        <v>0</v>
      </c>
      <c r="Q128" s="128">
        <v>0</v>
      </c>
      <c r="R128" s="110">
        <v>0</v>
      </c>
      <c r="S128" s="110">
        <v>0</v>
      </c>
      <c r="T128" s="110">
        <v>0</v>
      </c>
      <c r="U128" s="110">
        <v>0</v>
      </c>
      <c r="V128" s="110">
        <v>0</v>
      </c>
      <c r="W128" s="158">
        <v>0</v>
      </c>
      <c r="X128" s="110"/>
      <c r="Z128" s="145" t="e">
        <f t="shared" si="43"/>
        <v>#DIV/0!</v>
      </c>
      <c r="AA128" s="145" t="e">
        <f t="shared" si="44"/>
        <v>#DIV/0!</v>
      </c>
      <c r="AB128" s="145" t="e">
        <f t="shared" si="40"/>
        <v>#DIV/0!</v>
      </c>
      <c r="AC128" s="145" t="e">
        <f t="shared" si="41"/>
        <v>#DIV/0!</v>
      </c>
      <c r="AD128" s="145">
        <f t="shared" si="42"/>
        <v>0</v>
      </c>
      <c r="AE128" s="145">
        <f t="shared" si="39"/>
        <v>0</v>
      </c>
      <c r="AF128" s="145">
        <f t="shared" si="39"/>
        <v>0</v>
      </c>
      <c r="AG128" s="145">
        <f t="shared" si="39"/>
        <v>0</v>
      </c>
      <c r="AH128" s="145">
        <f t="shared" si="39"/>
        <v>0</v>
      </c>
      <c r="AI128" s="145">
        <f t="shared" si="39"/>
        <v>0</v>
      </c>
      <c r="AJ128" s="145">
        <f t="shared" si="39"/>
        <v>0</v>
      </c>
      <c r="AK128" s="145">
        <f t="shared" si="39"/>
        <v>0</v>
      </c>
      <c r="AL128" s="145">
        <f t="shared" si="39"/>
        <v>0</v>
      </c>
      <c r="AM128" s="145">
        <f t="shared" si="39"/>
        <v>0</v>
      </c>
      <c r="AN128" s="145">
        <f t="shared" si="36"/>
        <v>0</v>
      </c>
      <c r="AO128" s="145">
        <f t="shared" si="36"/>
        <v>0</v>
      </c>
      <c r="AP128" s="133"/>
      <c r="AQ128" s="147" t="str">
        <f t="shared" si="38"/>
        <v/>
      </c>
      <c r="AR128" s="147" t="str">
        <f t="shared" si="38"/>
        <v/>
      </c>
      <c r="AS128" s="147" t="str">
        <f t="shared" si="38"/>
        <v/>
      </c>
      <c r="AT128" s="147" t="str">
        <f t="shared" si="38"/>
        <v/>
      </c>
      <c r="AU128" s="147" t="str">
        <f t="shared" si="38"/>
        <v/>
      </c>
      <c r="AV128" s="147" t="str">
        <f t="shared" si="38"/>
        <v/>
      </c>
      <c r="AW128" s="147" t="str">
        <f t="shared" si="38"/>
        <v/>
      </c>
      <c r="AX128" s="147" t="str">
        <f t="shared" si="38"/>
        <v/>
      </c>
      <c r="AY128" s="147" t="str">
        <f t="shared" si="38"/>
        <v/>
      </c>
      <c r="AZ128" s="147" t="str">
        <f t="shared" si="38"/>
        <v/>
      </c>
      <c r="BA128" s="147" t="str">
        <f t="shared" si="45"/>
        <v/>
      </c>
      <c r="BB128" s="147" t="str">
        <f t="shared" si="45"/>
        <v/>
      </c>
      <c r="BC128" s="147" t="str">
        <f t="shared" si="45"/>
        <v/>
      </c>
      <c r="BD128" s="147" t="str">
        <f t="shared" si="45"/>
        <v/>
      </c>
      <c r="BE128" s="147" t="str">
        <f t="shared" si="45"/>
        <v/>
      </c>
    </row>
    <row r="129" spans="2:57" s="136" customFormat="1">
      <c r="B129" s="154" t="s">
        <v>949</v>
      </c>
      <c r="C129" s="134" t="s">
        <v>950</v>
      </c>
      <c r="D129" s="135"/>
      <c r="E129" s="135"/>
      <c r="F129" s="135"/>
      <c r="G129" s="135"/>
      <c r="H129" s="135">
        <v>54.153697999999999</v>
      </c>
      <c r="I129" s="135">
        <v>144.75129562000001</v>
      </c>
      <c r="J129" s="135">
        <v>303.306944477</v>
      </c>
      <c r="K129" s="135">
        <v>455.88924959500002</v>
      </c>
      <c r="L129" s="135">
        <v>800.28388030500003</v>
      </c>
      <c r="M129" s="135">
        <v>1474.956147637</v>
      </c>
      <c r="N129" s="135">
        <v>2483.552688326</v>
      </c>
      <c r="O129" s="135">
        <v>3841.357726363</v>
      </c>
      <c r="P129" s="135">
        <v>5908.9163352149999</v>
      </c>
      <c r="Q129" s="135">
        <v>8983.0353313420001</v>
      </c>
      <c r="R129" s="111">
        <v>12143.592194352999</v>
      </c>
      <c r="S129" s="111">
        <v>15481.689846432</v>
      </c>
      <c r="T129" s="111">
        <v>20378.245999846</v>
      </c>
      <c r="U129" s="111">
        <v>23932.581517576</v>
      </c>
      <c r="V129" s="111">
        <v>23359.557967338002</v>
      </c>
      <c r="W129" s="155">
        <v>28121.576823855001</v>
      </c>
      <c r="X129" s="111"/>
      <c r="Z129" s="145" t="e">
        <f t="shared" si="43"/>
        <v>#DIV/0!</v>
      </c>
      <c r="AA129" s="145" t="e">
        <f t="shared" si="44"/>
        <v>#DIV/0!</v>
      </c>
      <c r="AB129" s="145" t="e">
        <f t="shared" si="40"/>
        <v>#DIV/0!</v>
      </c>
      <c r="AC129" s="145" t="e">
        <f t="shared" si="41"/>
        <v>#DIV/0!</v>
      </c>
      <c r="AD129" s="145">
        <f t="shared" si="42"/>
        <v>0.16856548083299192</v>
      </c>
      <c r="AE129" s="145">
        <f t="shared" si="39"/>
        <v>0.24142867734150378</v>
      </c>
      <c r="AF129" s="145">
        <f t="shared" si="39"/>
        <v>0.19744978283978321</v>
      </c>
      <c r="AG129" s="145">
        <f t="shared" si="39"/>
        <v>0.28585554816262942</v>
      </c>
      <c r="AH129" s="145">
        <f t="shared" si="39"/>
        <v>0.35857003030089646</v>
      </c>
      <c r="AI129" s="145">
        <f t="shared" si="39"/>
        <v>0.43289397977822935</v>
      </c>
      <c r="AJ129" s="145">
        <f t="shared" si="39"/>
        <v>0.34181584923703251</v>
      </c>
      <c r="AK129" s="145">
        <f t="shared" si="39"/>
        <v>0.25860304655376154</v>
      </c>
      <c r="AL129" s="145">
        <f t="shared" si="39"/>
        <v>0.25890563343058154</v>
      </c>
      <c r="AM129" s="145">
        <f t="shared" si="39"/>
        <v>0.31942484749427769</v>
      </c>
      <c r="AN129" s="145">
        <f t="shared" si="36"/>
        <v>0.29115671755582828</v>
      </c>
      <c r="AO129" s="145">
        <f t="shared" si="36"/>
        <v>0.33633269367049412</v>
      </c>
      <c r="AP129" s="146"/>
      <c r="AQ129" s="145" t="str">
        <f t="shared" si="38"/>
        <v/>
      </c>
      <c r="AR129" s="145" t="str">
        <f t="shared" si="38"/>
        <v/>
      </c>
      <c r="AS129" s="145" t="str">
        <f t="shared" si="38"/>
        <v/>
      </c>
      <c r="AT129" s="145" t="str">
        <f t="shared" si="38"/>
        <v/>
      </c>
      <c r="AU129" s="145">
        <f t="shared" si="38"/>
        <v>1.6729715784137218</v>
      </c>
      <c r="AV129" s="145">
        <f t="shared" si="38"/>
        <v>1.0953660081443353</v>
      </c>
      <c r="AW129" s="145">
        <f t="shared" si="38"/>
        <v>0.50306235282908429</v>
      </c>
      <c r="AX129" s="145">
        <f t="shared" si="38"/>
        <v>0.75543485839148672</v>
      </c>
      <c r="AY129" s="145">
        <f t="shared" si="38"/>
        <v>0.84304118068062595</v>
      </c>
      <c r="AZ129" s="145">
        <f t="shared" si="38"/>
        <v>0.68381459496599528</v>
      </c>
      <c r="BA129" s="145">
        <f t="shared" si="45"/>
        <v>0.54671883726058867</v>
      </c>
      <c r="BB129" s="145">
        <f t="shared" si="45"/>
        <v>0.53823641434445779</v>
      </c>
      <c r="BC129" s="145">
        <f t="shared" si="45"/>
        <v>0.52025089233475263</v>
      </c>
      <c r="BD129" s="145">
        <f t="shared" si="45"/>
        <v>0.35183618303089048</v>
      </c>
      <c r="BE129" s="145">
        <f t="shared" si="45"/>
        <v>0.27488551975841879</v>
      </c>
    </row>
    <row r="130" spans="2:57" s="136" customFormat="1">
      <c r="B130" s="154" t="s">
        <v>951</v>
      </c>
      <c r="C130" s="134" t="s">
        <v>952</v>
      </c>
      <c r="D130" s="135"/>
      <c r="E130" s="135"/>
      <c r="F130" s="135"/>
      <c r="G130" s="135"/>
      <c r="H130" s="135">
        <v>54.153697999999999</v>
      </c>
      <c r="I130" s="135">
        <v>144.75129562000001</v>
      </c>
      <c r="J130" s="135">
        <v>303.306944477</v>
      </c>
      <c r="K130" s="135">
        <v>455.88924959500002</v>
      </c>
      <c r="L130" s="135">
        <v>800.28388030500003</v>
      </c>
      <c r="M130" s="135">
        <v>1474.956147637</v>
      </c>
      <c r="N130" s="135">
        <v>2483.552688326</v>
      </c>
      <c r="O130" s="135">
        <v>3841.357726363</v>
      </c>
      <c r="P130" s="135">
        <v>5908.9163352149999</v>
      </c>
      <c r="Q130" s="135">
        <v>8983.0353313420001</v>
      </c>
      <c r="R130" s="111">
        <v>12143.592194352999</v>
      </c>
      <c r="S130" s="111">
        <v>15481.689846432</v>
      </c>
      <c r="T130" s="111">
        <v>20378.245999846</v>
      </c>
      <c r="U130" s="111">
        <v>23932.581517576</v>
      </c>
      <c r="V130" s="111">
        <v>23359.557967338002</v>
      </c>
      <c r="W130" s="155">
        <v>28121.576823855001</v>
      </c>
      <c r="X130" s="111"/>
      <c r="Z130" s="145" t="e">
        <f t="shared" si="43"/>
        <v>#DIV/0!</v>
      </c>
      <c r="AA130" s="145" t="e">
        <f t="shared" si="44"/>
        <v>#DIV/0!</v>
      </c>
      <c r="AB130" s="145" t="e">
        <f t="shared" si="40"/>
        <v>#DIV/0!</v>
      </c>
      <c r="AC130" s="145" t="e">
        <f t="shared" si="41"/>
        <v>#DIV/0!</v>
      </c>
      <c r="AD130" s="145">
        <f t="shared" si="42"/>
        <v>0.16856548083299192</v>
      </c>
      <c r="AE130" s="145">
        <f t="shared" si="39"/>
        <v>0.24142867734150378</v>
      </c>
      <c r="AF130" s="145">
        <f t="shared" si="39"/>
        <v>0.19744978283978321</v>
      </c>
      <c r="AG130" s="145">
        <f t="shared" si="39"/>
        <v>0.28585554816262942</v>
      </c>
      <c r="AH130" s="145">
        <f t="shared" si="39"/>
        <v>0.35857003030089646</v>
      </c>
      <c r="AI130" s="145">
        <f t="shared" si="39"/>
        <v>0.43289397977822935</v>
      </c>
      <c r="AJ130" s="145">
        <f t="shared" si="39"/>
        <v>0.34181584923703251</v>
      </c>
      <c r="AK130" s="145">
        <f t="shared" si="39"/>
        <v>0.25860304655376154</v>
      </c>
      <c r="AL130" s="145">
        <f t="shared" si="39"/>
        <v>0.25890563343058154</v>
      </c>
      <c r="AM130" s="145">
        <f t="shared" si="39"/>
        <v>0.31942484749427769</v>
      </c>
      <c r="AN130" s="145">
        <f t="shared" si="36"/>
        <v>0.29115671755582828</v>
      </c>
      <c r="AO130" s="145">
        <f t="shared" si="36"/>
        <v>0.33633269367049412</v>
      </c>
      <c r="AP130" s="146"/>
      <c r="AQ130" s="145" t="str">
        <f t="shared" si="38"/>
        <v/>
      </c>
      <c r="AR130" s="145" t="str">
        <f t="shared" si="38"/>
        <v/>
      </c>
      <c r="AS130" s="145" t="str">
        <f t="shared" si="38"/>
        <v/>
      </c>
      <c r="AT130" s="145" t="str">
        <f t="shared" si="38"/>
        <v/>
      </c>
      <c r="AU130" s="145">
        <f t="shared" si="38"/>
        <v>1.6729715784137218</v>
      </c>
      <c r="AV130" s="145">
        <f t="shared" si="38"/>
        <v>1.0953660081443353</v>
      </c>
      <c r="AW130" s="145">
        <f t="shared" ref="AW130:AZ153" si="46">IFERROR(K130/J130-1,"")</f>
        <v>0.50306235282908429</v>
      </c>
      <c r="AX130" s="145">
        <f t="shared" si="46"/>
        <v>0.75543485839148672</v>
      </c>
      <c r="AY130" s="145">
        <f t="shared" si="46"/>
        <v>0.84304118068062595</v>
      </c>
      <c r="AZ130" s="145">
        <f t="shared" si="46"/>
        <v>0.68381459496599528</v>
      </c>
      <c r="BA130" s="145">
        <f t="shared" si="45"/>
        <v>0.54671883726058867</v>
      </c>
      <c r="BB130" s="145">
        <f t="shared" si="45"/>
        <v>0.53823641434445779</v>
      </c>
      <c r="BC130" s="145">
        <f t="shared" si="45"/>
        <v>0.52025089233475263</v>
      </c>
      <c r="BD130" s="145">
        <f t="shared" si="45"/>
        <v>0.35183618303089048</v>
      </c>
      <c r="BE130" s="145">
        <f t="shared" si="45"/>
        <v>0.27488551975841879</v>
      </c>
    </row>
    <row r="131" spans="2:57">
      <c r="B131" s="140" t="s">
        <v>953</v>
      </c>
      <c r="C131" s="127" t="s">
        <v>954</v>
      </c>
      <c r="D131" s="128"/>
      <c r="E131" s="128"/>
      <c r="F131" s="128"/>
      <c r="G131" s="128"/>
      <c r="H131" s="128">
        <v>4.95</v>
      </c>
      <c r="I131" s="128">
        <v>7.6140400000000001</v>
      </c>
      <c r="J131" s="128">
        <v>98.343950000000007</v>
      </c>
      <c r="K131" s="128">
        <v>105.02667</v>
      </c>
      <c r="L131" s="128">
        <v>109.56704000000001</v>
      </c>
      <c r="M131" s="128">
        <v>1119.5677900000001</v>
      </c>
      <c r="N131" s="128">
        <v>1468.8897400000001</v>
      </c>
      <c r="O131" s="128">
        <v>1539.50927</v>
      </c>
      <c r="P131" s="128">
        <v>3169.8843700000002</v>
      </c>
      <c r="Q131" s="128">
        <v>4434.9617799999996</v>
      </c>
      <c r="R131" s="110">
        <v>4435.4617799999996</v>
      </c>
      <c r="S131" s="110">
        <v>4532.09987</v>
      </c>
      <c r="T131" s="110">
        <v>7130.6549500000001</v>
      </c>
      <c r="U131" s="110">
        <v>14638.792799999999</v>
      </c>
      <c r="V131" s="110">
        <v>14633.767159999999</v>
      </c>
      <c r="W131" s="158">
        <v>14622.441769999999</v>
      </c>
      <c r="X131" s="110"/>
      <c r="Z131" s="145" t="e">
        <f t="shared" si="43"/>
        <v>#DIV/0!</v>
      </c>
      <c r="AA131" s="145" t="e">
        <f t="shared" si="44"/>
        <v>#DIV/0!</v>
      </c>
      <c r="AB131" s="145" t="e">
        <f t="shared" si="40"/>
        <v>#DIV/0!</v>
      </c>
      <c r="AC131" s="145" t="e">
        <f t="shared" si="41"/>
        <v>#DIV/0!</v>
      </c>
      <c r="AD131" s="145">
        <f t="shared" si="42"/>
        <v>1.5407980635474054E-2</v>
      </c>
      <c r="AE131" s="145">
        <f t="shared" si="39"/>
        <v>1.2699351660734402E-2</v>
      </c>
      <c r="AF131" s="145">
        <f t="shared" si="39"/>
        <v>6.4020926407041032E-2</v>
      </c>
      <c r="AG131" s="145">
        <f t="shared" si="39"/>
        <v>6.5854714387796484E-2</v>
      </c>
      <c r="AH131" s="145">
        <f t="shared" si="39"/>
        <v>4.9091900786264124E-2</v>
      </c>
      <c r="AI131" s="145">
        <f t="shared" si="39"/>
        <v>0.32858885806271088</v>
      </c>
      <c r="AJ131" s="145">
        <f t="shared" si="39"/>
        <v>0.20216595213532182</v>
      </c>
      <c r="AK131" s="145">
        <f t="shared" si="39"/>
        <v>0.10364090401877241</v>
      </c>
      <c r="AL131" s="145">
        <f t="shared" si="39"/>
        <v>0.13889195144386626</v>
      </c>
      <c r="AM131" s="145">
        <f t="shared" si="39"/>
        <v>0.1577013713033916</v>
      </c>
      <c r="AN131" s="145">
        <f t="shared" si="36"/>
        <v>0.1063453442803904</v>
      </c>
      <c r="AO131" s="145">
        <f t="shared" si="36"/>
        <v>9.8457815159763956E-2</v>
      </c>
      <c r="AP131" s="133"/>
      <c r="AQ131" s="147" t="str">
        <f t="shared" ref="AQ131:AV153" si="47">IFERROR(E131/D131-1,"")</f>
        <v/>
      </c>
      <c r="AR131" s="147" t="str">
        <f t="shared" si="47"/>
        <v/>
      </c>
      <c r="AS131" s="147" t="str">
        <f t="shared" si="47"/>
        <v/>
      </c>
      <c r="AT131" s="147" t="str">
        <f t="shared" si="47"/>
        <v/>
      </c>
      <c r="AU131" s="147">
        <f t="shared" si="47"/>
        <v>0.538189898989899</v>
      </c>
      <c r="AV131" s="147">
        <f t="shared" si="47"/>
        <v>11.916132565628761</v>
      </c>
      <c r="AW131" s="147">
        <f t="shared" si="46"/>
        <v>6.7952527837248589E-2</v>
      </c>
      <c r="AX131" s="147">
        <f t="shared" si="46"/>
        <v>4.3230638465448834E-2</v>
      </c>
      <c r="AY131" s="147">
        <f t="shared" si="46"/>
        <v>9.2181074710058795</v>
      </c>
      <c r="AZ131" s="147">
        <f t="shared" si="46"/>
        <v>0.31201500536202453</v>
      </c>
      <c r="BA131" s="147">
        <f t="shared" si="45"/>
        <v>4.807680799785552E-2</v>
      </c>
      <c r="BB131" s="147">
        <f t="shared" si="45"/>
        <v>1.0590225936086766</v>
      </c>
      <c r="BC131" s="147">
        <f t="shared" si="45"/>
        <v>0.39909260475643138</v>
      </c>
      <c r="BD131" s="147">
        <f t="shared" si="45"/>
        <v>1.1274054316645632E-4</v>
      </c>
      <c r="BE131" s="147">
        <f t="shared" si="45"/>
        <v>2.1787605167911117E-2</v>
      </c>
    </row>
    <row r="132" spans="2:57">
      <c r="B132" s="140" t="s">
        <v>955</v>
      </c>
      <c r="C132" s="127" t="s">
        <v>956</v>
      </c>
      <c r="D132" s="128"/>
      <c r="E132" s="128"/>
      <c r="F132" s="128"/>
      <c r="G132" s="128"/>
      <c r="H132" s="128">
        <v>4.95</v>
      </c>
      <c r="I132" s="128">
        <v>7.6140400000000001</v>
      </c>
      <c r="J132" s="128">
        <v>98.343950000000007</v>
      </c>
      <c r="K132" s="128">
        <v>105.02667</v>
      </c>
      <c r="L132" s="128">
        <v>109.56704000000001</v>
      </c>
      <c r="M132" s="128">
        <v>1119.5677900000001</v>
      </c>
      <c r="N132" s="128">
        <v>1468.8897400000001</v>
      </c>
      <c r="O132" s="128">
        <v>1539.50927</v>
      </c>
      <c r="P132" s="128">
        <v>3169.8843700000002</v>
      </c>
      <c r="Q132" s="128">
        <v>4434.9617799999996</v>
      </c>
      <c r="R132" s="110">
        <v>4435.4617799999996</v>
      </c>
      <c r="S132" s="110">
        <v>4532.09987</v>
      </c>
      <c r="T132" s="110">
        <v>7130.6549500000001</v>
      </c>
      <c r="U132" s="110">
        <v>14638.792799999999</v>
      </c>
      <c r="V132" s="110">
        <v>14633.767159999999</v>
      </c>
      <c r="W132" s="158">
        <v>14622.441769999999</v>
      </c>
      <c r="X132" s="110"/>
      <c r="Z132" s="145" t="e">
        <f t="shared" si="43"/>
        <v>#DIV/0!</v>
      </c>
      <c r="AA132" s="145" t="e">
        <f t="shared" si="44"/>
        <v>#DIV/0!</v>
      </c>
      <c r="AB132" s="145" t="e">
        <f t="shared" si="40"/>
        <v>#DIV/0!</v>
      </c>
      <c r="AC132" s="145" t="e">
        <f t="shared" si="41"/>
        <v>#DIV/0!</v>
      </c>
      <c r="AD132" s="145">
        <f t="shared" si="42"/>
        <v>1.5407980635474054E-2</v>
      </c>
      <c r="AE132" s="145">
        <f t="shared" si="39"/>
        <v>1.2699351660734402E-2</v>
      </c>
      <c r="AF132" s="145">
        <f t="shared" si="39"/>
        <v>6.4020926407041032E-2</v>
      </c>
      <c r="AG132" s="145">
        <f t="shared" si="39"/>
        <v>6.5854714387796484E-2</v>
      </c>
      <c r="AH132" s="145">
        <f t="shared" si="39"/>
        <v>4.9091900786264124E-2</v>
      </c>
      <c r="AI132" s="145">
        <f t="shared" si="39"/>
        <v>0.32858885806271088</v>
      </c>
      <c r="AJ132" s="145">
        <f t="shared" si="39"/>
        <v>0.20216595213532182</v>
      </c>
      <c r="AK132" s="145">
        <f t="shared" si="39"/>
        <v>0.10364090401877241</v>
      </c>
      <c r="AL132" s="145">
        <f t="shared" si="39"/>
        <v>0.13889195144386626</v>
      </c>
      <c r="AM132" s="145">
        <f t="shared" si="39"/>
        <v>0.1577013713033916</v>
      </c>
      <c r="AN132" s="145">
        <f t="shared" si="36"/>
        <v>0.1063453442803904</v>
      </c>
      <c r="AO132" s="145">
        <f t="shared" si="36"/>
        <v>9.8457815159763956E-2</v>
      </c>
      <c r="AP132" s="133"/>
      <c r="AQ132" s="147" t="str">
        <f t="shared" si="47"/>
        <v/>
      </c>
      <c r="AR132" s="147" t="str">
        <f t="shared" si="47"/>
        <v/>
      </c>
      <c r="AS132" s="147" t="str">
        <f t="shared" si="47"/>
        <v/>
      </c>
      <c r="AT132" s="147" t="str">
        <f t="shared" si="47"/>
        <v/>
      </c>
      <c r="AU132" s="147">
        <f t="shared" si="47"/>
        <v>0.538189898989899</v>
      </c>
      <c r="AV132" s="147">
        <f t="shared" si="47"/>
        <v>11.916132565628761</v>
      </c>
      <c r="AW132" s="147">
        <f t="shared" si="46"/>
        <v>6.7952527837248589E-2</v>
      </c>
      <c r="AX132" s="147">
        <f t="shared" si="46"/>
        <v>4.3230638465448834E-2</v>
      </c>
      <c r="AY132" s="147">
        <f t="shared" si="46"/>
        <v>9.2181074710058795</v>
      </c>
      <c r="AZ132" s="147">
        <f t="shared" si="46"/>
        <v>0.31201500536202453</v>
      </c>
      <c r="BA132" s="147">
        <f t="shared" si="45"/>
        <v>4.807680799785552E-2</v>
      </c>
      <c r="BB132" s="147">
        <f t="shared" si="45"/>
        <v>1.0590225936086766</v>
      </c>
      <c r="BC132" s="147">
        <f t="shared" si="45"/>
        <v>0.39909260475643138</v>
      </c>
      <c r="BD132" s="147">
        <f t="shared" si="45"/>
        <v>1.1274054316645632E-4</v>
      </c>
      <c r="BE132" s="147">
        <f t="shared" si="45"/>
        <v>2.1787605167911117E-2</v>
      </c>
    </row>
    <row r="133" spans="2:57">
      <c r="B133" s="140" t="s">
        <v>939</v>
      </c>
      <c r="C133" s="127" t="s">
        <v>957</v>
      </c>
      <c r="D133" s="128"/>
      <c r="E133" s="128"/>
      <c r="F133" s="128"/>
      <c r="G133" s="128"/>
      <c r="H133" s="128">
        <v>0</v>
      </c>
      <c r="I133" s="128">
        <v>0</v>
      </c>
      <c r="J133" s="128">
        <v>0</v>
      </c>
      <c r="K133" s="128">
        <v>0</v>
      </c>
      <c r="L133" s="128">
        <v>0</v>
      </c>
      <c r="M133" s="128">
        <v>0</v>
      </c>
      <c r="N133" s="128">
        <v>0</v>
      </c>
      <c r="O133" s="128">
        <v>0</v>
      </c>
      <c r="P133" s="128">
        <v>0</v>
      </c>
      <c r="Q133" s="128">
        <v>0</v>
      </c>
      <c r="R133" s="110">
        <v>0</v>
      </c>
      <c r="S133" s="110">
        <v>0</v>
      </c>
      <c r="T133" s="110">
        <v>0</v>
      </c>
      <c r="U133" s="110">
        <v>0</v>
      </c>
      <c r="V133" s="110">
        <v>0</v>
      </c>
      <c r="W133" s="158">
        <v>0</v>
      </c>
      <c r="X133" s="110"/>
      <c r="Z133" s="145" t="e">
        <f t="shared" si="43"/>
        <v>#DIV/0!</v>
      </c>
      <c r="AA133" s="145" t="e">
        <f t="shared" si="44"/>
        <v>#DIV/0!</v>
      </c>
      <c r="AB133" s="145" t="e">
        <f t="shared" si="40"/>
        <v>#DIV/0!</v>
      </c>
      <c r="AC133" s="145" t="e">
        <f t="shared" si="41"/>
        <v>#DIV/0!</v>
      </c>
      <c r="AD133" s="145">
        <f t="shared" si="42"/>
        <v>0</v>
      </c>
      <c r="AE133" s="145">
        <f t="shared" si="39"/>
        <v>0</v>
      </c>
      <c r="AF133" s="145">
        <f t="shared" si="39"/>
        <v>0</v>
      </c>
      <c r="AG133" s="145">
        <f t="shared" si="39"/>
        <v>0</v>
      </c>
      <c r="AH133" s="145">
        <f t="shared" si="39"/>
        <v>0</v>
      </c>
      <c r="AI133" s="145">
        <f t="shared" si="39"/>
        <v>0</v>
      </c>
      <c r="AJ133" s="145">
        <f t="shared" si="39"/>
        <v>0</v>
      </c>
      <c r="AK133" s="145">
        <f t="shared" si="39"/>
        <v>0</v>
      </c>
      <c r="AL133" s="145">
        <f t="shared" si="39"/>
        <v>0</v>
      </c>
      <c r="AM133" s="145">
        <f t="shared" si="39"/>
        <v>0</v>
      </c>
      <c r="AN133" s="145">
        <f t="shared" si="36"/>
        <v>0</v>
      </c>
      <c r="AO133" s="145">
        <f t="shared" si="36"/>
        <v>0</v>
      </c>
      <c r="AP133" s="133"/>
      <c r="AQ133" s="147" t="str">
        <f t="shared" si="47"/>
        <v/>
      </c>
      <c r="AR133" s="147" t="str">
        <f t="shared" si="47"/>
        <v/>
      </c>
      <c r="AS133" s="147" t="str">
        <f t="shared" si="47"/>
        <v/>
      </c>
      <c r="AT133" s="147" t="str">
        <f t="shared" si="47"/>
        <v/>
      </c>
      <c r="AU133" s="147" t="str">
        <f t="shared" si="47"/>
        <v/>
      </c>
      <c r="AV133" s="147" t="str">
        <f t="shared" si="47"/>
        <v/>
      </c>
      <c r="AW133" s="147" t="str">
        <f t="shared" si="46"/>
        <v/>
      </c>
      <c r="AX133" s="147" t="str">
        <f t="shared" si="46"/>
        <v/>
      </c>
      <c r="AY133" s="147" t="str">
        <f t="shared" si="46"/>
        <v/>
      </c>
      <c r="AZ133" s="147" t="str">
        <f t="shared" si="46"/>
        <v/>
      </c>
      <c r="BA133" s="147" t="str">
        <f t="shared" si="45"/>
        <v/>
      </c>
      <c r="BB133" s="147" t="str">
        <f t="shared" si="45"/>
        <v/>
      </c>
      <c r="BC133" s="147" t="str">
        <f t="shared" si="45"/>
        <v/>
      </c>
      <c r="BD133" s="147" t="str">
        <f t="shared" si="45"/>
        <v/>
      </c>
      <c r="BE133" s="147" t="str">
        <f t="shared" si="45"/>
        <v/>
      </c>
    </row>
    <row r="134" spans="2:57">
      <c r="B134" s="140" t="s">
        <v>500</v>
      </c>
      <c r="C134" s="127" t="s">
        <v>958</v>
      </c>
      <c r="D134" s="128"/>
      <c r="E134" s="128"/>
      <c r="F134" s="128"/>
      <c r="G134" s="128"/>
      <c r="H134" s="128">
        <v>0</v>
      </c>
      <c r="I134" s="128">
        <v>46.47804</v>
      </c>
      <c r="J134" s="128">
        <v>46.47804</v>
      </c>
      <c r="K134" s="128">
        <v>78.485247000000001</v>
      </c>
      <c r="L134" s="128">
        <v>151.578368286</v>
      </c>
      <c r="M134" s="128">
        <v>36.717698286000001</v>
      </c>
      <c r="N134" s="128">
        <v>36.717698286000001</v>
      </c>
      <c r="O134" s="128">
        <v>36.717698286000001</v>
      </c>
      <c r="P134" s="128">
        <v>36.717698286000001</v>
      </c>
      <c r="Q134" s="128">
        <v>551.45199548599999</v>
      </c>
      <c r="R134" s="110">
        <v>555.20699548599998</v>
      </c>
      <c r="S134" s="110">
        <v>558.11043098599998</v>
      </c>
      <c r="T134" s="110">
        <v>558.11043098599998</v>
      </c>
      <c r="U134" s="110">
        <v>558.11043098599998</v>
      </c>
      <c r="V134" s="110">
        <v>558.11043098599998</v>
      </c>
      <c r="W134" s="158">
        <v>558.11043098599998</v>
      </c>
      <c r="X134" s="110"/>
      <c r="Z134" s="145" t="e">
        <f t="shared" si="43"/>
        <v>#DIV/0!</v>
      </c>
      <c r="AA134" s="145" t="e">
        <f t="shared" si="44"/>
        <v>#DIV/0!</v>
      </c>
      <c r="AB134" s="145" t="e">
        <f t="shared" si="40"/>
        <v>#DIV/0!</v>
      </c>
      <c r="AC134" s="145" t="e">
        <f t="shared" si="41"/>
        <v>#DIV/0!</v>
      </c>
      <c r="AD134" s="145">
        <f t="shared" si="42"/>
        <v>0</v>
      </c>
      <c r="AE134" s="145">
        <f t="shared" si="39"/>
        <v>7.752007796934085E-2</v>
      </c>
      <c r="AF134" s="145">
        <f t="shared" si="39"/>
        <v>3.0256738501794056E-2</v>
      </c>
      <c r="AG134" s="145">
        <f t="shared" si="39"/>
        <v>4.921248597942466E-2</v>
      </c>
      <c r="AH134" s="145">
        <f t="shared" si="39"/>
        <v>6.7915225392965947E-2</v>
      </c>
      <c r="AI134" s="145">
        <f t="shared" si="39"/>
        <v>1.0776503806426849E-2</v>
      </c>
      <c r="AJ134" s="145">
        <f t="shared" si="39"/>
        <v>5.0535232373579405E-3</v>
      </c>
      <c r="AK134" s="145">
        <f t="shared" si="39"/>
        <v>2.4718626370139169E-3</v>
      </c>
      <c r="AL134" s="145">
        <f t="shared" si="39"/>
        <v>1.6088261186226306E-3</v>
      </c>
      <c r="AM134" s="145">
        <f t="shared" si="39"/>
        <v>1.9608903122527905E-2</v>
      </c>
      <c r="AN134" s="145">
        <f t="shared" si="36"/>
        <v>1.3311732128563136E-2</v>
      </c>
      <c r="AO134" s="145">
        <f t="shared" si="36"/>
        <v>1.2124696107536522E-2</v>
      </c>
      <c r="AP134" s="133"/>
      <c r="AQ134" s="147" t="str">
        <f t="shared" si="47"/>
        <v/>
      </c>
      <c r="AR134" s="147" t="str">
        <f t="shared" si="47"/>
        <v/>
      </c>
      <c r="AS134" s="147" t="str">
        <f t="shared" si="47"/>
        <v/>
      </c>
      <c r="AT134" s="147" t="str">
        <f t="shared" si="47"/>
        <v/>
      </c>
      <c r="AU134" s="147" t="str">
        <f t="shared" si="47"/>
        <v/>
      </c>
      <c r="AV134" s="147">
        <f t="shared" si="47"/>
        <v>0</v>
      </c>
      <c r="AW134" s="147">
        <f t="shared" si="46"/>
        <v>0.68865225383858708</v>
      </c>
      <c r="AX134" s="147">
        <f t="shared" si="46"/>
        <v>0.93129758878123936</v>
      </c>
      <c r="AY134" s="147">
        <f t="shared" si="46"/>
        <v>-0.75776425949697135</v>
      </c>
      <c r="AZ134" s="147">
        <f t="shared" si="46"/>
        <v>0</v>
      </c>
      <c r="BA134" s="147">
        <f t="shared" si="45"/>
        <v>0</v>
      </c>
      <c r="BB134" s="147">
        <f t="shared" si="45"/>
        <v>0</v>
      </c>
      <c r="BC134" s="147">
        <f t="shared" si="45"/>
        <v>14.018697283001035</v>
      </c>
      <c r="BD134" s="147">
        <f t="shared" si="45"/>
        <v>6.8092962410819524E-3</v>
      </c>
      <c r="BE134" s="147">
        <f t="shared" si="45"/>
        <v>5.229464908774295E-3</v>
      </c>
    </row>
    <row r="135" spans="2:57">
      <c r="B135" s="140" t="s">
        <v>504</v>
      </c>
      <c r="C135" s="127" t="s">
        <v>959</v>
      </c>
      <c r="D135" s="128"/>
      <c r="E135" s="128"/>
      <c r="F135" s="128"/>
      <c r="G135" s="128"/>
      <c r="H135" s="128">
        <v>0</v>
      </c>
      <c r="I135" s="128">
        <v>0</v>
      </c>
      <c r="J135" s="128">
        <v>0</v>
      </c>
      <c r="K135" s="128">
        <v>0</v>
      </c>
      <c r="L135" s="128">
        <v>0</v>
      </c>
      <c r="M135" s="128">
        <v>0</v>
      </c>
      <c r="N135" s="128">
        <v>0</v>
      </c>
      <c r="O135" s="128">
        <v>0</v>
      </c>
      <c r="P135" s="128">
        <v>0</v>
      </c>
      <c r="Q135" s="128">
        <v>0</v>
      </c>
      <c r="R135" s="110">
        <v>0</v>
      </c>
      <c r="S135" s="110">
        <v>0</v>
      </c>
      <c r="T135" s="110">
        <v>0</v>
      </c>
      <c r="U135" s="110">
        <v>0</v>
      </c>
      <c r="V135" s="110">
        <v>0</v>
      </c>
      <c r="W135" s="158">
        <v>0</v>
      </c>
      <c r="X135" s="110"/>
      <c r="Z135" s="145" t="e">
        <f t="shared" si="43"/>
        <v>#DIV/0!</v>
      </c>
      <c r="AA135" s="145" t="e">
        <f t="shared" si="44"/>
        <v>#DIV/0!</v>
      </c>
      <c r="AB135" s="145" t="e">
        <f t="shared" si="40"/>
        <v>#DIV/0!</v>
      </c>
      <c r="AC135" s="145" t="e">
        <f t="shared" si="41"/>
        <v>#DIV/0!</v>
      </c>
      <c r="AD135" s="145">
        <f t="shared" si="42"/>
        <v>0</v>
      </c>
      <c r="AE135" s="145">
        <f t="shared" si="39"/>
        <v>0</v>
      </c>
      <c r="AF135" s="145">
        <f t="shared" si="39"/>
        <v>0</v>
      </c>
      <c r="AG135" s="145">
        <f t="shared" si="39"/>
        <v>0</v>
      </c>
      <c r="AH135" s="145">
        <f t="shared" si="39"/>
        <v>0</v>
      </c>
      <c r="AI135" s="145">
        <f t="shared" si="39"/>
        <v>0</v>
      </c>
      <c r="AJ135" s="145">
        <f t="shared" si="39"/>
        <v>0</v>
      </c>
      <c r="AK135" s="145">
        <f t="shared" si="39"/>
        <v>0</v>
      </c>
      <c r="AL135" s="145">
        <f t="shared" si="39"/>
        <v>0</v>
      </c>
      <c r="AM135" s="145">
        <f t="shared" si="39"/>
        <v>0</v>
      </c>
      <c r="AN135" s="145">
        <f t="shared" si="36"/>
        <v>0</v>
      </c>
      <c r="AO135" s="145">
        <f t="shared" si="36"/>
        <v>0</v>
      </c>
      <c r="AP135" s="133"/>
      <c r="AQ135" s="147" t="str">
        <f t="shared" si="47"/>
        <v/>
      </c>
      <c r="AR135" s="147" t="str">
        <f t="shared" si="47"/>
        <v/>
      </c>
      <c r="AS135" s="147" t="str">
        <f t="shared" si="47"/>
        <v/>
      </c>
      <c r="AT135" s="147" t="str">
        <f t="shared" si="47"/>
        <v/>
      </c>
      <c r="AU135" s="147" t="str">
        <f t="shared" si="47"/>
        <v/>
      </c>
      <c r="AV135" s="147" t="str">
        <f t="shared" si="47"/>
        <v/>
      </c>
      <c r="AW135" s="147" t="str">
        <f t="shared" si="46"/>
        <v/>
      </c>
      <c r="AX135" s="147" t="str">
        <f t="shared" si="46"/>
        <v/>
      </c>
      <c r="AY135" s="147" t="str">
        <f t="shared" si="46"/>
        <v/>
      </c>
      <c r="AZ135" s="147" t="str">
        <f t="shared" si="46"/>
        <v/>
      </c>
      <c r="BA135" s="147" t="str">
        <f t="shared" si="45"/>
        <v/>
      </c>
      <c r="BB135" s="147" t="str">
        <f t="shared" si="45"/>
        <v/>
      </c>
      <c r="BC135" s="147" t="str">
        <f t="shared" si="45"/>
        <v/>
      </c>
      <c r="BD135" s="147" t="str">
        <f t="shared" si="45"/>
        <v/>
      </c>
      <c r="BE135" s="147" t="str">
        <f t="shared" si="45"/>
        <v/>
      </c>
    </row>
    <row r="136" spans="2:57">
      <c r="B136" s="140" t="s">
        <v>502</v>
      </c>
      <c r="C136" s="127" t="s">
        <v>960</v>
      </c>
      <c r="D136" s="128"/>
      <c r="E136" s="128"/>
      <c r="F136" s="128"/>
      <c r="G136" s="128"/>
      <c r="H136" s="128">
        <v>1.1304959999999999</v>
      </c>
      <c r="I136" s="128">
        <v>1.130494084</v>
      </c>
      <c r="J136" s="128">
        <v>1.130494084</v>
      </c>
      <c r="K136" s="128">
        <v>1.130494084</v>
      </c>
      <c r="L136" s="128">
        <v>1.130494084</v>
      </c>
      <c r="M136" s="128">
        <v>1.130494084</v>
      </c>
      <c r="N136" s="128">
        <v>1.130494084</v>
      </c>
      <c r="O136" s="128">
        <v>1.130494084</v>
      </c>
      <c r="P136" s="128">
        <v>1.130494084</v>
      </c>
      <c r="Q136" s="128">
        <v>1.130494084</v>
      </c>
      <c r="R136" s="110">
        <v>1.130494084</v>
      </c>
      <c r="S136" s="110">
        <v>0</v>
      </c>
      <c r="T136" s="110">
        <v>0</v>
      </c>
      <c r="U136" s="110">
        <v>0</v>
      </c>
      <c r="V136" s="110">
        <v>0</v>
      </c>
      <c r="W136" s="158">
        <v>0</v>
      </c>
      <c r="X136" s="110"/>
      <c r="Z136" s="145" t="e">
        <f t="shared" si="43"/>
        <v>#DIV/0!</v>
      </c>
      <c r="AA136" s="145" t="e">
        <f t="shared" si="44"/>
        <v>#DIV/0!</v>
      </c>
      <c r="AB136" s="145" t="e">
        <f t="shared" si="40"/>
        <v>#DIV/0!</v>
      </c>
      <c r="AC136" s="145" t="e">
        <f t="shared" si="41"/>
        <v>#DIV/0!</v>
      </c>
      <c r="AD136" s="145">
        <f t="shared" si="42"/>
        <v>3.5189213083799747E-3</v>
      </c>
      <c r="AE136" s="145">
        <f t="shared" si="39"/>
        <v>1.8855353955450479E-3</v>
      </c>
      <c r="AF136" s="145">
        <f t="shared" si="39"/>
        <v>7.3594032531090379E-4</v>
      </c>
      <c r="AG136" s="145">
        <f t="shared" si="39"/>
        <v>7.0885199939133177E-4</v>
      </c>
      <c r="AH136" s="145">
        <f t="shared" si="39"/>
        <v>5.0652188296030026E-4</v>
      </c>
      <c r="AI136" s="145">
        <f t="shared" si="39"/>
        <v>3.3179568350051434E-4</v>
      </c>
      <c r="AJ136" s="145">
        <f t="shared" si="39"/>
        <v>1.5559194584285712E-4</v>
      </c>
      <c r="AK136" s="145">
        <f t="shared" si="39"/>
        <v>7.6105698833261337E-5</v>
      </c>
      <c r="AL136" s="145">
        <f t="shared" si="39"/>
        <v>4.9533835022034585E-5</v>
      </c>
      <c r="AM136" s="145">
        <f t="shared" si="39"/>
        <v>4.0198873438131768E-5</v>
      </c>
      <c r="AN136" s="145">
        <f t="shared" si="36"/>
        <v>2.7104907793822674E-5</v>
      </c>
      <c r="AO136" s="145">
        <f t="shared" si="36"/>
        <v>0</v>
      </c>
      <c r="AP136" s="133"/>
      <c r="AQ136" s="147" t="str">
        <f t="shared" si="47"/>
        <v/>
      </c>
      <c r="AR136" s="147" t="str">
        <f t="shared" si="47"/>
        <v/>
      </c>
      <c r="AS136" s="147" t="str">
        <f t="shared" si="47"/>
        <v/>
      </c>
      <c r="AT136" s="147" t="str">
        <f t="shared" si="47"/>
        <v/>
      </c>
      <c r="AU136" s="147">
        <f t="shared" si="47"/>
        <v>-1.6948312953068978E-6</v>
      </c>
      <c r="AV136" s="147">
        <f t="shared" si="47"/>
        <v>0</v>
      </c>
      <c r="AW136" s="147">
        <f t="shared" si="46"/>
        <v>0</v>
      </c>
      <c r="AX136" s="147">
        <f t="shared" si="46"/>
        <v>0</v>
      </c>
      <c r="AY136" s="147">
        <f t="shared" si="46"/>
        <v>0</v>
      </c>
      <c r="AZ136" s="147">
        <f t="shared" si="46"/>
        <v>0</v>
      </c>
      <c r="BA136" s="147">
        <f t="shared" si="45"/>
        <v>0</v>
      </c>
      <c r="BB136" s="147">
        <f t="shared" si="45"/>
        <v>0</v>
      </c>
      <c r="BC136" s="147">
        <f t="shared" si="45"/>
        <v>0</v>
      </c>
      <c r="BD136" s="147">
        <f t="shared" si="45"/>
        <v>0</v>
      </c>
      <c r="BE136" s="147">
        <f t="shared" si="45"/>
        <v>-1</v>
      </c>
    </row>
    <row r="137" spans="2:57">
      <c r="B137" s="140" t="s">
        <v>505</v>
      </c>
      <c r="C137" s="127" t="s">
        <v>961</v>
      </c>
      <c r="D137" s="128"/>
      <c r="E137" s="128"/>
      <c r="F137" s="128"/>
      <c r="G137" s="128"/>
      <c r="H137" s="128">
        <v>0</v>
      </c>
      <c r="I137" s="128">
        <v>0</v>
      </c>
      <c r="J137" s="128">
        <v>0</v>
      </c>
      <c r="K137" s="128">
        <v>-11.159889</v>
      </c>
      <c r="L137" s="128">
        <v>0</v>
      </c>
      <c r="M137" s="128">
        <v>-0.30039450000000001</v>
      </c>
      <c r="N137" s="128">
        <v>-2.4542945</v>
      </c>
      <c r="O137" s="128">
        <v>-7.9164499999999999E-2</v>
      </c>
      <c r="P137" s="128">
        <v>-7.9164499999999999E-2</v>
      </c>
      <c r="Q137" s="128">
        <v>-0.80886449999999999</v>
      </c>
      <c r="R137" s="110">
        <v>-5.6589245000000004</v>
      </c>
      <c r="S137" s="110">
        <v>-6.0409300000000004</v>
      </c>
      <c r="T137" s="110">
        <v>-2.3199999999999998</v>
      </c>
      <c r="U137" s="110">
        <v>-5.0256400000000001</v>
      </c>
      <c r="V137" s="110">
        <v>-9.7832799999999995</v>
      </c>
      <c r="W137" s="158">
        <v>-7.5996800000000002</v>
      </c>
      <c r="X137" s="110"/>
      <c r="Z137" s="145" t="e">
        <f t="shared" si="43"/>
        <v>#DIV/0!</v>
      </c>
      <c r="AA137" s="145" t="e">
        <f t="shared" si="44"/>
        <v>#DIV/0!</v>
      </c>
      <c r="AB137" s="145" t="e">
        <f t="shared" si="40"/>
        <v>#DIV/0!</v>
      </c>
      <c r="AC137" s="145" t="e">
        <f t="shared" si="41"/>
        <v>#DIV/0!</v>
      </c>
      <c r="AD137" s="145">
        <f t="shared" si="42"/>
        <v>0</v>
      </c>
      <c r="AE137" s="145">
        <f t="shared" si="39"/>
        <v>0</v>
      </c>
      <c r="AF137" s="145">
        <f t="shared" si="39"/>
        <v>0</v>
      </c>
      <c r="AG137" s="145">
        <f t="shared" si="39"/>
        <v>-6.9975683575849035E-3</v>
      </c>
      <c r="AH137" s="145">
        <f t="shared" ref="AH137:AO153" si="48">L137/L$153</f>
        <v>0</v>
      </c>
      <c r="AI137" s="145">
        <f t="shared" si="48"/>
        <v>-8.8164635143101963E-5</v>
      </c>
      <c r="AJ137" s="145">
        <f t="shared" si="48"/>
        <v>-3.3778899184971065E-4</v>
      </c>
      <c r="AK137" s="145">
        <f t="shared" si="48"/>
        <v>-5.3294127590372402E-6</v>
      </c>
      <c r="AL137" s="145">
        <f t="shared" si="48"/>
        <v>-3.4686791714355023E-6</v>
      </c>
      <c r="AM137" s="145">
        <f t="shared" si="48"/>
        <v>-2.8762151102152722E-5</v>
      </c>
      <c r="AN137" s="145">
        <f t="shared" si="48"/>
        <v>-1.3567928302816673E-4</v>
      </c>
      <c r="AO137" s="145">
        <f t="shared" si="48"/>
        <v>-1.3123646574299185E-4</v>
      </c>
      <c r="AP137" s="133"/>
      <c r="AQ137" s="147" t="str">
        <f t="shared" si="47"/>
        <v/>
      </c>
      <c r="AR137" s="147" t="str">
        <f t="shared" si="47"/>
        <v/>
      </c>
      <c r="AS137" s="147" t="str">
        <f t="shared" si="47"/>
        <v/>
      </c>
      <c r="AT137" s="147" t="str">
        <f t="shared" si="47"/>
        <v/>
      </c>
      <c r="AU137" s="147" t="str">
        <f t="shared" si="47"/>
        <v/>
      </c>
      <c r="AV137" s="147" t="str">
        <f t="shared" si="47"/>
        <v/>
      </c>
      <c r="AW137" s="147" t="str">
        <f t="shared" si="46"/>
        <v/>
      </c>
      <c r="AX137" s="147">
        <f t="shared" si="46"/>
        <v>-1</v>
      </c>
      <c r="AY137" s="147" t="str">
        <f t="shared" si="46"/>
        <v/>
      </c>
      <c r="AZ137" s="147">
        <f t="shared" si="46"/>
        <v>7.1702378039544659</v>
      </c>
      <c r="BA137" s="147">
        <f t="shared" si="45"/>
        <v>-0.96774449846992694</v>
      </c>
      <c r="BB137" s="147">
        <f t="shared" si="45"/>
        <v>0</v>
      </c>
      <c r="BC137" s="147">
        <f t="shared" si="45"/>
        <v>9.2175154267379948</v>
      </c>
      <c r="BD137" s="147">
        <f t="shared" si="45"/>
        <v>5.9961340867351707</v>
      </c>
      <c r="BE137" s="147">
        <f t="shared" si="45"/>
        <v>6.7504964945193979E-2</v>
      </c>
    </row>
    <row r="138" spans="2:57">
      <c r="B138" s="140" t="s">
        <v>962</v>
      </c>
      <c r="C138" s="127" t="s">
        <v>963</v>
      </c>
      <c r="D138" s="128"/>
      <c r="E138" s="128"/>
      <c r="F138" s="128"/>
      <c r="G138" s="128"/>
      <c r="H138" s="128">
        <v>0</v>
      </c>
      <c r="I138" s="128">
        <v>0</v>
      </c>
      <c r="J138" s="128">
        <v>0</v>
      </c>
      <c r="K138" s="128">
        <v>0</v>
      </c>
      <c r="L138" s="128">
        <v>0</v>
      </c>
      <c r="M138" s="128">
        <v>0</v>
      </c>
      <c r="N138" s="128">
        <v>0</v>
      </c>
      <c r="O138" s="128">
        <v>0</v>
      </c>
      <c r="P138" s="128">
        <v>0</v>
      </c>
      <c r="Q138" s="128">
        <v>0</v>
      </c>
      <c r="R138" s="110">
        <v>0</v>
      </c>
      <c r="S138" s="110">
        <v>0</v>
      </c>
      <c r="T138" s="110">
        <v>0</v>
      </c>
      <c r="U138" s="110">
        <v>0</v>
      </c>
      <c r="V138" s="110">
        <v>0</v>
      </c>
      <c r="W138" s="158">
        <v>0</v>
      </c>
      <c r="X138" s="110"/>
      <c r="Z138" s="145" t="e">
        <f t="shared" si="43"/>
        <v>#DIV/0!</v>
      </c>
      <c r="AA138" s="145" t="e">
        <f t="shared" si="44"/>
        <v>#DIV/0!</v>
      </c>
      <c r="AB138" s="145" t="e">
        <f t="shared" si="40"/>
        <v>#DIV/0!</v>
      </c>
      <c r="AC138" s="145" t="e">
        <f t="shared" si="41"/>
        <v>#DIV/0!</v>
      </c>
      <c r="AD138" s="145">
        <f t="shared" si="42"/>
        <v>0</v>
      </c>
      <c r="AE138" s="145">
        <f t="shared" ref="AE138:AG142" si="49">I138/I$153</f>
        <v>0</v>
      </c>
      <c r="AF138" s="145">
        <f t="shared" si="49"/>
        <v>0</v>
      </c>
      <c r="AG138" s="145">
        <f t="shared" si="49"/>
        <v>0</v>
      </c>
      <c r="AH138" s="145">
        <f t="shared" si="48"/>
        <v>0</v>
      </c>
      <c r="AI138" s="145">
        <f t="shared" si="48"/>
        <v>0</v>
      </c>
      <c r="AJ138" s="145">
        <f t="shared" si="48"/>
        <v>0</v>
      </c>
      <c r="AK138" s="145">
        <f t="shared" si="48"/>
        <v>0</v>
      </c>
      <c r="AL138" s="145">
        <f t="shared" si="48"/>
        <v>0</v>
      </c>
      <c r="AM138" s="145">
        <f t="shared" si="48"/>
        <v>0</v>
      </c>
      <c r="AN138" s="145">
        <f t="shared" si="48"/>
        <v>0</v>
      </c>
      <c r="AO138" s="145">
        <f t="shared" si="48"/>
        <v>0</v>
      </c>
      <c r="AP138" s="133"/>
      <c r="AQ138" s="147" t="str">
        <f t="shared" si="47"/>
        <v/>
      </c>
      <c r="AR138" s="147" t="str">
        <f t="shared" si="47"/>
        <v/>
      </c>
      <c r="AS138" s="147" t="str">
        <f t="shared" si="47"/>
        <v/>
      </c>
      <c r="AT138" s="147" t="str">
        <f t="shared" si="47"/>
        <v/>
      </c>
      <c r="AU138" s="147" t="str">
        <f t="shared" si="47"/>
        <v/>
      </c>
      <c r="AV138" s="147" t="str">
        <f t="shared" si="47"/>
        <v/>
      </c>
      <c r="AW138" s="147" t="str">
        <f t="shared" si="46"/>
        <v/>
      </c>
      <c r="AX138" s="147" t="str">
        <f t="shared" si="46"/>
        <v/>
      </c>
      <c r="AY138" s="147" t="str">
        <f t="shared" si="46"/>
        <v/>
      </c>
      <c r="AZ138" s="147" t="str">
        <f t="shared" si="46"/>
        <v/>
      </c>
      <c r="BA138" s="147" t="str">
        <f t="shared" si="45"/>
        <v/>
      </c>
      <c r="BB138" s="147" t="str">
        <f t="shared" si="45"/>
        <v/>
      </c>
      <c r="BC138" s="147" t="str">
        <f t="shared" si="45"/>
        <v/>
      </c>
      <c r="BD138" s="147" t="str">
        <f t="shared" si="45"/>
        <v/>
      </c>
      <c r="BE138" s="147" t="str">
        <f t="shared" si="45"/>
        <v/>
      </c>
    </row>
    <row r="139" spans="2:57">
      <c r="B139" s="140" t="s">
        <v>510</v>
      </c>
      <c r="C139" s="127" t="s">
        <v>964</v>
      </c>
      <c r="D139" s="128"/>
      <c r="E139" s="128"/>
      <c r="F139" s="128"/>
      <c r="G139" s="128"/>
      <c r="H139" s="128">
        <v>0</v>
      </c>
      <c r="I139" s="128">
        <v>0</v>
      </c>
      <c r="J139" s="128">
        <v>0</v>
      </c>
      <c r="K139" s="128">
        <v>0</v>
      </c>
      <c r="L139" s="128">
        <v>0</v>
      </c>
      <c r="M139" s="128">
        <v>0</v>
      </c>
      <c r="N139" s="128">
        <v>0</v>
      </c>
      <c r="O139" s="128">
        <v>0</v>
      </c>
      <c r="P139" s="128">
        <v>-8.6063365000000003E-2</v>
      </c>
      <c r="Q139" s="128">
        <v>0.446572898</v>
      </c>
      <c r="R139" s="110">
        <v>-2.8377933000000001E-2</v>
      </c>
      <c r="S139" s="110">
        <v>-1.443756225</v>
      </c>
      <c r="T139" s="110">
        <v>5.3884252989999997</v>
      </c>
      <c r="U139" s="110">
        <v>2.2616030899999999</v>
      </c>
      <c r="V139" s="110">
        <v>3.7390303060000001</v>
      </c>
      <c r="W139" s="158">
        <v>2.4583846290000002</v>
      </c>
      <c r="X139" s="110"/>
      <c r="Z139" s="145" t="e">
        <f t="shared" si="43"/>
        <v>#DIV/0!</v>
      </c>
      <c r="AA139" s="145" t="e">
        <f t="shared" si="44"/>
        <v>#DIV/0!</v>
      </c>
      <c r="AB139" s="145" t="e">
        <f t="shared" si="40"/>
        <v>#DIV/0!</v>
      </c>
      <c r="AC139" s="145" t="e">
        <f t="shared" si="41"/>
        <v>#DIV/0!</v>
      </c>
      <c r="AD139" s="145">
        <f t="shared" si="42"/>
        <v>0</v>
      </c>
      <c r="AE139" s="145">
        <f t="shared" si="49"/>
        <v>0</v>
      </c>
      <c r="AF139" s="145">
        <f t="shared" si="49"/>
        <v>0</v>
      </c>
      <c r="AG139" s="145">
        <f t="shared" si="49"/>
        <v>0</v>
      </c>
      <c r="AH139" s="145">
        <f t="shared" si="48"/>
        <v>0</v>
      </c>
      <c r="AI139" s="145">
        <f t="shared" si="48"/>
        <v>0</v>
      </c>
      <c r="AJ139" s="145">
        <f t="shared" si="48"/>
        <v>0</v>
      </c>
      <c r="AK139" s="145">
        <f t="shared" si="48"/>
        <v>0</v>
      </c>
      <c r="AL139" s="145">
        <f t="shared" si="48"/>
        <v>-3.7709604885921241E-6</v>
      </c>
      <c r="AM139" s="145">
        <f t="shared" si="48"/>
        <v>1.5879541221554703E-5</v>
      </c>
      <c r="AN139" s="145">
        <f t="shared" si="48"/>
        <v>-6.8039388107428406E-7</v>
      </c>
      <c r="AO139" s="145">
        <f t="shared" si="48"/>
        <v>-3.1364949496756915E-5</v>
      </c>
      <c r="AP139" s="133"/>
      <c r="AQ139" s="147" t="str">
        <f t="shared" si="47"/>
        <v/>
      </c>
      <c r="AR139" s="147" t="str">
        <f t="shared" si="47"/>
        <v/>
      </c>
      <c r="AS139" s="147" t="str">
        <f t="shared" si="47"/>
        <v/>
      </c>
      <c r="AT139" s="147" t="str">
        <f t="shared" si="47"/>
        <v/>
      </c>
      <c r="AU139" s="147" t="str">
        <f t="shared" si="47"/>
        <v/>
      </c>
      <c r="AV139" s="147" t="str">
        <f t="shared" si="47"/>
        <v/>
      </c>
      <c r="AW139" s="147" t="str">
        <f t="shared" si="46"/>
        <v/>
      </c>
      <c r="AX139" s="147" t="str">
        <f t="shared" si="46"/>
        <v/>
      </c>
      <c r="AY139" s="147" t="str">
        <f t="shared" si="46"/>
        <v/>
      </c>
      <c r="AZ139" s="147" t="str">
        <f t="shared" si="46"/>
        <v/>
      </c>
      <c r="BA139" s="147" t="str">
        <f t="shared" si="45"/>
        <v/>
      </c>
      <c r="BB139" s="147" t="str">
        <f t="shared" si="45"/>
        <v/>
      </c>
      <c r="BC139" s="147">
        <f t="shared" si="45"/>
        <v>-6.1888849337926768</v>
      </c>
      <c r="BD139" s="147">
        <f t="shared" si="45"/>
        <v>-1.0635460260286553</v>
      </c>
      <c r="BE139" s="147">
        <f t="shared" si="45"/>
        <v>49.876017819902529</v>
      </c>
    </row>
    <row r="140" spans="2:57">
      <c r="B140" s="140" t="s">
        <v>965</v>
      </c>
      <c r="C140" s="127" t="s">
        <v>966</v>
      </c>
      <c r="D140" s="128"/>
      <c r="E140" s="128"/>
      <c r="F140" s="128"/>
      <c r="G140" s="128"/>
      <c r="H140" s="128">
        <v>0</v>
      </c>
      <c r="I140" s="128">
        <v>0</v>
      </c>
      <c r="J140" s="128">
        <v>0</v>
      </c>
      <c r="K140" s="128">
        <v>0</v>
      </c>
      <c r="L140" s="128">
        <v>0</v>
      </c>
      <c r="M140" s="128">
        <v>0</v>
      </c>
      <c r="N140" s="128">
        <v>0</v>
      </c>
      <c r="O140" s="128">
        <v>0</v>
      </c>
      <c r="P140" s="128">
        <v>0</v>
      </c>
      <c r="Q140" s="128">
        <v>0</v>
      </c>
      <c r="R140" s="110">
        <v>0</v>
      </c>
      <c r="S140" s="110">
        <v>0</v>
      </c>
      <c r="T140" s="110">
        <v>0</v>
      </c>
      <c r="U140" s="110">
        <v>0</v>
      </c>
      <c r="V140" s="110">
        <v>0</v>
      </c>
      <c r="W140" s="158">
        <v>0</v>
      </c>
      <c r="X140" s="110"/>
      <c r="Z140" s="145" t="e">
        <f t="shared" si="43"/>
        <v>#DIV/0!</v>
      </c>
      <c r="AA140" s="145" t="e">
        <f t="shared" si="44"/>
        <v>#DIV/0!</v>
      </c>
      <c r="AB140" s="145" t="e">
        <f t="shared" si="40"/>
        <v>#DIV/0!</v>
      </c>
      <c r="AC140" s="145" t="e">
        <f t="shared" si="41"/>
        <v>#DIV/0!</v>
      </c>
      <c r="AD140" s="145">
        <f t="shared" si="42"/>
        <v>0</v>
      </c>
      <c r="AE140" s="145">
        <f t="shared" si="49"/>
        <v>0</v>
      </c>
      <c r="AF140" s="145">
        <f t="shared" si="49"/>
        <v>0</v>
      </c>
      <c r="AG140" s="145">
        <f t="shared" si="49"/>
        <v>0</v>
      </c>
      <c r="AH140" s="145">
        <f t="shared" si="48"/>
        <v>0</v>
      </c>
      <c r="AI140" s="145">
        <f t="shared" si="48"/>
        <v>0</v>
      </c>
      <c r="AJ140" s="145">
        <f t="shared" si="48"/>
        <v>0</v>
      </c>
      <c r="AK140" s="145">
        <f t="shared" si="48"/>
        <v>0</v>
      </c>
      <c r="AL140" s="145">
        <f t="shared" si="48"/>
        <v>0</v>
      </c>
      <c r="AM140" s="145">
        <f t="shared" si="48"/>
        <v>0</v>
      </c>
      <c r="AN140" s="145">
        <f t="shared" si="48"/>
        <v>0</v>
      </c>
      <c r="AO140" s="145">
        <f t="shared" si="48"/>
        <v>0</v>
      </c>
      <c r="AP140" s="133"/>
      <c r="AQ140" s="147" t="str">
        <f t="shared" si="47"/>
        <v/>
      </c>
      <c r="AR140" s="147" t="str">
        <f t="shared" si="47"/>
        <v/>
      </c>
      <c r="AS140" s="147" t="str">
        <f t="shared" si="47"/>
        <v/>
      </c>
      <c r="AT140" s="147" t="str">
        <f t="shared" si="47"/>
        <v/>
      </c>
      <c r="AU140" s="147" t="str">
        <f t="shared" si="47"/>
        <v/>
      </c>
      <c r="AV140" s="147" t="str">
        <f t="shared" si="47"/>
        <v/>
      </c>
      <c r="AW140" s="147" t="str">
        <f t="shared" si="46"/>
        <v/>
      </c>
      <c r="AX140" s="147" t="str">
        <f t="shared" si="46"/>
        <v/>
      </c>
      <c r="AY140" s="147" t="str">
        <f t="shared" si="46"/>
        <v/>
      </c>
      <c r="AZ140" s="147" t="str">
        <f t="shared" si="46"/>
        <v/>
      </c>
      <c r="BA140" s="147" t="str">
        <f t="shared" si="45"/>
        <v/>
      </c>
      <c r="BB140" s="147" t="str">
        <f t="shared" si="45"/>
        <v/>
      </c>
      <c r="BC140" s="147" t="str">
        <f t="shared" si="45"/>
        <v/>
      </c>
      <c r="BD140" s="147" t="str">
        <f t="shared" si="45"/>
        <v/>
      </c>
      <c r="BE140" s="147" t="str">
        <f t="shared" si="45"/>
        <v/>
      </c>
    </row>
    <row r="141" spans="2:57">
      <c r="B141" s="140" t="s">
        <v>967</v>
      </c>
      <c r="C141" s="127" t="s">
        <v>968</v>
      </c>
      <c r="D141" s="128"/>
      <c r="E141" s="128"/>
      <c r="F141" s="128"/>
      <c r="G141" s="128"/>
      <c r="H141" s="128">
        <v>0</v>
      </c>
      <c r="I141" s="128">
        <v>0</v>
      </c>
      <c r="J141" s="128">
        <v>0</v>
      </c>
      <c r="K141" s="128">
        <v>0</v>
      </c>
      <c r="L141" s="128">
        <v>0</v>
      </c>
      <c r="M141" s="128">
        <v>0</v>
      </c>
      <c r="N141" s="128">
        <v>0</v>
      </c>
      <c r="O141" s="128">
        <v>0</v>
      </c>
      <c r="P141" s="128">
        <v>0</v>
      </c>
      <c r="Q141" s="128">
        <v>0</v>
      </c>
      <c r="R141" s="110">
        <v>0</v>
      </c>
      <c r="S141" s="110">
        <v>0</v>
      </c>
      <c r="T141" s="110">
        <v>0</v>
      </c>
      <c r="U141" s="110">
        <v>0</v>
      </c>
      <c r="V141" s="110">
        <v>0</v>
      </c>
      <c r="W141" s="158">
        <v>0</v>
      </c>
      <c r="X141" s="110"/>
      <c r="Z141" s="145" t="e">
        <f t="shared" si="43"/>
        <v>#DIV/0!</v>
      </c>
      <c r="AA141" s="145" t="e">
        <f t="shared" si="44"/>
        <v>#DIV/0!</v>
      </c>
      <c r="AB141" s="145" t="e">
        <f t="shared" si="40"/>
        <v>#DIV/0!</v>
      </c>
      <c r="AC141" s="145" t="e">
        <f t="shared" si="41"/>
        <v>#DIV/0!</v>
      </c>
      <c r="AD141" s="145">
        <f t="shared" si="42"/>
        <v>0</v>
      </c>
      <c r="AE141" s="145">
        <f t="shared" si="49"/>
        <v>0</v>
      </c>
      <c r="AF141" s="145">
        <f t="shared" si="49"/>
        <v>0</v>
      </c>
      <c r="AG141" s="145">
        <f t="shared" si="49"/>
        <v>0</v>
      </c>
      <c r="AH141" s="145">
        <f t="shared" si="48"/>
        <v>0</v>
      </c>
      <c r="AI141" s="145">
        <f t="shared" si="48"/>
        <v>0</v>
      </c>
      <c r="AJ141" s="145">
        <f t="shared" si="48"/>
        <v>0</v>
      </c>
      <c r="AK141" s="145">
        <f t="shared" si="48"/>
        <v>0</v>
      </c>
      <c r="AL141" s="145">
        <f t="shared" si="48"/>
        <v>0</v>
      </c>
      <c r="AM141" s="145">
        <f t="shared" si="48"/>
        <v>0</v>
      </c>
      <c r="AN141" s="145">
        <f t="shared" si="48"/>
        <v>0</v>
      </c>
      <c r="AO141" s="145">
        <f t="shared" si="48"/>
        <v>0</v>
      </c>
      <c r="AP141" s="133"/>
      <c r="AQ141" s="147" t="str">
        <f t="shared" si="47"/>
        <v/>
      </c>
      <c r="AR141" s="147" t="str">
        <f t="shared" si="47"/>
        <v/>
      </c>
      <c r="AS141" s="147" t="str">
        <f t="shared" si="47"/>
        <v/>
      </c>
      <c r="AT141" s="147" t="str">
        <f t="shared" si="47"/>
        <v/>
      </c>
      <c r="AU141" s="147" t="str">
        <f t="shared" si="47"/>
        <v/>
      </c>
      <c r="AV141" s="147" t="str">
        <f t="shared" si="47"/>
        <v/>
      </c>
      <c r="AW141" s="147" t="str">
        <f t="shared" si="46"/>
        <v/>
      </c>
      <c r="AX141" s="147" t="str">
        <f t="shared" si="46"/>
        <v/>
      </c>
      <c r="AY141" s="147" t="str">
        <f t="shared" si="46"/>
        <v/>
      </c>
      <c r="AZ141" s="147" t="str">
        <f t="shared" si="46"/>
        <v/>
      </c>
      <c r="BA141" s="147" t="str">
        <f t="shared" si="45"/>
        <v/>
      </c>
      <c r="BB141" s="147" t="str">
        <f t="shared" si="45"/>
        <v/>
      </c>
      <c r="BC141" s="147" t="str">
        <f t="shared" si="45"/>
        <v/>
      </c>
      <c r="BD141" s="147" t="str">
        <f t="shared" si="45"/>
        <v/>
      </c>
      <c r="BE141" s="147" t="str">
        <f t="shared" si="45"/>
        <v/>
      </c>
    </row>
    <row r="142" spans="2:57">
      <c r="B142" s="140" t="s">
        <v>509</v>
      </c>
      <c r="C142" s="127" t="s">
        <v>969</v>
      </c>
      <c r="D142" s="128"/>
      <c r="E142" s="128"/>
      <c r="F142" s="128"/>
      <c r="G142" s="128"/>
      <c r="H142" s="128">
        <v>0</v>
      </c>
      <c r="I142" s="128">
        <v>0</v>
      </c>
      <c r="J142" s="128">
        <v>0</v>
      </c>
      <c r="K142" s="128">
        <v>0</v>
      </c>
      <c r="L142" s="128">
        <v>0</v>
      </c>
      <c r="M142" s="128">
        <v>0</v>
      </c>
      <c r="N142" s="128">
        <v>0</v>
      </c>
      <c r="O142" s="128">
        <v>0</v>
      </c>
      <c r="P142" s="128">
        <v>0</v>
      </c>
      <c r="Q142" s="128">
        <v>0</v>
      </c>
      <c r="R142" s="110">
        <v>0</v>
      </c>
      <c r="S142" s="110">
        <v>0</v>
      </c>
      <c r="T142" s="110">
        <v>0</v>
      </c>
      <c r="U142" s="110">
        <v>0</v>
      </c>
      <c r="V142" s="110"/>
      <c r="W142" s="158"/>
      <c r="X142" s="110"/>
      <c r="Z142" s="145" t="e">
        <f t="shared" si="43"/>
        <v>#DIV/0!</v>
      </c>
      <c r="AA142" s="145" t="e">
        <f t="shared" si="44"/>
        <v>#DIV/0!</v>
      </c>
      <c r="AB142" s="145" t="e">
        <f t="shared" si="40"/>
        <v>#DIV/0!</v>
      </c>
      <c r="AC142" s="145" t="e">
        <f t="shared" si="41"/>
        <v>#DIV/0!</v>
      </c>
      <c r="AD142" s="145">
        <f t="shared" si="42"/>
        <v>0</v>
      </c>
      <c r="AE142" s="145">
        <f t="shared" si="49"/>
        <v>0</v>
      </c>
      <c r="AF142" s="145">
        <f t="shared" si="49"/>
        <v>0</v>
      </c>
      <c r="AG142" s="145">
        <f t="shared" si="49"/>
        <v>0</v>
      </c>
      <c r="AH142" s="145">
        <f t="shared" si="48"/>
        <v>0</v>
      </c>
      <c r="AI142" s="145">
        <f t="shared" si="48"/>
        <v>0</v>
      </c>
      <c r="AJ142" s="145">
        <f t="shared" si="48"/>
        <v>0</v>
      </c>
      <c r="AK142" s="145">
        <f t="shared" si="48"/>
        <v>0</v>
      </c>
      <c r="AL142" s="145">
        <f t="shared" si="48"/>
        <v>0</v>
      </c>
      <c r="AM142" s="145">
        <f t="shared" si="48"/>
        <v>0</v>
      </c>
      <c r="AN142" s="145">
        <f t="shared" si="48"/>
        <v>0</v>
      </c>
      <c r="AO142" s="145">
        <f t="shared" si="48"/>
        <v>0</v>
      </c>
      <c r="AP142" s="133"/>
      <c r="AQ142" s="147" t="str">
        <f t="shared" si="47"/>
        <v/>
      </c>
      <c r="AR142" s="147" t="str">
        <f t="shared" si="47"/>
        <v/>
      </c>
      <c r="AS142" s="147" t="str">
        <f t="shared" si="47"/>
        <v/>
      </c>
      <c r="AT142" s="147" t="str">
        <f t="shared" si="47"/>
        <v/>
      </c>
      <c r="AU142" s="147" t="str">
        <f t="shared" si="47"/>
        <v/>
      </c>
      <c r="AV142" s="147" t="str">
        <f t="shared" si="47"/>
        <v/>
      </c>
      <c r="AW142" s="147" t="str">
        <f t="shared" si="46"/>
        <v/>
      </c>
      <c r="AX142" s="147" t="str">
        <f t="shared" si="46"/>
        <v/>
      </c>
      <c r="AY142" s="147" t="str">
        <f t="shared" si="46"/>
        <v/>
      </c>
      <c r="AZ142" s="147" t="str">
        <f t="shared" si="46"/>
        <v/>
      </c>
      <c r="BA142" s="147" t="str">
        <f t="shared" si="45"/>
        <v/>
      </c>
      <c r="BB142" s="147" t="str">
        <f t="shared" si="45"/>
        <v/>
      </c>
      <c r="BC142" s="147" t="str">
        <f t="shared" si="45"/>
        <v/>
      </c>
      <c r="BD142" s="147" t="str">
        <f t="shared" si="45"/>
        <v/>
      </c>
      <c r="BE142" s="147" t="str">
        <f t="shared" si="45"/>
        <v/>
      </c>
    </row>
    <row r="143" spans="2:57">
      <c r="B143" s="140" t="s">
        <v>508</v>
      </c>
      <c r="C143" s="127" t="s">
        <v>970</v>
      </c>
      <c r="D143" s="128"/>
      <c r="E143" s="128"/>
      <c r="F143" s="128"/>
      <c r="G143" s="128"/>
      <c r="H143" s="128">
        <v>0</v>
      </c>
      <c r="I143" s="128">
        <v>0</v>
      </c>
      <c r="J143" s="128">
        <v>0</v>
      </c>
      <c r="K143" s="128">
        <v>0</v>
      </c>
      <c r="L143" s="128">
        <v>0</v>
      </c>
      <c r="M143" s="128">
        <v>0</v>
      </c>
      <c r="N143" s="128">
        <v>0</v>
      </c>
      <c r="O143" s="128">
        <v>0</v>
      </c>
      <c r="P143" s="128">
        <v>0</v>
      </c>
      <c r="Q143" s="128">
        <v>0</v>
      </c>
      <c r="R143" s="110">
        <v>0</v>
      </c>
      <c r="S143" s="110">
        <v>0</v>
      </c>
      <c r="T143" s="110">
        <v>0</v>
      </c>
      <c r="U143" s="110">
        <v>0</v>
      </c>
      <c r="V143" s="110">
        <v>0</v>
      </c>
      <c r="W143" s="158">
        <v>0</v>
      </c>
      <c r="X143" s="110"/>
      <c r="Z143" s="145" t="e">
        <f t="shared" ref="Z143:AG153" si="50">D143/D$153</f>
        <v>#DIV/0!</v>
      </c>
      <c r="AA143" s="145" t="e">
        <f t="shared" si="50"/>
        <v>#DIV/0!</v>
      </c>
      <c r="AB143" s="145" t="e">
        <f t="shared" si="50"/>
        <v>#DIV/0!</v>
      </c>
      <c r="AC143" s="145" t="e">
        <f t="shared" si="50"/>
        <v>#DIV/0!</v>
      </c>
      <c r="AD143" s="145">
        <f t="shared" si="50"/>
        <v>0</v>
      </c>
      <c r="AE143" s="145">
        <f t="shared" si="50"/>
        <v>0</v>
      </c>
      <c r="AF143" s="145">
        <f t="shared" si="50"/>
        <v>0</v>
      </c>
      <c r="AG143" s="145">
        <f t="shared" si="50"/>
        <v>0</v>
      </c>
      <c r="AH143" s="145">
        <f t="shared" si="48"/>
        <v>0</v>
      </c>
      <c r="AI143" s="145">
        <f t="shared" si="48"/>
        <v>0</v>
      </c>
      <c r="AJ143" s="145">
        <f t="shared" si="48"/>
        <v>0</v>
      </c>
      <c r="AK143" s="145">
        <f t="shared" si="48"/>
        <v>0</v>
      </c>
      <c r="AL143" s="145">
        <f t="shared" si="48"/>
        <v>0</v>
      </c>
      <c r="AM143" s="145">
        <f t="shared" si="48"/>
        <v>0</v>
      </c>
      <c r="AN143" s="145">
        <f t="shared" si="48"/>
        <v>0</v>
      </c>
      <c r="AO143" s="145">
        <f t="shared" si="48"/>
        <v>0</v>
      </c>
      <c r="AP143" s="133"/>
      <c r="AQ143" s="147" t="str">
        <f t="shared" si="47"/>
        <v/>
      </c>
      <c r="AR143" s="147" t="str">
        <f t="shared" si="47"/>
        <v/>
      </c>
      <c r="AS143" s="147" t="str">
        <f t="shared" si="47"/>
        <v/>
      </c>
      <c r="AT143" s="147" t="str">
        <f t="shared" si="47"/>
        <v/>
      </c>
      <c r="AU143" s="147" t="str">
        <f t="shared" si="47"/>
        <v/>
      </c>
      <c r="AV143" s="147" t="str">
        <f t="shared" si="47"/>
        <v/>
      </c>
      <c r="AW143" s="147" t="str">
        <f t="shared" si="46"/>
        <v/>
      </c>
      <c r="AX143" s="147" t="str">
        <f t="shared" si="46"/>
        <v/>
      </c>
      <c r="AY143" s="147" t="str">
        <f t="shared" si="46"/>
        <v/>
      </c>
      <c r="AZ143" s="147" t="str">
        <f t="shared" si="46"/>
        <v/>
      </c>
      <c r="BA143" s="147" t="str">
        <f t="shared" si="45"/>
        <v/>
      </c>
      <c r="BB143" s="147" t="str">
        <f t="shared" si="45"/>
        <v/>
      </c>
      <c r="BC143" s="147" t="str">
        <f t="shared" si="45"/>
        <v/>
      </c>
      <c r="BD143" s="147" t="str">
        <f t="shared" si="45"/>
        <v/>
      </c>
      <c r="BE143" s="147" t="str">
        <f t="shared" si="45"/>
        <v/>
      </c>
    </row>
    <row r="144" spans="2:57">
      <c r="B144" s="140" t="s">
        <v>971</v>
      </c>
      <c r="C144" s="127" t="s">
        <v>972</v>
      </c>
      <c r="D144" s="128"/>
      <c r="E144" s="128"/>
      <c r="F144" s="128"/>
      <c r="G144" s="128"/>
      <c r="H144" s="128">
        <v>48.073202000000002</v>
      </c>
      <c r="I144" s="128">
        <v>89.528721536000006</v>
      </c>
      <c r="J144" s="128">
        <v>157.35446039300001</v>
      </c>
      <c r="K144" s="128">
        <v>282.40672751099999</v>
      </c>
      <c r="L144" s="128">
        <v>538.00797793499999</v>
      </c>
      <c r="M144" s="128">
        <v>317.840559767</v>
      </c>
      <c r="N144" s="128">
        <v>977.63019580000002</v>
      </c>
      <c r="O144" s="128">
        <v>2261.7633983390001</v>
      </c>
      <c r="P144" s="128">
        <v>2698.5727484590002</v>
      </c>
      <c r="Q144" s="128">
        <v>3989.6039100550001</v>
      </c>
      <c r="R144" s="110">
        <v>7149.6941616020003</v>
      </c>
      <c r="S144" s="110">
        <v>10389.683597845</v>
      </c>
      <c r="T144" s="110">
        <v>12674.574164064999</v>
      </c>
      <c r="U144" s="110">
        <v>8723.93422637</v>
      </c>
      <c r="V144" s="110">
        <v>8160.3235955740001</v>
      </c>
      <c r="W144" s="158">
        <v>12582.145266842001</v>
      </c>
      <c r="X144" s="110"/>
      <c r="Z144" s="145" t="e">
        <f t="shared" si="50"/>
        <v>#DIV/0!</v>
      </c>
      <c r="AA144" s="145" t="e">
        <f t="shared" si="50"/>
        <v>#DIV/0!</v>
      </c>
      <c r="AB144" s="145" t="e">
        <f t="shared" si="50"/>
        <v>#DIV/0!</v>
      </c>
      <c r="AC144" s="145" t="e">
        <f t="shared" si="50"/>
        <v>#DIV/0!</v>
      </c>
      <c r="AD144" s="145">
        <f t="shared" si="50"/>
        <v>0.1496385788891379</v>
      </c>
      <c r="AE144" s="145">
        <f t="shared" si="50"/>
        <v>0.14932371231588348</v>
      </c>
      <c r="AF144" s="145">
        <f t="shared" si="50"/>
        <v>0.10243617760563722</v>
      </c>
      <c r="AG144" s="145">
        <f t="shared" si="50"/>
        <v>0.17707706415360186</v>
      </c>
      <c r="AH144" s="145">
        <f t="shared" si="48"/>
        <v>0.24105638223870607</v>
      </c>
      <c r="AI144" s="145">
        <f t="shared" si="48"/>
        <v>9.328498686073429E-2</v>
      </c>
      <c r="AJ144" s="145">
        <f t="shared" si="48"/>
        <v>0.13455301237936898</v>
      </c>
      <c r="AK144" s="145">
        <f t="shared" si="48"/>
        <v>0.15226358674697996</v>
      </c>
      <c r="AL144" s="145">
        <f t="shared" si="48"/>
        <v>0.11824091714320423</v>
      </c>
      <c r="AM144" s="145">
        <f t="shared" si="48"/>
        <v>0.14186503487140459</v>
      </c>
      <c r="AN144" s="145">
        <f t="shared" si="48"/>
        <v>0.1714222159558462</v>
      </c>
      <c r="AO144" s="145">
        <f t="shared" si="48"/>
        <v>0.22571116625571058</v>
      </c>
      <c r="AP144" s="133"/>
      <c r="AQ144" s="147" t="str">
        <f t="shared" si="47"/>
        <v/>
      </c>
      <c r="AR144" s="147" t="str">
        <f t="shared" si="47"/>
        <v/>
      </c>
      <c r="AS144" s="147" t="str">
        <f t="shared" si="47"/>
        <v/>
      </c>
      <c r="AT144" s="147" t="str">
        <f t="shared" si="47"/>
        <v/>
      </c>
      <c r="AU144" s="147">
        <f t="shared" si="47"/>
        <v>0.86234155020503933</v>
      </c>
      <c r="AV144" s="147">
        <f t="shared" si="47"/>
        <v>0.75758636662455725</v>
      </c>
      <c r="AW144" s="147">
        <f t="shared" si="46"/>
        <v>0.79471701536566663</v>
      </c>
      <c r="AX144" s="147">
        <f t="shared" si="46"/>
        <v>0.90508201655374565</v>
      </c>
      <c r="AY144" s="147">
        <f t="shared" si="46"/>
        <v>-0.40922705089440092</v>
      </c>
      <c r="AZ144" s="147">
        <f t="shared" si="46"/>
        <v>2.0758509754597503</v>
      </c>
      <c r="BA144" s="147">
        <f t="shared" si="45"/>
        <v>1.3135163050975396</v>
      </c>
      <c r="BB144" s="147">
        <f t="shared" si="45"/>
        <v>0.19312778270299424</v>
      </c>
      <c r="BC144" s="147">
        <f t="shared" si="45"/>
        <v>0.47841258396062636</v>
      </c>
      <c r="BD144" s="147">
        <f t="shared" si="45"/>
        <v>0.79208119973579927</v>
      </c>
      <c r="BE144" s="147">
        <f t="shared" si="45"/>
        <v>0.45316475964015623</v>
      </c>
    </row>
    <row r="145" spans="1:57">
      <c r="B145" s="140" t="s">
        <v>973</v>
      </c>
      <c r="C145" s="127" t="s">
        <v>974</v>
      </c>
      <c r="D145" s="128"/>
      <c r="E145" s="128"/>
      <c r="F145" s="128"/>
      <c r="G145" s="128"/>
      <c r="H145" s="128">
        <v>0</v>
      </c>
      <c r="I145" s="128">
        <v>0</v>
      </c>
      <c r="J145" s="128">
        <v>0</v>
      </c>
      <c r="K145" s="128">
        <v>0</v>
      </c>
      <c r="L145" s="128">
        <v>0</v>
      </c>
      <c r="M145" s="128">
        <v>0</v>
      </c>
      <c r="N145" s="128">
        <v>-31.481390232999999</v>
      </c>
      <c r="O145" s="128">
        <v>684.39097200000003</v>
      </c>
      <c r="P145" s="128">
        <v>492.893118039</v>
      </c>
      <c r="Q145" s="128">
        <v>1138.290716709</v>
      </c>
      <c r="R145" s="110">
        <v>3315.4246145550001</v>
      </c>
      <c r="S145" s="110">
        <v>6470.785320602</v>
      </c>
      <c r="T145" s="110">
        <v>7775.7048858449998</v>
      </c>
      <c r="U145" s="110">
        <v>4624.1711990650001</v>
      </c>
      <c r="V145" s="110">
        <v>7992.6542028699996</v>
      </c>
      <c r="W145" s="158">
        <v>8860.2768251809994</v>
      </c>
      <c r="X145" s="110"/>
      <c r="Z145" s="145" t="e">
        <f t="shared" si="50"/>
        <v>#DIV/0!</v>
      </c>
      <c r="AA145" s="145" t="e">
        <f t="shared" si="50"/>
        <v>#DIV/0!</v>
      </c>
      <c r="AB145" s="145" t="e">
        <f t="shared" si="50"/>
        <v>#DIV/0!</v>
      </c>
      <c r="AC145" s="145" t="e">
        <f t="shared" si="50"/>
        <v>#DIV/0!</v>
      </c>
      <c r="AD145" s="145">
        <f t="shared" si="50"/>
        <v>0</v>
      </c>
      <c r="AE145" s="145">
        <f t="shared" si="50"/>
        <v>0</v>
      </c>
      <c r="AF145" s="145">
        <f t="shared" si="50"/>
        <v>0</v>
      </c>
      <c r="AG145" s="145">
        <f t="shared" si="50"/>
        <v>0</v>
      </c>
      <c r="AH145" s="145">
        <f t="shared" si="48"/>
        <v>0</v>
      </c>
      <c r="AI145" s="145">
        <f t="shared" si="48"/>
        <v>0</v>
      </c>
      <c r="AJ145" s="145">
        <f t="shared" si="48"/>
        <v>-4.3328406875509018E-3</v>
      </c>
      <c r="AK145" s="145">
        <f t="shared" si="48"/>
        <v>4.6073707006886913E-2</v>
      </c>
      <c r="AL145" s="145">
        <f t="shared" si="48"/>
        <v>2.1596651179326336E-2</v>
      </c>
      <c r="AM145" s="145">
        <f t="shared" si="48"/>
        <v>4.047611137855843E-2</v>
      </c>
      <c r="AN145" s="145">
        <f t="shared" si="48"/>
        <v>7.9491153245949547E-2</v>
      </c>
      <c r="AO145" s="145">
        <f t="shared" si="48"/>
        <v>0.14057487771873517</v>
      </c>
      <c r="AP145" s="133"/>
      <c r="AQ145" s="147" t="str">
        <f t="shared" si="47"/>
        <v/>
      </c>
      <c r="AR145" s="147" t="str">
        <f t="shared" si="47"/>
        <v/>
      </c>
      <c r="AS145" s="147" t="str">
        <f t="shared" si="47"/>
        <v/>
      </c>
      <c r="AT145" s="147" t="str">
        <f t="shared" si="47"/>
        <v/>
      </c>
      <c r="AU145" s="147" t="str">
        <f t="shared" si="47"/>
        <v/>
      </c>
      <c r="AV145" s="147" t="str">
        <f t="shared" si="47"/>
        <v/>
      </c>
      <c r="AW145" s="147" t="str">
        <f t="shared" si="46"/>
        <v/>
      </c>
      <c r="AX145" s="147" t="str">
        <f t="shared" si="46"/>
        <v/>
      </c>
      <c r="AY145" s="147" t="str">
        <f t="shared" si="46"/>
        <v/>
      </c>
      <c r="AZ145" s="147" t="str">
        <f t="shared" si="46"/>
        <v/>
      </c>
      <c r="BA145" s="147">
        <f t="shared" si="45"/>
        <v>-22.739540945767864</v>
      </c>
      <c r="BB145" s="147">
        <f t="shared" si="45"/>
        <v>-0.27980768565865888</v>
      </c>
      <c r="BC145" s="147">
        <f t="shared" si="45"/>
        <v>1.3094067964222074</v>
      </c>
      <c r="BD145" s="147">
        <f t="shared" si="45"/>
        <v>1.9126343260889271</v>
      </c>
      <c r="BE145" s="147">
        <f t="shared" si="45"/>
        <v>0.95172144533001712</v>
      </c>
    </row>
    <row r="146" spans="1:57">
      <c r="B146" s="140" t="s">
        <v>975</v>
      </c>
      <c r="C146" s="127" t="s">
        <v>976</v>
      </c>
      <c r="D146" s="128"/>
      <c r="E146" s="128"/>
      <c r="F146" s="128"/>
      <c r="G146" s="128"/>
      <c r="H146" s="128">
        <v>48.073202000000002</v>
      </c>
      <c r="I146" s="128">
        <v>89.528721536000006</v>
      </c>
      <c r="J146" s="128">
        <v>157.35446039300001</v>
      </c>
      <c r="K146" s="128">
        <v>282.40672751099999</v>
      </c>
      <c r="L146" s="128">
        <v>538.00797793499999</v>
      </c>
      <c r="M146" s="128">
        <v>317.840559767</v>
      </c>
      <c r="N146" s="128">
        <v>1009.111586033</v>
      </c>
      <c r="O146" s="128">
        <v>1577.372426339</v>
      </c>
      <c r="P146" s="128">
        <v>2205.6796304200002</v>
      </c>
      <c r="Q146" s="128">
        <v>2851.3131933459999</v>
      </c>
      <c r="R146" s="110">
        <v>3834.2695470469998</v>
      </c>
      <c r="S146" s="110">
        <v>3918.8982772429999</v>
      </c>
      <c r="T146" s="110">
        <v>4898.8692782199996</v>
      </c>
      <c r="U146" s="110">
        <v>4099.7630273049999</v>
      </c>
      <c r="V146" s="110">
        <v>167.66939270399999</v>
      </c>
      <c r="W146" s="158">
        <v>3721.8684416609999</v>
      </c>
      <c r="X146" s="110"/>
      <c r="Z146" s="145" t="e">
        <f t="shared" si="50"/>
        <v>#DIV/0!</v>
      </c>
      <c r="AA146" s="145" t="e">
        <f t="shared" si="50"/>
        <v>#DIV/0!</v>
      </c>
      <c r="AB146" s="145" t="e">
        <f t="shared" si="50"/>
        <v>#DIV/0!</v>
      </c>
      <c r="AC146" s="145" t="e">
        <f t="shared" si="50"/>
        <v>#DIV/0!</v>
      </c>
      <c r="AD146" s="145">
        <f t="shared" si="50"/>
        <v>0.1496385788891379</v>
      </c>
      <c r="AE146" s="145">
        <f t="shared" si="50"/>
        <v>0.14932371231588348</v>
      </c>
      <c r="AF146" s="145">
        <f t="shared" si="50"/>
        <v>0.10243617760563722</v>
      </c>
      <c r="AG146" s="145">
        <f t="shared" si="50"/>
        <v>0.17707706415360186</v>
      </c>
      <c r="AH146" s="145">
        <f t="shared" si="48"/>
        <v>0.24105638223870607</v>
      </c>
      <c r="AI146" s="145">
        <f t="shared" si="48"/>
        <v>9.328498686073429E-2</v>
      </c>
      <c r="AJ146" s="145">
        <f t="shared" si="48"/>
        <v>0.13888585306691989</v>
      </c>
      <c r="AK146" s="145">
        <f t="shared" si="48"/>
        <v>0.10618987974009304</v>
      </c>
      <c r="AL146" s="145">
        <f t="shared" si="48"/>
        <v>9.6644265963877887E-2</v>
      </c>
      <c r="AM146" s="145">
        <f t="shared" si="48"/>
        <v>0.10138892349284614</v>
      </c>
      <c r="AN146" s="145">
        <f t="shared" si="48"/>
        <v>9.1931062709896649E-2</v>
      </c>
      <c r="AO146" s="145">
        <f t="shared" si="48"/>
        <v>8.5136288536975385E-2</v>
      </c>
      <c r="AP146" s="133"/>
      <c r="AQ146" s="147" t="str">
        <f t="shared" si="47"/>
        <v/>
      </c>
      <c r="AR146" s="147" t="str">
        <f t="shared" si="47"/>
        <v/>
      </c>
      <c r="AS146" s="147" t="str">
        <f t="shared" si="47"/>
        <v/>
      </c>
      <c r="AT146" s="147" t="str">
        <f t="shared" si="47"/>
        <v/>
      </c>
      <c r="AU146" s="147">
        <f t="shared" si="47"/>
        <v>0.86234155020503933</v>
      </c>
      <c r="AV146" s="147">
        <f t="shared" si="47"/>
        <v>0.75758636662455725</v>
      </c>
      <c r="AW146" s="147">
        <f t="shared" si="46"/>
        <v>0.79471701536566663</v>
      </c>
      <c r="AX146" s="147">
        <f t="shared" si="46"/>
        <v>0.90508201655374565</v>
      </c>
      <c r="AY146" s="147">
        <f t="shared" si="46"/>
        <v>-0.40922705089440092</v>
      </c>
      <c r="AZ146" s="147">
        <f t="shared" si="46"/>
        <v>2.1748987189449682</v>
      </c>
      <c r="BA146" s="147">
        <f t="shared" si="45"/>
        <v>0.56312983437236719</v>
      </c>
      <c r="BB146" s="147">
        <f t="shared" si="45"/>
        <v>0.39832521070453142</v>
      </c>
      <c r="BC146" s="147">
        <f t="shared" si="45"/>
        <v>0.29271411587686447</v>
      </c>
      <c r="BD146" s="147">
        <f t="shared" si="45"/>
        <v>0.3447381213662839</v>
      </c>
      <c r="BE146" s="147">
        <f t="shared" si="45"/>
        <v>2.20716694946963E-2</v>
      </c>
    </row>
    <row r="147" spans="1:57">
      <c r="B147" s="140" t="s">
        <v>977</v>
      </c>
      <c r="C147" s="127" t="s">
        <v>978</v>
      </c>
      <c r="D147" s="128"/>
      <c r="E147" s="128"/>
      <c r="F147" s="128"/>
      <c r="G147" s="128"/>
      <c r="H147" s="128">
        <v>0</v>
      </c>
      <c r="I147" s="128">
        <v>0</v>
      </c>
      <c r="J147" s="128">
        <v>0</v>
      </c>
      <c r="K147" s="128">
        <v>0</v>
      </c>
      <c r="L147" s="128">
        <v>0</v>
      </c>
      <c r="M147" s="128">
        <v>0</v>
      </c>
      <c r="N147" s="128">
        <v>1.6388546559999999</v>
      </c>
      <c r="O147" s="128">
        <v>2.3160301539999999</v>
      </c>
      <c r="P147" s="128">
        <v>2.7762522509999998</v>
      </c>
      <c r="Q147" s="128">
        <v>6.2494433190000001</v>
      </c>
      <c r="R147" s="110">
        <v>7.786065614</v>
      </c>
      <c r="S147" s="110">
        <v>9.2806338260000008</v>
      </c>
      <c r="T147" s="110">
        <v>11.838029496000001</v>
      </c>
      <c r="U147" s="110">
        <v>14.508097129999999</v>
      </c>
      <c r="V147" s="110">
        <v>13.401030472</v>
      </c>
      <c r="W147" s="158">
        <v>364.02065139799998</v>
      </c>
      <c r="X147" s="110"/>
      <c r="Z147" s="145" t="e">
        <f t="shared" si="50"/>
        <v>#DIV/0!</v>
      </c>
      <c r="AA147" s="145" t="e">
        <f t="shared" si="50"/>
        <v>#DIV/0!</v>
      </c>
      <c r="AB147" s="145" t="e">
        <f t="shared" si="50"/>
        <v>#DIV/0!</v>
      </c>
      <c r="AC147" s="145" t="e">
        <f t="shared" si="50"/>
        <v>#DIV/0!</v>
      </c>
      <c r="AD147" s="145">
        <f t="shared" si="50"/>
        <v>0</v>
      </c>
      <c r="AE147" s="145">
        <f t="shared" si="50"/>
        <v>0</v>
      </c>
      <c r="AF147" s="145">
        <f t="shared" si="50"/>
        <v>0</v>
      </c>
      <c r="AG147" s="145">
        <f t="shared" si="50"/>
        <v>0</v>
      </c>
      <c r="AH147" s="145">
        <f t="shared" si="48"/>
        <v>0</v>
      </c>
      <c r="AI147" s="145">
        <f t="shared" si="48"/>
        <v>0</v>
      </c>
      <c r="AJ147" s="145">
        <f t="shared" si="48"/>
        <v>2.2555853099065506E-4</v>
      </c>
      <c r="AK147" s="145">
        <f t="shared" si="48"/>
        <v>1.5591686492105153E-4</v>
      </c>
      <c r="AL147" s="145">
        <f t="shared" si="48"/>
        <v>1.2164452952642445E-4</v>
      </c>
      <c r="AM147" s="145">
        <f t="shared" si="48"/>
        <v>2.222219333960346E-4</v>
      </c>
      <c r="AN147" s="145">
        <f t="shared" si="48"/>
        <v>1.8667996014397835E-4</v>
      </c>
      <c r="AO147" s="145">
        <f t="shared" si="48"/>
        <v>2.0161756272280931E-4</v>
      </c>
      <c r="AP147" s="133"/>
      <c r="AQ147" s="147" t="str">
        <f t="shared" si="47"/>
        <v/>
      </c>
      <c r="AR147" s="147" t="str">
        <f t="shared" si="47"/>
        <v/>
      </c>
      <c r="AS147" s="147" t="str">
        <f t="shared" si="47"/>
        <v/>
      </c>
      <c r="AT147" s="147" t="str">
        <f t="shared" si="47"/>
        <v/>
      </c>
      <c r="AU147" s="147" t="str">
        <f t="shared" si="47"/>
        <v/>
      </c>
      <c r="AV147" s="147" t="str">
        <f t="shared" si="47"/>
        <v/>
      </c>
      <c r="AW147" s="147" t="str">
        <f t="shared" si="46"/>
        <v/>
      </c>
      <c r="AX147" s="147" t="str">
        <f t="shared" si="46"/>
        <v/>
      </c>
      <c r="AY147" s="147" t="str">
        <f t="shared" si="46"/>
        <v/>
      </c>
      <c r="AZ147" s="147" t="str">
        <f t="shared" si="46"/>
        <v/>
      </c>
      <c r="BA147" s="147">
        <f t="shared" si="45"/>
        <v>0.41320046016332035</v>
      </c>
      <c r="BB147" s="147">
        <f t="shared" si="45"/>
        <v>0.1987116170336356</v>
      </c>
      <c r="BC147" s="147">
        <f t="shared" si="45"/>
        <v>1.2510358404028179</v>
      </c>
      <c r="BD147" s="147">
        <f t="shared" si="45"/>
        <v>0.24588146760660301</v>
      </c>
      <c r="BE147" s="147">
        <f t="shared" si="45"/>
        <v>0.19195422773122295</v>
      </c>
    </row>
    <row r="148" spans="1:57">
      <c r="B148" s="140" t="s">
        <v>511</v>
      </c>
      <c r="C148" s="127" t="s">
        <v>979</v>
      </c>
      <c r="D148" s="128"/>
      <c r="E148" s="128"/>
      <c r="F148" s="128"/>
      <c r="G148" s="128"/>
      <c r="H148" s="128">
        <v>0</v>
      </c>
      <c r="I148" s="128">
        <v>0</v>
      </c>
      <c r="J148" s="128">
        <v>0</v>
      </c>
      <c r="K148" s="128">
        <v>0</v>
      </c>
      <c r="L148" s="128">
        <v>0</v>
      </c>
      <c r="M148" s="128">
        <v>0</v>
      </c>
      <c r="N148" s="128">
        <v>0</v>
      </c>
      <c r="O148" s="128">
        <v>0</v>
      </c>
      <c r="P148" s="128">
        <v>0</v>
      </c>
      <c r="Q148" s="128">
        <v>0</v>
      </c>
      <c r="R148" s="110">
        <v>0</v>
      </c>
      <c r="S148" s="110">
        <v>0</v>
      </c>
      <c r="T148" s="110">
        <v>0</v>
      </c>
      <c r="U148" s="110">
        <v>0</v>
      </c>
      <c r="V148" s="110">
        <v>0</v>
      </c>
      <c r="W148" s="158">
        <v>0</v>
      </c>
      <c r="X148" s="110"/>
      <c r="Z148" s="145" t="e">
        <f t="shared" si="50"/>
        <v>#DIV/0!</v>
      </c>
      <c r="AA148" s="145" t="e">
        <f t="shared" si="50"/>
        <v>#DIV/0!</v>
      </c>
      <c r="AB148" s="145" t="e">
        <f t="shared" si="50"/>
        <v>#DIV/0!</v>
      </c>
      <c r="AC148" s="145" t="e">
        <f t="shared" si="50"/>
        <v>#DIV/0!</v>
      </c>
      <c r="AD148" s="145">
        <f t="shared" si="50"/>
        <v>0</v>
      </c>
      <c r="AE148" s="145">
        <f t="shared" si="50"/>
        <v>0</v>
      </c>
      <c r="AF148" s="145">
        <f t="shared" si="50"/>
        <v>0</v>
      </c>
      <c r="AG148" s="145">
        <f t="shared" si="50"/>
        <v>0</v>
      </c>
      <c r="AH148" s="145">
        <f t="shared" si="48"/>
        <v>0</v>
      </c>
      <c r="AI148" s="145">
        <f t="shared" si="48"/>
        <v>0</v>
      </c>
      <c r="AJ148" s="145">
        <f t="shared" si="48"/>
        <v>0</v>
      </c>
      <c r="AK148" s="145">
        <f t="shared" si="48"/>
        <v>0</v>
      </c>
      <c r="AL148" s="145">
        <f t="shared" si="48"/>
        <v>0</v>
      </c>
      <c r="AM148" s="145">
        <f t="shared" si="48"/>
        <v>0</v>
      </c>
      <c r="AN148" s="145">
        <f t="shared" si="48"/>
        <v>0</v>
      </c>
      <c r="AO148" s="145">
        <f t="shared" si="48"/>
        <v>0</v>
      </c>
      <c r="AP148" s="133"/>
      <c r="AQ148" s="147" t="str">
        <f t="shared" si="47"/>
        <v/>
      </c>
      <c r="AR148" s="147" t="str">
        <f t="shared" si="47"/>
        <v/>
      </c>
      <c r="AS148" s="147" t="str">
        <f t="shared" si="47"/>
        <v/>
      </c>
      <c r="AT148" s="147" t="str">
        <f t="shared" si="47"/>
        <v/>
      </c>
      <c r="AU148" s="147" t="str">
        <f t="shared" si="47"/>
        <v/>
      </c>
      <c r="AV148" s="147" t="str">
        <f t="shared" si="47"/>
        <v/>
      </c>
      <c r="AW148" s="147" t="str">
        <f t="shared" si="46"/>
        <v/>
      </c>
      <c r="AX148" s="147" t="str">
        <f t="shared" si="46"/>
        <v/>
      </c>
      <c r="AY148" s="147" t="str">
        <f t="shared" si="46"/>
        <v/>
      </c>
      <c r="AZ148" s="147" t="str">
        <f t="shared" si="46"/>
        <v/>
      </c>
      <c r="BA148" s="147" t="str">
        <f t="shared" si="45"/>
        <v/>
      </c>
      <c r="BB148" s="147" t="str">
        <f t="shared" si="45"/>
        <v/>
      </c>
      <c r="BC148" s="147" t="str">
        <f t="shared" si="45"/>
        <v/>
      </c>
      <c r="BD148" s="147" t="str">
        <f t="shared" si="45"/>
        <v/>
      </c>
      <c r="BE148" s="147" t="str">
        <f t="shared" si="45"/>
        <v/>
      </c>
    </row>
    <row r="149" spans="1:57">
      <c r="B149" s="140" t="s">
        <v>980</v>
      </c>
      <c r="C149" s="127" t="s">
        <v>981</v>
      </c>
      <c r="D149" s="128"/>
      <c r="E149" s="128"/>
      <c r="F149" s="128"/>
      <c r="G149" s="128"/>
      <c r="H149" s="128">
        <v>0</v>
      </c>
      <c r="I149" s="128">
        <v>0</v>
      </c>
      <c r="J149" s="128">
        <v>0</v>
      </c>
      <c r="K149" s="128">
        <v>0</v>
      </c>
      <c r="L149" s="128">
        <v>0</v>
      </c>
      <c r="M149" s="128">
        <v>0</v>
      </c>
      <c r="N149" s="128">
        <v>0</v>
      </c>
      <c r="O149" s="128">
        <v>0</v>
      </c>
      <c r="P149" s="128">
        <v>0</v>
      </c>
      <c r="Q149" s="128">
        <v>0</v>
      </c>
      <c r="R149" s="110">
        <v>0</v>
      </c>
      <c r="S149" s="110">
        <v>0</v>
      </c>
      <c r="T149" s="110">
        <v>0</v>
      </c>
      <c r="U149" s="110">
        <v>0</v>
      </c>
      <c r="V149" s="110">
        <v>0</v>
      </c>
      <c r="W149" s="158">
        <v>0</v>
      </c>
      <c r="X149" s="110"/>
      <c r="Z149" s="145" t="e">
        <f t="shared" si="50"/>
        <v>#DIV/0!</v>
      </c>
      <c r="AA149" s="145" t="e">
        <f t="shared" si="50"/>
        <v>#DIV/0!</v>
      </c>
      <c r="AB149" s="145" t="e">
        <f t="shared" si="50"/>
        <v>#DIV/0!</v>
      </c>
      <c r="AC149" s="145" t="e">
        <f t="shared" si="50"/>
        <v>#DIV/0!</v>
      </c>
      <c r="AD149" s="145">
        <f t="shared" si="50"/>
        <v>0</v>
      </c>
      <c r="AE149" s="145">
        <f t="shared" si="50"/>
        <v>0</v>
      </c>
      <c r="AF149" s="145">
        <f t="shared" si="50"/>
        <v>0</v>
      </c>
      <c r="AG149" s="145">
        <f t="shared" si="50"/>
        <v>0</v>
      </c>
      <c r="AH149" s="145">
        <f t="shared" si="48"/>
        <v>0</v>
      </c>
      <c r="AI149" s="145">
        <f t="shared" si="48"/>
        <v>0</v>
      </c>
      <c r="AJ149" s="145">
        <f t="shared" si="48"/>
        <v>0</v>
      </c>
      <c r="AK149" s="145">
        <f t="shared" si="48"/>
        <v>0</v>
      </c>
      <c r="AL149" s="145">
        <f t="shared" si="48"/>
        <v>0</v>
      </c>
      <c r="AM149" s="145">
        <f t="shared" si="48"/>
        <v>0</v>
      </c>
      <c r="AN149" s="145">
        <f t="shared" si="48"/>
        <v>0</v>
      </c>
      <c r="AO149" s="145">
        <f t="shared" si="48"/>
        <v>0</v>
      </c>
      <c r="AP149" s="133"/>
      <c r="AQ149" s="147" t="str">
        <f t="shared" si="47"/>
        <v/>
      </c>
      <c r="AR149" s="147" t="str">
        <f t="shared" si="47"/>
        <v/>
      </c>
      <c r="AS149" s="147" t="str">
        <f t="shared" si="47"/>
        <v/>
      </c>
      <c r="AT149" s="147" t="str">
        <f t="shared" si="47"/>
        <v/>
      </c>
      <c r="AU149" s="147" t="str">
        <f t="shared" si="47"/>
        <v/>
      </c>
      <c r="AV149" s="147" t="str">
        <f t="shared" si="47"/>
        <v/>
      </c>
      <c r="AW149" s="147" t="str">
        <f t="shared" si="46"/>
        <v/>
      </c>
      <c r="AX149" s="147" t="str">
        <f t="shared" si="46"/>
        <v/>
      </c>
      <c r="AY149" s="147" t="str">
        <f t="shared" si="46"/>
        <v/>
      </c>
      <c r="AZ149" s="147" t="str">
        <f t="shared" si="46"/>
        <v/>
      </c>
      <c r="BA149" s="147" t="str">
        <f t="shared" si="45"/>
        <v/>
      </c>
      <c r="BB149" s="147" t="str">
        <f t="shared" si="45"/>
        <v/>
      </c>
      <c r="BC149" s="147" t="str">
        <f t="shared" si="45"/>
        <v/>
      </c>
      <c r="BD149" s="147" t="str">
        <f t="shared" si="45"/>
        <v/>
      </c>
      <c r="BE149" s="147" t="str">
        <f t="shared" si="45"/>
        <v/>
      </c>
    </row>
    <row r="150" spans="1:57">
      <c r="B150" s="140" t="s">
        <v>511</v>
      </c>
      <c r="C150" s="127" t="s">
        <v>982</v>
      </c>
      <c r="D150" s="128"/>
      <c r="E150" s="128"/>
      <c r="F150" s="128"/>
      <c r="G150" s="128"/>
      <c r="H150" s="128">
        <v>0</v>
      </c>
      <c r="I150" s="128">
        <v>0</v>
      </c>
      <c r="J150" s="128">
        <v>0</v>
      </c>
      <c r="K150" s="128">
        <v>0</v>
      </c>
      <c r="L150" s="128">
        <v>0</v>
      </c>
      <c r="M150" s="128">
        <v>0</v>
      </c>
      <c r="N150" s="128">
        <v>0</v>
      </c>
      <c r="O150" s="128">
        <v>0</v>
      </c>
      <c r="P150" s="128">
        <v>0</v>
      </c>
      <c r="Q150" s="128">
        <v>0</v>
      </c>
      <c r="R150" s="110">
        <v>0</v>
      </c>
      <c r="S150" s="110">
        <v>0</v>
      </c>
      <c r="T150" s="110">
        <v>0</v>
      </c>
      <c r="U150" s="110">
        <v>0</v>
      </c>
      <c r="V150" s="110">
        <v>0</v>
      </c>
      <c r="W150" s="158">
        <v>0</v>
      </c>
      <c r="X150" s="110"/>
      <c r="Z150" s="145" t="e">
        <f t="shared" si="50"/>
        <v>#DIV/0!</v>
      </c>
      <c r="AA150" s="145" t="e">
        <f t="shared" si="50"/>
        <v>#DIV/0!</v>
      </c>
      <c r="AB150" s="145" t="e">
        <f t="shared" si="50"/>
        <v>#DIV/0!</v>
      </c>
      <c r="AC150" s="145" t="e">
        <f t="shared" si="50"/>
        <v>#DIV/0!</v>
      </c>
      <c r="AD150" s="145">
        <f t="shared" si="50"/>
        <v>0</v>
      </c>
      <c r="AE150" s="145">
        <f t="shared" si="50"/>
        <v>0</v>
      </c>
      <c r="AF150" s="145">
        <f t="shared" si="50"/>
        <v>0</v>
      </c>
      <c r="AG150" s="145">
        <f t="shared" si="50"/>
        <v>0</v>
      </c>
      <c r="AH150" s="145">
        <f t="shared" si="48"/>
        <v>0</v>
      </c>
      <c r="AI150" s="145">
        <f t="shared" si="48"/>
        <v>0</v>
      </c>
      <c r="AJ150" s="145">
        <f t="shared" si="48"/>
        <v>0</v>
      </c>
      <c r="AK150" s="145">
        <f t="shared" si="48"/>
        <v>0</v>
      </c>
      <c r="AL150" s="145">
        <f t="shared" si="48"/>
        <v>0</v>
      </c>
      <c r="AM150" s="145">
        <f t="shared" si="48"/>
        <v>0</v>
      </c>
      <c r="AN150" s="145">
        <f t="shared" si="48"/>
        <v>0</v>
      </c>
      <c r="AO150" s="145">
        <f t="shared" si="48"/>
        <v>0</v>
      </c>
      <c r="AP150" s="133"/>
      <c r="AQ150" s="147" t="str">
        <f t="shared" si="47"/>
        <v/>
      </c>
      <c r="AR150" s="147" t="str">
        <f t="shared" si="47"/>
        <v/>
      </c>
      <c r="AS150" s="147" t="str">
        <f t="shared" si="47"/>
        <v/>
      </c>
      <c r="AT150" s="147" t="str">
        <f t="shared" si="47"/>
        <v/>
      </c>
      <c r="AU150" s="147" t="str">
        <f t="shared" si="47"/>
        <v/>
      </c>
      <c r="AV150" s="147" t="str">
        <f t="shared" si="47"/>
        <v/>
      </c>
      <c r="AW150" s="147" t="str">
        <f t="shared" si="46"/>
        <v/>
      </c>
      <c r="AX150" s="147" t="str">
        <f t="shared" si="46"/>
        <v/>
      </c>
      <c r="AY150" s="147" t="str">
        <f t="shared" si="46"/>
        <v/>
      </c>
      <c r="AZ150" s="147" t="str">
        <f t="shared" si="46"/>
        <v/>
      </c>
      <c r="BA150" s="147" t="str">
        <f t="shared" si="45"/>
        <v/>
      </c>
      <c r="BB150" s="147" t="str">
        <f t="shared" si="45"/>
        <v/>
      </c>
      <c r="BC150" s="147" t="str">
        <f t="shared" si="45"/>
        <v/>
      </c>
      <c r="BD150" s="147" t="str">
        <f t="shared" si="45"/>
        <v/>
      </c>
      <c r="BE150" s="147" t="str">
        <f t="shared" si="45"/>
        <v/>
      </c>
    </row>
    <row r="151" spans="1:57">
      <c r="B151" s="140" t="s">
        <v>983</v>
      </c>
      <c r="C151" s="127" t="s">
        <v>984</v>
      </c>
      <c r="D151" s="128"/>
      <c r="E151" s="128"/>
      <c r="F151" s="128"/>
      <c r="G151" s="128"/>
      <c r="H151" s="128">
        <v>0</v>
      </c>
      <c r="I151" s="128">
        <v>0</v>
      </c>
      <c r="J151" s="128">
        <v>0</v>
      </c>
      <c r="K151" s="128">
        <v>0</v>
      </c>
      <c r="L151" s="128">
        <v>0</v>
      </c>
      <c r="M151" s="128">
        <v>0</v>
      </c>
      <c r="N151" s="128">
        <v>0</v>
      </c>
      <c r="O151" s="128">
        <v>0</v>
      </c>
      <c r="P151" s="128">
        <v>0</v>
      </c>
      <c r="Q151" s="128">
        <v>0</v>
      </c>
      <c r="R151" s="110">
        <v>0</v>
      </c>
      <c r="S151" s="110">
        <v>0</v>
      </c>
      <c r="T151" s="110">
        <v>0</v>
      </c>
      <c r="U151" s="110">
        <v>0</v>
      </c>
      <c r="V151" s="110">
        <v>0</v>
      </c>
      <c r="W151" s="158">
        <v>0</v>
      </c>
      <c r="X151" s="110"/>
      <c r="Z151" s="145" t="e">
        <f t="shared" si="50"/>
        <v>#DIV/0!</v>
      </c>
      <c r="AA151" s="145" t="e">
        <f t="shared" si="50"/>
        <v>#DIV/0!</v>
      </c>
      <c r="AB151" s="145" t="e">
        <f t="shared" si="50"/>
        <v>#DIV/0!</v>
      </c>
      <c r="AC151" s="145" t="e">
        <f t="shared" si="50"/>
        <v>#DIV/0!</v>
      </c>
      <c r="AD151" s="145">
        <f t="shared" si="50"/>
        <v>0</v>
      </c>
      <c r="AE151" s="145">
        <f t="shared" si="50"/>
        <v>0</v>
      </c>
      <c r="AF151" s="145">
        <f t="shared" si="50"/>
        <v>0</v>
      </c>
      <c r="AG151" s="145">
        <f t="shared" si="50"/>
        <v>0</v>
      </c>
      <c r="AH151" s="145">
        <f t="shared" si="48"/>
        <v>0</v>
      </c>
      <c r="AI151" s="145">
        <f t="shared" si="48"/>
        <v>0</v>
      </c>
      <c r="AJ151" s="145">
        <f t="shared" si="48"/>
        <v>0</v>
      </c>
      <c r="AK151" s="145">
        <f t="shared" si="48"/>
        <v>0</v>
      </c>
      <c r="AL151" s="145">
        <f t="shared" si="48"/>
        <v>0</v>
      </c>
      <c r="AM151" s="145">
        <f t="shared" si="48"/>
        <v>0</v>
      </c>
      <c r="AN151" s="145">
        <f t="shared" si="48"/>
        <v>0</v>
      </c>
      <c r="AO151" s="145">
        <f t="shared" si="48"/>
        <v>0</v>
      </c>
      <c r="AP151" s="133"/>
      <c r="AQ151" s="147" t="str">
        <f t="shared" si="47"/>
        <v/>
      </c>
      <c r="AR151" s="147" t="str">
        <f t="shared" si="47"/>
        <v/>
      </c>
      <c r="AS151" s="147" t="str">
        <f t="shared" si="47"/>
        <v/>
      </c>
      <c r="AT151" s="147" t="str">
        <f t="shared" si="47"/>
        <v/>
      </c>
      <c r="AU151" s="147" t="str">
        <f t="shared" si="47"/>
        <v/>
      </c>
      <c r="AV151" s="147" t="str">
        <f t="shared" si="47"/>
        <v/>
      </c>
      <c r="AW151" s="147" t="str">
        <f t="shared" si="46"/>
        <v/>
      </c>
      <c r="AX151" s="147" t="str">
        <f t="shared" si="46"/>
        <v/>
      </c>
      <c r="AY151" s="147" t="str">
        <f t="shared" si="46"/>
        <v/>
      </c>
      <c r="AZ151" s="147" t="str">
        <f t="shared" si="46"/>
        <v/>
      </c>
      <c r="BA151" s="147" t="str">
        <f t="shared" si="45"/>
        <v/>
      </c>
      <c r="BB151" s="147" t="str">
        <f t="shared" si="45"/>
        <v/>
      </c>
      <c r="BC151" s="147" t="str">
        <f t="shared" si="45"/>
        <v/>
      </c>
      <c r="BD151" s="147" t="str">
        <f t="shared" si="45"/>
        <v/>
      </c>
      <c r="BE151" s="147" t="str">
        <f t="shared" si="45"/>
        <v/>
      </c>
    </row>
    <row r="152" spans="1:57">
      <c r="B152" s="140" t="s">
        <v>985</v>
      </c>
      <c r="C152" s="127" t="s">
        <v>986</v>
      </c>
      <c r="D152" s="128"/>
      <c r="E152" s="128"/>
      <c r="F152" s="128"/>
      <c r="G152" s="128"/>
      <c r="H152" s="128">
        <v>0.54700700000000002</v>
      </c>
      <c r="I152" s="128">
        <v>7.0186928350000004</v>
      </c>
      <c r="J152" s="128">
        <v>5.5324103280000001</v>
      </c>
      <c r="K152" s="128">
        <v>3.247038426</v>
      </c>
      <c r="L152" s="128">
        <v>24.352276746000001</v>
      </c>
      <c r="M152" s="128">
        <v>9.0530168740000008</v>
      </c>
      <c r="N152" s="128">
        <v>0</v>
      </c>
      <c r="O152" s="128">
        <v>0</v>
      </c>
      <c r="P152" s="128">
        <v>0</v>
      </c>
      <c r="Q152" s="128">
        <v>0</v>
      </c>
      <c r="R152" s="110">
        <v>0</v>
      </c>
      <c r="S152" s="110">
        <v>0</v>
      </c>
      <c r="T152" s="110">
        <v>0</v>
      </c>
      <c r="U152" s="110">
        <v>0</v>
      </c>
      <c r="V152" s="110">
        <v>0</v>
      </c>
      <c r="W152" s="158">
        <v>0</v>
      </c>
      <c r="X152" s="110"/>
      <c r="Z152" s="145" t="e">
        <f t="shared" si="50"/>
        <v>#DIV/0!</v>
      </c>
      <c r="AA152" s="145" t="e">
        <f t="shared" si="50"/>
        <v>#DIV/0!</v>
      </c>
      <c r="AB152" s="145" t="e">
        <f t="shared" si="50"/>
        <v>#DIV/0!</v>
      </c>
      <c r="AC152" s="145" t="e">
        <f t="shared" si="50"/>
        <v>#DIV/0!</v>
      </c>
      <c r="AD152" s="145">
        <f t="shared" si="50"/>
        <v>1.7026814673674253E-3</v>
      </c>
      <c r="AE152" s="145">
        <f t="shared" si="50"/>
        <v>1.1706380385490739E-2</v>
      </c>
      <c r="AF152" s="145">
        <f t="shared" si="50"/>
        <v>3.6015437092209715E-3</v>
      </c>
      <c r="AG152" s="145">
        <f t="shared" si="50"/>
        <v>2.0359856039464095E-3</v>
      </c>
      <c r="AH152" s="145">
        <f t="shared" si="48"/>
        <v>1.0911123946893874E-2</v>
      </c>
      <c r="AI152" s="145">
        <f t="shared" si="48"/>
        <v>2.6570257765723255E-3</v>
      </c>
      <c r="AJ152" s="145">
        <f t="shared" si="48"/>
        <v>0</v>
      </c>
      <c r="AK152" s="145">
        <f t="shared" si="48"/>
        <v>0</v>
      </c>
      <c r="AL152" s="145">
        <f t="shared" si="48"/>
        <v>0</v>
      </c>
      <c r="AM152" s="145">
        <f t="shared" si="48"/>
        <v>0</v>
      </c>
      <c r="AN152" s="145">
        <f t="shared" si="48"/>
        <v>0</v>
      </c>
      <c r="AO152" s="145">
        <f t="shared" si="48"/>
        <v>0</v>
      </c>
      <c r="AP152" s="133"/>
      <c r="AQ152" s="147" t="str">
        <f t="shared" si="47"/>
        <v/>
      </c>
      <c r="AR152" s="147" t="str">
        <f t="shared" si="47"/>
        <v/>
      </c>
      <c r="AS152" s="147" t="str">
        <f t="shared" si="47"/>
        <v/>
      </c>
      <c r="AT152" s="147" t="str">
        <f t="shared" si="47"/>
        <v/>
      </c>
      <c r="AU152" s="147">
        <f t="shared" si="47"/>
        <v>11.831084126894172</v>
      </c>
      <c r="AV152" s="147">
        <f t="shared" si="47"/>
        <v>-0.21176058590117808</v>
      </c>
      <c r="AW152" s="147">
        <f t="shared" si="46"/>
        <v>-0.41308792488394042</v>
      </c>
      <c r="AX152" s="147">
        <f t="shared" si="46"/>
        <v>6.4998424875431393</v>
      </c>
      <c r="AY152" s="147">
        <f t="shared" si="46"/>
        <v>-0.62824761855225675</v>
      </c>
      <c r="AZ152" s="147">
        <f t="shared" si="46"/>
        <v>-1</v>
      </c>
      <c r="BA152" s="147" t="str">
        <f t="shared" si="45"/>
        <v/>
      </c>
      <c r="BB152" s="147" t="str">
        <f t="shared" si="45"/>
        <v/>
      </c>
      <c r="BC152" s="147" t="str">
        <f t="shared" si="45"/>
        <v/>
      </c>
      <c r="BD152" s="147" t="str">
        <f t="shared" si="45"/>
        <v/>
      </c>
      <c r="BE152" s="147" t="str">
        <f t="shared" si="45"/>
        <v/>
      </c>
    </row>
    <row r="153" spans="1:57" s="136" customFormat="1">
      <c r="B153" s="154" t="s">
        <v>987</v>
      </c>
      <c r="C153" s="134" t="s">
        <v>988</v>
      </c>
      <c r="D153" s="135"/>
      <c r="E153" s="135"/>
      <c r="F153" s="135"/>
      <c r="G153" s="135"/>
      <c r="H153" s="135">
        <v>321.26208600000001</v>
      </c>
      <c r="I153" s="135">
        <v>599.56131646799997</v>
      </c>
      <c r="J153" s="135">
        <v>1536.1219451080001</v>
      </c>
      <c r="K153" s="135">
        <v>1594.82386305</v>
      </c>
      <c r="L153" s="135">
        <v>2231.8760986060001</v>
      </c>
      <c r="M153" s="135">
        <v>3407.1994911840002</v>
      </c>
      <c r="N153" s="135">
        <v>7265.7622338740002</v>
      </c>
      <c r="O153" s="135">
        <v>14854.263232990999</v>
      </c>
      <c r="P153" s="135">
        <v>22822.66421522</v>
      </c>
      <c r="Q153" s="135">
        <v>28122.531486856002</v>
      </c>
      <c r="R153" s="111">
        <v>41708.095544882999</v>
      </c>
      <c r="S153" s="111">
        <v>46030.879952454001</v>
      </c>
      <c r="T153" s="111">
        <v>62971.404814941998</v>
      </c>
      <c r="U153" s="111">
        <v>55834.209834075002</v>
      </c>
      <c r="V153" s="111">
        <v>60107.878446294999</v>
      </c>
      <c r="W153" s="155">
        <v>70218.709730061993</v>
      </c>
      <c r="X153" s="111"/>
      <c r="Z153" s="145" t="e">
        <f t="shared" si="50"/>
        <v>#DIV/0!</v>
      </c>
      <c r="AA153" s="145" t="e">
        <f t="shared" si="50"/>
        <v>#DIV/0!</v>
      </c>
      <c r="AB153" s="145" t="e">
        <f t="shared" si="50"/>
        <v>#DIV/0!</v>
      </c>
      <c r="AC153" s="145" t="e">
        <f t="shared" si="50"/>
        <v>#DIV/0!</v>
      </c>
      <c r="AD153" s="145">
        <f t="shared" si="50"/>
        <v>1</v>
      </c>
      <c r="AE153" s="145">
        <f t="shared" si="50"/>
        <v>1</v>
      </c>
      <c r="AF153" s="145">
        <f t="shared" si="50"/>
        <v>1</v>
      </c>
      <c r="AG153" s="145">
        <f t="shared" si="50"/>
        <v>1</v>
      </c>
      <c r="AH153" s="145">
        <f t="shared" si="48"/>
        <v>1</v>
      </c>
      <c r="AI153" s="145">
        <f t="shared" si="48"/>
        <v>1</v>
      </c>
      <c r="AJ153" s="145">
        <f t="shared" si="48"/>
        <v>1</v>
      </c>
      <c r="AK153" s="145">
        <f t="shared" si="48"/>
        <v>1</v>
      </c>
      <c r="AL153" s="145">
        <f t="shared" si="48"/>
        <v>1</v>
      </c>
      <c r="AM153" s="145">
        <f t="shared" si="48"/>
        <v>1</v>
      </c>
      <c r="AN153" s="145">
        <f t="shared" si="48"/>
        <v>1</v>
      </c>
      <c r="AO153" s="145">
        <f t="shared" si="48"/>
        <v>1</v>
      </c>
      <c r="AP153" s="146"/>
      <c r="AQ153" s="145" t="str">
        <f t="shared" si="47"/>
        <v/>
      </c>
      <c r="AR153" s="145" t="str">
        <f t="shared" si="47"/>
        <v/>
      </c>
      <c r="AS153" s="145" t="str">
        <f t="shared" si="47"/>
        <v/>
      </c>
      <c r="AT153" s="145" t="str">
        <f t="shared" si="47"/>
        <v/>
      </c>
      <c r="AU153" s="145">
        <f t="shared" si="47"/>
        <v>0.86626851594308563</v>
      </c>
      <c r="AV153" s="145">
        <f t="shared" si="47"/>
        <v>1.562076476443234</v>
      </c>
      <c r="AW153" s="145">
        <f t="shared" si="46"/>
        <v>3.8214360603951114E-2</v>
      </c>
      <c r="AX153" s="145">
        <f t="shared" si="46"/>
        <v>0.39944990184538498</v>
      </c>
      <c r="AY153" s="145">
        <f t="shared" si="46"/>
        <v>0.5266078136291219</v>
      </c>
      <c r="AZ153" s="145">
        <f t="shared" si="46"/>
        <v>1.1324733854515667</v>
      </c>
      <c r="BA153" s="145">
        <f t="shared" si="45"/>
        <v>1.0444191200942892</v>
      </c>
      <c r="BB153" s="145">
        <f t="shared" si="45"/>
        <v>0.5364386544955897</v>
      </c>
      <c r="BC153" s="145">
        <f t="shared" si="45"/>
        <v>0.2322194824257906</v>
      </c>
      <c r="BD153" s="145">
        <f t="shared" si="45"/>
        <v>0.48308467764990004</v>
      </c>
      <c r="BE153" s="145">
        <f t="shared" si="45"/>
        <v>0.10364377349522358</v>
      </c>
    </row>
    <row r="154" spans="1:57">
      <c r="B154" s="140"/>
    </row>
    <row r="155" spans="1:57" ht="16">
      <c r="A155" s="129">
        <v>3</v>
      </c>
      <c r="B155" s="130" t="s">
        <v>989</v>
      </c>
      <c r="C155" s="150" t="s">
        <v>990</v>
      </c>
      <c r="D155" s="149"/>
      <c r="E155" s="149" t="s">
        <v>724</v>
      </c>
      <c r="F155" s="149" t="s">
        <v>725</v>
      </c>
      <c r="G155" s="149" t="s">
        <v>726</v>
      </c>
      <c r="H155" s="149" t="s">
        <v>727</v>
      </c>
      <c r="I155" s="149" t="s">
        <v>728</v>
      </c>
      <c r="J155" s="149" t="s">
        <v>729</v>
      </c>
      <c r="K155" s="149" t="s">
        <v>730</v>
      </c>
      <c r="L155" s="149" t="s">
        <v>731</v>
      </c>
      <c r="M155" s="149" t="s">
        <v>732</v>
      </c>
      <c r="N155" s="149" t="s">
        <v>733</v>
      </c>
      <c r="O155" s="149" t="s">
        <v>734</v>
      </c>
      <c r="P155" s="149" t="s">
        <v>735</v>
      </c>
      <c r="Q155" s="149" t="s">
        <v>736</v>
      </c>
      <c r="R155" s="149">
        <f>R1</f>
        <v>2019</v>
      </c>
      <c r="S155" s="149">
        <f>S1</f>
        <v>2020</v>
      </c>
      <c r="T155" s="149"/>
      <c r="U155" s="149"/>
      <c r="V155" s="149"/>
      <c r="W155" s="291"/>
      <c r="X155" s="149"/>
    </row>
    <row r="156" spans="1:57">
      <c r="B156" s="140" t="s">
        <v>991</v>
      </c>
      <c r="C156" s="127" t="s">
        <v>992</v>
      </c>
      <c r="D156" s="128"/>
      <c r="E156" s="128"/>
      <c r="F156" s="128"/>
      <c r="G156" s="128"/>
      <c r="H156" s="128">
        <v>58.389643999999997</v>
      </c>
      <c r="I156" s="128">
        <v>154.28619223600001</v>
      </c>
      <c r="J156" s="128">
        <v>212.60483583600001</v>
      </c>
      <c r="K156" s="128">
        <v>168.46894458700001</v>
      </c>
      <c r="L156" s="128">
        <v>350.78762956399999</v>
      </c>
      <c r="M156" s="128">
        <v>868.19744309400005</v>
      </c>
      <c r="N156" s="128">
        <v>1385.783787694</v>
      </c>
      <c r="O156" s="128">
        <v>2005.9141149229999</v>
      </c>
      <c r="P156" s="128">
        <v>2809.3120326459998</v>
      </c>
      <c r="Q156" s="128">
        <v>3786.318568918</v>
      </c>
      <c r="R156" s="110">
        <v>5053.447204696</v>
      </c>
      <c r="S156" s="110">
        <v>5409.7354073529996</v>
      </c>
      <c r="T156" s="110">
        <v>6471.583750543</v>
      </c>
      <c r="U156" s="110">
        <v>6056.3553735579999</v>
      </c>
      <c r="V156" s="110">
        <v>689.69236789599995</v>
      </c>
      <c r="W156" s="158">
        <v>4825.7630130779999</v>
      </c>
      <c r="X156" s="110"/>
    </row>
    <row r="157" spans="1:57">
      <c r="B157" s="140" t="s">
        <v>993</v>
      </c>
      <c r="C157" s="127" t="s">
        <v>994</v>
      </c>
      <c r="D157" s="128"/>
      <c r="E157" s="128"/>
      <c r="F157" s="128"/>
      <c r="G157" s="128"/>
      <c r="H157" s="128">
        <v>3.4886379999999999</v>
      </c>
      <c r="I157" s="128">
        <v>4.3733995969999997</v>
      </c>
      <c r="J157" s="128">
        <v>8.8225742549999993</v>
      </c>
      <c r="K157" s="128">
        <v>27.524836686</v>
      </c>
      <c r="L157" s="128">
        <v>34.254161373000002</v>
      </c>
      <c r="M157" s="128">
        <v>116.388450156</v>
      </c>
      <c r="N157" s="128">
        <v>197.056011824</v>
      </c>
      <c r="O157" s="128">
        <v>386.63452235599999</v>
      </c>
      <c r="P157" s="128">
        <v>689.71370863200002</v>
      </c>
      <c r="Q157" s="128">
        <v>1222.8686837170001</v>
      </c>
      <c r="R157" s="110">
        <v>1442.8269389540001</v>
      </c>
      <c r="S157" s="110">
        <v>2195.5830710350001</v>
      </c>
      <c r="T157" s="110">
        <v>2920.7136084099998</v>
      </c>
      <c r="U157" s="110">
        <v>3582.4248188289998</v>
      </c>
      <c r="V157" s="110">
        <v>3380.5307272549999</v>
      </c>
      <c r="W157" s="158">
        <v>2913.4190814829999</v>
      </c>
      <c r="X157" s="110"/>
    </row>
    <row r="158" spans="1:57">
      <c r="B158" s="140" t="s">
        <v>995</v>
      </c>
      <c r="C158" s="127" t="s">
        <v>996</v>
      </c>
      <c r="D158" s="128"/>
      <c r="E158" s="128"/>
      <c r="F158" s="128"/>
      <c r="G158" s="128"/>
      <c r="H158" s="128">
        <v>0</v>
      </c>
      <c r="I158" s="128">
        <v>0</v>
      </c>
      <c r="J158" s="128">
        <v>0</v>
      </c>
      <c r="K158" s="128">
        <v>0</v>
      </c>
      <c r="L158" s="128">
        <v>0</v>
      </c>
      <c r="M158" s="128">
        <v>0</v>
      </c>
      <c r="N158" s="128">
        <v>0</v>
      </c>
      <c r="O158" s="128">
        <v>0</v>
      </c>
      <c r="P158" s="128">
        <v>0</v>
      </c>
      <c r="Q158" s="128">
        <v>0</v>
      </c>
      <c r="R158" s="110">
        <v>0</v>
      </c>
      <c r="S158" s="110">
        <v>0</v>
      </c>
      <c r="T158" s="110">
        <v>0</v>
      </c>
      <c r="U158" s="110">
        <v>0</v>
      </c>
      <c r="V158" s="110">
        <v>0</v>
      </c>
      <c r="W158" s="158">
        <v>0</v>
      </c>
      <c r="X158" s="110"/>
    </row>
    <row r="159" spans="1:57">
      <c r="B159" s="140" t="s">
        <v>574</v>
      </c>
      <c r="C159" s="127" t="s">
        <v>997</v>
      </c>
      <c r="D159" s="128"/>
      <c r="E159" s="128"/>
      <c r="F159" s="128"/>
      <c r="G159" s="128"/>
      <c r="H159" s="128">
        <v>0</v>
      </c>
      <c r="I159" s="128">
        <v>0.93402087300000003</v>
      </c>
      <c r="J159" s="128">
        <v>-0.37755919500000001</v>
      </c>
      <c r="K159" s="128">
        <v>9.9972437840000001</v>
      </c>
      <c r="L159" s="128">
        <v>2.7786728649999999</v>
      </c>
      <c r="M159" s="128">
        <v>50.319643792999997</v>
      </c>
      <c r="N159" s="128">
        <v>32.187455819</v>
      </c>
      <c r="O159" s="128">
        <v>78.431491257999994</v>
      </c>
      <c r="P159" s="128">
        <v>125.969042598</v>
      </c>
      <c r="Q159" s="128">
        <v>126.08362682800001</v>
      </c>
      <c r="R159" s="110">
        <v>90.495782206000001</v>
      </c>
      <c r="S159" s="110">
        <v>58.366659386000002</v>
      </c>
      <c r="T159" s="110">
        <v>179.550717177</v>
      </c>
      <c r="U159" s="110">
        <v>-321.79936688399999</v>
      </c>
      <c r="V159" s="110">
        <v>-165.930068132</v>
      </c>
      <c r="W159" s="158">
        <v>220.95265159100001</v>
      </c>
      <c r="X159" s="110"/>
    </row>
    <row r="160" spans="1:57">
      <c r="B160" s="140" t="s">
        <v>998</v>
      </c>
      <c r="C160" s="127" t="s">
        <v>999</v>
      </c>
      <c r="D160" s="128"/>
      <c r="E160" s="128"/>
      <c r="F160" s="128"/>
      <c r="G160" s="128"/>
      <c r="H160" s="128">
        <v>0</v>
      </c>
      <c r="I160" s="128">
        <v>0</v>
      </c>
      <c r="J160" s="128">
        <v>0</v>
      </c>
      <c r="K160" s="128">
        <v>0</v>
      </c>
      <c r="L160" s="128">
        <v>0</v>
      </c>
      <c r="M160" s="128">
        <v>0</v>
      </c>
      <c r="N160" s="128">
        <v>-0.13891648700000001</v>
      </c>
      <c r="O160" s="128">
        <v>-9.1382580000000005E-2</v>
      </c>
      <c r="P160" s="128">
        <v>0.91176455899999997</v>
      </c>
      <c r="Q160" s="128">
        <v>-0.10705930600000001</v>
      </c>
      <c r="R160" s="110">
        <v>-2.7160363999999999E-2</v>
      </c>
      <c r="S160" s="110">
        <v>-3.6874577999999998E-2</v>
      </c>
      <c r="T160" s="110">
        <v>-0.14665399400000001</v>
      </c>
      <c r="U160" s="110">
        <v>0.28437441400000002</v>
      </c>
      <c r="V160" s="110">
        <v>83.631272202000005</v>
      </c>
      <c r="W160" s="158">
        <v>25.885524365999999</v>
      </c>
      <c r="X160" s="110"/>
    </row>
    <row r="161" spans="2:23">
      <c r="B161" s="140" t="s">
        <v>1000</v>
      </c>
      <c r="C161" s="127" t="s">
        <v>1001</v>
      </c>
      <c r="D161" s="128"/>
      <c r="E161" s="128"/>
      <c r="F161" s="128"/>
      <c r="G161" s="128"/>
      <c r="H161" s="128">
        <v>-6.3654000000000002E-2</v>
      </c>
      <c r="I161" s="128">
        <v>0</v>
      </c>
      <c r="J161" s="128">
        <v>0</v>
      </c>
      <c r="K161" s="128">
        <v>0</v>
      </c>
      <c r="L161" s="128">
        <v>0</v>
      </c>
      <c r="M161" s="128">
        <v>0</v>
      </c>
      <c r="N161" s="128">
        <v>0</v>
      </c>
      <c r="O161" s="128">
        <v>0</v>
      </c>
      <c r="P161" s="128">
        <v>0</v>
      </c>
      <c r="Q161" s="128">
        <v>0</v>
      </c>
      <c r="R161" s="110">
        <v>0</v>
      </c>
      <c r="S161" s="110">
        <v>0</v>
      </c>
      <c r="T161" s="110">
        <v>0</v>
      </c>
      <c r="U161" s="110">
        <v>0</v>
      </c>
      <c r="V161" s="110">
        <v>0</v>
      </c>
      <c r="W161" s="288">
        <v>0</v>
      </c>
    </row>
    <row r="162" spans="2:23">
      <c r="B162" s="140" t="s">
        <v>1002</v>
      </c>
      <c r="C162" s="127" t="s">
        <v>1003</v>
      </c>
      <c r="D162" s="128"/>
      <c r="E162" s="128"/>
      <c r="F162" s="128"/>
      <c r="G162" s="128"/>
      <c r="H162" s="128">
        <v>0</v>
      </c>
      <c r="I162" s="128">
        <v>0.23160755099999999</v>
      </c>
      <c r="J162" s="128">
        <v>0.30574109799999999</v>
      </c>
      <c r="K162" s="128">
        <v>-0.95730516499999996</v>
      </c>
      <c r="L162" s="128">
        <v>0.201097567</v>
      </c>
      <c r="M162" s="128">
        <v>-4.9215577489999998</v>
      </c>
      <c r="N162" s="128">
        <v>-0.85641502999999997</v>
      </c>
      <c r="O162" s="128">
        <v>2.261763E-3</v>
      </c>
      <c r="P162" s="128">
        <v>-35.336741306999997</v>
      </c>
      <c r="Q162" s="128">
        <v>-84.857279583999997</v>
      </c>
      <c r="R162" s="110">
        <v>-341.19461383200002</v>
      </c>
      <c r="S162" s="110">
        <v>-557.62714853600005</v>
      </c>
      <c r="T162" s="110">
        <v>-959.32358063300001</v>
      </c>
      <c r="U162" s="110">
        <v>-388.83240019599998</v>
      </c>
      <c r="V162" s="110">
        <v>-1538.3068006369999</v>
      </c>
      <c r="W162" s="288">
        <v>-1729.1641034879999</v>
      </c>
    </row>
    <row r="163" spans="2:23">
      <c r="B163" s="140" t="s">
        <v>577</v>
      </c>
      <c r="C163" s="127" t="s">
        <v>1004</v>
      </c>
      <c r="D163" s="128"/>
      <c r="E163" s="128"/>
      <c r="F163" s="128"/>
      <c r="G163" s="128"/>
      <c r="H163" s="128">
        <v>2.7371780000000001</v>
      </c>
      <c r="I163" s="128">
        <v>2.491792813</v>
      </c>
      <c r="J163" s="128">
        <v>27.749767866999999</v>
      </c>
      <c r="K163" s="128">
        <v>53.652435695999998</v>
      </c>
      <c r="L163" s="128">
        <v>26.535371431000002</v>
      </c>
      <c r="M163" s="128">
        <v>21.261415760999999</v>
      </c>
      <c r="N163" s="128">
        <v>38.893852013999997</v>
      </c>
      <c r="O163" s="128">
        <v>119.64569530599999</v>
      </c>
      <c r="P163" s="128">
        <v>233.20234049199999</v>
      </c>
      <c r="Q163" s="128">
        <v>436.416577674</v>
      </c>
      <c r="R163" s="110">
        <v>568.13671713400004</v>
      </c>
      <c r="S163" s="110">
        <v>594.00382102100002</v>
      </c>
      <c r="T163" s="110">
        <v>674.427746189</v>
      </c>
      <c r="U163" s="110">
        <v>1362.1439091029999</v>
      </c>
      <c r="V163" s="110">
        <v>1447.7183547970001</v>
      </c>
      <c r="W163" s="288">
        <v>1137.2361297479999</v>
      </c>
    </row>
    <row r="164" spans="2:23">
      <c r="B164" s="140" t="s">
        <v>1005</v>
      </c>
      <c r="C164" s="127" t="s">
        <v>1006</v>
      </c>
      <c r="D164" s="128"/>
      <c r="E164" s="128"/>
      <c r="F164" s="128"/>
      <c r="G164" s="128"/>
      <c r="H164" s="128">
        <v>0</v>
      </c>
      <c r="I164" s="128">
        <v>0</v>
      </c>
      <c r="J164" s="128">
        <v>0</v>
      </c>
      <c r="K164" s="128">
        <v>0</v>
      </c>
      <c r="L164" s="128">
        <v>0</v>
      </c>
      <c r="M164" s="128">
        <v>0</v>
      </c>
      <c r="N164" s="128">
        <v>0</v>
      </c>
      <c r="O164" s="128">
        <v>0</v>
      </c>
      <c r="P164" s="128">
        <v>0</v>
      </c>
      <c r="Q164" s="128">
        <v>0</v>
      </c>
      <c r="R164" s="110">
        <v>0</v>
      </c>
      <c r="S164" s="110">
        <v>0</v>
      </c>
      <c r="T164" s="110">
        <v>0</v>
      </c>
      <c r="U164" s="110">
        <v>0</v>
      </c>
      <c r="V164" s="110">
        <v>0</v>
      </c>
      <c r="W164" s="288">
        <v>0</v>
      </c>
    </row>
    <row r="165" spans="2:23">
      <c r="B165" s="140" t="s">
        <v>1007</v>
      </c>
      <c r="C165" s="127" t="s">
        <v>1008</v>
      </c>
      <c r="D165" s="128"/>
      <c r="E165" s="128"/>
      <c r="F165" s="128"/>
      <c r="G165" s="128"/>
      <c r="H165" s="128">
        <v>0</v>
      </c>
      <c r="I165" s="128">
        <v>0</v>
      </c>
      <c r="J165" s="128">
        <v>0</v>
      </c>
      <c r="K165" s="128">
        <v>0</v>
      </c>
      <c r="L165" s="128">
        <v>0</v>
      </c>
      <c r="M165" s="128">
        <v>0</v>
      </c>
      <c r="N165" s="128">
        <v>0</v>
      </c>
      <c r="O165" s="128">
        <v>0</v>
      </c>
      <c r="P165" s="128">
        <v>0</v>
      </c>
      <c r="Q165" s="128">
        <v>0</v>
      </c>
      <c r="R165" s="110">
        <v>0</v>
      </c>
      <c r="S165" s="110">
        <v>0</v>
      </c>
      <c r="T165" s="110">
        <v>0</v>
      </c>
      <c r="U165" s="110">
        <v>0</v>
      </c>
      <c r="V165" s="110">
        <v>0</v>
      </c>
      <c r="W165" s="288">
        <v>0</v>
      </c>
    </row>
    <row r="166" spans="2:23" s="136" customFormat="1">
      <c r="B166" s="154" t="s">
        <v>1009</v>
      </c>
      <c r="C166" s="144" t="s">
        <v>1010</v>
      </c>
      <c r="D166" s="135"/>
      <c r="E166" s="135"/>
      <c r="F166" s="135"/>
      <c r="G166" s="135"/>
      <c r="H166" s="135">
        <v>64.551805999999999</v>
      </c>
      <c r="I166" s="135">
        <v>162.31701307</v>
      </c>
      <c r="J166" s="135">
        <v>249.10535986100001</v>
      </c>
      <c r="K166" s="135">
        <v>258.68615558800002</v>
      </c>
      <c r="L166" s="135">
        <v>414.55693280000003</v>
      </c>
      <c r="M166" s="135">
        <v>1051.245395055</v>
      </c>
      <c r="N166" s="135">
        <v>1652.925775834</v>
      </c>
      <c r="O166" s="135">
        <v>2590.5367030259999</v>
      </c>
      <c r="P166" s="135">
        <v>3823.7721476199999</v>
      </c>
      <c r="Q166" s="135">
        <v>5486.7231182469995</v>
      </c>
      <c r="R166" s="111">
        <v>6813.6848687940001</v>
      </c>
      <c r="S166" s="111">
        <v>7700.024935681</v>
      </c>
      <c r="T166" s="111">
        <v>9286.8055876920007</v>
      </c>
      <c r="U166" s="111">
        <v>10290.576708824001</v>
      </c>
      <c r="V166" s="111">
        <v>3897.3358533810001</v>
      </c>
      <c r="W166" s="155">
        <v>7394.0922967779998</v>
      </c>
    </row>
    <row r="167" spans="2:23">
      <c r="B167" s="140" t="s">
        <v>1011</v>
      </c>
      <c r="C167" s="127" t="s">
        <v>1012</v>
      </c>
      <c r="D167" s="128"/>
      <c r="E167" s="128"/>
      <c r="F167" s="128"/>
      <c r="G167" s="128"/>
      <c r="H167" s="128">
        <v>-38.658687999999998</v>
      </c>
      <c r="I167" s="128">
        <v>-83.603912962999999</v>
      </c>
      <c r="J167" s="128">
        <v>-122.70679997400001</v>
      </c>
      <c r="K167" s="128">
        <v>56.282285043999998</v>
      </c>
      <c r="L167" s="128">
        <v>-116.625906539</v>
      </c>
      <c r="M167" s="128">
        <v>-69.681219037999995</v>
      </c>
      <c r="N167" s="128">
        <v>-476.68531177</v>
      </c>
      <c r="O167" s="128">
        <v>-989.51772862999997</v>
      </c>
      <c r="P167" s="128">
        <v>-1322.94924496</v>
      </c>
      <c r="Q167" s="128">
        <v>1246.6468239809999</v>
      </c>
      <c r="R167" s="110">
        <v>-675.97988220100001</v>
      </c>
      <c r="S167" s="110">
        <v>850.49323803599998</v>
      </c>
      <c r="T167" s="110">
        <v>-827.59610546700003</v>
      </c>
      <c r="U167" s="110">
        <v>-651.239029878</v>
      </c>
      <c r="V167" s="110">
        <v>675.79930311700002</v>
      </c>
      <c r="W167" s="288">
        <v>213.43405013500001</v>
      </c>
    </row>
    <row r="168" spans="2:23">
      <c r="B168" s="140" t="s">
        <v>1013</v>
      </c>
      <c r="C168" s="127" t="s">
        <v>1014</v>
      </c>
      <c r="D168" s="128"/>
      <c r="E168" s="128"/>
      <c r="F168" s="128"/>
      <c r="G168" s="128"/>
      <c r="H168" s="128">
        <v>-88.988208999999998</v>
      </c>
      <c r="I168" s="128">
        <v>-152.40493124599999</v>
      </c>
      <c r="J168" s="128">
        <v>-537.27119486599997</v>
      </c>
      <c r="K168" s="128">
        <v>-87.414920229000003</v>
      </c>
      <c r="L168" s="128">
        <v>-340.163891869</v>
      </c>
      <c r="M168" s="128">
        <v>-948.83858925599998</v>
      </c>
      <c r="N168" s="128">
        <v>-2756.1915626929999</v>
      </c>
      <c r="O168" s="128">
        <v>-4503.9490771999999</v>
      </c>
      <c r="P168" s="128">
        <v>-2796.2978921009999</v>
      </c>
      <c r="Q168" s="128">
        <v>-4672.9441944600003</v>
      </c>
      <c r="R168" s="110">
        <v>-8374.7970301309997</v>
      </c>
      <c r="S168" s="110">
        <v>6269.571171519</v>
      </c>
      <c r="T168" s="110">
        <v>-9923.7053153529996</v>
      </c>
      <c r="U168" s="110">
        <v>3791.9374210330002</v>
      </c>
      <c r="V168" s="110">
        <v>4169.0317574729997</v>
      </c>
      <c r="W168" s="288">
        <v>-636.92791430499994</v>
      </c>
    </row>
    <row r="169" spans="2:23">
      <c r="B169" s="140" t="s">
        <v>1015</v>
      </c>
      <c r="C169" s="127" t="s">
        <v>1016</v>
      </c>
      <c r="D169" s="128"/>
      <c r="E169" s="128"/>
      <c r="F169" s="128"/>
      <c r="G169" s="128"/>
      <c r="H169" s="128">
        <v>76.006067999999999</v>
      </c>
      <c r="I169" s="128">
        <v>151.83176254399999</v>
      </c>
      <c r="J169" s="128">
        <v>563.58918934500002</v>
      </c>
      <c r="K169" s="128">
        <v>-143.400408556</v>
      </c>
      <c r="L169" s="128">
        <v>129.409197568</v>
      </c>
      <c r="M169" s="128">
        <v>415.27592160299997</v>
      </c>
      <c r="N169" s="128">
        <v>1235.3572664880001</v>
      </c>
      <c r="O169" s="128">
        <v>3124.5645714799998</v>
      </c>
      <c r="P169" s="128">
        <v>3970.3367611570002</v>
      </c>
      <c r="Q169" s="128">
        <v>1331.042865781</v>
      </c>
      <c r="R169" s="110">
        <v>2823.9423111840001</v>
      </c>
      <c r="S169" s="110">
        <v>-1894.206905085</v>
      </c>
      <c r="T169" s="110">
        <v>3781.6149048010002</v>
      </c>
      <c r="U169" s="110">
        <v>-2286.642759161</v>
      </c>
      <c r="V169" s="110">
        <v>-3138.5630123740002</v>
      </c>
      <c r="W169" s="288">
        <v>3519.3819220629998</v>
      </c>
    </row>
    <row r="170" spans="2:23">
      <c r="B170" s="140" t="s">
        <v>1017</v>
      </c>
      <c r="C170" s="127" t="s">
        <v>1018</v>
      </c>
      <c r="D170" s="128"/>
      <c r="E170" s="128"/>
      <c r="F170" s="128"/>
      <c r="G170" s="128"/>
      <c r="H170" s="128">
        <v>1.77284</v>
      </c>
      <c r="I170" s="128">
        <v>-3.2540213530000002</v>
      </c>
      <c r="J170" s="128">
        <v>-139.67162707200001</v>
      </c>
      <c r="K170" s="128">
        <v>-3.6304894769999998</v>
      </c>
      <c r="L170" s="128">
        <v>101.125017946</v>
      </c>
      <c r="M170" s="128">
        <v>-69.527740506000001</v>
      </c>
      <c r="N170" s="128">
        <v>-63.386564833000001</v>
      </c>
      <c r="O170" s="128">
        <v>-164.867267201</v>
      </c>
      <c r="P170" s="128">
        <v>-96.805747662000002</v>
      </c>
      <c r="Q170" s="128">
        <v>126.75331378</v>
      </c>
      <c r="R170" s="110">
        <v>-227.80503446099999</v>
      </c>
      <c r="S170" s="110">
        <v>-75.119169600000006</v>
      </c>
      <c r="T170" s="110">
        <v>-27.490477725000002</v>
      </c>
      <c r="U170" s="110">
        <v>-93.497705664999998</v>
      </c>
      <c r="V170" s="110">
        <v>130.00010345499999</v>
      </c>
      <c r="W170" s="288">
        <v>127.788870902</v>
      </c>
    </row>
    <row r="171" spans="2:23">
      <c r="B171" s="140" t="s">
        <v>1019</v>
      </c>
      <c r="C171" s="127" t="s">
        <v>1020</v>
      </c>
      <c r="D171" s="128"/>
      <c r="E171" s="128"/>
      <c r="F171" s="128"/>
      <c r="G171" s="128"/>
      <c r="H171" s="128">
        <v>0</v>
      </c>
      <c r="I171" s="128">
        <v>0</v>
      </c>
      <c r="J171" s="128">
        <v>0</v>
      </c>
      <c r="K171" s="128">
        <v>0</v>
      </c>
      <c r="L171" s="128">
        <v>0</v>
      </c>
      <c r="M171" s="128">
        <v>0</v>
      </c>
      <c r="N171" s="128">
        <v>0</v>
      </c>
      <c r="O171" s="128">
        <v>0</v>
      </c>
      <c r="P171" s="128">
        <v>0</v>
      </c>
      <c r="Q171" s="128">
        <v>0</v>
      </c>
      <c r="R171" s="110">
        <v>0</v>
      </c>
      <c r="S171" s="110">
        <v>0</v>
      </c>
      <c r="T171" s="110">
        <v>0</v>
      </c>
      <c r="U171" s="110">
        <v>0</v>
      </c>
      <c r="V171" s="110">
        <v>0</v>
      </c>
      <c r="W171" s="288">
        <v>0</v>
      </c>
    </row>
    <row r="172" spans="2:23">
      <c r="B172" s="140" t="s">
        <v>581</v>
      </c>
      <c r="C172" s="127" t="s">
        <v>1021</v>
      </c>
      <c r="D172" s="128"/>
      <c r="E172" s="128"/>
      <c r="F172" s="128"/>
      <c r="G172" s="128"/>
      <c r="H172" s="128">
        <v>-2.7371780000000001</v>
      </c>
      <c r="I172" s="128">
        <v>-2.491792813</v>
      </c>
      <c r="J172" s="128">
        <v>-26.266182715999999</v>
      </c>
      <c r="K172" s="128">
        <v>-54.773050349000002</v>
      </c>
      <c r="L172" s="128">
        <v>-26.262404800999999</v>
      </c>
      <c r="M172" s="128">
        <v>-21.122048282000002</v>
      </c>
      <c r="N172" s="128">
        <v>-37.442521378999999</v>
      </c>
      <c r="O172" s="128">
        <v>-112.394627462</v>
      </c>
      <c r="P172" s="128">
        <v>-223.723867627</v>
      </c>
      <c r="Q172" s="128">
        <v>-427.56437650999999</v>
      </c>
      <c r="R172" s="110">
        <v>-537.997464046</v>
      </c>
      <c r="S172" s="110">
        <v>-563.74861204499996</v>
      </c>
      <c r="T172" s="110">
        <v>-585.13603521899995</v>
      </c>
      <c r="U172" s="110">
        <v>-1322.381109404</v>
      </c>
      <c r="V172" s="110">
        <v>-1435.7318706159999</v>
      </c>
      <c r="W172" s="288">
        <v>-1141.5215407339999</v>
      </c>
    </row>
    <row r="173" spans="2:23">
      <c r="B173" s="140" t="s">
        <v>1022</v>
      </c>
      <c r="C173" s="127" t="s">
        <v>1023</v>
      </c>
      <c r="D173" s="128"/>
      <c r="E173" s="128"/>
      <c r="F173" s="128"/>
      <c r="G173" s="128"/>
      <c r="H173" s="128">
        <v>0</v>
      </c>
      <c r="I173" s="128">
        <v>-25.294137044999999</v>
      </c>
      <c r="J173" s="128">
        <v>-49.751683290000003</v>
      </c>
      <c r="K173" s="128">
        <v>-52.547833093999998</v>
      </c>
      <c r="L173" s="128">
        <v>-58.109616672000001</v>
      </c>
      <c r="M173" s="128">
        <v>-221.55324603</v>
      </c>
      <c r="N173" s="128">
        <v>-196.048457727</v>
      </c>
      <c r="O173" s="128">
        <v>-530.85420391299999</v>
      </c>
      <c r="P173" s="128">
        <v>-690.66819957200005</v>
      </c>
      <c r="Q173" s="128">
        <v>-829.52301975</v>
      </c>
      <c r="R173" s="110">
        <v>-1092.1285471839999</v>
      </c>
      <c r="S173" s="110">
        <v>-1494.5854397319999</v>
      </c>
      <c r="T173" s="110">
        <v>-1533.1021228069999</v>
      </c>
      <c r="U173" s="110">
        <v>-1805.3408443339999</v>
      </c>
      <c r="V173" s="110">
        <v>-861.931958366</v>
      </c>
      <c r="W173" s="288">
        <v>-958.91497809800001</v>
      </c>
    </row>
    <row r="174" spans="2:23">
      <c r="B174" s="140" t="s">
        <v>1024</v>
      </c>
      <c r="C174" s="127" t="s">
        <v>1025</v>
      </c>
      <c r="D174" s="128"/>
      <c r="E174" s="128"/>
      <c r="F174" s="128"/>
      <c r="G174" s="128"/>
      <c r="H174" s="128">
        <v>0</v>
      </c>
      <c r="I174" s="128">
        <v>0</v>
      </c>
      <c r="J174" s="128">
        <v>0</v>
      </c>
      <c r="K174" s="128">
        <v>0</v>
      </c>
      <c r="L174" s="128">
        <v>0</v>
      </c>
      <c r="M174" s="128">
        <v>0</v>
      </c>
      <c r="N174" s="128">
        <v>0</v>
      </c>
      <c r="O174" s="128">
        <v>0</v>
      </c>
      <c r="P174" s="128">
        <v>0</v>
      </c>
      <c r="Q174" s="128">
        <v>0</v>
      </c>
      <c r="R174" s="110">
        <v>0</v>
      </c>
      <c r="S174" s="110">
        <v>0</v>
      </c>
      <c r="T174" s="110">
        <v>0</v>
      </c>
      <c r="U174" s="110">
        <v>0</v>
      </c>
      <c r="V174" s="110">
        <v>0</v>
      </c>
      <c r="W174" s="288">
        <v>0</v>
      </c>
    </row>
    <row r="175" spans="2:23">
      <c r="B175" s="140" t="s">
        <v>1026</v>
      </c>
      <c r="C175" s="127" t="s">
        <v>1027</v>
      </c>
      <c r="D175" s="128"/>
      <c r="E175" s="128"/>
      <c r="F175" s="128"/>
      <c r="G175" s="128"/>
      <c r="H175" s="128">
        <v>0</v>
      </c>
      <c r="I175" s="128">
        <v>0</v>
      </c>
      <c r="J175" s="128">
        <v>0</v>
      </c>
      <c r="K175" s="128">
        <v>0</v>
      </c>
      <c r="L175" s="128">
        <v>0</v>
      </c>
      <c r="M175" s="128">
        <v>-36.133740037999999</v>
      </c>
      <c r="N175" s="128">
        <v>0</v>
      </c>
      <c r="O175" s="128">
        <v>0</v>
      </c>
      <c r="P175" s="128">
        <v>0</v>
      </c>
      <c r="Q175" s="128">
        <v>0</v>
      </c>
      <c r="R175" s="110">
        <v>-15</v>
      </c>
      <c r="S175" s="110">
        <v>0</v>
      </c>
      <c r="T175" s="110">
        <v>0</v>
      </c>
      <c r="U175" s="110">
        <v>0</v>
      </c>
      <c r="V175" s="110">
        <v>0</v>
      </c>
      <c r="W175" s="288">
        <v>0</v>
      </c>
    </row>
    <row r="176" spans="2:23" s="136" customFormat="1">
      <c r="B176" s="154" t="s">
        <v>1028</v>
      </c>
      <c r="C176" s="134" t="s">
        <v>1029</v>
      </c>
      <c r="D176" s="135"/>
      <c r="E176" s="135"/>
      <c r="F176" s="135"/>
      <c r="G176" s="135"/>
      <c r="H176" s="135">
        <v>11.946638999999999</v>
      </c>
      <c r="I176" s="135">
        <v>47.099980193999997</v>
      </c>
      <c r="J176" s="135">
        <v>-62.972938712000001</v>
      </c>
      <c r="K176" s="135">
        <v>-26.798261072999999</v>
      </c>
      <c r="L176" s="135">
        <v>103.92932843299999</v>
      </c>
      <c r="M176" s="135">
        <v>99.664733507999998</v>
      </c>
      <c r="N176" s="135">
        <v>-641.47137608000003</v>
      </c>
      <c r="O176" s="135">
        <v>-586.48162990000003</v>
      </c>
      <c r="P176" s="135">
        <v>2663.6639568549999</v>
      </c>
      <c r="Q176" s="135">
        <v>2261.1345310689999</v>
      </c>
      <c r="R176" s="111">
        <v>-1286.080778045</v>
      </c>
      <c r="S176" s="111">
        <v>10792.429218773999</v>
      </c>
      <c r="T176" s="111">
        <v>171.39043592199999</v>
      </c>
      <c r="U176" s="111">
        <v>7923.4126814150004</v>
      </c>
      <c r="V176" s="111">
        <v>3435.9401760699998</v>
      </c>
      <c r="W176" s="155">
        <v>8517.3327067409991</v>
      </c>
    </row>
    <row r="177" spans="2:23">
      <c r="B177" s="140" t="s">
        <v>1030</v>
      </c>
      <c r="C177" s="127" t="s">
        <v>1031</v>
      </c>
      <c r="D177" s="128"/>
      <c r="E177" s="128"/>
      <c r="F177" s="128"/>
      <c r="G177" s="128"/>
      <c r="H177" s="128">
        <v>-8.596857</v>
      </c>
      <c r="I177" s="128">
        <v>-43.934605615999999</v>
      </c>
      <c r="J177" s="128">
        <v>-98.156417546</v>
      </c>
      <c r="K177" s="128">
        <v>-35.478114003999998</v>
      </c>
      <c r="L177" s="128">
        <v>-142.18997789900001</v>
      </c>
      <c r="M177" s="128">
        <v>-266.39652459799998</v>
      </c>
      <c r="N177" s="128">
        <v>-586.51789747199996</v>
      </c>
      <c r="O177" s="128">
        <v>-1278.788918537</v>
      </c>
      <c r="P177" s="128">
        <v>-2065.0695674100002</v>
      </c>
      <c r="Q177" s="128">
        <v>-1495.9319190379999</v>
      </c>
      <c r="R177" s="110">
        <v>-3066.9211641400002</v>
      </c>
      <c r="S177" s="110">
        <v>-3911.3581600020002</v>
      </c>
      <c r="T177" s="110">
        <v>-4976.8765900159997</v>
      </c>
      <c r="U177" s="2037">
        <v>-4411.5596853890002</v>
      </c>
      <c r="V177" s="2037">
        <v>-523.38333079400002</v>
      </c>
      <c r="W177" s="288">
        <v>-303.747827395</v>
      </c>
    </row>
    <row r="178" spans="2:23">
      <c r="B178" s="140" t="s">
        <v>1032</v>
      </c>
      <c r="C178" s="127" t="s">
        <v>1033</v>
      </c>
      <c r="D178" s="128"/>
      <c r="E178" s="128"/>
      <c r="F178" s="128"/>
      <c r="G178" s="128"/>
      <c r="H178" s="128">
        <v>1.9961059999999999</v>
      </c>
      <c r="I178" s="128">
        <v>1.604293897</v>
      </c>
      <c r="J178" s="128">
        <v>1.2847699159999999</v>
      </c>
      <c r="K178" s="128">
        <v>0.66380545499999999</v>
      </c>
      <c r="L178" s="128">
        <v>4.573757305</v>
      </c>
      <c r="M178" s="128">
        <v>1.4479289740000001</v>
      </c>
      <c r="N178" s="128">
        <v>0</v>
      </c>
      <c r="O178" s="128">
        <v>0.95158832299999996</v>
      </c>
      <c r="P178" s="128">
        <v>0.18</v>
      </c>
      <c r="Q178" s="128">
        <v>1.339965525</v>
      </c>
      <c r="R178" s="110">
        <v>1.2908073440000001</v>
      </c>
      <c r="S178" s="110">
        <v>2.0180753039999999</v>
      </c>
      <c r="T178" s="110">
        <v>1.10702067</v>
      </c>
      <c r="U178" s="110">
        <v>4.2174416399999997</v>
      </c>
      <c r="V178" s="110">
        <v>31.163790649999999</v>
      </c>
      <c r="W178" s="288">
        <v>54.661690192000002</v>
      </c>
    </row>
    <row r="179" spans="2:23">
      <c r="B179" s="140" t="s">
        <v>1034</v>
      </c>
      <c r="C179" s="127" t="s">
        <v>1035</v>
      </c>
      <c r="D179" s="128"/>
      <c r="E179" s="128"/>
      <c r="F179" s="128"/>
      <c r="G179" s="128"/>
      <c r="H179" s="128">
        <v>0</v>
      </c>
      <c r="I179" s="128">
        <v>0</v>
      </c>
      <c r="J179" s="128">
        <v>0</v>
      </c>
      <c r="K179" s="128">
        <v>0</v>
      </c>
      <c r="L179" s="128">
        <v>0</v>
      </c>
      <c r="M179" s="128">
        <v>0</v>
      </c>
      <c r="N179" s="128">
        <v>0</v>
      </c>
      <c r="O179" s="128">
        <v>0</v>
      </c>
      <c r="P179" s="128">
        <v>-210.28</v>
      </c>
      <c r="Q179" s="128">
        <v>-85.922451738999996</v>
      </c>
      <c r="R179" s="110">
        <v>-8997.4698630149996</v>
      </c>
      <c r="S179" s="110">
        <v>-11512.468958904001</v>
      </c>
      <c r="T179" s="110">
        <v>-19225.219180044998</v>
      </c>
      <c r="U179" s="110">
        <v>-20799.134065331</v>
      </c>
      <c r="V179" s="110">
        <v>-34151.374180637002</v>
      </c>
      <c r="W179" s="288">
        <v>-46828.379807220997</v>
      </c>
    </row>
    <row r="180" spans="2:23">
      <c r="B180" s="140" t="s">
        <v>1036</v>
      </c>
      <c r="C180" s="127" t="s">
        <v>1037</v>
      </c>
      <c r="D180" s="128"/>
      <c r="E180" s="128"/>
      <c r="F180" s="128"/>
      <c r="G180" s="128"/>
      <c r="H180" s="128">
        <v>12.853585000000001</v>
      </c>
      <c r="I180" s="128">
        <v>0</v>
      </c>
      <c r="J180" s="128">
        <v>0</v>
      </c>
      <c r="K180" s="128">
        <v>0</v>
      </c>
      <c r="L180" s="128">
        <v>0</v>
      </c>
      <c r="M180" s="128">
        <v>0</v>
      </c>
      <c r="N180" s="128">
        <v>0</v>
      </c>
      <c r="O180" s="128">
        <v>0</v>
      </c>
      <c r="P180" s="128">
        <v>125.58</v>
      </c>
      <c r="Q180" s="128">
        <v>0</v>
      </c>
      <c r="R180" s="110">
        <v>5911.3923147539999</v>
      </c>
      <c r="S180" s="110">
        <v>6512.1501369859998</v>
      </c>
      <c r="T180" s="110">
        <v>12163.993969618001</v>
      </c>
      <c r="U180" s="110">
        <v>25851.966071069</v>
      </c>
      <c r="V180" s="110">
        <v>22805.115462453999</v>
      </c>
      <c r="W180" s="288">
        <v>33758.394199590002</v>
      </c>
    </row>
    <row r="181" spans="2:23">
      <c r="B181" s="140" t="s">
        <v>1038</v>
      </c>
      <c r="C181" s="127" t="s">
        <v>1039</v>
      </c>
      <c r="D181" s="128"/>
      <c r="E181" s="128"/>
      <c r="F181" s="128"/>
      <c r="G181" s="128"/>
      <c r="H181" s="128">
        <v>0</v>
      </c>
      <c r="I181" s="128">
        <v>0</v>
      </c>
      <c r="J181" s="128">
        <v>0</v>
      </c>
      <c r="K181" s="128">
        <v>0</v>
      </c>
      <c r="L181" s="128">
        <v>0</v>
      </c>
      <c r="M181" s="128">
        <v>-50</v>
      </c>
      <c r="N181" s="128">
        <v>-72.239580000000004</v>
      </c>
      <c r="O181" s="128">
        <v>0</v>
      </c>
      <c r="P181" s="128">
        <v>0</v>
      </c>
      <c r="Q181" s="128">
        <v>-828.16647014099999</v>
      </c>
      <c r="R181" s="110">
        <v>0</v>
      </c>
      <c r="S181" s="110">
        <v>0</v>
      </c>
      <c r="T181" s="110">
        <v>-16.385001737</v>
      </c>
      <c r="U181" s="110">
        <v>-181.03484</v>
      </c>
      <c r="V181" s="110">
        <v>-105.597412729</v>
      </c>
      <c r="W181" s="288">
        <v>0</v>
      </c>
    </row>
    <row r="182" spans="2:23">
      <c r="B182" s="140" t="s">
        <v>1040</v>
      </c>
      <c r="C182" s="127" t="s">
        <v>1041</v>
      </c>
      <c r="D182" s="128"/>
      <c r="E182" s="128"/>
      <c r="F182" s="128"/>
      <c r="G182" s="128"/>
      <c r="H182" s="128">
        <v>0</v>
      </c>
      <c r="I182" s="128">
        <v>0</v>
      </c>
      <c r="J182" s="128">
        <v>0</v>
      </c>
      <c r="K182" s="128">
        <v>0</v>
      </c>
      <c r="L182" s="128">
        <v>19.95</v>
      </c>
      <c r="M182" s="128">
        <v>0</v>
      </c>
      <c r="N182" s="128">
        <v>0</v>
      </c>
      <c r="O182" s="128">
        <v>0</v>
      </c>
      <c r="P182" s="128">
        <v>0</v>
      </c>
      <c r="Q182" s="128">
        <v>0</v>
      </c>
      <c r="R182" s="110">
        <v>0</v>
      </c>
      <c r="S182" s="110">
        <v>0</v>
      </c>
      <c r="T182" s="110">
        <v>796.62646801100004</v>
      </c>
      <c r="U182" s="110">
        <v>0</v>
      </c>
      <c r="V182" s="110">
        <v>0</v>
      </c>
      <c r="W182" s="288">
        <v>0</v>
      </c>
    </row>
    <row r="183" spans="2:23">
      <c r="B183" s="140" t="s">
        <v>1042</v>
      </c>
      <c r="C183" s="127" t="s">
        <v>1043</v>
      </c>
      <c r="D183" s="128"/>
      <c r="E183" s="128"/>
      <c r="F183" s="128"/>
      <c r="G183" s="128"/>
      <c r="H183" s="128">
        <v>0</v>
      </c>
      <c r="I183" s="128">
        <v>0</v>
      </c>
      <c r="J183" s="128">
        <v>0.75127429599999995</v>
      </c>
      <c r="K183" s="128">
        <v>1.1300188449999999</v>
      </c>
      <c r="L183" s="128">
        <v>3.0022701180000002</v>
      </c>
      <c r="M183" s="128">
        <v>6.7236448620000004</v>
      </c>
      <c r="N183" s="128">
        <v>0.91366028600000004</v>
      </c>
      <c r="O183" s="128">
        <v>1.7993866970000001</v>
      </c>
      <c r="P183" s="128">
        <v>29.374580928</v>
      </c>
      <c r="Q183" s="128">
        <v>64.286835061000005</v>
      </c>
      <c r="R183" s="110">
        <v>278.94626480400001</v>
      </c>
      <c r="S183" s="110">
        <v>335.39801398899999</v>
      </c>
      <c r="T183" s="110">
        <v>1.883709063</v>
      </c>
      <c r="U183" s="110">
        <v>1137.5426215570001</v>
      </c>
      <c r="V183" s="110">
        <v>1112.6679741139999</v>
      </c>
      <c r="W183" s="288">
        <v>2375.7860744169998</v>
      </c>
    </row>
    <row r="184" spans="2:23" s="136" customFormat="1">
      <c r="B184" s="154" t="s">
        <v>1044</v>
      </c>
      <c r="C184" s="134" t="s">
        <v>1045</v>
      </c>
      <c r="D184" s="135"/>
      <c r="E184" s="135"/>
      <c r="F184" s="135"/>
      <c r="G184" s="135"/>
      <c r="H184" s="135">
        <v>6.252834</v>
      </c>
      <c r="I184" s="135">
        <v>-42.330311719000001</v>
      </c>
      <c r="J184" s="135">
        <v>-96.120373334000007</v>
      </c>
      <c r="K184" s="135">
        <v>-33.684289704000001</v>
      </c>
      <c r="L184" s="135">
        <v>-114.663950476</v>
      </c>
      <c r="M184" s="135">
        <v>-308.22495076199999</v>
      </c>
      <c r="N184" s="135">
        <v>-657.84381718600002</v>
      </c>
      <c r="O184" s="135">
        <v>-1276.037943517</v>
      </c>
      <c r="P184" s="135">
        <v>-2120.2149864819999</v>
      </c>
      <c r="Q184" s="135">
        <v>-2344.3940403319998</v>
      </c>
      <c r="R184" s="111">
        <v>-5872.7616402530002</v>
      </c>
      <c r="S184" s="111">
        <v>-8574.2608926270004</v>
      </c>
      <c r="T184" s="111">
        <v>-11254.869604436</v>
      </c>
      <c r="U184" s="111">
        <v>1601.9975435460001</v>
      </c>
      <c r="V184" s="111">
        <v>-10831.407696942</v>
      </c>
      <c r="W184" s="155">
        <v>-10943.285670417001</v>
      </c>
    </row>
    <row r="185" spans="2:23">
      <c r="B185" s="140" t="s">
        <v>1046</v>
      </c>
      <c r="C185" s="127" t="s">
        <v>1047</v>
      </c>
      <c r="D185" s="128"/>
      <c r="E185" s="128"/>
      <c r="F185" s="128"/>
      <c r="G185" s="128"/>
      <c r="H185" s="128">
        <v>4.95</v>
      </c>
      <c r="I185" s="128">
        <v>54.881979999999999</v>
      </c>
      <c r="J185" s="128">
        <v>0</v>
      </c>
      <c r="K185" s="128">
        <v>38.689926999999997</v>
      </c>
      <c r="L185" s="128">
        <v>108.85045902100001</v>
      </c>
      <c r="M185" s="128">
        <v>14.163663481</v>
      </c>
      <c r="N185" s="128">
        <v>0</v>
      </c>
      <c r="O185" s="128">
        <v>0</v>
      </c>
      <c r="P185" s="128">
        <v>92.466480000000004</v>
      </c>
      <c r="Q185" s="128">
        <v>705.355067201</v>
      </c>
      <c r="R185" s="110">
        <v>90.454819999999998</v>
      </c>
      <c r="S185" s="110">
        <v>105.20045</v>
      </c>
      <c r="T185" s="110">
        <v>228.25303</v>
      </c>
      <c r="U185" s="110">
        <v>192.62836999999999</v>
      </c>
      <c r="V185" s="110">
        <v>0.44322</v>
      </c>
      <c r="W185" s="288">
        <v>1771.634338542</v>
      </c>
    </row>
    <row r="186" spans="2:23">
      <c r="B186" s="140" t="s">
        <v>1048</v>
      </c>
      <c r="C186" s="127" t="s">
        <v>1049</v>
      </c>
      <c r="D186" s="128"/>
      <c r="E186" s="128"/>
      <c r="F186" s="128"/>
      <c r="G186" s="128"/>
      <c r="H186" s="128">
        <v>0</v>
      </c>
      <c r="I186" s="128">
        <v>0</v>
      </c>
      <c r="J186" s="128">
        <v>0</v>
      </c>
      <c r="K186" s="128">
        <v>-38.789936500000003</v>
      </c>
      <c r="L186" s="128">
        <v>-20.057078735000001</v>
      </c>
      <c r="M186" s="128">
        <v>-0.30039450000000001</v>
      </c>
      <c r="N186" s="128">
        <v>-2.1539000000000001</v>
      </c>
      <c r="O186" s="128">
        <v>-0.31530000000000002</v>
      </c>
      <c r="P186" s="128">
        <v>0</v>
      </c>
      <c r="Q186" s="128">
        <v>-0.72970000000000002</v>
      </c>
      <c r="R186" s="110">
        <v>-4.85006</v>
      </c>
      <c r="S186" s="110">
        <v>-6.0409300000000004</v>
      </c>
      <c r="T186" s="110">
        <v>-2.3199999999999998</v>
      </c>
      <c r="U186" s="110">
        <v>-5.0256400000000001</v>
      </c>
      <c r="V186" s="110">
        <v>-9.7832799999999995</v>
      </c>
      <c r="W186" s="288">
        <v>-9.1417900000000003</v>
      </c>
    </row>
    <row r="187" spans="2:23">
      <c r="B187" s="140" t="s">
        <v>1050</v>
      </c>
      <c r="C187" s="127" t="s">
        <v>1051</v>
      </c>
      <c r="D187" s="128"/>
      <c r="E187" s="128"/>
      <c r="F187" s="128"/>
      <c r="G187" s="128"/>
      <c r="H187" s="128">
        <v>130.15088499999999</v>
      </c>
      <c r="I187" s="128">
        <v>184.45654851800001</v>
      </c>
      <c r="J187" s="128">
        <v>1725.4626692229999</v>
      </c>
      <c r="K187" s="128">
        <v>3456.372061773</v>
      </c>
      <c r="L187" s="128">
        <v>3616.8709633980002</v>
      </c>
      <c r="M187" s="128">
        <v>3786.8693127649999</v>
      </c>
      <c r="N187" s="128">
        <v>8129.2619150210003</v>
      </c>
      <c r="O187" s="128">
        <v>19961.551061988001</v>
      </c>
      <c r="P187" s="128">
        <v>29465.789268691999</v>
      </c>
      <c r="Q187" s="128">
        <v>31893.805156671999</v>
      </c>
      <c r="R187" s="110">
        <v>45905.952301242003</v>
      </c>
      <c r="S187" s="110">
        <v>51168.161383883998</v>
      </c>
      <c r="T187" s="110">
        <v>63936.208247950002</v>
      </c>
      <c r="U187" s="110">
        <v>65251.647851080997</v>
      </c>
      <c r="V187" s="110">
        <v>70373.733043569999</v>
      </c>
      <c r="W187" s="288">
        <v>74756.279079532993</v>
      </c>
    </row>
    <row r="188" spans="2:23">
      <c r="B188" s="140" t="s">
        <v>1052</v>
      </c>
      <c r="C188" s="127" t="s">
        <v>1053</v>
      </c>
      <c r="D188" s="128"/>
      <c r="E188" s="128"/>
      <c r="F188" s="128"/>
      <c r="G188" s="128"/>
      <c r="H188" s="128">
        <v>-123.774137</v>
      </c>
      <c r="I188" s="128">
        <v>-176.50726207400001</v>
      </c>
      <c r="J188" s="128">
        <v>-1514.918743018</v>
      </c>
      <c r="K188" s="128">
        <v>-3370.9551477929999</v>
      </c>
      <c r="L188" s="128">
        <v>-3495.0273002140002</v>
      </c>
      <c r="M188" s="128">
        <v>-3681.368000939</v>
      </c>
      <c r="N188" s="128">
        <v>-6695.0062476129997</v>
      </c>
      <c r="O188" s="128">
        <v>-17225.505287912001</v>
      </c>
      <c r="P188" s="128">
        <v>-27456.000269116001</v>
      </c>
      <c r="Q188" s="128">
        <v>-31690.848740269001</v>
      </c>
      <c r="R188" s="110">
        <v>-38801.961791866997</v>
      </c>
      <c r="S188" s="110">
        <v>-48573.996682151999</v>
      </c>
      <c r="T188" s="110">
        <v>-56045.130957736998</v>
      </c>
      <c r="U188" s="110">
        <v>-73313.739286999</v>
      </c>
      <c r="V188" s="110">
        <v>-61933.329857245</v>
      </c>
      <c r="W188" s="288">
        <v>-73030.338420383006</v>
      </c>
    </row>
    <row r="189" spans="2:23">
      <c r="B189" s="140" t="s">
        <v>1054</v>
      </c>
      <c r="C189" s="127" t="s">
        <v>1055</v>
      </c>
      <c r="D189" s="128"/>
      <c r="E189" s="128"/>
      <c r="F189" s="128"/>
      <c r="G189" s="128"/>
      <c r="H189" s="128">
        <v>0</v>
      </c>
      <c r="I189" s="128">
        <v>0</v>
      </c>
      <c r="J189" s="128">
        <v>0</v>
      </c>
      <c r="K189" s="128">
        <v>0</v>
      </c>
      <c r="L189" s="128">
        <v>0</v>
      </c>
      <c r="M189" s="128">
        <v>0</v>
      </c>
      <c r="N189" s="128">
        <v>0</v>
      </c>
      <c r="O189" s="128">
        <v>0</v>
      </c>
      <c r="P189" s="128">
        <v>0</v>
      </c>
      <c r="Q189" s="128">
        <v>0</v>
      </c>
      <c r="R189" s="110">
        <v>0</v>
      </c>
      <c r="S189" s="110">
        <v>0</v>
      </c>
      <c r="T189" s="110">
        <v>0</v>
      </c>
      <c r="U189" s="110">
        <v>0</v>
      </c>
      <c r="V189" s="110">
        <v>0</v>
      </c>
      <c r="W189" s="288">
        <v>0</v>
      </c>
    </row>
    <row r="190" spans="2:23">
      <c r="B190" s="140" t="s">
        <v>1056</v>
      </c>
      <c r="C190" s="127" t="s">
        <v>1057</v>
      </c>
      <c r="D190" s="128"/>
      <c r="E190" s="128"/>
      <c r="F190" s="128"/>
      <c r="G190" s="128"/>
      <c r="H190" s="128">
        <v>0</v>
      </c>
      <c r="I190" s="128">
        <v>-68.580774000000005</v>
      </c>
      <c r="J190" s="128">
        <v>0</v>
      </c>
      <c r="K190" s="128">
        <v>0</v>
      </c>
      <c r="L190" s="128">
        <v>0</v>
      </c>
      <c r="M190" s="128">
        <v>-2.6175118300000002</v>
      </c>
      <c r="N190" s="128">
        <v>-1.834225628</v>
      </c>
      <c r="O190" s="128">
        <v>-220.1302828</v>
      </c>
      <c r="P190" s="128">
        <v>-231.71892713</v>
      </c>
      <c r="Q190" s="128">
        <v>-485.86242682800003</v>
      </c>
      <c r="R190" s="110">
        <v>-665.09345318500004</v>
      </c>
      <c r="S190" s="110">
        <v>-678.90884100000005</v>
      </c>
      <c r="T190" s="110">
        <v>-239.51944106299999</v>
      </c>
      <c r="U190" s="110">
        <v>-731.85481500000003</v>
      </c>
      <c r="V190" s="110">
        <v>-731.28002349999997</v>
      </c>
      <c r="W190" s="288">
        <v>-730.95769399999995</v>
      </c>
    </row>
    <row r="191" spans="2:23">
      <c r="B191" s="140" t="s">
        <v>1058</v>
      </c>
      <c r="C191" s="127" t="s">
        <v>1059</v>
      </c>
      <c r="D191" s="128"/>
      <c r="E191" s="128"/>
      <c r="F191" s="128"/>
      <c r="G191" s="128"/>
      <c r="H191" s="128">
        <v>0</v>
      </c>
      <c r="I191" s="128">
        <v>0</v>
      </c>
      <c r="J191" s="128">
        <v>0</v>
      </c>
      <c r="K191" s="128">
        <v>0</v>
      </c>
      <c r="L191" s="128">
        <v>0</v>
      </c>
      <c r="M191" s="128">
        <v>0</v>
      </c>
      <c r="N191" s="128">
        <v>0</v>
      </c>
      <c r="O191" s="128">
        <v>0</v>
      </c>
      <c r="P191" s="128">
        <v>0</v>
      </c>
      <c r="Q191" s="128">
        <v>0</v>
      </c>
      <c r="R191" s="110">
        <v>0</v>
      </c>
      <c r="S191" s="110">
        <v>0</v>
      </c>
      <c r="T191" s="110">
        <v>0</v>
      </c>
      <c r="U191" s="110">
        <v>0</v>
      </c>
      <c r="V191" s="110">
        <v>0</v>
      </c>
      <c r="W191" s="288">
        <v>0</v>
      </c>
    </row>
    <row r="192" spans="2:23" s="136" customFormat="1">
      <c r="B192" s="154" t="s">
        <v>1060</v>
      </c>
      <c r="C192" s="134" t="s">
        <v>1061</v>
      </c>
      <c r="D192" s="135"/>
      <c r="E192" s="135"/>
      <c r="F192" s="135"/>
      <c r="G192" s="135"/>
      <c r="H192" s="135">
        <v>11.326748</v>
      </c>
      <c r="I192" s="135">
        <v>-5.7495075560000002</v>
      </c>
      <c r="J192" s="135">
        <v>210.54392620499999</v>
      </c>
      <c r="K192" s="135">
        <v>85.316904480000005</v>
      </c>
      <c r="L192" s="135">
        <v>210.63704347000001</v>
      </c>
      <c r="M192" s="135">
        <v>116.747068977</v>
      </c>
      <c r="N192" s="135">
        <v>1430.2675417800001</v>
      </c>
      <c r="O192" s="135">
        <v>2515.6001912759998</v>
      </c>
      <c r="P192" s="135">
        <v>1870.5365524460001</v>
      </c>
      <c r="Q192" s="135">
        <v>421.71935677599998</v>
      </c>
      <c r="R192" s="111">
        <v>6524.5018161899998</v>
      </c>
      <c r="S192" s="111">
        <v>2014.4153807319999</v>
      </c>
      <c r="T192" s="111">
        <v>7877.4908791500002</v>
      </c>
      <c r="U192" s="111">
        <v>-8606.3435209180006</v>
      </c>
      <c r="V192" s="111">
        <v>7699.7831028250002</v>
      </c>
      <c r="W192" s="155">
        <v>2757.4755136919998</v>
      </c>
    </row>
    <row r="193" spans="1:23">
      <c r="B193" s="140" t="s">
        <v>1062</v>
      </c>
      <c r="C193" s="127" t="s">
        <v>1063</v>
      </c>
      <c r="D193" s="128"/>
      <c r="E193" s="128"/>
      <c r="F193" s="128"/>
      <c r="G193" s="128"/>
      <c r="H193" s="128">
        <v>29.526221</v>
      </c>
      <c r="I193" s="128">
        <v>-0.97983908099999995</v>
      </c>
      <c r="J193" s="128">
        <v>51.450614158999997</v>
      </c>
      <c r="K193" s="128">
        <v>24.834353703000001</v>
      </c>
      <c r="L193" s="128">
        <v>199.90242142700001</v>
      </c>
      <c r="M193" s="128">
        <v>-91.813148276999996</v>
      </c>
      <c r="N193" s="128">
        <v>130.95234851399999</v>
      </c>
      <c r="O193" s="128">
        <v>653.08061785899997</v>
      </c>
      <c r="P193" s="128">
        <v>2413.9855228189999</v>
      </c>
      <c r="Q193" s="128">
        <v>338.459847513</v>
      </c>
      <c r="R193" s="110">
        <v>-634.34060210799998</v>
      </c>
      <c r="S193" s="110">
        <v>4232.5837068789997</v>
      </c>
      <c r="T193" s="110">
        <v>-3205.9882893640001</v>
      </c>
      <c r="U193" s="110">
        <v>919.06670404299996</v>
      </c>
      <c r="V193" s="110">
        <v>304.31558195299999</v>
      </c>
      <c r="W193" s="288">
        <v>331.52255001600003</v>
      </c>
    </row>
    <row r="194" spans="1:23">
      <c r="B194" s="140" t="s">
        <v>1064</v>
      </c>
      <c r="C194" s="127" t="s">
        <v>1065</v>
      </c>
      <c r="D194" s="128"/>
      <c r="E194" s="128"/>
      <c r="F194" s="128"/>
      <c r="G194" s="128"/>
      <c r="H194" s="128">
        <v>0</v>
      </c>
      <c r="I194" s="128">
        <v>29.52621826</v>
      </c>
      <c r="J194" s="128">
        <v>28.546379178999999</v>
      </c>
      <c r="K194" s="128">
        <v>79.996993337999996</v>
      </c>
      <c r="L194" s="128">
        <v>104.831347041</v>
      </c>
      <c r="M194" s="128">
        <v>304.73376846799999</v>
      </c>
      <c r="N194" s="128">
        <v>212.92062019100001</v>
      </c>
      <c r="O194" s="128">
        <v>343.87296870500001</v>
      </c>
      <c r="P194" s="128">
        <v>996.98346201200002</v>
      </c>
      <c r="Q194" s="128">
        <v>3410.9833513929998</v>
      </c>
      <c r="R194" s="110">
        <v>3749.5502582119998</v>
      </c>
      <c r="S194" s="110">
        <v>3115.2368164680001</v>
      </c>
      <c r="T194" s="110">
        <v>7347.8573979250004</v>
      </c>
      <c r="U194" s="110">
        <v>4142.015762555</v>
      </c>
      <c r="V194" s="110">
        <v>5061.0205474220002</v>
      </c>
      <c r="W194" s="288">
        <v>5365.7048571719997</v>
      </c>
    </row>
    <row r="195" spans="1:23">
      <c r="B195" s="140" t="s">
        <v>1066</v>
      </c>
      <c r="C195" s="127" t="s">
        <v>1067</v>
      </c>
      <c r="D195" s="128"/>
      <c r="E195" s="128"/>
      <c r="F195" s="128"/>
      <c r="G195" s="128"/>
      <c r="H195" s="128">
        <v>0</v>
      </c>
      <c r="I195" s="128">
        <v>0</v>
      </c>
      <c r="J195" s="128">
        <v>0</v>
      </c>
      <c r="K195" s="128">
        <v>0</v>
      </c>
      <c r="L195" s="128">
        <v>0</v>
      </c>
      <c r="M195" s="128">
        <v>0</v>
      </c>
      <c r="N195" s="128">
        <v>0</v>
      </c>
      <c r="O195" s="128">
        <v>2.9875447999999999E-2</v>
      </c>
      <c r="P195" s="128">
        <v>1.4366561999999999E-2</v>
      </c>
      <c r="Q195" s="128">
        <v>0.10705930600000001</v>
      </c>
      <c r="R195" s="110">
        <v>2.7160363999999999E-2</v>
      </c>
      <c r="S195" s="110">
        <v>3.6874577999999998E-2</v>
      </c>
      <c r="T195" s="110">
        <v>0.14665399400000001</v>
      </c>
      <c r="U195" s="110">
        <v>-6.1919175999999999E-2</v>
      </c>
      <c r="V195" s="110">
        <v>0.36872779700000002</v>
      </c>
      <c r="W195" s="288">
        <v>0.104133542</v>
      </c>
    </row>
    <row r="196" spans="1:23" s="136" customFormat="1">
      <c r="B196" s="154" t="s">
        <v>1068</v>
      </c>
      <c r="C196" s="134" t="s">
        <v>1069</v>
      </c>
      <c r="D196" s="135"/>
      <c r="E196" s="135"/>
      <c r="F196" s="135"/>
      <c r="G196" s="135"/>
      <c r="H196" s="135">
        <v>29.526221</v>
      </c>
      <c r="I196" s="135">
        <v>28.546379178999999</v>
      </c>
      <c r="J196" s="135">
        <v>79.996993337999996</v>
      </c>
      <c r="K196" s="135">
        <v>104.831347041</v>
      </c>
      <c r="L196" s="135">
        <v>304.73376846799999</v>
      </c>
      <c r="M196" s="135">
        <v>212.92062019100001</v>
      </c>
      <c r="N196" s="135">
        <v>343.87296870500001</v>
      </c>
      <c r="O196" s="135">
        <v>996.98346201200002</v>
      </c>
      <c r="P196" s="135">
        <v>3410.9833513929998</v>
      </c>
      <c r="Q196" s="135">
        <v>3749.5502582119998</v>
      </c>
      <c r="R196" s="111">
        <v>3115.2368164680001</v>
      </c>
      <c r="S196" s="111">
        <v>7347.8573979250004</v>
      </c>
      <c r="T196" s="111">
        <v>4142.015762555</v>
      </c>
      <c r="U196" s="110">
        <v>5061.0205474220002</v>
      </c>
      <c r="V196" s="110">
        <v>5365.7048571719997</v>
      </c>
      <c r="W196" s="155">
        <v>5697.3315407299997</v>
      </c>
    </row>
    <row r="197" spans="1:23">
      <c r="B197" s="140"/>
    </row>
    <row r="198" spans="1:23" ht="16">
      <c r="A198" s="129">
        <v>4</v>
      </c>
      <c r="B198" s="130" t="s">
        <v>1070</v>
      </c>
      <c r="C198" s="150"/>
      <c r="D198" s="149"/>
      <c r="E198" s="149"/>
      <c r="F198" s="149" t="s">
        <v>725</v>
      </c>
      <c r="G198" s="149" t="s">
        <v>726</v>
      </c>
      <c r="H198" s="149" t="s">
        <v>727</v>
      </c>
      <c r="I198" s="149" t="s">
        <v>728</v>
      </c>
      <c r="J198" s="149" t="s">
        <v>729</v>
      </c>
      <c r="K198" s="149" t="s">
        <v>730</v>
      </c>
      <c r="L198" s="149" t="s">
        <v>731</v>
      </c>
      <c r="M198" s="149" t="s">
        <v>732</v>
      </c>
      <c r="N198" s="149" t="s">
        <v>733</v>
      </c>
      <c r="O198" s="149" t="s">
        <v>734</v>
      </c>
      <c r="P198" s="149" t="s">
        <v>735</v>
      </c>
      <c r="Q198" s="149" t="s">
        <v>736</v>
      </c>
      <c r="R198" s="149">
        <f>R1</f>
        <v>2019</v>
      </c>
      <c r="S198" s="149">
        <v>2020</v>
      </c>
      <c r="T198" s="149"/>
      <c r="U198" s="149"/>
      <c r="V198" s="149"/>
    </row>
    <row r="199" spans="1:23">
      <c r="C199" s="127" t="s">
        <v>1071</v>
      </c>
      <c r="D199" s="128"/>
      <c r="E199" s="128"/>
      <c r="F199" s="128"/>
      <c r="G199" s="128"/>
      <c r="H199" s="128">
        <v>29.526221</v>
      </c>
      <c r="I199" s="128">
        <v>28.546379178999999</v>
      </c>
      <c r="J199" s="128">
        <v>79.996993337999996</v>
      </c>
      <c r="K199" s="128">
        <v>104.831347041</v>
      </c>
      <c r="L199" s="128">
        <v>304.73376846799999</v>
      </c>
      <c r="M199" s="128">
        <v>212.92062019100001</v>
      </c>
      <c r="N199" s="128">
        <v>343.87296870500001</v>
      </c>
      <c r="O199" s="128">
        <v>996.98346201200002</v>
      </c>
      <c r="P199" s="128">
        <v>3410.9833513929998</v>
      </c>
      <c r="Q199" s="128">
        <v>3749.5502582119998</v>
      </c>
      <c r="R199" s="110">
        <v>3115.2368164680001</v>
      </c>
      <c r="S199" s="110">
        <v>7347.8573979250004</v>
      </c>
      <c r="T199" s="110">
        <v>4142.015762555</v>
      </c>
      <c r="U199" s="110">
        <v>5061.0205474220002</v>
      </c>
      <c r="V199" s="110">
        <v>5365.7048571719997</v>
      </c>
      <c r="W199" s="288">
        <v>5697.3315407299997</v>
      </c>
    </row>
    <row r="200" spans="1:23">
      <c r="C200" s="127" t="s">
        <v>1072</v>
      </c>
      <c r="D200" s="128"/>
      <c r="E200" s="128"/>
      <c r="F200" s="128"/>
      <c r="G200" s="128"/>
      <c r="H200" s="128">
        <v>11.946419000000001</v>
      </c>
      <c r="I200" s="128">
        <v>13.604467368</v>
      </c>
      <c r="J200" s="128">
        <v>50.734247468</v>
      </c>
      <c r="K200" s="128">
        <v>40.575229444000001</v>
      </c>
      <c r="L200" s="128">
        <v>48.396737143999999</v>
      </c>
      <c r="M200" s="128">
        <v>82.487162647000005</v>
      </c>
      <c r="N200" s="128">
        <v>174.62230958000001</v>
      </c>
      <c r="O200" s="128">
        <v>495.636236091</v>
      </c>
      <c r="P200" s="128">
        <v>1092.388965114</v>
      </c>
      <c r="Q200" s="128">
        <v>1475.2148910850001</v>
      </c>
      <c r="R200" s="110">
        <v>690.43109252099998</v>
      </c>
      <c r="S200" s="110">
        <v>545.49293742500004</v>
      </c>
      <c r="T200" s="110">
        <v>527.86990491100005</v>
      </c>
      <c r="U200" s="110">
        <v>914.03678953400004</v>
      </c>
      <c r="V200" s="110">
        <v>854.88086081599999</v>
      </c>
      <c r="W200" s="288">
        <v>364.073735736</v>
      </c>
    </row>
    <row r="201" spans="1:23">
      <c r="C201" s="127" t="s">
        <v>1073</v>
      </c>
      <c r="D201" s="128"/>
      <c r="E201" s="128"/>
      <c r="F201" s="128"/>
      <c r="G201" s="128"/>
      <c r="H201" s="128">
        <v>16.404104</v>
      </c>
      <c r="I201" s="128">
        <v>12.190922595</v>
      </c>
      <c r="J201" s="128">
        <v>16.394867095999999</v>
      </c>
      <c r="K201" s="128">
        <v>60.846454610999999</v>
      </c>
      <c r="L201" s="128">
        <v>58.790286612999999</v>
      </c>
      <c r="M201" s="128">
        <v>121.348089485</v>
      </c>
      <c r="N201" s="128">
        <v>156.41686056</v>
      </c>
      <c r="O201" s="128">
        <v>468.89425491100002</v>
      </c>
      <c r="P201" s="128">
        <v>1056.051622599</v>
      </c>
      <c r="Q201" s="128">
        <v>1787.5048056569999</v>
      </c>
      <c r="R201" s="110">
        <v>1274.4935714369999</v>
      </c>
      <c r="S201" s="110">
        <v>1638.348546421</v>
      </c>
      <c r="T201" s="110">
        <v>1962.0400174670001</v>
      </c>
      <c r="U201" s="110">
        <v>2713.2633623299998</v>
      </c>
      <c r="V201" s="110">
        <v>3381.4151415030001</v>
      </c>
      <c r="W201" s="288">
        <v>4249.7780415429997</v>
      </c>
    </row>
    <row r="202" spans="1:23">
      <c r="C202" s="127" t="s">
        <v>1074</v>
      </c>
      <c r="D202" s="128"/>
      <c r="E202" s="128"/>
      <c r="F202" s="128"/>
      <c r="G202" s="128"/>
      <c r="H202" s="128">
        <v>1.1756979999999999</v>
      </c>
      <c r="I202" s="128">
        <v>2.7509892159999998</v>
      </c>
      <c r="J202" s="128">
        <v>12.867878773999999</v>
      </c>
      <c r="K202" s="128">
        <v>0.97077297399999996</v>
      </c>
      <c r="L202" s="128">
        <v>2.0987447110000002</v>
      </c>
      <c r="M202" s="128">
        <v>6.3758245310000001</v>
      </c>
      <c r="N202" s="128">
        <v>10.072556611</v>
      </c>
      <c r="O202" s="128">
        <v>29.553750880999999</v>
      </c>
      <c r="P202" s="128">
        <v>41.422708239000002</v>
      </c>
      <c r="Q202" s="128">
        <v>100.997580212</v>
      </c>
      <c r="R202" s="110">
        <v>59.423274910000004</v>
      </c>
      <c r="S202" s="110">
        <v>59.432982328000001</v>
      </c>
      <c r="T202" s="110">
        <v>116.762342124</v>
      </c>
      <c r="U202" s="110">
        <v>218.72039555800001</v>
      </c>
      <c r="V202" s="110">
        <v>559.34058090300005</v>
      </c>
      <c r="W202" s="288">
        <v>83.479763450999997</v>
      </c>
    </row>
    <row r="203" spans="1:23">
      <c r="C203" s="127" t="s">
        <v>1075</v>
      </c>
      <c r="D203" s="128"/>
      <c r="E203" s="128"/>
      <c r="F203" s="128"/>
      <c r="G203" s="128"/>
      <c r="H203" s="128">
        <v>0</v>
      </c>
      <c r="I203" s="128">
        <v>0</v>
      </c>
      <c r="J203" s="128">
        <v>0</v>
      </c>
      <c r="K203" s="128">
        <v>2.4388900119999999</v>
      </c>
      <c r="L203" s="128">
        <v>195.44800000000001</v>
      </c>
      <c r="M203" s="128">
        <v>2.7095435280000002</v>
      </c>
      <c r="N203" s="128">
        <v>2.7612419539999999</v>
      </c>
      <c r="O203" s="128">
        <v>2.8992201290000001</v>
      </c>
      <c r="P203" s="128">
        <v>1221.120055441</v>
      </c>
      <c r="Q203" s="128">
        <v>385.83298125800002</v>
      </c>
      <c r="R203" s="110">
        <v>1090.8888775999999</v>
      </c>
      <c r="S203" s="110">
        <v>5104.5829317509997</v>
      </c>
      <c r="T203" s="110">
        <v>1535.3434980530001</v>
      </c>
      <c r="U203" s="110">
        <v>1215</v>
      </c>
      <c r="V203" s="110">
        <v>570.06827395000005</v>
      </c>
      <c r="W203" s="288">
        <v>1000</v>
      </c>
    </row>
    <row r="204" spans="1:23">
      <c r="C204" s="127" t="s">
        <v>1076</v>
      </c>
      <c r="D204" s="128"/>
      <c r="E204" s="128"/>
      <c r="F204" s="128"/>
      <c r="G204" s="128"/>
      <c r="H204" s="128">
        <v>0</v>
      </c>
      <c r="I204" s="128">
        <v>0</v>
      </c>
      <c r="J204" s="128">
        <v>0</v>
      </c>
      <c r="K204" s="128">
        <v>0</v>
      </c>
      <c r="L204" s="128">
        <v>0</v>
      </c>
      <c r="M204" s="128">
        <v>0</v>
      </c>
      <c r="N204" s="128">
        <v>0</v>
      </c>
      <c r="O204" s="128">
        <v>0</v>
      </c>
      <c r="P204" s="128">
        <v>0</v>
      </c>
      <c r="Q204" s="128">
        <v>50.922451739000003</v>
      </c>
      <c r="R204" s="110">
        <v>3137</v>
      </c>
      <c r="S204" s="110">
        <v>8057.3188219180001</v>
      </c>
      <c r="T204" s="110">
        <v>14236.626334707</v>
      </c>
      <c r="U204" s="110">
        <v>10069.24960564</v>
      </c>
      <c r="V204" s="110">
        <v>18937.008073822999</v>
      </c>
      <c r="W204" s="288">
        <v>28524.44175632</v>
      </c>
    </row>
    <row r="205" spans="1:23">
      <c r="C205" s="127" t="s">
        <v>1077</v>
      </c>
      <c r="D205" s="128"/>
      <c r="E205" s="128"/>
      <c r="F205" s="128"/>
      <c r="G205" s="128"/>
      <c r="H205" s="128">
        <v>0</v>
      </c>
      <c r="I205" s="128">
        <v>0</v>
      </c>
      <c r="J205" s="128">
        <v>0</v>
      </c>
      <c r="K205" s="128">
        <v>0</v>
      </c>
      <c r="L205" s="128">
        <v>0</v>
      </c>
      <c r="M205" s="128">
        <v>0</v>
      </c>
      <c r="N205" s="128">
        <v>0</v>
      </c>
      <c r="O205" s="128">
        <v>0</v>
      </c>
      <c r="P205" s="128">
        <v>0</v>
      </c>
      <c r="Q205" s="128">
        <v>0</v>
      </c>
      <c r="R205" s="110">
        <v>0</v>
      </c>
      <c r="S205" s="110">
        <v>0</v>
      </c>
      <c r="T205" s="110">
        <v>0</v>
      </c>
      <c r="U205" s="110">
        <v>0</v>
      </c>
      <c r="V205" s="110">
        <v>0</v>
      </c>
      <c r="W205" s="288">
        <v>0</v>
      </c>
    </row>
    <row r="206" spans="1:23">
      <c r="C206" s="127" t="s">
        <v>790</v>
      </c>
      <c r="D206" s="128"/>
      <c r="E206" s="128"/>
      <c r="F206" s="128"/>
      <c r="G206" s="128"/>
      <c r="H206" s="128">
        <v>0</v>
      </c>
      <c r="I206" s="128">
        <v>0</v>
      </c>
      <c r="J206" s="128">
        <v>0</v>
      </c>
      <c r="K206" s="128">
        <v>0</v>
      </c>
      <c r="L206" s="128">
        <v>0</v>
      </c>
      <c r="M206" s="128">
        <v>0</v>
      </c>
      <c r="N206" s="128">
        <v>0</v>
      </c>
      <c r="O206" s="128">
        <v>0</v>
      </c>
      <c r="P206" s="128">
        <v>0</v>
      </c>
      <c r="Q206" s="128">
        <v>50.922451739000003</v>
      </c>
      <c r="R206" s="110">
        <v>3137</v>
      </c>
      <c r="S206" s="110">
        <v>8057.3188219180001</v>
      </c>
      <c r="T206" s="110">
        <v>14236.626334707</v>
      </c>
      <c r="U206" s="110">
        <v>10069.24960564</v>
      </c>
      <c r="V206" s="110">
        <v>18937.008073822999</v>
      </c>
      <c r="W206" s="288">
        <v>28524.44175632</v>
      </c>
    </row>
    <row r="207" spans="1:23">
      <c r="C207" s="127" t="s">
        <v>1078</v>
      </c>
      <c r="D207" s="128"/>
      <c r="E207" s="128"/>
      <c r="F207" s="128"/>
      <c r="G207" s="128"/>
      <c r="H207" s="128">
        <v>0</v>
      </c>
      <c r="I207" s="128">
        <v>0</v>
      </c>
      <c r="J207" s="128">
        <v>0</v>
      </c>
      <c r="K207" s="128">
        <v>0</v>
      </c>
      <c r="L207" s="128">
        <v>0</v>
      </c>
      <c r="M207" s="128">
        <v>0</v>
      </c>
      <c r="N207" s="128">
        <v>0</v>
      </c>
      <c r="O207" s="128">
        <v>0</v>
      </c>
      <c r="P207" s="128">
        <v>0</v>
      </c>
      <c r="Q207" s="128">
        <v>50.922451739000003</v>
      </c>
      <c r="R207" s="110">
        <v>3137</v>
      </c>
      <c r="S207" s="110">
        <v>8057.3188219180001</v>
      </c>
      <c r="T207" s="110">
        <v>14236.626334707</v>
      </c>
      <c r="U207" s="110">
        <v>10069.24960564</v>
      </c>
      <c r="V207" s="110">
        <v>18937.008073822999</v>
      </c>
      <c r="W207" s="288">
        <v>28524.44175632</v>
      </c>
    </row>
    <row r="208" spans="1:23">
      <c r="C208" s="127" t="s">
        <v>1079</v>
      </c>
      <c r="D208" s="128"/>
      <c r="E208" s="128"/>
      <c r="F208" s="128"/>
      <c r="G208" s="128"/>
      <c r="H208" s="128">
        <v>0</v>
      </c>
      <c r="I208" s="128">
        <v>0</v>
      </c>
      <c r="J208" s="128">
        <v>0</v>
      </c>
      <c r="K208" s="128">
        <v>0</v>
      </c>
      <c r="L208" s="128">
        <v>0</v>
      </c>
      <c r="M208" s="128">
        <v>0</v>
      </c>
      <c r="N208" s="128">
        <v>0</v>
      </c>
      <c r="O208" s="128">
        <v>0</v>
      </c>
      <c r="P208" s="128">
        <v>0</v>
      </c>
      <c r="Q208" s="128">
        <v>0</v>
      </c>
      <c r="R208" s="110">
        <v>0</v>
      </c>
      <c r="S208" s="110">
        <v>0</v>
      </c>
      <c r="T208" s="110">
        <v>0</v>
      </c>
      <c r="U208" s="110">
        <v>0</v>
      </c>
      <c r="V208" s="110">
        <v>0</v>
      </c>
      <c r="W208" s="288">
        <v>0</v>
      </c>
    </row>
    <row r="209" spans="3:23">
      <c r="C209" s="127" t="s">
        <v>1080</v>
      </c>
      <c r="D209" s="128"/>
      <c r="E209" s="128"/>
      <c r="F209" s="128"/>
      <c r="G209" s="128"/>
      <c r="H209" s="128">
        <v>0</v>
      </c>
      <c r="I209" s="128">
        <v>0</v>
      </c>
      <c r="J209" s="128">
        <v>0</v>
      </c>
      <c r="K209" s="128">
        <v>0</v>
      </c>
      <c r="L209" s="128">
        <v>0</v>
      </c>
      <c r="M209" s="128">
        <v>0</v>
      </c>
      <c r="N209" s="128">
        <v>0</v>
      </c>
      <c r="O209" s="128">
        <v>0</v>
      </c>
      <c r="P209" s="128">
        <v>0</v>
      </c>
      <c r="Q209" s="128">
        <v>0</v>
      </c>
      <c r="R209" s="110">
        <v>0</v>
      </c>
      <c r="S209" s="110">
        <v>0</v>
      </c>
      <c r="T209" s="110">
        <v>0</v>
      </c>
      <c r="U209" s="110">
        <v>0</v>
      </c>
      <c r="V209" s="110">
        <v>0</v>
      </c>
      <c r="W209" s="288">
        <v>0</v>
      </c>
    </row>
    <row r="210" spans="3:23">
      <c r="C210" s="127" t="s">
        <v>1081</v>
      </c>
      <c r="D210" s="128"/>
      <c r="E210" s="128"/>
      <c r="F210" s="128"/>
      <c r="G210" s="128"/>
      <c r="H210" s="128">
        <v>0</v>
      </c>
      <c r="I210" s="128">
        <v>0</v>
      </c>
      <c r="J210" s="128">
        <v>0</v>
      </c>
      <c r="K210" s="128">
        <v>0</v>
      </c>
      <c r="L210" s="128">
        <v>0</v>
      </c>
      <c r="M210" s="128">
        <v>0</v>
      </c>
      <c r="N210" s="128">
        <v>0</v>
      </c>
      <c r="O210" s="128">
        <v>0</v>
      </c>
      <c r="P210" s="128">
        <v>0</v>
      </c>
      <c r="Q210" s="128">
        <v>0</v>
      </c>
      <c r="R210" s="110">
        <v>0</v>
      </c>
      <c r="S210" s="110">
        <v>0</v>
      </c>
      <c r="T210" s="110">
        <v>0</v>
      </c>
      <c r="U210" s="110">
        <v>0</v>
      </c>
      <c r="V210" s="110">
        <v>0</v>
      </c>
      <c r="W210" s="288">
        <v>0</v>
      </c>
    </row>
    <row r="211" spans="3:23">
      <c r="C211" s="127" t="s">
        <v>1082</v>
      </c>
      <c r="D211" s="128"/>
      <c r="E211" s="128"/>
      <c r="F211" s="128"/>
      <c r="G211" s="128"/>
      <c r="H211" s="128">
        <v>17.168885</v>
      </c>
      <c r="I211" s="128">
        <v>48.938646743</v>
      </c>
      <c r="J211" s="128">
        <v>107.11773897800001</v>
      </c>
      <c r="K211" s="128">
        <v>98.568092824999994</v>
      </c>
      <c r="L211" s="128">
        <v>161.59726906</v>
      </c>
      <c r="M211" s="128">
        <v>161.40762937900001</v>
      </c>
      <c r="N211" s="128">
        <v>340.96282004099999</v>
      </c>
      <c r="O211" s="128">
        <v>851.81388369000001</v>
      </c>
      <c r="P211" s="128">
        <v>1131.4289366529999</v>
      </c>
      <c r="Q211" s="128">
        <v>1151.9487868670001</v>
      </c>
      <c r="R211" s="110">
        <v>1357.8003521759999</v>
      </c>
      <c r="S211" s="110">
        <v>1030.94314151</v>
      </c>
      <c r="T211" s="110">
        <v>1425.2289129599999</v>
      </c>
      <c r="U211" s="110">
        <v>2402.1689647970002</v>
      </c>
      <c r="V211" s="110">
        <v>2668.4802029689999</v>
      </c>
      <c r="W211" s="288">
        <v>2430.887848672</v>
      </c>
    </row>
    <row r="212" spans="3:23">
      <c r="C212" s="127" t="s">
        <v>1083</v>
      </c>
      <c r="D212" s="128"/>
      <c r="E212" s="128"/>
      <c r="F212" s="128"/>
      <c r="G212" s="128"/>
      <c r="H212" s="128">
        <v>0</v>
      </c>
      <c r="I212" s="128">
        <v>0</v>
      </c>
      <c r="J212" s="128">
        <v>0</v>
      </c>
      <c r="K212" s="128">
        <v>0</v>
      </c>
      <c r="L212" s="128">
        <v>0</v>
      </c>
      <c r="M212" s="128">
        <v>0</v>
      </c>
      <c r="N212" s="128">
        <v>0</v>
      </c>
      <c r="O212" s="128">
        <v>0</v>
      </c>
      <c r="P212" s="128">
        <v>0</v>
      </c>
      <c r="Q212" s="128">
        <v>0</v>
      </c>
      <c r="R212" s="110">
        <v>0</v>
      </c>
      <c r="S212" s="110">
        <v>0</v>
      </c>
      <c r="T212" s="110">
        <v>0</v>
      </c>
      <c r="U212" s="110">
        <v>0</v>
      </c>
      <c r="V212" s="110">
        <v>0</v>
      </c>
      <c r="W212" s="288">
        <v>0</v>
      </c>
    </row>
    <row r="213" spans="3:23">
      <c r="C213" s="127" t="s">
        <v>1084</v>
      </c>
      <c r="D213" s="128"/>
      <c r="E213" s="128"/>
      <c r="F213" s="128"/>
      <c r="G213" s="128"/>
      <c r="H213" s="128">
        <v>0</v>
      </c>
      <c r="I213" s="128">
        <v>0</v>
      </c>
      <c r="J213" s="128">
        <v>0</v>
      </c>
      <c r="K213" s="128">
        <v>0</v>
      </c>
      <c r="L213" s="128">
        <v>0</v>
      </c>
      <c r="M213" s="128">
        <v>0</v>
      </c>
      <c r="N213" s="128">
        <v>0</v>
      </c>
      <c r="O213" s="128">
        <v>0</v>
      </c>
      <c r="P213" s="128">
        <v>0</v>
      </c>
      <c r="Q213" s="128">
        <v>0</v>
      </c>
      <c r="R213" s="110">
        <v>0</v>
      </c>
      <c r="S213" s="110">
        <v>0</v>
      </c>
      <c r="T213" s="110">
        <v>0</v>
      </c>
      <c r="U213" s="110">
        <v>0</v>
      </c>
      <c r="V213" s="110">
        <v>0</v>
      </c>
      <c r="W213" s="288">
        <v>0</v>
      </c>
    </row>
    <row r="214" spans="3:23">
      <c r="C214" s="127" t="s">
        <v>1085</v>
      </c>
      <c r="D214" s="128"/>
      <c r="E214" s="128"/>
      <c r="F214" s="128"/>
      <c r="G214" s="128"/>
      <c r="H214" s="128">
        <v>2.8452989999999998</v>
      </c>
      <c r="I214" s="128">
        <v>3.644566068</v>
      </c>
      <c r="J214" s="128">
        <v>0</v>
      </c>
      <c r="K214" s="128">
        <v>0</v>
      </c>
      <c r="L214" s="128">
        <v>0</v>
      </c>
      <c r="M214" s="128">
        <v>0</v>
      </c>
      <c r="N214" s="128">
        <v>11.492620175000001</v>
      </c>
      <c r="O214" s="128">
        <v>0</v>
      </c>
      <c r="P214" s="128">
        <v>0</v>
      </c>
      <c r="Q214" s="128">
        <v>0</v>
      </c>
      <c r="R214" s="110">
        <v>0</v>
      </c>
      <c r="S214" s="110">
        <v>0</v>
      </c>
      <c r="T214" s="110">
        <v>0</v>
      </c>
      <c r="U214" s="110">
        <v>0</v>
      </c>
      <c r="V214" s="110">
        <v>0</v>
      </c>
      <c r="W214" s="288">
        <v>0</v>
      </c>
    </row>
    <row r="215" spans="3:23">
      <c r="C215" s="127" t="s">
        <v>804</v>
      </c>
      <c r="D215" s="128"/>
      <c r="E215" s="128"/>
      <c r="F215" s="128"/>
      <c r="G215" s="128"/>
      <c r="H215" s="128">
        <v>14.323586000000001</v>
      </c>
      <c r="I215" s="128">
        <v>45.294080674999996</v>
      </c>
      <c r="J215" s="128">
        <v>107.11773897800001</v>
      </c>
      <c r="K215" s="128">
        <v>98.568092824999994</v>
      </c>
      <c r="L215" s="128">
        <v>161.59726906</v>
      </c>
      <c r="M215" s="128">
        <v>161.40762937900001</v>
      </c>
      <c r="N215" s="128">
        <v>329.47019986599997</v>
      </c>
      <c r="O215" s="128">
        <v>851.81388369000001</v>
      </c>
      <c r="P215" s="128">
        <v>1131.4289366529999</v>
      </c>
      <c r="Q215" s="128">
        <v>1151.9487868670001</v>
      </c>
      <c r="R215" s="110">
        <v>1357.8003521759999</v>
      </c>
      <c r="S215" s="110">
        <v>1030.94314151</v>
      </c>
      <c r="T215" s="110">
        <v>1425.2289129599999</v>
      </c>
      <c r="U215" s="110">
        <v>2402.1689647970002</v>
      </c>
      <c r="V215" s="110">
        <v>2668.4802029689999</v>
      </c>
      <c r="W215" s="288">
        <v>2430.887848672</v>
      </c>
    </row>
    <row r="216" spans="3:23">
      <c r="C216" s="127" t="s">
        <v>254</v>
      </c>
      <c r="D216" s="128"/>
      <c r="E216" s="128"/>
      <c r="F216" s="128"/>
      <c r="G216" s="128"/>
      <c r="H216" s="128">
        <v>188.46732600000001</v>
      </c>
      <c r="I216" s="128">
        <v>339.82833371499999</v>
      </c>
      <c r="J216" s="128">
        <v>877.09952858099996</v>
      </c>
      <c r="K216" s="128">
        <v>964.51444880999998</v>
      </c>
      <c r="L216" s="128">
        <v>1304.678340679</v>
      </c>
      <c r="M216" s="128">
        <v>2253.516929935</v>
      </c>
      <c r="N216" s="128">
        <v>5009.7084926280004</v>
      </c>
      <c r="O216" s="128">
        <v>9513.6575698279994</v>
      </c>
      <c r="P216" s="128">
        <v>12309.955461928999</v>
      </c>
      <c r="Q216" s="128">
        <v>17446.005298980999</v>
      </c>
      <c r="R216" s="110">
        <v>26195.934673883999</v>
      </c>
      <c r="S216" s="110">
        <v>19926.363502365999</v>
      </c>
      <c r="T216" s="110">
        <v>29850.068817718999</v>
      </c>
      <c r="U216" s="110">
        <v>26058.131396686</v>
      </c>
      <c r="V216" s="110">
        <v>22028.684523095999</v>
      </c>
      <c r="W216" s="288">
        <v>22667.774012643</v>
      </c>
    </row>
    <row r="217" spans="3:23">
      <c r="C217" s="127" t="s">
        <v>1086</v>
      </c>
      <c r="D217" s="128"/>
      <c r="E217" s="128"/>
      <c r="F217" s="128"/>
      <c r="G217" s="128"/>
      <c r="H217" s="128">
        <v>0</v>
      </c>
      <c r="I217" s="128">
        <v>0</v>
      </c>
      <c r="J217" s="128">
        <v>0</v>
      </c>
      <c r="K217" s="128">
        <v>0</v>
      </c>
      <c r="L217" s="128">
        <v>0</v>
      </c>
      <c r="M217" s="128">
        <v>0</v>
      </c>
      <c r="N217" s="128">
        <v>0</v>
      </c>
      <c r="O217" s="128">
        <v>0</v>
      </c>
      <c r="P217" s="128">
        <v>0</v>
      </c>
      <c r="Q217" s="128">
        <v>0</v>
      </c>
      <c r="R217" s="110">
        <v>0</v>
      </c>
      <c r="S217" s="110">
        <v>0</v>
      </c>
      <c r="T217" s="110">
        <v>0</v>
      </c>
      <c r="U217" s="110">
        <v>0</v>
      </c>
      <c r="V217" s="110">
        <v>0</v>
      </c>
      <c r="W217" s="288">
        <v>0</v>
      </c>
    </row>
    <row r="218" spans="3:23">
      <c r="C218" s="127" t="s">
        <v>1087</v>
      </c>
      <c r="D218" s="128"/>
      <c r="E218" s="128"/>
      <c r="F218" s="128"/>
      <c r="G218" s="128"/>
      <c r="H218" s="128">
        <v>0</v>
      </c>
      <c r="I218" s="128">
        <v>0</v>
      </c>
      <c r="J218" s="128">
        <v>0</v>
      </c>
      <c r="K218" s="128">
        <v>0</v>
      </c>
      <c r="L218" s="128">
        <v>0</v>
      </c>
      <c r="M218" s="128">
        <v>0</v>
      </c>
      <c r="N218" s="128">
        <v>0</v>
      </c>
      <c r="O218" s="128">
        <v>0</v>
      </c>
      <c r="P218" s="128">
        <v>0</v>
      </c>
      <c r="Q218" s="128">
        <v>0</v>
      </c>
      <c r="R218" s="110">
        <v>0</v>
      </c>
      <c r="S218" s="110">
        <v>0</v>
      </c>
      <c r="T218" s="110">
        <v>0</v>
      </c>
      <c r="U218" s="110">
        <v>0</v>
      </c>
      <c r="V218" s="110">
        <v>0</v>
      </c>
      <c r="W218" s="288">
        <v>0</v>
      </c>
    </row>
    <row r="219" spans="3:23">
      <c r="C219" s="127" t="s">
        <v>1088</v>
      </c>
      <c r="D219" s="128"/>
      <c r="E219" s="128"/>
      <c r="F219" s="128"/>
      <c r="G219" s="128"/>
      <c r="H219" s="128">
        <v>1.031177</v>
      </c>
      <c r="I219" s="128">
        <v>2.5616663009999998</v>
      </c>
      <c r="J219" s="128">
        <v>0</v>
      </c>
      <c r="K219" s="128">
        <v>6.2024478179999996</v>
      </c>
      <c r="L219" s="128">
        <v>0</v>
      </c>
      <c r="M219" s="128">
        <v>0</v>
      </c>
      <c r="N219" s="128">
        <v>0</v>
      </c>
      <c r="O219" s="128">
        <v>0</v>
      </c>
      <c r="P219" s="128">
        <v>0</v>
      </c>
      <c r="Q219" s="128">
        <v>0</v>
      </c>
      <c r="R219" s="110">
        <v>0</v>
      </c>
      <c r="S219" s="110">
        <v>0</v>
      </c>
      <c r="T219" s="110">
        <v>0</v>
      </c>
      <c r="U219" s="110">
        <v>0</v>
      </c>
      <c r="V219" s="110">
        <v>0</v>
      </c>
      <c r="W219" s="288">
        <v>0</v>
      </c>
    </row>
    <row r="220" spans="3:23">
      <c r="C220" s="127" t="s">
        <v>1089</v>
      </c>
      <c r="D220" s="128"/>
      <c r="E220" s="128"/>
      <c r="F220" s="128"/>
      <c r="G220" s="128"/>
      <c r="H220" s="128">
        <v>0</v>
      </c>
      <c r="I220" s="128">
        <v>0</v>
      </c>
      <c r="J220" s="128">
        <v>0</v>
      </c>
      <c r="K220" s="128">
        <v>0</v>
      </c>
      <c r="L220" s="128">
        <v>0</v>
      </c>
      <c r="M220" s="128">
        <v>0</v>
      </c>
      <c r="N220" s="128">
        <v>0</v>
      </c>
      <c r="O220" s="128">
        <v>0</v>
      </c>
      <c r="P220" s="128">
        <v>0</v>
      </c>
      <c r="Q220" s="128">
        <v>0</v>
      </c>
      <c r="R220" s="110">
        <v>0</v>
      </c>
      <c r="S220" s="110">
        <v>0</v>
      </c>
      <c r="T220" s="110">
        <v>0</v>
      </c>
      <c r="U220" s="110">
        <v>0</v>
      </c>
      <c r="V220" s="110">
        <v>0</v>
      </c>
      <c r="W220" s="288">
        <v>0</v>
      </c>
    </row>
    <row r="221" spans="3:23">
      <c r="C221" s="127" t="s">
        <v>1090</v>
      </c>
      <c r="D221" s="128"/>
      <c r="E221" s="128"/>
      <c r="F221" s="128"/>
      <c r="G221" s="128"/>
      <c r="H221" s="128">
        <v>0</v>
      </c>
      <c r="I221" s="128">
        <v>0</v>
      </c>
      <c r="J221" s="128">
        <v>0</v>
      </c>
      <c r="K221" s="128">
        <v>0</v>
      </c>
      <c r="L221" s="128">
        <v>0</v>
      </c>
      <c r="M221" s="128">
        <v>0</v>
      </c>
      <c r="N221" s="128">
        <v>0</v>
      </c>
      <c r="O221" s="128">
        <v>0</v>
      </c>
      <c r="P221" s="128">
        <v>0</v>
      </c>
      <c r="Q221" s="128">
        <v>0</v>
      </c>
      <c r="R221" s="110">
        <v>0</v>
      </c>
      <c r="S221" s="110">
        <v>0</v>
      </c>
      <c r="T221" s="110">
        <v>0</v>
      </c>
      <c r="U221" s="110">
        <v>0</v>
      </c>
      <c r="V221" s="110">
        <v>0</v>
      </c>
      <c r="W221" s="288">
        <v>0</v>
      </c>
    </row>
    <row r="222" spans="3:23">
      <c r="C222" s="127" t="s">
        <v>1091</v>
      </c>
      <c r="D222" s="128"/>
      <c r="E222" s="128"/>
      <c r="F222" s="128"/>
      <c r="G222" s="128"/>
      <c r="H222" s="128">
        <v>187.436149</v>
      </c>
      <c r="I222" s="128">
        <v>335.50508517399999</v>
      </c>
      <c r="J222" s="128">
        <v>877.09952858099996</v>
      </c>
      <c r="K222" s="128">
        <v>958.31200099199998</v>
      </c>
      <c r="L222" s="128">
        <v>1304.678340679</v>
      </c>
      <c r="M222" s="128">
        <v>2253.516929935</v>
      </c>
      <c r="N222" s="128">
        <v>5009.7084926280004</v>
      </c>
      <c r="O222" s="128">
        <v>9513.6575698279994</v>
      </c>
      <c r="P222" s="128">
        <v>12309.955461928999</v>
      </c>
      <c r="Q222" s="128">
        <v>17446.005298980999</v>
      </c>
      <c r="R222" s="110">
        <v>26195.934673883999</v>
      </c>
      <c r="S222" s="110">
        <v>19926.363502365999</v>
      </c>
      <c r="T222" s="110">
        <v>29850.068817718999</v>
      </c>
      <c r="U222" s="110">
        <v>26058.131396686</v>
      </c>
      <c r="V222" s="110">
        <v>22028.684523095999</v>
      </c>
      <c r="W222" s="288">
        <v>22667.774012643</v>
      </c>
    </row>
    <row r="223" spans="3:23">
      <c r="C223" s="127" t="s">
        <v>1092</v>
      </c>
      <c r="D223" s="128"/>
      <c r="E223" s="128"/>
      <c r="F223" s="128"/>
      <c r="G223" s="128"/>
      <c r="H223" s="128">
        <v>0</v>
      </c>
      <c r="I223" s="128">
        <v>1.7615822400000001</v>
      </c>
      <c r="J223" s="128">
        <v>0</v>
      </c>
      <c r="K223" s="128">
        <v>0</v>
      </c>
      <c r="L223" s="128">
        <v>0</v>
      </c>
      <c r="M223" s="128">
        <v>0</v>
      </c>
      <c r="N223" s="128">
        <v>0</v>
      </c>
      <c r="O223" s="128">
        <v>0</v>
      </c>
      <c r="P223" s="128">
        <v>0</v>
      </c>
      <c r="Q223" s="128">
        <v>0</v>
      </c>
      <c r="R223" s="110">
        <v>0</v>
      </c>
      <c r="S223" s="110">
        <v>0</v>
      </c>
      <c r="T223" s="110">
        <v>0</v>
      </c>
      <c r="U223" s="110">
        <v>0</v>
      </c>
      <c r="V223" s="110">
        <v>0</v>
      </c>
      <c r="W223" s="288">
        <v>0</v>
      </c>
    </row>
    <row r="224" spans="3:23">
      <c r="C224" s="127" t="s">
        <v>1093</v>
      </c>
      <c r="D224" s="128"/>
      <c r="E224" s="128"/>
      <c r="F224" s="128"/>
      <c r="G224" s="128"/>
      <c r="H224" s="128">
        <v>0</v>
      </c>
      <c r="I224" s="128">
        <v>0</v>
      </c>
      <c r="J224" s="128">
        <v>0</v>
      </c>
      <c r="K224" s="128">
        <v>0</v>
      </c>
      <c r="L224" s="128">
        <v>0</v>
      </c>
      <c r="M224" s="128">
        <v>0</v>
      </c>
      <c r="N224" s="128">
        <v>0</v>
      </c>
      <c r="O224" s="128">
        <v>0</v>
      </c>
      <c r="P224" s="128">
        <v>0</v>
      </c>
      <c r="Q224" s="128">
        <v>0</v>
      </c>
      <c r="R224" s="110">
        <v>0</v>
      </c>
      <c r="S224" s="110">
        <v>0</v>
      </c>
      <c r="T224" s="110">
        <v>0</v>
      </c>
      <c r="U224" s="110">
        <v>0</v>
      </c>
      <c r="V224" s="110">
        <v>0</v>
      </c>
      <c r="W224" s="288">
        <v>0</v>
      </c>
    </row>
    <row r="225" spans="3:24">
      <c r="C225" s="127" t="s">
        <v>1094</v>
      </c>
      <c r="D225" s="128"/>
      <c r="E225" s="128"/>
      <c r="F225" s="128"/>
      <c r="G225" s="128"/>
      <c r="H225" s="128">
        <v>0</v>
      </c>
      <c r="I225" s="128">
        <v>0</v>
      </c>
      <c r="J225" s="128">
        <v>0</v>
      </c>
      <c r="K225" s="128">
        <v>0</v>
      </c>
      <c r="L225" s="128">
        <v>0</v>
      </c>
      <c r="M225" s="128">
        <v>0</v>
      </c>
      <c r="N225" s="128">
        <v>0</v>
      </c>
      <c r="O225" s="128">
        <v>0</v>
      </c>
      <c r="P225" s="128">
        <v>0</v>
      </c>
      <c r="Q225" s="128">
        <v>0</v>
      </c>
      <c r="R225" s="110">
        <v>0</v>
      </c>
      <c r="S225" s="110">
        <v>0</v>
      </c>
      <c r="T225" s="110">
        <v>0</v>
      </c>
      <c r="U225" s="110">
        <v>0</v>
      </c>
      <c r="V225" s="110">
        <v>0</v>
      </c>
      <c r="W225" s="288">
        <v>0</v>
      </c>
    </row>
    <row r="226" spans="3:24">
      <c r="C226" s="127" t="s">
        <v>1095</v>
      </c>
      <c r="D226" s="128"/>
      <c r="E226" s="128"/>
      <c r="F226" s="128"/>
      <c r="G226" s="128"/>
      <c r="H226" s="128">
        <v>0.40180300000000002</v>
      </c>
      <c r="I226" s="128">
        <v>0.83718248900000003</v>
      </c>
      <c r="J226" s="128">
        <v>5.0058268930000001</v>
      </c>
      <c r="K226" s="128">
        <v>2.7447164150000001</v>
      </c>
      <c r="L226" s="128">
        <v>2.9546263829999999</v>
      </c>
      <c r="M226" s="128">
        <v>5.2171895499999996</v>
      </c>
      <c r="N226" s="128">
        <v>0</v>
      </c>
      <c r="O226" s="128">
        <v>0</v>
      </c>
      <c r="P226" s="128">
        <v>0</v>
      </c>
      <c r="Q226" s="128">
        <v>0</v>
      </c>
      <c r="R226" s="110">
        <v>0</v>
      </c>
      <c r="S226" s="110">
        <v>0</v>
      </c>
      <c r="T226" s="110">
        <v>0</v>
      </c>
      <c r="U226" s="110">
        <v>0</v>
      </c>
      <c r="V226" s="110">
        <v>0</v>
      </c>
      <c r="W226" s="288">
        <v>0</v>
      </c>
    </row>
    <row r="227" spans="3:24">
      <c r="C227" s="127" t="s">
        <v>1096</v>
      </c>
      <c r="D227" s="128"/>
      <c r="E227" s="128"/>
      <c r="F227" s="128"/>
      <c r="G227" s="128"/>
      <c r="H227" s="128">
        <v>0</v>
      </c>
      <c r="I227" s="128">
        <v>0</v>
      </c>
      <c r="J227" s="128">
        <v>4.8058268929999999</v>
      </c>
      <c r="K227" s="128">
        <v>2.7447164150000001</v>
      </c>
      <c r="L227" s="128">
        <v>2.9546263829999999</v>
      </c>
      <c r="M227" s="128">
        <v>0</v>
      </c>
      <c r="N227" s="128">
        <v>0</v>
      </c>
      <c r="O227" s="128">
        <v>0</v>
      </c>
      <c r="P227" s="128">
        <v>0</v>
      </c>
      <c r="Q227" s="128">
        <v>0</v>
      </c>
      <c r="R227" s="110">
        <v>0</v>
      </c>
      <c r="S227" s="110">
        <v>0</v>
      </c>
      <c r="T227" s="110">
        <v>0</v>
      </c>
      <c r="U227" s="110">
        <v>0</v>
      </c>
      <c r="V227" s="110">
        <v>0</v>
      </c>
      <c r="W227" s="288">
        <v>0</v>
      </c>
    </row>
    <row r="228" spans="3:24">
      <c r="C228" s="127" t="s">
        <v>808</v>
      </c>
      <c r="D228" s="128"/>
      <c r="E228" s="128"/>
      <c r="F228" s="128"/>
      <c r="G228" s="128"/>
      <c r="H228" s="128">
        <v>0</v>
      </c>
      <c r="I228" s="128">
        <v>0</v>
      </c>
      <c r="J228" s="128">
        <v>0</v>
      </c>
      <c r="K228" s="128">
        <v>0</v>
      </c>
      <c r="L228" s="128">
        <v>0</v>
      </c>
      <c r="M228" s="128">
        <v>0</v>
      </c>
      <c r="N228" s="128">
        <v>0</v>
      </c>
      <c r="O228" s="128">
        <v>0</v>
      </c>
      <c r="P228" s="128">
        <v>0</v>
      </c>
      <c r="Q228" s="128">
        <v>0</v>
      </c>
      <c r="R228" s="110">
        <v>0</v>
      </c>
      <c r="S228" s="110">
        <v>0</v>
      </c>
      <c r="T228" s="110">
        <v>0</v>
      </c>
      <c r="U228" s="110">
        <v>0</v>
      </c>
      <c r="V228" s="110">
        <v>0</v>
      </c>
      <c r="W228" s="288">
        <v>0</v>
      </c>
    </row>
    <row r="229" spans="3:24">
      <c r="C229" s="127" t="s">
        <v>1097</v>
      </c>
      <c r="D229" s="128"/>
      <c r="E229" s="128"/>
      <c r="F229" s="128"/>
      <c r="G229" s="128"/>
      <c r="H229" s="128">
        <v>0</v>
      </c>
      <c r="I229" s="128">
        <v>0</v>
      </c>
      <c r="J229" s="128">
        <v>0.2</v>
      </c>
      <c r="K229" s="128">
        <v>0</v>
      </c>
      <c r="L229" s="128">
        <v>0</v>
      </c>
      <c r="M229" s="128">
        <v>0</v>
      </c>
      <c r="N229" s="128">
        <v>0</v>
      </c>
      <c r="O229" s="128">
        <v>0</v>
      </c>
      <c r="P229" s="128">
        <v>0</v>
      </c>
      <c r="Q229" s="128">
        <v>0</v>
      </c>
      <c r="R229" s="110">
        <v>0</v>
      </c>
      <c r="S229" s="110">
        <v>0</v>
      </c>
      <c r="T229" s="110">
        <v>0</v>
      </c>
      <c r="U229" s="110">
        <v>0</v>
      </c>
      <c r="V229" s="110">
        <v>0</v>
      </c>
      <c r="W229" s="288">
        <v>0</v>
      </c>
    </row>
    <row r="230" spans="3:24">
      <c r="C230" s="127" t="s">
        <v>1098</v>
      </c>
      <c r="D230" s="128"/>
      <c r="E230" s="128"/>
      <c r="F230" s="128"/>
      <c r="G230" s="128"/>
      <c r="H230" s="128">
        <v>0.40180300000000002</v>
      </c>
      <c r="I230" s="128">
        <v>0.83718248900000003</v>
      </c>
      <c r="J230" s="128">
        <v>0</v>
      </c>
      <c r="K230" s="128">
        <v>0</v>
      </c>
      <c r="L230" s="128">
        <v>0</v>
      </c>
      <c r="M230" s="128">
        <v>5.2171895499999996</v>
      </c>
      <c r="N230" s="128">
        <v>0</v>
      </c>
      <c r="O230" s="128">
        <v>0</v>
      </c>
      <c r="P230" s="128">
        <v>0</v>
      </c>
      <c r="Q230" s="128">
        <v>0</v>
      </c>
      <c r="R230" s="110">
        <v>0</v>
      </c>
      <c r="S230" s="110">
        <v>0</v>
      </c>
      <c r="T230" s="110">
        <v>0</v>
      </c>
      <c r="U230" s="110">
        <v>0</v>
      </c>
      <c r="V230" s="110">
        <v>0</v>
      </c>
      <c r="W230" s="288">
        <v>0</v>
      </c>
    </row>
    <row r="231" spans="3:24">
      <c r="C231" s="127" t="s">
        <v>1099</v>
      </c>
      <c r="D231" s="128"/>
      <c r="E231" s="128"/>
      <c r="F231" s="128"/>
      <c r="G231" s="128"/>
      <c r="H231" s="128">
        <v>0</v>
      </c>
      <c r="I231" s="128">
        <v>0</v>
      </c>
      <c r="J231" s="128">
        <v>0</v>
      </c>
      <c r="K231" s="128">
        <v>0</v>
      </c>
      <c r="L231" s="128">
        <v>0</v>
      </c>
      <c r="M231" s="128">
        <v>0</v>
      </c>
      <c r="N231" s="128">
        <v>112.464049268</v>
      </c>
      <c r="O231" s="128">
        <v>179.685175407</v>
      </c>
      <c r="P231" s="128">
        <v>242.11597011800001</v>
      </c>
      <c r="Q231" s="128">
        <v>313.77564533200001</v>
      </c>
      <c r="R231" s="110">
        <v>374.563598474</v>
      </c>
      <c r="S231" s="110">
        <v>439.49325775699998</v>
      </c>
      <c r="T231" s="110">
        <v>482.38917946399999</v>
      </c>
      <c r="U231" s="110">
        <v>493.74185023400003</v>
      </c>
      <c r="V231" s="110">
        <v>448.32501330100001</v>
      </c>
      <c r="W231" s="288">
        <v>389.70780247200003</v>
      </c>
    </row>
    <row r="232" spans="3:24">
      <c r="C232" s="127" t="s">
        <v>1100</v>
      </c>
      <c r="D232" s="128"/>
      <c r="E232" s="128"/>
      <c r="F232" s="128"/>
      <c r="G232" s="128"/>
      <c r="H232" s="128">
        <v>0</v>
      </c>
      <c r="I232" s="128">
        <v>0</v>
      </c>
      <c r="J232" s="128">
        <v>0</v>
      </c>
      <c r="K232" s="128">
        <v>0</v>
      </c>
      <c r="L232" s="128">
        <v>0</v>
      </c>
      <c r="M232" s="128">
        <v>0</v>
      </c>
      <c r="N232" s="128">
        <v>112.464049268</v>
      </c>
      <c r="O232" s="128">
        <v>0</v>
      </c>
      <c r="P232" s="128">
        <v>0</v>
      </c>
      <c r="Q232" s="128">
        <v>313.77564533200001</v>
      </c>
      <c r="R232" s="110">
        <v>374.563598474</v>
      </c>
      <c r="S232" s="110">
        <v>439.49325775699998</v>
      </c>
      <c r="T232" s="110">
        <v>482.38917946399999</v>
      </c>
      <c r="U232" s="110">
        <v>493.74185023400003</v>
      </c>
      <c r="V232" s="110">
        <v>448.32501330100001</v>
      </c>
      <c r="W232" s="288">
        <v>389.70780247200003</v>
      </c>
    </row>
    <row r="233" spans="3:24">
      <c r="C233" s="127" t="s">
        <v>1101</v>
      </c>
      <c r="D233" s="128"/>
      <c r="E233" s="128"/>
      <c r="F233" s="128"/>
      <c r="G233" s="128"/>
      <c r="H233" s="128">
        <v>0</v>
      </c>
      <c r="I233" s="128">
        <v>0</v>
      </c>
      <c r="J233" s="128">
        <v>0</v>
      </c>
      <c r="K233" s="128">
        <v>0</v>
      </c>
      <c r="L233" s="128">
        <v>0</v>
      </c>
      <c r="M233" s="128">
        <v>0</v>
      </c>
      <c r="N233" s="128">
        <v>0</v>
      </c>
      <c r="O233" s="128">
        <v>0</v>
      </c>
      <c r="P233" s="128">
        <v>0</v>
      </c>
      <c r="Q233" s="128">
        <v>0</v>
      </c>
      <c r="R233" s="110">
        <v>0</v>
      </c>
      <c r="S233" s="110">
        <v>0</v>
      </c>
      <c r="T233" s="110">
        <v>0</v>
      </c>
      <c r="U233" s="110">
        <v>0</v>
      </c>
      <c r="V233" s="110">
        <v>0</v>
      </c>
      <c r="W233" s="288">
        <v>0</v>
      </c>
    </row>
    <row r="234" spans="3:24">
      <c r="C234" s="127" t="s">
        <v>1102</v>
      </c>
      <c r="D234" s="128"/>
      <c r="E234" s="128"/>
      <c r="F234" s="128"/>
      <c r="G234" s="128"/>
      <c r="H234" s="128">
        <v>0</v>
      </c>
      <c r="I234" s="128">
        <v>0</v>
      </c>
      <c r="J234" s="128">
        <v>0</v>
      </c>
      <c r="K234" s="128">
        <v>0</v>
      </c>
      <c r="L234" s="128">
        <v>0</v>
      </c>
      <c r="M234" s="128">
        <v>0</v>
      </c>
      <c r="N234" s="128">
        <v>0</v>
      </c>
      <c r="O234" s="128">
        <v>0</v>
      </c>
      <c r="P234" s="128">
        <v>0</v>
      </c>
      <c r="Q234" s="128">
        <v>0</v>
      </c>
      <c r="R234" s="110">
        <v>0</v>
      </c>
      <c r="S234" s="110">
        <v>0</v>
      </c>
      <c r="T234" s="110">
        <v>0</v>
      </c>
      <c r="U234" s="110">
        <v>0</v>
      </c>
      <c r="V234" s="110">
        <v>0</v>
      </c>
      <c r="W234" s="288">
        <v>0</v>
      </c>
    </row>
    <row r="235" spans="3:24">
      <c r="C235" s="127" t="s">
        <v>839</v>
      </c>
      <c r="D235" s="128"/>
      <c r="E235" s="128"/>
      <c r="F235" s="128"/>
      <c r="G235" s="128"/>
      <c r="H235" s="128">
        <v>0</v>
      </c>
      <c r="I235" s="128">
        <v>0</v>
      </c>
      <c r="J235" s="128">
        <v>0</v>
      </c>
      <c r="K235" s="128">
        <v>0</v>
      </c>
      <c r="L235" s="128">
        <v>0</v>
      </c>
      <c r="M235" s="128">
        <v>0</v>
      </c>
      <c r="N235" s="128">
        <v>0</v>
      </c>
      <c r="O235" s="128">
        <v>179.685175407</v>
      </c>
      <c r="P235" s="128">
        <v>242.11597011800001</v>
      </c>
      <c r="Q235" s="128">
        <v>0</v>
      </c>
      <c r="R235" s="110">
        <v>0</v>
      </c>
      <c r="S235" s="110">
        <v>0</v>
      </c>
      <c r="T235" s="110">
        <v>0</v>
      </c>
      <c r="U235" s="110">
        <v>0</v>
      </c>
      <c r="V235" s="110">
        <v>0</v>
      </c>
      <c r="W235" s="288">
        <v>0</v>
      </c>
    </row>
    <row r="236" spans="3:24">
      <c r="C236" s="127" t="s">
        <v>1103</v>
      </c>
      <c r="D236" s="128"/>
      <c r="E236" s="128"/>
      <c r="F236" s="128"/>
      <c r="G236" s="128"/>
      <c r="H236" s="128">
        <v>16.617996000000002</v>
      </c>
      <c r="I236" s="128">
        <v>26.834779650000002</v>
      </c>
      <c r="J236" s="128">
        <v>0</v>
      </c>
      <c r="K236" s="128">
        <v>148.80742862100001</v>
      </c>
      <c r="L236" s="128">
        <v>331.60012358300003</v>
      </c>
      <c r="M236" s="128">
        <v>558.48201090600003</v>
      </c>
      <c r="N236" s="128">
        <v>1182.7695131979999</v>
      </c>
      <c r="O236" s="128">
        <v>2784.487122434</v>
      </c>
      <c r="P236" s="128">
        <v>4832.6999063780004</v>
      </c>
      <c r="Q236" s="128">
        <v>5788.3263316760003</v>
      </c>
      <c r="R236" s="110">
        <v>9148.4559895250004</v>
      </c>
      <c r="S236" s="110">
        <v>12963.311412900999</v>
      </c>
      <c r="T236" s="110">
        <v>17987.087849355001</v>
      </c>
      <c r="U236" s="110">
        <v>20841.513609195001</v>
      </c>
      <c r="V236" s="110">
        <v>20139.282722977001</v>
      </c>
      <c r="W236" s="288">
        <v>19174.626383751998</v>
      </c>
    </row>
    <row r="237" spans="3:24">
      <c r="C237" s="127" t="s">
        <v>1104</v>
      </c>
      <c r="D237" s="128"/>
      <c r="E237" s="128"/>
      <c r="F237" s="128"/>
      <c r="G237" s="128"/>
      <c r="H237" s="128">
        <v>9.8918540000000004</v>
      </c>
      <c r="I237" s="128">
        <v>16.617995694000001</v>
      </c>
      <c r="J237" s="128">
        <v>0</v>
      </c>
      <c r="K237" s="128">
        <v>81.500222476999994</v>
      </c>
      <c r="L237" s="128">
        <v>148.80742862100001</v>
      </c>
      <c r="M237" s="128">
        <v>331.60012358300003</v>
      </c>
      <c r="N237" s="128">
        <v>558.48201090600003</v>
      </c>
      <c r="O237" s="128">
        <v>1182.7695131979999</v>
      </c>
      <c r="P237" s="128">
        <v>2784.487122434</v>
      </c>
      <c r="Q237" s="128">
        <v>4832.6999063780004</v>
      </c>
      <c r="R237" s="110">
        <v>5788.3263316760003</v>
      </c>
      <c r="S237" s="110">
        <v>9148.4559895250004</v>
      </c>
      <c r="T237" s="110">
        <v>12963.311412900999</v>
      </c>
      <c r="U237" s="110">
        <v>17987.087849355001</v>
      </c>
      <c r="V237" s="110">
        <v>20841.513609195001</v>
      </c>
      <c r="W237" s="288">
        <v>20139.282722977001</v>
      </c>
    </row>
    <row r="238" spans="3:24">
      <c r="C238" s="127" t="s">
        <v>1105</v>
      </c>
      <c r="D238" s="128"/>
      <c r="E238" s="128"/>
      <c r="F238" s="128"/>
      <c r="G238" s="128"/>
      <c r="H238" s="128">
        <v>9.0734659999999998</v>
      </c>
      <c r="I238" s="128">
        <v>13.664071919</v>
      </c>
      <c r="J238" s="128">
        <v>0</v>
      </c>
      <c r="K238" s="128">
        <v>68.722981278999995</v>
      </c>
      <c r="L238" s="128">
        <v>196.00885894499999</v>
      </c>
      <c r="M238" s="128">
        <v>240.61128072700001</v>
      </c>
      <c r="N238" s="128">
        <v>624.82941658000004</v>
      </c>
      <c r="O238" s="128">
        <v>1621.738555721</v>
      </c>
      <c r="P238" s="128">
        <v>2053.0118153160001</v>
      </c>
      <c r="Q238" s="128">
        <v>1109.371701477</v>
      </c>
      <c r="R238" s="110">
        <v>3454.725836998</v>
      </c>
      <c r="S238" s="110">
        <v>4036.2296333949998</v>
      </c>
      <c r="T238" s="110">
        <v>5183.2256607660001</v>
      </c>
      <c r="U238" s="110">
        <v>4075.1186178759999</v>
      </c>
      <c r="V238" s="110">
        <v>552.25574452800004</v>
      </c>
      <c r="W238" s="288">
        <v>192.96641856700001</v>
      </c>
    </row>
    <row r="239" spans="3:24">
      <c r="C239" s="127" t="s">
        <v>1106</v>
      </c>
      <c r="D239" s="128"/>
      <c r="E239" s="128"/>
      <c r="F239" s="128"/>
      <c r="G239" s="128"/>
      <c r="H239" s="128">
        <v>-2.347324</v>
      </c>
      <c r="I239" s="128">
        <v>-3.447287963</v>
      </c>
      <c r="J239" s="128">
        <v>0</v>
      </c>
      <c r="K239" s="128">
        <v>-1.4157751350000001</v>
      </c>
      <c r="L239" s="128">
        <v>-13.216163983</v>
      </c>
      <c r="M239" s="128">
        <v>-13.729393404</v>
      </c>
      <c r="N239" s="128">
        <v>-0.54191428799999997</v>
      </c>
      <c r="O239" s="128">
        <v>-20.020946485</v>
      </c>
      <c r="P239" s="128">
        <v>-4.799031372</v>
      </c>
      <c r="Q239" s="128">
        <v>-153.745276179</v>
      </c>
      <c r="R239" s="110">
        <v>-94.596179148999994</v>
      </c>
      <c r="S239" s="110">
        <v>-221.374210019</v>
      </c>
      <c r="T239" s="110">
        <v>-159.44922431200001</v>
      </c>
      <c r="U239" s="110">
        <v>-1220.692858036</v>
      </c>
      <c r="V239" s="110">
        <v>-1254.4866307459999</v>
      </c>
      <c r="W239" s="288">
        <v>-1157.6227577919999</v>
      </c>
    </row>
    <row r="240" spans="3:24">
      <c r="C240" s="127" t="s">
        <v>1107</v>
      </c>
      <c r="D240" s="128"/>
      <c r="E240" s="128"/>
      <c r="F240" s="128"/>
      <c r="G240" s="128"/>
      <c r="H240" s="128">
        <v>4.8216330000000003</v>
      </c>
      <c r="I240" s="128">
        <v>8.1063962119999999</v>
      </c>
      <c r="J240" s="128">
        <v>0</v>
      </c>
      <c r="K240" s="128">
        <v>42.723654336999999</v>
      </c>
      <c r="L240" s="128">
        <v>72.667241064999999</v>
      </c>
      <c r="M240" s="128">
        <v>170.15078681899999</v>
      </c>
      <c r="N240" s="128">
        <v>355.84410715500002</v>
      </c>
      <c r="O240" s="128">
        <v>714.67834106600003</v>
      </c>
      <c r="P240" s="128">
        <v>1396.851573079</v>
      </c>
      <c r="Q240" s="128">
        <v>2483.4028022060002</v>
      </c>
      <c r="R240" s="110">
        <v>3773.1768165509998</v>
      </c>
      <c r="S240" s="110">
        <v>5695.9921249930003</v>
      </c>
      <c r="T240" s="110">
        <v>8420.1329161350004</v>
      </c>
      <c r="U240" s="110">
        <v>11188.183603219</v>
      </c>
      <c r="V240" s="110">
        <v>13707.967349864</v>
      </c>
      <c r="W240" s="288">
        <v>15651.465285845999</v>
      </c>
      <c r="X240" s="129">
        <f>U239/5.3</f>
        <v>-230.31940717660376</v>
      </c>
    </row>
    <row r="241" spans="2:23">
      <c r="C241" s="127" t="s">
        <v>1108</v>
      </c>
      <c r="D241" s="128"/>
      <c r="E241" s="128"/>
      <c r="F241" s="128"/>
      <c r="G241" s="128"/>
      <c r="H241" s="128">
        <v>1.9951270000000001</v>
      </c>
      <c r="I241" s="128">
        <v>4.821633404</v>
      </c>
      <c r="J241" s="128">
        <v>0</v>
      </c>
      <c r="K241" s="128">
        <v>16.459182734999999</v>
      </c>
      <c r="L241" s="128">
        <v>42.723654336999999</v>
      </c>
      <c r="M241" s="128">
        <v>72.667241064999999</v>
      </c>
      <c r="N241" s="128">
        <v>170.15078681899999</v>
      </c>
      <c r="O241" s="128">
        <v>355.84410715500002</v>
      </c>
      <c r="P241" s="128">
        <v>714.67834106600003</v>
      </c>
      <c r="Q241" s="128">
        <v>1396.851573079</v>
      </c>
      <c r="R241" s="110">
        <v>2483.4028022060002</v>
      </c>
      <c r="S241" s="110">
        <v>3773.1768165509998</v>
      </c>
      <c r="T241" s="110">
        <v>5695.9921249930003</v>
      </c>
      <c r="U241" s="110">
        <v>8420.1329161350004</v>
      </c>
      <c r="V241" s="110">
        <v>11188.183603219</v>
      </c>
      <c r="W241" s="288">
        <v>13707.967349864</v>
      </c>
    </row>
    <row r="242" spans="2:23" s="136" customFormat="1">
      <c r="B242" s="1869"/>
      <c r="C242" s="134" t="s">
        <v>1105</v>
      </c>
      <c r="D242" s="135"/>
      <c r="E242" s="135"/>
      <c r="F242" s="135"/>
      <c r="G242" s="135"/>
      <c r="H242" s="135">
        <v>3.2413780000000001</v>
      </c>
      <c r="I242" s="135">
        <v>4.1261435970000004</v>
      </c>
      <c r="J242" s="135">
        <v>0</v>
      </c>
      <c r="K242" s="135">
        <v>26.843727602000001</v>
      </c>
      <c r="L242" s="135">
        <v>33.700248795999997</v>
      </c>
      <c r="M242" s="135">
        <v>107.96292307100001</v>
      </c>
      <c r="N242" s="135">
        <v>186.177989368</v>
      </c>
      <c r="O242" s="135">
        <v>376.10194361200001</v>
      </c>
      <c r="P242" s="135">
        <v>686.73239346900004</v>
      </c>
      <c r="Q242" s="135">
        <v>1238.956605226</v>
      </c>
      <c r="R242" s="111">
        <v>1380.694975594</v>
      </c>
      <c r="S242" s="111">
        <v>2132.3763231970001</v>
      </c>
      <c r="T242" s="111">
        <v>2873.5774796300002</v>
      </c>
      <c r="U242" s="111">
        <v>3472.8918196270001</v>
      </c>
      <c r="V242" s="111">
        <v>3313.7861854729999</v>
      </c>
      <c r="W242" s="155">
        <v>2662.49892335</v>
      </c>
    </row>
    <row r="243" spans="2:23">
      <c r="C243" s="127" t="s">
        <v>1106</v>
      </c>
      <c r="D243" s="128"/>
      <c r="E243" s="128"/>
      <c r="F243" s="128"/>
      <c r="G243" s="128"/>
      <c r="H243" s="128">
        <v>-0.41487200000000002</v>
      </c>
      <c r="I243" s="128">
        <v>-0.84138078900000002</v>
      </c>
      <c r="J243" s="128">
        <v>0</v>
      </c>
      <c r="K243" s="128">
        <v>-0.57925599999999999</v>
      </c>
      <c r="L243" s="128">
        <v>-3.7566620679999998</v>
      </c>
      <c r="M243" s="128">
        <v>-10.479377317000001</v>
      </c>
      <c r="N243" s="128">
        <v>-0.484669032</v>
      </c>
      <c r="O243" s="128">
        <v>-17.267709701000001</v>
      </c>
      <c r="P243" s="128">
        <v>-4.559161456</v>
      </c>
      <c r="Q243" s="128">
        <v>-152.40537609899999</v>
      </c>
      <c r="R243" s="110">
        <v>-90.920961249000001</v>
      </c>
      <c r="S243" s="110">
        <v>-209.561014755</v>
      </c>
      <c r="T243" s="110">
        <v>-149.43668848799999</v>
      </c>
      <c r="U243" s="110">
        <v>-704.84113254299996</v>
      </c>
      <c r="V243" s="110">
        <v>-794.00243882799998</v>
      </c>
      <c r="W243" s="288">
        <v>-719.00098736799998</v>
      </c>
    </row>
    <row r="244" spans="2:23">
      <c r="C244" s="127" t="s">
        <v>1109</v>
      </c>
      <c r="D244" s="128"/>
      <c r="E244" s="128"/>
      <c r="F244" s="128"/>
      <c r="G244" s="128"/>
      <c r="H244" s="128">
        <v>0</v>
      </c>
      <c r="I244" s="128">
        <v>0</v>
      </c>
      <c r="J244" s="128">
        <v>0</v>
      </c>
      <c r="K244" s="128">
        <v>0</v>
      </c>
      <c r="L244" s="128">
        <v>0</v>
      </c>
      <c r="M244" s="128">
        <v>0</v>
      </c>
      <c r="N244" s="128">
        <v>0</v>
      </c>
      <c r="O244" s="128">
        <v>0</v>
      </c>
      <c r="P244" s="128">
        <v>0</v>
      </c>
      <c r="Q244" s="128">
        <v>0</v>
      </c>
      <c r="R244" s="110">
        <v>0</v>
      </c>
      <c r="S244" s="110">
        <v>0</v>
      </c>
      <c r="T244" s="110">
        <v>0</v>
      </c>
      <c r="U244" s="110">
        <v>0</v>
      </c>
      <c r="V244" s="110">
        <v>0</v>
      </c>
      <c r="W244" s="288">
        <v>0</v>
      </c>
    </row>
    <row r="245" spans="2:23">
      <c r="C245" s="127" t="s">
        <v>1104</v>
      </c>
      <c r="D245" s="128"/>
      <c r="E245" s="128"/>
      <c r="F245" s="128"/>
      <c r="G245" s="128"/>
      <c r="H245" s="128">
        <v>0</v>
      </c>
      <c r="I245" s="128">
        <v>0</v>
      </c>
      <c r="J245" s="128">
        <v>0</v>
      </c>
      <c r="K245" s="128">
        <v>0</v>
      </c>
      <c r="L245" s="128">
        <v>0</v>
      </c>
      <c r="M245" s="128">
        <v>0</v>
      </c>
      <c r="N245" s="128">
        <v>0</v>
      </c>
      <c r="O245" s="128">
        <v>0</v>
      </c>
      <c r="P245" s="128">
        <v>0</v>
      </c>
      <c r="Q245" s="128">
        <v>0</v>
      </c>
      <c r="R245" s="110">
        <v>0</v>
      </c>
      <c r="S245" s="110">
        <v>0</v>
      </c>
      <c r="T245" s="110">
        <v>0</v>
      </c>
      <c r="U245" s="110">
        <v>0</v>
      </c>
      <c r="V245" s="110">
        <v>0</v>
      </c>
      <c r="W245" s="288">
        <v>0</v>
      </c>
    </row>
    <row r="246" spans="2:23">
      <c r="C246" s="127" t="s">
        <v>1105</v>
      </c>
      <c r="D246" s="128"/>
      <c r="E246" s="128"/>
      <c r="F246" s="128"/>
      <c r="G246" s="128"/>
      <c r="H246" s="128">
        <v>0</v>
      </c>
      <c r="I246" s="128">
        <v>0</v>
      </c>
      <c r="J246" s="128">
        <v>0</v>
      </c>
      <c r="K246" s="128">
        <v>0</v>
      </c>
      <c r="L246" s="128">
        <v>0</v>
      </c>
      <c r="M246" s="128">
        <v>0</v>
      </c>
      <c r="N246" s="128">
        <v>0</v>
      </c>
      <c r="O246" s="128">
        <v>0</v>
      </c>
      <c r="P246" s="128">
        <v>0</v>
      </c>
      <c r="Q246" s="128">
        <v>0</v>
      </c>
      <c r="R246" s="110">
        <v>0</v>
      </c>
      <c r="S246" s="110">
        <v>0</v>
      </c>
      <c r="T246" s="110">
        <v>0</v>
      </c>
      <c r="U246" s="110">
        <v>0</v>
      </c>
      <c r="V246" s="110">
        <v>0</v>
      </c>
      <c r="W246" s="288">
        <v>0</v>
      </c>
    </row>
    <row r="247" spans="2:23">
      <c r="C247" s="127" t="s">
        <v>1106</v>
      </c>
      <c r="D247" s="128"/>
      <c r="E247" s="128"/>
      <c r="F247" s="128"/>
      <c r="G247" s="128"/>
      <c r="H247" s="128">
        <v>0</v>
      </c>
      <c r="I247" s="128">
        <v>0</v>
      </c>
      <c r="J247" s="128">
        <v>0</v>
      </c>
      <c r="K247" s="128">
        <v>0</v>
      </c>
      <c r="L247" s="128">
        <v>0</v>
      </c>
      <c r="M247" s="128">
        <v>0</v>
      </c>
      <c r="N247" s="128">
        <v>0</v>
      </c>
      <c r="O247" s="128">
        <v>0</v>
      </c>
      <c r="P247" s="128">
        <v>0</v>
      </c>
      <c r="Q247" s="128">
        <v>0</v>
      </c>
      <c r="R247" s="110">
        <v>0</v>
      </c>
      <c r="S247" s="110">
        <v>0</v>
      </c>
      <c r="T247" s="110">
        <v>0</v>
      </c>
      <c r="U247" s="110">
        <v>0</v>
      </c>
      <c r="V247" s="110">
        <v>0</v>
      </c>
      <c r="W247" s="288">
        <v>0</v>
      </c>
    </row>
    <row r="248" spans="2:23">
      <c r="C248" s="127" t="s">
        <v>1110</v>
      </c>
      <c r="D248" s="128"/>
      <c r="E248" s="128"/>
      <c r="F248" s="128"/>
      <c r="G248" s="128"/>
      <c r="H248" s="128">
        <v>0</v>
      </c>
      <c r="I248" s="128">
        <v>0</v>
      </c>
      <c r="J248" s="128">
        <v>0</v>
      </c>
      <c r="K248" s="128">
        <v>0</v>
      </c>
      <c r="L248" s="128">
        <v>0</v>
      </c>
      <c r="M248" s="128">
        <v>0</v>
      </c>
      <c r="N248" s="128">
        <v>0</v>
      </c>
      <c r="O248" s="128">
        <v>0</v>
      </c>
      <c r="P248" s="128">
        <v>0</v>
      </c>
      <c r="Q248" s="128">
        <v>0</v>
      </c>
      <c r="R248" s="110">
        <v>0</v>
      </c>
      <c r="S248" s="110">
        <v>0</v>
      </c>
      <c r="T248" s="110">
        <v>0</v>
      </c>
      <c r="U248" s="110">
        <v>0</v>
      </c>
      <c r="V248" s="110">
        <v>0</v>
      </c>
      <c r="W248" s="288">
        <v>0</v>
      </c>
    </row>
    <row r="249" spans="2:23">
      <c r="C249" s="127" t="s">
        <v>1108</v>
      </c>
      <c r="D249" s="128"/>
      <c r="E249" s="128"/>
      <c r="F249" s="128"/>
      <c r="G249" s="128"/>
      <c r="H249" s="128">
        <v>0</v>
      </c>
      <c r="I249" s="128">
        <v>0</v>
      </c>
      <c r="J249" s="128">
        <v>0</v>
      </c>
      <c r="K249" s="128">
        <v>0</v>
      </c>
      <c r="L249" s="128">
        <v>0</v>
      </c>
      <c r="M249" s="128">
        <v>0</v>
      </c>
      <c r="N249" s="128">
        <v>0</v>
      </c>
      <c r="O249" s="128">
        <v>0</v>
      </c>
      <c r="P249" s="128">
        <v>0</v>
      </c>
      <c r="Q249" s="128">
        <v>0</v>
      </c>
      <c r="R249" s="110">
        <v>0</v>
      </c>
      <c r="S249" s="110">
        <v>0</v>
      </c>
      <c r="T249" s="110">
        <v>0</v>
      </c>
      <c r="U249" s="110">
        <v>0</v>
      </c>
      <c r="V249" s="110">
        <v>0</v>
      </c>
      <c r="W249" s="288">
        <v>0</v>
      </c>
    </row>
    <row r="250" spans="2:23">
      <c r="C250" s="127" t="s">
        <v>1105</v>
      </c>
      <c r="D250" s="128"/>
      <c r="E250" s="128"/>
      <c r="F250" s="128"/>
      <c r="G250" s="128"/>
      <c r="H250" s="128">
        <v>0</v>
      </c>
      <c r="I250" s="128">
        <v>0</v>
      </c>
      <c r="J250" s="128">
        <v>0</v>
      </c>
      <c r="K250" s="128">
        <v>0</v>
      </c>
      <c r="L250" s="128">
        <v>0</v>
      </c>
      <c r="M250" s="128">
        <v>0</v>
      </c>
      <c r="N250" s="128">
        <v>0</v>
      </c>
      <c r="O250" s="128">
        <v>0</v>
      </c>
      <c r="P250" s="128">
        <v>0</v>
      </c>
      <c r="Q250" s="128">
        <v>0</v>
      </c>
      <c r="R250" s="110">
        <v>0</v>
      </c>
      <c r="S250" s="110">
        <v>0</v>
      </c>
      <c r="T250" s="110">
        <v>0</v>
      </c>
      <c r="U250" s="110">
        <v>0</v>
      </c>
      <c r="V250" s="110">
        <v>0</v>
      </c>
      <c r="W250" s="288">
        <v>0</v>
      </c>
    </row>
    <row r="251" spans="2:23">
      <c r="C251" s="127" t="s">
        <v>1106</v>
      </c>
      <c r="D251" s="128"/>
      <c r="E251" s="128"/>
      <c r="F251" s="128"/>
      <c r="G251" s="128"/>
      <c r="H251" s="128">
        <v>0</v>
      </c>
      <c r="I251" s="128">
        <v>0</v>
      </c>
      <c r="J251" s="128">
        <v>0</v>
      </c>
      <c r="K251" s="128">
        <v>0</v>
      </c>
      <c r="L251" s="128">
        <v>0</v>
      </c>
      <c r="M251" s="128">
        <v>0</v>
      </c>
      <c r="N251" s="128">
        <v>0</v>
      </c>
      <c r="O251" s="128">
        <v>0</v>
      </c>
      <c r="P251" s="128">
        <v>0</v>
      </c>
      <c r="Q251" s="128">
        <v>0</v>
      </c>
      <c r="R251" s="110">
        <v>0</v>
      </c>
      <c r="S251" s="110">
        <v>0</v>
      </c>
      <c r="T251" s="110">
        <v>0</v>
      </c>
      <c r="U251" s="110">
        <v>0</v>
      </c>
      <c r="V251" s="110">
        <v>0</v>
      </c>
      <c r="W251" s="288">
        <v>0</v>
      </c>
    </row>
    <row r="252" spans="2:23">
      <c r="C252" s="127" t="s">
        <v>1111</v>
      </c>
      <c r="D252" s="128"/>
      <c r="E252" s="128"/>
      <c r="F252" s="128"/>
      <c r="G252" s="128"/>
      <c r="H252" s="128">
        <v>0.98902900000000005</v>
      </c>
      <c r="I252" s="128">
        <v>4.5065286599999999</v>
      </c>
      <c r="J252" s="128">
        <v>0</v>
      </c>
      <c r="K252" s="128">
        <v>1.679916084</v>
      </c>
      <c r="L252" s="128">
        <v>7.2880700440000004</v>
      </c>
      <c r="M252" s="128">
        <v>26.151751644000001</v>
      </c>
      <c r="N252" s="128">
        <v>26.203355943999998</v>
      </c>
      <c r="O252" s="128">
        <v>31.108130144</v>
      </c>
      <c r="P252" s="128">
        <v>32.779467144000002</v>
      </c>
      <c r="Q252" s="128">
        <v>33.838423143999997</v>
      </c>
      <c r="R252" s="110">
        <v>34.852200199999999</v>
      </c>
      <c r="S252" s="110">
        <v>35.811638000000002</v>
      </c>
      <c r="T252" s="110">
        <v>90.297772827000003</v>
      </c>
      <c r="U252" s="110">
        <v>90.297772827000003</v>
      </c>
      <c r="V252" s="110">
        <v>90.297772827000003</v>
      </c>
      <c r="W252" s="288">
        <v>90.297772827000003</v>
      </c>
    </row>
    <row r="253" spans="2:23">
      <c r="C253" s="127" t="s">
        <v>1104</v>
      </c>
      <c r="D253" s="128"/>
      <c r="E253" s="128"/>
      <c r="F253" s="128"/>
      <c r="G253" s="128"/>
      <c r="H253" s="128">
        <v>0</v>
      </c>
      <c r="I253" s="128">
        <v>0.98902866</v>
      </c>
      <c r="J253" s="128">
        <v>0</v>
      </c>
      <c r="K253" s="128">
        <v>0.998807</v>
      </c>
      <c r="L253" s="128">
        <v>6.5791909439999996</v>
      </c>
      <c r="M253" s="128">
        <v>7.2880700440000004</v>
      </c>
      <c r="N253" s="128">
        <v>26.151751644000001</v>
      </c>
      <c r="O253" s="128">
        <v>26.203355943999998</v>
      </c>
      <c r="P253" s="128">
        <v>31.108130144</v>
      </c>
      <c r="Q253" s="128">
        <v>32.779467144000002</v>
      </c>
      <c r="R253" s="110">
        <v>33.838423143999997</v>
      </c>
      <c r="S253" s="110">
        <v>34.852200000000003</v>
      </c>
      <c r="T253" s="110">
        <v>35.811638000000002</v>
      </c>
      <c r="U253" s="110">
        <v>90.297772827000003</v>
      </c>
      <c r="V253" s="110">
        <v>90.297772827000003</v>
      </c>
      <c r="W253" s="288">
        <v>90.297772827000003</v>
      </c>
    </row>
    <row r="254" spans="2:23">
      <c r="C254" s="127" t="s">
        <v>1105</v>
      </c>
      <c r="D254" s="128"/>
      <c r="E254" s="128"/>
      <c r="F254" s="128"/>
      <c r="G254" s="128"/>
      <c r="H254" s="128">
        <v>0.98902900000000005</v>
      </c>
      <c r="I254" s="128">
        <v>3.5175000000000001</v>
      </c>
      <c r="J254" s="128">
        <v>0</v>
      </c>
      <c r="K254" s="128">
        <v>0.68110908400000003</v>
      </c>
      <c r="L254" s="128">
        <v>0.70887909999999998</v>
      </c>
      <c r="M254" s="128">
        <v>18.8636816</v>
      </c>
      <c r="N254" s="128">
        <v>5.1604299999999999E-2</v>
      </c>
      <c r="O254" s="128">
        <v>4.9047742000000003</v>
      </c>
      <c r="P254" s="128">
        <v>1.6713370000000001</v>
      </c>
      <c r="Q254" s="128">
        <v>1.058956</v>
      </c>
      <c r="R254" s="110">
        <v>1.0137770559999999</v>
      </c>
      <c r="S254" s="110">
        <v>0.95943800000000001</v>
      </c>
      <c r="T254" s="110">
        <v>54.486134827000001</v>
      </c>
      <c r="U254" s="110">
        <v>0</v>
      </c>
      <c r="V254" s="110">
        <v>0</v>
      </c>
      <c r="W254" s="288">
        <v>0</v>
      </c>
    </row>
    <row r="255" spans="2:23">
      <c r="C255" s="127" t="s">
        <v>1106</v>
      </c>
      <c r="D255" s="128"/>
      <c r="E255" s="128"/>
      <c r="F255" s="128"/>
      <c r="G255" s="128"/>
      <c r="H255" s="128">
        <v>0</v>
      </c>
      <c r="I255" s="128">
        <v>0</v>
      </c>
      <c r="J255" s="128">
        <v>0</v>
      </c>
      <c r="K255" s="128">
        <v>0</v>
      </c>
      <c r="L255" s="128">
        <v>0</v>
      </c>
      <c r="M255" s="128">
        <v>0</v>
      </c>
      <c r="N255" s="128">
        <v>0</v>
      </c>
      <c r="O255" s="128">
        <v>0</v>
      </c>
      <c r="P255" s="128">
        <v>0</v>
      </c>
      <c r="Q255" s="128">
        <v>0</v>
      </c>
      <c r="R255" s="110">
        <v>0</v>
      </c>
      <c r="S255" s="110">
        <v>0</v>
      </c>
      <c r="T255" s="110">
        <v>0</v>
      </c>
      <c r="U255" s="110">
        <v>0</v>
      </c>
      <c r="V255" s="110">
        <v>0</v>
      </c>
      <c r="W255" s="288">
        <v>0</v>
      </c>
    </row>
    <row r="256" spans="2:23">
      <c r="C256" s="127" t="s">
        <v>1112</v>
      </c>
      <c r="D256" s="128"/>
      <c r="E256" s="128"/>
      <c r="F256" s="128"/>
      <c r="G256" s="128"/>
      <c r="H256" s="128">
        <v>0.32967999999999997</v>
      </c>
      <c r="I256" s="128">
        <v>0.576936</v>
      </c>
      <c r="J256" s="128">
        <v>0</v>
      </c>
      <c r="K256" s="128">
        <v>5.5803839440000003</v>
      </c>
      <c r="L256" s="128">
        <v>2.233828661</v>
      </c>
      <c r="M256" s="128">
        <v>3.1244384090000001</v>
      </c>
      <c r="N256" s="128">
        <v>3.9817723009999999</v>
      </c>
      <c r="O256" s="128">
        <v>4.4936624810000003</v>
      </c>
      <c r="P256" s="128">
        <v>4.9698055080000003</v>
      </c>
      <c r="Q256" s="128">
        <v>5.6142930120000001</v>
      </c>
      <c r="R256" s="110">
        <v>6.3543842530000001</v>
      </c>
      <c r="S256" s="110">
        <v>8.1692599720000008</v>
      </c>
      <c r="T256" s="110">
        <v>10.083832814999999</v>
      </c>
      <c r="U256" s="110">
        <v>16.124867363</v>
      </c>
      <c r="V256" s="110">
        <v>21.477537026</v>
      </c>
      <c r="W256" s="288">
        <v>26.830206688000001</v>
      </c>
    </row>
    <row r="257" spans="3:23">
      <c r="C257" s="127" t="s">
        <v>1108</v>
      </c>
      <c r="D257" s="128"/>
      <c r="E257" s="128"/>
      <c r="F257" s="128"/>
      <c r="G257" s="128"/>
      <c r="H257" s="128">
        <v>0</v>
      </c>
      <c r="I257" s="128">
        <v>0.32967999999999997</v>
      </c>
      <c r="J257" s="128">
        <v>0</v>
      </c>
      <c r="K257" s="128">
        <v>5.5803839440000003</v>
      </c>
      <c r="L257" s="128">
        <v>1.679916084</v>
      </c>
      <c r="M257" s="128">
        <v>2.233828661</v>
      </c>
      <c r="N257" s="128">
        <v>3.1244384090000001</v>
      </c>
      <c r="O257" s="128">
        <v>3.9817723009999999</v>
      </c>
      <c r="P257" s="128">
        <v>4.4936624810000003</v>
      </c>
      <c r="Q257" s="128">
        <v>4.9698055080000003</v>
      </c>
      <c r="R257" s="110">
        <v>5.6142930120000001</v>
      </c>
      <c r="S257" s="110">
        <v>6.3543842530000001</v>
      </c>
      <c r="T257" s="110">
        <v>8.1692599720000008</v>
      </c>
      <c r="U257" s="110">
        <v>10.083832814999999</v>
      </c>
      <c r="V257" s="110">
        <v>16.124867363</v>
      </c>
      <c r="W257" s="288">
        <v>21.477537026</v>
      </c>
    </row>
    <row r="258" spans="3:23">
      <c r="C258" s="127" t="s">
        <v>1105</v>
      </c>
      <c r="D258" s="128"/>
      <c r="E258" s="128"/>
      <c r="F258" s="128"/>
      <c r="G258" s="128"/>
      <c r="H258" s="128">
        <v>0.32967999999999997</v>
      </c>
      <c r="I258" s="128">
        <v>0.247256</v>
      </c>
      <c r="J258" s="128">
        <v>0</v>
      </c>
      <c r="K258" s="128">
        <v>0</v>
      </c>
      <c r="L258" s="128">
        <v>0.55391257699999996</v>
      </c>
      <c r="M258" s="128">
        <v>0.89060974800000003</v>
      </c>
      <c r="N258" s="128">
        <v>0.85733389199999999</v>
      </c>
      <c r="O258" s="128">
        <v>0.51189017999999997</v>
      </c>
      <c r="P258" s="128">
        <v>0.476143027</v>
      </c>
      <c r="Q258" s="128">
        <v>0.64448750399999999</v>
      </c>
      <c r="R258" s="110">
        <v>0.74009124100000001</v>
      </c>
      <c r="S258" s="110">
        <v>1.814875719</v>
      </c>
      <c r="T258" s="110">
        <v>1.914572843</v>
      </c>
      <c r="U258" s="110">
        <v>6.0410345479999998</v>
      </c>
      <c r="V258" s="110">
        <v>5.3526696630000004</v>
      </c>
      <c r="W258" s="288">
        <v>5.3526696620000003</v>
      </c>
    </row>
    <row r="259" spans="3:23">
      <c r="C259" s="127" t="s">
        <v>1106</v>
      </c>
      <c r="D259" s="128"/>
      <c r="E259" s="128"/>
      <c r="F259" s="128"/>
      <c r="G259" s="128"/>
      <c r="H259" s="128">
        <v>0</v>
      </c>
      <c r="I259" s="128">
        <v>0</v>
      </c>
      <c r="J259" s="128">
        <v>0</v>
      </c>
      <c r="K259" s="128">
        <v>0</v>
      </c>
      <c r="L259" s="128">
        <v>0</v>
      </c>
      <c r="M259" s="128">
        <v>0</v>
      </c>
      <c r="N259" s="128">
        <v>0</v>
      </c>
      <c r="O259" s="128">
        <v>0</v>
      </c>
      <c r="P259" s="128">
        <v>0</v>
      </c>
      <c r="Q259" s="128">
        <v>0</v>
      </c>
      <c r="R259" s="110">
        <v>0</v>
      </c>
      <c r="S259" s="110">
        <v>0</v>
      </c>
      <c r="T259" s="110">
        <v>0</v>
      </c>
      <c r="U259" s="110">
        <v>0</v>
      </c>
      <c r="V259" s="110">
        <v>0</v>
      </c>
      <c r="W259" s="288">
        <v>0</v>
      </c>
    </row>
    <row r="260" spans="3:23">
      <c r="C260" s="127" t="s">
        <v>1113</v>
      </c>
      <c r="D260" s="128"/>
      <c r="E260" s="128"/>
      <c r="F260" s="128"/>
      <c r="G260" s="128"/>
      <c r="H260" s="128">
        <v>0</v>
      </c>
      <c r="I260" s="128">
        <v>0</v>
      </c>
      <c r="J260" s="128">
        <v>0</v>
      </c>
      <c r="K260" s="128">
        <v>0</v>
      </c>
      <c r="L260" s="128">
        <v>0</v>
      </c>
      <c r="M260" s="128">
        <v>0</v>
      </c>
      <c r="N260" s="128">
        <v>0</v>
      </c>
      <c r="O260" s="128">
        <v>0</v>
      </c>
      <c r="P260" s="128">
        <v>0</v>
      </c>
      <c r="Q260" s="128">
        <v>0</v>
      </c>
      <c r="R260" s="110">
        <v>0</v>
      </c>
      <c r="S260" s="110">
        <v>0</v>
      </c>
      <c r="T260" s="110">
        <v>0</v>
      </c>
      <c r="U260" s="110">
        <v>0</v>
      </c>
      <c r="V260" s="110">
        <v>0</v>
      </c>
      <c r="W260" s="288">
        <v>0</v>
      </c>
    </row>
    <row r="261" spans="3:23">
      <c r="C261" s="127" t="s">
        <v>1114</v>
      </c>
      <c r="D261" s="128"/>
      <c r="E261" s="128"/>
      <c r="F261" s="128"/>
      <c r="G261" s="128"/>
      <c r="H261" s="128">
        <v>0</v>
      </c>
      <c r="I261" s="128">
        <v>0</v>
      </c>
      <c r="J261" s="128">
        <v>0</v>
      </c>
      <c r="K261" s="128">
        <v>0</v>
      </c>
      <c r="L261" s="128">
        <v>0</v>
      </c>
      <c r="M261" s="128">
        <v>0</v>
      </c>
      <c r="N261" s="128">
        <v>0</v>
      </c>
      <c r="O261" s="128">
        <v>0</v>
      </c>
      <c r="P261" s="128">
        <v>0</v>
      </c>
      <c r="Q261" s="128">
        <v>0</v>
      </c>
      <c r="R261" s="110">
        <v>0</v>
      </c>
      <c r="S261" s="110">
        <v>0</v>
      </c>
      <c r="T261" s="110">
        <v>0</v>
      </c>
      <c r="U261" s="110">
        <v>0</v>
      </c>
      <c r="V261" s="110">
        <v>0</v>
      </c>
      <c r="W261" s="288">
        <v>0</v>
      </c>
    </row>
    <row r="262" spans="3:23">
      <c r="C262" s="127" t="s">
        <v>1115</v>
      </c>
      <c r="D262" s="128"/>
      <c r="E262" s="128"/>
      <c r="F262" s="128"/>
      <c r="G262" s="128"/>
      <c r="H262" s="128">
        <v>0</v>
      </c>
      <c r="I262" s="128">
        <v>0</v>
      </c>
      <c r="J262" s="128">
        <v>0</v>
      </c>
      <c r="K262" s="128">
        <v>0</v>
      </c>
      <c r="L262" s="128">
        <v>0</v>
      </c>
      <c r="M262" s="128">
        <v>0</v>
      </c>
      <c r="N262" s="128">
        <v>0</v>
      </c>
      <c r="O262" s="128">
        <v>0</v>
      </c>
      <c r="P262" s="128">
        <v>0</v>
      </c>
      <c r="Q262" s="128">
        <v>0</v>
      </c>
      <c r="R262" s="110">
        <v>0</v>
      </c>
      <c r="S262" s="110">
        <v>0</v>
      </c>
      <c r="T262" s="110">
        <v>0</v>
      </c>
      <c r="U262" s="110">
        <v>0</v>
      </c>
      <c r="V262" s="110">
        <v>0</v>
      </c>
      <c r="W262" s="288">
        <v>0</v>
      </c>
    </row>
    <row r="263" spans="3:23">
      <c r="C263" s="127" t="s">
        <v>1116</v>
      </c>
      <c r="D263" s="128"/>
      <c r="E263" s="128"/>
      <c r="F263" s="128"/>
      <c r="G263" s="128"/>
      <c r="H263" s="128">
        <v>0</v>
      </c>
      <c r="I263" s="128">
        <v>0</v>
      </c>
      <c r="J263" s="128">
        <v>0</v>
      </c>
      <c r="K263" s="128">
        <v>0</v>
      </c>
      <c r="L263" s="128">
        <v>0</v>
      </c>
      <c r="M263" s="128">
        <v>0</v>
      </c>
      <c r="N263" s="128">
        <v>0</v>
      </c>
      <c r="O263" s="128">
        <v>0</v>
      </c>
      <c r="P263" s="128">
        <v>0</v>
      </c>
      <c r="Q263" s="128">
        <v>0</v>
      </c>
      <c r="R263" s="110">
        <v>0</v>
      </c>
      <c r="S263" s="110">
        <v>0</v>
      </c>
      <c r="T263" s="110">
        <v>0</v>
      </c>
      <c r="U263" s="110">
        <v>0</v>
      </c>
      <c r="V263" s="110">
        <v>0</v>
      </c>
      <c r="W263" s="288">
        <v>0</v>
      </c>
    </row>
    <row r="264" spans="3:23">
      <c r="C264" s="127" t="s">
        <v>1117</v>
      </c>
      <c r="D264" s="128"/>
      <c r="E264" s="128"/>
      <c r="F264" s="128"/>
      <c r="G264" s="128"/>
      <c r="H264" s="128">
        <v>0</v>
      </c>
      <c r="I264" s="128">
        <v>0</v>
      </c>
      <c r="J264" s="128">
        <v>0</v>
      </c>
      <c r="K264" s="128">
        <v>0</v>
      </c>
      <c r="L264" s="128">
        <v>0</v>
      </c>
      <c r="M264" s="128">
        <v>0</v>
      </c>
      <c r="N264" s="128">
        <v>0</v>
      </c>
      <c r="O264" s="128">
        <v>0</v>
      </c>
      <c r="P264" s="128">
        <v>0</v>
      </c>
      <c r="Q264" s="128">
        <v>0</v>
      </c>
      <c r="R264" s="110">
        <v>0</v>
      </c>
      <c r="S264" s="110">
        <v>0</v>
      </c>
      <c r="T264" s="110">
        <v>0</v>
      </c>
      <c r="U264" s="110">
        <v>0</v>
      </c>
      <c r="V264" s="110">
        <v>0</v>
      </c>
      <c r="W264" s="288">
        <v>0</v>
      </c>
    </row>
    <row r="265" spans="3:23">
      <c r="C265" s="127" t="s">
        <v>877</v>
      </c>
      <c r="D265" s="128"/>
      <c r="E265" s="128"/>
      <c r="F265" s="128"/>
      <c r="G265" s="128"/>
      <c r="H265" s="128">
        <v>0</v>
      </c>
      <c r="I265" s="128">
        <v>0</v>
      </c>
      <c r="J265" s="128">
        <v>0</v>
      </c>
      <c r="K265" s="128">
        <v>0</v>
      </c>
      <c r="L265" s="128">
        <v>0</v>
      </c>
      <c r="M265" s="128">
        <v>0</v>
      </c>
      <c r="N265" s="128">
        <v>0</v>
      </c>
      <c r="O265" s="128">
        <v>0</v>
      </c>
      <c r="P265" s="128">
        <v>0</v>
      </c>
      <c r="Q265" s="128">
        <v>0</v>
      </c>
      <c r="R265" s="110">
        <v>0</v>
      </c>
      <c r="S265" s="110">
        <v>0</v>
      </c>
      <c r="T265" s="110">
        <v>0</v>
      </c>
      <c r="U265" s="110">
        <v>0</v>
      </c>
      <c r="V265" s="110">
        <v>0</v>
      </c>
      <c r="W265" s="288">
        <v>0</v>
      </c>
    </row>
    <row r="266" spans="3:23">
      <c r="C266" s="127" t="s">
        <v>1118</v>
      </c>
      <c r="D266" s="128"/>
      <c r="E266" s="128"/>
      <c r="F266" s="128"/>
      <c r="G266" s="128"/>
      <c r="H266" s="128">
        <v>28.791772000000002</v>
      </c>
      <c r="I266" s="128">
        <v>92.951603723000005</v>
      </c>
      <c r="J266" s="128">
        <v>299.38282417400001</v>
      </c>
      <c r="K266" s="128">
        <v>391.34533026299999</v>
      </c>
      <c r="L266" s="128">
        <v>513.18899344700003</v>
      </c>
      <c r="M266" s="128">
        <v>618.69030527300004</v>
      </c>
      <c r="N266" s="128">
        <v>2052.9459726810001</v>
      </c>
      <c r="O266" s="128">
        <v>4788.9917467570003</v>
      </c>
      <c r="P266" s="128">
        <v>5603.505990527</v>
      </c>
      <c r="Q266" s="128">
        <v>5836.4546370890002</v>
      </c>
      <c r="R266" s="110">
        <v>13031.015620192</v>
      </c>
      <c r="S266" s="110">
        <v>15625.180321923999</v>
      </c>
      <c r="T266" s="110">
        <v>24647.474278786001</v>
      </c>
      <c r="U266" s="110">
        <v>10688.138631456</v>
      </c>
      <c r="V266" s="110">
        <v>19128.541817780999</v>
      </c>
      <c r="W266" s="288">
        <v>27300.246721779</v>
      </c>
    </row>
    <row r="267" spans="3:23">
      <c r="C267" s="127" t="s">
        <v>914</v>
      </c>
      <c r="D267" s="128"/>
      <c r="E267" s="128"/>
      <c r="F267" s="128"/>
      <c r="G267" s="128"/>
      <c r="H267" s="128">
        <v>27.359545000000001</v>
      </c>
      <c r="I267" s="128">
        <v>90.842086660999996</v>
      </c>
      <c r="J267" s="128">
        <v>292.43251833199997</v>
      </c>
      <c r="K267" s="128">
        <v>391.34533026299999</v>
      </c>
      <c r="L267" s="128">
        <v>513.18899344700003</v>
      </c>
      <c r="M267" s="128">
        <v>618.69030527300004</v>
      </c>
      <c r="N267" s="128">
        <v>2052.9459726810001</v>
      </c>
      <c r="O267" s="128">
        <v>4788.9917467570003</v>
      </c>
      <c r="P267" s="128">
        <v>5528.505990527</v>
      </c>
      <c r="Q267" s="128">
        <v>5700.5989264250002</v>
      </c>
      <c r="R267" s="110">
        <v>13031.015620192</v>
      </c>
      <c r="S267" s="110">
        <v>15625.180321923999</v>
      </c>
      <c r="T267" s="110">
        <v>20747.857612136999</v>
      </c>
      <c r="U267" s="110">
        <v>10688.138631456</v>
      </c>
      <c r="V267" s="110">
        <v>19128.541817780999</v>
      </c>
      <c r="W267" s="288">
        <v>21351.721721778998</v>
      </c>
    </row>
    <row r="268" spans="3:23">
      <c r="C268" s="127" t="s">
        <v>1119</v>
      </c>
      <c r="D268" s="128"/>
      <c r="E268" s="128"/>
      <c r="F268" s="128"/>
      <c r="G268" s="128"/>
      <c r="H268" s="128">
        <v>1.4322269999999999</v>
      </c>
      <c r="I268" s="128">
        <v>2.1095170620000001</v>
      </c>
      <c r="J268" s="128">
        <v>6.9503058419999997</v>
      </c>
      <c r="K268" s="128">
        <v>0</v>
      </c>
      <c r="L268" s="128">
        <v>0</v>
      </c>
      <c r="M268" s="128">
        <v>0</v>
      </c>
      <c r="N268" s="128">
        <v>0</v>
      </c>
      <c r="O268" s="128">
        <v>0</v>
      </c>
      <c r="P268" s="128">
        <v>75</v>
      </c>
      <c r="Q268" s="128">
        <v>135.85571066399999</v>
      </c>
      <c r="R268" s="110">
        <v>0</v>
      </c>
      <c r="S268" s="110">
        <v>0</v>
      </c>
      <c r="T268" s="110">
        <v>3899.6166666489999</v>
      </c>
      <c r="U268" s="110">
        <v>0</v>
      </c>
      <c r="V268" s="110">
        <v>0</v>
      </c>
      <c r="W268" s="288">
        <v>5948.5249999999996</v>
      </c>
    </row>
    <row r="269" spans="3:23">
      <c r="C269" s="127" t="s">
        <v>1120</v>
      </c>
      <c r="D269" s="128"/>
      <c r="E269" s="128"/>
      <c r="F269" s="128"/>
      <c r="G269" s="128"/>
      <c r="H269" s="128">
        <v>0</v>
      </c>
      <c r="I269" s="128">
        <v>0</v>
      </c>
      <c r="J269" s="128">
        <v>0</v>
      </c>
      <c r="K269" s="128">
        <v>0</v>
      </c>
      <c r="L269" s="128">
        <v>0</v>
      </c>
      <c r="M269" s="128">
        <v>0</v>
      </c>
      <c r="N269" s="128">
        <v>30.159070256</v>
      </c>
      <c r="O269" s="128">
        <v>0</v>
      </c>
      <c r="P269" s="128">
        <v>30.159070256</v>
      </c>
      <c r="Q269" s="128">
        <v>613.91872118499998</v>
      </c>
      <c r="R269" s="110">
        <v>613.91872118499998</v>
      </c>
      <c r="S269" s="110">
        <v>613.91872118499998</v>
      </c>
      <c r="T269" s="110">
        <v>613.91872118499998</v>
      </c>
      <c r="U269" s="110">
        <v>613.91872118499998</v>
      </c>
      <c r="V269" s="110">
        <v>613.91872118499998</v>
      </c>
      <c r="W269" s="288">
        <v>613.91872118499998</v>
      </c>
    </row>
    <row r="270" spans="3:23">
      <c r="C270" s="127" t="s">
        <v>1121</v>
      </c>
      <c r="D270" s="128"/>
      <c r="E270" s="128"/>
      <c r="F270" s="128"/>
      <c r="G270" s="128"/>
      <c r="H270" s="128">
        <v>0</v>
      </c>
      <c r="I270" s="128">
        <v>0</v>
      </c>
      <c r="J270" s="128">
        <v>0</v>
      </c>
      <c r="K270" s="128">
        <v>0</v>
      </c>
      <c r="L270" s="128">
        <v>0</v>
      </c>
      <c r="M270" s="128">
        <v>0</v>
      </c>
      <c r="N270" s="128">
        <v>30.159070256</v>
      </c>
      <c r="O270" s="128">
        <v>0</v>
      </c>
      <c r="P270" s="128">
        <v>30.159070256</v>
      </c>
      <c r="Q270" s="128">
        <v>0</v>
      </c>
      <c r="R270" s="110">
        <v>613.91872118499998</v>
      </c>
      <c r="S270" s="110">
        <v>613.91872118499998</v>
      </c>
      <c r="T270" s="110">
        <v>613.91872118499998</v>
      </c>
      <c r="U270" s="110">
        <v>613.91872118499998</v>
      </c>
      <c r="V270" s="110">
        <v>613.91872118499998</v>
      </c>
      <c r="W270" s="288">
        <v>613.91872118499998</v>
      </c>
    </row>
    <row r="271" spans="3:23">
      <c r="C271" s="127" t="s">
        <v>1105</v>
      </c>
      <c r="D271" s="128"/>
      <c r="E271" s="128"/>
      <c r="F271" s="128"/>
      <c r="G271" s="128"/>
      <c r="H271" s="128">
        <v>0</v>
      </c>
      <c r="I271" s="128">
        <v>0</v>
      </c>
      <c r="J271" s="128">
        <v>0</v>
      </c>
      <c r="K271" s="128">
        <v>0</v>
      </c>
      <c r="L271" s="128">
        <v>0</v>
      </c>
      <c r="M271" s="128">
        <v>0</v>
      </c>
      <c r="N271" s="128">
        <v>0</v>
      </c>
      <c r="O271" s="128">
        <v>0</v>
      </c>
      <c r="P271" s="128">
        <v>0</v>
      </c>
      <c r="Q271" s="128">
        <v>613.91872118499998</v>
      </c>
      <c r="R271" s="110">
        <v>0</v>
      </c>
      <c r="S271" s="110">
        <v>0</v>
      </c>
      <c r="T271" s="110">
        <v>0</v>
      </c>
      <c r="U271" s="110">
        <v>0</v>
      </c>
      <c r="V271" s="110">
        <v>0</v>
      </c>
      <c r="W271" s="288">
        <v>0</v>
      </c>
    </row>
    <row r="272" spans="3:23">
      <c r="C272" s="127" t="s">
        <v>1106</v>
      </c>
      <c r="D272" s="128"/>
      <c r="E272" s="128"/>
      <c r="F272" s="128"/>
      <c r="G272" s="128"/>
      <c r="H272" s="128">
        <v>0</v>
      </c>
      <c r="I272" s="128">
        <v>0</v>
      </c>
      <c r="J272" s="128">
        <v>0</v>
      </c>
      <c r="K272" s="128">
        <v>0</v>
      </c>
      <c r="L272" s="128">
        <v>0</v>
      </c>
      <c r="M272" s="128">
        <v>0</v>
      </c>
      <c r="N272" s="128">
        <v>0</v>
      </c>
      <c r="O272" s="128">
        <v>0</v>
      </c>
      <c r="P272" s="128">
        <v>0</v>
      </c>
      <c r="Q272" s="128">
        <v>0</v>
      </c>
      <c r="R272" s="110">
        <v>0</v>
      </c>
      <c r="S272" s="110">
        <v>0</v>
      </c>
      <c r="T272" s="110">
        <v>0</v>
      </c>
      <c r="U272" s="110">
        <v>0</v>
      </c>
      <c r="V272" s="110">
        <v>0</v>
      </c>
      <c r="W272" s="288">
        <v>0</v>
      </c>
    </row>
    <row r="273" spans="3:23">
      <c r="C273" s="127" t="s">
        <v>1122</v>
      </c>
      <c r="D273" s="128"/>
      <c r="E273" s="128"/>
      <c r="F273" s="128"/>
      <c r="G273" s="128"/>
      <c r="H273" s="128">
        <v>0</v>
      </c>
      <c r="I273" s="128">
        <v>0</v>
      </c>
      <c r="J273" s="128">
        <v>0</v>
      </c>
      <c r="K273" s="128">
        <v>0</v>
      </c>
      <c r="L273" s="128">
        <v>0</v>
      </c>
      <c r="M273" s="128">
        <v>0</v>
      </c>
      <c r="N273" s="128">
        <v>17.633209556000001</v>
      </c>
      <c r="O273" s="128">
        <v>0</v>
      </c>
      <c r="P273" s="128">
        <v>30.159070256</v>
      </c>
      <c r="Q273" s="128">
        <v>61.391872118999999</v>
      </c>
      <c r="R273" s="110">
        <v>122.783744238</v>
      </c>
      <c r="S273" s="110">
        <v>184.175616357</v>
      </c>
      <c r="T273" s="110">
        <v>245.56748847599999</v>
      </c>
      <c r="U273" s="110">
        <v>306.95936059000002</v>
      </c>
      <c r="V273" s="110">
        <v>368.35123271399999</v>
      </c>
      <c r="W273" s="288">
        <v>613.91872118499998</v>
      </c>
    </row>
    <row r="274" spans="3:23">
      <c r="C274" s="127" t="s">
        <v>1123</v>
      </c>
      <c r="D274" s="128"/>
      <c r="E274" s="128"/>
      <c r="F274" s="128"/>
      <c r="G274" s="128"/>
      <c r="H274" s="128">
        <v>0</v>
      </c>
      <c r="I274" s="128">
        <v>0</v>
      </c>
      <c r="J274" s="128">
        <v>0</v>
      </c>
      <c r="K274" s="128">
        <v>0</v>
      </c>
      <c r="L274" s="128">
        <v>0</v>
      </c>
      <c r="M274" s="128">
        <v>0</v>
      </c>
      <c r="N274" s="128">
        <v>7.6125209920000003</v>
      </c>
      <c r="O274" s="128">
        <v>0</v>
      </c>
      <c r="P274" s="128">
        <v>27.653898120000001</v>
      </c>
      <c r="Q274" s="128">
        <v>0</v>
      </c>
      <c r="R274" s="110">
        <v>61.391872118999999</v>
      </c>
      <c r="S274" s="110">
        <v>122.783744238</v>
      </c>
      <c r="T274" s="110">
        <v>184.175616357</v>
      </c>
      <c r="U274" s="110">
        <v>245.56748847599999</v>
      </c>
      <c r="V274" s="110">
        <v>306.95936059500002</v>
      </c>
      <c r="W274" s="288">
        <v>368.35123271399999</v>
      </c>
    </row>
    <row r="275" spans="3:23">
      <c r="C275" s="127" t="s">
        <v>1105</v>
      </c>
      <c r="D275" s="128"/>
      <c r="E275" s="128"/>
      <c r="F275" s="128"/>
      <c r="G275" s="128"/>
      <c r="H275" s="128">
        <v>0</v>
      </c>
      <c r="I275" s="128">
        <v>0</v>
      </c>
      <c r="J275" s="128">
        <v>0</v>
      </c>
      <c r="K275" s="128">
        <v>0</v>
      </c>
      <c r="L275" s="128">
        <v>0</v>
      </c>
      <c r="M275" s="128">
        <v>0</v>
      </c>
      <c r="N275" s="128">
        <v>10.020688564</v>
      </c>
      <c r="O275" s="128">
        <v>0</v>
      </c>
      <c r="P275" s="128">
        <v>2.5051721360000001</v>
      </c>
      <c r="Q275" s="128">
        <v>61.391872118999999</v>
      </c>
      <c r="R275" s="110">
        <v>61.391872118999999</v>
      </c>
      <c r="S275" s="110">
        <v>61.391872118999999</v>
      </c>
      <c r="T275" s="110">
        <v>61.391872118999999</v>
      </c>
      <c r="U275" s="110">
        <v>61.391872114000002</v>
      </c>
      <c r="V275" s="110">
        <v>61.391872118999999</v>
      </c>
      <c r="W275" s="288">
        <v>245.56748847099999</v>
      </c>
    </row>
    <row r="276" spans="3:23">
      <c r="C276" s="127" t="s">
        <v>1106</v>
      </c>
      <c r="D276" s="128"/>
      <c r="E276" s="128"/>
      <c r="F276" s="128"/>
      <c r="G276" s="128"/>
      <c r="H276" s="128">
        <v>0</v>
      </c>
      <c r="I276" s="128">
        <v>0</v>
      </c>
      <c r="J276" s="128">
        <v>0</v>
      </c>
      <c r="K276" s="128">
        <v>0</v>
      </c>
      <c r="L276" s="128">
        <v>0</v>
      </c>
      <c r="M276" s="128">
        <v>0</v>
      </c>
      <c r="N276" s="128">
        <v>0</v>
      </c>
      <c r="O276" s="128">
        <v>0</v>
      </c>
      <c r="P276" s="128">
        <v>0</v>
      </c>
      <c r="Q276" s="128">
        <v>0</v>
      </c>
      <c r="R276" s="110">
        <v>0</v>
      </c>
      <c r="S276" s="110">
        <v>0</v>
      </c>
      <c r="T276" s="110">
        <v>0</v>
      </c>
      <c r="U276" s="110">
        <v>0</v>
      </c>
      <c r="V276" s="110">
        <v>0</v>
      </c>
      <c r="W276" s="288">
        <v>0</v>
      </c>
    </row>
    <row r="277" spans="3:23">
      <c r="C277" s="127" t="s">
        <v>1124</v>
      </c>
      <c r="D277" s="128"/>
      <c r="E277" s="128"/>
      <c r="F277" s="128"/>
      <c r="G277" s="128"/>
      <c r="H277" s="128">
        <v>12.95557</v>
      </c>
      <c r="I277" s="128">
        <v>33.958086950000002</v>
      </c>
      <c r="J277" s="128">
        <v>42.690680972999999</v>
      </c>
      <c r="K277" s="128">
        <v>48.552486246000001</v>
      </c>
      <c r="L277" s="128">
        <v>84.241128747000005</v>
      </c>
      <c r="M277" s="128">
        <v>57.948259321000002</v>
      </c>
      <c r="N277" s="128">
        <v>174.477742839</v>
      </c>
      <c r="O277" s="128">
        <v>152.82400591800001</v>
      </c>
      <c r="P277" s="128">
        <v>137.42161228500001</v>
      </c>
      <c r="Q277" s="128">
        <v>0</v>
      </c>
      <c r="R277" s="110">
        <v>374.62326911000002</v>
      </c>
      <c r="S277" s="110">
        <v>634.91786817599996</v>
      </c>
      <c r="T277" s="110">
        <v>696.55903354500003</v>
      </c>
      <c r="U277" s="110">
        <v>764.244077963</v>
      </c>
      <c r="V277" s="110">
        <v>418.17325159500001</v>
      </c>
      <c r="W277" s="288">
        <v>534.22242872699996</v>
      </c>
    </row>
    <row r="278" spans="3:23">
      <c r="C278" s="127" t="s">
        <v>1125</v>
      </c>
      <c r="D278" s="128"/>
      <c r="E278" s="128"/>
      <c r="F278" s="128"/>
      <c r="G278" s="128"/>
      <c r="H278" s="128">
        <v>0</v>
      </c>
      <c r="I278" s="128">
        <v>0</v>
      </c>
      <c r="J278" s="128">
        <v>3.07442503</v>
      </c>
      <c r="K278" s="128">
        <v>10.092263367999999</v>
      </c>
      <c r="L278" s="128">
        <v>1.174616479</v>
      </c>
      <c r="M278" s="128">
        <v>8.2901795E-2</v>
      </c>
      <c r="N278" s="128">
        <v>2.0180013E-2</v>
      </c>
      <c r="O278" s="128">
        <v>4.875E-3</v>
      </c>
      <c r="P278" s="128">
        <v>86.778805235999997</v>
      </c>
      <c r="Q278" s="128">
        <v>0</v>
      </c>
      <c r="R278" s="110">
        <v>3.9592937250000002</v>
      </c>
      <c r="S278" s="110">
        <v>92.382703376999999</v>
      </c>
      <c r="T278" s="110">
        <v>27.210732061000002</v>
      </c>
      <c r="U278" s="110">
        <v>184.21521826700001</v>
      </c>
      <c r="V278" s="110">
        <v>286.79273461499997</v>
      </c>
      <c r="W278" s="288">
        <v>243.45087373499999</v>
      </c>
    </row>
    <row r="279" spans="3:23">
      <c r="C279" s="127" t="s">
        <v>1126</v>
      </c>
      <c r="D279" s="128"/>
      <c r="E279" s="128"/>
      <c r="F279" s="128"/>
      <c r="G279" s="128"/>
      <c r="H279" s="128">
        <v>0</v>
      </c>
      <c r="I279" s="128">
        <v>0</v>
      </c>
      <c r="J279" s="128">
        <v>0</v>
      </c>
      <c r="K279" s="128">
        <v>0</v>
      </c>
      <c r="L279" s="128">
        <v>0</v>
      </c>
      <c r="M279" s="128">
        <v>0</v>
      </c>
      <c r="N279" s="128">
        <v>0</v>
      </c>
      <c r="O279" s="128">
        <v>0</v>
      </c>
      <c r="P279" s="128">
        <v>0</v>
      </c>
      <c r="Q279" s="128">
        <v>0</v>
      </c>
      <c r="R279" s="110">
        <v>0</v>
      </c>
      <c r="S279" s="110">
        <v>0</v>
      </c>
      <c r="T279" s="110">
        <v>0</v>
      </c>
      <c r="U279" s="110">
        <v>0</v>
      </c>
      <c r="V279" s="110">
        <v>0</v>
      </c>
      <c r="W279" s="288">
        <v>0</v>
      </c>
    </row>
    <row r="280" spans="3:23">
      <c r="C280" s="127" t="s">
        <v>1127</v>
      </c>
      <c r="D280" s="128"/>
      <c r="E280" s="128"/>
      <c r="F280" s="128"/>
      <c r="G280" s="128"/>
      <c r="H280" s="128">
        <v>0</v>
      </c>
      <c r="I280" s="128">
        <v>0</v>
      </c>
      <c r="J280" s="128">
        <v>0</v>
      </c>
      <c r="K280" s="128">
        <v>0</v>
      </c>
      <c r="L280" s="128">
        <v>0</v>
      </c>
      <c r="M280" s="128">
        <v>0</v>
      </c>
      <c r="N280" s="128">
        <v>0</v>
      </c>
      <c r="O280" s="128">
        <v>0</v>
      </c>
      <c r="P280" s="128">
        <v>0</v>
      </c>
      <c r="Q280" s="128">
        <v>0</v>
      </c>
      <c r="R280" s="110">
        <v>0</v>
      </c>
      <c r="S280" s="110">
        <v>0</v>
      </c>
      <c r="T280" s="110">
        <v>0</v>
      </c>
      <c r="U280" s="110">
        <v>0</v>
      </c>
      <c r="V280" s="110">
        <v>0</v>
      </c>
      <c r="W280" s="288">
        <v>0</v>
      </c>
    </row>
    <row r="281" spans="3:23">
      <c r="C281" s="127" t="s">
        <v>1128</v>
      </c>
      <c r="D281" s="128"/>
      <c r="E281" s="128"/>
      <c r="F281" s="128"/>
      <c r="G281" s="128"/>
      <c r="H281" s="128">
        <v>11.35046</v>
      </c>
      <c r="I281" s="128">
        <v>32.143311119000003</v>
      </c>
      <c r="J281" s="128">
        <v>35.574909636999998</v>
      </c>
      <c r="K281" s="128">
        <v>27.486901094</v>
      </c>
      <c r="L281" s="128">
        <v>73.948568576</v>
      </c>
      <c r="M281" s="128">
        <v>56.194555201</v>
      </c>
      <c r="N281" s="128">
        <v>172.757057796</v>
      </c>
      <c r="O281" s="128">
        <v>137.70339935499999</v>
      </c>
      <c r="P281" s="128">
        <v>0</v>
      </c>
      <c r="Q281" s="128">
        <v>0</v>
      </c>
      <c r="R281" s="110">
        <v>347.36689288399998</v>
      </c>
      <c r="S281" s="110">
        <v>451.19527437099998</v>
      </c>
      <c r="T281" s="110">
        <v>551.06884725800001</v>
      </c>
      <c r="U281" s="110">
        <v>538.72681302599995</v>
      </c>
      <c r="V281" s="110">
        <v>110.05203120100001</v>
      </c>
      <c r="W281" s="288">
        <v>278.33939279999998</v>
      </c>
    </row>
    <row r="282" spans="3:23">
      <c r="C282" s="127" t="s">
        <v>1129</v>
      </c>
      <c r="D282" s="128"/>
      <c r="E282" s="128"/>
      <c r="F282" s="128"/>
      <c r="G282" s="128"/>
      <c r="H282" s="128">
        <v>1.60511</v>
      </c>
      <c r="I282" s="128">
        <v>1.814775831</v>
      </c>
      <c r="J282" s="128">
        <v>4.0277513889999996</v>
      </c>
      <c r="K282" s="128">
        <v>10.973321783999999</v>
      </c>
      <c r="L282" s="128">
        <v>8.9239832660000005</v>
      </c>
      <c r="M282" s="128">
        <v>1.558548324</v>
      </c>
      <c r="N282" s="128">
        <v>1.2923234109999999</v>
      </c>
      <c r="O282" s="128">
        <v>14.141201245</v>
      </c>
      <c r="P282" s="128">
        <v>48.505732221000002</v>
      </c>
      <c r="Q282" s="128">
        <v>0</v>
      </c>
      <c r="R282" s="110">
        <v>22.293550886999999</v>
      </c>
      <c r="S282" s="110">
        <v>89.244444193000007</v>
      </c>
      <c r="T282" s="110">
        <v>115.882957027</v>
      </c>
      <c r="U282" s="110">
        <v>40.700519360999998</v>
      </c>
      <c r="V282" s="110">
        <v>20.050394005000001</v>
      </c>
      <c r="W282" s="288">
        <v>11.770642325000001</v>
      </c>
    </row>
    <row r="283" spans="3:23">
      <c r="C283" s="127" t="s">
        <v>1130</v>
      </c>
      <c r="D283" s="128"/>
      <c r="E283" s="128"/>
      <c r="F283" s="128"/>
      <c r="G283" s="128"/>
      <c r="H283" s="128">
        <v>0</v>
      </c>
      <c r="I283" s="128">
        <v>0</v>
      </c>
      <c r="J283" s="128">
        <v>0</v>
      </c>
      <c r="K283" s="128">
        <v>0</v>
      </c>
      <c r="L283" s="128">
        <v>0</v>
      </c>
      <c r="M283" s="128">
        <v>0</v>
      </c>
      <c r="N283" s="128">
        <v>0</v>
      </c>
      <c r="O283" s="128">
        <v>0</v>
      </c>
      <c r="P283" s="128">
        <v>0</v>
      </c>
      <c r="Q283" s="128">
        <v>0</v>
      </c>
      <c r="R283" s="110">
        <v>0</v>
      </c>
      <c r="S283" s="110">
        <v>0</v>
      </c>
      <c r="T283" s="110">
        <v>0</v>
      </c>
      <c r="U283" s="110">
        <v>0</v>
      </c>
      <c r="V283" s="110">
        <v>0</v>
      </c>
      <c r="W283" s="288">
        <v>0</v>
      </c>
    </row>
    <row r="284" spans="3:23">
      <c r="C284" s="127" t="s">
        <v>1131</v>
      </c>
      <c r="D284" s="128"/>
      <c r="E284" s="128"/>
      <c r="F284" s="128"/>
      <c r="G284" s="128"/>
      <c r="H284" s="128">
        <v>0</v>
      </c>
      <c r="I284" s="128">
        <v>0</v>
      </c>
      <c r="J284" s="128">
        <v>0</v>
      </c>
      <c r="K284" s="128">
        <v>0</v>
      </c>
      <c r="L284" s="128">
        <v>0</v>
      </c>
      <c r="M284" s="128">
        <v>0</v>
      </c>
      <c r="N284" s="128">
        <v>0</v>
      </c>
      <c r="O284" s="128">
        <v>0</v>
      </c>
      <c r="P284" s="128">
        <v>0</v>
      </c>
      <c r="Q284" s="128">
        <v>0</v>
      </c>
      <c r="R284" s="110">
        <v>0</v>
      </c>
      <c r="S284" s="110">
        <v>0</v>
      </c>
      <c r="T284" s="110">
        <v>0</v>
      </c>
      <c r="U284" s="110">
        <v>0</v>
      </c>
      <c r="V284" s="110">
        <v>0</v>
      </c>
      <c r="W284" s="288">
        <v>0</v>
      </c>
    </row>
    <row r="285" spans="3:23">
      <c r="C285" s="127" t="s">
        <v>1132</v>
      </c>
      <c r="D285" s="128"/>
      <c r="E285" s="128"/>
      <c r="F285" s="128"/>
      <c r="G285" s="128"/>
      <c r="H285" s="128">
        <v>0</v>
      </c>
      <c r="I285" s="128">
        <v>0</v>
      </c>
      <c r="J285" s="128">
        <v>1.3594917E-2</v>
      </c>
      <c r="K285" s="128">
        <v>0</v>
      </c>
      <c r="L285" s="128">
        <v>0.19396042599999999</v>
      </c>
      <c r="M285" s="128">
        <v>0.11225400100000001</v>
      </c>
      <c r="N285" s="128">
        <v>0.408181619</v>
      </c>
      <c r="O285" s="128">
        <v>0.97453031800000001</v>
      </c>
      <c r="P285" s="128">
        <v>2.1370748279999998</v>
      </c>
      <c r="Q285" s="128">
        <v>0</v>
      </c>
      <c r="R285" s="110">
        <v>1.0035316139999999</v>
      </c>
      <c r="S285" s="110">
        <v>2.0954462349999998</v>
      </c>
      <c r="T285" s="110">
        <v>2.3964971990000001</v>
      </c>
      <c r="U285" s="110">
        <v>0.60152730899999995</v>
      </c>
      <c r="V285" s="110">
        <v>1.278091774</v>
      </c>
      <c r="W285" s="288">
        <v>0.66151986699999998</v>
      </c>
    </row>
    <row r="286" spans="3:23">
      <c r="C286" s="127" t="s">
        <v>1133</v>
      </c>
      <c r="D286" s="128"/>
      <c r="E286" s="128"/>
      <c r="F286" s="128"/>
      <c r="G286" s="128"/>
      <c r="H286" s="128">
        <v>0</v>
      </c>
      <c r="I286" s="128">
        <v>0</v>
      </c>
      <c r="J286" s="128">
        <v>0</v>
      </c>
      <c r="K286" s="128">
        <v>0</v>
      </c>
      <c r="L286" s="128">
        <v>0</v>
      </c>
      <c r="M286" s="128">
        <v>0</v>
      </c>
      <c r="N286" s="128">
        <v>0</v>
      </c>
      <c r="O286" s="128">
        <v>0</v>
      </c>
      <c r="P286" s="128">
        <v>0</v>
      </c>
      <c r="Q286" s="128">
        <v>0</v>
      </c>
      <c r="R286" s="110">
        <v>0</v>
      </c>
      <c r="S286" s="110">
        <v>0</v>
      </c>
      <c r="T286" s="110">
        <v>0</v>
      </c>
      <c r="U286" s="110">
        <v>0</v>
      </c>
      <c r="V286" s="110">
        <v>0</v>
      </c>
      <c r="W286" s="288">
        <v>0</v>
      </c>
    </row>
    <row r="287" spans="3:23">
      <c r="C287" s="127" t="s">
        <v>1134</v>
      </c>
      <c r="D287" s="128"/>
      <c r="E287" s="128"/>
      <c r="F287" s="128"/>
      <c r="G287" s="128"/>
      <c r="H287" s="128">
        <v>20.849815</v>
      </c>
      <c r="I287" s="128">
        <v>61.405925981999999</v>
      </c>
      <c r="J287" s="128">
        <v>112.541211389</v>
      </c>
      <c r="K287" s="128">
        <v>67.382892264000006</v>
      </c>
      <c r="L287" s="128">
        <v>94.070205539</v>
      </c>
      <c r="M287" s="128">
        <v>191.807973852</v>
      </c>
      <c r="N287" s="128">
        <v>307.223642031</v>
      </c>
      <c r="O287" s="128">
        <v>903.45811712299997</v>
      </c>
      <c r="P287" s="128">
        <v>1585.372350657</v>
      </c>
      <c r="Q287" s="128">
        <v>2173.0648794140002</v>
      </c>
      <c r="R287" s="110">
        <v>1851.9669586550001</v>
      </c>
      <c r="S287" s="110">
        <v>3191.0053945139998</v>
      </c>
      <c r="T287" s="110">
        <v>3885.3563812329999</v>
      </c>
      <c r="U287" s="110">
        <v>2180.365916409</v>
      </c>
      <c r="V287" s="110">
        <v>1372.8082658139999</v>
      </c>
      <c r="W287" s="288">
        <v>3356.9402247759999</v>
      </c>
    </row>
    <row r="288" spans="3:23">
      <c r="C288" s="127" t="s">
        <v>1135</v>
      </c>
      <c r="D288" s="128"/>
      <c r="E288" s="128"/>
      <c r="F288" s="128"/>
      <c r="G288" s="128"/>
      <c r="H288" s="128">
        <v>0</v>
      </c>
      <c r="I288" s="128">
        <v>0</v>
      </c>
      <c r="J288" s="128">
        <v>0</v>
      </c>
      <c r="K288" s="128">
        <v>0</v>
      </c>
      <c r="L288" s="128">
        <v>0</v>
      </c>
      <c r="M288" s="128">
        <v>0</v>
      </c>
      <c r="N288" s="128">
        <v>0</v>
      </c>
      <c r="O288" s="128">
        <v>0</v>
      </c>
      <c r="P288" s="128">
        <v>0</v>
      </c>
      <c r="Q288" s="128">
        <v>0</v>
      </c>
      <c r="R288" s="110">
        <v>0</v>
      </c>
      <c r="S288" s="110">
        <v>0</v>
      </c>
      <c r="T288" s="110">
        <v>0</v>
      </c>
      <c r="U288" s="110">
        <v>0</v>
      </c>
      <c r="V288" s="110">
        <v>0</v>
      </c>
      <c r="W288" s="288">
        <v>0</v>
      </c>
    </row>
    <row r="289" spans="3:23">
      <c r="C289" s="127" t="s">
        <v>1136</v>
      </c>
      <c r="D289" s="128"/>
      <c r="E289" s="128"/>
      <c r="F289" s="128"/>
      <c r="G289" s="128"/>
      <c r="H289" s="128">
        <v>0</v>
      </c>
      <c r="I289" s="128">
        <v>0</v>
      </c>
      <c r="J289" s="128">
        <v>0</v>
      </c>
      <c r="K289" s="128">
        <v>0</v>
      </c>
      <c r="L289" s="128">
        <v>0</v>
      </c>
      <c r="M289" s="128">
        <v>0</v>
      </c>
      <c r="N289" s="128">
        <v>0</v>
      </c>
      <c r="O289" s="128">
        <v>0</v>
      </c>
      <c r="P289" s="128">
        <v>0</v>
      </c>
      <c r="Q289" s="128">
        <v>0</v>
      </c>
      <c r="R289" s="110">
        <v>0</v>
      </c>
      <c r="S289" s="110">
        <v>0</v>
      </c>
      <c r="T289" s="110">
        <v>0</v>
      </c>
      <c r="U289" s="110">
        <v>0</v>
      </c>
      <c r="V289" s="110">
        <v>0</v>
      </c>
      <c r="W289" s="288">
        <v>0</v>
      </c>
    </row>
    <row r="290" spans="3:23">
      <c r="C290" s="127" t="s">
        <v>1137</v>
      </c>
      <c r="D290" s="128"/>
      <c r="E290" s="128"/>
      <c r="F290" s="128"/>
      <c r="G290" s="128"/>
      <c r="H290" s="128">
        <v>0</v>
      </c>
      <c r="I290" s="128">
        <v>0</v>
      </c>
      <c r="J290" s="128">
        <v>0</v>
      </c>
      <c r="K290" s="128">
        <v>0</v>
      </c>
      <c r="L290" s="128">
        <v>0</v>
      </c>
      <c r="M290" s="128">
        <v>0</v>
      </c>
      <c r="N290" s="128">
        <v>0</v>
      </c>
      <c r="O290" s="128">
        <v>0</v>
      </c>
      <c r="P290" s="128">
        <v>0</v>
      </c>
      <c r="Q290" s="128">
        <v>0</v>
      </c>
      <c r="R290" s="110">
        <v>0</v>
      </c>
      <c r="S290" s="110">
        <v>0</v>
      </c>
      <c r="T290" s="110">
        <v>0</v>
      </c>
      <c r="U290" s="110">
        <v>0</v>
      </c>
      <c r="V290" s="110">
        <v>0</v>
      </c>
      <c r="W290" s="288">
        <v>0</v>
      </c>
    </row>
    <row r="291" spans="3:23">
      <c r="C291" s="127" t="s">
        <v>1098</v>
      </c>
      <c r="D291" s="128"/>
      <c r="E291" s="128"/>
      <c r="F291" s="128"/>
      <c r="G291" s="128"/>
      <c r="H291" s="128">
        <v>20.849815</v>
      </c>
      <c r="I291" s="128">
        <v>61.405925981999999</v>
      </c>
      <c r="J291" s="128">
        <v>112.541211389</v>
      </c>
      <c r="K291" s="128">
        <v>67.382892264000006</v>
      </c>
      <c r="L291" s="128">
        <v>94.070205539</v>
      </c>
      <c r="M291" s="128">
        <v>191.807973852</v>
      </c>
      <c r="N291" s="128">
        <v>307.223642031</v>
      </c>
      <c r="O291" s="128">
        <v>903.45811712299997</v>
      </c>
      <c r="P291" s="128">
        <v>1585.372350657</v>
      </c>
      <c r="Q291" s="128">
        <v>2173.0648794140002</v>
      </c>
      <c r="R291" s="110">
        <v>1851.9669586550001</v>
      </c>
      <c r="S291" s="110">
        <v>3191.0053945139998</v>
      </c>
      <c r="T291" s="110">
        <v>3885.3563812329999</v>
      </c>
      <c r="U291" s="110">
        <v>2180.365916409</v>
      </c>
      <c r="V291" s="110">
        <v>1372.8082658139999</v>
      </c>
      <c r="W291" s="288">
        <v>3356.9402247759999</v>
      </c>
    </row>
    <row r="292" spans="3:23">
      <c r="C292" s="127" t="s">
        <v>1138</v>
      </c>
      <c r="D292" s="128"/>
      <c r="E292" s="128"/>
      <c r="F292" s="128"/>
      <c r="G292" s="128"/>
      <c r="H292" s="128">
        <v>1.919672</v>
      </c>
      <c r="I292" s="128">
        <v>4.3202594190000001</v>
      </c>
      <c r="J292" s="128">
        <v>36.775997136999997</v>
      </c>
      <c r="K292" s="128">
        <v>16.412255531</v>
      </c>
      <c r="L292" s="128">
        <v>16.134307486000001</v>
      </c>
      <c r="M292" s="128">
        <v>48.482430641999997</v>
      </c>
      <c r="N292" s="128">
        <v>175.36224076400001</v>
      </c>
      <c r="O292" s="128">
        <v>334.54604294699999</v>
      </c>
      <c r="P292" s="128">
        <v>807.31011272900002</v>
      </c>
      <c r="Q292" s="128">
        <v>1208.21426309</v>
      </c>
      <c r="R292" s="110">
        <v>717.88473075599995</v>
      </c>
      <c r="S292" s="110">
        <v>546.04542386499998</v>
      </c>
      <c r="T292" s="110">
        <v>476.31993660299997</v>
      </c>
      <c r="U292" s="110">
        <v>2971.948189708</v>
      </c>
      <c r="V292" s="110">
        <v>1316.566967015</v>
      </c>
      <c r="W292" s="288">
        <v>905.19222410199995</v>
      </c>
    </row>
    <row r="293" spans="3:23">
      <c r="C293" s="127" t="s">
        <v>1139</v>
      </c>
      <c r="D293" s="128"/>
      <c r="E293" s="128"/>
      <c r="F293" s="128"/>
      <c r="G293" s="128"/>
      <c r="H293" s="128">
        <v>0</v>
      </c>
      <c r="I293" s="128">
        <v>0</v>
      </c>
      <c r="J293" s="128">
        <v>0</v>
      </c>
      <c r="K293" s="128">
        <v>0</v>
      </c>
      <c r="L293" s="128">
        <v>0</v>
      </c>
      <c r="M293" s="128">
        <v>0</v>
      </c>
      <c r="N293" s="128">
        <v>0</v>
      </c>
      <c r="O293" s="128">
        <v>0</v>
      </c>
      <c r="P293" s="128">
        <v>0</v>
      </c>
      <c r="Q293" s="128">
        <v>0</v>
      </c>
      <c r="R293" s="110">
        <v>0</v>
      </c>
      <c r="S293" s="110">
        <v>0</v>
      </c>
      <c r="T293" s="110">
        <v>0</v>
      </c>
      <c r="U293" s="110">
        <v>0</v>
      </c>
      <c r="V293" s="110">
        <v>0</v>
      </c>
      <c r="W293" s="288">
        <v>0</v>
      </c>
    </row>
    <row r="294" spans="3:23">
      <c r="C294" s="127" t="s">
        <v>1140</v>
      </c>
      <c r="D294" s="128"/>
      <c r="E294" s="128"/>
      <c r="F294" s="128"/>
      <c r="G294" s="128"/>
      <c r="H294" s="128">
        <v>0</v>
      </c>
      <c r="I294" s="128">
        <v>0</v>
      </c>
      <c r="J294" s="128">
        <v>0</v>
      </c>
      <c r="K294" s="128">
        <v>0</v>
      </c>
      <c r="L294" s="128">
        <v>0</v>
      </c>
      <c r="M294" s="128">
        <v>0</v>
      </c>
      <c r="N294" s="128">
        <v>3.7898530039999998</v>
      </c>
      <c r="O294" s="128">
        <v>0</v>
      </c>
      <c r="P294" s="128">
        <v>0</v>
      </c>
      <c r="Q294" s="128">
        <v>25.017709725</v>
      </c>
      <c r="R294" s="110">
        <v>0</v>
      </c>
      <c r="S294" s="110">
        <v>47.782337888000001</v>
      </c>
      <c r="T294" s="110">
        <v>58.681774975000003</v>
      </c>
      <c r="U294" s="110">
        <v>61.469438648000001</v>
      </c>
      <c r="V294" s="110">
        <v>80.959816609000001</v>
      </c>
      <c r="W294" s="288">
        <v>121.051754821</v>
      </c>
    </row>
    <row r="295" spans="3:23">
      <c r="C295" s="127" t="s">
        <v>1141</v>
      </c>
      <c r="D295" s="128"/>
      <c r="E295" s="128"/>
      <c r="F295" s="128"/>
      <c r="G295" s="128"/>
      <c r="H295" s="128">
        <v>0</v>
      </c>
      <c r="I295" s="128">
        <v>0</v>
      </c>
      <c r="J295" s="128">
        <v>9.6627541150000003</v>
      </c>
      <c r="K295" s="128">
        <v>5.2012780799999998</v>
      </c>
      <c r="L295" s="128">
        <v>1.255968668</v>
      </c>
      <c r="M295" s="128">
        <v>0</v>
      </c>
      <c r="N295" s="128">
        <v>0</v>
      </c>
      <c r="O295" s="128">
        <v>7.6182747869999998</v>
      </c>
      <c r="P295" s="128">
        <v>13.374171805</v>
      </c>
      <c r="Q295" s="128">
        <v>0</v>
      </c>
      <c r="R295" s="110">
        <v>33.962017459999998</v>
      </c>
      <c r="S295" s="110">
        <v>0</v>
      </c>
      <c r="T295" s="110">
        <v>0</v>
      </c>
      <c r="U295" s="110">
        <v>0</v>
      </c>
      <c r="V295" s="110">
        <v>0</v>
      </c>
      <c r="W295" s="288">
        <v>0</v>
      </c>
    </row>
    <row r="296" spans="3:23">
      <c r="C296" s="127" t="s">
        <v>1142</v>
      </c>
      <c r="D296" s="128"/>
      <c r="E296" s="128"/>
      <c r="F296" s="128"/>
      <c r="G296" s="128"/>
      <c r="H296" s="128">
        <v>0</v>
      </c>
      <c r="I296" s="128">
        <v>0</v>
      </c>
      <c r="J296" s="128">
        <v>0</v>
      </c>
      <c r="K296" s="128">
        <v>0</v>
      </c>
      <c r="L296" s="128">
        <v>0</v>
      </c>
      <c r="M296" s="128">
        <v>0</v>
      </c>
      <c r="N296" s="128">
        <v>0</v>
      </c>
      <c r="O296" s="128">
        <v>0</v>
      </c>
      <c r="P296" s="128">
        <v>0</v>
      </c>
      <c r="Q296" s="128">
        <v>0</v>
      </c>
      <c r="R296" s="110">
        <v>0</v>
      </c>
      <c r="S296" s="110">
        <v>0</v>
      </c>
      <c r="T296" s="110">
        <v>0</v>
      </c>
      <c r="U296" s="110">
        <v>0</v>
      </c>
      <c r="V296" s="110">
        <v>0</v>
      </c>
      <c r="W296" s="288">
        <v>0</v>
      </c>
    </row>
    <row r="297" spans="3:23">
      <c r="C297" s="127" t="s">
        <v>1143</v>
      </c>
      <c r="D297" s="128"/>
      <c r="E297" s="128"/>
      <c r="F297" s="128"/>
      <c r="G297" s="128"/>
      <c r="H297" s="128">
        <v>0</v>
      </c>
      <c r="I297" s="128">
        <v>0</v>
      </c>
      <c r="J297" s="128">
        <v>0</v>
      </c>
      <c r="K297" s="128">
        <v>0</v>
      </c>
      <c r="L297" s="128">
        <v>0</v>
      </c>
      <c r="M297" s="128">
        <v>0</v>
      </c>
      <c r="N297" s="128">
        <v>0</v>
      </c>
      <c r="O297" s="128">
        <v>0</v>
      </c>
      <c r="P297" s="128">
        <v>0</v>
      </c>
      <c r="Q297" s="128">
        <v>0</v>
      </c>
      <c r="R297" s="110">
        <v>0</v>
      </c>
      <c r="S297" s="110">
        <v>0</v>
      </c>
      <c r="T297" s="110">
        <v>0</v>
      </c>
      <c r="U297" s="110">
        <v>0</v>
      </c>
      <c r="V297" s="110">
        <v>0</v>
      </c>
      <c r="W297" s="288">
        <v>0</v>
      </c>
    </row>
    <row r="298" spans="3:23">
      <c r="C298" s="127" t="s">
        <v>1144</v>
      </c>
      <c r="D298" s="128"/>
      <c r="E298" s="128"/>
      <c r="F298" s="128"/>
      <c r="G298" s="128"/>
      <c r="H298" s="128">
        <v>0</v>
      </c>
      <c r="I298" s="128">
        <v>0</v>
      </c>
      <c r="J298" s="128">
        <v>0</v>
      </c>
      <c r="K298" s="128">
        <v>0</v>
      </c>
      <c r="L298" s="128">
        <v>0</v>
      </c>
      <c r="M298" s="128">
        <v>0</v>
      </c>
      <c r="N298" s="128">
        <v>0</v>
      </c>
      <c r="O298" s="128">
        <v>0</v>
      </c>
      <c r="P298" s="128">
        <v>0</v>
      </c>
      <c r="Q298" s="128">
        <v>0</v>
      </c>
      <c r="R298" s="110">
        <v>0</v>
      </c>
      <c r="S298" s="110">
        <v>0</v>
      </c>
      <c r="T298" s="110">
        <v>0</v>
      </c>
      <c r="U298" s="110">
        <v>0</v>
      </c>
      <c r="V298" s="110">
        <v>0</v>
      </c>
      <c r="W298" s="288">
        <v>0</v>
      </c>
    </row>
    <row r="299" spans="3:23">
      <c r="C299" s="127" t="s">
        <v>1145</v>
      </c>
      <c r="D299" s="128"/>
      <c r="E299" s="128"/>
      <c r="F299" s="128"/>
      <c r="G299" s="128"/>
      <c r="H299" s="128">
        <v>0</v>
      </c>
      <c r="I299" s="128">
        <v>0</v>
      </c>
      <c r="J299" s="128">
        <v>18.9074685</v>
      </c>
      <c r="K299" s="128">
        <v>0</v>
      </c>
      <c r="L299" s="128">
        <v>0.16377098800000001</v>
      </c>
      <c r="M299" s="128">
        <v>0</v>
      </c>
      <c r="N299" s="128">
        <v>3.3905590399999999</v>
      </c>
      <c r="O299" s="128">
        <v>0</v>
      </c>
      <c r="P299" s="128">
        <v>0</v>
      </c>
      <c r="Q299" s="128">
        <v>0</v>
      </c>
      <c r="R299" s="110">
        <v>0</v>
      </c>
      <c r="S299" s="110">
        <v>67.277822069999999</v>
      </c>
      <c r="T299" s="110">
        <v>72.481652002999994</v>
      </c>
      <c r="U299" s="110">
        <v>80.460645177999993</v>
      </c>
      <c r="V299" s="110">
        <v>58.272136513</v>
      </c>
      <c r="W299" s="288">
        <v>65.985330830999999</v>
      </c>
    </row>
    <row r="300" spans="3:23">
      <c r="C300" s="127" t="s">
        <v>1146</v>
      </c>
      <c r="D300" s="128"/>
      <c r="E300" s="128"/>
      <c r="F300" s="128"/>
      <c r="G300" s="128"/>
      <c r="H300" s="128">
        <v>0</v>
      </c>
      <c r="I300" s="128">
        <v>0</v>
      </c>
      <c r="J300" s="128">
        <v>0</v>
      </c>
      <c r="K300" s="128">
        <v>0</v>
      </c>
      <c r="L300" s="128">
        <v>0</v>
      </c>
      <c r="M300" s="128">
        <v>0</v>
      </c>
      <c r="N300" s="128">
        <v>0</v>
      </c>
      <c r="O300" s="128">
        <v>0</v>
      </c>
      <c r="P300" s="128">
        <v>0</v>
      </c>
      <c r="Q300" s="128">
        <v>0</v>
      </c>
      <c r="R300" s="110">
        <v>0</v>
      </c>
      <c r="S300" s="110">
        <v>0</v>
      </c>
      <c r="T300" s="110">
        <v>0</v>
      </c>
      <c r="U300" s="110">
        <v>0</v>
      </c>
      <c r="V300" s="110">
        <v>0</v>
      </c>
      <c r="W300" s="288">
        <v>0</v>
      </c>
    </row>
    <row r="301" spans="3:23">
      <c r="C301" s="127" t="s">
        <v>1098</v>
      </c>
      <c r="D301" s="128"/>
      <c r="E301" s="128"/>
      <c r="F301" s="128"/>
      <c r="G301" s="128"/>
      <c r="H301" s="128">
        <v>1.919672</v>
      </c>
      <c r="I301" s="128">
        <v>4.3202594190000001</v>
      </c>
      <c r="J301" s="128">
        <v>8.2057745220000005</v>
      </c>
      <c r="K301" s="128">
        <v>11.210977451</v>
      </c>
      <c r="L301" s="128">
        <v>14.71456783</v>
      </c>
      <c r="M301" s="128">
        <v>48.482430641999997</v>
      </c>
      <c r="N301" s="128">
        <v>168.18182872</v>
      </c>
      <c r="O301" s="128">
        <v>326.92776816000003</v>
      </c>
      <c r="P301" s="128">
        <v>793.93594092399996</v>
      </c>
      <c r="Q301" s="128">
        <v>1183.196553365</v>
      </c>
      <c r="R301" s="110">
        <v>683.92271329599998</v>
      </c>
      <c r="S301" s="110">
        <v>430.98526390699999</v>
      </c>
      <c r="T301" s="110">
        <v>345.15650962500001</v>
      </c>
      <c r="U301" s="110">
        <v>2830.0181058819999</v>
      </c>
      <c r="V301" s="110">
        <v>1177.335013893</v>
      </c>
      <c r="W301" s="288">
        <v>718.15513844999998</v>
      </c>
    </row>
    <row r="302" spans="3:23">
      <c r="C302" s="127" t="s">
        <v>1147</v>
      </c>
      <c r="D302" s="128"/>
      <c r="E302" s="128"/>
      <c r="F302" s="128"/>
      <c r="G302" s="128"/>
      <c r="H302" s="128">
        <v>58.643431999999997</v>
      </c>
      <c r="I302" s="128">
        <v>2.4328863549999999</v>
      </c>
      <c r="J302" s="128">
        <v>0</v>
      </c>
      <c r="K302" s="128">
        <v>0</v>
      </c>
      <c r="L302" s="128">
        <v>0</v>
      </c>
      <c r="M302" s="128">
        <v>0</v>
      </c>
      <c r="N302" s="128">
        <v>0</v>
      </c>
      <c r="O302" s="128">
        <v>0</v>
      </c>
      <c r="P302" s="128">
        <v>1192.295066747</v>
      </c>
      <c r="Q302" s="128">
        <v>1208.167140389</v>
      </c>
      <c r="R302" s="110">
        <v>1122.136666657</v>
      </c>
      <c r="S302" s="110">
        <v>1126.676666653</v>
      </c>
      <c r="T302" s="110">
        <v>0</v>
      </c>
      <c r="U302" s="110">
        <v>5901.25</v>
      </c>
      <c r="V302" s="110">
        <v>5985.25</v>
      </c>
      <c r="W302" s="288">
        <v>0</v>
      </c>
    </row>
    <row r="303" spans="3:23">
      <c r="C303" s="127" t="s">
        <v>1148</v>
      </c>
      <c r="D303" s="128"/>
      <c r="E303" s="128"/>
      <c r="F303" s="128"/>
      <c r="G303" s="128"/>
      <c r="H303" s="128">
        <v>58.643431999999997</v>
      </c>
      <c r="I303" s="128">
        <v>2.4328863549999999</v>
      </c>
      <c r="J303" s="128">
        <v>0</v>
      </c>
      <c r="K303" s="128">
        <v>0</v>
      </c>
      <c r="L303" s="128">
        <v>0</v>
      </c>
      <c r="M303" s="128">
        <v>0</v>
      </c>
      <c r="N303" s="128">
        <v>0</v>
      </c>
      <c r="O303" s="128">
        <v>0</v>
      </c>
      <c r="P303" s="128">
        <v>1192.295066747</v>
      </c>
      <c r="Q303" s="128">
        <v>1208.167140389</v>
      </c>
      <c r="R303" s="110">
        <v>1122.136666657</v>
      </c>
      <c r="S303" s="110">
        <v>0</v>
      </c>
      <c r="T303" s="110">
        <v>0</v>
      </c>
      <c r="U303" s="110">
        <v>5901.25</v>
      </c>
      <c r="V303" s="110">
        <v>5985.25</v>
      </c>
      <c r="W303" s="288">
        <v>0</v>
      </c>
    </row>
    <row r="304" spans="3:23">
      <c r="C304" s="127" t="s">
        <v>1149</v>
      </c>
      <c r="D304" s="128"/>
      <c r="E304" s="128"/>
      <c r="F304" s="128"/>
      <c r="G304" s="128"/>
      <c r="H304" s="128">
        <v>0</v>
      </c>
      <c r="I304" s="128">
        <v>0</v>
      </c>
      <c r="J304" s="128">
        <v>0</v>
      </c>
      <c r="K304" s="128">
        <v>0</v>
      </c>
      <c r="L304" s="128">
        <v>0</v>
      </c>
      <c r="M304" s="128">
        <v>0</v>
      </c>
      <c r="N304" s="128">
        <v>0</v>
      </c>
      <c r="O304" s="128">
        <v>0</v>
      </c>
      <c r="P304" s="128">
        <v>0</v>
      </c>
      <c r="Q304" s="128">
        <v>0</v>
      </c>
      <c r="R304" s="110">
        <v>0</v>
      </c>
      <c r="S304" s="110">
        <v>0</v>
      </c>
      <c r="T304" s="110">
        <v>0</v>
      </c>
      <c r="U304" s="110">
        <v>0</v>
      </c>
      <c r="V304" s="110">
        <v>0</v>
      </c>
      <c r="W304" s="288">
        <v>0</v>
      </c>
    </row>
    <row r="305" spans="3:23">
      <c r="C305" s="127" t="s">
        <v>1150</v>
      </c>
      <c r="D305" s="128"/>
      <c r="E305" s="128"/>
      <c r="F305" s="128"/>
      <c r="G305" s="128"/>
      <c r="H305" s="128">
        <v>0</v>
      </c>
      <c r="I305" s="128">
        <v>0</v>
      </c>
      <c r="J305" s="128">
        <v>0</v>
      </c>
      <c r="K305" s="128">
        <v>0</v>
      </c>
      <c r="L305" s="128">
        <v>0</v>
      </c>
      <c r="M305" s="128">
        <v>0</v>
      </c>
      <c r="N305" s="128">
        <v>0</v>
      </c>
      <c r="O305" s="128">
        <v>0</v>
      </c>
      <c r="P305" s="128">
        <v>0</v>
      </c>
      <c r="Q305" s="128">
        <v>0</v>
      </c>
      <c r="R305" s="110">
        <v>0</v>
      </c>
      <c r="S305" s="110">
        <v>1126.676666653</v>
      </c>
      <c r="T305" s="110">
        <v>0</v>
      </c>
      <c r="U305" s="110">
        <v>0</v>
      </c>
      <c r="V305" s="110">
        <v>0</v>
      </c>
      <c r="W305" s="288">
        <v>0</v>
      </c>
    </row>
    <row r="306" spans="3:23">
      <c r="C306" s="127" t="s">
        <v>1151</v>
      </c>
      <c r="D306" s="128"/>
      <c r="E306" s="128"/>
      <c r="F306" s="128"/>
      <c r="G306" s="128"/>
      <c r="H306" s="128">
        <v>0</v>
      </c>
      <c r="I306" s="128">
        <v>0</v>
      </c>
      <c r="J306" s="128">
        <v>0</v>
      </c>
      <c r="K306" s="128">
        <v>0</v>
      </c>
      <c r="L306" s="128">
        <v>0</v>
      </c>
      <c r="M306" s="128">
        <v>0</v>
      </c>
      <c r="N306" s="128">
        <v>0</v>
      </c>
      <c r="O306" s="128">
        <v>0</v>
      </c>
      <c r="P306" s="128">
        <v>0</v>
      </c>
      <c r="Q306" s="128">
        <v>0</v>
      </c>
      <c r="R306" s="110">
        <v>0</v>
      </c>
      <c r="S306" s="110">
        <v>0</v>
      </c>
      <c r="T306" s="110">
        <v>0</v>
      </c>
      <c r="U306" s="110">
        <v>0</v>
      </c>
      <c r="V306" s="110">
        <v>0</v>
      </c>
      <c r="W306" s="288">
        <v>0</v>
      </c>
    </row>
    <row r="307" spans="3:23">
      <c r="C307" s="127" t="s">
        <v>1152</v>
      </c>
      <c r="D307" s="128"/>
      <c r="E307" s="128"/>
      <c r="F307" s="128"/>
      <c r="G307" s="128"/>
      <c r="H307" s="128">
        <v>0</v>
      </c>
      <c r="I307" s="128">
        <v>0</v>
      </c>
      <c r="J307" s="128">
        <v>0</v>
      </c>
      <c r="K307" s="128">
        <v>0</v>
      </c>
      <c r="L307" s="128">
        <v>0</v>
      </c>
      <c r="M307" s="128">
        <v>0</v>
      </c>
      <c r="N307" s="128">
        <v>0</v>
      </c>
      <c r="O307" s="128">
        <v>0</v>
      </c>
      <c r="P307" s="128">
        <v>0</v>
      </c>
      <c r="Q307" s="128">
        <v>0</v>
      </c>
      <c r="R307" s="110">
        <v>0</v>
      </c>
      <c r="S307" s="110">
        <v>0</v>
      </c>
      <c r="T307" s="110">
        <v>0</v>
      </c>
      <c r="U307" s="110">
        <v>0</v>
      </c>
      <c r="V307" s="110">
        <v>0</v>
      </c>
      <c r="W307" s="288">
        <v>0</v>
      </c>
    </row>
    <row r="308" spans="3:23">
      <c r="C308" s="127" t="s">
        <v>1153</v>
      </c>
      <c r="D308" s="128"/>
      <c r="E308" s="128"/>
      <c r="F308" s="128"/>
      <c r="G308" s="128"/>
      <c r="H308" s="128">
        <v>4.95</v>
      </c>
      <c r="I308" s="128">
        <v>7.6140400000000001</v>
      </c>
      <c r="J308" s="128">
        <v>0</v>
      </c>
      <c r="K308" s="128">
        <v>0</v>
      </c>
      <c r="L308" s="128">
        <v>0</v>
      </c>
      <c r="M308" s="128">
        <v>0</v>
      </c>
      <c r="N308" s="128">
        <v>0</v>
      </c>
      <c r="O308" s="128">
        <v>1539.50927</v>
      </c>
      <c r="P308" s="128">
        <v>0</v>
      </c>
      <c r="Q308" s="128">
        <v>0</v>
      </c>
      <c r="R308" s="110">
        <v>0</v>
      </c>
      <c r="S308" s="110">
        <v>0</v>
      </c>
      <c r="T308" s="110">
        <v>0</v>
      </c>
      <c r="U308" s="110">
        <v>0</v>
      </c>
      <c r="V308" s="110">
        <v>0</v>
      </c>
      <c r="W308" s="288">
        <v>0</v>
      </c>
    </row>
    <row r="309" spans="3:23">
      <c r="C309" s="127" t="s">
        <v>1154</v>
      </c>
      <c r="D309" s="128"/>
      <c r="E309" s="128"/>
      <c r="F309" s="128"/>
      <c r="G309" s="128"/>
      <c r="H309" s="128">
        <v>0</v>
      </c>
      <c r="I309" s="128">
        <v>0</v>
      </c>
      <c r="J309" s="128">
        <v>0</v>
      </c>
      <c r="K309" s="128">
        <v>0</v>
      </c>
      <c r="L309" s="128">
        <v>0</v>
      </c>
      <c r="M309" s="128">
        <v>0</v>
      </c>
      <c r="N309" s="128">
        <v>0</v>
      </c>
      <c r="O309" s="128">
        <v>357.96800000000002</v>
      </c>
      <c r="P309" s="128">
        <v>0</v>
      </c>
      <c r="Q309" s="128">
        <v>0</v>
      </c>
      <c r="R309" s="110">
        <v>0</v>
      </c>
      <c r="S309" s="110">
        <v>0</v>
      </c>
      <c r="T309" s="110">
        <v>0</v>
      </c>
      <c r="U309" s="110">
        <v>0</v>
      </c>
      <c r="V309" s="110">
        <v>0</v>
      </c>
      <c r="W309" s="288">
        <v>0</v>
      </c>
    </row>
    <row r="310" spans="3:23">
      <c r="C310" s="127" t="s">
        <v>1155</v>
      </c>
      <c r="D310" s="128"/>
      <c r="E310" s="128"/>
      <c r="F310" s="128"/>
      <c r="G310" s="128"/>
      <c r="H310" s="128">
        <v>4.95</v>
      </c>
      <c r="I310" s="128">
        <v>7.6140400000000001</v>
      </c>
      <c r="J310" s="128">
        <v>0</v>
      </c>
      <c r="K310" s="128">
        <v>0</v>
      </c>
      <c r="L310" s="128">
        <v>0</v>
      </c>
      <c r="M310" s="128">
        <v>0</v>
      </c>
      <c r="N310" s="128">
        <v>0</v>
      </c>
      <c r="O310" s="128">
        <v>1181.5412699999999</v>
      </c>
      <c r="P310" s="128">
        <v>0</v>
      </c>
      <c r="Q310" s="128">
        <v>0</v>
      </c>
      <c r="R310" s="110">
        <v>0</v>
      </c>
      <c r="S310" s="110">
        <v>0</v>
      </c>
      <c r="T310" s="110">
        <v>0</v>
      </c>
      <c r="U310" s="110">
        <v>0</v>
      </c>
      <c r="V310" s="110">
        <v>0</v>
      </c>
      <c r="W310" s="288">
        <v>0</v>
      </c>
    </row>
    <row r="311" spans="3:23">
      <c r="C311" s="127" t="s">
        <v>311</v>
      </c>
      <c r="D311" s="128"/>
      <c r="E311" s="128"/>
      <c r="F311" s="128"/>
      <c r="G311" s="128"/>
      <c r="H311" s="128">
        <v>2012.5182380000001</v>
      </c>
      <c r="I311" s="128">
        <v>2866.1242703150001</v>
      </c>
      <c r="J311" s="128">
        <v>5431.2017319269999</v>
      </c>
      <c r="K311" s="128">
        <v>7398.101801328</v>
      </c>
      <c r="L311" s="128">
        <v>9544.5408921710005</v>
      </c>
      <c r="M311" s="128">
        <v>15836.649248254</v>
      </c>
      <c r="N311" s="128">
        <v>25388.072018729999</v>
      </c>
      <c r="O311" s="128">
        <v>45612.676802016002</v>
      </c>
      <c r="P311" s="128">
        <v>67698.540686709006</v>
      </c>
      <c r="Q311" s="128">
        <v>87738.378978635999</v>
      </c>
      <c r="R311" s="110">
        <v>103485.046672447</v>
      </c>
      <c r="S311" s="110">
        <v>109801.253690656</v>
      </c>
      <c r="T311" s="110">
        <v>124141.525689948</v>
      </c>
      <c r="U311" s="110">
        <v>134722.24888755701</v>
      </c>
      <c r="V311" s="110">
        <v>119234.18482508601</v>
      </c>
      <c r="W311" s="288">
        <v>135225.101298992</v>
      </c>
    </row>
    <row r="312" spans="3:23">
      <c r="C312" s="127" t="s">
        <v>1156</v>
      </c>
      <c r="D312" s="128"/>
      <c r="E312" s="128"/>
      <c r="F312" s="128"/>
      <c r="G312" s="128"/>
      <c r="H312" s="128">
        <v>1995.0745119999999</v>
      </c>
      <c r="I312" s="128">
        <v>2841.9571719710002</v>
      </c>
      <c r="J312" s="128">
        <v>5406.1532668829996</v>
      </c>
      <c r="K312" s="128">
        <v>7365.6637882510004</v>
      </c>
      <c r="L312" s="128">
        <v>9504.3441598739992</v>
      </c>
      <c r="M312" s="128">
        <v>15758.848880441999</v>
      </c>
      <c r="N312" s="128">
        <v>25200.315769140001</v>
      </c>
      <c r="O312" s="128">
        <v>45292.636706395999</v>
      </c>
      <c r="P312" s="128">
        <v>67117.558601291996</v>
      </c>
      <c r="Q312" s="128">
        <v>87029.254963722997</v>
      </c>
      <c r="R312" s="110">
        <v>102690.89737931501</v>
      </c>
      <c r="S312" s="110">
        <v>109090.866579358</v>
      </c>
      <c r="T312" s="110">
        <v>123495.90873372099</v>
      </c>
      <c r="U312" s="110">
        <v>133720.991767598</v>
      </c>
      <c r="V312" s="110">
        <v>119234.18482508601</v>
      </c>
      <c r="W312" s="288">
        <v>135225.101298992</v>
      </c>
    </row>
    <row r="313" spans="3:23">
      <c r="C313" s="127" t="s">
        <v>1157</v>
      </c>
      <c r="D313" s="128"/>
      <c r="E313" s="128"/>
      <c r="F313" s="128"/>
      <c r="G313" s="128"/>
      <c r="H313" s="128">
        <v>17.443726000000002</v>
      </c>
      <c r="I313" s="128">
        <v>24.167098343999999</v>
      </c>
      <c r="J313" s="128">
        <v>25.048465044</v>
      </c>
      <c r="K313" s="128">
        <v>32.438013077000001</v>
      </c>
      <c r="L313" s="128">
        <v>40.196732296999997</v>
      </c>
      <c r="M313" s="128">
        <v>77.800367812000005</v>
      </c>
      <c r="N313" s="128">
        <v>187.75624959000001</v>
      </c>
      <c r="O313" s="128">
        <v>320.04009561999999</v>
      </c>
      <c r="P313" s="128">
        <v>580.98208541700001</v>
      </c>
      <c r="Q313" s="128">
        <v>709.124014913</v>
      </c>
      <c r="R313" s="110">
        <v>794.14929313200003</v>
      </c>
      <c r="S313" s="110">
        <v>710.38711129800004</v>
      </c>
      <c r="T313" s="110">
        <v>645.61695622699995</v>
      </c>
      <c r="U313" s="110">
        <v>1001.257119959</v>
      </c>
      <c r="V313" s="110">
        <v>0</v>
      </c>
      <c r="W313" s="288">
        <v>0</v>
      </c>
    </row>
    <row r="314" spans="3:23">
      <c r="C314" s="127" t="s">
        <v>1158</v>
      </c>
      <c r="D314" s="128"/>
      <c r="E314" s="128"/>
      <c r="F314" s="128"/>
      <c r="G314" s="128"/>
      <c r="H314" s="128">
        <v>0</v>
      </c>
      <c r="I314" s="128">
        <v>0</v>
      </c>
      <c r="J314" s="128">
        <v>0</v>
      </c>
      <c r="K314" s="128">
        <v>0</v>
      </c>
      <c r="L314" s="128">
        <v>0</v>
      </c>
      <c r="M314" s="128">
        <v>0</v>
      </c>
      <c r="N314" s="128">
        <v>0</v>
      </c>
      <c r="O314" s="128">
        <v>0</v>
      </c>
      <c r="P314" s="128">
        <v>0</v>
      </c>
      <c r="Q314" s="128">
        <v>0</v>
      </c>
      <c r="R314" s="110">
        <v>0</v>
      </c>
      <c r="S314" s="110">
        <v>0</v>
      </c>
      <c r="T314" s="110">
        <v>0</v>
      </c>
      <c r="U314" s="110">
        <v>0</v>
      </c>
      <c r="V314" s="110">
        <v>0</v>
      </c>
      <c r="W314" s="288">
        <v>0</v>
      </c>
    </row>
    <row r="315" spans="3:23">
      <c r="C315" s="127" t="s">
        <v>1159</v>
      </c>
      <c r="D315" s="128"/>
      <c r="E315" s="128"/>
      <c r="F315" s="128"/>
      <c r="G315" s="128"/>
      <c r="H315" s="128">
        <v>52.601053999999998</v>
      </c>
      <c r="I315" s="128">
        <v>49.522088130999997</v>
      </c>
      <c r="J315" s="128">
        <v>43.695521306000003</v>
      </c>
      <c r="K315" s="128">
        <v>23.135412286000001</v>
      </c>
      <c r="L315" s="128">
        <v>45.691574828</v>
      </c>
      <c r="M315" s="128">
        <v>79.923391577999993</v>
      </c>
      <c r="N315" s="128">
        <v>135.33893948599999</v>
      </c>
      <c r="O315" s="128">
        <v>999.344129028</v>
      </c>
      <c r="P315" s="128">
        <v>1358.7364945310001</v>
      </c>
      <c r="Q315" s="128">
        <v>1222.0919761370001</v>
      </c>
      <c r="R315" s="110">
        <v>1310.8026957239999</v>
      </c>
      <c r="S315" s="110">
        <v>1255.2340252439999</v>
      </c>
      <c r="T315" s="110">
        <v>1183.419586774</v>
      </c>
      <c r="U315" s="110">
        <v>1317.4712970329999</v>
      </c>
      <c r="V315" s="110">
        <v>954.39636964399995</v>
      </c>
      <c r="W315" s="288">
        <v>883.94845019000002</v>
      </c>
    </row>
    <row r="316" spans="3:23">
      <c r="C316" s="127" t="s">
        <v>1160</v>
      </c>
      <c r="D316" s="128"/>
      <c r="E316" s="128"/>
      <c r="F316" s="128"/>
      <c r="G316" s="128"/>
      <c r="H316" s="128">
        <v>52.601053999999998</v>
      </c>
      <c r="I316" s="128">
        <v>27.329373131000001</v>
      </c>
      <c r="J316" s="128">
        <v>34.313590038000001</v>
      </c>
      <c r="K316" s="128">
        <v>12.431854159</v>
      </c>
      <c r="L316" s="128">
        <v>0</v>
      </c>
      <c r="M316" s="128">
        <v>0</v>
      </c>
      <c r="N316" s="128">
        <v>0</v>
      </c>
      <c r="O316" s="128">
        <v>0</v>
      </c>
      <c r="P316" s="128">
        <v>0</v>
      </c>
      <c r="Q316" s="128">
        <v>0</v>
      </c>
      <c r="R316" s="110">
        <v>0</v>
      </c>
      <c r="S316" s="110">
        <v>0</v>
      </c>
      <c r="T316" s="110">
        <v>0</v>
      </c>
      <c r="U316" s="110">
        <v>0</v>
      </c>
      <c r="V316" s="110">
        <v>0</v>
      </c>
      <c r="W316" s="288">
        <v>0</v>
      </c>
    </row>
    <row r="317" spans="3:23">
      <c r="C317" s="127" t="s">
        <v>1161</v>
      </c>
      <c r="D317" s="128"/>
      <c r="E317" s="128"/>
      <c r="F317" s="128"/>
      <c r="G317" s="128"/>
      <c r="H317" s="128">
        <v>0</v>
      </c>
      <c r="I317" s="128">
        <v>0</v>
      </c>
      <c r="J317" s="128">
        <v>0</v>
      </c>
      <c r="K317" s="128">
        <v>0</v>
      </c>
      <c r="L317" s="128">
        <v>0</v>
      </c>
      <c r="M317" s="128">
        <v>79.923391577999993</v>
      </c>
      <c r="N317" s="128">
        <v>0</v>
      </c>
      <c r="O317" s="128">
        <v>0</v>
      </c>
      <c r="P317" s="128">
        <v>0</v>
      </c>
      <c r="Q317" s="128">
        <v>0</v>
      </c>
      <c r="R317" s="110">
        <v>0</v>
      </c>
      <c r="S317" s="110">
        <v>0</v>
      </c>
      <c r="T317" s="110">
        <v>0</v>
      </c>
      <c r="U317" s="110">
        <v>0</v>
      </c>
      <c r="V317" s="110">
        <v>0</v>
      </c>
      <c r="W317" s="288">
        <v>0</v>
      </c>
    </row>
    <row r="318" spans="3:23">
      <c r="C318" s="127" t="s">
        <v>1162</v>
      </c>
      <c r="D318" s="128"/>
      <c r="E318" s="128"/>
      <c r="F318" s="128"/>
      <c r="G318" s="128"/>
      <c r="H318" s="128">
        <v>0</v>
      </c>
      <c r="I318" s="128">
        <v>22.192715</v>
      </c>
      <c r="J318" s="128">
        <v>9.3819312680000007</v>
      </c>
      <c r="K318" s="128">
        <v>10.703558127000001</v>
      </c>
      <c r="L318" s="128">
        <v>45.691574828</v>
      </c>
      <c r="M318" s="128">
        <v>0</v>
      </c>
      <c r="N318" s="128">
        <v>135.33893948599999</v>
      </c>
      <c r="O318" s="128">
        <v>999.344129028</v>
      </c>
      <c r="P318" s="128">
        <v>1358.7364945310001</v>
      </c>
      <c r="Q318" s="128">
        <v>1222.0919761370001</v>
      </c>
      <c r="R318" s="110">
        <v>1310.8026957239999</v>
      </c>
      <c r="S318" s="110">
        <v>1255.2340252439999</v>
      </c>
      <c r="T318" s="110">
        <v>1183.419586774</v>
      </c>
      <c r="U318" s="110">
        <v>1317.4712970329999</v>
      </c>
      <c r="V318" s="110">
        <v>954.39636964399995</v>
      </c>
      <c r="W318" s="288">
        <v>883.94845019000002</v>
      </c>
    </row>
    <row r="319" spans="3:23">
      <c r="C319" s="127" t="s">
        <v>1163</v>
      </c>
      <c r="D319" s="128"/>
      <c r="E319" s="128"/>
      <c r="F319" s="128"/>
      <c r="G319" s="128"/>
      <c r="H319" s="128">
        <v>0</v>
      </c>
      <c r="I319" s="128">
        <v>0</v>
      </c>
      <c r="J319" s="128">
        <v>0</v>
      </c>
      <c r="K319" s="128">
        <v>0</v>
      </c>
      <c r="L319" s="128">
        <v>0</v>
      </c>
      <c r="M319" s="128">
        <v>0</v>
      </c>
      <c r="N319" s="128">
        <v>0</v>
      </c>
      <c r="O319" s="128">
        <v>0</v>
      </c>
      <c r="P319" s="128">
        <v>0</v>
      </c>
      <c r="Q319" s="128">
        <v>0</v>
      </c>
      <c r="R319" s="110">
        <v>0</v>
      </c>
      <c r="S319" s="110">
        <v>0</v>
      </c>
      <c r="T319" s="110">
        <v>0</v>
      </c>
      <c r="U319" s="110">
        <v>0</v>
      </c>
      <c r="V319" s="110">
        <v>0</v>
      </c>
      <c r="W319" s="288">
        <v>0</v>
      </c>
    </row>
    <row r="320" spans="3:23">
      <c r="C320" s="127" t="s">
        <v>1164</v>
      </c>
      <c r="D320" s="128"/>
      <c r="E320" s="128"/>
      <c r="F320" s="128"/>
      <c r="G320" s="128"/>
      <c r="H320" s="128">
        <v>0</v>
      </c>
      <c r="I320" s="128">
        <v>0</v>
      </c>
      <c r="J320" s="128">
        <v>0</v>
      </c>
      <c r="K320" s="128">
        <v>0</v>
      </c>
      <c r="L320" s="128">
        <v>0</v>
      </c>
      <c r="M320" s="128">
        <v>0</v>
      </c>
      <c r="N320" s="128">
        <v>0</v>
      </c>
      <c r="O320" s="128">
        <v>0</v>
      </c>
      <c r="P320" s="128">
        <v>0</v>
      </c>
      <c r="Q320" s="128">
        <v>0</v>
      </c>
      <c r="R320" s="110">
        <v>0</v>
      </c>
      <c r="S320" s="110">
        <v>0</v>
      </c>
      <c r="T320" s="110">
        <v>0</v>
      </c>
      <c r="U320" s="110">
        <v>0</v>
      </c>
      <c r="V320" s="110">
        <v>0</v>
      </c>
      <c r="W320" s="288">
        <v>0</v>
      </c>
    </row>
    <row r="321" spans="2:23">
      <c r="C321" s="127" t="s">
        <v>1165</v>
      </c>
      <c r="D321" s="128"/>
      <c r="E321" s="128"/>
      <c r="F321" s="128"/>
      <c r="G321" s="128"/>
      <c r="H321" s="128">
        <v>0</v>
      </c>
      <c r="I321" s="128">
        <v>0</v>
      </c>
      <c r="J321" s="128">
        <v>0</v>
      </c>
      <c r="K321" s="128">
        <v>0</v>
      </c>
      <c r="L321" s="128">
        <v>0</v>
      </c>
      <c r="M321" s="128">
        <v>0</v>
      </c>
      <c r="N321" s="128">
        <v>0</v>
      </c>
      <c r="O321" s="128">
        <v>0</v>
      </c>
      <c r="P321" s="128">
        <v>0</v>
      </c>
      <c r="Q321" s="128">
        <v>0</v>
      </c>
      <c r="R321" s="110">
        <v>0</v>
      </c>
      <c r="S321" s="110">
        <v>0</v>
      </c>
      <c r="T321" s="110">
        <v>0</v>
      </c>
      <c r="U321" s="110">
        <v>0</v>
      </c>
      <c r="V321" s="110">
        <v>0</v>
      </c>
      <c r="W321" s="288">
        <v>0</v>
      </c>
    </row>
    <row r="322" spans="2:23">
      <c r="C322" s="127" t="s">
        <v>1166</v>
      </c>
      <c r="D322" s="128"/>
      <c r="E322" s="128"/>
      <c r="F322" s="128"/>
      <c r="G322" s="128"/>
      <c r="H322" s="128">
        <v>1730.6330419999999</v>
      </c>
      <c r="I322" s="128">
        <v>2308.159135417</v>
      </c>
      <c r="J322" s="128">
        <v>4431.5364762589998</v>
      </c>
      <c r="K322" s="128">
        <v>6180.4258573360003</v>
      </c>
      <c r="L322" s="128">
        <v>8091.4841025659998</v>
      </c>
      <c r="M322" s="128">
        <v>13360.606457365</v>
      </c>
      <c r="N322" s="128">
        <v>21330.302185370001</v>
      </c>
      <c r="O322" s="128">
        <v>0</v>
      </c>
      <c r="P322" s="128">
        <v>55198.024925234997</v>
      </c>
      <c r="Q322" s="128">
        <v>0</v>
      </c>
      <c r="R322" s="110">
        <v>0</v>
      </c>
      <c r="S322" s="110">
        <v>0</v>
      </c>
      <c r="T322" s="110">
        <v>95325.974107639995</v>
      </c>
      <c r="U322" s="110">
        <v>0</v>
      </c>
      <c r="V322" s="110">
        <v>0</v>
      </c>
      <c r="W322" s="288">
        <v>0</v>
      </c>
    </row>
    <row r="323" spans="2:23">
      <c r="C323" s="127" t="s">
        <v>1167</v>
      </c>
      <c r="D323" s="128"/>
      <c r="E323" s="128"/>
      <c r="F323" s="128"/>
      <c r="G323" s="128"/>
      <c r="H323" s="128">
        <v>1730.6330419999999</v>
      </c>
      <c r="I323" s="128">
        <v>2308.159135417</v>
      </c>
      <c r="J323" s="128">
        <v>4431.5364762589998</v>
      </c>
      <c r="K323" s="128">
        <v>6180.4258573360003</v>
      </c>
      <c r="L323" s="128">
        <v>8091.4841025659998</v>
      </c>
      <c r="M323" s="128">
        <v>13360.606457365</v>
      </c>
      <c r="N323" s="128">
        <v>21330.302185370001</v>
      </c>
      <c r="O323" s="128">
        <v>0</v>
      </c>
      <c r="P323" s="128">
        <v>55198.024925234997</v>
      </c>
      <c r="Q323" s="128">
        <v>0</v>
      </c>
      <c r="R323" s="110">
        <v>0</v>
      </c>
      <c r="S323" s="110">
        <v>0</v>
      </c>
      <c r="T323" s="110">
        <v>0</v>
      </c>
      <c r="U323" s="110">
        <v>0</v>
      </c>
      <c r="V323" s="110">
        <v>0</v>
      </c>
      <c r="W323" s="288">
        <v>0</v>
      </c>
    </row>
    <row r="324" spans="2:23">
      <c r="C324" s="127" t="s">
        <v>1168</v>
      </c>
      <c r="D324" s="128"/>
      <c r="E324" s="128"/>
      <c r="F324" s="128"/>
      <c r="G324" s="128"/>
      <c r="H324" s="128">
        <v>0</v>
      </c>
      <c r="I324" s="128">
        <v>0</v>
      </c>
      <c r="J324" s="128">
        <v>0</v>
      </c>
      <c r="K324" s="128">
        <v>0</v>
      </c>
      <c r="L324" s="128">
        <v>0</v>
      </c>
      <c r="M324" s="128">
        <v>0</v>
      </c>
      <c r="N324" s="128">
        <v>0</v>
      </c>
      <c r="O324" s="128">
        <v>0</v>
      </c>
      <c r="P324" s="128">
        <v>0</v>
      </c>
      <c r="Q324" s="128">
        <v>0</v>
      </c>
      <c r="R324" s="110">
        <v>0</v>
      </c>
      <c r="S324" s="110">
        <v>0</v>
      </c>
      <c r="T324" s="110">
        <v>95325.974107639995</v>
      </c>
      <c r="U324" s="110">
        <v>0</v>
      </c>
      <c r="V324" s="110">
        <v>0</v>
      </c>
      <c r="W324" s="288">
        <v>0</v>
      </c>
    </row>
    <row r="325" spans="2:23">
      <c r="C325" s="127" t="s">
        <v>1169</v>
      </c>
      <c r="D325" s="128"/>
      <c r="E325" s="128"/>
      <c r="F325" s="128"/>
      <c r="G325" s="128"/>
      <c r="H325" s="128">
        <v>0</v>
      </c>
      <c r="I325" s="128">
        <v>0</v>
      </c>
      <c r="J325" s="128">
        <v>0</v>
      </c>
      <c r="K325" s="128">
        <v>0</v>
      </c>
      <c r="L325" s="128">
        <v>0</v>
      </c>
      <c r="M325" s="128">
        <v>0</v>
      </c>
      <c r="N325" s="128">
        <v>0</v>
      </c>
      <c r="O325" s="128">
        <v>0</v>
      </c>
      <c r="P325" s="128">
        <v>0</v>
      </c>
      <c r="Q325" s="128">
        <v>0</v>
      </c>
      <c r="R325" s="110">
        <v>0</v>
      </c>
      <c r="S325" s="110">
        <v>0</v>
      </c>
      <c r="T325" s="110">
        <v>0</v>
      </c>
      <c r="U325" s="110">
        <v>0</v>
      </c>
      <c r="V325" s="110">
        <v>0</v>
      </c>
      <c r="W325" s="288">
        <v>0</v>
      </c>
    </row>
    <row r="326" spans="2:23">
      <c r="C326" s="127" t="s">
        <v>1170</v>
      </c>
      <c r="D326" s="128"/>
      <c r="E326" s="128"/>
      <c r="F326" s="128"/>
      <c r="G326" s="128"/>
      <c r="H326" s="128">
        <v>0</v>
      </c>
      <c r="I326" s="128">
        <v>0</v>
      </c>
      <c r="J326" s="128">
        <v>0</v>
      </c>
      <c r="K326" s="128">
        <v>0</v>
      </c>
      <c r="L326" s="128">
        <v>0</v>
      </c>
      <c r="M326" s="128">
        <v>0</v>
      </c>
      <c r="N326" s="128">
        <v>0</v>
      </c>
      <c r="O326" s="128">
        <v>0</v>
      </c>
      <c r="P326" s="128">
        <v>0</v>
      </c>
      <c r="Q326" s="128">
        <v>0</v>
      </c>
      <c r="R326" s="110">
        <v>0</v>
      </c>
      <c r="S326" s="110">
        <v>0</v>
      </c>
      <c r="T326" s="110">
        <v>0</v>
      </c>
      <c r="U326" s="110">
        <v>0</v>
      </c>
      <c r="V326" s="110">
        <v>0</v>
      </c>
      <c r="W326" s="288">
        <v>0</v>
      </c>
    </row>
    <row r="327" spans="2:23">
      <c r="C327" s="127" t="s">
        <v>1171</v>
      </c>
      <c r="D327" s="128"/>
      <c r="E327" s="128"/>
      <c r="F327" s="128"/>
      <c r="G327" s="128"/>
      <c r="H327" s="128">
        <v>0</v>
      </c>
      <c r="I327" s="128">
        <v>0</v>
      </c>
      <c r="J327" s="128">
        <v>0</v>
      </c>
      <c r="K327" s="128">
        <v>0</v>
      </c>
      <c r="L327" s="128">
        <v>0</v>
      </c>
      <c r="M327" s="128">
        <v>0</v>
      </c>
      <c r="N327" s="128">
        <v>0</v>
      </c>
      <c r="O327" s="128">
        <v>0</v>
      </c>
      <c r="P327" s="128">
        <v>0</v>
      </c>
      <c r="Q327" s="128">
        <v>0</v>
      </c>
      <c r="R327" s="110">
        <v>0</v>
      </c>
      <c r="S327" s="110">
        <v>0</v>
      </c>
      <c r="T327" s="110">
        <v>0</v>
      </c>
      <c r="U327" s="110">
        <v>0</v>
      </c>
      <c r="V327" s="110">
        <v>0</v>
      </c>
      <c r="W327" s="288">
        <v>0</v>
      </c>
    </row>
    <row r="328" spans="2:23">
      <c r="C328" s="127" t="s">
        <v>1172</v>
      </c>
      <c r="D328" s="128"/>
      <c r="E328" s="128"/>
      <c r="F328" s="128"/>
      <c r="G328" s="128"/>
      <c r="H328" s="128">
        <v>0</v>
      </c>
      <c r="I328" s="128">
        <v>0</v>
      </c>
      <c r="J328" s="128">
        <v>0</v>
      </c>
      <c r="K328" s="128">
        <v>0</v>
      </c>
      <c r="L328" s="128">
        <v>0</v>
      </c>
      <c r="M328" s="128">
        <v>0</v>
      </c>
      <c r="N328" s="128">
        <v>0</v>
      </c>
      <c r="O328" s="128">
        <v>0</v>
      </c>
      <c r="P328" s="128">
        <v>0</v>
      </c>
      <c r="Q328" s="128">
        <v>0</v>
      </c>
      <c r="R328" s="110">
        <v>0</v>
      </c>
      <c r="S328" s="110">
        <v>0</v>
      </c>
      <c r="T328" s="110">
        <v>0</v>
      </c>
      <c r="U328" s="110">
        <v>0</v>
      </c>
      <c r="V328" s="110">
        <v>0</v>
      </c>
      <c r="W328" s="288">
        <v>0</v>
      </c>
    </row>
    <row r="329" spans="2:23">
      <c r="C329" s="127" t="s">
        <v>1173</v>
      </c>
      <c r="D329" s="128"/>
      <c r="E329" s="128"/>
      <c r="F329" s="128"/>
      <c r="G329" s="128"/>
      <c r="H329" s="128">
        <v>0</v>
      </c>
      <c r="I329" s="128">
        <v>0</v>
      </c>
      <c r="J329" s="128">
        <v>0</v>
      </c>
      <c r="K329" s="128">
        <v>0</v>
      </c>
      <c r="L329" s="128">
        <v>0</v>
      </c>
      <c r="M329" s="128">
        <v>0</v>
      </c>
      <c r="N329" s="128">
        <v>0</v>
      </c>
      <c r="O329" s="128">
        <v>0</v>
      </c>
      <c r="P329" s="128">
        <v>0</v>
      </c>
      <c r="Q329" s="128">
        <v>0</v>
      </c>
      <c r="R329" s="110">
        <v>0</v>
      </c>
      <c r="S329" s="110">
        <v>0</v>
      </c>
      <c r="T329" s="110">
        <v>0</v>
      </c>
      <c r="U329" s="110">
        <v>0</v>
      </c>
      <c r="V329" s="110">
        <v>0</v>
      </c>
      <c r="W329" s="288">
        <v>0</v>
      </c>
    </row>
    <row r="330" spans="2:23">
      <c r="C330" s="127" t="s">
        <v>1174</v>
      </c>
      <c r="D330" s="128"/>
      <c r="E330" s="128"/>
      <c r="F330" s="128"/>
      <c r="G330" s="128"/>
      <c r="H330" s="128">
        <v>0</v>
      </c>
      <c r="I330" s="128">
        <v>0</v>
      </c>
      <c r="J330" s="128">
        <v>0</v>
      </c>
      <c r="K330" s="128">
        <v>0</v>
      </c>
      <c r="L330" s="128">
        <v>0</v>
      </c>
      <c r="M330" s="128">
        <v>0</v>
      </c>
      <c r="N330" s="128">
        <v>0</v>
      </c>
      <c r="O330" s="128">
        <v>0</v>
      </c>
      <c r="P330" s="128">
        <v>0</v>
      </c>
      <c r="Q330" s="128">
        <v>0</v>
      </c>
      <c r="R330" s="110">
        <v>0</v>
      </c>
      <c r="S330" s="110">
        <v>0</v>
      </c>
      <c r="T330" s="110">
        <v>0</v>
      </c>
      <c r="U330" s="110">
        <v>0</v>
      </c>
      <c r="V330" s="110">
        <v>0</v>
      </c>
      <c r="W330" s="288">
        <v>0</v>
      </c>
    </row>
    <row r="331" spans="2:23" s="302" customFormat="1">
      <c r="B331" s="379"/>
      <c r="C331" s="298" t="s">
        <v>569</v>
      </c>
      <c r="D331" s="299"/>
      <c r="E331" s="299"/>
      <c r="F331" s="299"/>
      <c r="G331" s="299"/>
      <c r="H331" s="299">
        <v>5.5510060000000001</v>
      </c>
      <c r="I331" s="299">
        <v>7.4535216889999996</v>
      </c>
      <c r="J331" s="299">
        <v>7.6386726190000003</v>
      </c>
      <c r="K331" s="299">
        <v>3.1950069659999998</v>
      </c>
      <c r="L331" s="299">
        <v>29.466115267999999</v>
      </c>
      <c r="M331" s="299">
        <v>71.335314202000006</v>
      </c>
      <c r="N331" s="299">
        <v>80.985820412999999</v>
      </c>
      <c r="O331" s="299">
        <v>135.32770073200001</v>
      </c>
      <c r="P331" s="299">
        <v>250.50980812700001</v>
      </c>
      <c r="Q331" s="299">
        <v>342.083875229</v>
      </c>
      <c r="R331" s="380">
        <v>631.17785435099995</v>
      </c>
      <c r="S331" s="380">
        <v>794.12178266700005</v>
      </c>
      <c r="T331" s="380">
        <v>1287.9560261629999</v>
      </c>
      <c r="U331" s="380">
        <v>1313.1373043230001</v>
      </c>
      <c r="V331" s="380">
        <v>2166.9637150909998</v>
      </c>
      <c r="W331" s="300">
        <v>2376.5026052630001</v>
      </c>
    </row>
    <row r="332" spans="2:23">
      <c r="B332" s="148" t="s">
        <v>544</v>
      </c>
      <c r="C332" s="127" t="s">
        <v>1175</v>
      </c>
      <c r="D332" s="128"/>
      <c r="E332" s="128"/>
      <c r="F332" s="128"/>
      <c r="G332" s="128"/>
      <c r="H332" s="128">
        <v>0.284414</v>
      </c>
      <c r="I332" s="128">
        <v>1.434515126</v>
      </c>
      <c r="J332" s="128">
        <v>0.75127429599999995</v>
      </c>
      <c r="K332" s="128">
        <v>0</v>
      </c>
      <c r="L332" s="128">
        <v>3.0022701180000002</v>
      </c>
      <c r="M332" s="128">
        <v>6.7236448620000004</v>
      </c>
      <c r="N332" s="128">
        <v>0.91366028600000004</v>
      </c>
      <c r="O332" s="128">
        <v>1.799386698</v>
      </c>
      <c r="P332" s="128">
        <v>35.284247594</v>
      </c>
      <c r="Q332" s="128">
        <v>84.857279583999997</v>
      </c>
      <c r="R332" s="110">
        <v>343.57902438799999</v>
      </c>
      <c r="S332" s="110">
        <v>567.42226849600002</v>
      </c>
      <c r="T332" s="110">
        <v>968.12770415399996</v>
      </c>
      <c r="U332" s="110">
        <v>854.20577891599999</v>
      </c>
      <c r="V332" s="110">
        <v>1828.042318022</v>
      </c>
      <c r="W332" s="288">
        <v>1837.6799896959999</v>
      </c>
    </row>
    <row r="333" spans="2:23">
      <c r="C333" s="127" t="s">
        <v>1176</v>
      </c>
      <c r="D333" s="128"/>
      <c r="E333" s="128"/>
      <c r="F333" s="128"/>
      <c r="G333" s="128"/>
      <c r="H333" s="128">
        <v>0</v>
      </c>
      <c r="I333" s="128">
        <v>0</v>
      </c>
      <c r="J333" s="128">
        <v>0</v>
      </c>
      <c r="K333" s="128">
        <v>0</v>
      </c>
      <c r="L333" s="128">
        <v>0</v>
      </c>
      <c r="M333" s="128">
        <v>0</v>
      </c>
      <c r="N333" s="128">
        <v>0</v>
      </c>
      <c r="O333" s="128">
        <v>0</v>
      </c>
      <c r="P333" s="128">
        <v>0</v>
      </c>
      <c r="Q333" s="128">
        <v>0</v>
      </c>
      <c r="R333" s="110">
        <v>0</v>
      </c>
      <c r="S333" s="110">
        <v>0</v>
      </c>
      <c r="T333" s="110">
        <v>0</v>
      </c>
      <c r="U333" s="110">
        <v>0</v>
      </c>
      <c r="V333" s="110">
        <v>0</v>
      </c>
      <c r="W333" s="288">
        <v>317.96587976400002</v>
      </c>
    </row>
    <row r="334" spans="2:23">
      <c r="C334" s="127" t="s">
        <v>1177</v>
      </c>
      <c r="D334" s="128"/>
      <c r="E334" s="128"/>
      <c r="F334" s="128"/>
      <c r="G334" s="128"/>
      <c r="H334" s="128">
        <v>0</v>
      </c>
      <c r="I334" s="128">
        <v>0</v>
      </c>
      <c r="J334" s="128">
        <v>0</v>
      </c>
      <c r="K334" s="128">
        <v>0</v>
      </c>
      <c r="L334" s="128">
        <v>0</v>
      </c>
      <c r="M334" s="128">
        <v>0</v>
      </c>
      <c r="N334" s="128">
        <v>0</v>
      </c>
      <c r="O334" s="128">
        <v>0</v>
      </c>
      <c r="P334" s="128">
        <v>0</v>
      </c>
      <c r="Q334" s="128">
        <v>0</v>
      </c>
      <c r="R334" s="110">
        <v>0</v>
      </c>
      <c r="S334" s="110">
        <v>0</v>
      </c>
      <c r="T334" s="110">
        <v>0</v>
      </c>
      <c r="U334" s="110">
        <v>0</v>
      </c>
      <c r="V334" s="110">
        <v>0</v>
      </c>
      <c r="W334" s="288">
        <v>0</v>
      </c>
    </row>
    <row r="335" spans="2:23">
      <c r="C335" s="127" t="s">
        <v>1178</v>
      </c>
      <c r="D335" s="128"/>
      <c r="E335" s="128"/>
      <c r="F335" s="128"/>
      <c r="G335" s="128"/>
      <c r="H335" s="128">
        <v>0</v>
      </c>
      <c r="I335" s="128">
        <v>0</v>
      </c>
      <c r="J335" s="128">
        <v>0</v>
      </c>
      <c r="K335" s="128">
        <v>0</v>
      </c>
      <c r="L335" s="128">
        <v>0</v>
      </c>
      <c r="M335" s="128">
        <v>0</v>
      </c>
      <c r="N335" s="128">
        <v>0</v>
      </c>
      <c r="O335" s="128">
        <v>0</v>
      </c>
      <c r="P335" s="128">
        <v>0</v>
      </c>
      <c r="Q335" s="128">
        <v>0</v>
      </c>
      <c r="R335" s="110">
        <v>0</v>
      </c>
      <c r="S335" s="110">
        <v>0</v>
      </c>
      <c r="T335" s="110">
        <v>0</v>
      </c>
      <c r="U335" s="110">
        <v>0</v>
      </c>
      <c r="V335" s="110">
        <v>0</v>
      </c>
      <c r="W335" s="288">
        <v>0</v>
      </c>
    </row>
    <row r="336" spans="2:23">
      <c r="B336" s="148" t="s">
        <v>545</v>
      </c>
      <c r="C336" s="127" t="s">
        <v>1179</v>
      </c>
      <c r="D336" s="128"/>
      <c r="E336" s="128"/>
      <c r="F336" s="128"/>
      <c r="G336" s="128"/>
      <c r="H336" s="128">
        <v>0</v>
      </c>
      <c r="I336" s="128">
        <v>0</v>
      </c>
      <c r="J336" s="128">
        <v>0</v>
      </c>
      <c r="K336" s="128">
        <v>0</v>
      </c>
      <c r="L336" s="128">
        <v>0</v>
      </c>
      <c r="M336" s="128">
        <v>0</v>
      </c>
      <c r="N336" s="128">
        <v>0</v>
      </c>
      <c r="O336" s="128">
        <v>0</v>
      </c>
      <c r="P336" s="128">
        <v>0</v>
      </c>
      <c r="Q336" s="128">
        <v>0</v>
      </c>
      <c r="R336" s="110">
        <v>0</v>
      </c>
      <c r="S336" s="110">
        <v>0</v>
      </c>
      <c r="T336" s="110">
        <v>0</v>
      </c>
      <c r="U336" s="110">
        <v>0</v>
      </c>
      <c r="V336" s="110">
        <v>0</v>
      </c>
      <c r="W336" s="288">
        <v>0</v>
      </c>
    </row>
    <row r="337" spans="2:23">
      <c r="B337" s="148" t="s">
        <v>546</v>
      </c>
      <c r="C337" s="127" t="s">
        <v>1180</v>
      </c>
      <c r="D337" s="128"/>
      <c r="E337" s="128"/>
      <c r="F337" s="128"/>
      <c r="G337" s="128"/>
      <c r="H337" s="128">
        <v>0.113805</v>
      </c>
      <c r="I337" s="128">
        <v>0.144747874</v>
      </c>
      <c r="J337" s="128">
        <v>0.40889208599999999</v>
      </c>
      <c r="K337" s="128">
        <v>0</v>
      </c>
      <c r="L337" s="128">
        <v>0.127530428</v>
      </c>
      <c r="M337" s="128">
        <v>0.113894304</v>
      </c>
      <c r="N337" s="128">
        <v>1.041648482</v>
      </c>
      <c r="O337" s="128">
        <v>0.23392126999999999</v>
      </c>
      <c r="P337" s="128">
        <v>0</v>
      </c>
      <c r="Q337" s="128">
        <v>1.375629539</v>
      </c>
      <c r="R337" s="110">
        <v>0.36466553200000001</v>
      </c>
      <c r="S337" s="110">
        <v>0.33536967499999998</v>
      </c>
      <c r="T337" s="110">
        <v>20.172347364</v>
      </c>
      <c r="U337" s="110">
        <v>143.14084003299999</v>
      </c>
      <c r="V337" s="110">
        <v>4.2203685909999997</v>
      </c>
      <c r="W337" s="288">
        <v>1.3024142750000001</v>
      </c>
    </row>
    <row r="338" spans="2:23">
      <c r="C338" s="127" t="s">
        <v>1181</v>
      </c>
      <c r="D338" s="128"/>
      <c r="E338" s="128"/>
      <c r="F338" s="128"/>
      <c r="G338" s="128"/>
      <c r="H338" s="128">
        <v>0</v>
      </c>
      <c r="I338" s="128">
        <v>0</v>
      </c>
      <c r="J338" s="128">
        <v>0</v>
      </c>
      <c r="K338" s="128">
        <v>0</v>
      </c>
      <c r="L338" s="128">
        <v>0</v>
      </c>
      <c r="M338" s="128">
        <v>0</v>
      </c>
      <c r="N338" s="128">
        <v>0</v>
      </c>
      <c r="O338" s="128">
        <v>0</v>
      </c>
      <c r="P338" s="128">
        <v>0</v>
      </c>
      <c r="Q338" s="128">
        <v>0</v>
      </c>
      <c r="R338" s="110">
        <v>0</v>
      </c>
      <c r="S338" s="110">
        <v>0</v>
      </c>
      <c r="T338" s="110">
        <v>0</v>
      </c>
      <c r="U338" s="110">
        <v>0</v>
      </c>
      <c r="V338" s="110">
        <v>0</v>
      </c>
      <c r="W338" s="288">
        <v>0</v>
      </c>
    </row>
    <row r="339" spans="2:23">
      <c r="C339" s="127" t="s">
        <v>1182</v>
      </c>
      <c r="D339" s="128"/>
      <c r="E339" s="128"/>
      <c r="F339" s="128"/>
      <c r="G339" s="128"/>
      <c r="H339" s="128">
        <v>0</v>
      </c>
      <c r="I339" s="128">
        <v>0</v>
      </c>
      <c r="J339" s="128">
        <v>0</v>
      </c>
      <c r="K339" s="128">
        <v>0</v>
      </c>
      <c r="L339" s="128">
        <v>0</v>
      </c>
      <c r="M339" s="128">
        <v>0</v>
      </c>
      <c r="N339" s="128">
        <v>79.030511645000004</v>
      </c>
      <c r="O339" s="128">
        <v>0</v>
      </c>
      <c r="P339" s="128">
        <v>0</v>
      </c>
      <c r="Q339" s="128">
        <v>0</v>
      </c>
      <c r="R339" s="110">
        <v>0</v>
      </c>
      <c r="S339" s="110">
        <v>0</v>
      </c>
      <c r="T339" s="110">
        <v>0</v>
      </c>
      <c r="U339" s="110">
        <v>0</v>
      </c>
      <c r="V339" s="110">
        <v>0</v>
      </c>
      <c r="W339" s="288">
        <v>0</v>
      </c>
    </row>
    <row r="340" spans="2:23">
      <c r="B340" s="148" t="s">
        <v>547</v>
      </c>
      <c r="C340" s="127" t="s">
        <v>1183</v>
      </c>
      <c r="D340" s="128"/>
      <c r="E340" s="128"/>
      <c r="F340" s="128"/>
      <c r="G340" s="128"/>
      <c r="H340" s="128">
        <v>5.152787</v>
      </c>
      <c r="I340" s="128">
        <v>5.8742586890000004</v>
      </c>
      <c r="J340" s="128">
        <v>6.4785062370000004</v>
      </c>
      <c r="K340" s="128">
        <v>3.1950069659999998</v>
      </c>
      <c r="L340" s="128">
        <v>26.336314722000001</v>
      </c>
      <c r="M340" s="128">
        <v>64.497775035999993</v>
      </c>
      <c r="N340" s="128">
        <v>0</v>
      </c>
      <c r="O340" s="128">
        <v>133.29439276400001</v>
      </c>
      <c r="P340" s="128">
        <v>215.22556053299999</v>
      </c>
      <c r="Q340" s="128">
        <v>255.85096610599999</v>
      </c>
      <c r="R340" s="110">
        <v>287.23416443100001</v>
      </c>
      <c r="S340" s="110">
        <v>226.36414449599999</v>
      </c>
      <c r="T340" s="110">
        <v>299.65597464500001</v>
      </c>
      <c r="U340" s="110">
        <v>315.79068537400002</v>
      </c>
      <c r="V340" s="110">
        <v>334.70102847800001</v>
      </c>
      <c r="W340" s="288">
        <v>219.554321528</v>
      </c>
    </row>
    <row r="341" spans="2:23" s="302" customFormat="1">
      <c r="B341" s="379"/>
      <c r="C341" s="298" t="s">
        <v>338</v>
      </c>
      <c r="D341" s="299"/>
      <c r="E341" s="299"/>
      <c r="F341" s="299"/>
      <c r="G341" s="299"/>
      <c r="H341" s="299">
        <v>3.7626200000000001</v>
      </c>
      <c r="I341" s="299">
        <v>13.152422779</v>
      </c>
      <c r="J341" s="299">
        <v>27.855845141</v>
      </c>
      <c r="K341" s="299">
        <v>56.440741017000001</v>
      </c>
      <c r="L341" s="299">
        <v>26.843253776000001</v>
      </c>
      <c r="M341" s="299">
        <v>21.291413995999999</v>
      </c>
      <c r="N341" s="299">
        <v>40.666093756000002</v>
      </c>
      <c r="O341" s="299">
        <v>120.085861346</v>
      </c>
      <c r="P341" s="299">
        <v>-1.0842557829999999</v>
      </c>
      <c r="Q341" s="299">
        <v>436.573150236</v>
      </c>
      <c r="R341" s="380">
        <v>569.75484484399999</v>
      </c>
      <c r="S341" s="380">
        <v>594.15151375100004</v>
      </c>
      <c r="T341" s="380">
        <v>714.70722574499996</v>
      </c>
      <c r="U341" s="380">
        <v>1382.6204545319999</v>
      </c>
      <c r="V341" s="380">
        <v>1556.146106982</v>
      </c>
      <c r="W341" s="300">
        <v>1188.4656095099999</v>
      </c>
    </row>
    <row r="342" spans="2:23">
      <c r="B342" s="148" t="s">
        <v>744</v>
      </c>
      <c r="C342" s="127" t="s">
        <v>1184</v>
      </c>
      <c r="D342" s="128"/>
      <c r="E342" s="128"/>
      <c r="F342" s="128"/>
      <c r="G342" s="128"/>
      <c r="H342" s="128">
        <v>2.7371780000000001</v>
      </c>
      <c r="I342" s="128">
        <v>2.491792813</v>
      </c>
      <c r="J342" s="128">
        <v>27.749767866999999</v>
      </c>
      <c r="K342" s="128">
        <v>53.652435695999998</v>
      </c>
      <c r="L342" s="128">
        <v>26.535371431000002</v>
      </c>
      <c r="M342" s="128">
        <v>21.261415760999999</v>
      </c>
      <c r="N342" s="128">
        <v>38.893852013999997</v>
      </c>
      <c r="O342" s="128">
        <v>119.64569530599999</v>
      </c>
      <c r="P342" s="128">
        <v>233.20234049199999</v>
      </c>
      <c r="Q342" s="128">
        <v>436.416577674</v>
      </c>
      <c r="R342" s="110">
        <v>568.13671713400004</v>
      </c>
      <c r="S342" s="110">
        <v>594.00382102100002</v>
      </c>
      <c r="T342" s="110">
        <v>674.427746189</v>
      </c>
      <c r="U342" s="110">
        <v>1362.1439091029999</v>
      </c>
      <c r="V342" s="110">
        <v>1447.7183547970001</v>
      </c>
      <c r="W342" s="288">
        <v>1137.2361297479999</v>
      </c>
    </row>
    <row r="343" spans="2:23">
      <c r="C343" s="127" t="s">
        <v>1185</v>
      </c>
      <c r="D343" s="128"/>
      <c r="E343" s="128"/>
      <c r="F343" s="128"/>
      <c r="G343" s="128"/>
      <c r="H343" s="128">
        <v>0</v>
      </c>
      <c r="I343" s="128">
        <v>0</v>
      </c>
      <c r="J343" s="128">
        <v>0</v>
      </c>
      <c r="K343" s="128">
        <v>0</v>
      </c>
      <c r="L343" s="128">
        <v>0</v>
      </c>
      <c r="M343" s="128">
        <v>0</v>
      </c>
      <c r="N343" s="128">
        <v>0</v>
      </c>
      <c r="O343" s="128">
        <v>0</v>
      </c>
      <c r="P343" s="128">
        <v>0</v>
      </c>
      <c r="Q343" s="128">
        <v>0</v>
      </c>
      <c r="R343" s="110">
        <v>0</v>
      </c>
      <c r="S343" s="110">
        <v>0</v>
      </c>
      <c r="T343" s="110">
        <v>0</v>
      </c>
      <c r="U343" s="110">
        <v>0</v>
      </c>
      <c r="V343" s="110">
        <v>0</v>
      </c>
      <c r="W343" s="288">
        <v>0</v>
      </c>
    </row>
    <row r="344" spans="2:23">
      <c r="C344" s="127" t="s">
        <v>1186</v>
      </c>
      <c r="D344" s="128"/>
      <c r="E344" s="128"/>
      <c r="F344" s="128"/>
      <c r="G344" s="128"/>
      <c r="H344" s="128">
        <v>0</v>
      </c>
      <c r="I344" s="128">
        <v>0</v>
      </c>
      <c r="J344" s="128">
        <v>0</v>
      </c>
      <c r="K344" s="128">
        <v>0</v>
      </c>
      <c r="L344" s="128">
        <v>0</v>
      </c>
      <c r="M344" s="128">
        <v>0</v>
      </c>
      <c r="N344" s="128">
        <v>0</v>
      </c>
      <c r="O344" s="128">
        <v>0</v>
      </c>
      <c r="P344" s="128">
        <v>0</v>
      </c>
      <c r="Q344" s="128">
        <v>0</v>
      </c>
      <c r="R344" s="110">
        <v>0</v>
      </c>
      <c r="S344" s="110">
        <v>0</v>
      </c>
      <c r="T344" s="110">
        <v>0</v>
      </c>
      <c r="U344" s="110">
        <v>0</v>
      </c>
      <c r="V344" s="110">
        <v>0</v>
      </c>
      <c r="W344" s="288">
        <v>0</v>
      </c>
    </row>
    <row r="345" spans="2:23">
      <c r="B345" s="148" t="s">
        <v>552</v>
      </c>
      <c r="C345" s="127" t="s">
        <v>1187</v>
      </c>
      <c r="D345" s="128"/>
      <c r="E345" s="128"/>
      <c r="F345" s="128"/>
      <c r="G345" s="128"/>
      <c r="H345" s="128">
        <v>0</v>
      </c>
      <c r="I345" s="128">
        <v>0</v>
      </c>
      <c r="J345" s="128">
        <v>0</v>
      </c>
      <c r="K345" s="128">
        <v>0</v>
      </c>
      <c r="L345" s="128">
        <v>0</v>
      </c>
      <c r="M345" s="128">
        <v>0</v>
      </c>
      <c r="N345" s="128">
        <v>0</v>
      </c>
      <c r="O345" s="128">
        <v>0</v>
      </c>
      <c r="P345" s="128">
        <v>0</v>
      </c>
      <c r="Q345" s="128">
        <v>0</v>
      </c>
      <c r="R345" s="110">
        <v>0</v>
      </c>
      <c r="S345" s="110">
        <v>0</v>
      </c>
      <c r="T345" s="110">
        <v>0</v>
      </c>
      <c r="U345" s="110">
        <v>0</v>
      </c>
      <c r="V345" s="110">
        <v>0</v>
      </c>
      <c r="W345" s="288">
        <v>0</v>
      </c>
    </row>
    <row r="346" spans="2:23">
      <c r="B346" s="148" t="s">
        <v>553</v>
      </c>
      <c r="C346" s="127" t="s">
        <v>1188</v>
      </c>
      <c r="D346" s="128"/>
      <c r="E346" s="128"/>
      <c r="F346" s="128"/>
      <c r="G346" s="128"/>
      <c r="H346" s="128">
        <v>0</v>
      </c>
      <c r="I346" s="128">
        <v>10.247243226</v>
      </c>
      <c r="J346" s="128">
        <v>0.106077274</v>
      </c>
      <c r="K346" s="128">
        <v>0</v>
      </c>
      <c r="L346" s="128">
        <v>0.30564794000000001</v>
      </c>
      <c r="M346" s="128">
        <v>2.9998235000000002E-2</v>
      </c>
      <c r="N346" s="128">
        <v>1.7722417420000001</v>
      </c>
      <c r="O346" s="128">
        <v>0.44016603999999998</v>
      </c>
      <c r="P346" s="128">
        <v>0</v>
      </c>
      <c r="Q346" s="128">
        <v>1.5147019999999999E-3</v>
      </c>
      <c r="R346" s="110">
        <v>3.5984154999999997E-2</v>
      </c>
      <c r="S346" s="110">
        <v>5.9418874000000003E-2</v>
      </c>
      <c r="T346" s="110">
        <v>40.279479555999998</v>
      </c>
      <c r="U346" s="110">
        <v>13.385429290999999</v>
      </c>
      <c r="V346" s="110">
        <v>84.000285446999996</v>
      </c>
      <c r="W346" s="288">
        <v>25.885524365999999</v>
      </c>
    </row>
    <row r="347" spans="2:23">
      <c r="C347" s="127" t="s">
        <v>1189</v>
      </c>
      <c r="D347" s="128"/>
      <c r="E347" s="128"/>
      <c r="F347" s="128"/>
      <c r="G347" s="128"/>
      <c r="H347" s="128">
        <v>0</v>
      </c>
      <c r="I347" s="128">
        <v>0</v>
      </c>
      <c r="J347" s="128">
        <v>0</v>
      </c>
      <c r="K347" s="128">
        <v>0</v>
      </c>
      <c r="L347" s="128">
        <v>0</v>
      </c>
      <c r="M347" s="128">
        <v>0</v>
      </c>
      <c r="N347" s="128">
        <v>0</v>
      </c>
      <c r="O347" s="128">
        <v>0</v>
      </c>
      <c r="P347" s="128">
        <v>0</v>
      </c>
      <c r="Q347" s="128">
        <v>0</v>
      </c>
      <c r="R347" s="110">
        <v>0</v>
      </c>
      <c r="S347" s="110">
        <v>0</v>
      </c>
      <c r="T347" s="110">
        <v>0</v>
      </c>
      <c r="U347" s="110">
        <v>0</v>
      </c>
      <c r="V347" s="110">
        <v>0</v>
      </c>
      <c r="W347" s="288">
        <v>0</v>
      </c>
    </row>
    <row r="348" spans="2:23">
      <c r="C348" s="127" t="s">
        <v>1190</v>
      </c>
      <c r="D348" s="128"/>
      <c r="E348" s="128"/>
      <c r="F348" s="128"/>
      <c r="G348" s="128"/>
      <c r="H348" s="128">
        <v>0</v>
      </c>
      <c r="I348" s="128">
        <v>0</v>
      </c>
      <c r="J348" s="128">
        <v>0</v>
      </c>
      <c r="K348" s="128">
        <v>0</v>
      </c>
      <c r="L348" s="128">
        <v>0</v>
      </c>
      <c r="M348" s="128">
        <v>0</v>
      </c>
      <c r="N348" s="128">
        <v>0</v>
      </c>
      <c r="O348" s="128">
        <v>0</v>
      </c>
      <c r="P348" s="128">
        <v>0</v>
      </c>
      <c r="Q348" s="128">
        <v>0</v>
      </c>
      <c r="R348" s="110">
        <v>0</v>
      </c>
      <c r="S348" s="110">
        <v>0</v>
      </c>
      <c r="T348" s="110">
        <v>0</v>
      </c>
      <c r="U348" s="110">
        <v>0</v>
      </c>
      <c r="V348" s="110">
        <v>0</v>
      </c>
      <c r="W348" s="288">
        <v>0</v>
      </c>
    </row>
    <row r="349" spans="2:23">
      <c r="B349" s="148" t="s">
        <v>554</v>
      </c>
      <c r="C349" s="127" t="s">
        <v>1191</v>
      </c>
      <c r="D349" s="128"/>
      <c r="E349" s="128"/>
      <c r="F349" s="128"/>
      <c r="G349" s="128"/>
      <c r="H349" s="128">
        <v>1.025442</v>
      </c>
      <c r="I349" s="128">
        <v>0.41338673999999997</v>
      </c>
      <c r="J349" s="128">
        <v>0</v>
      </c>
      <c r="K349" s="128">
        <v>2.7883053210000002</v>
      </c>
      <c r="L349" s="128">
        <v>2.2344050000000001E-3</v>
      </c>
      <c r="M349" s="128">
        <v>0</v>
      </c>
      <c r="N349" s="128">
        <v>0</v>
      </c>
      <c r="O349" s="128">
        <v>0</v>
      </c>
      <c r="P349" s="128">
        <v>-234.28659627499999</v>
      </c>
      <c r="Q349" s="128">
        <v>0.15505785999999999</v>
      </c>
      <c r="R349" s="110">
        <v>1.582143555</v>
      </c>
      <c r="S349" s="110">
        <v>8.8273855999999998E-2</v>
      </c>
      <c r="T349" s="110">
        <v>0</v>
      </c>
      <c r="U349" s="110">
        <v>7.0911161380000003</v>
      </c>
      <c r="V349" s="110">
        <v>24.427466738</v>
      </c>
      <c r="W349" s="288">
        <v>25.343955395999998</v>
      </c>
    </row>
    <row r="350" spans="2:23">
      <c r="C350" s="127" t="s">
        <v>1192</v>
      </c>
      <c r="D350" s="128"/>
      <c r="E350" s="128"/>
      <c r="F350" s="128"/>
      <c r="G350" s="128"/>
      <c r="H350" s="128">
        <v>1903.3404330000001</v>
      </c>
      <c r="I350" s="128">
        <v>2659.5810705200001</v>
      </c>
      <c r="J350" s="128">
        <v>5158.6187301990003</v>
      </c>
      <c r="K350" s="128">
        <v>7158.492504156</v>
      </c>
      <c r="L350" s="128">
        <v>9152.9242381530003</v>
      </c>
      <c r="M350" s="128">
        <v>14950.450795172999</v>
      </c>
      <c r="N350" s="128">
        <v>23930.712211901999</v>
      </c>
      <c r="O350" s="128">
        <v>42621.699561775997</v>
      </c>
      <c r="P350" s="128">
        <v>63560.583628159999</v>
      </c>
      <c r="Q350" s="128">
        <v>82645.514328271005</v>
      </c>
      <c r="R350" s="110">
        <v>97197.510271281993</v>
      </c>
      <c r="S350" s="110">
        <v>103329.753061903</v>
      </c>
      <c r="T350" s="110">
        <v>117063.53748475001</v>
      </c>
      <c r="U350" s="158">
        <v>126760.600741735</v>
      </c>
      <c r="V350" s="110">
        <v>117872.754168926</v>
      </c>
      <c r="W350" s="288">
        <v>130257.54796476501</v>
      </c>
    </row>
    <row r="351" spans="2:23">
      <c r="C351" s="127" t="s">
        <v>1193</v>
      </c>
      <c r="D351" s="128"/>
      <c r="E351" s="128"/>
      <c r="F351" s="128"/>
      <c r="G351" s="128"/>
      <c r="H351" s="128">
        <v>1730.6330419999999</v>
      </c>
      <c r="I351" s="128">
        <v>2308.116637867</v>
      </c>
      <c r="J351" s="128">
        <v>4431.8710920780004</v>
      </c>
      <c r="K351" s="128">
        <v>6172.2963993439998</v>
      </c>
      <c r="L351" s="128">
        <v>8091.4841025639998</v>
      </c>
      <c r="M351" s="128">
        <v>0</v>
      </c>
      <c r="N351" s="128">
        <v>21330.302185370001</v>
      </c>
      <c r="O351" s="128">
        <v>0</v>
      </c>
      <c r="P351" s="128">
        <v>55198.024925234997</v>
      </c>
      <c r="Q351" s="128">
        <v>71224.159239435001</v>
      </c>
      <c r="R351" s="110">
        <v>82686.444673011996</v>
      </c>
      <c r="S351" s="110">
        <v>84591.522392949002</v>
      </c>
      <c r="T351" s="110">
        <v>95325.974107639995</v>
      </c>
      <c r="U351" s="158">
        <v>102542.73509434301</v>
      </c>
      <c r="V351" s="110">
        <v>95759.175291712003</v>
      </c>
      <c r="W351" s="288">
        <v>106841.942771781</v>
      </c>
    </row>
    <row r="352" spans="2:23">
      <c r="C352" s="127" t="s">
        <v>1194</v>
      </c>
      <c r="D352" s="128"/>
      <c r="E352" s="128"/>
      <c r="F352" s="128"/>
      <c r="G352" s="128"/>
      <c r="H352" s="128">
        <v>92.232502999999994</v>
      </c>
      <c r="I352" s="128">
        <v>190.99131538</v>
      </c>
      <c r="J352" s="128">
        <v>410.22908784399999</v>
      </c>
      <c r="K352" s="128">
        <v>517.88970314899996</v>
      </c>
      <c r="L352" s="128">
        <v>558.741670634</v>
      </c>
      <c r="M352" s="128">
        <v>950.56885400500005</v>
      </c>
      <c r="N352" s="128">
        <v>1385.8756008820001</v>
      </c>
      <c r="O352" s="128">
        <v>3046.4892302769999</v>
      </c>
      <c r="P352" s="128">
        <v>4920.0510934510003</v>
      </c>
      <c r="Q352" s="128">
        <v>6289.9009864359996</v>
      </c>
      <c r="R352" s="110">
        <v>7929.0928572949997</v>
      </c>
      <c r="S352" s="110">
        <v>10026.483261824</v>
      </c>
      <c r="T352" s="110">
        <v>9699.3692714650006</v>
      </c>
      <c r="U352" s="158">
        <v>9386.4375070120004</v>
      </c>
      <c r="V352" s="110">
        <v>8102.5667723140004</v>
      </c>
      <c r="W352" s="288">
        <v>10803.735209032</v>
      </c>
    </row>
    <row r="353" spans="3:23">
      <c r="C353" s="127" t="s">
        <v>1195</v>
      </c>
      <c r="D353" s="128"/>
      <c r="E353" s="128"/>
      <c r="F353" s="128"/>
      <c r="G353" s="128"/>
      <c r="H353" s="128">
        <v>3.4886379999999999</v>
      </c>
      <c r="I353" s="128">
        <v>4.3733995969999997</v>
      </c>
      <c r="J353" s="128">
        <v>8.8225742549999993</v>
      </c>
      <c r="K353" s="128">
        <v>27.524836686</v>
      </c>
      <c r="L353" s="128">
        <v>34.254161373000002</v>
      </c>
      <c r="M353" s="128">
        <v>116.388450156</v>
      </c>
      <c r="N353" s="128">
        <v>197.056011824</v>
      </c>
      <c r="O353" s="128">
        <v>386.63452235599999</v>
      </c>
      <c r="P353" s="128">
        <v>689.71370863200002</v>
      </c>
      <c r="Q353" s="128">
        <v>1222.8686837170001</v>
      </c>
      <c r="R353" s="110">
        <v>1442.8269389540001</v>
      </c>
      <c r="S353" s="110">
        <v>2195.5830710350001</v>
      </c>
      <c r="T353" s="110">
        <v>2920.7136084099998</v>
      </c>
      <c r="U353" s="158">
        <v>3540.3247262939999</v>
      </c>
      <c r="V353" s="110">
        <v>3380.5307272549999</v>
      </c>
      <c r="W353" s="288">
        <v>2913.4190814829999</v>
      </c>
    </row>
    <row r="354" spans="3:23">
      <c r="C354" s="127" t="s">
        <v>1196</v>
      </c>
      <c r="D354" s="128"/>
      <c r="E354" s="128"/>
      <c r="F354" s="128"/>
      <c r="G354" s="128"/>
      <c r="H354" s="128">
        <v>0</v>
      </c>
      <c r="I354" s="128">
        <v>0</v>
      </c>
      <c r="J354" s="128">
        <v>0</v>
      </c>
      <c r="K354" s="128">
        <v>0</v>
      </c>
      <c r="L354" s="128">
        <v>0</v>
      </c>
      <c r="M354" s="128">
        <v>0</v>
      </c>
      <c r="N354" s="128">
        <v>0</v>
      </c>
      <c r="O354" s="128">
        <v>0</v>
      </c>
      <c r="P354" s="128">
        <v>2268.5119213809999</v>
      </c>
      <c r="Q354" s="128">
        <v>3344.0617458629999</v>
      </c>
      <c r="R354" s="110">
        <v>0</v>
      </c>
      <c r="S354" s="110">
        <v>0</v>
      </c>
      <c r="T354" s="110">
        <v>0</v>
      </c>
      <c r="U354" s="158">
        <v>0</v>
      </c>
      <c r="V354" s="110">
        <v>0</v>
      </c>
      <c r="W354" s="288">
        <v>0</v>
      </c>
    </row>
    <row r="355" spans="3:23">
      <c r="C355" s="127" t="s">
        <v>1197</v>
      </c>
      <c r="D355" s="128"/>
      <c r="E355" s="128"/>
      <c r="F355" s="128"/>
      <c r="G355" s="128"/>
      <c r="H355" s="128">
        <v>76.986249999999998</v>
      </c>
      <c r="I355" s="128">
        <v>156.09971767600001</v>
      </c>
      <c r="J355" s="128">
        <v>307.69597602200002</v>
      </c>
      <c r="K355" s="128">
        <v>440.78156497700002</v>
      </c>
      <c r="L355" s="128">
        <v>468.44430358199997</v>
      </c>
      <c r="M355" s="128">
        <v>13883.493491011999</v>
      </c>
      <c r="N355" s="128">
        <v>1017.478413826</v>
      </c>
      <c r="O355" s="128">
        <v>39188.575809143003</v>
      </c>
      <c r="P355" s="128">
        <v>484.28197946099999</v>
      </c>
      <c r="Q355" s="128">
        <v>564.52367282</v>
      </c>
      <c r="R355" s="110">
        <v>5139.1458020210002</v>
      </c>
      <c r="S355" s="110">
        <v>6516.1643360950002</v>
      </c>
      <c r="T355" s="110">
        <v>9117.4804972349993</v>
      </c>
      <c r="U355" s="158">
        <v>11291.103414085999</v>
      </c>
      <c r="V355" s="110">
        <v>10630.481377644999</v>
      </c>
      <c r="W355" s="288">
        <v>9698.4509024689996</v>
      </c>
    </row>
    <row r="357" spans="3:23">
      <c r="O357" s="2050"/>
      <c r="P357" s="2050">
        <f t="shared" ref="P357:W357" si="51">P350/P$4</f>
        <v>0.95810628931060837</v>
      </c>
      <c r="Q357" s="2050">
        <f t="shared" si="51"/>
        <v>0.95525960708281221</v>
      </c>
      <c r="R357" s="2050">
        <f t="shared" si="51"/>
        <v>0.95129170021972675</v>
      </c>
      <c r="S357" s="2050">
        <f t="shared" si="51"/>
        <v>0.95194419270657837</v>
      </c>
      <c r="T357" s="2050">
        <f t="shared" si="51"/>
        <v>0.95206034961633301</v>
      </c>
      <c r="U357" s="2050">
        <f t="shared" si="51"/>
        <v>0.95019536055010867</v>
      </c>
      <c r="V357" s="2050">
        <f t="shared" si="51"/>
        <v>0.99655871648206962</v>
      </c>
      <c r="W357" s="2050">
        <f t="shared" si="51"/>
        <v>0.96960272561727223</v>
      </c>
    </row>
    <row r="358" spans="3:23">
      <c r="O358" s="2050"/>
      <c r="P358" s="2050">
        <f t="shared" ref="P358:W358" si="52">P351/P$4</f>
        <v>0.83204986203054387</v>
      </c>
      <c r="Q358" s="2050">
        <f t="shared" si="52"/>
        <v>0.82324567670567872</v>
      </c>
      <c r="R358" s="2050">
        <f t="shared" si="52"/>
        <v>0.80926896500305256</v>
      </c>
      <c r="S358" s="2050">
        <f t="shared" si="52"/>
        <v>0.77931482567208266</v>
      </c>
      <c r="T358" s="2050">
        <f t="shared" si="52"/>
        <v>0.77527197782025115</v>
      </c>
      <c r="U358" s="2050">
        <f t="shared" si="52"/>
        <v>0.76865864136508122</v>
      </c>
      <c r="V358" s="2050">
        <f t="shared" si="52"/>
        <v>0.80959880417596541</v>
      </c>
      <c r="W358" s="2050">
        <f t="shared" si="52"/>
        <v>0.79530315548229102</v>
      </c>
    </row>
    <row r="359" spans="3:23">
      <c r="O359" s="2050"/>
      <c r="P359" s="2050">
        <f t="shared" ref="P359:W359" si="53">P352/P$4</f>
        <v>7.4164389741010334E-2</v>
      </c>
      <c r="Q359" s="2050">
        <f t="shared" si="53"/>
        <v>7.2701929363361575E-2</v>
      </c>
      <c r="R359" s="2050">
        <f t="shared" si="53"/>
        <v>7.7603636187426842E-2</v>
      </c>
      <c r="S359" s="2050">
        <f t="shared" si="53"/>
        <v>9.2370805421794031E-2</v>
      </c>
      <c r="T359" s="2050">
        <f t="shared" si="53"/>
        <v>7.8883528535534472E-2</v>
      </c>
      <c r="U359" s="2050">
        <f t="shared" si="53"/>
        <v>7.0360579857364394E-2</v>
      </c>
      <c r="V359" s="2050">
        <f t="shared" si="53"/>
        <v>6.8503392490986525E-2</v>
      </c>
      <c r="W359" s="2050">
        <f t="shared" si="53"/>
        <v>8.0420146618745816E-2</v>
      </c>
    </row>
    <row r="360" spans="3:23">
      <c r="O360" s="2050"/>
      <c r="P360" s="2050">
        <f t="shared" ref="P360:W360" si="54">P353/P$4</f>
        <v>1.0396679897245202E-2</v>
      </c>
      <c r="Q360" s="2050">
        <f t="shared" si="54"/>
        <v>1.413454883566233E-2</v>
      </c>
      <c r="R360" s="2050">
        <f t="shared" si="54"/>
        <v>1.4121239196863549E-2</v>
      </c>
      <c r="S360" s="2050">
        <f t="shared" si="54"/>
        <v>2.0227209415902874E-2</v>
      </c>
      <c r="T360" s="2050">
        <f t="shared" si="54"/>
        <v>2.3753729631775824E-2</v>
      </c>
      <c r="U360" s="2050">
        <f t="shared" si="54"/>
        <v>2.6538215424043974E-2</v>
      </c>
      <c r="V360" s="2050">
        <f t="shared" si="54"/>
        <v>2.8580797881021767E-2</v>
      </c>
      <c r="W360" s="2050">
        <f t="shared" si="54"/>
        <v>2.1686720857323507E-2</v>
      </c>
    </row>
    <row r="361" spans="3:23">
      <c r="O361" s="2050"/>
      <c r="P361" s="2050">
        <f t="shared" ref="P361:W361" si="55">P354/P$4</f>
        <v>3.4195336404813745E-2</v>
      </c>
      <c r="Q361" s="2050">
        <f t="shared" si="55"/>
        <v>3.865239553988728E-2</v>
      </c>
      <c r="R361" s="2050">
        <f t="shared" si="55"/>
        <v>0</v>
      </c>
      <c r="S361" s="2050">
        <f t="shared" si="55"/>
        <v>0</v>
      </c>
      <c r="T361" s="2050">
        <f t="shared" si="55"/>
        <v>0</v>
      </c>
      <c r="U361" s="2050">
        <f t="shared" si="55"/>
        <v>0</v>
      </c>
      <c r="V361" s="2050">
        <f t="shared" si="55"/>
        <v>0</v>
      </c>
      <c r="W361" s="2050">
        <f t="shared" si="55"/>
        <v>0</v>
      </c>
    </row>
    <row r="362" spans="3:23">
      <c r="O362" s="2050"/>
      <c r="P362" s="2050">
        <f t="shared" ref="P362:W362" si="56">P355/P$4</f>
        <v>7.3000212369951616E-3</v>
      </c>
      <c r="Q362" s="2050">
        <f t="shared" si="56"/>
        <v>6.5250566382222793E-3</v>
      </c>
      <c r="R362" s="2050">
        <f t="shared" si="56"/>
        <v>5.0297859832383822E-2</v>
      </c>
      <c r="S362" s="2050">
        <f t="shared" si="56"/>
        <v>6.0031352196798837E-2</v>
      </c>
      <c r="T362" s="2050">
        <f t="shared" si="56"/>
        <v>7.4151113628771512E-2</v>
      </c>
      <c r="U362" s="2050">
        <f t="shared" si="56"/>
        <v>8.4637923903619086E-2</v>
      </c>
      <c r="V362" s="2050">
        <f t="shared" si="56"/>
        <v>8.9875721934095959E-2</v>
      </c>
      <c r="W362" s="2050">
        <f t="shared" si="56"/>
        <v>7.2192702658911909E-2</v>
      </c>
    </row>
    <row r="363" spans="3:23">
      <c r="O363" s="2050"/>
      <c r="P363" s="2050">
        <f t="shared" ref="P363:W363" si="57">P356/P$4</f>
        <v>0</v>
      </c>
      <c r="Q363" s="2050">
        <f t="shared" si="57"/>
        <v>0</v>
      </c>
      <c r="R363" s="2050">
        <f t="shared" si="57"/>
        <v>0</v>
      </c>
      <c r="S363" s="2050">
        <f t="shared" si="57"/>
        <v>0</v>
      </c>
      <c r="T363" s="2050">
        <f t="shared" si="57"/>
        <v>0</v>
      </c>
      <c r="U363" s="2050">
        <f t="shared" si="57"/>
        <v>0</v>
      </c>
      <c r="V363" s="2050">
        <f t="shared" si="57"/>
        <v>0</v>
      </c>
      <c r="W363" s="2050">
        <f t="shared" si="57"/>
        <v>0</v>
      </c>
    </row>
    <row r="364" spans="3:23">
      <c r="O364" s="2050"/>
      <c r="P364" s="2050"/>
      <c r="Q364" s="2050"/>
      <c r="R364" s="2050"/>
      <c r="S364" s="2050"/>
      <c r="T364" s="2050"/>
      <c r="U364" s="2050"/>
      <c r="V364" s="2050"/>
      <c r="W364" s="2050"/>
    </row>
    <row r="365" spans="3:23">
      <c r="O365" s="2050"/>
      <c r="P365" s="2050">
        <f>SUM(P352:P355)/P4</f>
        <v>0.12605642728006444</v>
      </c>
      <c r="Q365" s="2050">
        <f t="shared" ref="Q365:W365" si="58">SUM(Q352:Q355)/Q4</f>
        <v>0.13201393037713346</v>
      </c>
      <c r="R365" s="2050">
        <f t="shared" si="58"/>
        <v>0.14202273521667422</v>
      </c>
      <c r="S365" s="2050">
        <f t="shared" si="58"/>
        <v>0.17262936703449572</v>
      </c>
      <c r="T365" s="2050">
        <f t="shared" si="58"/>
        <v>0.17678837179608181</v>
      </c>
      <c r="U365" s="2050">
        <f t="shared" si="58"/>
        <v>0.18153671918502745</v>
      </c>
      <c r="V365" s="2050">
        <f t="shared" si="58"/>
        <v>0.18695991230610426</v>
      </c>
      <c r="W365" s="2050">
        <f t="shared" si="58"/>
        <v>0.17429957013498124</v>
      </c>
    </row>
    <row r="366" spans="3:23">
      <c r="C366" s="127" t="s">
        <v>1194</v>
      </c>
      <c r="O366" s="2050"/>
      <c r="P366" s="2050"/>
      <c r="Q366" s="2050"/>
      <c r="R366" s="2050"/>
      <c r="S366" s="2051">
        <f>S352-$R352</f>
        <v>2097.3904045290001</v>
      </c>
      <c r="T366" s="2051">
        <f t="shared" ref="T366:W366" si="59">T352-$R352</f>
        <v>1770.2764141700009</v>
      </c>
      <c r="U366" s="2051">
        <f t="shared" si="59"/>
        <v>1457.3446497170007</v>
      </c>
      <c r="V366" s="2051">
        <f t="shared" si="59"/>
        <v>173.47391501900074</v>
      </c>
      <c r="W366" s="2051">
        <f t="shared" si="59"/>
        <v>2874.6423517370004</v>
      </c>
    </row>
    <row r="367" spans="3:23">
      <c r="C367" s="127" t="s">
        <v>1195</v>
      </c>
      <c r="O367" s="2050"/>
      <c r="P367" s="2050"/>
      <c r="Q367" s="2050"/>
      <c r="R367" s="2050"/>
      <c r="S367" s="2051">
        <f t="shared" ref="S367:W369" si="60">S353-$R353</f>
        <v>752.75613208100003</v>
      </c>
      <c r="T367" s="2051">
        <f t="shared" si="60"/>
        <v>1477.8866694559997</v>
      </c>
      <c r="U367" s="2051">
        <f t="shared" si="60"/>
        <v>2097.4977873399998</v>
      </c>
      <c r="V367" s="2051">
        <f t="shared" si="60"/>
        <v>1937.7037883009998</v>
      </c>
      <c r="W367" s="2051">
        <f t="shared" si="60"/>
        <v>1470.5921425289998</v>
      </c>
    </row>
    <row r="368" spans="3:23">
      <c r="C368" s="127" t="s">
        <v>1196</v>
      </c>
      <c r="O368" s="2050"/>
      <c r="P368" s="2050"/>
      <c r="Q368" s="2050"/>
      <c r="R368" s="2050"/>
      <c r="S368" s="2051">
        <f t="shared" si="60"/>
        <v>0</v>
      </c>
      <c r="T368" s="2051">
        <f t="shared" si="60"/>
        <v>0</v>
      </c>
      <c r="U368" s="2051">
        <f t="shared" si="60"/>
        <v>0</v>
      </c>
      <c r="V368" s="2051">
        <f t="shared" si="60"/>
        <v>0</v>
      </c>
      <c r="W368" s="2051">
        <f t="shared" si="60"/>
        <v>0</v>
      </c>
    </row>
    <row r="369" spans="3:23">
      <c r="C369" s="127" t="s">
        <v>1197</v>
      </c>
      <c r="O369" s="2050"/>
      <c r="P369" s="2050"/>
      <c r="Q369" s="2050"/>
      <c r="R369" s="2050"/>
      <c r="S369" s="2051">
        <f t="shared" si="60"/>
        <v>1377.0185340739999</v>
      </c>
      <c r="T369" s="2051">
        <f t="shared" si="60"/>
        <v>3978.3346952139991</v>
      </c>
      <c r="U369" s="2051">
        <f t="shared" si="60"/>
        <v>6151.957612064999</v>
      </c>
      <c r="V369" s="2051">
        <f t="shared" si="60"/>
        <v>5491.3355756239989</v>
      </c>
      <c r="W369" s="2051">
        <f t="shared" si="60"/>
        <v>4559.3051004479994</v>
      </c>
    </row>
    <row r="370" spans="3:23">
      <c r="O370" s="2050"/>
      <c r="P370" s="2050"/>
      <c r="Q370" s="2050"/>
      <c r="R370" s="2050"/>
      <c r="S370" s="2051"/>
      <c r="T370" s="2051"/>
      <c r="U370" s="2051"/>
      <c r="V370" s="2051"/>
      <c r="W370" s="2051"/>
    </row>
    <row r="371" spans="3:23">
      <c r="O371" s="2050"/>
      <c r="P371" s="2050"/>
      <c r="Q371" s="2050"/>
      <c r="R371" s="2050"/>
      <c r="S371" s="2051"/>
      <c r="T371" s="2051">
        <f>(T365-(0.6*13%))/0.4</f>
        <v>0.24697092949020452</v>
      </c>
      <c r="U371" s="2051">
        <f t="shared" ref="U371:W371" si="61">(U365-(0.6*13%))/0.4</f>
        <v>0.25884179796256862</v>
      </c>
      <c r="V371" s="2051">
        <f t="shared" si="61"/>
        <v>0.27239978076526061</v>
      </c>
      <c r="W371" s="2051">
        <f t="shared" si="61"/>
        <v>0.24074892533745307</v>
      </c>
    </row>
    <row r="372" spans="3:23">
      <c r="O372" s="2050"/>
      <c r="P372" s="2050"/>
      <c r="Q372" s="2050"/>
      <c r="R372" s="2050"/>
      <c r="S372" s="2050"/>
      <c r="T372" s="2050"/>
      <c r="U372" s="2050"/>
      <c r="V372" s="2050"/>
      <c r="W372" s="2050"/>
    </row>
    <row r="373" spans="3:23">
      <c r="O373" s="2050"/>
      <c r="P373" s="2050"/>
      <c r="Q373" s="2050"/>
      <c r="R373" s="2050"/>
      <c r="S373" s="2050"/>
      <c r="T373" s="2050"/>
      <c r="U373" s="2050"/>
      <c r="V373" s="2050"/>
      <c r="W373" s="2050"/>
    </row>
  </sheetData>
  <phoneticPr fontId="64" type="noConversion"/>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tabColor theme="8"/>
  </sheetPr>
  <dimension ref="A1:FK361"/>
  <sheetViews>
    <sheetView zoomScale="80" zoomScaleNormal="80" workbookViewId="0">
      <pane xSplit="2" ySplit="1" topLeftCell="BM2" activePane="bottomRight" state="frozen"/>
      <selection pane="topRight" activeCell="C1" sqref="C1"/>
      <selection pane="bottomLeft" activeCell="A2" sqref="A2"/>
      <selection pane="bottomRight" activeCell="BP29" sqref="AP29:BP29"/>
    </sheetView>
  </sheetViews>
  <sheetFormatPr baseColWidth="10" defaultColWidth="9.1640625" defaultRowHeight="15" outlineLevelCol="1"/>
  <cols>
    <col min="1" max="1" width="2.5" style="129" customWidth="1"/>
    <col min="2" max="2" width="38.83203125" style="148" customWidth="1"/>
    <col min="3" max="3" width="41.83203125" style="129" customWidth="1"/>
    <col min="4" max="4" width="16.5" style="129" customWidth="1" outlineLevel="1"/>
    <col min="5" max="5" width="14.83203125" style="129" customWidth="1" outlineLevel="1"/>
    <col min="6" max="9" width="16.83203125" style="129" customWidth="1" outlineLevel="1"/>
    <col min="10" max="10" width="16.5" style="129" customWidth="1" outlineLevel="1"/>
    <col min="11" max="15" width="17.33203125" style="129" customWidth="1" outlineLevel="1"/>
    <col min="16" max="19" width="16.83203125" style="129" customWidth="1" outlineLevel="1"/>
    <col min="20" max="20" width="16.5" style="129" customWidth="1" outlineLevel="1"/>
    <col min="21" max="22" width="16.83203125" style="129" customWidth="1" outlineLevel="1"/>
    <col min="23" max="23" width="17.33203125" style="129" customWidth="1" outlineLevel="1"/>
    <col min="24" max="24" width="16.83203125" style="129" customWidth="1" outlineLevel="1"/>
    <col min="25" max="26" width="17.33203125" style="129" customWidth="1" outlineLevel="1"/>
    <col min="27" max="27" width="16.83203125" style="129" customWidth="1" outlineLevel="1"/>
    <col min="28" max="28" width="17.33203125" style="129" customWidth="1" outlineLevel="1"/>
    <col min="29" max="29" width="16.5" style="129" customWidth="1" outlineLevel="1"/>
    <col min="30" max="32" width="16.83203125" style="129" customWidth="1" outlineLevel="1"/>
    <col min="33" max="33" width="17.33203125" style="129" customWidth="1" outlineLevel="1"/>
    <col min="34" max="34" width="16.83203125" style="129" customWidth="1" outlineLevel="1"/>
    <col min="35" max="35" width="16.5" style="129" customWidth="1" outlineLevel="1"/>
    <col min="36" max="36" width="16.83203125" style="129" customWidth="1" outlineLevel="1"/>
    <col min="37" max="37" width="17.33203125" style="129" customWidth="1" outlineLevel="1"/>
    <col min="38" max="38" width="16.83203125" style="129" customWidth="1" outlineLevel="1"/>
    <col min="39" max="39" width="17.33203125" style="129" customWidth="1" outlineLevel="1"/>
    <col min="40" max="40" width="16.5" style="129" customWidth="1" outlineLevel="1"/>
    <col min="41" max="41" width="17.33203125" style="129" customWidth="1" outlineLevel="1"/>
    <col min="42" max="42" width="12.5" style="129" customWidth="1" outlineLevel="1" collapsed="1"/>
    <col min="43" max="43" width="10.1640625" style="129" customWidth="1" outlineLevel="1"/>
    <col min="44" max="45" width="10.6640625" style="129" customWidth="1" outlineLevel="1"/>
    <col min="46" max="46" width="12.5" style="129" customWidth="1" outlineLevel="1"/>
    <col min="47" max="47" width="11.6640625" style="129" customWidth="1" outlineLevel="1"/>
    <col min="48" max="48" width="10.6640625" style="129" customWidth="1" outlineLevel="1"/>
    <col min="49" max="50" width="11.6640625" style="129" customWidth="1" outlineLevel="1"/>
    <col min="51" max="53" width="12.5" style="129" customWidth="1" outlineLevel="1"/>
    <col min="54" max="54" width="11.6640625" style="129" customWidth="1" outlineLevel="1"/>
    <col min="55" max="55" width="12.33203125" style="129" customWidth="1" outlineLevel="1"/>
    <col min="56" max="56" width="10.6640625" style="129" customWidth="1" outlineLevel="1"/>
    <col min="57" max="57" width="8.5" style="129" customWidth="1" outlineLevel="1"/>
    <col min="58" max="58" width="14.33203125" style="129" customWidth="1" outlineLevel="1"/>
    <col min="59" max="61" width="17.33203125" style="129" customWidth="1" outlineLevel="1"/>
    <col min="62" max="62" width="11.5" style="288" customWidth="1"/>
    <col min="63" max="66" width="11.5" style="129" customWidth="1"/>
    <col min="67" max="73" width="11.5" style="288" customWidth="1"/>
    <col min="74" max="74" width="11.1640625" style="129" customWidth="1"/>
    <col min="75" max="77" width="11.5" style="129" customWidth="1"/>
    <col min="78" max="78" width="10.6640625" style="129" customWidth="1"/>
    <col min="79" max="81" width="11.1640625" style="129" customWidth="1"/>
    <col min="82" max="82" width="10.33203125" style="129" customWidth="1"/>
    <col min="83" max="86" width="10.6640625" style="129" customWidth="1"/>
    <col min="87" max="89" width="11.1640625" style="129" customWidth="1"/>
    <col min="90" max="90" width="10.6640625" style="129" customWidth="1"/>
    <col min="91" max="93" width="11.1640625" style="129" customWidth="1"/>
    <col min="94" max="94" width="10.6640625" style="129" customWidth="1"/>
    <col min="95" max="97" width="11.1640625" style="129" customWidth="1"/>
    <col min="98" max="98" width="10.6640625" style="129" customWidth="1"/>
    <col min="99" max="101" width="11.1640625" style="129" customWidth="1"/>
    <col min="102" max="102" width="10.6640625" style="129" customWidth="1"/>
    <col min="103" max="105" width="11.1640625" style="129" customWidth="1"/>
    <col min="106" max="106" width="10.6640625" style="129" hidden="1" customWidth="1" outlineLevel="1"/>
    <col min="107" max="109" width="11.1640625" style="129" hidden="1" customWidth="1" outlineLevel="1"/>
    <col min="110" max="110" width="10.6640625" style="129" hidden="1" customWidth="1" outlineLevel="1" collapsed="1"/>
    <col min="111" max="113" width="11.1640625" style="129" hidden="1" customWidth="1" outlineLevel="1"/>
    <col min="114" max="114" width="10.6640625" style="129" customWidth="1" collapsed="1"/>
    <col min="115" max="116" width="11.1640625" style="129" bestFit="1" customWidth="1"/>
    <col min="117" max="122" width="11.1640625" style="129" customWidth="1"/>
    <col min="123" max="123" width="9.1640625" style="129"/>
    <col min="124" max="124" width="10.6640625" style="129" hidden="1" customWidth="1" outlineLevel="1"/>
    <col min="125" max="127" width="11.1640625" style="129" hidden="1" customWidth="1" outlineLevel="1"/>
    <col min="128" max="128" width="10.33203125" style="129" hidden="1" customWidth="1" outlineLevel="1"/>
    <col min="129" max="132" width="10.6640625" style="129" hidden="1" customWidth="1" outlineLevel="1"/>
    <col min="133" max="135" width="11.1640625" style="129" hidden="1" customWidth="1" outlineLevel="1"/>
    <col min="136" max="136" width="10.6640625" style="129" hidden="1" customWidth="1" outlineLevel="1"/>
    <col min="137" max="139" width="11.1640625" style="129" hidden="1" customWidth="1" outlineLevel="1"/>
    <col min="140" max="140" width="10.6640625" style="129" hidden="1" customWidth="1" outlineLevel="1"/>
    <col min="141" max="143" width="11.1640625" style="129" hidden="1" customWidth="1" outlineLevel="1"/>
    <col min="144" max="144" width="10.6640625" style="129" hidden="1" customWidth="1" outlineLevel="1"/>
    <col min="145" max="147" width="11.1640625" style="129" hidden="1" customWidth="1" outlineLevel="1"/>
    <col min="148" max="148" width="10.6640625" style="129" hidden="1" customWidth="1" outlineLevel="1"/>
    <col min="149" max="151" width="11.1640625" style="129" hidden="1" customWidth="1" outlineLevel="1"/>
    <col min="152" max="152" width="10.6640625" style="129" hidden="1" customWidth="1" outlineLevel="1"/>
    <col min="153" max="155" width="11.1640625" style="129" hidden="1" customWidth="1" outlineLevel="1"/>
    <col min="156" max="156" width="10.6640625" style="129" hidden="1" customWidth="1" outlineLevel="1" collapsed="1"/>
    <col min="157" max="159" width="11.1640625" style="129" hidden="1" customWidth="1" outlineLevel="1"/>
    <col min="160" max="160" width="10.6640625" style="129" bestFit="1" customWidth="1" collapsed="1"/>
    <col min="161" max="163" width="11.1640625" style="129" bestFit="1" customWidth="1"/>
    <col min="164" max="164" width="9.1640625" style="129"/>
    <col min="165" max="165" width="11.33203125" style="129" bestFit="1" customWidth="1"/>
    <col min="166" max="172" width="9.1640625" style="129"/>
    <col min="173" max="174" width="10.5" style="129" bestFit="1" customWidth="1"/>
    <col min="175" max="16384" width="9.1640625" style="129"/>
  </cols>
  <sheetData>
    <row r="1" spans="1:167" ht="16">
      <c r="A1" s="129">
        <v>1</v>
      </c>
      <c r="B1" s="130" t="s">
        <v>722</v>
      </c>
      <c r="C1" s="150"/>
      <c r="D1" s="149" t="s">
        <v>1198</v>
      </c>
      <c r="E1" s="149" t="s">
        <v>1199</v>
      </c>
      <c r="F1" s="149" t="s">
        <v>1200</v>
      </c>
      <c r="G1" s="149" t="s">
        <v>1201</v>
      </c>
      <c r="H1" s="149" t="s">
        <v>1202</v>
      </c>
      <c r="I1" s="149" t="s">
        <v>1203</v>
      </c>
      <c r="J1" s="149" t="s">
        <v>1204</v>
      </c>
      <c r="K1" s="149" t="s">
        <v>1205</v>
      </c>
      <c r="L1" s="149" t="s">
        <v>1206</v>
      </c>
      <c r="M1" s="149" t="s">
        <v>1207</v>
      </c>
      <c r="N1" s="149" t="s">
        <v>1208</v>
      </c>
      <c r="O1" s="149" t="s">
        <v>1209</v>
      </c>
      <c r="P1" s="149" t="s">
        <v>1210</v>
      </c>
      <c r="Q1" s="149" t="s">
        <v>1211</v>
      </c>
      <c r="R1" s="149" t="s">
        <v>1212</v>
      </c>
      <c r="S1" s="149" t="s">
        <v>1213</v>
      </c>
      <c r="T1" s="149" t="s">
        <v>1214</v>
      </c>
      <c r="U1" s="149" t="s">
        <v>1215</v>
      </c>
      <c r="V1" s="149" t="s">
        <v>1216</v>
      </c>
      <c r="W1" s="149" t="s">
        <v>1217</v>
      </c>
      <c r="X1" s="149" t="s">
        <v>1218</v>
      </c>
      <c r="Y1" s="149" t="s">
        <v>1219</v>
      </c>
      <c r="Z1" s="149" t="s">
        <v>1220</v>
      </c>
      <c r="AA1" s="149" t="s">
        <v>1221</v>
      </c>
      <c r="AB1" s="149" t="s">
        <v>1222</v>
      </c>
      <c r="AC1" s="149" t="s">
        <v>1223</v>
      </c>
      <c r="AD1" s="149" t="s">
        <v>1224</v>
      </c>
      <c r="AE1" s="149" t="s">
        <v>1225</v>
      </c>
      <c r="AF1" s="149" t="s">
        <v>1226</v>
      </c>
      <c r="AG1" s="149" t="s">
        <v>1227</v>
      </c>
      <c r="AH1" s="149" t="s">
        <v>1228</v>
      </c>
      <c r="AI1" s="149" t="s">
        <v>1229</v>
      </c>
      <c r="AJ1" s="149" t="s">
        <v>1230</v>
      </c>
      <c r="AK1" s="149" t="s">
        <v>1231</v>
      </c>
      <c r="AL1" s="149" t="s">
        <v>1232</v>
      </c>
      <c r="AM1" s="149" t="s">
        <v>1233</v>
      </c>
      <c r="AN1" s="149" t="s">
        <v>1234</v>
      </c>
      <c r="AO1" s="149" t="s">
        <v>1235</v>
      </c>
      <c r="AP1" s="149" t="s">
        <v>75</v>
      </c>
      <c r="AQ1" s="149" t="s">
        <v>76</v>
      </c>
      <c r="AR1" s="149" t="s">
        <v>77</v>
      </c>
      <c r="AS1" s="149" t="s">
        <v>78</v>
      </c>
      <c r="AT1" s="149" t="s">
        <v>79</v>
      </c>
      <c r="AU1" s="149" t="s">
        <v>80</v>
      </c>
      <c r="AV1" s="149" t="s">
        <v>81</v>
      </c>
      <c r="AW1" s="149" t="s">
        <v>82</v>
      </c>
      <c r="AX1" s="149" t="str">
        <f t="shared" ref="AX1:BE1" si="0">LEFT(AT1,3)&amp;RIGHT(AT1,4)+1</f>
        <v>Q1/2020</v>
      </c>
      <c r="AY1" s="149" t="str">
        <f t="shared" si="0"/>
        <v>Q2/2020</v>
      </c>
      <c r="AZ1" s="149" t="str">
        <f t="shared" si="0"/>
        <v>Q3/2020</v>
      </c>
      <c r="BA1" s="149" t="str">
        <f t="shared" si="0"/>
        <v>Q4/2020</v>
      </c>
      <c r="BB1" s="149" t="str">
        <f t="shared" si="0"/>
        <v>Q1/2021</v>
      </c>
      <c r="BC1" s="149" t="str">
        <f t="shared" si="0"/>
        <v>Q2/2021</v>
      </c>
      <c r="BD1" s="149" t="str">
        <f t="shared" si="0"/>
        <v>Q3/2021</v>
      </c>
      <c r="BE1" s="149" t="str">
        <f t="shared" si="0"/>
        <v>Q4/2021</v>
      </c>
      <c r="BF1" s="149" t="str">
        <f t="shared" ref="BF1:BM1" si="1">LEFT(BB1,3)&amp;RIGHT(BB1,4)+1</f>
        <v>Q1/2022</v>
      </c>
      <c r="BG1" s="149" t="str">
        <f t="shared" si="1"/>
        <v>Q2/2022</v>
      </c>
      <c r="BH1" s="149" t="str">
        <f t="shared" si="1"/>
        <v>Q3/2022</v>
      </c>
      <c r="BI1" s="149" t="str">
        <f t="shared" si="1"/>
        <v>Q4/2022</v>
      </c>
      <c r="BJ1" s="291" t="str">
        <f t="shared" si="1"/>
        <v>Q1/2023</v>
      </c>
      <c r="BK1" s="149" t="str">
        <f t="shared" si="1"/>
        <v>Q2/2023</v>
      </c>
      <c r="BL1" s="149" t="str">
        <f t="shared" si="1"/>
        <v>Q3/2023</v>
      </c>
      <c r="BM1" s="149" t="str">
        <f t="shared" si="1"/>
        <v>Q4/2023</v>
      </c>
      <c r="BN1" s="291" t="str">
        <f t="shared" ref="BN1" si="2">LEFT(BJ1,3)&amp;RIGHT(BJ1,4)+1</f>
        <v>Q1/2024</v>
      </c>
      <c r="BO1" s="291" t="str">
        <f t="shared" ref="BO1" si="3">LEFT(BK1,3)&amp;RIGHT(BK1,4)+1</f>
        <v>Q2/2024</v>
      </c>
      <c r="BP1" s="291" t="str">
        <f t="shared" ref="BP1" si="4">LEFT(BL1,3)&amp;RIGHT(BL1,4)+1</f>
        <v>Q3/2024</v>
      </c>
      <c r="BQ1" s="291" t="str">
        <f t="shared" ref="BQ1" si="5">LEFT(BM1,3)&amp;RIGHT(BM1,4)+1</f>
        <v>Q4/2024</v>
      </c>
      <c r="BR1" s="291" t="str">
        <f t="shared" ref="BR1" si="6">LEFT(BN1,3)&amp;RIGHT(BN1,4)+1</f>
        <v>Q1/2025</v>
      </c>
      <c r="BS1" s="291" t="str">
        <f t="shared" ref="BS1" si="7">LEFT(BO1,3)&amp;RIGHT(BO1,4)+1</f>
        <v>Q2/2025</v>
      </c>
      <c r="BT1" s="291" t="str">
        <f t="shared" ref="BT1" si="8">LEFT(BP1,3)&amp;RIGHT(BP1,4)+1</f>
        <v>Q3/2025</v>
      </c>
      <c r="BU1" s="291"/>
      <c r="BV1" s="149"/>
      <c r="BW1" s="149"/>
      <c r="BX1" s="149"/>
      <c r="BY1" s="149"/>
      <c r="BZ1" s="149"/>
      <c r="CA1" s="149"/>
      <c r="CB1" s="149"/>
      <c r="CC1" s="149"/>
      <c r="CD1" s="149"/>
      <c r="CE1" s="149"/>
      <c r="CF1" s="149"/>
      <c r="CG1" s="149"/>
      <c r="CH1" s="149"/>
      <c r="CI1" s="149"/>
      <c r="CJ1" s="149"/>
      <c r="CK1" s="149"/>
      <c r="CL1" s="149"/>
      <c r="CM1" s="149"/>
      <c r="CN1" s="149"/>
      <c r="CO1" s="149"/>
      <c r="CP1" s="149"/>
      <c r="CQ1" s="149"/>
      <c r="CR1" s="149"/>
      <c r="CS1" s="149"/>
      <c r="CT1" s="149"/>
      <c r="CU1" s="149"/>
      <c r="CV1" s="149"/>
      <c r="CW1" s="149"/>
      <c r="CX1" s="149"/>
      <c r="CY1" s="149"/>
      <c r="CZ1" s="149"/>
      <c r="DA1" s="149"/>
      <c r="DB1" s="149"/>
      <c r="DC1" s="149"/>
      <c r="DD1" s="149"/>
      <c r="DE1" s="149"/>
      <c r="DF1" s="149"/>
      <c r="DG1" s="149"/>
      <c r="DH1" s="149"/>
      <c r="DI1" s="149"/>
      <c r="DJ1" s="149"/>
      <c r="DK1" s="149"/>
      <c r="DL1" s="149"/>
      <c r="DM1" s="149"/>
      <c r="DN1" s="149"/>
      <c r="DO1" s="149"/>
      <c r="DP1" s="149"/>
      <c r="DQ1" s="149"/>
      <c r="DR1" s="149"/>
      <c r="DS1" s="133"/>
      <c r="DT1" s="149" t="s">
        <v>1204</v>
      </c>
      <c r="DU1" s="149" t="s">
        <v>1205</v>
      </c>
      <c r="DV1" s="149" t="s">
        <v>1206</v>
      </c>
      <c r="DW1" s="149" t="s">
        <v>1207</v>
      </c>
      <c r="DX1" s="149" t="s">
        <v>1208</v>
      </c>
      <c r="DY1" s="149" t="s">
        <v>1209</v>
      </c>
      <c r="DZ1" s="149" t="s">
        <v>1210</v>
      </c>
      <c r="EA1" s="149" t="s">
        <v>1211</v>
      </c>
      <c r="EB1" s="149" t="s">
        <v>1212</v>
      </c>
      <c r="EC1" s="149" t="s">
        <v>1213</v>
      </c>
      <c r="ED1" s="149" t="s">
        <v>1214</v>
      </c>
      <c r="EE1" s="149" t="s">
        <v>1215</v>
      </c>
      <c r="EF1" s="149" t="s">
        <v>1216</v>
      </c>
      <c r="EG1" s="149" t="s">
        <v>1217</v>
      </c>
      <c r="EH1" s="149" t="s">
        <v>1218</v>
      </c>
      <c r="EI1" s="149" t="s">
        <v>1219</v>
      </c>
      <c r="EJ1" s="149" t="s">
        <v>1220</v>
      </c>
      <c r="EK1" s="149" t="s">
        <v>1221</v>
      </c>
      <c r="EL1" s="149" t="s">
        <v>1222</v>
      </c>
      <c r="EM1" s="149" t="s">
        <v>1223</v>
      </c>
      <c r="EN1" s="149" t="s">
        <v>1224</v>
      </c>
      <c r="EO1" s="149" t="s">
        <v>1225</v>
      </c>
      <c r="EP1" s="149" t="s">
        <v>1226</v>
      </c>
      <c r="EQ1" s="149" t="s">
        <v>1227</v>
      </c>
      <c r="ER1" s="149" t="s">
        <v>1228</v>
      </c>
      <c r="ES1" s="149" t="s">
        <v>1229</v>
      </c>
      <c r="ET1" s="149" t="s">
        <v>1230</v>
      </c>
      <c r="EU1" s="149" t="s">
        <v>1231</v>
      </c>
      <c r="EV1" s="149" t="s">
        <v>1232</v>
      </c>
      <c r="EW1" s="149" t="s">
        <v>1233</v>
      </c>
      <c r="EX1" s="149" t="s">
        <v>1234</v>
      </c>
      <c r="EY1" s="149" t="s">
        <v>1235</v>
      </c>
      <c r="EZ1" s="149" t="s">
        <v>75</v>
      </c>
      <c r="FA1" s="149" t="s">
        <v>76</v>
      </c>
      <c r="FB1" s="149" t="s">
        <v>77</v>
      </c>
      <c r="FC1" s="149" t="s">
        <v>78</v>
      </c>
      <c r="FD1" s="149" t="s">
        <v>79</v>
      </c>
      <c r="FE1" s="149" t="s">
        <v>80</v>
      </c>
      <c r="FF1" s="149" t="s">
        <v>81</v>
      </c>
      <c r="FG1" s="169">
        <f>DM1</f>
        <v>0</v>
      </c>
      <c r="FH1" s="160" t="str">
        <f>LEFT(FD1,3)&amp;RIGHT(FD1,4)+1</f>
        <v>Q1/2020</v>
      </c>
      <c r="FI1" s="160" t="str">
        <f>LEFT(FE1,3)&amp;RIGHT(FE1,4)+1</f>
        <v>Q2/2020</v>
      </c>
      <c r="FJ1" s="160" t="str">
        <f>LEFT(FF1,3)&amp;RIGHT(FF1,4)+1</f>
        <v>Q3/2020</v>
      </c>
      <c r="FK1" s="160" t="str">
        <f>LEFT(FG1,3)&amp;RIGHT(FG1,4)+1</f>
        <v>01</v>
      </c>
    </row>
    <row r="2" spans="1:167" s="136" customFormat="1" ht="16">
      <c r="B2" s="154" t="str">
        <f>'FS Year'!B2</f>
        <v>Revenue</v>
      </c>
      <c r="C2" s="134" t="s">
        <v>737</v>
      </c>
      <c r="D2" s="135"/>
      <c r="E2" s="135"/>
      <c r="F2" s="135"/>
      <c r="G2" s="135"/>
      <c r="H2" s="135"/>
      <c r="I2" s="135"/>
      <c r="J2" s="135"/>
      <c r="K2" s="135"/>
      <c r="L2" s="135"/>
      <c r="M2" s="135"/>
      <c r="N2" s="135"/>
      <c r="O2" s="135"/>
      <c r="P2" s="135"/>
      <c r="Q2" s="135"/>
      <c r="R2" s="135"/>
      <c r="S2" s="135"/>
      <c r="T2" s="135"/>
      <c r="U2" s="135"/>
      <c r="V2" s="135"/>
      <c r="W2" s="135"/>
      <c r="X2" s="135"/>
      <c r="Y2" s="135"/>
      <c r="Z2" s="135">
        <v>3506.0183796820002</v>
      </c>
      <c r="AA2" s="135">
        <v>3505.2511121520001</v>
      </c>
      <c r="AB2" s="135">
        <v>3965.5533648430001</v>
      </c>
      <c r="AC2" s="135">
        <v>4859.8263915770003</v>
      </c>
      <c r="AD2" s="135">
        <v>5524.5006812499996</v>
      </c>
      <c r="AE2" s="135">
        <v>5393.8818047240002</v>
      </c>
      <c r="AF2" s="135">
        <v>6680.8446784340003</v>
      </c>
      <c r="AG2" s="135">
        <v>7788.8448543220002</v>
      </c>
      <c r="AH2" s="135">
        <v>9686.5592060639992</v>
      </c>
      <c r="AI2" s="135">
        <v>10088.490300471</v>
      </c>
      <c r="AJ2" s="135">
        <v>11485.627403054001</v>
      </c>
      <c r="AK2" s="135">
        <v>14351.999892427</v>
      </c>
      <c r="AL2" s="135">
        <v>15920.424482973</v>
      </c>
      <c r="AM2" s="135">
        <v>16011.968765655</v>
      </c>
      <c r="AN2" s="135">
        <v>16737.183159438999</v>
      </c>
      <c r="AO2" s="135">
        <v>19028.964278642001</v>
      </c>
      <c r="AP2" s="170">
        <v>23073.465470685001</v>
      </c>
      <c r="AQ2" s="170">
        <v>22127.707569982002</v>
      </c>
      <c r="AR2" s="170">
        <v>21211.714779753998</v>
      </c>
      <c r="AS2" s="155">
        <v>21325.491158215002</v>
      </c>
      <c r="AT2" s="155">
        <v>25309.615197439001</v>
      </c>
      <c r="AU2" s="155">
        <v>26974.108534093</v>
      </c>
      <c r="AV2" s="155">
        <v>25485.647042510001</v>
      </c>
      <c r="AW2" s="155">
        <v>25715.675898404999</v>
      </c>
      <c r="AX2" s="155">
        <v>29673.745407169001</v>
      </c>
      <c r="AY2" s="155">
        <v>26593.356800951999</v>
      </c>
      <c r="AZ2" s="155">
        <v>26021.650222198001</v>
      </c>
      <c r="BA2" s="155">
        <v>27512.501260337001</v>
      </c>
      <c r="BB2" s="40">
        <v>31156.445464032</v>
      </c>
      <c r="BC2" s="40">
        <v>31982.973207654999</v>
      </c>
      <c r="BD2" s="155">
        <v>24504.825927283</v>
      </c>
      <c r="BE2" s="155">
        <v>36497.281090978002</v>
      </c>
      <c r="BF2" s="155">
        <v>36819.173885618999</v>
      </c>
      <c r="BG2" s="287">
        <v>34702.840342035997</v>
      </c>
      <c r="BH2" s="287">
        <v>32322.456456197</v>
      </c>
      <c r="BI2" s="287">
        <v>30877.778203704998</v>
      </c>
      <c r="BJ2" s="287">
        <v>27335.086613676001</v>
      </c>
      <c r="BK2" s="287">
        <v>29725.046708024001</v>
      </c>
      <c r="BL2" s="287">
        <v>30520.841321411001</v>
      </c>
      <c r="BM2" s="287">
        <v>31653.210181974999</v>
      </c>
      <c r="BN2" s="287">
        <v>31685.02</v>
      </c>
      <c r="BO2" s="287">
        <v>34384.590572936999</v>
      </c>
      <c r="BP2" s="287">
        <v>34361.57</v>
      </c>
      <c r="BQ2" s="287">
        <v>34793.923302149</v>
      </c>
      <c r="BR2" s="287">
        <v>36332.913479242001</v>
      </c>
      <c r="BS2" s="287">
        <v>37844.160678840002</v>
      </c>
      <c r="BT2" s="287">
        <v>40091.343632319004</v>
      </c>
      <c r="BU2" s="287"/>
      <c r="BV2" s="171"/>
      <c r="BW2" s="171"/>
      <c r="BX2" s="171"/>
      <c r="BY2" s="171"/>
      <c r="BZ2" s="171"/>
      <c r="CA2" s="171"/>
      <c r="CB2" s="171"/>
      <c r="CC2" s="171"/>
      <c r="CD2" s="171"/>
      <c r="CE2" s="171"/>
      <c r="CF2" s="171"/>
      <c r="CG2" s="171"/>
      <c r="CH2" s="171"/>
      <c r="CI2" s="171"/>
      <c r="CJ2" s="171"/>
      <c r="CK2" s="171"/>
      <c r="CL2" s="171"/>
      <c r="CM2" s="171"/>
      <c r="CN2" s="171"/>
      <c r="CO2" s="171"/>
      <c r="CP2" s="171"/>
      <c r="CQ2" s="171"/>
      <c r="CR2" s="171"/>
      <c r="CS2" s="171"/>
      <c r="CT2" s="171"/>
      <c r="CU2" s="171"/>
      <c r="CV2" s="171"/>
      <c r="CW2" s="171"/>
      <c r="CX2" s="171"/>
      <c r="CY2" s="171"/>
      <c r="CZ2" s="171"/>
      <c r="DA2" s="171"/>
      <c r="DB2" s="171"/>
      <c r="DC2" s="171"/>
      <c r="DD2" s="171"/>
      <c r="DE2" s="171"/>
      <c r="DF2" s="139"/>
      <c r="DG2" s="139"/>
      <c r="DH2" s="139"/>
      <c r="DI2" s="139"/>
      <c r="DJ2" s="139"/>
      <c r="DK2" s="139"/>
      <c r="DL2" s="139"/>
      <c r="DM2" s="139"/>
      <c r="DN2" s="139"/>
      <c r="DO2" s="139"/>
      <c r="DP2" s="139"/>
      <c r="DQ2" s="139"/>
      <c r="DR2" s="139"/>
      <c r="DS2" s="172"/>
      <c r="DT2" s="139" t="str">
        <f t="shared" ref="DT2:FK2" si="9">IFERROR(J2/F2-1,"")</f>
        <v/>
      </c>
      <c r="DU2" s="139" t="str">
        <f t="shared" si="9"/>
        <v/>
      </c>
      <c r="DV2" s="139" t="str">
        <f t="shared" si="9"/>
        <v/>
      </c>
      <c r="DW2" s="139" t="str">
        <f t="shared" si="9"/>
        <v/>
      </c>
      <c r="DX2" s="139" t="str">
        <f t="shared" si="9"/>
        <v/>
      </c>
      <c r="DY2" s="139" t="str">
        <f t="shared" si="9"/>
        <v/>
      </c>
      <c r="DZ2" s="139" t="str">
        <f t="shared" si="9"/>
        <v/>
      </c>
      <c r="EA2" s="139" t="str">
        <f t="shared" si="9"/>
        <v/>
      </c>
      <c r="EB2" s="139" t="str">
        <f t="shared" si="9"/>
        <v/>
      </c>
      <c r="EC2" s="139" t="str">
        <f t="shared" si="9"/>
        <v/>
      </c>
      <c r="ED2" s="139" t="str">
        <f t="shared" si="9"/>
        <v/>
      </c>
      <c r="EE2" s="139" t="str">
        <f t="shared" si="9"/>
        <v/>
      </c>
      <c r="EF2" s="139" t="str">
        <f t="shared" si="9"/>
        <v/>
      </c>
      <c r="EG2" s="139" t="str">
        <f t="shared" si="9"/>
        <v/>
      </c>
      <c r="EH2" s="139" t="str">
        <f t="shared" si="9"/>
        <v/>
      </c>
      <c r="EI2" s="139" t="str">
        <f t="shared" si="9"/>
        <v/>
      </c>
      <c r="EJ2" s="139" t="str">
        <f t="shared" si="9"/>
        <v/>
      </c>
      <c r="EK2" s="139" t="str">
        <f t="shared" si="9"/>
        <v/>
      </c>
      <c r="EL2" s="139" t="str">
        <f t="shared" si="9"/>
        <v/>
      </c>
      <c r="EM2" s="139" t="str">
        <f t="shared" si="9"/>
        <v/>
      </c>
      <c r="EN2" s="139">
        <f t="shared" si="9"/>
        <v>0.57571925842301996</v>
      </c>
      <c r="EO2" s="139">
        <f t="shared" si="9"/>
        <v>0.53880039750204989</v>
      </c>
      <c r="EP2" s="139">
        <f t="shared" si="9"/>
        <v>0.68471939822161532</v>
      </c>
      <c r="EQ2" s="139">
        <f t="shared" si="9"/>
        <v>0.60270022563389181</v>
      </c>
      <c r="ER2" s="139">
        <f t="shared" si="9"/>
        <v>0.75338184660559637</v>
      </c>
      <c r="ES2" s="139">
        <f t="shared" si="9"/>
        <v>0.87035805857581594</v>
      </c>
      <c r="ET2" s="139">
        <f t="shared" si="9"/>
        <v>0.7191879104943133</v>
      </c>
      <c r="EU2" s="139">
        <f t="shared" si="9"/>
        <v>0.84263522523023826</v>
      </c>
      <c r="EV2" s="139">
        <f t="shared" si="9"/>
        <v>0.64355826917430736</v>
      </c>
      <c r="EW2" s="139">
        <f t="shared" si="9"/>
        <v>0.58715211976835135</v>
      </c>
      <c r="EX2" s="139">
        <f t="shared" si="9"/>
        <v>0.45722846232924308</v>
      </c>
      <c r="EY2" s="139">
        <f t="shared" si="9"/>
        <v>0.32587544741293195</v>
      </c>
      <c r="EZ2" s="139">
        <f t="shared" si="9"/>
        <v>0.4492996399287108</v>
      </c>
      <c r="FA2" s="139">
        <f t="shared" si="9"/>
        <v>0.38194795991889552</v>
      </c>
      <c r="FB2" s="139">
        <f t="shared" si="9"/>
        <v>0.26734078116314164</v>
      </c>
      <c r="FC2" s="139">
        <f t="shared" si="9"/>
        <v>0.12068585793450715</v>
      </c>
      <c r="FD2" s="139">
        <f t="shared" si="9"/>
        <v>9.6914342130142606E-2</v>
      </c>
      <c r="FE2" s="139">
        <f t="shared" si="9"/>
        <v>0.21901956851081716</v>
      </c>
      <c r="FF2" s="139">
        <f t="shared" si="9"/>
        <v>0.2014892387123437</v>
      </c>
      <c r="FG2" s="139">
        <f t="shared" si="9"/>
        <v>0.20586558628914919</v>
      </c>
      <c r="FH2" s="139">
        <f t="shared" si="9"/>
        <v>0.17242973374686432</v>
      </c>
      <c r="FI2" s="139">
        <f t="shared" si="9"/>
        <v>-1.4115451958672254E-2</v>
      </c>
      <c r="FJ2" s="139">
        <f t="shared" si="9"/>
        <v>2.1031570389166365E-2</v>
      </c>
      <c r="FK2" s="139">
        <f t="shared" si="9"/>
        <v>6.9872764341514015E-2</v>
      </c>
    </row>
    <row r="3" spans="1:167" ht="16">
      <c r="B3" s="140" t="str">
        <f>'FS Year'!B3</f>
        <v>Revenue Deductions</v>
      </c>
      <c r="C3" s="127" t="s">
        <v>739</v>
      </c>
      <c r="D3" s="128"/>
      <c r="E3" s="128"/>
      <c r="F3" s="128"/>
      <c r="G3" s="128"/>
      <c r="H3" s="128"/>
      <c r="I3" s="128"/>
      <c r="J3" s="128"/>
      <c r="K3" s="128"/>
      <c r="L3" s="128"/>
      <c r="M3" s="128"/>
      <c r="N3" s="128"/>
      <c r="O3" s="128"/>
      <c r="P3" s="128"/>
      <c r="Q3" s="128"/>
      <c r="R3" s="128"/>
      <c r="S3" s="128"/>
      <c r="T3" s="128"/>
      <c r="U3" s="128"/>
      <c r="V3" s="128"/>
      <c r="W3" s="128"/>
      <c r="X3" s="128"/>
      <c r="Y3" s="128"/>
      <c r="Z3" s="128">
        <v>-18.192893216000002</v>
      </c>
      <c r="AA3" s="128">
        <v>-18.188911828999998</v>
      </c>
      <c r="AB3" s="128">
        <v>-20.430857516</v>
      </c>
      <c r="AC3" s="128">
        <v>-23.110729017000001</v>
      </c>
      <c r="AD3" s="128">
        <v>-28.020133336000001</v>
      </c>
      <c r="AE3" s="128">
        <v>-30.610602032999999</v>
      </c>
      <c r="AF3" s="128">
        <v>-34.123771058999999</v>
      </c>
      <c r="AG3" s="128">
        <v>-42.584433058000002</v>
      </c>
      <c r="AH3" s="128">
        <v>-59.544794189999998</v>
      </c>
      <c r="AI3" s="128">
        <v>-65.906863247000004</v>
      </c>
      <c r="AJ3" s="128">
        <v>-359.31989528899999</v>
      </c>
      <c r="AK3" s="128">
        <v>-514.57257630200002</v>
      </c>
      <c r="AL3" s="128">
        <v>-334.387675032</v>
      </c>
      <c r="AM3" s="128">
        <v>-357.72332811000001</v>
      </c>
      <c r="AN3" s="128">
        <v>-356.36158859900002</v>
      </c>
      <c r="AO3" s="128">
        <v>-310.26390278999997</v>
      </c>
      <c r="AP3" s="173">
        <v>-309.94572011499997</v>
      </c>
      <c r="AQ3" s="173">
        <v>-320.77374824499998</v>
      </c>
      <c r="AR3" s="173">
        <v>-304.132083712</v>
      </c>
      <c r="AS3" s="288">
        <v>-287.24042406500001</v>
      </c>
      <c r="AT3" s="288">
        <v>-292.20552747400001</v>
      </c>
      <c r="AU3" s="288">
        <v>-370.34955918600002</v>
      </c>
      <c r="AV3" s="288">
        <v>-343.56110217000003</v>
      </c>
      <c r="AW3" s="158">
        <v>-304.68650689399999</v>
      </c>
      <c r="AX3" s="158">
        <v>-320.53198765299999</v>
      </c>
      <c r="AY3" s="158">
        <v>-307.79778818900002</v>
      </c>
      <c r="AZ3" s="158">
        <v>-308.096336624</v>
      </c>
      <c r="BA3" s="158">
        <v>-318.807912778</v>
      </c>
      <c r="BB3" s="41">
        <v>-328.30164915900002</v>
      </c>
      <c r="BC3" s="41">
        <v>-324.55435455000003</v>
      </c>
      <c r="BD3" s="158">
        <v>-171.61240158999999</v>
      </c>
      <c r="BE3" s="158">
        <v>-358.951181475</v>
      </c>
      <c r="BF3" s="288">
        <v>-352.49726696900001</v>
      </c>
      <c r="BG3" s="289">
        <v>-365.100370263</v>
      </c>
      <c r="BH3" s="289">
        <v>-310.47660857</v>
      </c>
      <c r="BI3" s="289">
        <v>-289.39705123099998</v>
      </c>
      <c r="BJ3" s="289">
        <v>-229.274591227</v>
      </c>
      <c r="BK3" s="289">
        <v>-260.21626413299998</v>
      </c>
      <c r="BL3" s="289">
        <v>-233.18403445800001</v>
      </c>
      <c r="BM3" s="289">
        <v>-231.72147982600001</v>
      </c>
      <c r="BN3" s="289">
        <v>-198.53</v>
      </c>
      <c r="BO3" s="289">
        <v>-250.51903898500001</v>
      </c>
      <c r="BP3" s="289">
        <v>-214.9</v>
      </c>
      <c r="BQ3" s="289">
        <v>-220.00252481699999</v>
      </c>
      <c r="BR3" s="289">
        <v>-197.95506103299999</v>
      </c>
      <c r="BS3" s="289">
        <v>-224.19201887</v>
      </c>
      <c r="BT3" s="289">
        <v>-238.83647967300001</v>
      </c>
      <c r="BU3" s="289"/>
      <c r="BV3" s="174"/>
      <c r="BW3" s="174"/>
      <c r="BX3" s="174"/>
      <c r="BY3" s="174"/>
      <c r="BZ3" s="174"/>
      <c r="CA3" s="174"/>
      <c r="CB3" s="174"/>
      <c r="CC3" s="174"/>
      <c r="CD3" s="174"/>
      <c r="CE3" s="174"/>
      <c r="CF3" s="174"/>
      <c r="CG3" s="174"/>
      <c r="CH3" s="174"/>
      <c r="CI3" s="174"/>
      <c r="CJ3" s="174"/>
      <c r="CK3" s="174"/>
      <c r="CL3" s="174"/>
      <c r="CM3" s="174"/>
      <c r="CN3" s="174"/>
      <c r="CO3" s="174"/>
      <c r="CP3" s="174"/>
      <c r="CQ3" s="174"/>
      <c r="CR3" s="174"/>
      <c r="CS3" s="174"/>
      <c r="CT3" s="174"/>
      <c r="CU3" s="174"/>
      <c r="CV3" s="174"/>
      <c r="CW3" s="174"/>
      <c r="CX3" s="174"/>
      <c r="CY3" s="174"/>
      <c r="CZ3" s="174"/>
      <c r="DA3" s="174"/>
      <c r="DB3" s="174"/>
      <c r="DC3" s="174"/>
      <c r="DD3" s="174"/>
      <c r="DE3" s="174"/>
      <c r="DF3" s="142"/>
      <c r="DG3" s="142"/>
      <c r="DH3" s="142"/>
      <c r="DI3" s="142"/>
      <c r="DJ3" s="142"/>
      <c r="DK3" s="142"/>
      <c r="DL3" s="142"/>
      <c r="DM3" s="142"/>
      <c r="DN3" s="142"/>
      <c r="DO3" s="142"/>
      <c r="DP3" s="142"/>
      <c r="DQ3" s="142"/>
      <c r="DR3" s="142"/>
      <c r="DS3" s="175"/>
      <c r="DT3" s="142" t="str">
        <f t="shared" ref="DT3:DT26" si="10">IFERROR(J3/F3-1,"")</f>
        <v/>
      </c>
      <c r="DU3" s="142" t="str">
        <f t="shared" ref="DU3:DU26" si="11">IFERROR(K3/G3-1,"")</f>
        <v/>
      </c>
      <c r="DV3" s="142" t="str">
        <f t="shared" ref="DV3:DV26" si="12">IFERROR(L3/H3-1,"")</f>
        <v/>
      </c>
      <c r="DW3" s="142" t="str">
        <f t="shared" ref="DW3:DW26" si="13">IFERROR(M3/I3-1,"")</f>
        <v/>
      </c>
      <c r="DX3" s="142" t="str">
        <f t="shared" ref="DX3:DX26" si="14">IFERROR(N3/J3-1,"")</f>
        <v/>
      </c>
      <c r="DY3" s="142" t="str">
        <f t="shared" ref="DY3:DY26" si="15">IFERROR(O3/K3-1,"")</f>
        <v/>
      </c>
      <c r="DZ3" s="142" t="str">
        <f t="shared" ref="DZ3:DZ26" si="16">IFERROR(P3/L3-1,"")</f>
        <v/>
      </c>
      <c r="EA3" s="142" t="str">
        <f t="shared" ref="EA3:EA26" si="17">IFERROR(Q3/M3-1,"")</f>
        <v/>
      </c>
      <c r="EB3" s="142" t="str">
        <f t="shared" ref="EB3:EB26" si="18">IFERROR(R3/N3-1,"")</f>
        <v/>
      </c>
      <c r="EC3" s="142" t="str">
        <f t="shared" ref="EC3:EC26" si="19">IFERROR(S3/O3-1,"")</f>
        <v/>
      </c>
      <c r="ED3" s="142" t="str">
        <f t="shared" ref="ED3:ED26" si="20">IFERROR(T3/P3-1,"")</f>
        <v/>
      </c>
      <c r="EE3" s="142" t="str">
        <f t="shared" ref="EE3:EE26" si="21">IFERROR(U3/Q3-1,"")</f>
        <v/>
      </c>
      <c r="EF3" s="142" t="str">
        <f t="shared" ref="EF3:EF26" si="22">IFERROR(V3/R3-1,"")</f>
        <v/>
      </c>
      <c r="EG3" s="142" t="str">
        <f t="shared" ref="EG3:EG26" si="23">IFERROR(W3/S3-1,"")</f>
        <v/>
      </c>
      <c r="EH3" s="142" t="str">
        <f t="shared" ref="EH3:EH26" si="24">IFERROR(X3/T3-1,"")</f>
        <v/>
      </c>
      <c r="EI3" s="142" t="str">
        <f t="shared" ref="EI3:EI26" si="25">IFERROR(Y3/U3-1,"")</f>
        <v/>
      </c>
      <c r="EJ3" s="142" t="str">
        <f t="shared" ref="EJ3:EJ26" si="26">IFERROR(Z3/V3-1,"")</f>
        <v/>
      </c>
      <c r="EK3" s="142" t="str">
        <f t="shared" ref="EK3:EK26" si="27">IFERROR(AA3/W3-1,"")</f>
        <v/>
      </c>
      <c r="EL3" s="142" t="str">
        <f t="shared" ref="EL3:EL26" si="28">IFERROR(AB3/X3-1,"")</f>
        <v/>
      </c>
      <c r="EM3" s="142" t="str">
        <f t="shared" ref="EM3:EM26" si="29">IFERROR(AC3/Y3-1,"")</f>
        <v/>
      </c>
      <c r="EN3" s="142">
        <f t="shared" ref="EN3:EN26" si="30">IFERROR(AD3/Z3-1,"")</f>
        <v>0.54016917503573825</v>
      </c>
      <c r="EO3" s="142">
        <f t="shared" ref="EO3:EO26" si="31">IFERROR(AE3/AA3-1,"")</f>
        <v>0.68292651703303831</v>
      </c>
      <c r="EP3" s="142">
        <f t="shared" ref="EP3:EP26" si="32">IFERROR(AF3/AB3-1,"")</f>
        <v>0.67020748063446089</v>
      </c>
      <c r="EQ3" s="142">
        <f t="shared" ref="EQ3:EQ26" si="33">IFERROR(AG3/AC3-1,"")</f>
        <v>0.84262612515058954</v>
      </c>
      <c r="ER3" s="142">
        <f t="shared" ref="ER3:ER26" si="34">IFERROR(AH3/AD3-1,"")</f>
        <v>1.1250717645050394</v>
      </c>
      <c r="ES3" s="142">
        <f t="shared" ref="ES3:ES26" si="35">IFERROR(AI3/AE3-1,"")</f>
        <v>1.1530730815404611</v>
      </c>
      <c r="ET3" s="142">
        <f t="shared" ref="ET3:ET26" si="36">IFERROR(AJ3/AF3-1,"")</f>
        <v>9.5298999535466322</v>
      </c>
      <c r="EU3" s="142">
        <f t="shared" ref="EU3:EU26" si="37">IFERROR(AK3/AG3-1,"")</f>
        <v>11.083584055261511</v>
      </c>
      <c r="EV3" s="142">
        <f t="shared" ref="EV3:EV26" si="38">IFERROR(AL3/AH3-1,"")</f>
        <v>4.6157331565377611</v>
      </c>
      <c r="EW3" s="142">
        <f t="shared" ref="EW3:EW26" si="39">IFERROR(AM3/AI3-1,"")</f>
        <v>4.4277098087547522</v>
      </c>
      <c r="EX3" s="142">
        <f t="shared" ref="EX3:EX26" si="40">IFERROR(AN3/AJ3-1,"")</f>
        <v>-8.2330723368952974E-3</v>
      </c>
      <c r="EY3" s="142">
        <f t="shared" ref="EY3:EY26" si="41">IFERROR(AO3/AK3-1,"")</f>
        <v>-0.39704539829983543</v>
      </c>
      <c r="EZ3" s="142"/>
      <c r="FA3" s="142"/>
      <c r="FB3" s="142"/>
      <c r="FC3" s="142"/>
      <c r="FD3" s="142"/>
      <c r="FE3" s="142"/>
      <c r="FF3" s="142"/>
      <c r="FG3" s="142"/>
      <c r="FH3" s="142"/>
      <c r="FI3" s="142"/>
      <c r="FJ3" s="142"/>
      <c r="FK3" s="142"/>
    </row>
    <row r="4" spans="1:167" s="136" customFormat="1" ht="16">
      <c r="B4" s="154" t="str">
        <f>'FS Year'!B4</f>
        <v>Net Revenue</v>
      </c>
      <c r="C4" s="134" t="s">
        <v>394</v>
      </c>
      <c r="D4" s="135"/>
      <c r="E4" s="135"/>
      <c r="F4" s="135"/>
      <c r="G4" s="135"/>
      <c r="H4" s="135"/>
      <c r="I4" s="135"/>
      <c r="J4" s="135"/>
      <c r="K4" s="135"/>
      <c r="L4" s="135"/>
      <c r="M4" s="135"/>
      <c r="N4" s="135"/>
      <c r="O4" s="135"/>
      <c r="P4" s="135"/>
      <c r="Q4" s="135"/>
      <c r="R4" s="135"/>
      <c r="S4" s="135"/>
      <c r="T4" s="135"/>
      <c r="U4" s="135"/>
      <c r="V4" s="135"/>
      <c r="W4" s="135"/>
      <c r="X4" s="135"/>
      <c r="Y4" s="135"/>
      <c r="Z4" s="135">
        <v>3487.8254864659998</v>
      </c>
      <c r="AA4" s="135">
        <v>3487.0622003230001</v>
      </c>
      <c r="AB4" s="135">
        <v>3945.1225073270002</v>
      </c>
      <c r="AC4" s="135">
        <v>4836.7156625600001</v>
      </c>
      <c r="AD4" s="135">
        <v>5496.4805479140005</v>
      </c>
      <c r="AE4" s="135">
        <v>5363.2712026910003</v>
      </c>
      <c r="AF4" s="135">
        <v>6646.720907375</v>
      </c>
      <c r="AG4" s="135">
        <v>7746.2604212639999</v>
      </c>
      <c r="AH4" s="135">
        <v>9627.0144118740009</v>
      </c>
      <c r="AI4" s="135">
        <v>10022.583437224001</v>
      </c>
      <c r="AJ4" s="135">
        <v>11126.307507764999</v>
      </c>
      <c r="AK4" s="135">
        <v>13837.427316125</v>
      </c>
      <c r="AL4" s="135">
        <v>15586.036807941</v>
      </c>
      <c r="AM4" s="135">
        <v>15654.245437545</v>
      </c>
      <c r="AN4" s="135">
        <v>16380.82157084</v>
      </c>
      <c r="AO4" s="135">
        <v>18718.700375852</v>
      </c>
      <c r="AP4" s="170">
        <v>22763.519750570002</v>
      </c>
      <c r="AQ4" s="170">
        <v>21806.933821736999</v>
      </c>
      <c r="AR4" s="170">
        <v>20907.582696042002</v>
      </c>
      <c r="AS4" s="155">
        <v>21038.250734149999</v>
      </c>
      <c r="AT4" s="155">
        <v>25017.409669965</v>
      </c>
      <c r="AU4" s="155">
        <v>26603.758974906999</v>
      </c>
      <c r="AV4" s="155">
        <v>25142.085940339999</v>
      </c>
      <c r="AW4" s="155">
        <v>25410.989391511001</v>
      </c>
      <c r="AX4" s="155">
        <v>29353.213419516</v>
      </c>
      <c r="AY4" s="155">
        <v>26285.559012762998</v>
      </c>
      <c r="AZ4" s="155">
        <v>25713.553885574001</v>
      </c>
      <c r="BA4" s="155">
        <v>27193.693347559001</v>
      </c>
      <c r="BB4" s="41">
        <v>30828.143814873001</v>
      </c>
      <c r="BC4" s="41">
        <v>31658.418853104999</v>
      </c>
      <c r="BD4" s="158">
        <v>24333.213525693001</v>
      </c>
      <c r="BE4" s="158">
        <v>36138.329909503002</v>
      </c>
      <c r="BF4" s="155">
        <v>36466.676618650003</v>
      </c>
      <c r="BG4" s="287">
        <v>34337.739971773</v>
      </c>
      <c r="BH4" s="287">
        <v>32011.979847627001</v>
      </c>
      <c r="BI4" s="287">
        <v>30588.381152474001</v>
      </c>
      <c r="BJ4" s="287">
        <v>27105.812022449001</v>
      </c>
      <c r="BK4" s="287">
        <v>29464.830443891002</v>
      </c>
      <c r="BL4" s="287">
        <v>30287.657286952999</v>
      </c>
      <c r="BM4" s="287">
        <v>31421.488702148999</v>
      </c>
      <c r="BN4" s="287">
        <v>31486.49</v>
      </c>
      <c r="BO4" s="287">
        <v>34134.071533952003</v>
      </c>
      <c r="BP4" s="287">
        <v>34146.67</v>
      </c>
      <c r="BQ4" s="287">
        <v>34573.920777332001</v>
      </c>
      <c r="BR4" s="287">
        <v>36134.958418208997</v>
      </c>
      <c r="BS4" s="287">
        <v>37619.96865997</v>
      </c>
      <c r="BT4" s="287">
        <v>39852.507152646001</v>
      </c>
      <c r="BU4" s="287"/>
      <c r="BV4" s="171"/>
      <c r="BW4" s="171"/>
      <c r="BX4" s="171"/>
      <c r="BY4" s="171"/>
      <c r="BZ4" s="171"/>
      <c r="CA4" s="171"/>
      <c r="CB4" s="171"/>
      <c r="CC4" s="171"/>
      <c r="CD4" s="171"/>
      <c r="CE4" s="171"/>
      <c r="CF4" s="171"/>
      <c r="CG4" s="171"/>
      <c r="CH4" s="171"/>
      <c r="CI4" s="171"/>
      <c r="CJ4" s="171"/>
      <c r="CK4" s="171"/>
      <c r="CL4" s="171"/>
      <c r="CM4" s="171"/>
      <c r="CN4" s="171"/>
      <c r="CO4" s="171"/>
      <c r="CP4" s="171"/>
      <c r="CQ4" s="171"/>
      <c r="CR4" s="171"/>
      <c r="CS4" s="171"/>
      <c r="CT4" s="171"/>
      <c r="CU4" s="171"/>
      <c r="CV4" s="171"/>
      <c r="CW4" s="171"/>
      <c r="CX4" s="171"/>
      <c r="CY4" s="171"/>
      <c r="CZ4" s="171"/>
      <c r="DA4" s="171"/>
      <c r="DB4" s="171"/>
      <c r="DC4" s="171"/>
      <c r="DD4" s="171"/>
      <c r="DE4" s="171"/>
      <c r="DF4" s="139"/>
      <c r="DG4" s="139"/>
      <c r="DH4" s="139"/>
      <c r="DI4" s="139"/>
      <c r="DJ4" s="139"/>
      <c r="DK4" s="139"/>
      <c r="DL4" s="139"/>
      <c r="DM4" s="139"/>
      <c r="DN4" s="139"/>
      <c r="DO4" s="139"/>
      <c r="DP4" s="139"/>
      <c r="DQ4" s="139"/>
      <c r="DR4" s="139"/>
      <c r="DS4" s="172"/>
      <c r="DT4" s="139" t="str">
        <f t="shared" si="10"/>
        <v/>
      </c>
      <c r="DU4" s="139" t="str">
        <f t="shared" si="11"/>
        <v/>
      </c>
      <c r="DV4" s="139" t="str">
        <f t="shared" si="12"/>
        <v/>
      </c>
      <c r="DW4" s="139" t="str">
        <f t="shared" si="13"/>
        <v/>
      </c>
      <c r="DX4" s="139" t="str">
        <f t="shared" si="14"/>
        <v/>
      </c>
      <c r="DY4" s="139" t="str">
        <f t="shared" si="15"/>
        <v/>
      </c>
      <c r="DZ4" s="139" t="str">
        <f t="shared" si="16"/>
        <v/>
      </c>
      <c r="EA4" s="139" t="str">
        <f t="shared" si="17"/>
        <v/>
      </c>
      <c r="EB4" s="139" t="str">
        <f t="shared" si="18"/>
        <v/>
      </c>
      <c r="EC4" s="139" t="str">
        <f t="shared" si="19"/>
        <v/>
      </c>
      <c r="ED4" s="139" t="str">
        <f t="shared" si="20"/>
        <v/>
      </c>
      <c r="EE4" s="139" t="str">
        <f t="shared" si="21"/>
        <v/>
      </c>
      <c r="EF4" s="139" t="str">
        <f t="shared" si="22"/>
        <v/>
      </c>
      <c r="EG4" s="139" t="str">
        <f t="shared" si="23"/>
        <v/>
      </c>
      <c r="EH4" s="139" t="str">
        <f t="shared" si="24"/>
        <v/>
      </c>
      <c r="EI4" s="139" t="str">
        <f t="shared" si="25"/>
        <v/>
      </c>
      <c r="EJ4" s="139" t="str">
        <f t="shared" si="26"/>
        <v/>
      </c>
      <c r="EK4" s="139" t="str">
        <f t="shared" si="27"/>
        <v/>
      </c>
      <c r="EL4" s="139" t="str">
        <f t="shared" si="28"/>
        <v/>
      </c>
      <c r="EM4" s="139" t="str">
        <f t="shared" si="29"/>
        <v/>
      </c>
      <c r="EN4" s="139">
        <f t="shared" si="30"/>
        <v>0.57590469168893188</v>
      </c>
      <c r="EO4" s="139">
        <f t="shared" si="31"/>
        <v>0.53804861932035819</v>
      </c>
      <c r="EP4" s="139">
        <f t="shared" si="32"/>
        <v>0.68479455201467387</v>
      </c>
      <c r="EQ4" s="139">
        <f t="shared" si="33"/>
        <v>0.6015538149629458</v>
      </c>
      <c r="ER4" s="139">
        <f t="shared" si="34"/>
        <v>0.7514870339216615</v>
      </c>
      <c r="ES4" s="139">
        <f t="shared" si="35"/>
        <v>0.86874447672815958</v>
      </c>
      <c r="ET4" s="139">
        <f t="shared" si="36"/>
        <v>0.67395436980355017</v>
      </c>
      <c r="EU4" s="139">
        <f t="shared" si="37"/>
        <v>0.78633644669889247</v>
      </c>
      <c r="EV4" s="139">
        <f t="shared" si="38"/>
        <v>0.61898966191606775</v>
      </c>
      <c r="EW4" s="139">
        <f t="shared" si="39"/>
        <v>0.56189724292091547</v>
      </c>
      <c r="EX4" s="139">
        <f t="shared" si="40"/>
        <v>0.47226036664975335</v>
      </c>
      <c r="EY4" s="139">
        <f t="shared" si="41"/>
        <v>0.35275871361136368</v>
      </c>
      <c r="EZ4" s="139">
        <f t="shared" ref="EZ4:EZ24" si="42">IFERROR(AP4/AL4-1,"")</f>
        <v>0.46050724960254907</v>
      </c>
      <c r="FA4" s="139">
        <f t="shared" ref="FA4:FA24" si="43">IFERROR(AQ4/AM4-1,"")</f>
        <v>0.39303640719950939</v>
      </c>
      <c r="FB4" s="139">
        <f t="shared" ref="FB4:FB24" si="44">IFERROR(AR4/AN4-1,"")</f>
        <v>0.2763451824211447</v>
      </c>
      <c r="FC4" s="139">
        <f t="shared" ref="FC4:FC24" si="45">IFERROR(AS4/AO4-1,"")</f>
        <v>0.12391620741418174</v>
      </c>
      <c r="FD4" s="139">
        <f t="shared" ref="FD4:FD24" si="46">IFERROR(AT4/AP4-1,"")</f>
        <v>9.9013243298570419E-2</v>
      </c>
      <c r="FE4" s="139">
        <f t="shared" ref="FE4:FE24" si="47">IFERROR(AU4/AQ4-1,"")</f>
        <v>0.21996788692909042</v>
      </c>
      <c r="FF4" s="139">
        <f t="shared" ref="FF4:FF24" si="48">IFERROR(AV4/AR4-1,"")</f>
        <v>0.20253432957123385</v>
      </c>
      <c r="FG4" s="139">
        <f t="shared" ref="FG4:FG24" si="49">IFERROR(AW4/AS4-1,"")</f>
        <v>0.207847064502517</v>
      </c>
      <c r="FH4" s="139">
        <f t="shared" ref="FH4:FH24" si="50">IFERROR(AX4/AT4-1,"")</f>
        <v>0.17331145817052396</v>
      </c>
      <c r="FI4" s="139">
        <f t="shared" ref="FI4:FI24" si="51">IFERROR(AY4/AU4-1,"")</f>
        <v>-1.1960714365369607E-2</v>
      </c>
      <c r="FJ4" s="139">
        <f t="shared" ref="FJ4:FJ24" si="52">IFERROR(AZ4/AV4-1,"")</f>
        <v>2.2729535910029464E-2</v>
      </c>
      <c r="FK4" s="139">
        <f t="shared" ref="FK4:FK24" si="53">IFERROR(BA4/AW4-1,"")</f>
        <v>7.0154842402301076E-2</v>
      </c>
    </row>
    <row r="5" spans="1:167" ht="16">
      <c r="B5" s="140" t="str">
        <f>'FS Year'!B5</f>
        <v>Cost Of Good Sales</v>
      </c>
      <c r="C5" s="176" t="s">
        <v>742</v>
      </c>
      <c r="D5" s="128"/>
      <c r="E5" s="128"/>
      <c r="F5" s="128"/>
      <c r="G5" s="128"/>
      <c r="H5" s="128"/>
      <c r="I5" s="128"/>
      <c r="J5" s="128"/>
      <c r="K5" s="128"/>
      <c r="L5" s="128"/>
      <c r="M5" s="128"/>
      <c r="N5" s="128"/>
      <c r="O5" s="128"/>
      <c r="P5" s="128"/>
      <c r="Q5" s="128"/>
      <c r="R5" s="128"/>
      <c r="S5" s="128"/>
      <c r="T5" s="128"/>
      <c r="U5" s="128"/>
      <c r="V5" s="128"/>
      <c r="W5" s="128"/>
      <c r="X5" s="128"/>
      <c r="Y5" s="128"/>
      <c r="Z5" s="128">
        <v>-2943.2242803439999</v>
      </c>
      <c r="AA5" s="128">
        <v>-2960.1898342939999</v>
      </c>
      <c r="AB5" s="128">
        <v>-3311.1798224939998</v>
      </c>
      <c r="AC5" s="128">
        <v>-4146.012520233</v>
      </c>
      <c r="AD5" s="128">
        <v>-4695.3645566409996</v>
      </c>
      <c r="AE5" s="128">
        <v>-4550.3691134680003</v>
      </c>
      <c r="AF5" s="128">
        <v>-5622.8483000059996</v>
      </c>
      <c r="AG5" s="128">
        <v>-6461.7202152549999</v>
      </c>
      <c r="AH5" s="128">
        <v>-8037.820417725</v>
      </c>
      <c r="AI5" s="128">
        <v>-8427.8879149330005</v>
      </c>
      <c r="AJ5" s="128">
        <v>-9292.0280242230001</v>
      </c>
      <c r="AK5" s="128">
        <v>-11641.490003544999</v>
      </c>
      <c r="AL5" s="128">
        <v>-12934.074171216</v>
      </c>
      <c r="AM5" s="128">
        <v>-13032.373764086</v>
      </c>
      <c r="AN5" s="128">
        <v>-13557.089585624</v>
      </c>
      <c r="AO5" s="128">
        <v>-15674.487404309</v>
      </c>
      <c r="AP5" s="173">
        <v>-18788.756341781998</v>
      </c>
      <c r="AQ5" s="173">
        <v>-17945.292260386999</v>
      </c>
      <c r="AR5" s="173">
        <v>-17205.031495333998</v>
      </c>
      <c r="AS5" s="288">
        <v>-17285.079141932001</v>
      </c>
      <c r="AT5" s="288">
        <v>-20583.631772567998</v>
      </c>
      <c r="AU5" s="288">
        <v>-21855.341767099999</v>
      </c>
      <c r="AV5" s="288">
        <v>-20201.528951239001</v>
      </c>
      <c r="AW5" s="158">
        <v>-20045.942182104998</v>
      </c>
      <c r="AX5" s="158">
        <v>-23193.243003251999</v>
      </c>
      <c r="AY5" s="158">
        <v>-20515.417227876998</v>
      </c>
      <c r="AZ5" s="158">
        <v>-19963.833875799999</v>
      </c>
      <c r="BA5" s="158">
        <v>-20919.028286019999</v>
      </c>
      <c r="BB5" s="41">
        <v>-23803.198263370999</v>
      </c>
      <c r="BC5" s="41">
        <v>-24514.835467434001</v>
      </c>
      <c r="BD5" s="158">
        <v>-18244.500199926999</v>
      </c>
      <c r="BE5" s="158">
        <v>-28763.440176908</v>
      </c>
      <c r="BF5" s="288">
        <v>-28342.412527150998</v>
      </c>
      <c r="BG5" s="287">
        <v>-27001.321732512999</v>
      </c>
      <c r="BH5" s="287">
        <v>-24619.955468037999</v>
      </c>
      <c r="BI5" s="287">
        <v>-22658.872494961</v>
      </c>
      <c r="BJ5" s="287">
        <v>-21891.312170662</v>
      </c>
      <c r="BK5" s="287">
        <v>-24023.662436242001</v>
      </c>
      <c r="BL5" s="287">
        <v>-25644.729636740001</v>
      </c>
      <c r="BM5" s="287">
        <v>-25235.028171606999</v>
      </c>
      <c r="BN5" s="287">
        <v>-24773.88</v>
      </c>
      <c r="BO5" s="287">
        <v>-26826.357532252001</v>
      </c>
      <c r="BP5" s="287">
        <v>-27254.76</v>
      </c>
      <c r="BQ5" s="287">
        <v>-27986.951875212999</v>
      </c>
      <c r="BR5" s="287">
        <v>-28934.547803003999</v>
      </c>
      <c r="BS5" s="287">
        <v>-30051.267999814001</v>
      </c>
      <c r="BT5" s="287">
        <v>-32374.320274746002</v>
      </c>
      <c r="BU5" s="287"/>
      <c r="BV5" s="171"/>
      <c r="BW5" s="171"/>
      <c r="BX5" s="171"/>
      <c r="BY5" s="171"/>
      <c r="BZ5" s="171"/>
      <c r="CA5" s="171"/>
      <c r="CB5" s="171"/>
      <c r="CC5" s="171"/>
      <c r="CD5" s="171"/>
      <c r="CE5" s="171"/>
      <c r="CF5" s="171"/>
      <c r="CG5" s="171"/>
      <c r="CH5" s="171"/>
      <c r="CI5" s="171"/>
      <c r="CJ5" s="171"/>
      <c r="CK5" s="171"/>
      <c r="CL5" s="171"/>
      <c r="CM5" s="171"/>
      <c r="CN5" s="171"/>
      <c r="CO5" s="171"/>
      <c r="CP5" s="171"/>
      <c r="CQ5" s="171"/>
      <c r="CR5" s="171"/>
      <c r="CS5" s="171"/>
      <c r="CT5" s="171"/>
      <c r="CU5" s="171"/>
      <c r="CV5" s="171"/>
      <c r="CW5" s="171"/>
      <c r="CX5" s="171"/>
      <c r="CY5" s="171"/>
      <c r="CZ5" s="171"/>
      <c r="DA5" s="171"/>
      <c r="DB5" s="171"/>
      <c r="DC5" s="171"/>
      <c r="DD5" s="171"/>
      <c r="DE5" s="171"/>
      <c r="DF5" s="139"/>
      <c r="DG5" s="139"/>
      <c r="DH5" s="139"/>
      <c r="DI5" s="139"/>
      <c r="DJ5" s="139"/>
      <c r="DK5" s="139"/>
      <c r="DL5" s="139"/>
      <c r="DM5" s="139"/>
      <c r="DN5" s="139"/>
      <c r="DO5" s="139"/>
      <c r="DP5" s="139"/>
      <c r="DQ5" s="139"/>
      <c r="DR5" s="139"/>
      <c r="DS5" s="175"/>
      <c r="DT5" s="142" t="str">
        <f t="shared" si="10"/>
        <v/>
      </c>
      <c r="DU5" s="142" t="str">
        <f t="shared" si="11"/>
        <v/>
      </c>
      <c r="DV5" s="142" t="str">
        <f t="shared" si="12"/>
        <v/>
      </c>
      <c r="DW5" s="142" t="str">
        <f t="shared" si="13"/>
        <v/>
      </c>
      <c r="DX5" s="142" t="str">
        <f t="shared" si="14"/>
        <v/>
      </c>
      <c r="DY5" s="142" t="str">
        <f t="shared" si="15"/>
        <v/>
      </c>
      <c r="DZ5" s="142" t="str">
        <f t="shared" si="16"/>
        <v/>
      </c>
      <c r="EA5" s="142" t="str">
        <f t="shared" si="17"/>
        <v/>
      </c>
      <c r="EB5" s="142" t="str">
        <f t="shared" si="18"/>
        <v/>
      </c>
      <c r="EC5" s="142" t="str">
        <f t="shared" si="19"/>
        <v/>
      </c>
      <c r="ED5" s="142" t="str">
        <f t="shared" si="20"/>
        <v/>
      </c>
      <c r="EE5" s="142" t="str">
        <f t="shared" si="21"/>
        <v/>
      </c>
      <c r="EF5" s="142" t="str">
        <f t="shared" si="22"/>
        <v/>
      </c>
      <c r="EG5" s="142" t="str">
        <f t="shared" si="23"/>
        <v/>
      </c>
      <c r="EH5" s="142" t="str">
        <f t="shared" si="24"/>
        <v/>
      </c>
      <c r="EI5" s="142" t="str">
        <f t="shared" si="25"/>
        <v/>
      </c>
      <c r="EJ5" s="142" t="str">
        <f t="shared" si="26"/>
        <v/>
      </c>
      <c r="EK5" s="142" t="str">
        <f t="shared" si="27"/>
        <v/>
      </c>
      <c r="EL5" s="142" t="str">
        <f t="shared" si="28"/>
        <v/>
      </c>
      <c r="EM5" s="142" t="str">
        <f t="shared" si="29"/>
        <v/>
      </c>
      <c r="EN5" s="142">
        <f t="shared" si="30"/>
        <v>0.59531320395746801</v>
      </c>
      <c r="EO5" s="142">
        <f t="shared" si="31"/>
        <v>0.53718827784342271</v>
      </c>
      <c r="EP5" s="142">
        <f t="shared" si="32"/>
        <v>0.69814042167327472</v>
      </c>
      <c r="EQ5" s="142">
        <f t="shared" si="33"/>
        <v>0.55853851953439348</v>
      </c>
      <c r="ER5" s="142">
        <f t="shared" si="34"/>
        <v>0.71186290665258767</v>
      </c>
      <c r="ES5" s="142">
        <f t="shared" si="35"/>
        <v>0.85213280610324005</v>
      </c>
      <c r="ET5" s="142">
        <f t="shared" si="36"/>
        <v>0.6525482332882937</v>
      </c>
      <c r="EU5" s="142">
        <f t="shared" si="37"/>
        <v>0.8016084905783234</v>
      </c>
      <c r="EV5" s="142">
        <f t="shared" si="38"/>
        <v>0.60915192166943433</v>
      </c>
      <c r="EW5" s="142">
        <f t="shared" si="39"/>
        <v>0.54633923654757144</v>
      </c>
      <c r="EX5" s="142">
        <f t="shared" si="40"/>
        <v>0.4590022275312331</v>
      </c>
      <c r="EY5" s="142">
        <f t="shared" si="41"/>
        <v>0.34643309400565525</v>
      </c>
      <c r="EZ5" s="142">
        <f t="shared" si="42"/>
        <v>0.45265568242953491</v>
      </c>
      <c r="FA5" s="142">
        <f t="shared" si="43"/>
        <v>0.37697802297842231</v>
      </c>
      <c r="FB5" s="142">
        <f t="shared" si="44"/>
        <v>0.2690800179987225</v>
      </c>
      <c r="FC5" s="142">
        <f t="shared" si="45"/>
        <v>0.10275243432714998</v>
      </c>
      <c r="FD5" s="142">
        <f t="shared" si="46"/>
        <v>9.5529230255362751E-2</v>
      </c>
      <c r="FE5" s="142">
        <f t="shared" si="47"/>
        <v>0.21788720127697037</v>
      </c>
      <c r="FF5" s="142">
        <f t="shared" si="48"/>
        <v>0.17416402037494971</v>
      </c>
      <c r="FG5" s="142">
        <f t="shared" si="49"/>
        <v>0.15972521835178632</v>
      </c>
      <c r="FH5" s="142">
        <f t="shared" si="50"/>
        <v>0.12678089364977141</v>
      </c>
      <c r="FI5" s="142">
        <f t="shared" si="51"/>
        <v>-6.1308789105282258E-2</v>
      </c>
      <c r="FJ5" s="142">
        <f t="shared" si="52"/>
        <v>-1.1766192351714277E-2</v>
      </c>
      <c r="FK5" s="142">
        <f t="shared" si="53"/>
        <v>4.3554256316991946E-2</v>
      </c>
    </row>
    <row r="6" spans="1:167" s="302" customFormat="1" ht="16">
      <c r="B6" s="418" t="str">
        <f>'FS Year'!B6</f>
        <v>Gross Profit</v>
      </c>
      <c r="C6" s="419" t="s">
        <v>529</v>
      </c>
      <c r="D6" s="420"/>
      <c r="E6" s="420"/>
      <c r="F6" s="420"/>
      <c r="G6" s="420"/>
      <c r="H6" s="420"/>
      <c r="I6" s="420"/>
      <c r="J6" s="420"/>
      <c r="K6" s="420"/>
      <c r="L6" s="420"/>
      <c r="M6" s="420"/>
      <c r="N6" s="420"/>
      <c r="O6" s="420"/>
      <c r="P6" s="420"/>
      <c r="Q6" s="420"/>
      <c r="R6" s="420"/>
      <c r="S6" s="420"/>
      <c r="T6" s="420"/>
      <c r="U6" s="420"/>
      <c r="V6" s="420"/>
      <c r="W6" s="420"/>
      <c r="X6" s="420"/>
      <c r="Y6" s="420"/>
      <c r="Z6" s="420">
        <v>544.60120612200001</v>
      </c>
      <c r="AA6" s="420">
        <v>526.87236602899998</v>
      </c>
      <c r="AB6" s="420">
        <v>633.94268483300004</v>
      </c>
      <c r="AC6" s="420">
        <v>690.70314232700002</v>
      </c>
      <c r="AD6" s="420">
        <v>801.11599127299996</v>
      </c>
      <c r="AE6" s="420">
        <v>812.90208922299996</v>
      </c>
      <c r="AF6" s="420">
        <v>1023.872607369</v>
      </c>
      <c r="AG6" s="420">
        <v>1284.540206009</v>
      </c>
      <c r="AH6" s="420">
        <v>1589.193994149</v>
      </c>
      <c r="AI6" s="420">
        <v>1594.6955222910001</v>
      </c>
      <c r="AJ6" s="420">
        <v>1834.279483542</v>
      </c>
      <c r="AK6" s="420">
        <v>2195.9373125799998</v>
      </c>
      <c r="AL6" s="420">
        <v>2651.9626367249998</v>
      </c>
      <c r="AM6" s="420">
        <v>2621.8716734589998</v>
      </c>
      <c r="AN6" s="420">
        <v>2823.7319852159999</v>
      </c>
      <c r="AO6" s="420">
        <v>3044.2129715430001</v>
      </c>
      <c r="AP6" s="421">
        <v>3974.7634087880001</v>
      </c>
      <c r="AQ6" s="421">
        <v>3861.6415613499998</v>
      </c>
      <c r="AR6" s="421">
        <v>3702.5512007080001</v>
      </c>
      <c r="AS6" s="188">
        <v>3753.1715922180001</v>
      </c>
      <c r="AT6" s="188">
        <v>4433.7778973969998</v>
      </c>
      <c r="AU6" s="188">
        <v>4748.4172078069996</v>
      </c>
      <c r="AV6" s="188">
        <v>4940.556989101</v>
      </c>
      <c r="AW6" s="188">
        <v>5365.0472094059996</v>
      </c>
      <c r="AX6" s="188">
        <v>6159.9704162640001</v>
      </c>
      <c r="AY6" s="188">
        <v>5770.1417848860001</v>
      </c>
      <c r="AZ6" s="188">
        <v>5749.7200097739997</v>
      </c>
      <c r="BA6" s="188">
        <v>6274.6650615389999</v>
      </c>
      <c r="BB6" s="342">
        <v>7024.9455515019999</v>
      </c>
      <c r="BC6" s="342">
        <v>7143.5833856709996</v>
      </c>
      <c r="BD6" s="301">
        <v>6088.7133257659998</v>
      </c>
      <c r="BE6" s="301">
        <v>7374.8897325950002</v>
      </c>
      <c r="BF6" s="188">
        <v>8124.2640914989997</v>
      </c>
      <c r="BG6" s="422">
        <v>7336.4182392599996</v>
      </c>
      <c r="BH6" s="422">
        <v>7392.0243795890001</v>
      </c>
      <c r="BI6" s="422">
        <v>7929.5086575129999</v>
      </c>
      <c r="BJ6" s="422">
        <v>5214.4998517869999</v>
      </c>
      <c r="BK6" s="422">
        <v>5441.1680076490002</v>
      </c>
      <c r="BL6" s="422">
        <v>4642.9276502129997</v>
      </c>
      <c r="BM6" s="422">
        <v>6186.460530542</v>
      </c>
      <c r="BN6" s="422">
        <v>6712.62</v>
      </c>
      <c r="BO6" s="422">
        <v>7307.7140017000002</v>
      </c>
      <c r="BP6" s="422">
        <v>6891.91</v>
      </c>
      <c r="BQ6" s="422">
        <v>6586.9689021189997</v>
      </c>
      <c r="BR6" s="422">
        <v>7200.4106152049999</v>
      </c>
      <c r="BS6" s="422">
        <v>7568.7006601559997</v>
      </c>
      <c r="BT6" s="422">
        <v>7478.1868778999997</v>
      </c>
      <c r="BU6" s="422"/>
      <c r="BV6" s="423"/>
      <c r="BW6" s="423"/>
      <c r="BX6" s="423"/>
      <c r="BY6" s="423"/>
      <c r="BZ6" s="423"/>
      <c r="CA6" s="423"/>
      <c r="CB6" s="423"/>
      <c r="CC6" s="423"/>
      <c r="CD6" s="423"/>
      <c r="CE6" s="423"/>
      <c r="CF6" s="423"/>
      <c r="CG6" s="423"/>
      <c r="CH6" s="423"/>
      <c r="CI6" s="423"/>
      <c r="CJ6" s="423"/>
      <c r="CK6" s="423"/>
      <c r="CL6" s="423"/>
      <c r="CM6" s="423"/>
      <c r="CN6" s="423"/>
      <c r="CO6" s="423"/>
      <c r="CP6" s="423"/>
      <c r="CQ6" s="423"/>
      <c r="CR6" s="423"/>
      <c r="CS6" s="423"/>
      <c r="CT6" s="423"/>
      <c r="CU6" s="423"/>
      <c r="CV6" s="423"/>
      <c r="CW6" s="423"/>
      <c r="CX6" s="423"/>
      <c r="CY6" s="423"/>
      <c r="CZ6" s="423"/>
      <c r="DA6" s="423"/>
      <c r="DB6" s="423"/>
      <c r="DC6" s="423"/>
      <c r="DD6" s="423"/>
      <c r="DE6" s="423"/>
      <c r="DF6" s="424"/>
      <c r="DG6" s="424"/>
      <c r="DH6" s="424"/>
      <c r="DI6" s="424"/>
      <c r="DJ6" s="427"/>
      <c r="DK6" s="427"/>
      <c r="DL6" s="427"/>
      <c r="DM6" s="427"/>
      <c r="DN6" s="427"/>
      <c r="DO6" s="427"/>
      <c r="DP6" s="427"/>
      <c r="DQ6" s="427"/>
      <c r="DR6" s="427"/>
      <c r="DS6" s="425"/>
      <c r="DT6" s="424" t="str">
        <f t="shared" si="10"/>
        <v/>
      </c>
      <c r="DU6" s="424" t="str">
        <f t="shared" si="11"/>
        <v/>
      </c>
      <c r="DV6" s="424" t="str">
        <f t="shared" si="12"/>
        <v/>
      </c>
      <c r="DW6" s="424" t="str">
        <f t="shared" si="13"/>
        <v/>
      </c>
      <c r="DX6" s="424" t="str">
        <f t="shared" si="14"/>
        <v/>
      </c>
      <c r="DY6" s="424" t="str">
        <f t="shared" si="15"/>
        <v/>
      </c>
      <c r="DZ6" s="424" t="str">
        <f t="shared" si="16"/>
        <v/>
      </c>
      <c r="EA6" s="424" t="str">
        <f t="shared" si="17"/>
        <v/>
      </c>
      <c r="EB6" s="424" t="str">
        <f t="shared" si="18"/>
        <v/>
      </c>
      <c r="EC6" s="424" t="str">
        <f t="shared" si="19"/>
        <v/>
      </c>
      <c r="ED6" s="424" t="str">
        <f t="shared" si="20"/>
        <v/>
      </c>
      <c r="EE6" s="424" t="str">
        <f t="shared" si="21"/>
        <v/>
      </c>
      <c r="EF6" s="424" t="str">
        <f t="shared" si="22"/>
        <v/>
      </c>
      <c r="EG6" s="424" t="str">
        <f t="shared" si="23"/>
        <v/>
      </c>
      <c r="EH6" s="424" t="str">
        <f t="shared" si="24"/>
        <v/>
      </c>
      <c r="EI6" s="424" t="str">
        <f t="shared" si="25"/>
        <v/>
      </c>
      <c r="EJ6" s="424" t="str">
        <f t="shared" si="26"/>
        <v/>
      </c>
      <c r="EK6" s="424" t="str">
        <f t="shared" si="27"/>
        <v/>
      </c>
      <c r="EL6" s="424" t="str">
        <f t="shared" si="28"/>
        <v/>
      </c>
      <c r="EM6" s="424" t="str">
        <f t="shared" si="29"/>
        <v/>
      </c>
      <c r="EN6" s="424">
        <f t="shared" si="30"/>
        <v>0.47101398650508353</v>
      </c>
      <c r="EO6" s="424">
        <f t="shared" si="31"/>
        <v>0.54288237842076614</v>
      </c>
      <c r="EP6" s="424">
        <f t="shared" si="32"/>
        <v>0.61508702894603062</v>
      </c>
      <c r="EQ6" s="424">
        <f t="shared" si="33"/>
        <v>0.85975729266460954</v>
      </c>
      <c r="ER6" s="424">
        <f t="shared" si="34"/>
        <v>0.98372521764759413</v>
      </c>
      <c r="ES6" s="424">
        <f t="shared" si="35"/>
        <v>0.96173136154105032</v>
      </c>
      <c r="ET6" s="424">
        <f t="shared" si="36"/>
        <v>0.79151143446982775</v>
      </c>
      <c r="EU6" s="424">
        <f t="shared" si="37"/>
        <v>0.70951232379301188</v>
      </c>
      <c r="EV6" s="424">
        <f t="shared" si="38"/>
        <v>0.66874695379471505</v>
      </c>
      <c r="EW6" s="424">
        <f t="shared" si="39"/>
        <v>0.64412054640519689</v>
      </c>
      <c r="EX6" s="424">
        <f t="shared" si="40"/>
        <v>0.53942297809675321</v>
      </c>
      <c r="EY6" s="424">
        <f t="shared" si="41"/>
        <v>0.38629320340951079</v>
      </c>
      <c r="EZ6" s="424">
        <f t="shared" si="42"/>
        <v>0.49880068208523953</v>
      </c>
      <c r="FA6" s="424">
        <f t="shared" si="43"/>
        <v>0.47285681463402374</v>
      </c>
      <c r="FB6" s="424">
        <f t="shared" si="44"/>
        <v>0.31122614330721454</v>
      </c>
      <c r="FC6" s="424">
        <f t="shared" si="45"/>
        <v>0.23288732664313394</v>
      </c>
      <c r="FD6" s="424">
        <f t="shared" si="46"/>
        <v>0.11548221652492363</v>
      </c>
      <c r="FE6" s="424">
        <f t="shared" si="47"/>
        <v>0.22963696458326655</v>
      </c>
      <c r="FF6" s="424">
        <f t="shared" si="48"/>
        <v>0.33436560935504933</v>
      </c>
      <c r="FG6" s="424">
        <f t="shared" si="49"/>
        <v>0.42947027003245397</v>
      </c>
      <c r="FH6" s="424">
        <f t="shared" si="50"/>
        <v>0.38932769272913292</v>
      </c>
      <c r="FI6" s="424">
        <f t="shared" si="51"/>
        <v>0.21517161032083609</v>
      </c>
      <c r="FJ6" s="424">
        <f t="shared" si="52"/>
        <v>0.16377971602352415</v>
      </c>
      <c r="FK6" s="424">
        <f t="shared" si="53"/>
        <v>0.16954517204215058</v>
      </c>
    </row>
    <row r="7" spans="1:167" ht="16">
      <c r="B7" s="140" t="str">
        <f>'FS Year'!B7</f>
        <v>Financial Income</v>
      </c>
      <c r="C7" s="127" t="s">
        <v>537</v>
      </c>
      <c r="D7" s="128"/>
      <c r="E7" s="128"/>
      <c r="F7" s="128"/>
      <c r="G7" s="128"/>
      <c r="H7" s="128"/>
      <c r="I7" s="128"/>
      <c r="J7" s="128"/>
      <c r="K7" s="128"/>
      <c r="L7" s="128"/>
      <c r="M7" s="128"/>
      <c r="N7" s="128"/>
      <c r="O7" s="128"/>
      <c r="P7" s="128"/>
      <c r="Q7" s="128"/>
      <c r="R7" s="128"/>
      <c r="S7" s="128"/>
      <c r="T7" s="128"/>
      <c r="U7" s="128"/>
      <c r="V7" s="128"/>
      <c r="W7" s="128"/>
      <c r="X7" s="128"/>
      <c r="Y7" s="128"/>
      <c r="Z7" s="128">
        <v>10.369538004000001</v>
      </c>
      <c r="AA7" s="128">
        <v>13.637062848999999</v>
      </c>
      <c r="AB7" s="128">
        <v>20.994310621</v>
      </c>
      <c r="AC7" s="128">
        <v>26.334402728000001</v>
      </c>
      <c r="AD7" s="128">
        <v>16.595982923000001</v>
      </c>
      <c r="AE7" s="128">
        <v>15.061084415</v>
      </c>
      <c r="AF7" s="128">
        <v>24.450598083999999</v>
      </c>
      <c r="AG7" s="128">
        <v>24.878154990999999</v>
      </c>
      <c r="AH7" s="128">
        <v>28.473099854000001</v>
      </c>
      <c r="AI7" s="128">
        <v>18.878070091000001</v>
      </c>
      <c r="AJ7" s="128">
        <v>23.665294724999999</v>
      </c>
      <c r="AK7" s="128">
        <v>64.311236062000006</v>
      </c>
      <c r="AL7" s="128">
        <v>47.238632352000003</v>
      </c>
      <c r="AM7" s="128">
        <v>52.899468603999999</v>
      </c>
      <c r="AN7" s="128">
        <v>52.990268221000001</v>
      </c>
      <c r="AO7" s="128">
        <v>97.381438950000003</v>
      </c>
      <c r="AP7" s="173">
        <v>76.259503803000001</v>
      </c>
      <c r="AQ7" s="173">
        <v>71.909377836999994</v>
      </c>
      <c r="AR7" s="173">
        <v>86.456996199000002</v>
      </c>
      <c r="AS7" s="288">
        <v>107.45799739</v>
      </c>
      <c r="AT7" s="288">
        <v>110.138306257</v>
      </c>
      <c r="AU7" s="288">
        <v>161.37340333899999</v>
      </c>
      <c r="AV7" s="288">
        <v>178.02126734399999</v>
      </c>
      <c r="AW7" s="158">
        <v>181.64487741100001</v>
      </c>
      <c r="AX7" s="158">
        <v>124.88615052500001</v>
      </c>
      <c r="AY7" s="158">
        <v>169.37287777399999</v>
      </c>
      <c r="AZ7" s="158">
        <v>256.71866273299997</v>
      </c>
      <c r="BA7" s="158">
        <v>243.144091635</v>
      </c>
      <c r="BB7" s="41">
        <v>288.290505677</v>
      </c>
      <c r="BC7" s="41">
        <v>304.72639665100002</v>
      </c>
      <c r="BD7" s="158">
        <v>288.60571992899997</v>
      </c>
      <c r="BE7" s="158">
        <v>384.46625450300002</v>
      </c>
      <c r="BF7" s="288">
        <v>354.85920563000002</v>
      </c>
      <c r="BG7" s="289">
        <v>297.75755306600001</v>
      </c>
      <c r="BH7" s="289">
        <v>348.74040445399999</v>
      </c>
      <c r="BI7" s="289">
        <v>311.780141173</v>
      </c>
      <c r="BJ7" s="289">
        <v>359.08489394899999</v>
      </c>
      <c r="BK7" s="289">
        <v>585.36871865399996</v>
      </c>
      <c r="BL7" s="289">
        <v>619.11561073500002</v>
      </c>
      <c r="BM7" s="289">
        <v>603.39449175300001</v>
      </c>
      <c r="BN7" s="289">
        <v>585.30999999999995</v>
      </c>
      <c r="BO7" s="289">
        <v>580.10878495099996</v>
      </c>
      <c r="BP7" s="289">
        <v>575.39</v>
      </c>
      <c r="BQ7" s="289">
        <v>635.69558438800004</v>
      </c>
      <c r="BR7" s="289">
        <v>693.29366793099996</v>
      </c>
      <c r="BS7" s="289">
        <v>768.83224696499997</v>
      </c>
      <c r="BT7" s="289">
        <v>809.06889743099998</v>
      </c>
      <c r="BU7" s="289"/>
      <c r="BV7" s="174"/>
      <c r="BW7" s="174"/>
      <c r="BX7" s="174"/>
      <c r="BY7" s="174"/>
      <c r="BZ7" s="174"/>
      <c r="CA7" s="174"/>
      <c r="CB7" s="174"/>
      <c r="CC7" s="174"/>
      <c r="CD7" s="174"/>
      <c r="CE7" s="174"/>
      <c r="CF7" s="174"/>
      <c r="CG7" s="174"/>
      <c r="CH7" s="174"/>
      <c r="CI7" s="174"/>
      <c r="CJ7" s="174"/>
      <c r="CK7" s="174"/>
      <c r="CL7" s="174"/>
      <c r="CM7" s="174"/>
      <c r="CN7" s="174"/>
      <c r="CO7" s="174"/>
      <c r="CP7" s="174"/>
      <c r="CQ7" s="174"/>
      <c r="CR7" s="174"/>
      <c r="CS7" s="174"/>
      <c r="CT7" s="174"/>
      <c r="CU7" s="174"/>
      <c r="CV7" s="174"/>
      <c r="CW7" s="174"/>
      <c r="CX7" s="174"/>
      <c r="CY7" s="174"/>
      <c r="CZ7" s="174"/>
      <c r="DA7" s="174"/>
      <c r="DB7" s="174"/>
      <c r="DC7" s="174"/>
      <c r="DD7" s="174"/>
      <c r="DE7" s="174"/>
      <c r="DF7" s="142"/>
      <c r="DG7" s="142"/>
      <c r="DH7" s="142"/>
      <c r="DI7" s="142"/>
      <c r="DJ7" s="142"/>
      <c r="DK7" s="142"/>
      <c r="DL7" s="142"/>
      <c r="DM7" s="142"/>
      <c r="DN7" s="142"/>
      <c r="DO7" s="142"/>
      <c r="DP7" s="142"/>
      <c r="DQ7" s="142"/>
      <c r="DR7" s="142"/>
      <c r="DS7" s="175"/>
      <c r="DT7" s="142" t="str">
        <f t="shared" si="10"/>
        <v/>
      </c>
      <c r="DU7" s="142" t="str">
        <f t="shared" si="11"/>
        <v/>
      </c>
      <c r="DV7" s="142" t="str">
        <f t="shared" si="12"/>
        <v/>
      </c>
      <c r="DW7" s="142" t="str">
        <f t="shared" si="13"/>
        <v/>
      </c>
      <c r="DX7" s="142" t="str">
        <f t="shared" si="14"/>
        <v/>
      </c>
      <c r="DY7" s="142" t="str">
        <f t="shared" si="15"/>
        <v/>
      </c>
      <c r="DZ7" s="142" t="str">
        <f t="shared" si="16"/>
        <v/>
      </c>
      <c r="EA7" s="142" t="str">
        <f t="shared" si="17"/>
        <v/>
      </c>
      <c r="EB7" s="142" t="str">
        <f t="shared" si="18"/>
        <v/>
      </c>
      <c r="EC7" s="142" t="str">
        <f t="shared" si="19"/>
        <v/>
      </c>
      <c r="ED7" s="142" t="str">
        <f t="shared" si="20"/>
        <v/>
      </c>
      <c r="EE7" s="142" t="str">
        <f t="shared" si="21"/>
        <v/>
      </c>
      <c r="EF7" s="142" t="str">
        <f t="shared" si="22"/>
        <v/>
      </c>
      <c r="EG7" s="142" t="str">
        <f t="shared" si="23"/>
        <v/>
      </c>
      <c r="EH7" s="142" t="str">
        <f t="shared" si="24"/>
        <v/>
      </c>
      <c r="EI7" s="142" t="str">
        <f t="shared" si="25"/>
        <v/>
      </c>
      <c r="EJ7" s="142" t="str">
        <f t="shared" si="26"/>
        <v/>
      </c>
      <c r="EK7" s="142" t="str">
        <f t="shared" si="27"/>
        <v/>
      </c>
      <c r="EL7" s="142" t="str">
        <f t="shared" si="28"/>
        <v/>
      </c>
      <c r="EM7" s="142" t="str">
        <f t="shared" si="29"/>
        <v/>
      </c>
      <c r="EN7" s="142">
        <f t="shared" si="30"/>
        <v>0.60045538350871364</v>
      </c>
      <c r="EO7" s="142">
        <f t="shared" si="31"/>
        <v>0.1044228938274947</v>
      </c>
      <c r="EP7" s="142">
        <f t="shared" si="32"/>
        <v>0.1646297192317796</v>
      </c>
      <c r="EQ7" s="142">
        <f t="shared" si="33"/>
        <v>-5.5298301314867127E-2</v>
      </c>
      <c r="ER7" s="142">
        <f t="shared" si="34"/>
        <v>0.71566215668610811</v>
      </c>
      <c r="ES7" s="142">
        <f t="shared" si="35"/>
        <v>0.25343365529499962</v>
      </c>
      <c r="ET7" s="142">
        <f t="shared" si="36"/>
        <v>-3.211796113543286E-2</v>
      </c>
      <c r="EU7" s="142">
        <f t="shared" si="37"/>
        <v>1.5850484525586985</v>
      </c>
      <c r="EV7" s="142">
        <f t="shared" si="38"/>
        <v>0.65906180198935216</v>
      </c>
      <c r="EW7" s="142">
        <f t="shared" si="39"/>
        <v>1.8021650703171974</v>
      </c>
      <c r="EX7" s="142">
        <f t="shared" si="40"/>
        <v>1.2391552201976643</v>
      </c>
      <c r="EY7" s="142">
        <f t="shared" si="41"/>
        <v>0.5142212296482418</v>
      </c>
      <c r="EZ7" s="142">
        <f t="shared" si="42"/>
        <v>0.61434614014119115</v>
      </c>
      <c r="FA7" s="142">
        <f t="shared" si="43"/>
        <v>0.35935917192866773</v>
      </c>
      <c r="FB7" s="142">
        <f t="shared" si="44"/>
        <v>0.63156366445296008</v>
      </c>
      <c r="FC7" s="142">
        <f t="shared" si="45"/>
        <v>0.10347514422305637</v>
      </c>
      <c r="FD7" s="142">
        <f t="shared" si="46"/>
        <v>0.44425679114721994</v>
      </c>
      <c r="FE7" s="142">
        <f t="shared" si="47"/>
        <v>1.2441218126624856</v>
      </c>
      <c r="FF7" s="142">
        <f t="shared" si="48"/>
        <v>1.0590730093634582</v>
      </c>
      <c r="FG7" s="142">
        <f t="shared" si="49"/>
        <v>0.69038025854652507</v>
      </c>
      <c r="FH7" s="142">
        <f t="shared" si="50"/>
        <v>0.13390295138175579</v>
      </c>
      <c r="FI7" s="142">
        <f t="shared" si="51"/>
        <v>4.9571207333313438E-2</v>
      </c>
      <c r="FJ7" s="142">
        <f t="shared" si="52"/>
        <v>0.44206738084236186</v>
      </c>
      <c r="FK7" s="142">
        <f t="shared" si="53"/>
        <v>0.33856839290242347</v>
      </c>
    </row>
    <row r="8" spans="1:167" s="136" customFormat="1" ht="16">
      <c r="B8" s="154" t="str">
        <f>'FS Year'!B8</f>
        <v>Financial Expenses</v>
      </c>
      <c r="C8" s="134" t="s">
        <v>338</v>
      </c>
      <c r="D8" s="135"/>
      <c r="E8" s="135"/>
      <c r="F8" s="135"/>
      <c r="G8" s="135"/>
      <c r="H8" s="135"/>
      <c r="I8" s="135"/>
      <c r="J8" s="135"/>
      <c r="K8" s="135"/>
      <c r="L8" s="135"/>
      <c r="M8" s="135"/>
      <c r="N8" s="135"/>
      <c r="O8" s="135"/>
      <c r="P8" s="135"/>
      <c r="Q8" s="135"/>
      <c r="R8" s="135"/>
      <c r="S8" s="135"/>
      <c r="T8" s="135"/>
      <c r="U8" s="135"/>
      <c r="V8" s="135"/>
      <c r="W8" s="135"/>
      <c r="X8" s="135"/>
      <c r="Y8" s="135"/>
      <c r="Z8" s="135">
        <v>-4.9192047399999996</v>
      </c>
      <c r="AA8" s="135">
        <v>-5.8321538559999997</v>
      </c>
      <c r="AB8" s="135">
        <v>-5.0953658800000001</v>
      </c>
      <c r="AC8" s="135">
        <v>-5.4446895199999998</v>
      </c>
      <c r="AD8" s="135">
        <v>-12.257583154000001</v>
      </c>
      <c r="AE8" s="135">
        <v>-10.027792414</v>
      </c>
      <c r="AF8" s="135">
        <v>-6.6294724169999997</v>
      </c>
      <c r="AG8" s="135">
        <v>-11.751245771000001</v>
      </c>
      <c r="AH8" s="135">
        <v>-29.864812122</v>
      </c>
      <c r="AI8" s="135">
        <v>-25.827120384000001</v>
      </c>
      <c r="AJ8" s="135">
        <v>-25.233169135000001</v>
      </c>
      <c r="AK8" s="135">
        <v>-39.160759704999997</v>
      </c>
      <c r="AL8" s="135">
        <v>-65.471277078</v>
      </c>
      <c r="AM8" s="135">
        <v>-56.013720499999998</v>
      </c>
      <c r="AN8" s="135">
        <v>-46.022363187000003</v>
      </c>
      <c r="AO8" s="135">
        <v>-65.372146469</v>
      </c>
      <c r="AP8" s="170">
        <v>-114.960070907</v>
      </c>
      <c r="AQ8" s="170">
        <v>-105.700047545</v>
      </c>
      <c r="AR8" s="170">
        <v>-104.974336364</v>
      </c>
      <c r="AS8" s="155">
        <v>-110.93869542</v>
      </c>
      <c r="AT8" s="155">
        <v>-133.35501206500001</v>
      </c>
      <c r="AU8" s="155">
        <v>-133.78312023699999</v>
      </c>
      <c r="AV8" s="155">
        <v>-146.141603987</v>
      </c>
      <c r="AW8" s="155">
        <v>-156.47510855499999</v>
      </c>
      <c r="AX8" s="155">
        <v>-178.248207665</v>
      </c>
      <c r="AY8" s="155">
        <v>-137.081235663</v>
      </c>
      <c r="AZ8" s="155">
        <v>-132.14626749199999</v>
      </c>
      <c r="BA8" s="155">
        <v>-146.67580293099999</v>
      </c>
      <c r="BB8" s="40">
        <v>-152.80239519099999</v>
      </c>
      <c r="BC8" s="40">
        <v>-170.84221576799999</v>
      </c>
      <c r="BD8" s="155">
        <v>-164.67884072800001</v>
      </c>
      <c r="BE8" s="155">
        <v>-225.42169071800001</v>
      </c>
      <c r="BF8" s="155">
        <v>-206.279128125</v>
      </c>
      <c r="BG8" s="287">
        <v>-360.15734653999999</v>
      </c>
      <c r="BH8" s="287">
        <v>-434.63715038200002</v>
      </c>
      <c r="BI8" s="287">
        <v>-381.54682948499999</v>
      </c>
      <c r="BJ8" s="287">
        <v>-295.779227945</v>
      </c>
      <c r="BK8" s="287">
        <v>-396.87509483899998</v>
      </c>
      <c r="BL8" s="287">
        <v>-444.91105877000001</v>
      </c>
      <c r="BM8" s="287">
        <v>-418.58072542799999</v>
      </c>
      <c r="BN8" s="287">
        <v>-375.24</v>
      </c>
      <c r="BO8" s="287">
        <v>-293.71725455799998</v>
      </c>
      <c r="BP8" s="287">
        <v>-330.44</v>
      </c>
      <c r="BQ8" s="287">
        <v>-189.07196317099999</v>
      </c>
      <c r="BR8" s="287">
        <v>-339.023162705</v>
      </c>
      <c r="BS8" s="287">
        <v>-402.45446864399997</v>
      </c>
      <c r="BT8" s="287">
        <v>-410.74327563600002</v>
      </c>
      <c r="BU8" s="287"/>
      <c r="BV8" s="171"/>
      <c r="BW8" s="171"/>
      <c r="BX8" s="171"/>
      <c r="BY8" s="171"/>
      <c r="BZ8" s="171"/>
      <c r="CA8" s="171"/>
      <c r="CB8" s="171"/>
      <c r="CC8" s="171"/>
      <c r="CD8" s="171"/>
      <c r="CE8" s="171"/>
      <c r="CF8" s="171"/>
      <c r="CG8" s="171"/>
      <c r="CH8" s="171"/>
      <c r="CI8" s="171"/>
      <c r="CJ8" s="171"/>
      <c r="CK8" s="171"/>
      <c r="CL8" s="171"/>
      <c r="CM8" s="171"/>
      <c r="CN8" s="171"/>
      <c r="CO8" s="171"/>
      <c r="CP8" s="171"/>
      <c r="CQ8" s="171"/>
      <c r="CR8" s="171"/>
      <c r="CS8" s="171"/>
      <c r="CT8" s="171"/>
      <c r="CU8" s="171"/>
      <c r="CV8" s="171"/>
      <c r="CW8" s="171"/>
      <c r="CX8" s="171"/>
      <c r="CY8" s="171"/>
      <c r="CZ8" s="171"/>
      <c r="DA8" s="171"/>
      <c r="DB8" s="171"/>
      <c r="DC8" s="171"/>
      <c r="DD8" s="171"/>
      <c r="DE8" s="171"/>
      <c r="DF8" s="139"/>
      <c r="DG8" s="139"/>
      <c r="DH8" s="139"/>
      <c r="DI8" s="139"/>
      <c r="DJ8" s="139"/>
      <c r="DK8" s="139"/>
      <c r="DL8" s="139"/>
      <c r="DM8" s="139"/>
      <c r="DN8" s="139"/>
      <c r="DO8" s="139"/>
      <c r="DP8" s="139"/>
      <c r="DQ8" s="139"/>
      <c r="DR8" s="139"/>
      <c r="DS8" s="172"/>
      <c r="DT8" s="139" t="str">
        <f t="shared" si="10"/>
        <v/>
      </c>
      <c r="DU8" s="139" t="str">
        <f t="shared" si="11"/>
        <v/>
      </c>
      <c r="DV8" s="139" t="str">
        <f t="shared" si="12"/>
        <v/>
      </c>
      <c r="DW8" s="139" t="str">
        <f t="shared" si="13"/>
        <v/>
      </c>
      <c r="DX8" s="139" t="str">
        <f t="shared" si="14"/>
        <v/>
      </c>
      <c r="DY8" s="139" t="str">
        <f t="shared" si="15"/>
        <v/>
      </c>
      <c r="DZ8" s="139" t="str">
        <f t="shared" si="16"/>
        <v/>
      </c>
      <c r="EA8" s="139" t="str">
        <f t="shared" si="17"/>
        <v/>
      </c>
      <c r="EB8" s="139" t="str">
        <f t="shared" si="18"/>
        <v/>
      </c>
      <c r="EC8" s="139" t="str">
        <f t="shared" si="19"/>
        <v/>
      </c>
      <c r="ED8" s="139" t="str">
        <f t="shared" si="20"/>
        <v/>
      </c>
      <c r="EE8" s="139" t="str">
        <f t="shared" si="21"/>
        <v/>
      </c>
      <c r="EF8" s="139" t="str">
        <f t="shared" si="22"/>
        <v/>
      </c>
      <c r="EG8" s="139" t="str">
        <f t="shared" si="23"/>
        <v/>
      </c>
      <c r="EH8" s="139" t="str">
        <f t="shared" si="24"/>
        <v/>
      </c>
      <c r="EI8" s="139" t="str">
        <f t="shared" si="25"/>
        <v/>
      </c>
      <c r="EJ8" s="139" t="str">
        <f t="shared" si="26"/>
        <v/>
      </c>
      <c r="EK8" s="139" t="str">
        <f t="shared" si="27"/>
        <v/>
      </c>
      <c r="EL8" s="139" t="str">
        <f t="shared" si="28"/>
        <v/>
      </c>
      <c r="EM8" s="139" t="str">
        <f t="shared" si="29"/>
        <v/>
      </c>
      <c r="EN8" s="139">
        <f t="shared" si="30"/>
        <v>1.4917814569352528</v>
      </c>
      <c r="EO8" s="139">
        <f t="shared" si="31"/>
        <v>0.71939778366505447</v>
      </c>
      <c r="EP8" s="139">
        <f t="shared" si="32"/>
        <v>0.30107877886092038</v>
      </c>
      <c r="EQ8" s="139">
        <f t="shared" si="33"/>
        <v>1.1582949271641851</v>
      </c>
      <c r="ER8" s="139">
        <f t="shared" si="34"/>
        <v>1.436435612696966</v>
      </c>
      <c r="ES8" s="139">
        <f t="shared" si="35"/>
        <v>1.5755539522280344</v>
      </c>
      <c r="ET8" s="139">
        <f t="shared" si="36"/>
        <v>2.8062107431496992</v>
      </c>
      <c r="EU8" s="139">
        <f t="shared" si="37"/>
        <v>2.3324772937386635</v>
      </c>
      <c r="EV8" s="139">
        <f t="shared" si="38"/>
        <v>1.1922547783172019</v>
      </c>
      <c r="EW8" s="139">
        <f t="shared" si="39"/>
        <v>1.1687946494685759</v>
      </c>
      <c r="EX8" s="139">
        <f t="shared" si="40"/>
        <v>0.82388359309033743</v>
      </c>
      <c r="EY8" s="139">
        <f t="shared" si="41"/>
        <v>0.66932784147835034</v>
      </c>
      <c r="EZ8" s="139">
        <f t="shared" si="42"/>
        <v>0.75588557360872821</v>
      </c>
      <c r="FA8" s="139">
        <f t="shared" si="43"/>
        <v>0.88703850773490411</v>
      </c>
      <c r="FB8" s="139">
        <f t="shared" si="44"/>
        <v>1.2809418963877159</v>
      </c>
      <c r="FC8" s="139">
        <f t="shared" si="45"/>
        <v>0.69703308537693531</v>
      </c>
      <c r="FD8" s="139">
        <f t="shared" si="46"/>
        <v>0.16001156760664381</v>
      </c>
      <c r="FE8" s="139">
        <f t="shared" si="47"/>
        <v>0.2656864717117946</v>
      </c>
      <c r="FF8" s="139">
        <f t="shared" si="48"/>
        <v>0.39216506670975204</v>
      </c>
      <c r="FG8" s="139">
        <f t="shared" si="49"/>
        <v>0.41046465313662495</v>
      </c>
      <c r="FH8" s="139">
        <f t="shared" si="50"/>
        <v>0.33664423185022918</v>
      </c>
      <c r="FI8" s="139">
        <f t="shared" si="51"/>
        <v>2.4652702225492318E-2</v>
      </c>
      <c r="FJ8" s="139">
        <f t="shared" si="52"/>
        <v>-9.5765587027804577E-2</v>
      </c>
      <c r="FK8" s="139">
        <f t="shared" si="53"/>
        <v>-6.2625332006436052E-2</v>
      </c>
    </row>
    <row r="9" spans="1:167" ht="16">
      <c r="B9" s="140" t="str">
        <f>'FS Year'!B9</f>
        <v>Of Which: Interest Expenses</v>
      </c>
      <c r="C9" s="127" t="s">
        <v>1236</v>
      </c>
      <c r="D9" s="128"/>
      <c r="E9" s="128"/>
      <c r="F9" s="128"/>
      <c r="G9" s="128"/>
      <c r="H9" s="128"/>
      <c r="I9" s="128"/>
      <c r="J9" s="128"/>
      <c r="K9" s="128"/>
      <c r="L9" s="128"/>
      <c r="M9" s="128"/>
      <c r="N9" s="128"/>
      <c r="O9" s="128"/>
      <c r="P9" s="128"/>
      <c r="Q9" s="128"/>
      <c r="R9" s="128"/>
      <c r="S9" s="128"/>
      <c r="T9" s="128"/>
      <c r="U9" s="128"/>
      <c r="V9" s="128"/>
      <c r="W9" s="128"/>
      <c r="X9" s="128"/>
      <c r="Y9" s="128"/>
      <c r="Z9" s="128">
        <v>-4.9179335660000003</v>
      </c>
      <c r="AA9" s="128">
        <v>-5.8146993709999997</v>
      </c>
      <c r="AB9" s="128">
        <v>-5.0845742359999999</v>
      </c>
      <c r="AC9" s="128">
        <v>-5.4442085880000004</v>
      </c>
      <c r="AD9" s="128">
        <v>-12.203517911</v>
      </c>
      <c r="AE9" s="128">
        <v>-8.7307371610000004</v>
      </c>
      <c r="AF9" s="128">
        <v>-6.1376892559999998</v>
      </c>
      <c r="AG9" s="128">
        <v>-11.821907685999999</v>
      </c>
      <c r="AH9" s="128">
        <v>-29.818588379000001</v>
      </c>
      <c r="AI9" s="128">
        <v>-25.560229080999999</v>
      </c>
      <c r="AJ9" s="128">
        <v>-25.006812971999999</v>
      </c>
      <c r="AK9" s="128">
        <v>-39.160064874</v>
      </c>
      <c r="AL9" s="128">
        <v>-65.386590548000001</v>
      </c>
      <c r="AM9" s="128">
        <v>-55.706011072999999</v>
      </c>
      <c r="AN9" s="128">
        <v>-45.558103727000002</v>
      </c>
      <c r="AO9" s="128">
        <v>-60.704492385000002</v>
      </c>
      <c r="AP9" s="173">
        <v>-112.795317948</v>
      </c>
      <c r="AQ9" s="173">
        <v>-105.346054241</v>
      </c>
      <c r="AR9" s="173">
        <v>-107.492002949</v>
      </c>
      <c r="AS9" s="288">
        <v>-110.783202536</v>
      </c>
      <c r="AT9" s="288">
        <v>-133.354979214</v>
      </c>
      <c r="AU9" s="288">
        <v>-133.75618990999999</v>
      </c>
      <c r="AV9" s="288">
        <v>-144.68735394999999</v>
      </c>
      <c r="AW9" s="158">
        <v>-156.33819406000001</v>
      </c>
      <c r="AX9" s="158">
        <v>-178.228120389</v>
      </c>
      <c r="AY9" s="158">
        <v>-136.986550722</v>
      </c>
      <c r="AZ9" s="158">
        <v>-132.17734065799999</v>
      </c>
      <c r="BA9" s="158">
        <v>-143.611809252</v>
      </c>
      <c r="BB9" s="41">
        <v>-152.70697401699999</v>
      </c>
      <c r="BC9" s="41">
        <v>-169.881589077</v>
      </c>
      <c r="BD9" s="158">
        <v>-163.93269429399999</v>
      </c>
      <c r="BE9" s="158">
        <v>-187.425447131</v>
      </c>
      <c r="BF9" s="288">
        <v>-200.47373672399999</v>
      </c>
      <c r="BG9" s="287">
        <v>-365.962737941</v>
      </c>
      <c r="BH9" s="287">
        <v>-434.63715038200002</v>
      </c>
      <c r="BI9" s="287">
        <v>-361.07028405599999</v>
      </c>
      <c r="BJ9" s="287">
        <v>-295.77872670599999</v>
      </c>
      <c r="BK9" s="287">
        <v>-384.52097632599998</v>
      </c>
      <c r="BL9" s="287">
        <v>-438.38348766199999</v>
      </c>
      <c r="BM9" s="287">
        <v>-329.035164103</v>
      </c>
      <c r="BN9" s="287">
        <v>-266.98</v>
      </c>
      <c r="BO9" s="287">
        <v>-243.089634104</v>
      </c>
      <c r="BP9" s="287">
        <v>-303.7</v>
      </c>
      <c r="BQ9" s="287">
        <v>-323.470486929</v>
      </c>
      <c r="BR9" s="287">
        <v>-322.79285049999999</v>
      </c>
      <c r="BS9" s="287">
        <v>-375.17848203800003</v>
      </c>
      <c r="BT9" s="287">
        <v>-388.038374707</v>
      </c>
      <c r="BU9" s="287"/>
      <c r="BV9" s="171"/>
      <c r="BW9" s="171"/>
      <c r="BX9" s="171"/>
      <c r="BY9" s="171"/>
      <c r="BZ9" s="171"/>
      <c r="CA9" s="171"/>
      <c r="CB9" s="171"/>
      <c r="CC9" s="171"/>
      <c r="CD9" s="171"/>
      <c r="CE9" s="171"/>
      <c r="CF9" s="171"/>
      <c r="CG9" s="171"/>
      <c r="CH9" s="171"/>
      <c r="CI9" s="171"/>
      <c r="CJ9" s="171"/>
      <c r="CK9" s="171"/>
      <c r="CL9" s="171"/>
      <c r="CM9" s="171"/>
      <c r="CN9" s="171"/>
      <c r="CO9" s="171"/>
      <c r="CP9" s="171"/>
      <c r="CQ9" s="171"/>
      <c r="CR9" s="171"/>
      <c r="CS9" s="171"/>
      <c r="CT9" s="171"/>
      <c r="CU9" s="171"/>
      <c r="CV9" s="171"/>
      <c r="CW9" s="171"/>
      <c r="CX9" s="171"/>
      <c r="CY9" s="171"/>
      <c r="CZ9" s="171"/>
      <c r="DA9" s="171"/>
      <c r="DB9" s="171"/>
      <c r="DC9" s="171"/>
      <c r="DD9" s="171"/>
      <c r="DE9" s="171"/>
      <c r="DF9" s="139"/>
      <c r="DG9" s="139"/>
      <c r="DH9" s="139"/>
      <c r="DI9" s="139"/>
      <c r="DJ9" s="139"/>
      <c r="DK9" s="139"/>
      <c r="DL9" s="139"/>
      <c r="DM9" s="139"/>
      <c r="DN9" s="139"/>
      <c r="DO9" s="139"/>
      <c r="DP9" s="139"/>
      <c r="DQ9" s="139"/>
      <c r="DR9" s="139"/>
      <c r="DS9" s="175"/>
      <c r="DT9" s="142" t="str">
        <f t="shared" si="10"/>
        <v/>
      </c>
      <c r="DU9" s="142" t="str">
        <f t="shared" si="11"/>
        <v/>
      </c>
      <c r="DV9" s="142" t="str">
        <f t="shared" si="12"/>
        <v/>
      </c>
      <c r="DW9" s="142" t="str">
        <f t="shared" si="13"/>
        <v/>
      </c>
      <c r="DX9" s="142" t="str">
        <f t="shared" si="14"/>
        <v/>
      </c>
      <c r="DY9" s="142" t="str">
        <f t="shared" si="15"/>
        <v/>
      </c>
      <c r="DZ9" s="142" t="str">
        <f t="shared" si="16"/>
        <v/>
      </c>
      <c r="EA9" s="142" t="str">
        <f t="shared" si="17"/>
        <v/>
      </c>
      <c r="EB9" s="142" t="str">
        <f t="shared" si="18"/>
        <v/>
      </c>
      <c r="EC9" s="142" t="str">
        <f t="shared" si="19"/>
        <v/>
      </c>
      <c r="ED9" s="142" t="str">
        <f t="shared" si="20"/>
        <v/>
      </c>
      <c r="EE9" s="142" t="str">
        <f t="shared" si="21"/>
        <v/>
      </c>
      <c r="EF9" s="142" t="str">
        <f t="shared" si="22"/>
        <v/>
      </c>
      <c r="EG9" s="142" t="str">
        <f t="shared" si="23"/>
        <v/>
      </c>
      <c r="EH9" s="142" t="str">
        <f t="shared" si="24"/>
        <v/>
      </c>
      <c r="EI9" s="142" t="str">
        <f t="shared" si="25"/>
        <v/>
      </c>
      <c r="EJ9" s="142" t="str">
        <f t="shared" si="26"/>
        <v/>
      </c>
      <c r="EK9" s="142" t="str">
        <f t="shared" si="27"/>
        <v/>
      </c>
      <c r="EL9" s="142" t="str">
        <f t="shared" si="28"/>
        <v/>
      </c>
      <c r="EM9" s="142" t="str">
        <f t="shared" si="29"/>
        <v/>
      </c>
      <c r="EN9" s="142">
        <f t="shared" si="30"/>
        <v>1.481432037912974</v>
      </c>
      <c r="EO9" s="142">
        <f t="shared" si="31"/>
        <v>0.50149416228521315</v>
      </c>
      <c r="EP9" s="142">
        <f t="shared" si="32"/>
        <v>0.20711960748722946</v>
      </c>
      <c r="EQ9" s="142">
        <f t="shared" si="33"/>
        <v>1.1714648685683309</v>
      </c>
      <c r="ER9" s="142">
        <f t="shared" si="34"/>
        <v>1.4434420137263975</v>
      </c>
      <c r="ES9" s="142">
        <f t="shared" si="35"/>
        <v>1.9276140845445386</v>
      </c>
      <c r="ET9" s="142">
        <f t="shared" si="36"/>
        <v>3.0743041768617028</v>
      </c>
      <c r="EU9" s="142">
        <f t="shared" si="37"/>
        <v>2.3124996332338981</v>
      </c>
      <c r="EV9" s="142">
        <f t="shared" si="38"/>
        <v>1.1928130774308912</v>
      </c>
      <c r="EW9" s="142">
        <f t="shared" si="39"/>
        <v>1.1794018706353708</v>
      </c>
      <c r="EX9" s="142">
        <f t="shared" si="40"/>
        <v>0.82182766664473306</v>
      </c>
      <c r="EY9" s="142">
        <f t="shared" si="41"/>
        <v>0.55016322317954702</v>
      </c>
      <c r="EZ9" s="142">
        <f t="shared" si="42"/>
        <v>0.72505275168304539</v>
      </c>
      <c r="FA9" s="142">
        <f t="shared" si="43"/>
        <v>0.89110748035699694</v>
      </c>
      <c r="FB9" s="142">
        <f t="shared" si="44"/>
        <v>1.3594485756722765</v>
      </c>
      <c r="FC9" s="142">
        <f t="shared" si="45"/>
        <v>0.82495888168194931</v>
      </c>
      <c r="FD9" s="142">
        <f t="shared" si="46"/>
        <v>0.18227406633561016</v>
      </c>
      <c r="FE9" s="142">
        <f t="shared" si="47"/>
        <v>0.26968390865410252</v>
      </c>
      <c r="FF9" s="142">
        <f t="shared" si="48"/>
        <v>0.34602900662896263</v>
      </c>
      <c r="FG9" s="142">
        <f t="shared" si="49"/>
        <v>0.4112084727754326</v>
      </c>
      <c r="FH9" s="142">
        <f t="shared" si="50"/>
        <v>0.33649393100643277</v>
      </c>
      <c r="FI9" s="142">
        <f t="shared" si="51"/>
        <v>2.4151112663822305E-2</v>
      </c>
      <c r="FJ9" s="142">
        <f t="shared" si="52"/>
        <v>-8.6462382167297847E-2</v>
      </c>
      <c r="FK9" s="142">
        <f t="shared" si="53"/>
        <v>-8.1402915548044685E-2</v>
      </c>
    </row>
    <row r="10" spans="1:167" ht="16">
      <c r="B10" s="140" t="str">
        <f>'FS Year'!B10</f>
        <v>Gain/(Loss) From Joint Ventures (From 2015)</v>
      </c>
      <c r="C10" s="143" t="s">
        <v>747</v>
      </c>
      <c r="D10" s="128"/>
      <c r="E10" s="128"/>
      <c r="F10" s="128"/>
      <c r="G10" s="128"/>
      <c r="H10" s="128"/>
      <c r="I10" s="128"/>
      <c r="J10" s="128"/>
      <c r="K10" s="128"/>
      <c r="L10" s="128"/>
      <c r="M10" s="128"/>
      <c r="N10" s="128"/>
      <c r="O10" s="128"/>
      <c r="P10" s="128"/>
      <c r="Q10" s="128"/>
      <c r="R10" s="128"/>
      <c r="S10" s="128"/>
      <c r="T10" s="128"/>
      <c r="U10" s="128"/>
      <c r="V10" s="128"/>
      <c r="W10" s="128"/>
      <c r="X10" s="128"/>
      <c r="Y10" s="128"/>
      <c r="Z10" s="128">
        <v>0</v>
      </c>
      <c r="AA10" s="128">
        <v>0</v>
      </c>
      <c r="AB10" s="128">
        <v>0</v>
      </c>
      <c r="AC10" s="128">
        <v>0</v>
      </c>
      <c r="AD10" s="128">
        <v>0</v>
      </c>
      <c r="AE10" s="128">
        <v>0</v>
      </c>
      <c r="AF10" s="128">
        <v>0</v>
      </c>
      <c r="AG10" s="128">
        <v>0</v>
      </c>
      <c r="AH10" s="128">
        <v>0</v>
      </c>
      <c r="AI10" s="128">
        <v>0</v>
      </c>
      <c r="AJ10" s="128">
        <v>0</v>
      </c>
      <c r="AK10" s="128">
        <v>0</v>
      </c>
      <c r="AL10" s="128">
        <v>0</v>
      </c>
      <c r="AM10" s="128">
        <v>0</v>
      </c>
      <c r="AN10" s="128">
        <v>0</v>
      </c>
      <c r="AO10" s="128">
        <v>0</v>
      </c>
      <c r="AP10" s="173">
        <v>0</v>
      </c>
      <c r="AQ10" s="173">
        <v>-0.73450127700000001</v>
      </c>
      <c r="AR10" s="173">
        <v>-2.544230352</v>
      </c>
      <c r="AS10" s="288">
        <v>1.177744744</v>
      </c>
      <c r="AT10" s="288">
        <v>-3.5448106E-2</v>
      </c>
      <c r="AU10" s="288">
        <v>-0.45735841799999999</v>
      </c>
      <c r="AV10" s="288">
        <v>-1.068783689</v>
      </c>
      <c r="AW10" s="158">
        <v>-1.9116931580000001</v>
      </c>
      <c r="AX10" s="158">
        <v>-1.4038549440000001</v>
      </c>
      <c r="AY10" s="158">
        <v>-1.160758009</v>
      </c>
      <c r="AZ10" s="158">
        <v>-1.2290817469999999</v>
      </c>
      <c r="BA10" s="158">
        <v>8.6755229000000003E-2</v>
      </c>
      <c r="BB10" s="41">
        <v>-2.9605620909999999</v>
      </c>
      <c r="BC10" s="41">
        <v>-3.413282846</v>
      </c>
      <c r="BD10" s="158">
        <v>-1.2382535160000001</v>
      </c>
      <c r="BE10" s="158">
        <v>11.771267591999999</v>
      </c>
      <c r="BF10" s="288">
        <v>0</v>
      </c>
      <c r="BG10" s="289">
        <v>0</v>
      </c>
      <c r="BH10" s="289">
        <v>0</v>
      </c>
      <c r="BI10" s="289">
        <v>0</v>
      </c>
      <c r="BJ10" s="289">
        <v>0</v>
      </c>
      <c r="BK10" s="289">
        <v>0</v>
      </c>
      <c r="BL10" s="289">
        <v>0</v>
      </c>
      <c r="BM10" s="289">
        <v>0</v>
      </c>
      <c r="BN10" s="289">
        <v>-20.49</v>
      </c>
      <c r="BO10" s="289">
        <v>-26.681279546999999</v>
      </c>
      <c r="BP10" s="289">
        <v>0.15</v>
      </c>
      <c r="BQ10" s="289">
        <v>2.422520118</v>
      </c>
      <c r="BR10" s="289">
        <v>3.1297742999999998</v>
      </c>
      <c r="BS10" s="289">
        <v>11.121630774</v>
      </c>
      <c r="BT10" s="289">
        <v>4.1767013549999996</v>
      </c>
      <c r="BU10" s="289"/>
      <c r="BV10" s="174"/>
      <c r="BW10" s="174"/>
      <c r="BX10" s="174"/>
      <c r="BY10" s="174"/>
      <c r="BZ10" s="174"/>
      <c r="CA10" s="174"/>
      <c r="CB10" s="174"/>
      <c r="CC10" s="174"/>
      <c r="CD10" s="174"/>
      <c r="CE10" s="174"/>
      <c r="CF10" s="174"/>
      <c r="CG10" s="174"/>
      <c r="CH10" s="174"/>
      <c r="CI10" s="174"/>
      <c r="CJ10" s="174"/>
      <c r="CK10" s="174"/>
      <c r="CL10" s="174"/>
      <c r="CM10" s="174"/>
      <c r="CN10" s="174"/>
      <c r="CO10" s="174"/>
      <c r="CP10" s="174"/>
      <c r="CQ10" s="174"/>
      <c r="CR10" s="174"/>
      <c r="CS10" s="174"/>
      <c r="CT10" s="174"/>
      <c r="CU10" s="174"/>
      <c r="CV10" s="174"/>
      <c r="CW10" s="174"/>
      <c r="CX10" s="174"/>
      <c r="CY10" s="174"/>
      <c r="CZ10" s="174"/>
      <c r="DA10" s="174"/>
      <c r="DB10" s="174"/>
      <c r="DC10" s="174"/>
      <c r="DD10" s="174"/>
      <c r="DE10" s="174"/>
      <c r="DF10" s="142"/>
      <c r="DG10" s="142"/>
      <c r="DH10" s="142"/>
      <c r="DI10" s="142"/>
      <c r="DJ10" s="142"/>
      <c r="DK10" s="142"/>
      <c r="DL10" s="142"/>
      <c r="DM10" s="142"/>
      <c r="DN10" s="142"/>
      <c r="DO10" s="142"/>
      <c r="DP10" s="142"/>
      <c r="DQ10" s="142"/>
      <c r="DR10" s="142"/>
      <c r="DS10" s="175"/>
      <c r="DT10" s="142" t="str">
        <f t="shared" si="10"/>
        <v/>
      </c>
      <c r="DU10" s="142" t="str">
        <f t="shared" si="11"/>
        <v/>
      </c>
      <c r="DV10" s="142" t="str">
        <f t="shared" si="12"/>
        <v/>
      </c>
      <c r="DW10" s="142" t="str">
        <f t="shared" si="13"/>
        <v/>
      </c>
      <c r="DX10" s="142" t="str">
        <f t="shared" si="14"/>
        <v/>
      </c>
      <c r="DY10" s="142" t="str">
        <f t="shared" si="15"/>
        <v/>
      </c>
      <c r="DZ10" s="142" t="str">
        <f t="shared" si="16"/>
        <v/>
      </c>
      <c r="EA10" s="142" t="str">
        <f t="shared" si="17"/>
        <v/>
      </c>
      <c r="EB10" s="142" t="str">
        <f t="shared" si="18"/>
        <v/>
      </c>
      <c r="EC10" s="142" t="str">
        <f t="shared" si="19"/>
        <v/>
      </c>
      <c r="ED10" s="142" t="str">
        <f t="shared" si="20"/>
        <v/>
      </c>
      <c r="EE10" s="142" t="str">
        <f t="shared" si="21"/>
        <v/>
      </c>
      <c r="EF10" s="142" t="str">
        <f t="shared" si="22"/>
        <v/>
      </c>
      <c r="EG10" s="142" t="str">
        <f t="shared" si="23"/>
        <v/>
      </c>
      <c r="EH10" s="142" t="str">
        <f t="shared" si="24"/>
        <v/>
      </c>
      <c r="EI10" s="142" t="str">
        <f t="shared" si="25"/>
        <v/>
      </c>
      <c r="EJ10" s="142" t="str">
        <f t="shared" si="26"/>
        <v/>
      </c>
      <c r="EK10" s="142" t="str">
        <f t="shared" si="27"/>
        <v/>
      </c>
      <c r="EL10" s="142" t="str">
        <f t="shared" si="28"/>
        <v/>
      </c>
      <c r="EM10" s="142" t="str">
        <f t="shared" si="29"/>
        <v/>
      </c>
      <c r="EN10" s="142" t="str">
        <f t="shared" si="30"/>
        <v/>
      </c>
      <c r="EO10" s="142" t="str">
        <f t="shared" si="31"/>
        <v/>
      </c>
      <c r="EP10" s="142" t="str">
        <f t="shared" si="32"/>
        <v/>
      </c>
      <c r="EQ10" s="142" t="str">
        <f t="shared" si="33"/>
        <v/>
      </c>
      <c r="ER10" s="142" t="str">
        <f t="shared" si="34"/>
        <v/>
      </c>
      <c r="ES10" s="142" t="str">
        <f t="shared" si="35"/>
        <v/>
      </c>
      <c r="ET10" s="142" t="str">
        <f t="shared" si="36"/>
        <v/>
      </c>
      <c r="EU10" s="142" t="str">
        <f t="shared" si="37"/>
        <v/>
      </c>
      <c r="EV10" s="142" t="str">
        <f t="shared" si="38"/>
        <v/>
      </c>
      <c r="EW10" s="142" t="str">
        <f t="shared" si="39"/>
        <v/>
      </c>
      <c r="EX10" s="142" t="str">
        <f t="shared" si="40"/>
        <v/>
      </c>
      <c r="EY10" s="142" t="str">
        <f t="shared" si="41"/>
        <v/>
      </c>
      <c r="EZ10" s="142" t="str">
        <f t="shared" si="42"/>
        <v/>
      </c>
      <c r="FA10" s="142" t="str">
        <f t="shared" si="43"/>
        <v/>
      </c>
      <c r="FB10" s="142" t="str">
        <f t="shared" si="44"/>
        <v/>
      </c>
      <c r="FC10" s="142" t="str">
        <f t="shared" si="45"/>
        <v/>
      </c>
      <c r="FD10" s="142" t="str">
        <f t="shared" si="46"/>
        <v/>
      </c>
      <c r="FE10" s="142">
        <f t="shared" si="47"/>
        <v>-0.37732113976978154</v>
      </c>
      <c r="FF10" s="142">
        <f t="shared" si="48"/>
        <v>-0.57991866256927671</v>
      </c>
      <c r="FG10" s="142">
        <f t="shared" si="49"/>
        <v>-2.6231812264406931</v>
      </c>
      <c r="FH10" s="142">
        <f t="shared" si="50"/>
        <v>38.603101615640625</v>
      </c>
      <c r="FI10" s="142">
        <f t="shared" si="51"/>
        <v>1.5379613959570766</v>
      </c>
      <c r="FJ10" s="142">
        <f t="shared" si="52"/>
        <v>0.14998175931182267</v>
      </c>
      <c r="FK10" s="142">
        <f t="shared" si="53"/>
        <v>-1.0453813566455208</v>
      </c>
    </row>
    <row r="11" spans="1:167" s="417" customFormat="1" ht="16">
      <c r="B11" s="418" t="str">
        <f>'FS Year'!B11</f>
        <v>Selling Expenses</v>
      </c>
      <c r="C11" s="419" t="s">
        <v>331</v>
      </c>
      <c r="D11" s="420"/>
      <c r="E11" s="420"/>
      <c r="F11" s="420"/>
      <c r="G11" s="420"/>
      <c r="H11" s="420"/>
      <c r="I11" s="420"/>
      <c r="J11" s="420"/>
      <c r="K11" s="420"/>
      <c r="L11" s="420"/>
      <c r="M11" s="420"/>
      <c r="N11" s="420"/>
      <c r="O11" s="420"/>
      <c r="P11" s="420"/>
      <c r="Q11" s="420"/>
      <c r="R11" s="420"/>
      <c r="S11" s="420"/>
      <c r="T11" s="420"/>
      <c r="U11" s="420"/>
      <c r="V11" s="420"/>
      <c r="W11" s="420"/>
      <c r="X11" s="420"/>
      <c r="Y11" s="420"/>
      <c r="Z11" s="420">
        <v>-285.066940101</v>
      </c>
      <c r="AA11" s="420">
        <v>-291.02027858600002</v>
      </c>
      <c r="AB11" s="420">
        <v>-356.16173285600001</v>
      </c>
      <c r="AC11" s="420">
        <v>-417.05211882700002</v>
      </c>
      <c r="AD11" s="420">
        <v>-456.84844227399998</v>
      </c>
      <c r="AE11" s="420">
        <v>-490.95071230999997</v>
      </c>
      <c r="AF11" s="420">
        <v>-614.54680464700004</v>
      </c>
      <c r="AG11" s="420">
        <v>-788.74876076600003</v>
      </c>
      <c r="AH11" s="420">
        <v>-907.14237616800006</v>
      </c>
      <c r="AI11" s="420">
        <v>-906.27016971099999</v>
      </c>
      <c r="AJ11" s="420">
        <v>-1093.5765136739999</v>
      </c>
      <c r="AK11" s="420">
        <v>-1380.710800673</v>
      </c>
      <c r="AL11" s="420">
        <v>-1585.643955972</v>
      </c>
      <c r="AM11" s="420">
        <v>-1671.0860208900001</v>
      </c>
      <c r="AN11" s="420">
        <v>-1781.348852977</v>
      </c>
      <c r="AO11" s="420">
        <v>-1978.9294916649999</v>
      </c>
      <c r="AP11" s="421">
        <v>-2308.8087526449999</v>
      </c>
      <c r="AQ11" s="421">
        <v>-2464.2204187930001</v>
      </c>
      <c r="AR11" s="421">
        <v>-2436.7498406469999</v>
      </c>
      <c r="AS11" s="188">
        <v>-2449.9621766710002</v>
      </c>
      <c r="AT11" s="188">
        <v>-2466.1790889700001</v>
      </c>
      <c r="AU11" s="188">
        <v>-2991.5948135120002</v>
      </c>
      <c r="AV11" s="188">
        <v>-3284.9261829440002</v>
      </c>
      <c r="AW11" s="188">
        <v>-3694.582632786</v>
      </c>
      <c r="AX11" s="188">
        <v>-3782.7746033019998</v>
      </c>
      <c r="AY11" s="188">
        <v>-3538.3684356959998</v>
      </c>
      <c r="AZ11" s="188">
        <v>-3753.4867345570001</v>
      </c>
      <c r="BA11" s="188">
        <v>-4259.1690572320003</v>
      </c>
      <c r="BB11" s="189">
        <v>-4245.1306373030002</v>
      </c>
      <c r="BC11" s="189">
        <v>-4545.6022950349998</v>
      </c>
      <c r="BD11" s="188">
        <v>-4270.4320068930001</v>
      </c>
      <c r="BE11" s="188">
        <v>-4853.0083631139996</v>
      </c>
      <c r="BF11" s="188">
        <v>-5036.0305911470005</v>
      </c>
      <c r="BG11" s="422">
        <v>-4807.8756820620001</v>
      </c>
      <c r="BH11" s="422">
        <v>-5342.606252861</v>
      </c>
      <c r="BI11" s="422">
        <v>-6603.4864497110002</v>
      </c>
      <c r="BJ11" s="422">
        <v>-4784.6859112129996</v>
      </c>
      <c r="BK11" s="422">
        <v>-5211.1335005330002</v>
      </c>
      <c r="BL11" s="422">
        <v>-4278.7671498979998</v>
      </c>
      <c r="BM11" s="422">
        <v>-5607.0795677659999</v>
      </c>
      <c r="BN11" s="422">
        <v>-4821.34</v>
      </c>
      <c r="BO11" s="422">
        <v>-5056.4360838120001</v>
      </c>
      <c r="BP11" s="422">
        <v>-4848.95</v>
      </c>
      <c r="BQ11" s="422">
        <v>-5123.1081970819996</v>
      </c>
      <c r="BR11" s="422">
        <v>-4403.0063437500003</v>
      </c>
      <c r="BS11" s="422">
        <v>-4703.2832052009999</v>
      </c>
      <c r="BT11" s="422">
        <v>-4570.8334915080004</v>
      </c>
      <c r="BU11" s="422"/>
      <c r="BV11" s="423"/>
      <c r="BW11" s="423"/>
      <c r="BX11" s="423"/>
      <c r="BY11" s="423"/>
      <c r="BZ11" s="423"/>
      <c r="CA11" s="423"/>
      <c r="CB11" s="423"/>
      <c r="CC11" s="423"/>
      <c r="CD11" s="423"/>
      <c r="CE11" s="423"/>
      <c r="CF11" s="423"/>
      <c r="CG11" s="423"/>
      <c r="CH11" s="423"/>
      <c r="CI11" s="423"/>
      <c r="CJ11" s="423"/>
      <c r="CK11" s="423"/>
      <c r="CL11" s="423"/>
      <c r="CM11" s="423"/>
      <c r="CN11" s="423"/>
      <c r="CO11" s="423"/>
      <c r="CP11" s="423"/>
      <c r="CQ11" s="423"/>
      <c r="CR11" s="423"/>
      <c r="CS11" s="423"/>
      <c r="CT11" s="423"/>
      <c r="CU11" s="423"/>
      <c r="CV11" s="423"/>
      <c r="CW11" s="423"/>
      <c r="CX11" s="423"/>
      <c r="CY11" s="423"/>
      <c r="CZ11" s="423"/>
      <c r="DA11" s="423"/>
      <c r="DB11" s="423"/>
      <c r="DC11" s="423"/>
      <c r="DD11" s="423"/>
      <c r="DE11" s="423"/>
      <c r="DF11" s="424"/>
      <c r="DG11" s="424"/>
      <c r="DH11" s="424"/>
      <c r="DI11" s="424"/>
      <c r="DJ11" s="424"/>
      <c r="DK11" s="424"/>
      <c r="DL11" s="424"/>
      <c r="DM11" s="424"/>
      <c r="DN11" s="424"/>
      <c r="DO11" s="424"/>
      <c r="DP11" s="424"/>
      <c r="DQ11" s="424"/>
      <c r="DR11" s="424"/>
      <c r="DS11" s="425"/>
      <c r="DT11" s="424" t="str">
        <f t="shared" si="10"/>
        <v/>
      </c>
      <c r="DU11" s="424" t="str">
        <f t="shared" si="11"/>
        <v/>
      </c>
      <c r="DV11" s="424" t="str">
        <f t="shared" si="12"/>
        <v/>
      </c>
      <c r="DW11" s="424" t="str">
        <f t="shared" si="13"/>
        <v/>
      </c>
      <c r="DX11" s="424" t="str">
        <f t="shared" si="14"/>
        <v/>
      </c>
      <c r="DY11" s="424" t="str">
        <f t="shared" si="15"/>
        <v/>
      </c>
      <c r="DZ11" s="424" t="str">
        <f t="shared" si="16"/>
        <v/>
      </c>
      <c r="EA11" s="424" t="str">
        <f t="shared" si="17"/>
        <v/>
      </c>
      <c r="EB11" s="424" t="str">
        <f t="shared" si="18"/>
        <v/>
      </c>
      <c r="EC11" s="424" t="str">
        <f t="shared" si="19"/>
        <v/>
      </c>
      <c r="ED11" s="424" t="str">
        <f t="shared" si="20"/>
        <v/>
      </c>
      <c r="EE11" s="424" t="str">
        <f t="shared" si="21"/>
        <v/>
      </c>
      <c r="EF11" s="424" t="str">
        <f t="shared" si="22"/>
        <v/>
      </c>
      <c r="EG11" s="424" t="str">
        <f t="shared" si="23"/>
        <v/>
      </c>
      <c r="EH11" s="424" t="str">
        <f t="shared" si="24"/>
        <v/>
      </c>
      <c r="EI11" s="424" t="str">
        <f t="shared" si="25"/>
        <v/>
      </c>
      <c r="EJ11" s="424" t="str">
        <f t="shared" si="26"/>
        <v/>
      </c>
      <c r="EK11" s="424" t="str">
        <f t="shared" si="27"/>
        <v/>
      </c>
      <c r="EL11" s="424" t="str">
        <f t="shared" si="28"/>
        <v/>
      </c>
      <c r="EM11" s="424" t="str">
        <f t="shared" si="29"/>
        <v/>
      </c>
      <c r="EN11" s="424">
        <f t="shared" si="30"/>
        <v>0.60260057554249302</v>
      </c>
      <c r="EO11" s="424">
        <f t="shared" si="31"/>
        <v>0.68699828993160028</v>
      </c>
      <c r="EP11" s="424">
        <f t="shared" si="32"/>
        <v>0.72547117771203085</v>
      </c>
      <c r="EQ11" s="424">
        <f t="shared" si="33"/>
        <v>0.89124746083159412</v>
      </c>
      <c r="ER11" s="424">
        <f t="shared" si="34"/>
        <v>0.98565277283780528</v>
      </c>
      <c r="ES11" s="424">
        <f t="shared" si="35"/>
        <v>0.84594939367102029</v>
      </c>
      <c r="ET11" s="424">
        <f t="shared" si="36"/>
        <v>0.77948450045584061</v>
      </c>
      <c r="EU11" s="424">
        <f t="shared" si="37"/>
        <v>0.7505077273682319</v>
      </c>
      <c r="EV11" s="424">
        <f t="shared" si="38"/>
        <v>0.74795489399377746</v>
      </c>
      <c r="EW11" s="424">
        <f t="shared" si="39"/>
        <v>0.8439159499455795</v>
      </c>
      <c r="EX11" s="424">
        <f t="shared" si="40"/>
        <v>0.62892018135278649</v>
      </c>
      <c r="EY11" s="424">
        <f t="shared" si="41"/>
        <v>0.433268640109435</v>
      </c>
      <c r="EZ11" s="424">
        <f t="shared" si="42"/>
        <v>0.45607009943773913</v>
      </c>
      <c r="FA11" s="424">
        <f t="shared" si="43"/>
        <v>0.4746221247668545</v>
      </c>
      <c r="FB11" s="424">
        <f t="shared" si="44"/>
        <v>0.36792399567029799</v>
      </c>
      <c r="FC11" s="424">
        <f t="shared" si="45"/>
        <v>0.23802398569020777</v>
      </c>
      <c r="FD11" s="424">
        <f t="shared" si="46"/>
        <v>6.8160836684595383E-2</v>
      </c>
      <c r="FE11" s="424">
        <f t="shared" si="47"/>
        <v>0.21401267138972635</v>
      </c>
      <c r="FF11" s="424">
        <f t="shared" si="48"/>
        <v>0.34807690479700382</v>
      </c>
      <c r="FG11" s="424">
        <f t="shared" si="49"/>
        <v>0.50801619223615346</v>
      </c>
      <c r="FH11" s="424">
        <f t="shared" si="50"/>
        <v>0.53386046464365888</v>
      </c>
      <c r="FI11" s="424">
        <f t="shared" si="51"/>
        <v>0.18276994588786288</v>
      </c>
      <c r="FJ11" s="424">
        <f t="shared" si="52"/>
        <v>0.14263959843172769</v>
      </c>
      <c r="FK11" s="424">
        <f t="shared" si="53"/>
        <v>0.15281466962893697</v>
      </c>
    </row>
    <row r="12" spans="1:167" s="417" customFormat="1" ht="16">
      <c r="B12" s="418" t="str">
        <f>'FS Year'!B12</f>
        <v>General And Admin Expenses</v>
      </c>
      <c r="C12" s="419" t="s">
        <v>333</v>
      </c>
      <c r="D12" s="420"/>
      <c r="E12" s="420"/>
      <c r="F12" s="420"/>
      <c r="G12" s="420"/>
      <c r="H12" s="420"/>
      <c r="I12" s="420"/>
      <c r="J12" s="420"/>
      <c r="K12" s="420"/>
      <c r="L12" s="420"/>
      <c r="M12" s="420"/>
      <c r="N12" s="420"/>
      <c r="O12" s="420"/>
      <c r="P12" s="420"/>
      <c r="Q12" s="420"/>
      <c r="R12" s="420"/>
      <c r="S12" s="420"/>
      <c r="T12" s="420"/>
      <c r="U12" s="420"/>
      <c r="V12" s="420"/>
      <c r="W12" s="420"/>
      <c r="X12" s="420"/>
      <c r="Y12" s="420"/>
      <c r="Z12" s="420">
        <v>-49.982370869999997</v>
      </c>
      <c r="AA12" s="420">
        <v>-60.972565041000003</v>
      </c>
      <c r="AB12" s="420">
        <v>-71.619432832000001</v>
      </c>
      <c r="AC12" s="420">
        <v>-57.968898695</v>
      </c>
      <c r="AD12" s="420">
        <v>-50.89153958</v>
      </c>
      <c r="AE12" s="420">
        <v>-45.559955662</v>
      </c>
      <c r="AF12" s="420">
        <v>-66.202613081999999</v>
      </c>
      <c r="AG12" s="420">
        <v>-86.661198210999999</v>
      </c>
      <c r="AH12" s="420">
        <v>-161.81348448899999</v>
      </c>
      <c r="AI12" s="420">
        <v>-164.00469181299999</v>
      </c>
      <c r="AJ12" s="420">
        <v>-220.95695010200001</v>
      </c>
      <c r="AK12" s="420">
        <v>-388.00181472000003</v>
      </c>
      <c r="AL12" s="420">
        <v>-344.58028132099997</v>
      </c>
      <c r="AM12" s="420">
        <v>-300.05460224199999</v>
      </c>
      <c r="AN12" s="420">
        <v>-333.056556102</v>
      </c>
      <c r="AO12" s="420">
        <v>-369.26603079699998</v>
      </c>
      <c r="AP12" s="421">
        <v>-588.46922687699998</v>
      </c>
      <c r="AQ12" s="421">
        <v>-397.86504435000001</v>
      </c>
      <c r="AR12" s="421">
        <v>-390.39633363199999</v>
      </c>
      <c r="AS12" s="188">
        <v>-384.88329522100003</v>
      </c>
      <c r="AT12" s="188">
        <v>-612.95441073400002</v>
      </c>
      <c r="AU12" s="188">
        <v>-391.15520673600003</v>
      </c>
      <c r="AV12" s="188">
        <v>-550.01371861099994</v>
      </c>
      <c r="AW12" s="188">
        <v>-519.659543977</v>
      </c>
      <c r="AX12" s="188">
        <v>-779.75788744199997</v>
      </c>
      <c r="AY12" s="188">
        <v>-1000.645132631</v>
      </c>
      <c r="AZ12" s="188">
        <v>-840.33674276900001</v>
      </c>
      <c r="BA12" s="188">
        <v>-783.69207532500002</v>
      </c>
      <c r="BB12" s="189">
        <v>-1088.3658713340001</v>
      </c>
      <c r="BC12" s="189">
        <v>-1100.251515639</v>
      </c>
      <c r="BD12" s="188">
        <v>-975.18268038999997</v>
      </c>
      <c r="BE12" s="188">
        <v>-665.959677027</v>
      </c>
      <c r="BF12" s="188">
        <v>-1239.4423598339999</v>
      </c>
      <c r="BG12" s="422">
        <v>-500.33131484099999</v>
      </c>
      <c r="BH12" s="422">
        <v>-316.22081307100001</v>
      </c>
      <c r="BI12" s="422">
        <v>-292.04505554100001</v>
      </c>
      <c r="BJ12" s="422">
        <v>-324.69229141800002</v>
      </c>
      <c r="BK12" s="422">
        <v>-229.156805109</v>
      </c>
      <c r="BL12" s="422">
        <v>-341.53061516499997</v>
      </c>
      <c r="BM12" s="422">
        <v>-300.97591257300002</v>
      </c>
      <c r="BN12" s="422">
        <v>-868.46</v>
      </c>
      <c r="BO12" s="422">
        <v>-813.33576616699997</v>
      </c>
      <c r="BP12" s="422">
        <v>-967.62</v>
      </c>
      <c r="BQ12" s="422">
        <v>-916.35672364000004</v>
      </c>
      <c r="BR12" s="422">
        <v>-1214.5997866160001</v>
      </c>
      <c r="BS12" s="422">
        <v>-1201.66609408</v>
      </c>
      <c r="BT12" s="422">
        <v>-1119.4142625090001</v>
      </c>
      <c r="BU12" s="422"/>
      <c r="BV12" s="423"/>
      <c r="BW12" s="423"/>
      <c r="BX12" s="423"/>
      <c r="BY12" s="423"/>
      <c r="BZ12" s="423"/>
      <c r="CA12" s="423"/>
      <c r="CB12" s="423"/>
      <c r="CC12" s="423"/>
      <c r="CD12" s="423"/>
      <c r="CE12" s="423"/>
      <c r="CF12" s="423"/>
      <c r="CG12" s="423"/>
      <c r="CH12" s="423"/>
      <c r="CI12" s="423"/>
      <c r="CJ12" s="423"/>
      <c r="CK12" s="423"/>
      <c r="CL12" s="423"/>
      <c r="CM12" s="423"/>
      <c r="CN12" s="423"/>
      <c r="CO12" s="423"/>
      <c r="CP12" s="423"/>
      <c r="CQ12" s="423"/>
      <c r="CR12" s="423"/>
      <c r="CS12" s="423"/>
      <c r="CT12" s="423"/>
      <c r="CU12" s="423"/>
      <c r="CV12" s="423"/>
      <c r="CW12" s="423"/>
      <c r="CX12" s="423"/>
      <c r="CY12" s="423"/>
      <c r="CZ12" s="423"/>
      <c r="DA12" s="423"/>
      <c r="DB12" s="423"/>
      <c r="DC12" s="423"/>
      <c r="DD12" s="423"/>
      <c r="DE12" s="423"/>
      <c r="DF12" s="424"/>
      <c r="DG12" s="424"/>
      <c r="DH12" s="424"/>
      <c r="DI12" s="424"/>
      <c r="DJ12" s="424"/>
      <c r="DK12" s="424"/>
      <c r="DL12" s="424"/>
      <c r="DM12" s="424"/>
      <c r="DN12" s="424"/>
      <c r="DO12" s="424"/>
      <c r="DP12" s="424"/>
      <c r="DQ12" s="424"/>
      <c r="DR12" s="424"/>
      <c r="DS12" s="425"/>
      <c r="DT12" s="424" t="str">
        <f t="shared" si="10"/>
        <v/>
      </c>
      <c r="DU12" s="424" t="str">
        <f t="shared" si="11"/>
        <v/>
      </c>
      <c r="DV12" s="424" t="str">
        <f t="shared" si="12"/>
        <v/>
      </c>
      <c r="DW12" s="424" t="str">
        <f t="shared" si="13"/>
        <v/>
      </c>
      <c r="DX12" s="424" t="str">
        <f t="shared" si="14"/>
        <v/>
      </c>
      <c r="DY12" s="424" t="str">
        <f t="shared" si="15"/>
        <v/>
      </c>
      <c r="DZ12" s="424" t="str">
        <f t="shared" si="16"/>
        <v/>
      </c>
      <c r="EA12" s="424" t="str">
        <f t="shared" si="17"/>
        <v/>
      </c>
      <c r="EB12" s="424" t="str">
        <f t="shared" si="18"/>
        <v/>
      </c>
      <c r="EC12" s="424" t="str">
        <f t="shared" si="19"/>
        <v/>
      </c>
      <c r="ED12" s="424" t="str">
        <f t="shared" si="20"/>
        <v/>
      </c>
      <c r="EE12" s="424" t="str">
        <f t="shared" si="21"/>
        <v/>
      </c>
      <c r="EF12" s="424" t="str">
        <f t="shared" si="22"/>
        <v/>
      </c>
      <c r="EG12" s="424" t="str">
        <f t="shared" si="23"/>
        <v/>
      </c>
      <c r="EH12" s="424" t="str">
        <f t="shared" si="24"/>
        <v/>
      </c>
      <c r="EI12" s="424" t="str">
        <f t="shared" si="25"/>
        <v/>
      </c>
      <c r="EJ12" s="424" t="str">
        <f t="shared" si="26"/>
        <v/>
      </c>
      <c r="EK12" s="424" t="str">
        <f t="shared" si="27"/>
        <v/>
      </c>
      <c r="EL12" s="424" t="str">
        <f t="shared" si="28"/>
        <v/>
      </c>
      <c r="EM12" s="424" t="str">
        <f t="shared" si="29"/>
        <v/>
      </c>
      <c r="EN12" s="424">
        <f t="shared" si="30"/>
        <v>1.8189787602606478E-2</v>
      </c>
      <c r="EO12" s="424">
        <f t="shared" si="31"/>
        <v>-0.25277941593298636</v>
      </c>
      <c r="EP12" s="424">
        <f t="shared" si="32"/>
        <v>-7.5633379598333494E-2</v>
      </c>
      <c r="EQ12" s="424">
        <f t="shared" si="33"/>
        <v>0.49496023146761625</v>
      </c>
      <c r="ER12" s="424">
        <f t="shared" si="34"/>
        <v>2.1795753444368482</v>
      </c>
      <c r="ES12" s="424">
        <f t="shared" si="35"/>
        <v>2.5997552989234074</v>
      </c>
      <c r="ET12" s="424">
        <f t="shared" si="36"/>
        <v>2.3375865364758019</v>
      </c>
      <c r="EU12" s="424">
        <f t="shared" si="37"/>
        <v>3.4772265180929676</v>
      </c>
      <c r="EV12" s="424">
        <f t="shared" si="38"/>
        <v>1.129490520577872</v>
      </c>
      <c r="EW12" s="424">
        <f t="shared" si="39"/>
        <v>0.82954889232148088</v>
      </c>
      <c r="EX12" s="424">
        <f t="shared" si="40"/>
        <v>0.50733686334940642</v>
      </c>
      <c r="EY12" s="424">
        <f t="shared" si="41"/>
        <v>-4.8287877046453098E-2</v>
      </c>
      <c r="EZ12" s="424">
        <f t="shared" si="42"/>
        <v>0.70778555470735394</v>
      </c>
      <c r="FA12" s="424">
        <f t="shared" si="43"/>
        <v>0.32597547705371954</v>
      </c>
      <c r="FB12" s="424">
        <f t="shared" si="44"/>
        <v>0.17216228439124137</v>
      </c>
      <c r="FC12" s="424">
        <f t="shared" si="45"/>
        <v>4.2292718857168454E-2</v>
      </c>
      <c r="FD12" s="424">
        <f t="shared" si="46"/>
        <v>4.1608265545069578E-2</v>
      </c>
      <c r="FE12" s="424">
        <f t="shared" si="47"/>
        <v>-1.6864607005026011E-2</v>
      </c>
      <c r="FF12" s="424">
        <f t="shared" si="48"/>
        <v>0.40885984633621164</v>
      </c>
      <c r="FG12" s="424">
        <f t="shared" si="49"/>
        <v>0.35017432668417436</v>
      </c>
      <c r="FH12" s="424">
        <f t="shared" si="50"/>
        <v>0.27213031472969784</v>
      </c>
      <c r="FI12" s="424">
        <f t="shared" si="51"/>
        <v>1.5581792480302052</v>
      </c>
      <c r="FJ12" s="424">
        <f t="shared" si="52"/>
        <v>0.52784687787639073</v>
      </c>
      <c r="FK12" s="424">
        <f t="shared" si="53"/>
        <v>0.50808752462686613</v>
      </c>
    </row>
    <row r="13" spans="1:167" ht="16">
      <c r="B13" s="154" t="str">
        <f>'FS Year'!B13</f>
        <v>Operating Profit/(Loss)</v>
      </c>
      <c r="C13" s="144" t="s">
        <v>1237</v>
      </c>
      <c r="D13" s="135"/>
      <c r="E13" s="135"/>
      <c r="F13" s="135"/>
      <c r="G13" s="135"/>
      <c r="H13" s="135"/>
      <c r="I13" s="135"/>
      <c r="J13" s="135"/>
      <c r="K13" s="135"/>
      <c r="L13" s="135"/>
      <c r="M13" s="135"/>
      <c r="N13" s="135"/>
      <c r="O13" s="135"/>
      <c r="P13" s="135"/>
      <c r="Q13" s="135"/>
      <c r="R13" s="135"/>
      <c r="S13" s="135"/>
      <c r="T13" s="135"/>
      <c r="U13" s="135"/>
      <c r="V13" s="135"/>
      <c r="W13" s="135"/>
      <c r="X13" s="135"/>
      <c r="Y13" s="135"/>
      <c r="Z13" s="135">
        <v>215.00222841499999</v>
      </c>
      <c r="AA13" s="135">
        <v>182.68443139499999</v>
      </c>
      <c r="AB13" s="135">
        <v>222.06046388600001</v>
      </c>
      <c r="AC13" s="135">
        <v>236.57183801299999</v>
      </c>
      <c r="AD13" s="135">
        <v>297.71440918799999</v>
      </c>
      <c r="AE13" s="135">
        <v>281.424713252</v>
      </c>
      <c r="AF13" s="135">
        <v>360.94431530700001</v>
      </c>
      <c r="AG13" s="135">
        <v>422.25715625200002</v>
      </c>
      <c r="AH13" s="135">
        <v>518.84642122399998</v>
      </c>
      <c r="AI13" s="135">
        <v>517.47161047400004</v>
      </c>
      <c r="AJ13" s="135">
        <v>518.17814535599996</v>
      </c>
      <c r="AK13" s="135">
        <v>452.37517354400001</v>
      </c>
      <c r="AL13" s="135">
        <v>703.50575470599995</v>
      </c>
      <c r="AM13" s="135">
        <v>647.61679843100001</v>
      </c>
      <c r="AN13" s="135">
        <v>716.29448117100003</v>
      </c>
      <c r="AO13" s="135">
        <v>728.02674156199998</v>
      </c>
      <c r="AP13" s="170">
        <v>1038.7848621620001</v>
      </c>
      <c r="AQ13" s="170">
        <v>965.03092722199995</v>
      </c>
      <c r="AR13" s="170">
        <v>854.34345591199997</v>
      </c>
      <c r="AS13" s="155">
        <v>916.02316703999998</v>
      </c>
      <c r="AT13" s="155">
        <v>1331.392243779</v>
      </c>
      <c r="AU13" s="155">
        <v>1392.8001122430001</v>
      </c>
      <c r="AV13" s="155">
        <v>1136.4279672140001</v>
      </c>
      <c r="AW13" s="155">
        <v>1174.0631083410001</v>
      </c>
      <c r="AX13" s="155">
        <v>1542.672013436</v>
      </c>
      <c r="AY13" s="155">
        <v>1262.259100661</v>
      </c>
      <c r="AZ13" s="155">
        <v>1279.2398459420001</v>
      </c>
      <c r="BA13" s="155">
        <v>1328.3589729150001</v>
      </c>
      <c r="BB13" s="41">
        <v>1823.9765912600001</v>
      </c>
      <c r="BC13" s="41">
        <v>1628.200473034</v>
      </c>
      <c r="BD13" s="158">
        <v>965.78726416799998</v>
      </c>
      <c r="BE13" s="158">
        <v>2026.7375238310001</v>
      </c>
      <c r="BF13" s="155">
        <v>1997.371218023</v>
      </c>
      <c r="BG13" s="287">
        <v>1965.8114488829999</v>
      </c>
      <c r="BH13" s="287">
        <v>1647.300567729</v>
      </c>
      <c r="BI13" s="287">
        <v>964.21046394899997</v>
      </c>
      <c r="BJ13" s="287">
        <v>168.42731516000001</v>
      </c>
      <c r="BK13" s="287">
        <v>189.37132582199999</v>
      </c>
      <c r="BL13" s="287">
        <v>196.83443711499999</v>
      </c>
      <c r="BM13" s="287">
        <v>463.21881652799999</v>
      </c>
      <c r="BN13" s="287">
        <v>1212.4000000000001</v>
      </c>
      <c r="BO13" s="287">
        <v>1697.6524025670001</v>
      </c>
      <c r="BP13" s="287">
        <v>1320.44</v>
      </c>
      <c r="BQ13" s="287">
        <v>996.55012273199998</v>
      </c>
      <c r="BR13" s="287">
        <v>1940.2047643650001</v>
      </c>
      <c r="BS13" s="287">
        <v>2041.25076997</v>
      </c>
      <c r="BT13" s="287">
        <v>2190.4414470329998</v>
      </c>
      <c r="BU13" s="287"/>
      <c r="BV13" s="171"/>
      <c r="BW13" s="171"/>
      <c r="BX13" s="171"/>
      <c r="BY13" s="171"/>
      <c r="BZ13" s="171"/>
      <c r="CA13" s="171"/>
      <c r="CB13" s="171"/>
      <c r="CC13" s="171"/>
      <c r="CD13" s="171"/>
      <c r="CE13" s="171"/>
      <c r="CF13" s="171"/>
      <c r="CG13" s="171"/>
      <c r="CH13" s="171"/>
      <c r="CI13" s="171"/>
      <c r="CJ13" s="171"/>
      <c r="CK13" s="171"/>
      <c r="CL13" s="171"/>
      <c r="CM13" s="171"/>
      <c r="CN13" s="171"/>
      <c r="CO13" s="171"/>
      <c r="CP13" s="171"/>
      <c r="CQ13" s="171"/>
      <c r="CR13" s="171"/>
      <c r="CS13" s="171"/>
      <c r="CT13" s="171"/>
      <c r="CU13" s="171"/>
      <c r="CV13" s="171"/>
      <c r="CW13" s="171"/>
      <c r="CX13" s="171"/>
      <c r="CY13" s="171"/>
      <c r="CZ13" s="171"/>
      <c r="DA13" s="171"/>
      <c r="DB13" s="171"/>
      <c r="DC13" s="171"/>
      <c r="DD13" s="171"/>
      <c r="DE13" s="171"/>
      <c r="DF13" s="139"/>
      <c r="DG13" s="139"/>
      <c r="DH13" s="139"/>
      <c r="DI13" s="139"/>
      <c r="DJ13" s="139"/>
      <c r="DK13" s="139"/>
      <c r="DL13" s="139"/>
      <c r="DM13" s="139"/>
      <c r="DN13" s="139"/>
      <c r="DO13" s="139"/>
      <c r="DP13" s="139"/>
      <c r="DQ13" s="139"/>
      <c r="DR13" s="139"/>
      <c r="DS13" s="172"/>
      <c r="DT13" s="139" t="str">
        <f t="shared" si="10"/>
        <v/>
      </c>
      <c r="DU13" s="139" t="str">
        <f t="shared" si="11"/>
        <v/>
      </c>
      <c r="DV13" s="139" t="str">
        <f t="shared" si="12"/>
        <v/>
      </c>
      <c r="DW13" s="139" t="str">
        <f t="shared" si="13"/>
        <v/>
      </c>
      <c r="DX13" s="139" t="str">
        <f t="shared" si="14"/>
        <v/>
      </c>
      <c r="DY13" s="139" t="str">
        <f t="shared" si="15"/>
        <v/>
      </c>
      <c r="DZ13" s="139" t="str">
        <f t="shared" si="16"/>
        <v/>
      </c>
      <c r="EA13" s="139" t="str">
        <f t="shared" si="17"/>
        <v/>
      </c>
      <c r="EB13" s="139" t="str">
        <f t="shared" si="18"/>
        <v/>
      </c>
      <c r="EC13" s="139" t="str">
        <f t="shared" si="19"/>
        <v/>
      </c>
      <c r="ED13" s="139" t="str">
        <f t="shared" si="20"/>
        <v/>
      </c>
      <c r="EE13" s="139" t="str">
        <f t="shared" si="21"/>
        <v/>
      </c>
      <c r="EF13" s="139" t="str">
        <f t="shared" si="22"/>
        <v/>
      </c>
      <c r="EG13" s="139" t="str">
        <f t="shared" si="23"/>
        <v/>
      </c>
      <c r="EH13" s="139" t="str">
        <f t="shared" si="24"/>
        <v/>
      </c>
      <c r="EI13" s="139" t="str">
        <f t="shared" si="25"/>
        <v/>
      </c>
      <c r="EJ13" s="139" t="str">
        <f t="shared" si="26"/>
        <v/>
      </c>
      <c r="EK13" s="139" t="str">
        <f t="shared" si="27"/>
        <v/>
      </c>
      <c r="EL13" s="139" t="str">
        <f t="shared" si="28"/>
        <v/>
      </c>
      <c r="EM13" s="139" t="str">
        <f t="shared" si="29"/>
        <v/>
      </c>
      <c r="EN13" s="139">
        <f t="shared" si="30"/>
        <v>0.38470383020099641</v>
      </c>
      <c r="EO13" s="139">
        <f t="shared" si="31"/>
        <v>0.54049642382225738</v>
      </c>
      <c r="EP13" s="139">
        <f t="shared" si="32"/>
        <v>0.62543259160396647</v>
      </c>
      <c r="EQ13" s="139">
        <f t="shared" si="33"/>
        <v>0.78490034908041895</v>
      </c>
      <c r="ER13" s="139">
        <f t="shared" si="34"/>
        <v>0.74276556730702303</v>
      </c>
      <c r="ES13" s="139">
        <f t="shared" si="35"/>
        <v>0.83875681881083874</v>
      </c>
      <c r="ET13" s="139">
        <f t="shared" si="36"/>
        <v>0.43561797036549876</v>
      </c>
      <c r="EU13" s="139">
        <f t="shared" si="37"/>
        <v>7.1326244791990678E-2</v>
      </c>
      <c r="EV13" s="139">
        <f t="shared" si="38"/>
        <v>0.35590364687564757</v>
      </c>
      <c r="EW13" s="139">
        <f t="shared" si="39"/>
        <v>0.25150208305686172</v>
      </c>
      <c r="EX13" s="139">
        <f t="shared" si="40"/>
        <v>0.38233248080906557</v>
      </c>
      <c r="EY13" s="139">
        <f t="shared" si="41"/>
        <v>0.60934282900294678</v>
      </c>
      <c r="EZ13" s="139">
        <f t="shared" si="42"/>
        <v>0.47658331891842964</v>
      </c>
      <c r="FA13" s="139">
        <f t="shared" si="43"/>
        <v>0.49012645990655024</v>
      </c>
      <c r="FB13" s="139">
        <f t="shared" si="44"/>
        <v>0.19272656479960193</v>
      </c>
      <c r="FC13" s="139">
        <f t="shared" si="45"/>
        <v>0.25822736274034219</v>
      </c>
      <c r="FD13" s="139">
        <f t="shared" si="46"/>
        <v>0.28168236973342342</v>
      </c>
      <c r="FE13" s="139">
        <f t="shared" si="47"/>
        <v>0.44326992322660996</v>
      </c>
      <c r="FF13" s="139">
        <f t="shared" si="48"/>
        <v>0.33017694388596763</v>
      </c>
      <c r="FG13" s="139">
        <f t="shared" si="49"/>
        <v>0.28169586816763581</v>
      </c>
      <c r="FH13" s="139">
        <f t="shared" si="50"/>
        <v>0.15869085210929823</v>
      </c>
      <c r="FI13" s="139">
        <f t="shared" si="51"/>
        <v>-9.3725589504565332E-2</v>
      </c>
      <c r="FJ13" s="139">
        <f t="shared" si="52"/>
        <v>0.12566733910826677</v>
      </c>
      <c r="FK13" s="139">
        <f t="shared" si="53"/>
        <v>0.13142041810003424</v>
      </c>
    </row>
    <row r="14" spans="1:167" ht="16">
      <c r="B14" s="140" t="str">
        <f>'FS Year'!B14</f>
        <v>Other Incomes</v>
      </c>
      <c r="C14" s="127" t="s">
        <v>171</v>
      </c>
      <c r="D14" s="128"/>
      <c r="E14" s="128"/>
      <c r="F14" s="128"/>
      <c r="G14" s="128"/>
      <c r="H14" s="128"/>
      <c r="I14" s="128"/>
      <c r="J14" s="128"/>
      <c r="K14" s="128"/>
      <c r="L14" s="128"/>
      <c r="M14" s="128"/>
      <c r="N14" s="128"/>
      <c r="O14" s="128"/>
      <c r="P14" s="128"/>
      <c r="Q14" s="128"/>
      <c r="R14" s="128"/>
      <c r="S14" s="128"/>
      <c r="T14" s="128"/>
      <c r="U14" s="128"/>
      <c r="V14" s="128"/>
      <c r="W14" s="128"/>
      <c r="X14" s="128"/>
      <c r="Y14" s="128"/>
      <c r="Z14" s="128">
        <v>1.997710385</v>
      </c>
      <c r="AA14" s="128">
        <v>3.394224549</v>
      </c>
      <c r="AB14" s="128">
        <v>5.4467354390000002</v>
      </c>
      <c r="AC14" s="128">
        <v>4.2793692180000003</v>
      </c>
      <c r="AD14" s="128">
        <v>2.661356439</v>
      </c>
      <c r="AE14" s="128">
        <v>5.8435542720000004</v>
      </c>
      <c r="AF14" s="128">
        <v>10.801327735999999</v>
      </c>
      <c r="AG14" s="128">
        <v>5.8865116750000004</v>
      </c>
      <c r="AH14" s="128">
        <v>6.443039765</v>
      </c>
      <c r="AI14" s="128">
        <v>10.201710985</v>
      </c>
      <c r="AJ14" s="128">
        <v>8.8216497930000006</v>
      </c>
      <c r="AK14" s="128">
        <v>5.6635895400000003</v>
      </c>
      <c r="AL14" s="128">
        <v>2.9890868020000001</v>
      </c>
      <c r="AM14" s="128">
        <v>3.1175054449999999</v>
      </c>
      <c r="AN14" s="128">
        <v>4.0064995799999998</v>
      </c>
      <c r="AO14" s="128">
        <v>7.5715515729999998</v>
      </c>
      <c r="AP14" s="173">
        <v>8.0641417630000003</v>
      </c>
      <c r="AQ14" s="173">
        <v>6.4879584210000001</v>
      </c>
      <c r="AR14" s="173">
        <v>8.7709354439999991</v>
      </c>
      <c r="AS14" s="288">
        <v>9.9103017540000007</v>
      </c>
      <c r="AT14" s="288">
        <v>12.839074324</v>
      </c>
      <c r="AU14" s="288">
        <v>7.7540608390000001</v>
      </c>
      <c r="AV14" s="288">
        <v>7.7338157010000002</v>
      </c>
      <c r="AW14" s="158">
        <v>13.230090677</v>
      </c>
      <c r="AX14" s="158">
        <v>8.8219767650000005</v>
      </c>
      <c r="AY14" s="158">
        <v>8.8186689220000005</v>
      </c>
      <c r="AZ14" s="158">
        <v>8.6230436299999997</v>
      </c>
      <c r="BA14" s="158">
        <v>17.249006154</v>
      </c>
      <c r="BB14" s="41">
        <v>19.012499941000002</v>
      </c>
      <c r="BC14" s="41">
        <v>3.9756933989999999</v>
      </c>
      <c r="BD14" s="158">
        <v>20.139201987</v>
      </c>
      <c r="BE14" s="158">
        <v>32.650468169</v>
      </c>
      <c r="BF14" s="288">
        <v>16.405756756999999</v>
      </c>
      <c r="BG14" s="289">
        <v>19.248084909999999</v>
      </c>
      <c r="BH14" s="289">
        <v>16.988306067</v>
      </c>
      <c r="BI14" s="289">
        <v>8.9645649420000009</v>
      </c>
      <c r="BJ14" s="289">
        <v>13.472209198</v>
      </c>
      <c r="BK14" s="289">
        <v>9.4458767130000005</v>
      </c>
      <c r="BL14" s="289">
        <v>10.998898676</v>
      </c>
      <c r="BM14" s="289">
        <v>6.948746152</v>
      </c>
      <c r="BN14" s="289">
        <v>24.63</v>
      </c>
      <c r="BO14" s="289">
        <v>-13.729722841999999</v>
      </c>
      <c r="BP14" s="289">
        <v>6.07</v>
      </c>
      <c r="BQ14" s="289">
        <v>8.8332266179999994</v>
      </c>
      <c r="BR14" s="289">
        <v>12.08754957</v>
      </c>
      <c r="BS14" s="289">
        <v>1.1863768180000001</v>
      </c>
      <c r="BT14" s="289">
        <v>6.9157155789999996</v>
      </c>
      <c r="BU14" s="289"/>
      <c r="BV14" s="174"/>
      <c r="BW14" s="174"/>
      <c r="BX14" s="174"/>
      <c r="BY14" s="174"/>
      <c r="BZ14" s="174"/>
      <c r="CA14" s="174"/>
      <c r="CB14" s="174"/>
      <c r="CC14" s="174"/>
      <c r="CD14" s="174"/>
      <c r="CE14" s="174"/>
      <c r="CF14" s="174"/>
      <c r="CG14" s="174"/>
      <c r="CH14" s="174"/>
      <c r="CI14" s="174"/>
      <c r="CJ14" s="174"/>
      <c r="CK14" s="174"/>
      <c r="CL14" s="174"/>
      <c r="CM14" s="174"/>
      <c r="CN14" s="174"/>
      <c r="CO14" s="174"/>
      <c r="CP14" s="174"/>
      <c r="CQ14" s="174"/>
      <c r="CR14" s="174"/>
      <c r="CS14" s="174"/>
      <c r="CT14" s="174"/>
      <c r="CU14" s="174"/>
      <c r="CV14" s="174"/>
      <c r="CW14" s="174"/>
      <c r="CX14" s="174"/>
      <c r="CY14" s="174"/>
      <c r="CZ14" s="174"/>
      <c r="DA14" s="174"/>
      <c r="DB14" s="174"/>
      <c r="DC14" s="174"/>
      <c r="DD14" s="174"/>
      <c r="DE14" s="174"/>
      <c r="DF14" s="142"/>
      <c r="DG14" s="142"/>
      <c r="DH14" s="142"/>
      <c r="DI14" s="142"/>
      <c r="DJ14" s="142"/>
      <c r="DK14" s="142"/>
      <c r="DL14" s="142"/>
      <c r="DM14" s="142"/>
      <c r="DN14" s="142"/>
      <c r="DO14" s="142"/>
      <c r="DP14" s="142"/>
      <c r="DQ14" s="142"/>
      <c r="DR14" s="142"/>
      <c r="DS14" s="175"/>
      <c r="DT14" s="142" t="str">
        <f t="shared" si="10"/>
        <v/>
      </c>
      <c r="DU14" s="142" t="str">
        <f t="shared" si="11"/>
        <v/>
      </c>
      <c r="DV14" s="142" t="str">
        <f t="shared" si="12"/>
        <v/>
      </c>
      <c r="DW14" s="142" t="str">
        <f t="shared" si="13"/>
        <v/>
      </c>
      <c r="DX14" s="142" t="str">
        <f t="shared" si="14"/>
        <v/>
      </c>
      <c r="DY14" s="142" t="str">
        <f t="shared" si="15"/>
        <v/>
      </c>
      <c r="DZ14" s="142" t="str">
        <f t="shared" si="16"/>
        <v/>
      </c>
      <c r="EA14" s="142" t="str">
        <f t="shared" si="17"/>
        <v/>
      </c>
      <c r="EB14" s="142" t="str">
        <f t="shared" si="18"/>
        <v/>
      </c>
      <c r="EC14" s="142" t="str">
        <f t="shared" si="19"/>
        <v/>
      </c>
      <c r="ED14" s="142" t="str">
        <f t="shared" si="20"/>
        <v/>
      </c>
      <c r="EE14" s="142" t="str">
        <f t="shared" si="21"/>
        <v/>
      </c>
      <c r="EF14" s="142" t="str">
        <f t="shared" si="22"/>
        <v/>
      </c>
      <c r="EG14" s="142" t="str">
        <f t="shared" si="23"/>
        <v/>
      </c>
      <c r="EH14" s="142" t="str">
        <f t="shared" si="24"/>
        <v/>
      </c>
      <c r="EI14" s="142" t="str">
        <f t="shared" si="25"/>
        <v/>
      </c>
      <c r="EJ14" s="142" t="str">
        <f t="shared" si="26"/>
        <v/>
      </c>
      <c r="EK14" s="142" t="str">
        <f t="shared" si="27"/>
        <v/>
      </c>
      <c r="EL14" s="142" t="str">
        <f t="shared" si="28"/>
        <v/>
      </c>
      <c r="EM14" s="142" t="str">
        <f t="shared" si="29"/>
        <v/>
      </c>
      <c r="EN14" s="142">
        <f t="shared" si="30"/>
        <v>0.33220333587042949</v>
      </c>
      <c r="EO14" s="142">
        <f t="shared" si="31"/>
        <v>0.72161687821202558</v>
      </c>
      <c r="EP14" s="142">
        <f t="shared" si="32"/>
        <v>0.98308286807172007</v>
      </c>
      <c r="EQ14" s="142">
        <f t="shared" si="33"/>
        <v>0.37555592311128327</v>
      </c>
      <c r="ER14" s="142">
        <f t="shared" si="34"/>
        <v>1.420960856870777</v>
      </c>
      <c r="ES14" s="142">
        <f t="shared" si="35"/>
        <v>0.74580580758572945</v>
      </c>
      <c r="ET14" s="142">
        <f t="shared" si="36"/>
        <v>-0.18328098094847023</v>
      </c>
      <c r="EU14" s="142">
        <f t="shared" si="37"/>
        <v>-3.7869989444979768E-2</v>
      </c>
      <c r="EV14" s="142">
        <f t="shared" si="38"/>
        <v>-0.53607506533835592</v>
      </c>
      <c r="EW14" s="142">
        <f t="shared" si="39"/>
        <v>-0.69441347146730603</v>
      </c>
      <c r="EX14" s="142">
        <f t="shared" si="40"/>
        <v>-0.5458332994380295</v>
      </c>
      <c r="EY14" s="142">
        <f t="shared" si="41"/>
        <v>0.3368821168138536</v>
      </c>
      <c r="EZ14" s="142">
        <f t="shared" si="42"/>
        <v>1.6978613527062101</v>
      </c>
      <c r="FA14" s="142">
        <f t="shared" si="43"/>
        <v>1.0811377992637317</v>
      </c>
      <c r="FB14" s="142">
        <f t="shared" si="44"/>
        <v>1.1891766787605653</v>
      </c>
      <c r="FC14" s="142">
        <f t="shared" si="45"/>
        <v>0.30888651532665201</v>
      </c>
      <c r="FD14" s="142">
        <f t="shared" si="46"/>
        <v>0.59211912455562321</v>
      </c>
      <c r="FE14" s="142">
        <f t="shared" si="47"/>
        <v>0.19514650616470086</v>
      </c>
      <c r="FF14" s="142">
        <f t="shared" si="48"/>
        <v>-0.11824505488858306</v>
      </c>
      <c r="FG14" s="142">
        <f t="shared" si="49"/>
        <v>0.33498363676565801</v>
      </c>
      <c r="FH14" s="142">
        <f t="shared" si="50"/>
        <v>-0.31288062189116428</v>
      </c>
      <c r="FI14" s="142">
        <f t="shared" si="51"/>
        <v>0.13729684420909161</v>
      </c>
      <c r="FJ14" s="142">
        <f t="shared" si="52"/>
        <v>0.11497919828694925</v>
      </c>
      <c r="FK14" s="142">
        <f t="shared" si="53"/>
        <v>0.30377081874327061</v>
      </c>
    </row>
    <row r="15" spans="1:167" ht="16">
      <c r="B15" s="140" t="str">
        <f>'FS Year'!B15</f>
        <v>Other Expenses</v>
      </c>
      <c r="C15" s="127" t="s">
        <v>1238</v>
      </c>
      <c r="D15" s="128"/>
      <c r="E15" s="128"/>
      <c r="F15" s="128"/>
      <c r="G15" s="128"/>
      <c r="H15" s="128"/>
      <c r="I15" s="128"/>
      <c r="J15" s="128"/>
      <c r="K15" s="128"/>
      <c r="L15" s="128"/>
      <c r="M15" s="128"/>
      <c r="N15" s="128"/>
      <c r="O15" s="128"/>
      <c r="P15" s="128"/>
      <c r="Q15" s="128"/>
      <c r="R15" s="128"/>
      <c r="S15" s="128"/>
      <c r="T15" s="128"/>
      <c r="U15" s="128"/>
      <c r="V15" s="128"/>
      <c r="W15" s="128"/>
      <c r="X15" s="128"/>
      <c r="Y15" s="128"/>
      <c r="Z15" s="128">
        <v>-1.604550793</v>
      </c>
      <c r="AA15" s="128">
        <v>-1.2102303750000001</v>
      </c>
      <c r="AB15" s="128">
        <v>-0.21935513800000001</v>
      </c>
      <c r="AC15" s="128">
        <v>-0.20542189999999999</v>
      </c>
      <c r="AD15" s="128">
        <v>-0.24879311500000001</v>
      </c>
      <c r="AE15" s="128">
        <v>-0.43186613600000001</v>
      </c>
      <c r="AF15" s="128">
        <v>-0.71130880299999999</v>
      </c>
      <c r="AG15" s="128">
        <v>-0.35758837300000001</v>
      </c>
      <c r="AH15" s="128">
        <v>-0.362371102</v>
      </c>
      <c r="AI15" s="128">
        <v>-2.360591372</v>
      </c>
      <c r="AJ15" s="128">
        <v>-28.317373100000001</v>
      </c>
      <c r="AK15" s="128">
        <v>-1.050490184</v>
      </c>
      <c r="AL15" s="128">
        <v>-0.88628955600000003</v>
      </c>
      <c r="AM15" s="128">
        <v>-0.32414174499999998</v>
      </c>
      <c r="AN15" s="128">
        <v>-1.050277401</v>
      </c>
      <c r="AO15" s="128">
        <v>-1.5556779220000001</v>
      </c>
      <c r="AP15" s="173">
        <v>-3.8639762969999998</v>
      </c>
      <c r="AQ15" s="173">
        <v>-3.2759136249999998</v>
      </c>
      <c r="AR15" s="173">
        <v>-6.9619100979999997</v>
      </c>
      <c r="AS15" s="288">
        <v>-6.9953807790000004</v>
      </c>
      <c r="AT15" s="288">
        <v>-3.0731638139999999</v>
      </c>
      <c r="AU15" s="288">
        <v>-4.9368953109999998</v>
      </c>
      <c r="AV15" s="288">
        <v>-7.0594670300000004</v>
      </c>
      <c r="AW15" s="158">
        <v>-7.7237422670000004</v>
      </c>
      <c r="AX15" s="158">
        <v>-7.4326444990000002</v>
      </c>
      <c r="AY15" s="158">
        <v>-17.415407624</v>
      </c>
      <c r="AZ15" s="158">
        <v>-9.5829601039999996</v>
      </c>
      <c r="BA15" s="158">
        <v>-11.876208845000001</v>
      </c>
      <c r="BB15" s="41">
        <v>-15.420157059999999</v>
      </c>
      <c r="BC15" s="41">
        <v>-6.2056404650000001</v>
      </c>
      <c r="BD15" s="158">
        <v>-17.795305402</v>
      </c>
      <c r="BE15" s="158">
        <v>-9.4748623189999996</v>
      </c>
      <c r="BF15" s="288">
        <v>-10.783345304999999</v>
      </c>
      <c r="BG15" s="289">
        <v>-282.91620963999998</v>
      </c>
      <c r="BH15" s="289">
        <v>-246.44872798700001</v>
      </c>
      <c r="BI15" s="289">
        <v>-39.79675477</v>
      </c>
      <c r="BJ15" s="289">
        <v>-22.932942697000001</v>
      </c>
      <c r="BK15" s="289">
        <v>-69.032726733000004</v>
      </c>
      <c r="BL15" s="289">
        <v>-25.817248670000001</v>
      </c>
      <c r="BM15" s="289">
        <v>-251.24233936799999</v>
      </c>
      <c r="BN15" s="289">
        <v>-30.83</v>
      </c>
      <c r="BO15" s="289">
        <v>-167.87958643299999</v>
      </c>
      <c r="BP15" s="289">
        <v>-258.45999999999998</v>
      </c>
      <c r="BQ15" s="289">
        <v>30.087904647999999</v>
      </c>
      <c r="BR15" s="289">
        <v>-17.630926715000001</v>
      </c>
      <c r="BS15" s="289">
        <v>-14.232391412</v>
      </c>
      <c r="BT15" s="289">
        <v>-25.005996533000001</v>
      </c>
      <c r="BU15" s="289"/>
      <c r="BV15" s="174"/>
      <c r="BW15" s="174"/>
      <c r="BX15" s="174"/>
      <c r="BY15" s="174"/>
      <c r="BZ15" s="174"/>
      <c r="CA15" s="174"/>
      <c r="CB15" s="174"/>
      <c r="CC15" s="174"/>
      <c r="CD15" s="174"/>
      <c r="CE15" s="174"/>
      <c r="CF15" s="174"/>
      <c r="CG15" s="174"/>
      <c r="CH15" s="174"/>
      <c r="CI15" s="174"/>
      <c r="CJ15" s="174"/>
      <c r="CK15" s="174"/>
      <c r="CL15" s="174"/>
      <c r="CM15" s="174"/>
      <c r="CN15" s="174"/>
      <c r="CO15" s="174"/>
      <c r="CP15" s="174"/>
      <c r="CQ15" s="174"/>
      <c r="CR15" s="174"/>
      <c r="CS15" s="174"/>
      <c r="CT15" s="174"/>
      <c r="CU15" s="174"/>
      <c r="CV15" s="174"/>
      <c r="CW15" s="174"/>
      <c r="CX15" s="174"/>
      <c r="CY15" s="174"/>
      <c r="CZ15" s="174"/>
      <c r="DA15" s="174"/>
      <c r="DB15" s="174"/>
      <c r="DC15" s="174"/>
      <c r="DD15" s="174"/>
      <c r="DE15" s="174"/>
      <c r="DF15" s="142"/>
      <c r="DG15" s="142"/>
      <c r="DH15" s="142"/>
      <c r="DI15" s="142"/>
      <c r="DJ15" s="142"/>
      <c r="DK15" s="142"/>
      <c r="DL15" s="142"/>
      <c r="DM15" s="142"/>
      <c r="DN15" s="142"/>
      <c r="DO15" s="142"/>
      <c r="DP15" s="142"/>
      <c r="DQ15" s="142"/>
      <c r="DR15" s="142"/>
      <c r="DS15" s="175"/>
      <c r="DT15" s="142" t="str">
        <f t="shared" si="10"/>
        <v/>
      </c>
      <c r="DU15" s="142" t="str">
        <f t="shared" si="11"/>
        <v/>
      </c>
      <c r="DV15" s="142" t="str">
        <f t="shared" si="12"/>
        <v/>
      </c>
      <c r="DW15" s="142" t="str">
        <f t="shared" si="13"/>
        <v/>
      </c>
      <c r="DX15" s="142" t="str">
        <f t="shared" si="14"/>
        <v/>
      </c>
      <c r="DY15" s="142" t="str">
        <f t="shared" si="15"/>
        <v/>
      </c>
      <c r="DZ15" s="142" t="str">
        <f t="shared" si="16"/>
        <v/>
      </c>
      <c r="EA15" s="142" t="str">
        <f t="shared" si="17"/>
        <v/>
      </c>
      <c r="EB15" s="142" t="str">
        <f t="shared" si="18"/>
        <v/>
      </c>
      <c r="EC15" s="142" t="str">
        <f t="shared" si="19"/>
        <v/>
      </c>
      <c r="ED15" s="142" t="str">
        <f t="shared" si="20"/>
        <v/>
      </c>
      <c r="EE15" s="142" t="str">
        <f t="shared" si="21"/>
        <v/>
      </c>
      <c r="EF15" s="142" t="str">
        <f t="shared" si="22"/>
        <v/>
      </c>
      <c r="EG15" s="142" t="str">
        <f t="shared" si="23"/>
        <v/>
      </c>
      <c r="EH15" s="142" t="str">
        <f t="shared" si="24"/>
        <v/>
      </c>
      <c r="EI15" s="142" t="str">
        <f t="shared" si="25"/>
        <v/>
      </c>
      <c r="EJ15" s="142" t="str">
        <f t="shared" si="26"/>
        <v/>
      </c>
      <c r="EK15" s="142" t="str">
        <f t="shared" si="27"/>
        <v/>
      </c>
      <c r="EL15" s="142" t="str">
        <f t="shared" si="28"/>
        <v/>
      </c>
      <c r="EM15" s="142" t="str">
        <f t="shared" si="29"/>
        <v/>
      </c>
      <c r="EN15" s="142">
        <f t="shared" si="30"/>
        <v>-0.84494531672952777</v>
      </c>
      <c r="EO15" s="142">
        <f t="shared" si="31"/>
        <v>-0.64315377888280156</v>
      </c>
      <c r="EP15" s="142">
        <f t="shared" si="32"/>
        <v>2.2427268833794081</v>
      </c>
      <c r="EQ15" s="142">
        <f t="shared" si="33"/>
        <v>0.74075097640514498</v>
      </c>
      <c r="ER15" s="142">
        <f t="shared" si="34"/>
        <v>0.45651579626711136</v>
      </c>
      <c r="ES15" s="142">
        <f t="shared" si="35"/>
        <v>4.466025639018846</v>
      </c>
      <c r="ET15" s="142">
        <f t="shared" si="36"/>
        <v>38.81023850762044</v>
      </c>
      <c r="EU15" s="142">
        <f t="shared" si="37"/>
        <v>1.9377078879463454</v>
      </c>
      <c r="EV15" s="142">
        <f t="shared" si="38"/>
        <v>1.4458063877290082</v>
      </c>
      <c r="EW15" s="142">
        <f t="shared" si="39"/>
        <v>-0.86268621124147704</v>
      </c>
      <c r="EX15" s="142">
        <f t="shared" si="40"/>
        <v>-0.96291049324063183</v>
      </c>
      <c r="EY15" s="142">
        <f t="shared" si="41"/>
        <v>0.4809066716610082</v>
      </c>
      <c r="EZ15" s="142">
        <f t="shared" si="42"/>
        <v>3.359722249733923</v>
      </c>
      <c r="FA15" s="142">
        <f t="shared" si="43"/>
        <v>9.1064231174543711</v>
      </c>
      <c r="FB15" s="142">
        <f t="shared" si="44"/>
        <v>5.6286393398271359</v>
      </c>
      <c r="FC15" s="142">
        <f t="shared" si="45"/>
        <v>3.4966767735616164</v>
      </c>
      <c r="FD15" s="142">
        <f t="shared" si="46"/>
        <v>-0.2046628711501125</v>
      </c>
      <c r="FE15" s="142">
        <f t="shared" si="47"/>
        <v>0.5070285349785435</v>
      </c>
      <c r="FF15" s="142">
        <f t="shared" si="48"/>
        <v>1.4012954868237504E-2</v>
      </c>
      <c r="FG15" s="142">
        <f t="shared" si="49"/>
        <v>0.10412034898608047</v>
      </c>
      <c r="FH15" s="142">
        <f t="shared" si="50"/>
        <v>1.4185643684661713</v>
      </c>
      <c r="FI15" s="142">
        <f t="shared" si="51"/>
        <v>2.5276031851832803</v>
      </c>
      <c r="FJ15" s="142">
        <f t="shared" si="52"/>
        <v>0.35746226496648137</v>
      </c>
      <c r="FK15" s="142">
        <f t="shared" si="53"/>
        <v>0.53762365890192654</v>
      </c>
    </row>
    <row r="16" spans="1:167" ht="16">
      <c r="B16" s="140" t="str">
        <f>'FS Year'!B16</f>
        <v>Net Other Income/(Expenses)</v>
      </c>
      <c r="C16" s="127" t="s">
        <v>541</v>
      </c>
      <c r="D16" s="128"/>
      <c r="E16" s="128"/>
      <c r="F16" s="128"/>
      <c r="G16" s="128"/>
      <c r="H16" s="128"/>
      <c r="I16" s="128"/>
      <c r="J16" s="128"/>
      <c r="K16" s="128"/>
      <c r="L16" s="128"/>
      <c r="M16" s="128"/>
      <c r="N16" s="128"/>
      <c r="O16" s="128"/>
      <c r="P16" s="128"/>
      <c r="Q16" s="128"/>
      <c r="R16" s="128"/>
      <c r="S16" s="128"/>
      <c r="T16" s="128"/>
      <c r="U16" s="128"/>
      <c r="V16" s="128"/>
      <c r="W16" s="128"/>
      <c r="X16" s="128"/>
      <c r="Y16" s="128"/>
      <c r="Z16" s="128">
        <v>0.393159592</v>
      </c>
      <c r="AA16" s="128">
        <v>2.183994174</v>
      </c>
      <c r="AB16" s="128">
        <v>5.2273803010000002</v>
      </c>
      <c r="AC16" s="128">
        <v>4.0739473180000001</v>
      </c>
      <c r="AD16" s="128">
        <v>2.4125633240000002</v>
      </c>
      <c r="AE16" s="128">
        <v>5.4116881360000004</v>
      </c>
      <c r="AF16" s="128">
        <v>10.090018933</v>
      </c>
      <c r="AG16" s="128">
        <v>5.5289233019999999</v>
      </c>
      <c r="AH16" s="128">
        <v>6.080668663</v>
      </c>
      <c r="AI16" s="128">
        <v>7.841119613</v>
      </c>
      <c r="AJ16" s="128">
        <v>-19.495723306999999</v>
      </c>
      <c r="AK16" s="128">
        <v>4.6130993560000002</v>
      </c>
      <c r="AL16" s="128">
        <v>2.1027972460000002</v>
      </c>
      <c r="AM16" s="128">
        <v>2.7933637</v>
      </c>
      <c r="AN16" s="128">
        <v>2.9562221790000001</v>
      </c>
      <c r="AO16" s="128">
        <v>6.0158736509999997</v>
      </c>
      <c r="AP16" s="173">
        <v>4.2001654659999996</v>
      </c>
      <c r="AQ16" s="173">
        <v>3.2120447959999998</v>
      </c>
      <c r="AR16" s="173">
        <v>1.8090253460000001</v>
      </c>
      <c r="AS16" s="288">
        <v>2.9149209749999998</v>
      </c>
      <c r="AT16" s="288">
        <v>9.7659105099999994</v>
      </c>
      <c r="AU16" s="288">
        <v>2.8171655279999999</v>
      </c>
      <c r="AV16" s="288">
        <v>0.67434867099999996</v>
      </c>
      <c r="AW16" s="158">
        <v>5.5063484100000002</v>
      </c>
      <c r="AX16" s="158">
        <v>1.389332266</v>
      </c>
      <c r="AY16" s="158">
        <v>-8.5967387019999997</v>
      </c>
      <c r="AZ16" s="158">
        <v>-0.95991647400000002</v>
      </c>
      <c r="BA16" s="158">
        <v>5.3727973090000001</v>
      </c>
      <c r="BB16" s="41">
        <v>3.592342881</v>
      </c>
      <c r="BC16" s="41">
        <v>-2.2299470659999998</v>
      </c>
      <c r="BD16" s="158">
        <v>2.343896585</v>
      </c>
      <c r="BE16" s="158">
        <v>23.17560585</v>
      </c>
      <c r="BF16" s="288">
        <v>5.6224114519999997</v>
      </c>
      <c r="BG16" s="289">
        <v>-263.66812472999999</v>
      </c>
      <c r="BH16" s="289">
        <v>-229.46042191999999</v>
      </c>
      <c r="BI16" s="289">
        <v>-30.832189828000001</v>
      </c>
      <c r="BJ16" s="289">
        <v>-9.4607334989999998</v>
      </c>
      <c r="BK16" s="289">
        <v>-59.58685002</v>
      </c>
      <c r="BL16" s="289">
        <v>-14.818349994</v>
      </c>
      <c r="BM16" s="289">
        <v>-244.293593216</v>
      </c>
      <c r="BN16" s="289">
        <v>-6.2</v>
      </c>
      <c r="BO16" s="289">
        <v>-181.60930927499999</v>
      </c>
      <c r="BP16" s="289">
        <v>-252.39</v>
      </c>
      <c r="BQ16" s="289">
        <v>38.921131266000003</v>
      </c>
      <c r="BR16" s="289">
        <v>-5.543377145</v>
      </c>
      <c r="BS16" s="289">
        <v>-13.046014594000001</v>
      </c>
      <c r="BT16" s="289">
        <v>-18.090280954000001</v>
      </c>
      <c r="BU16" s="289"/>
      <c r="BV16" s="174"/>
      <c r="BW16" s="174"/>
      <c r="BX16" s="174"/>
      <c r="BY16" s="174"/>
      <c r="BZ16" s="174"/>
      <c r="CA16" s="174"/>
      <c r="CB16" s="174"/>
      <c r="CC16" s="174"/>
      <c r="CD16" s="174"/>
      <c r="CE16" s="174"/>
      <c r="CF16" s="174"/>
      <c r="CG16" s="174"/>
      <c r="CH16" s="174"/>
      <c r="CI16" s="174"/>
      <c r="CJ16" s="174"/>
      <c r="CK16" s="174"/>
      <c r="CL16" s="174"/>
      <c r="CM16" s="174"/>
      <c r="CN16" s="174"/>
      <c r="CO16" s="174"/>
      <c r="CP16" s="174"/>
      <c r="CQ16" s="174"/>
      <c r="CR16" s="174"/>
      <c r="CS16" s="174"/>
      <c r="CT16" s="174"/>
      <c r="CU16" s="174"/>
      <c r="CV16" s="174"/>
      <c r="CW16" s="174"/>
      <c r="CX16" s="174"/>
      <c r="CY16" s="174"/>
      <c r="CZ16" s="174"/>
      <c r="DA16" s="174"/>
      <c r="DB16" s="174"/>
      <c r="DC16" s="174"/>
      <c r="DD16" s="174"/>
      <c r="DE16" s="174"/>
      <c r="DF16" s="142"/>
      <c r="DG16" s="142"/>
      <c r="DH16" s="142"/>
      <c r="DI16" s="142"/>
      <c r="DJ16" s="142"/>
      <c r="DK16" s="142"/>
      <c r="DL16" s="142"/>
      <c r="DM16" s="142"/>
      <c r="DN16" s="142"/>
      <c r="DO16" s="142"/>
      <c r="DP16" s="142"/>
      <c r="DQ16" s="142"/>
      <c r="DR16" s="142"/>
      <c r="DS16" s="175"/>
      <c r="DT16" s="142" t="str">
        <f t="shared" si="10"/>
        <v/>
      </c>
      <c r="DU16" s="142" t="str">
        <f t="shared" si="11"/>
        <v/>
      </c>
      <c r="DV16" s="142" t="str">
        <f t="shared" si="12"/>
        <v/>
      </c>
      <c r="DW16" s="142" t="str">
        <f t="shared" si="13"/>
        <v/>
      </c>
      <c r="DX16" s="142" t="str">
        <f t="shared" si="14"/>
        <v/>
      </c>
      <c r="DY16" s="142" t="str">
        <f t="shared" si="15"/>
        <v/>
      </c>
      <c r="DZ16" s="142" t="str">
        <f t="shared" si="16"/>
        <v/>
      </c>
      <c r="EA16" s="142" t="str">
        <f t="shared" si="17"/>
        <v/>
      </c>
      <c r="EB16" s="142" t="str">
        <f t="shared" si="18"/>
        <v/>
      </c>
      <c r="EC16" s="142" t="str">
        <f t="shared" si="19"/>
        <v/>
      </c>
      <c r="ED16" s="142" t="str">
        <f t="shared" si="20"/>
        <v/>
      </c>
      <c r="EE16" s="142" t="str">
        <f t="shared" si="21"/>
        <v/>
      </c>
      <c r="EF16" s="142" t="str">
        <f t="shared" si="22"/>
        <v/>
      </c>
      <c r="EG16" s="142" t="str">
        <f t="shared" si="23"/>
        <v/>
      </c>
      <c r="EH16" s="142" t="str">
        <f t="shared" si="24"/>
        <v/>
      </c>
      <c r="EI16" s="142" t="str">
        <f t="shared" si="25"/>
        <v/>
      </c>
      <c r="EJ16" s="142" t="str">
        <f t="shared" si="26"/>
        <v/>
      </c>
      <c r="EK16" s="142" t="str">
        <f t="shared" si="27"/>
        <v/>
      </c>
      <c r="EL16" s="142" t="str">
        <f t="shared" si="28"/>
        <v/>
      </c>
      <c r="EM16" s="142" t="str">
        <f t="shared" si="29"/>
        <v/>
      </c>
      <c r="EN16" s="142">
        <f t="shared" si="30"/>
        <v>5.1363460871635054</v>
      </c>
      <c r="EO16" s="142">
        <f t="shared" si="31"/>
        <v>1.477885793114758</v>
      </c>
      <c r="EP16" s="142">
        <f t="shared" si="32"/>
        <v>0.93022476881388849</v>
      </c>
      <c r="EQ16" s="142">
        <f t="shared" si="33"/>
        <v>0.3571415804940461</v>
      </c>
      <c r="ER16" s="142">
        <f t="shared" si="34"/>
        <v>1.5204182632264867</v>
      </c>
      <c r="ES16" s="142">
        <f t="shared" si="35"/>
        <v>0.44892303768185937</v>
      </c>
      <c r="ET16" s="142">
        <f t="shared" si="36"/>
        <v>-2.9321790609567726</v>
      </c>
      <c r="EU16" s="142">
        <f t="shared" si="37"/>
        <v>-0.16564236759600459</v>
      </c>
      <c r="EV16" s="142">
        <f t="shared" si="38"/>
        <v>-0.65418322185597433</v>
      </c>
      <c r="EW16" s="142">
        <f t="shared" si="39"/>
        <v>-0.64375448432532412</v>
      </c>
      <c r="EX16" s="142">
        <f t="shared" si="40"/>
        <v>-1.1516343934743145</v>
      </c>
      <c r="EY16" s="142">
        <f t="shared" si="41"/>
        <v>0.30408499508589371</v>
      </c>
      <c r="EZ16" s="142">
        <f t="shared" si="42"/>
        <v>0.99741818855321029</v>
      </c>
      <c r="FA16" s="142">
        <f t="shared" si="43"/>
        <v>0.14988420448078421</v>
      </c>
      <c r="FB16" s="142">
        <f t="shared" si="44"/>
        <v>-0.3880617773418038</v>
      </c>
      <c r="FC16" s="142">
        <f t="shared" si="45"/>
        <v>-0.51546173604968226</v>
      </c>
      <c r="FD16" s="142">
        <f t="shared" si="46"/>
        <v>1.3251251859133304</v>
      </c>
      <c r="FE16" s="142">
        <f t="shared" si="47"/>
        <v>-0.12293703639866671</v>
      </c>
      <c r="FF16" s="142">
        <f t="shared" si="48"/>
        <v>-0.62723094372830313</v>
      </c>
      <c r="FG16" s="142">
        <f t="shared" si="49"/>
        <v>0.88902150597753349</v>
      </c>
      <c r="FH16" s="142">
        <f t="shared" si="50"/>
        <v>-0.85773653520812365</v>
      </c>
      <c r="FI16" s="142">
        <f t="shared" si="51"/>
        <v>-4.0515561178625923</v>
      </c>
      <c r="FJ16" s="142">
        <f t="shared" si="52"/>
        <v>-2.4234720335053499</v>
      </c>
      <c r="FK16" s="142">
        <f t="shared" si="53"/>
        <v>-2.4254023003241088E-2</v>
      </c>
    </row>
    <row r="17" spans="2:167" ht="16">
      <c r="B17" s="140" t="str">
        <f>'FS Year'!B17</f>
        <v>Income From Investments In Other Entities</v>
      </c>
      <c r="C17" s="143" t="s">
        <v>1239</v>
      </c>
      <c r="D17" s="128"/>
      <c r="E17" s="128"/>
      <c r="F17" s="128"/>
      <c r="G17" s="128"/>
      <c r="H17" s="128"/>
      <c r="I17" s="128"/>
      <c r="J17" s="128"/>
      <c r="K17" s="128"/>
      <c r="L17" s="128"/>
      <c r="M17" s="128"/>
      <c r="N17" s="128"/>
      <c r="O17" s="128"/>
      <c r="P17" s="128"/>
      <c r="Q17" s="128"/>
      <c r="R17" s="128"/>
      <c r="S17" s="128"/>
      <c r="T17" s="128"/>
      <c r="U17" s="128"/>
      <c r="V17" s="128"/>
      <c r="W17" s="128"/>
      <c r="X17" s="128"/>
      <c r="Y17" s="128"/>
      <c r="Z17" s="128">
        <v>0</v>
      </c>
      <c r="AA17" s="128">
        <v>0</v>
      </c>
      <c r="AB17" s="128">
        <v>0</v>
      </c>
      <c r="AC17" s="128">
        <v>0</v>
      </c>
      <c r="AD17" s="128">
        <v>0</v>
      </c>
      <c r="AE17" s="128">
        <v>0</v>
      </c>
      <c r="AF17" s="128">
        <v>0</v>
      </c>
      <c r="AG17" s="128">
        <v>0</v>
      </c>
      <c r="AH17" s="128">
        <v>0</v>
      </c>
      <c r="AI17" s="128">
        <v>0</v>
      </c>
      <c r="AJ17" s="128">
        <v>0</v>
      </c>
      <c r="AK17" s="128">
        <v>0</v>
      </c>
      <c r="AL17" s="128">
        <v>0</v>
      </c>
      <c r="AM17" s="128">
        <v>0</v>
      </c>
      <c r="AN17" s="128">
        <v>0</v>
      </c>
      <c r="AO17" s="128">
        <v>0</v>
      </c>
      <c r="AP17" s="173">
        <v>0</v>
      </c>
      <c r="AQ17" s="173">
        <v>0</v>
      </c>
      <c r="AR17" s="173">
        <v>0</v>
      </c>
      <c r="AS17" s="288">
        <v>0</v>
      </c>
      <c r="AT17" s="288">
        <v>0</v>
      </c>
      <c r="AU17" s="288">
        <v>0</v>
      </c>
      <c r="AV17" s="288">
        <v>0</v>
      </c>
      <c r="AW17" s="158">
        <v>0</v>
      </c>
      <c r="AX17" s="158">
        <v>0</v>
      </c>
      <c r="AY17" s="158">
        <v>0</v>
      </c>
      <c r="AZ17" s="158">
        <v>0</v>
      </c>
      <c r="BA17" s="158">
        <v>0</v>
      </c>
      <c r="BB17" s="41">
        <v>0</v>
      </c>
      <c r="BC17" s="41">
        <v>0</v>
      </c>
      <c r="BD17" s="158">
        <v>0</v>
      </c>
      <c r="BE17" s="158">
        <v>0</v>
      </c>
      <c r="BF17" s="288">
        <v>0</v>
      </c>
      <c r="BG17" s="289">
        <v>0</v>
      </c>
      <c r="BH17" s="289">
        <v>0</v>
      </c>
      <c r="BI17" s="289">
        <v>0</v>
      </c>
      <c r="BJ17" s="289">
        <v>0</v>
      </c>
      <c r="BK17" s="289">
        <v>0</v>
      </c>
      <c r="BL17" s="289">
        <v>0</v>
      </c>
      <c r="BM17" s="289">
        <v>0</v>
      </c>
      <c r="BN17" s="289">
        <v>0</v>
      </c>
      <c r="BO17" s="289">
        <v>0</v>
      </c>
      <c r="BP17" s="289">
        <v>0</v>
      </c>
      <c r="BQ17" s="289">
        <v>0</v>
      </c>
      <c r="BR17" s="289">
        <v>0</v>
      </c>
      <c r="BS17" s="289">
        <v>0</v>
      </c>
      <c r="BT17" s="289"/>
      <c r="BU17" s="289"/>
      <c r="BV17" s="174"/>
      <c r="BW17" s="174"/>
      <c r="BX17" s="174"/>
      <c r="BY17" s="174"/>
      <c r="BZ17" s="174"/>
      <c r="CA17" s="174"/>
      <c r="CB17" s="174"/>
      <c r="CC17" s="174"/>
      <c r="CD17" s="174"/>
      <c r="CE17" s="174"/>
      <c r="CF17" s="174"/>
      <c r="CG17" s="174"/>
      <c r="CH17" s="174"/>
      <c r="CI17" s="174"/>
      <c r="CJ17" s="174"/>
      <c r="CK17" s="174"/>
      <c r="CL17" s="174"/>
      <c r="CM17" s="174"/>
      <c r="CN17" s="174"/>
      <c r="CO17" s="174"/>
      <c r="CP17" s="174"/>
      <c r="CQ17" s="174"/>
      <c r="CR17" s="174"/>
      <c r="CS17" s="174"/>
      <c r="CT17" s="174"/>
      <c r="CU17" s="174"/>
      <c r="CV17" s="174"/>
      <c r="CW17" s="174"/>
      <c r="CX17" s="174"/>
      <c r="CY17" s="174"/>
      <c r="CZ17" s="174"/>
      <c r="DA17" s="174"/>
      <c r="DB17" s="174"/>
      <c r="DC17" s="174"/>
      <c r="DD17" s="174"/>
      <c r="DE17" s="174"/>
      <c r="DF17" s="142"/>
      <c r="DG17" s="142"/>
      <c r="DH17" s="142"/>
      <c r="DI17" s="142"/>
      <c r="DJ17" s="142"/>
      <c r="DK17" s="142"/>
      <c r="DL17" s="142"/>
      <c r="DM17" s="142"/>
      <c r="DN17" s="142"/>
      <c r="DO17" s="142"/>
      <c r="DP17" s="142"/>
      <c r="DQ17" s="142"/>
      <c r="DR17" s="142"/>
      <c r="DS17" s="175"/>
      <c r="DT17" s="142" t="str">
        <f t="shared" si="10"/>
        <v/>
      </c>
      <c r="DU17" s="142" t="str">
        <f t="shared" si="11"/>
        <v/>
      </c>
      <c r="DV17" s="142" t="str">
        <f t="shared" si="12"/>
        <v/>
      </c>
      <c r="DW17" s="142" t="str">
        <f t="shared" si="13"/>
        <v/>
      </c>
      <c r="DX17" s="142" t="str">
        <f t="shared" si="14"/>
        <v/>
      </c>
      <c r="DY17" s="142" t="str">
        <f t="shared" si="15"/>
        <v/>
      </c>
      <c r="DZ17" s="142" t="str">
        <f t="shared" si="16"/>
        <v/>
      </c>
      <c r="EA17" s="142" t="str">
        <f t="shared" si="17"/>
        <v/>
      </c>
      <c r="EB17" s="142" t="str">
        <f t="shared" si="18"/>
        <v/>
      </c>
      <c r="EC17" s="142" t="str">
        <f t="shared" si="19"/>
        <v/>
      </c>
      <c r="ED17" s="142" t="str">
        <f t="shared" si="20"/>
        <v/>
      </c>
      <c r="EE17" s="142" t="str">
        <f t="shared" si="21"/>
        <v/>
      </c>
      <c r="EF17" s="142" t="str">
        <f t="shared" si="22"/>
        <v/>
      </c>
      <c r="EG17" s="142" t="str">
        <f t="shared" si="23"/>
        <v/>
      </c>
      <c r="EH17" s="142" t="str">
        <f t="shared" si="24"/>
        <v/>
      </c>
      <c r="EI17" s="142" t="str">
        <f t="shared" si="25"/>
        <v/>
      </c>
      <c r="EJ17" s="142" t="str">
        <f t="shared" si="26"/>
        <v/>
      </c>
      <c r="EK17" s="142" t="str">
        <f t="shared" si="27"/>
        <v/>
      </c>
      <c r="EL17" s="142" t="str">
        <f t="shared" si="28"/>
        <v/>
      </c>
      <c r="EM17" s="142" t="str">
        <f t="shared" si="29"/>
        <v/>
      </c>
      <c r="EN17" s="142" t="str">
        <f t="shared" si="30"/>
        <v/>
      </c>
      <c r="EO17" s="142" t="str">
        <f t="shared" si="31"/>
        <v/>
      </c>
      <c r="EP17" s="142" t="str">
        <f t="shared" si="32"/>
        <v/>
      </c>
      <c r="EQ17" s="142" t="str">
        <f t="shared" si="33"/>
        <v/>
      </c>
      <c r="ER17" s="142" t="str">
        <f t="shared" si="34"/>
        <v/>
      </c>
      <c r="ES17" s="142" t="str">
        <f t="shared" si="35"/>
        <v/>
      </c>
      <c r="ET17" s="142" t="str">
        <f t="shared" si="36"/>
        <v/>
      </c>
      <c r="EU17" s="142" t="str">
        <f t="shared" si="37"/>
        <v/>
      </c>
      <c r="EV17" s="142" t="str">
        <f t="shared" si="38"/>
        <v/>
      </c>
      <c r="EW17" s="142" t="str">
        <f t="shared" si="39"/>
        <v/>
      </c>
      <c r="EX17" s="142" t="str">
        <f t="shared" si="40"/>
        <v/>
      </c>
      <c r="EY17" s="142" t="str">
        <f t="shared" si="41"/>
        <v/>
      </c>
      <c r="EZ17" s="142" t="str">
        <f t="shared" si="42"/>
        <v/>
      </c>
      <c r="FA17" s="142" t="str">
        <f t="shared" si="43"/>
        <v/>
      </c>
      <c r="FB17" s="142" t="str">
        <f t="shared" si="44"/>
        <v/>
      </c>
      <c r="FC17" s="142" t="str">
        <f t="shared" si="45"/>
        <v/>
      </c>
      <c r="FD17" s="142" t="str">
        <f t="shared" si="46"/>
        <v/>
      </c>
      <c r="FE17" s="142" t="str">
        <f t="shared" si="47"/>
        <v/>
      </c>
      <c r="FF17" s="142" t="str">
        <f t="shared" si="48"/>
        <v/>
      </c>
      <c r="FG17" s="142" t="str">
        <f t="shared" si="49"/>
        <v/>
      </c>
      <c r="FH17" s="142" t="str">
        <f t="shared" si="50"/>
        <v/>
      </c>
      <c r="FI17" s="142" t="str">
        <f t="shared" si="51"/>
        <v/>
      </c>
      <c r="FJ17" s="142" t="str">
        <f t="shared" si="52"/>
        <v/>
      </c>
      <c r="FK17" s="142" t="str">
        <f t="shared" si="53"/>
        <v/>
      </c>
    </row>
    <row r="18" spans="2:167" ht="16">
      <c r="B18" s="154" t="str">
        <f>'FS Year'!B18</f>
        <v>Net Accounting Profit/(Loss) Before Tax</v>
      </c>
      <c r="C18" s="144" t="s">
        <v>8</v>
      </c>
      <c r="D18" s="135"/>
      <c r="E18" s="135"/>
      <c r="F18" s="135"/>
      <c r="G18" s="135"/>
      <c r="H18" s="135"/>
      <c r="I18" s="135"/>
      <c r="J18" s="135"/>
      <c r="K18" s="135"/>
      <c r="L18" s="135"/>
      <c r="M18" s="135"/>
      <c r="N18" s="135"/>
      <c r="O18" s="135"/>
      <c r="P18" s="135"/>
      <c r="Q18" s="135"/>
      <c r="R18" s="135"/>
      <c r="S18" s="135"/>
      <c r="T18" s="135"/>
      <c r="U18" s="135"/>
      <c r="V18" s="135"/>
      <c r="W18" s="135"/>
      <c r="X18" s="135"/>
      <c r="Y18" s="135"/>
      <c r="Z18" s="135">
        <v>215.39538800700001</v>
      </c>
      <c r="AA18" s="135">
        <v>184.86842556900001</v>
      </c>
      <c r="AB18" s="135">
        <v>227.28784418699999</v>
      </c>
      <c r="AC18" s="135">
        <v>240.64578533100001</v>
      </c>
      <c r="AD18" s="135">
        <v>300.12697251200001</v>
      </c>
      <c r="AE18" s="135">
        <v>286.83640138800001</v>
      </c>
      <c r="AF18" s="135">
        <v>371.03433424000002</v>
      </c>
      <c r="AG18" s="135">
        <v>427.78607955400003</v>
      </c>
      <c r="AH18" s="135">
        <v>524.92708988699997</v>
      </c>
      <c r="AI18" s="135">
        <v>525.31273008699998</v>
      </c>
      <c r="AJ18" s="135">
        <v>498.68242204900002</v>
      </c>
      <c r="AK18" s="135">
        <v>456.98827290000003</v>
      </c>
      <c r="AL18" s="135">
        <v>705.60855195199997</v>
      </c>
      <c r="AM18" s="135">
        <v>650.41016213099999</v>
      </c>
      <c r="AN18" s="135">
        <v>719.25070334999998</v>
      </c>
      <c r="AO18" s="135">
        <v>734.04261521299998</v>
      </c>
      <c r="AP18" s="170">
        <v>1042.9850276279999</v>
      </c>
      <c r="AQ18" s="170">
        <v>968.24297201800005</v>
      </c>
      <c r="AR18" s="170">
        <v>856.15248125799997</v>
      </c>
      <c r="AS18" s="155">
        <v>918.93808801499995</v>
      </c>
      <c r="AT18" s="155">
        <v>1341.1581542890001</v>
      </c>
      <c r="AU18" s="155">
        <v>1395.6172777710001</v>
      </c>
      <c r="AV18" s="155">
        <v>1137.1023158850001</v>
      </c>
      <c r="AW18" s="155">
        <v>1179.569456751</v>
      </c>
      <c r="AX18" s="155">
        <v>1544.0613457019999</v>
      </c>
      <c r="AY18" s="155">
        <v>1253.662361959</v>
      </c>
      <c r="AZ18" s="155">
        <v>1278.2799294680001</v>
      </c>
      <c r="BA18" s="155">
        <v>1333.731770224</v>
      </c>
      <c r="BB18" s="41">
        <v>1827.568934141</v>
      </c>
      <c r="BC18" s="41">
        <v>1625.9705259679999</v>
      </c>
      <c r="BD18" s="158">
        <v>968.13116075300002</v>
      </c>
      <c r="BE18" s="158">
        <v>2049.9131296810001</v>
      </c>
      <c r="BF18" s="155">
        <v>2002.993629475</v>
      </c>
      <c r="BG18" s="287">
        <v>1702.1433241530001</v>
      </c>
      <c r="BH18" s="287">
        <v>1417.840145809</v>
      </c>
      <c r="BI18" s="287">
        <v>933.378274121</v>
      </c>
      <c r="BJ18" s="287">
        <v>158.96658166099999</v>
      </c>
      <c r="BK18" s="287">
        <v>129.784475802</v>
      </c>
      <c r="BL18" s="287">
        <v>182.016087121</v>
      </c>
      <c r="BM18" s="287">
        <v>218.92522331200001</v>
      </c>
      <c r="BN18" s="287">
        <v>1206.2</v>
      </c>
      <c r="BO18" s="287">
        <v>1516.0430932920001</v>
      </c>
      <c r="BP18" s="287">
        <v>1068.05</v>
      </c>
      <c r="BQ18" s="287">
        <v>1035.4712539980001</v>
      </c>
      <c r="BR18" s="287">
        <v>1934.6613872200001</v>
      </c>
      <c r="BS18" s="287">
        <v>2028.2047553760001</v>
      </c>
      <c r="BT18" s="287">
        <v>2172.351166079</v>
      </c>
      <c r="BU18" s="287"/>
      <c r="BV18" s="171"/>
      <c r="BW18" s="171"/>
      <c r="BX18" s="171"/>
      <c r="BY18" s="171"/>
      <c r="BZ18" s="171"/>
      <c r="CA18" s="171"/>
      <c r="CB18" s="171"/>
      <c r="CC18" s="171"/>
      <c r="CD18" s="171"/>
      <c r="CE18" s="171"/>
      <c r="CF18" s="171"/>
      <c r="CG18" s="171"/>
      <c r="CH18" s="171"/>
      <c r="CI18" s="171"/>
      <c r="CJ18" s="171"/>
      <c r="CK18" s="171"/>
      <c r="CL18" s="171"/>
      <c r="CM18" s="171"/>
      <c r="CN18" s="171"/>
      <c r="CO18" s="171"/>
      <c r="CP18" s="171"/>
      <c r="CQ18" s="171"/>
      <c r="CR18" s="171"/>
      <c r="CS18" s="171"/>
      <c r="CT18" s="171"/>
      <c r="CU18" s="171"/>
      <c r="CV18" s="171"/>
      <c r="CW18" s="171"/>
      <c r="CX18" s="171"/>
      <c r="CY18" s="171"/>
      <c r="CZ18" s="171"/>
      <c r="DA18" s="171"/>
      <c r="DB18" s="171"/>
      <c r="DC18" s="171"/>
      <c r="DD18" s="171"/>
      <c r="DE18" s="171"/>
      <c r="DF18" s="139"/>
      <c r="DG18" s="139"/>
      <c r="DH18" s="139"/>
      <c r="DI18" s="139"/>
      <c r="DJ18" s="139"/>
      <c r="DK18" s="139"/>
      <c r="DL18" s="139"/>
      <c r="DM18" s="139"/>
      <c r="DN18" s="139"/>
      <c r="DO18" s="139"/>
      <c r="DP18" s="139"/>
      <c r="DQ18" s="139"/>
      <c r="DR18" s="139"/>
      <c r="DS18" s="172"/>
      <c r="DT18" s="139" t="str">
        <f t="shared" si="10"/>
        <v/>
      </c>
      <c r="DU18" s="139" t="str">
        <f t="shared" si="11"/>
        <v/>
      </c>
      <c r="DV18" s="139" t="str">
        <f t="shared" si="12"/>
        <v/>
      </c>
      <c r="DW18" s="139" t="str">
        <f t="shared" si="13"/>
        <v/>
      </c>
      <c r="DX18" s="139" t="str">
        <f t="shared" si="14"/>
        <v/>
      </c>
      <c r="DY18" s="139" t="str">
        <f t="shared" si="15"/>
        <v/>
      </c>
      <c r="DZ18" s="139" t="str">
        <f t="shared" si="16"/>
        <v/>
      </c>
      <c r="EA18" s="139" t="str">
        <f t="shared" si="17"/>
        <v/>
      </c>
      <c r="EB18" s="139" t="str">
        <f t="shared" si="18"/>
        <v/>
      </c>
      <c r="EC18" s="139" t="str">
        <f t="shared" si="19"/>
        <v/>
      </c>
      <c r="ED18" s="139" t="str">
        <f t="shared" si="20"/>
        <v/>
      </c>
      <c r="EE18" s="139" t="str">
        <f t="shared" si="21"/>
        <v/>
      </c>
      <c r="EF18" s="139" t="str">
        <f t="shared" si="22"/>
        <v/>
      </c>
      <c r="EG18" s="139" t="str">
        <f t="shared" si="23"/>
        <v/>
      </c>
      <c r="EH18" s="139" t="str">
        <f t="shared" si="24"/>
        <v/>
      </c>
      <c r="EI18" s="139" t="str">
        <f t="shared" si="25"/>
        <v/>
      </c>
      <c r="EJ18" s="139" t="str">
        <f t="shared" si="26"/>
        <v/>
      </c>
      <c r="EK18" s="139" t="str">
        <f t="shared" si="27"/>
        <v/>
      </c>
      <c r="EL18" s="139" t="str">
        <f t="shared" si="28"/>
        <v/>
      </c>
      <c r="EM18" s="139" t="str">
        <f t="shared" si="29"/>
        <v/>
      </c>
      <c r="EN18" s="139">
        <f t="shared" si="30"/>
        <v>0.39337696730185501</v>
      </c>
      <c r="EO18" s="139">
        <f t="shared" si="31"/>
        <v>0.55157053188047866</v>
      </c>
      <c r="EP18" s="139">
        <f t="shared" si="32"/>
        <v>0.63244248968604455</v>
      </c>
      <c r="EQ18" s="139">
        <f t="shared" si="33"/>
        <v>0.77765872344531184</v>
      </c>
      <c r="ER18" s="139">
        <f t="shared" si="34"/>
        <v>0.74901670947289412</v>
      </c>
      <c r="ES18" s="139">
        <f t="shared" si="35"/>
        <v>0.83140189859102298</v>
      </c>
      <c r="ET18" s="139">
        <f t="shared" si="36"/>
        <v>0.34403308812502531</v>
      </c>
      <c r="EU18" s="139">
        <f t="shared" si="37"/>
        <v>6.8263542788595588E-2</v>
      </c>
      <c r="EV18" s="139">
        <f t="shared" si="38"/>
        <v>0.34420296750905921</v>
      </c>
      <c r="EW18" s="139">
        <f t="shared" si="39"/>
        <v>0.23813896918751976</v>
      </c>
      <c r="EX18" s="139">
        <f t="shared" si="40"/>
        <v>0.44230209758491768</v>
      </c>
      <c r="EY18" s="139">
        <f t="shared" si="41"/>
        <v>0.6062613829340564</v>
      </c>
      <c r="EZ18" s="139">
        <f t="shared" si="42"/>
        <v>0.47813546865706136</v>
      </c>
      <c r="FA18" s="139">
        <f t="shared" si="43"/>
        <v>0.48866519681312259</v>
      </c>
      <c r="FB18" s="139">
        <f t="shared" si="44"/>
        <v>0.19033944252033796</v>
      </c>
      <c r="FC18" s="139">
        <f t="shared" si="45"/>
        <v>0.25188656485338812</v>
      </c>
      <c r="FD18" s="139">
        <f t="shared" si="46"/>
        <v>0.28588437874234685</v>
      </c>
      <c r="FE18" s="139">
        <f t="shared" si="47"/>
        <v>0.44139159085479518</v>
      </c>
      <c r="FF18" s="139">
        <f t="shared" si="48"/>
        <v>0.32815396880492886</v>
      </c>
      <c r="FG18" s="139">
        <f t="shared" si="49"/>
        <v>0.28362233771264211</v>
      </c>
      <c r="FH18" s="139">
        <f t="shared" si="50"/>
        <v>0.15128953342610574</v>
      </c>
      <c r="FI18" s="139">
        <f t="shared" si="51"/>
        <v>-0.10171478819660529</v>
      </c>
      <c r="FJ18" s="139">
        <f t="shared" si="52"/>
        <v>0.12415559410159349</v>
      </c>
      <c r="FK18" s="139">
        <f t="shared" si="53"/>
        <v>0.13069371421130538</v>
      </c>
    </row>
    <row r="19" spans="2:167" ht="16">
      <c r="B19" s="140" t="str">
        <f>'FS Year'!B19</f>
        <v>Corporate Income Tax - Current</v>
      </c>
      <c r="C19" s="127" t="s">
        <v>1240</v>
      </c>
      <c r="D19" s="128"/>
      <c r="E19" s="128"/>
      <c r="F19" s="128"/>
      <c r="G19" s="128"/>
      <c r="H19" s="128"/>
      <c r="I19" s="128"/>
      <c r="J19" s="128"/>
      <c r="K19" s="128"/>
      <c r="L19" s="128"/>
      <c r="M19" s="128"/>
      <c r="N19" s="128"/>
      <c r="O19" s="128"/>
      <c r="P19" s="128"/>
      <c r="Q19" s="128"/>
      <c r="R19" s="128"/>
      <c r="S19" s="128"/>
      <c r="T19" s="128"/>
      <c r="U19" s="128"/>
      <c r="V19" s="128"/>
      <c r="W19" s="128"/>
      <c r="X19" s="128"/>
      <c r="Y19" s="128"/>
      <c r="Z19" s="128">
        <v>-46.322556358999996</v>
      </c>
      <c r="AA19" s="128">
        <v>-49.872262575000001</v>
      </c>
      <c r="AB19" s="128">
        <v>-50.409158218000002</v>
      </c>
      <c r="AC19" s="128">
        <v>-57.195255502999998</v>
      </c>
      <c r="AD19" s="128">
        <v>-65.280486636999996</v>
      </c>
      <c r="AE19" s="128">
        <v>-63.679812585999997</v>
      </c>
      <c r="AF19" s="128">
        <v>-88.984504388999994</v>
      </c>
      <c r="AG19" s="128">
        <v>-94.666156709999996</v>
      </c>
      <c r="AH19" s="128">
        <v>-109.23211483999999</v>
      </c>
      <c r="AI19" s="128">
        <v>-110.002246184</v>
      </c>
      <c r="AJ19" s="128">
        <v>-113.862785093</v>
      </c>
      <c r="AK19" s="128">
        <v>-115.085304429</v>
      </c>
      <c r="AL19" s="128">
        <v>-151.46169607499999</v>
      </c>
      <c r="AM19" s="128">
        <v>-145.064422904</v>
      </c>
      <c r="AN19" s="128">
        <v>-156.43868123799999</v>
      </c>
      <c r="AO19" s="128">
        <v>-186.77880523600001</v>
      </c>
      <c r="AP19" s="173">
        <v>-241.30407874900001</v>
      </c>
      <c r="AQ19" s="173">
        <v>-246.52924362799999</v>
      </c>
      <c r="AR19" s="173">
        <v>-214.30634103700001</v>
      </c>
      <c r="AS19" s="288">
        <v>-231.69707503199999</v>
      </c>
      <c r="AT19" s="288">
        <v>-296.11540358100001</v>
      </c>
      <c r="AU19" s="288">
        <v>-314.07959151400001</v>
      </c>
      <c r="AV19" s="288">
        <v>-295.669869167</v>
      </c>
      <c r="AW19" s="158">
        <v>-342.488217572</v>
      </c>
      <c r="AX19" s="158">
        <v>-423.56213124700002</v>
      </c>
      <c r="AY19" s="158">
        <v>-367.65419854599998</v>
      </c>
      <c r="AZ19" s="158">
        <v>-351.25514505199999</v>
      </c>
      <c r="BA19" s="158">
        <v>-455.94234637400001</v>
      </c>
      <c r="BB19" s="41">
        <v>-469.24963198099999</v>
      </c>
      <c r="BC19" s="41">
        <v>-418.68324550400001</v>
      </c>
      <c r="BD19" s="158">
        <v>-228.91926626399999</v>
      </c>
      <c r="BE19" s="158">
        <v>-520.012449565</v>
      </c>
      <c r="BF19" s="288">
        <v>-553.60448381399999</v>
      </c>
      <c r="BG19" s="287">
        <v>-546.71632095999996</v>
      </c>
      <c r="BH19" s="287">
        <v>-496.12167573800002</v>
      </c>
      <c r="BI19" s="287">
        <v>-196.55632958999999</v>
      </c>
      <c r="BJ19" s="287">
        <v>-140.45582847200001</v>
      </c>
      <c r="BK19" s="287">
        <v>-99.502489883999999</v>
      </c>
      <c r="BL19" s="287">
        <v>-127.01663827100001</v>
      </c>
      <c r="BM19" s="287">
        <v>-66.282219888</v>
      </c>
      <c r="BN19" s="287">
        <v>-311.26</v>
      </c>
      <c r="BO19" s="287">
        <v>-340.74793523300002</v>
      </c>
      <c r="BP19" s="287">
        <v>-273.57</v>
      </c>
      <c r="BQ19" s="287">
        <v>-200.117379723</v>
      </c>
      <c r="BR19" s="287">
        <v>-397.72241558299999</v>
      </c>
      <c r="BS19" s="287">
        <v>-370.11085835199998</v>
      </c>
      <c r="BT19" s="287">
        <v>-477.28965619100001</v>
      </c>
      <c r="BU19" s="287"/>
      <c r="BV19" s="171"/>
      <c r="BW19" s="171"/>
      <c r="BX19" s="171"/>
      <c r="BY19" s="171"/>
      <c r="BZ19" s="171"/>
      <c r="CA19" s="171"/>
      <c r="CB19" s="171"/>
      <c r="CC19" s="171"/>
      <c r="CD19" s="171"/>
      <c r="CE19" s="171"/>
      <c r="CF19" s="171"/>
      <c r="CG19" s="171"/>
      <c r="CH19" s="171"/>
      <c r="CI19" s="171"/>
      <c r="CJ19" s="171"/>
      <c r="CK19" s="171"/>
      <c r="CL19" s="171"/>
      <c r="CM19" s="171"/>
      <c r="CN19" s="171"/>
      <c r="CO19" s="171"/>
      <c r="CP19" s="171"/>
      <c r="CQ19" s="171"/>
      <c r="CR19" s="171"/>
      <c r="CS19" s="171"/>
      <c r="CT19" s="171"/>
      <c r="CU19" s="171"/>
      <c r="CV19" s="171"/>
      <c r="CW19" s="171"/>
      <c r="CX19" s="171"/>
      <c r="CY19" s="171"/>
      <c r="CZ19" s="171"/>
      <c r="DA19" s="171"/>
      <c r="DB19" s="171"/>
      <c r="DC19" s="171"/>
      <c r="DD19" s="171"/>
      <c r="DE19" s="171"/>
      <c r="DF19" s="139"/>
      <c r="DG19" s="139"/>
      <c r="DH19" s="139"/>
      <c r="DI19" s="139"/>
      <c r="DJ19" s="139"/>
      <c r="DK19" s="139"/>
      <c r="DL19" s="139"/>
      <c r="DM19" s="139"/>
      <c r="DN19" s="139"/>
      <c r="DO19" s="139"/>
      <c r="DP19" s="139"/>
      <c r="DQ19" s="139"/>
      <c r="DR19" s="139"/>
      <c r="DS19" s="175"/>
      <c r="DT19" s="142" t="str">
        <f t="shared" si="10"/>
        <v/>
      </c>
      <c r="DU19" s="142" t="str">
        <f t="shared" si="11"/>
        <v/>
      </c>
      <c r="DV19" s="142" t="str">
        <f t="shared" si="12"/>
        <v/>
      </c>
      <c r="DW19" s="142" t="str">
        <f t="shared" si="13"/>
        <v/>
      </c>
      <c r="DX19" s="142" t="str">
        <f t="shared" si="14"/>
        <v/>
      </c>
      <c r="DY19" s="142" t="str">
        <f t="shared" si="15"/>
        <v/>
      </c>
      <c r="DZ19" s="142" t="str">
        <f t="shared" si="16"/>
        <v/>
      </c>
      <c r="EA19" s="142" t="str">
        <f t="shared" si="17"/>
        <v/>
      </c>
      <c r="EB19" s="142" t="str">
        <f t="shared" si="18"/>
        <v/>
      </c>
      <c r="EC19" s="142" t="str">
        <f t="shared" si="19"/>
        <v/>
      </c>
      <c r="ED19" s="142" t="str">
        <f t="shared" si="20"/>
        <v/>
      </c>
      <c r="EE19" s="142" t="str">
        <f t="shared" si="21"/>
        <v/>
      </c>
      <c r="EF19" s="142" t="str">
        <f t="shared" si="22"/>
        <v/>
      </c>
      <c r="EG19" s="142" t="str">
        <f t="shared" si="23"/>
        <v/>
      </c>
      <c r="EH19" s="142" t="str">
        <f t="shared" si="24"/>
        <v/>
      </c>
      <c r="EI19" s="142" t="str">
        <f t="shared" si="25"/>
        <v/>
      </c>
      <c r="EJ19" s="142" t="str">
        <f t="shared" si="26"/>
        <v/>
      </c>
      <c r="EK19" s="142" t="str">
        <f t="shared" si="27"/>
        <v/>
      </c>
      <c r="EL19" s="142" t="str">
        <f t="shared" si="28"/>
        <v/>
      </c>
      <c r="EM19" s="142" t="str">
        <f t="shared" si="29"/>
        <v/>
      </c>
      <c r="EN19" s="142">
        <f t="shared" si="30"/>
        <v>0.40925915510957478</v>
      </c>
      <c r="EO19" s="142">
        <f t="shared" si="31"/>
        <v>0.2768583035557215</v>
      </c>
      <c r="EP19" s="142">
        <f t="shared" si="32"/>
        <v>0.76524479945046142</v>
      </c>
      <c r="EQ19" s="142">
        <f t="shared" si="33"/>
        <v>0.655140026519063</v>
      </c>
      <c r="ER19" s="142">
        <f t="shared" si="34"/>
        <v>0.67327359931304298</v>
      </c>
      <c r="ES19" s="142">
        <f t="shared" si="35"/>
        <v>0.72742729158383224</v>
      </c>
      <c r="ET19" s="142">
        <f t="shared" si="36"/>
        <v>0.27957992096290618</v>
      </c>
      <c r="EU19" s="142">
        <f t="shared" si="37"/>
        <v>0.2156963843113644</v>
      </c>
      <c r="EV19" s="142">
        <f t="shared" si="38"/>
        <v>0.38660407973293065</v>
      </c>
      <c r="EW19" s="142">
        <f t="shared" si="39"/>
        <v>0.31874055245519028</v>
      </c>
      <c r="EX19" s="142">
        <f t="shared" si="40"/>
        <v>0.37392284151687627</v>
      </c>
      <c r="EY19" s="142">
        <f t="shared" si="41"/>
        <v>0.62295964860769981</v>
      </c>
      <c r="EZ19" s="142">
        <f t="shared" si="42"/>
        <v>0.5931689991739717</v>
      </c>
      <c r="FA19" s="142">
        <f t="shared" si="43"/>
        <v>0.69944662304379679</v>
      </c>
      <c r="FB19" s="142">
        <f t="shared" si="44"/>
        <v>0.36990633864371647</v>
      </c>
      <c r="FC19" s="142">
        <f t="shared" si="45"/>
        <v>0.24048911619947755</v>
      </c>
      <c r="FD19" s="142">
        <f t="shared" si="46"/>
        <v>0.22714628412482707</v>
      </c>
      <c r="FE19" s="142">
        <f t="shared" si="47"/>
        <v>0.27400541571421044</v>
      </c>
      <c r="FF19" s="142">
        <f t="shared" si="48"/>
        <v>0.37965991923660614</v>
      </c>
      <c r="FG19" s="142">
        <f t="shared" si="49"/>
        <v>0.47817238316322519</v>
      </c>
      <c r="FH19" s="142">
        <f t="shared" si="50"/>
        <v>0.43039546786406202</v>
      </c>
      <c r="FI19" s="142">
        <f t="shared" si="51"/>
        <v>0.17057653053401878</v>
      </c>
      <c r="FJ19" s="142">
        <f t="shared" si="52"/>
        <v>0.18799776940951785</v>
      </c>
      <c r="FK19" s="142">
        <f t="shared" si="53"/>
        <v>0.33126432671555772</v>
      </c>
    </row>
    <row r="20" spans="2:167" ht="16">
      <c r="B20" s="140" t="str">
        <f>'FS Year'!B20</f>
        <v>Corporate Income Tax - Deferred</v>
      </c>
      <c r="C20" s="127" t="s">
        <v>1241</v>
      </c>
      <c r="D20" s="128"/>
      <c r="E20" s="128"/>
      <c r="F20" s="128"/>
      <c r="G20" s="128"/>
      <c r="H20" s="128"/>
      <c r="I20" s="128"/>
      <c r="J20" s="128"/>
      <c r="K20" s="128"/>
      <c r="L20" s="128"/>
      <c r="M20" s="128"/>
      <c r="N20" s="128"/>
      <c r="O20" s="128"/>
      <c r="P20" s="128"/>
      <c r="Q20" s="128"/>
      <c r="R20" s="128"/>
      <c r="S20" s="128"/>
      <c r="T20" s="128"/>
      <c r="U20" s="128"/>
      <c r="V20" s="128"/>
      <c r="W20" s="128"/>
      <c r="X20" s="128"/>
      <c r="Y20" s="128"/>
      <c r="Z20" s="128">
        <v>-0.410507605</v>
      </c>
      <c r="AA20" s="128">
        <v>8.0559677189999999</v>
      </c>
      <c r="AB20" s="128">
        <v>-0.50888655900000002</v>
      </c>
      <c r="AC20" s="128">
        <v>2.2094326099999999</v>
      </c>
      <c r="AD20" s="128">
        <v>-1.755805099</v>
      </c>
      <c r="AE20" s="128">
        <v>-0.52047387099999998</v>
      </c>
      <c r="AF20" s="128">
        <v>5.9580153559999998</v>
      </c>
      <c r="AG20" s="128">
        <v>-1.0833343150000001</v>
      </c>
      <c r="AH20" s="128">
        <v>2.3301373160000001</v>
      </c>
      <c r="AI20" s="128">
        <v>1.575107126</v>
      </c>
      <c r="AJ20" s="128">
        <v>2.70295635</v>
      </c>
      <c r="AK20" s="128">
        <v>13.910755668</v>
      </c>
      <c r="AL20" s="128">
        <v>3.9774606239999999</v>
      </c>
      <c r="AM20" s="128">
        <v>6.0994655900000003</v>
      </c>
      <c r="AN20" s="128">
        <v>2.258297599</v>
      </c>
      <c r="AO20" s="128">
        <v>24.993468343</v>
      </c>
      <c r="AP20" s="173">
        <v>5.7827325170000003</v>
      </c>
      <c r="AQ20" s="173">
        <v>10.392602625</v>
      </c>
      <c r="AR20" s="173">
        <v>5.7888106080000004</v>
      </c>
      <c r="AS20" s="288">
        <v>5.8630839110000004</v>
      </c>
      <c r="AT20" s="288">
        <v>-3.922330627</v>
      </c>
      <c r="AU20" s="288">
        <v>-1.972141457</v>
      </c>
      <c r="AV20" s="288">
        <v>14.099895007000001</v>
      </c>
      <c r="AW20" s="158">
        <v>22.940541241999998</v>
      </c>
      <c r="AX20" s="158">
        <v>11.62046131</v>
      </c>
      <c r="AY20" s="158">
        <v>8.4153828280000003</v>
      </c>
      <c r="AZ20" s="158">
        <v>24.007652958000001</v>
      </c>
      <c r="BA20" s="158">
        <v>64.507626277</v>
      </c>
      <c r="BB20" s="41">
        <v>-19.686318805999999</v>
      </c>
      <c r="BC20" s="41">
        <v>6.3911219539999999</v>
      </c>
      <c r="BD20" s="158">
        <v>46.590264394000002</v>
      </c>
      <c r="BE20" s="158">
        <v>33.412449119000001</v>
      </c>
      <c r="BF20" s="288">
        <v>-4.1447724949999998</v>
      </c>
      <c r="BG20" s="289">
        <v>-24.758223925999999</v>
      </c>
      <c r="BH20" s="289">
        <v>-14.939300698</v>
      </c>
      <c r="BI20" s="289">
        <v>-117.799841398</v>
      </c>
      <c r="BJ20" s="289">
        <v>2.7705612529999999</v>
      </c>
      <c r="BK20" s="289">
        <v>-12.868036535</v>
      </c>
      <c r="BL20" s="289">
        <v>-16.183585731000001</v>
      </c>
      <c r="BM20" s="289">
        <v>-62.324975428999998</v>
      </c>
      <c r="BN20" s="289">
        <v>8.0299999999999994</v>
      </c>
      <c r="BO20" s="289">
        <v>-2.9111296109999998</v>
      </c>
      <c r="BP20" s="289">
        <v>11.31</v>
      </c>
      <c r="BQ20" s="289">
        <v>16.790252015</v>
      </c>
      <c r="BR20" s="289">
        <v>10.894797039</v>
      </c>
      <c r="BS20" s="289">
        <v>-0.56477611400000005</v>
      </c>
      <c r="BT20" s="289">
        <v>88.604124096999996</v>
      </c>
      <c r="BU20" s="289"/>
      <c r="BV20" s="174"/>
      <c r="BW20" s="174"/>
      <c r="BX20" s="174"/>
      <c r="BY20" s="174"/>
      <c r="BZ20" s="174"/>
      <c r="CA20" s="174"/>
      <c r="CB20" s="174"/>
      <c r="CC20" s="174"/>
      <c r="CD20" s="174"/>
      <c r="CE20" s="174"/>
      <c r="CF20" s="174"/>
      <c r="CG20" s="174"/>
      <c r="CH20" s="174"/>
      <c r="CI20" s="174"/>
      <c r="CJ20" s="174"/>
      <c r="CK20" s="174"/>
      <c r="CL20" s="174"/>
      <c r="CM20" s="174"/>
      <c r="CN20" s="174"/>
      <c r="CO20" s="174"/>
      <c r="CP20" s="174"/>
      <c r="CQ20" s="174"/>
      <c r="CR20" s="174"/>
      <c r="CS20" s="174"/>
      <c r="CT20" s="174"/>
      <c r="CU20" s="174"/>
      <c r="CV20" s="174"/>
      <c r="CW20" s="174"/>
      <c r="CX20" s="174"/>
      <c r="CY20" s="174"/>
      <c r="CZ20" s="174"/>
      <c r="DA20" s="174"/>
      <c r="DB20" s="174"/>
      <c r="DC20" s="174"/>
      <c r="DD20" s="174"/>
      <c r="DE20" s="174"/>
      <c r="DF20" s="142"/>
      <c r="DG20" s="142"/>
      <c r="DH20" s="142"/>
      <c r="DI20" s="142"/>
      <c r="DJ20" s="142"/>
      <c r="DK20" s="142"/>
      <c r="DL20" s="142"/>
      <c r="DM20" s="142"/>
      <c r="DN20" s="142"/>
      <c r="DO20" s="142"/>
      <c r="DP20" s="142"/>
      <c r="DQ20" s="142"/>
      <c r="DR20" s="142"/>
      <c r="DS20" s="175"/>
      <c r="DT20" s="142" t="str">
        <f t="shared" si="10"/>
        <v/>
      </c>
      <c r="DU20" s="142" t="str">
        <f t="shared" si="11"/>
        <v/>
      </c>
      <c r="DV20" s="142" t="str">
        <f t="shared" si="12"/>
        <v/>
      </c>
      <c r="DW20" s="142" t="str">
        <f t="shared" si="13"/>
        <v/>
      </c>
      <c r="DX20" s="142" t="str">
        <f t="shared" si="14"/>
        <v/>
      </c>
      <c r="DY20" s="142" t="str">
        <f t="shared" si="15"/>
        <v/>
      </c>
      <c r="DZ20" s="142" t="str">
        <f t="shared" si="16"/>
        <v/>
      </c>
      <c r="EA20" s="142" t="str">
        <f t="shared" si="17"/>
        <v/>
      </c>
      <c r="EB20" s="142" t="str">
        <f t="shared" si="18"/>
        <v/>
      </c>
      <c r="EC20" s="142" t="str">
        <f t="shared" si="19"/>
        <v/>
      </c>
      <c r="ED20" s="142" t="str">
        <f t="shared" si="20"/>
        <v/>
      </c>
      <c r="EE20" s="142" t="str">
        <f t="shared" si="21"/>
        <v/>
      </c>
      <c r="EF20" s="142" t="str">
        <f t="shared" si="22"/>
        <v/>
      </c>
      <c r="EG20" s="142" t="str">
        <f t="shared" si="23"/>
        <v/>
      </c>
      <c r="EH20" s="142" t="str">
        <f t="shared" si="24"/>
        <v/>
      </c>
      <c r="EI20" s="142" t="str">
        <f t="shared" si="25"/>
        <v/>
      </c>
      <c r="EJ20" s="142" t="str">
        <f t="shared" si="26"/>
        <v/>
      </c>
      <c r="EK20" s="142" t="str">
        <f t="shared" si="27"/>
        <v/>
      </c>
      <c r="EL20" s="142" t="str">
        <f t="shared" si="28"/>
        <v/>
      </c>
      <c r="EM20" s="142" t="str">
        <f t="shared" si="29"/>
        <v/>
      </c>
      <c r="EN20" s="142">
        <f t="shared" si="30"/>
        <v>3.2771560809451996</v>
      </c>
      <c r="EO20" s="142">
        <f t="shared" si="31"/>
        <v>-1.0646072438662413</v>
      </c>
      <c r="EP20" s="142">
        <f t="shared" si="32"/>
        <v>-12.707944041021527</v>
      </c>
      <c r="EQ20" s="142">
        <f t="shared" si="33"/>
        <v>-1.4903224068010839</v>
      </c>
      <c r="ER20" s="142">
        <f t="shared" si="34"/>
        <v>-2.3271047665410611</v>
      </c>
      <c r="ES20" s="142">
        <f t="shared" si="35"/>
        <v>-4.0262943324584306</v>
      </c>
      <c r="ET20" s="142">
        <f t="shared" si="36"/>
        <v>-0.54633276544378218</v>
      </c>
      <c r="EU20" s="142">
        <f t="shared" si="37"/>
        <v>-13.840685904055388</v>
      </c>
      <c r="EV20" s="142">
        <f t="shared" si="38"/>
        <v>0.70696404743556318</v>
      </c>
      <c r="EW20" s="142">
        <f t="shared" si="39"/>
        <v>2.8724131770577745</v>
      </c>
      <c r="EX20" s="142">
        <f t="shared" si="40"/>
        <v>-0.16450829884840723</v>
      </c>
      <c r="EY20" s="142">
        <f t="shared" si="41"/>
        <v>0.79670098012679724</v>
      </c>
      <c r="EZ20" s="142">
        <f t="shared" si="42"/>
        <v>0.45387549083628609</v>
      </c>
      <c r="FA20" s="142">
        <f t="shared" si="43"/>
        <v>0.70385461999138843</v>
      </c>
      <c r="FB20" s="142">
        <f t="shared" si="44"/>
        <v>1.5633515310663006</v>
      </c>
      <c r="FC20" s="142">
        <f t="shared" si="45"/>
        <v>-0.76541535450232567</v>
      </c>
      <c r="FD20" s="142">
        <f t="shared" si="46"/>
        <v>-1.6782832537159871</v>
      </c>
      <c r="FE20" s="142">
        <f t="shared" si="47"/>
        <v>-1.1897639627109287</v>
      </c>
      <c r="FF20" s="142">
        <f t="shared" si="48"/>
        <v>1.4357153760591643</v>
      </c>
      <c r="FG20" s="142">
        <f t="shared" si="49"/>
        <v>2.9127090094958725</v>
      </c>
      <c r="FH20" s="142">
        <f t="shared" si="50"/>
        <v>-3.9626419634307894</v>
      </c>
      <c r="FI20" s="142">
        <f t="shared" si="51"/>
        <v>-5.2671294181916286</v>
      </c>
      <c r="FJ20" s="142">
        <f t="shared" si="52"/>
        <v>0.70268310126289735</v>
      </c>
      <c r="FK20" s="142">
        <f t="shared" si="53"/>
        <v>1.8119487503153655</v>
      </c>
    </row>
    <row r="21" spans="2:167" ht="16">
      <c r="B21" s="140" t="str">
        <f>'FS Year'!B21</f>
        <v>Corporate Income Tax Expenses</v>
      </c>
      <c r="C21" s="127" t="s">
        <v>764</v>
      </c>
      <c r="D21" s="128"/>
      <c r="E21" s="128"/>
      <c r="F21" s="128"/>
      <c r="G21" s="128"/>
      <c r="H21" s="128"/>
      <c r="I21" s="128"/>
      <c r="J21" s="128"/>
      <c r="K21" s="128"/>
      <c r="L21" s="128"/>
      <c r="M21" s="128"/>
      <c r="N21" s="128"/>
      <c r="O21" s="128"/>
      <c r="P21" s="128"/>
      <c r="Q21" s="128"/>
      <c r="R21" s="128"/>
      <c r="S21" s="128"/>
      <c r="T21" s="128"/>
      <c r="U21" s="128"/>
      <c r="V21" s="128"/>
      <c r="W21" s="128"/>
      <c r="X21" s="128"/>
      <c r="Y21" s="128"/>
      <c r="Z21" s="128">
        <v>-46.733063964000003</v>
      </c>
      <c r="AA21" s="128">
        <v>-41.816294855999999</v>
      </c>
      <c r="AB21" s="128">
        <v>-50.918044776999999</v>
      </c>
      <c r="AC21" s="128">
        <v>-54.985822892999998</v>
      </c>
      <c r="AD21" s="128">
        <v>-67.036291735999995</v>
      </c>
      <c r="AE21" s="128">
        <v>-64.200286457000004</v>
      </c>
      <c r="AF21" s="128">
        <v>-83.026489033000004</v>
      </c>
      <c r="AG21" s="128">
        <v>-95.749491024999998</v>
      </c>
      <c r="AH21" s="128">
        <v>-106.901977524</v>
      </c>
      <c r="AI21" s="128">
        <v>-108.42713905799999</v>
      </c>
      <c r="AJ21" s="128">
        <v>-111.15982874300001</v>
      </c>
      <c r="AK21" s="128">
        <v>-101.174548761</v>
      </c>
      <c r="AL21" s="128">
        <v>-147.48423545099999</v>
      </c>
      <c r="AM21" s="128">
        <v>-138.964957314</v>
      </c>
      <c r="AN21" s="128">
        <v>-154.18038363900001</v>
      </c>
      <c r="AO21" s="128">
        <v>-161.78533689299999</v>
      </c>
      <c r="AP21" s="173">
        <v>-235.52134623200001</v>
      </c>
      <c r="AQ21" s="173">
        <v>-236.13664100299999</v>
      </c>
      <c r="AR21" s="173">
        <v>-208.517530429</v>
      </c>
      <c r="AS21" s="288">
        <v>-225.833991121</v>
      </c>
      <c r="AT21" s="288">
        <v>-300.03773420800002</v>
      </c>
      <c r="AU21" s="288">
        <v>-316.05173297099998</v>
      </c>
      <c r="AV21" s="288">
        <v>-281.56997416000002</v>
      </c>
      <c r="AW21" s="158">
        <v>-319.54767633</v>
      </c>
      <c r="AX21" s="158">
        <v>-411.94166993699997</v>
      </c>
      <c r="AY21" s="158">
        <v>-359.23881571800001</v>
      </c>
      <c r="AZ21" s="158">
        <v>-327.24749209399999</v>
      </c>
      <c r="BA21" s="158">
        <v>-391.43472009700002</v>
      </c>
      <c r="BB21" s="41">
        <v>-488.93595078700002</v>
      </c>
      <c r="BC21" s="41">
        <v>-412.29212354999999</v>
      </c>
      <c r="BD21" s="158">
        <v>-182.32900187000001</v>
      </c>
      <c r="BE21" s="158">
        <v>-486.60000044600002</v>
      </c>
      <c r="BF21" s="288">
        <v>-557.74925630899997</v>
      </c>
      <c r="BG21" s="287">
        <v>-571.47454488599999</v>
      </c>
      <c r="BH21" s="287">
        <v>-511.06097643599998</v>
      </c>
      <c r="BI21" s="287">
        <v>-314.35617098799997</v>
      </c>
      <c r="BJ21" s="287">
        <v>-137.685267219</v>
      </c>
      <c r="BK21" s="287">
        <v>-112.370526419</v>
      </c>
      <c r="BL21" s="287">
        <v>-143.200224002</v>
      </c>
      <c r="BM21" s="287">
        <v>-128.60719531699999</v>
      </c>
      <c r="BN21" s="287">
        <v>-303.23</v>
      </c>
      <c r="BO21" s="287">
        <v>-343.659064844</v>
      </c>
      <c r="BP21" s="287">
        <v>-262.26</v>
      </c>
      <c r="BQ21" s="287">
        <v>-183.32712770800001</v>
      </c>
      <c r="BR21" s="287">
        <v>-386.82761854400002</v>
      </c>
      <c r="BS21" s="287">
        <v>-370.67563446600002</v>
      </c>
      <c r="BT21" s="287">
        <v>-388.685532094</v>
      </c>
      <c r="BU21" s="287"/>
      <c r="BV21" s="171"/>
      <c r="BW21" s="171"/>
      <c r="BX21" s="171"/>
      <c r="BY21" s="171"/>
      <c r="BZ21" s="171"/>
      <c r="CA21" s="171"/>
      <c r="CB21" s="171"/>
      <c r="CC21" s="171"/>
      <c r="CD21" s="171"/>
      <c r="CE21" s="171"/>
      <c r="CF21" s="171"/>
      <c r="CG21" s="171"/>
      <c r="CH21" s="171"/>
      <c r="CI21" s="171"/>
      <c r="CJ21" s="171"/>
      <c r="CK21" s="171"/>
      <c r="CL21" s="171"/>
      <c r="CM21" s="171"/>
      <c r="CN21" s="171"/>
      <c r="CO21" s="171"/>
      <c r="CP21" s="171"/>
      <c r="CQ21" s="171"/>
      <c r="CR21" s="171"/>
      <c r="CS21" s="171"/>
      <c r="CT21" s="171"/>
      <c r="CU21" s="171"/>
      <c r="CV21" s="171"/>
      <c r="CW21" s="171"/>
      <c r="CX21" s="171"/>
      <c r="CY21" s="171"/>
      <c r="CZ21" s="171"/>
      <c r="DA21" s="171"/>
      <c r="DB21" s="171"/>
      <c r="DC21" s="171"/>
      <c r="DD21" s="171"/>
      <c r="DE21" s="171"/>
      <c r="DF21" s="139"/>
      <c r="DG21" s="139"/>
      <c r="DH21" s="139"/>
      <c r="DI21" s="139"/>
      <c r="DJ21" s="139"/>
      <c r="DK21" s="139"/>
      <c r="DL21" s="139"/>
      <c r="DM21" s="139"/>
      <c r="DN21" s="139"/>
      <c r="DO21" s="139"/>
      <c r="DP21" s="139"/>
      <c r="DQ21" s="139"/>
      <c r="DR21" s="139"/>
      <c r="DS21" s="175"/>
      <c r="DT21" s="142" t="str">
        <f t="shared" si="10"/>
        <v/>
      </c>
      <c r="DU21" s="142" t="str">
        <f t="shared" si="11"/>
        <v/>
      </c>
      <c r="DV21" s="142" t="str">
        <f t="shared" si="12"/>
        <v/>
      </c>
      <c r="DW21" s="142" t="str">
        <f t="shared" si="13"/>
        <v/>
      </c>
      <c r="DX21" s="142" t="str">
        <f t="shared" si="14"/>
        <v/>
      </c>
      <c r="DY21" s="142" t="str">
        <f t="shared" si="15"/>
        <v/>
      </c>
      <c r="DZ21" s="142" t="str">
        <f t="shared" si="16"/>
        <v/>
      </c>
      <c r="EA21" s="142" t="str">
        <f t="shared" si="17"/>
        <v/>
      </c>
      <c r="EB21" s="142" t="str">
        <f t="shared" si="18"/>
        <v/>
      </c>
      <c r="EC21" s="142" t="str">
        <f t="shared" si="19"/>
        <v/>
      </c>
      <c r="ED21" s="142" t="str">
        <f t="shared" si="20"/>
        <v/>
      </c>
      <c r="EE21" s="142" t="str">
        <f t="shared" si="21"/>
        <v/>
      </c>
      <c r="EF21" s="142" t="str">
        <f t="shared" si="22"/>
        <v/>
      </c>
      <c r="EG21" s="142" t="str">
        <f t="shared" si="23"/>
        <v/>
      </c>
      <c r="EH21" s="142" t="str">
        <f t="shared" si="24"/>
        <v/>
      </c>
      <c r="EI21" s="142" t="str">
        <f t="shared" si="25"/>
        <v/>
      </c>
      <c r="EJ21" s="142" t="str">
        <f t="shared" si="26"/>
        <v/>
      </c>
      <c r="EK21" s="142" t="str">
        <f t="shared" si="27"/>
        <v/>
      </c>
      <c r="EL21" s="142" t="str">
        <f t="shared" si="28"/>
        <v/>
      </c>
      <c r="EM21" s="142" t="str">
        <f t="shared" si="29"/>
        <v/>
      </c>
      <c r="EN21" s="142">
        <f t="shared" si="30"/>
        <v>0.43445102995258833</v>
      </c>
      <c r="EO21" s="142">
        <f t="shared" si="31"/>
        <v>0.53529351842582584</v>
      </c>
      <c r="EP21" s="142">
        <f t="shared" si="32"/>
        <v>0.63059067559686799</v>
      </c>
      <c r="EQ21" s="142">
        <f t="shared" si="33"/>
        <v>0.74134869657810354</v>
      </c>
      <c r="ER21" s="142">
        <f t="shared" si="34"/>
        <v>0.5946881122988974</v>
      </c>
      <c r="ES21" s="142">
        <f t="shared" si="35"/>
        <v>0.68888871127735851</v>
      </c>
      <c r="ET21" s="142">
        <f t="shared" si="36"/>
        <v>0.33884775856074101</v>
      </c>
      <c r="EU21" s="142">
        <f t="shared" si="37"/>
        <v>5.6658867613025077E-2</v>
      </c>
      <c r="EV21" s="142">
        <f t="shared" si="38"/>
        <v>0.37962120876472172</v>
      </c>
      <c r="EW21" s="142">
        <f t="shared" si="39"/>
        <v>0.28164367815390468</v>
      </c>
      <c r="EX21" s="142">
        <f t="shared" si="40"/>
        <v>0.38701530384202854</v>
      </c>
      <c r="EY21" s="142">
        <f t="shared" si="41"/>
        <v>0.59907149450380137</v>
      </c>
      <c r="EZ21" s="142">
        <f t="shared" si="42"/>
        <v>0.59692556639553107</v>
      </c>
      <c r="FA21" s="142">
        <f t="shared" si="43"/>
        <v>0.69925314674428685</v>
      </c>
      <c r="FB21" s="142">
        <f t="shared" si="44"/>
        <v>0.35242581129662831</v>
      </c>
      <c r="FC21" s="142">
        <f t="shared" si="45"/>
        <v>0.39588664497055048</v>
      </c>
      <c r="FD21" s="142">
        <f t="shared" si="46"/>
        <v>0.27393010870635992</v>
      </c>
      <c r="FE21" s="142">
        <f t="shared" si="47"/>
        <v>0.33842732592687597</v>
      </c>
      <c r="FF21" s="142">
        <f t="shared" si="48"/>
        <v>0.35034197643096632</v>
      </c>
      <c r="FG21" s="142">
        <f t="shared" si="49"/>
        <v>0.41496713910878458</v>
      </c>
      <c r="FH21" s="142">
        <f t="shared" si="50"/>
        <v>0.37296620714854134</v>
      </c>
      <c r="FI21" s="142">
        <f t="shared" si="51"/>
        <v>0.13664561285909094</v>
      </c>
      <c r="FJ21" s="142">
        <f t="shared" si="52"/>
        <v>0.1622243922501625</v>
      </c>
      <c r="FK21" s="142">
        <f t="shared" si="53"/>
        <v>0.22496500238281048</v>
      </c>
    </row>
    <row r="22" spans="2:167" s="236" customFormat="1" ht="16">
      <c r="B22" s="227" t="str">
        <f>'FS Year'!B22</f>
        <v>Net Profit After Tax</v>
      </c>
      <c r="C22" s="228" t="s">
        <v>9</v>
      </c>
      <c r="D22" s="229"/>
      <c r="E22" s="229"/>
      <c r="F22" s="229"/>
      <c r="G22" s="229"/>
      <c r="H22" s="229"/>
      <c r="I22" s="229"/>
      <c r="J22" s="229"/>
      <c r="K22" s="229"/>
      <c r="L22" s="229"/>
      <c r="M22" s="229"/>
      <c r="N22" s="229"/>
      <c r="O22" s="229"/>
      <c r="P22" s="229"/>
      <c r="Q22" s="229"/>
      <c r="R22" s="229"/>
      <c r="S22" s="229"/>
      <c r="T22" s="229"/>
      <c r="U22" s="229"/>
      <c r="V22" s="229"/>
      <c r="W22" s="229"/>
      <c r="X22" s="229"/>
      <c r="Y22" s="229"/>
      <c r="Z22" s="229">
        <v>168.66232404300001</v>
      </c>
      <c r="AA22" s="229">
        <v>143.052130713</v>
      </c>
      <c r="AB22" s="229">
        <v>176.36979941000001</v>
      </c>
      <c r="AC22" s="229">
        <v>185.65996243800001</v>
      </c>
      <c r="AD22" s="229">
        <v>233.090680776</v>
      </c>
      <c r="AE22" s="229">
        <v>222.63611493100001</v>
      </c>
      <c r="AF22" s="229">
        <v>288.007845207</v>
      </c>
      <c r="AG22" s="229">
        <v>332.03658852900003</v>
      </c>
      <c r="AH22" s="229">
        <v>418.02511236300001</v>
      </c>
      <c r="AI22" s="229">
        <v>416.88559102900001</v>
      </c>
      <c r="AJ22" s="229">
        <v>387.52259330599998</v>
      </c>
      <c r="AK22" s="229">
        <v>355.81372413899999</v>
      </c>
      <c r="AL22" s="229">
        <v>558.12431650099995</v>
      </c>
      <c r="AM22" s="229">
        <v>511.44520481699999</v>
      </c>
      <c r="AN22" s="229">
        <v>565.07031971100002</v>
      </c>
      <c r="AO22" s="229">
        <v>572.25727831999995</v>
      </c>
      <c r="AP22" s="230">
        <v>807.46368139599997</v>
      </c>
      <c r="AQ22" s="230">
        <v>732.10633101500002</v>
      </c>
      <c r="AR22" s="230">
        <v>647.63495082899999</v>
      </c>
      <c r="AS22" s="280">
        <v>693.10409689400001</v>
      </c>
      <c r="AT22" s="280">
        <v>1041.120420081</v>
      </c>
      <c r="AU22" s="280">
        <v>1079.5655448</v>
      </c>
      <c r="AV22" s="280">
        <v>855.53234172500004</v>
      </c>
      <c r="AW22" s="280">
        <v>860.02178042100002</v>
      </c>
      <c r="AX22" s="280">
        <v>1132.119675765</v>
      </c>
      <c r="AY22" s="237">
        <v>894.42354624100005</v>
      </c>
      <c r="AZ22" s="231">
        <v>951.03243737399998</v>
      </c>
      <c r="BA22" s="231">
        <v>942.29705012700003</v>
      </c>
      <c r="BB22" s="231">
        <v>1338.6329833540001</v>
      </c>
      <c r="BC22" s="232">
        <v>1213.6784024179999</v>
      </c>
      <c r="BD22" s="232">
        <v>785.80215888299995</v>
      </c>
      <c r="BE22" s="284">
        <v>1563.3131292349999</v>
      </c>
      <c r="BF22" s="280">
        <v>1445.2443731660001</v>
      </c>
      <c r="BG22" s="290">
        <v>1130.668779267</v>
      </c>
      <c r="BH22" s="290">
        <v>906.77916937299995</v>
      </c>
      <c r="BI22" s="290">
        <v>619.02210313299997</v>
      </c>
      <c r="BJ22" s="290">
        <v>21.281314441999999</v>
      </c>
      <c r="BK22" s="290">
        <v>17.413949382999999</v>
      </c>
      <c r="BL22" s="290">
        <v>38.815863118999999</v>
      </c>
      <c r="BM22" s="290">
        <v>90.318027994999994</v>
      </c>
      <c r="BN22" s="290">
        <v>902.97</v>
      </c>
      <c r="BO22" s="290">
        <v>1172.384028448</v>
      </c>
      <c r="BP22" s="290">
        <v>805.79</v>
      </c>
      <c r="BQ22" s="290">
        <v>852.14412629000003</v>
      </c>
      <c r="BR22" s="290">
        <v>1547.8337686760001</v>
      </c>
      <c r="BS22" s="290">
        <v>1657.5291209100001</v>
      </c>
      <c r="BT22" s="290">
        <v>1783.6656339850001</v>
      </c>
      <c r="BU22" s="290"/>
      <c r="BV22" s="233"/>
      <c r="BW22" s="233"/>
      <c r="BX22" s="233"/>
      <c r="BY22" s="233"/>
      <c r="BZ22" s="233"/>
      <c r="CA22" s="233"/>
      <c r="CB22" s="233"/>
      <c r="CC22" s="233"/>
      <c r="CD22" s="233"/>
      <c r="CE22" s="233"/>
      <c r="CF22" s="233"/>
      <c r="CG22" s="233"/>
      <c r="CH22" s="233"/>
      <c r="CI22" s="233"/>
      <c r="CJ22" s="233"/>
      <c r="CK22" s="233"/>
      <c r="CL22" s="233"/>
      <c r="CM22" s="233"/>
      <c r="CN22" s="233"/>
      <c r="CO22" s="233"/>
      <c r="CP22" s="233"/>
      <c r="CQ22" s="233"/>
      <c r="CR22" s="233"/>
      <c r="CS22" s="233"/>
      <c r="CT22" s="233"/>
      <c r="CU22" s="233"/>
      <c r="CV22" s="233"/>
      <c r="CW22" s="233"/>
      <c r="CX22" s="233"/>
      <c r="CY22" s="233"/>
      <c r="CZ22" s="233"/>
      <c r="DA22" s="233"/>
      <c r="DB22" s="233"/>
      <c r="DC22" s="233"/>
      <c r="DD22" s="233"/>
      <c r="DE22" s="233"/>
      <c r="DF22" s="234"/>
      <c r="DG22" s="234"/>
      <c r="DH22" s="234"/>
      <c r="DI22" s="234"/>
      <c r="DJ22" s="234"/>
      <c r="DK22" s="234"/>
      <c r="DL22" s="234"/>
      <c r="DM22" s="234"/>
      <c r="DN22" s="234"/>
      <c r="DO22" s="234"/>
      <c r="DP22" s="234"/>
      <c r="DQ22" s="234"/>
      <c r="DR22" s="234"/>
      <c r="DS22" s="235"/>
      <c r="DT22" s="234" t="str">
        <f t="shared" si="10"/>
        <v/>
      </c>
      <c r="DU22" s="234" t="str">
        <f t="shared" si="11"/>
        <v/>
      </c>
      <c r="DV22" s="234" t="str">
        <f t="shared" si="12"/>
        <v/>
      </c>
      <c r="DW22" s="234" t="str">
        <f t="shared" si="13"/>
        <v/>
      </c>
      <c r="DX22" s="234" t="str">
        <f t="shared" si="14"/>
        <v/>
      </c>
      <c r="DY22" s="234" t="str">
        <f t="shared" si="15"/>
        <v/>
      </c>
      <c r="DZ22" s="234" t="str">
        <f t="shared" si="16"/>
        <v/>
      </c>
      <c r="EA22" s="234" t="str">
        <f t="shared" si="17"/>
        <v/>
      </c>
      <c r="EB22" s="234" t="str">
        <f t="shared" si="18"/>
        <v/>
      </c>
      <c r="EC22" s="234" t="str">
        <f t="shared" si="19"/>
        <v/>
      </c>
      <c r="ED22" s="234" t="str">
        <f t="shared" si="20"/>
        <v/>
      </c>
      <c r="EE22" s="234" t="str">
        <f t="shared" si="21"/>
        <v/>
      </c>
      <c r="EF22" s="234" t="str">
        <f t="shared" si="22"/>
        <v/>
      </c>
      <c r="EG22" s="234" t="str">
        <f t="shared" si="23"/>
        <v/>
      </c>
      <c r="EH22" s="234" t="str">
        <f t="shared" si="24"/>
        <v/>
      </c>
      <c r="EI22" s="234" t="str">
        <f t="shared" si="25"/>
        <v/>
      </c>
      <c r="EJ22" s="234" t="str">
        <f t="shared" si="26"/>
        <v/>
      </c>
      <c r="EK22" s="234" t="str">
        <f t="shared" si="27"/>
        <v/>
      </c>
      <c r="EL22" s="234" t="str">
        <f t="shared" si="28"/>
        <v/>
      </c>
      <c r="EM22" s="234" t="str">
        <f t="shared" si="29"/>
        <v/>
      </c>
      <c r="EN22" s="234">
        <f t="shared" si="30"/>
        <v>0.38199613991192338</v>
      </c>
      <c r="EO22" s="234">
        <f t="shared" si="31"/>
        <v>0.55632854835043521</v>
      </c>
      <c r="EP22" s="234">
        <f t="shared" si="32"/>
        <v>0.6329771092922738</v>
      </c>
      <c r="EQ22" s="234">
        <f t="shared" si="33"/>
        <v>0.78841245128379023</v>
      </c>
      <c r="ER22" s="234">
        <f t="shared" si="34"/>
        <v>0.79340122467067609</v>
      </c>
      <c r="ES22" s="234">
        <f t="shared" si="35"/>
        <v>0.87249760066196957</v>
      </c>
      <c r="ET22" s="234">
        <f t="shared" si="36"/>
        <v>0.34552790750361573</v>
      </c>
      <c r="EU22" s="234">
        <f t="shared" si="37"/>
        <v>7.160998646365524E-2</v>
      </c>
      <c r="EV22" s="234">
        <f t="shared" si="38"/>
        <v>0.3351454254651145</v>
      </c>
      <c r="EW22" s="234">
        <f t="shared" si="39"/>
        <v>0.22682389562709093</v>
      </c>
      <c r="EX22" s="234">
        <f t="shared" si="40"/>
        <v>0.45816096782982352</v>
      </c>
      <c r="EY22" s="234">
        <f t="shared" si="41"/>
        <v>0.60830580581103577</v>
      </c>
      <c r="EZ22" s="234">
        <f t="shared" si="42"/>
        <v>0.44674520984529309</v>
      </c>
      <c r="FA22" s="234">
        <f t="shared" si="43"/>
        <v>0.43144627052854023</v>
      </c>
      <c r="FB22" s="234">
        <f t="shared" si="44"/>
        <v>0.14611390518657363</v>
      </c>
      <c r="FC22" s="234">
        <f t="shared" si="45"/>
        <v>0.2111756777105136</v>
      </c>
      <c r="FD22" s="234">
        <f t="shared" si="46"/>
        <v>0.28937120525475257</v>
      </c>
      <c r="FE22" s="234">
        <f t="shared" si="47"/>
        <v>0.47460211592936075</v>
      </c>
      <c r="FF22" s="234">
        <f t="shared" si="48"/>
        <v>0.32101014719771159</v>
      </c>
      <c r="FG22" s="234">
        <f t="shared" si="49"/>
        <v>0.24082628320191213</v>
      </c>
      <c r="FH22" s="234">
        <f t="shared" si="50"/>
        <v>8.7405120415292803E-2</v>
      </c>
      <c r="FI22" s="234">
        <f t="shared" si="51"/>
        <v>-0.17149676501883848</v>
      </c>
      <c r="FJ22" s="234">
        <f t="shared" si="52"/>
        <v>0.11162651718863636</v>
      </c>
      <c r="FK22" s="234">
        <f t="shared" si="53"/>
        <v>9.5666495406342422E-2</v>
      </c>
    </row>
    <row r="23" spans="2:167" ht="16">
      <c r="B23" s="140" t="str">
        <f>'FS Year'!B23</f>
        <v>Dividend to minority interest</v>
      </c>
      <c r="C23" s="127" t="s">
        <v>768</v>
      </c>
      <c r="D23" s="128"/>
      <c r="E23" s="128"/>
      <c r="F23" s="128"/>
      <c r="G23" s="128"/>
      <c r="H23" s="128"/>
      <c r="I23" s="128"/>
      <c r="J23" s="128"/>
      <c r="K23" s="128"/>
      <c r="L23" s="128"/>
      <c r="M23" s="128"/>
      <c r="N23" s="128"/>
      <c r="O23" s="128"/>
      <c r="P23" s="128"/>
      <c r="Q23" s="128"/>
      <c r="R23" s="128"/>
      <c r="S23" s="128"/>
      <c r="T23" s="128"/>
      <c r="U23" s="128"/>
      <c r="V23" s="128"/>
      <c r="W23" s="128"/>
      <c r="X23" s="128"/>
      <c r="Y23" s="128"/>
      <c r="Z23" s="128">
        <v>2.4493433979999999</v>
      </c>
      <c r="AA23" s="128">
        <v>0.86832908499999995</v>
      </c>
      <c r="AB23" s="128">
        <v>1.1384179270000001</v>
      </c>
      <c r="AC23" s="128">
        <v>1.182094362</v>
      </c>
      <c r="AD23" s="128">
        <v>1.5303305659999999</v>
      </c>
      <c r="AE23" s="128">
        <v>1.4544293639999999</v>
      </c>
      <c r="AF23" s="128">
        <v>0.70865282399999996</v>
      </c>
      <c r="AG23" s="128">
        <v>0.18429729</v>
      </c>
      <c r="AH23" s="128">
        <v>0.234334245</v>
      </c>
      <c r="AI23" s="128">
        <v>0.22895259200000001</v>
      </c>
      <c r="AJ23" s="128">
        <v>0.21571907400000001</v>
      </c>
      <c r="AK23" s="128">
        <v>0.199186787</v>
      </c>
      <c r="AL23" s="128">
        <v>0.31030171099999998</v>
      </c>
      <c r="AM23" s="128">
        <v>0.27823898000000002</v>
      </c>
      <c r="AN23" s="128">
        <v>0.30973384100000001</v>
      </c>
      <c r="AO23" s="128">
        <v>0.31921439699999998</v>
      </c>
      <c r="AP23" s="173">
        <v>9.9409738999999997E-2</v>
      </c>
      <c r="AQ23" s="173">
        <v>0.13794624799999999</v>
      </c>
      <c r="AR23" s="173">
        <v>0.26960514200000002</v>
      </c>
      <c r="AS23" s="288">
        <v>1.0779680970000001</v>
      </c>
      <c r="AT23" s="288">
        <v>0.67964836500000003</v>
      </c>
      <c r="AU23" s="288">
        <v>0.38702192400000002</v>
      </c>
      <c r="AV23" s="288">
        <v>0.45141465200000003</v>
      </c>
      <c r="AW23" s="158">
        <v>0.452455039</v>
      </c>
      <c r="AX23" s="158">
        <v>0.60066093499999995</v>
      </c>
      <c r="AY23" s="158">
        <v>0.51186069199999995</v>
      </c>
      <c r="AZ23" s="158">
        <v>0.49257996700000001</v>
      </c>
      <c r="BA23" s="158">
        <v>0.49982475399999998</v>
      </c>
      <c r="BB23" s="41">
        <v>0.66437552099999997</v>
      </c>
      <c r="BC23" s="41">
        <v>0.648717133</v>
      </c>
      <c r="BD23" s="158">
        <v>0.41675757699999999</v>
      </c>
      <c r="BE23" s="158">
        <v>0.82754543899999999</v>
      </c>
      <c r="BF23" s="288">
        <v>0.77908976500000005</v>
      </c>
      <c r="BG23" s="289">
        <v>0.65778452300000001</v>
      </c>
      <c r="BH23" s="289">
        <v>0.53317368200000004</v>
      </c>
      <c r="BI23" s="289">
        <v>-1.8650336E-2</v>
      </c>
      <c r="BJ23" s="289">
        <v>1.4370895999999999E-2</v>
      </c>
      <c r="BK23" s="289">
        <v>8.2837210000000008E-3</v>
      </c>
      <c r="BL23" s="289">
        <v>7.6637213999999995E-2</v>
      </c>
      <c r="BM23" s="289">
        <v>6.0470403999999998E-2</v>
      </c>
      <c r="BN23" s="289">
        <v>0.54</v>
      </c>
      <c r="BO23" s="289">
        <v>0.107115981</v>
      </c>
      <c r="BP23" s="289">
        <v>5.64</v>
      </c>
      <c r="BQ23" s="289">
        <v>5.1397440850000002</v>
      </c>
      <c r="BR23" s="289">
        <v>1.8966777349999999</v>
      </c>
      <c r="BS23" s="289">
        <v>9.3828742060000003</v>
      </c>
      <c r="BT23" s="289">
        <v>12.766716681</v>
      </c>
      <c r="BU23" s="289"/>
      <c r="BV23" s="174"/>
      <c r="BW23" s="174"/>
      <c r="BX23" s="174"/>
      <c r="BY23" s="174"/>
      <c r="BZ23" s="174"/>
      <c r="CA23" s="174"/>
      <c r="CB23" s="174"/>
      <c r="CC23" s="174"/>
      <c r="CD23" s="174"/>
      <c r="CE23" s="174"/>
      <c r="CF23" s="174"/>
      <c r="CG23" s="174"/>
      <c r="CH23" s="174"/>
      <c r="CI23" s="174"/>
      <c r="CJ23" s="174"/>
      <c r="CK23" s="174"/>
      <c r="CL23" s="174"/>
      <c r="CM23" s="174"/>
      <c r="CN23" s="174"/>
      <c r="CO23" s="174"/>
      <c r="CP23" s="174"/>
      <c r="CQ23" s="174"/>
      <c r="CR23" s="174"/>
      <c r="CS23" s="174"/>
      <c r="CT23" s="174"/>
      <c r="CU23" s="174"/>
      <c r="CV23" s="174"/>
      <c r="CW23" s="174"/>
      <c r="CX23" s="174"/>
      <c r="CY23" s="174"/>
      <c r="CZ23" s="174"/>
      <c r="DA23" s="174"/>
      <c r="DB23" s="174"/>
      <c r="DC23" s="174"/>
      <c r="DD23" s="174"/>
      <c r="DE23" s="174"/>
      <c r="DF23" s="142"/>
      <c r="DG23" s="142"/>
      <c r="DH23" s="142"/>
      <c r="DI23" s="142"/>
      <c r="DJ23" s="142"/>
      <c r="DK23" s="142"/>
      <c r="DL23" s="142"/>
      <c r="DM23" s="142"/>
      <c r="DN23" s="142"/>
      <c r="DO23" s="142"/>
      <c r="DP23" s="142"/>
      <c r="DQ23" s="142"/>
      <c r="DR23" s="142"/>
      <c r="DS23" s="175"/>
      <c r="DT23" s="142" t="str">
        <f t="shared" si="10"/>
        <v/>
      </c>
      <c r="DU23" s="142" t="str">
        <f t="shared" si="11"/>
        <v/>
      </c>
      <c r="DV23" s="142" t="str">
        <f t="shared" si="12"/>
        <v/>
      </c>
      <c r="DW23" s="142" t="str">
        <f t="shared" si="13"/>
        <v/>
      </c>
      <c r="DX23" s="142" t="str">
        <f t="shared" si="14"/>
        <v/>
      </c>
      <c r="DY23" s="142" t="str">
        <f t="shared" si="15"/>
        <v/>
      </c>
      <c r="DZ23" s="142" t="str">
        <f t="shared" si="16"/>
        <v/>
      </c>
      <c r="EA23" s="142" t="str">
        <f t="shared" si="17"/>
        <v/>
      </c>
      <c r="EB23" s="142" t="str">
        <f t="shared" si="18"/>
        <v/>
      </c>
      <c r="EC23" s="142" t="str">
        <f t="shared" si="19"/>
        <v/>
      </c>
      <c r="ED23" s="142" t="str">
        <f t="shared" si="20"/>
        <v/>
      </c>
      <c r="EE23" s="142" t="str">
        <f t="shared" si="21"/>
        <v/>
      </c>
      <c r="EF23" s="142" t="str">
        <f t="shared" si="22"/>
        <v/>
      </c>
      <c r="EG23" s="142" t="str">
        <f t="shared" si="23"/>
        <v/>
      </c>
      <c r="EH23" s="142" t="str">
        <f t="shared" si="24"/>
        <v/>
      </c>
      <c r="EI23" s="142" t="str">
        <f t="shared" si="25"/>
        <v/>
      </c>
      <c r="EJ23" s="142" t="str">
        <f t="shared" si="26"/>
        <v/>
      </c>
      <c r="EK23" s="142" t="str">
        <f t="shared" si="27"/>
        <v/>
      </c>
      <c r="EL23" s="142" t="str">
        <f t="shared" si="28"/>
        <v/>
      </c>
      <c r="EM23" s="142" t="str">
        <f t="shared" si="29"/>
        <v/>
      </c>
      <c r="EN23" s="142">
        <f t="shared" si="30"/>
        <v>-0.37520783437325111</v>
      </c>
      <c r="EO23" s="142">
        <f t="shared" si="31"/>
        <v>0.6749748328423204</v>
      </c>
      <c r="EP23" s="142">
        <f t="shared" si="32"/>
        <v>-0.37751083570208055</v>
      </c>
      <c r="EQ23" s="142">
        <f t="shared" si="33"/>
        <v>-0.84409257338121035</v>
      </c>
      <c r="ER23" s="142">
        <f t="shared" si="34"/>
        <v>-0.84687344668772691</v>
      </c>
      <c r="ES23" s="142">
        <f t="shared" si="35"/>
        <v>-0.84258252915746268</v>
      </c>
      <c r="ET23" s="142">
        <f t="shared" si="36"/>
        <v>-0.69559272651681403</v>
      </c>
      <c r="EU23" s="142">
        <f t="shared" si="37"/>
        <v>8.0790645375197867E-2</v>
      </c>
      <c r="EV23" s="142">
        <f t="shared" si="38"/>
        <v>0.32418422668014224</v>
      </c>
      <c r="EW23" s="142">
        <f t="shared" si="39"/>
        <v>0.21526896712311516</v>
      </c>
      <c r="EX23" s="142">
        <f t="shared" si="40"/>
        <v>0.43582037163760501</v>
      </c>
      <c r="EY23" s="142">
        <f t="shared" si="41"/>
        <v>0.60258821284164776</v>
      </c>
      <c r="EZ23" s="142">
        <f t="shared" si="42"/>
        <v>-0.67963522121861586</v>
      </c>
      <c r="FA23" s="142">
        <f t="shared" si="43"/>
        <v>-0.50421667014449234</v>
      </c>
      <c r="FB23" s="142">
        <f t="shared" si="44"/>
        <v>-0.12955865226234675</v>
      </c>
      <c r="FC23" s="142">
        <f t="shared" si="45"/>
        <v>2.3769407242618827</v>
      </c>
      <c r="FD23" s="142">
        <f t="shared" si="46"/>
        <v>5.8368388433249994</v>
      </c>
      <c r="FE23" s="142">
        <f t="shared" si="47"/>
        <v>1.8055994969866815</v>
      </c>
      <c r="FF23" s="142">
        <f t="shared" si="48"/>
        <v>0.67435475692818936</v>
      </c>
      <c r="FG23" s="142">
        <f t="shared" si="49"/>
        <v>-0.58027047344055127</v>
      </c>
      <c r="FH23" s="142">
        <f t="shared" si="50"/>
        <v>-0.11621808286112789</v>
      </c>
      <c r="FI23" s="142">
        <f t="shared" si="51"/>
        <v>0.32256252232367055</v>
      </c>
      <c r="FJ23" s="142">
        <f t="shared" si="52"/>
        <v>9.1191800748195329E-2</v>
      </c>
      <c r="FK23" s="142">
        <f t="shared" si="53"/>
        <v>0.10469485565835401</v>
      </c>
    </row>
    <row r="24" spans="2:167" ht="16">
      <c r="B24" s="140" t="str">
        <f>'FS Year'!B24</f>
        <v>Earning to Shareholder</v>
      </c>
      <c r="C24" s="127" t="s">
        <v>770</v>
      </c>
      <c r="D24" s="128"/>
      <c r="E24" s="128"/>
      <c r="F24" s="128"/>
      <c r="G24" s="128"/>
      <c r="H24" s="128"/>
      <c r="I24" s="128"/>
      <c r="J24" s="128"/>
      <c r="K24" s="128"/>
      <c r="L24" s="128"/>
      <c r="M24" s="128"/>
      <c r="N24" s="128"/>
      <c r="O24" s="128"/>
      <c r="P24" s="128"/>
      <c r="Q24" s="128"/>
      <c r="R24" s="128"/>
      <c r="S24" s="128"/>
      <c r="T24" s="128"/>
      <c r="U24" s="128"/>
      <c r="V24" s="128"/>
      <c r="W24" s="128"/>
      <c r="X24" s="128"/>
      <c r="Y24" s="128"/>
      <c r="Z24" s="128">
        <v>166.21298064499999</v>
      </c>
      <c r="AA24" s="128">
        <v>142.183801628</v>
      </c>
      <c r="AB24" s="128">
        <v>175.23138148300001</v>
      </c>
      <c r="AC24" s="128">
        <v>184.47786807599999</v>
      </c>
      <c r="AD24" s="128">
        <v>231.56035021</v>
      </c>
      <c r="AE24" s="128">
        <v>221.18168556699999</v>
      </c>
      <c r="AF24" s="128">
        <v>287.29919238299999</v>
      </c>
      <c r="AG24" s="128">
        <v>331.85229123900001</v>
      </c>
      <c r="AH24" s="128">
        <v>417.79077811799999</v>
      </c>
      <c r="AI24" s="128">
        <v>416.65663843700003</v>
      </c>
      <c r="AJ24" s="128">
        <v>387.30687423199998</v>
      </c>
      <c r="AK24" s="128">
        <v>355.61453735200001</v>
      </c>
      <c r="AL24" s="128">
        <v>557.81401478999999</v>
      </c>
      <c r="AM24" s="128">
        <v>511.16696583700002</v>
      </c>
      <c r="AN24" s="128">
        <v>564.76058587</v>
      </c>
      <c r="AO24" s="128">
        <v>571.93806392299996</v>
      </c>
      <c r="AP24" s="173">
        <v>807.36427165700002</v>
      </c>
      <c r="AQ24" s="173">
        <v>731.96838476699997</v>
      </c>
      <c r="AR24" s="173">
        <v>647.36534568699994</v>
      </c>
      <c r="AS24" s="288">
        <v>692.02612879699996</v>
      </c>
      <c r="AT24" s="288">
        <v>1040.440771716</v>
      </c>
      <c r="AU24" s="288">
        <v>1079.178522876</v>
      </c>
      <c r="AV24" s="288">
        <v>855.080927073</v>
      </c>
      <c r="AW24" s="158">
        <v>859.56932538199999</v>
      </c>
      <c r="AX24" s="158">
        <v>1131.5190148300001</v>
      </c>
      <c r="AY24" s="158">
        <v>893.91168554900003</v>
      </c>
      <c r="AZ24" s="158">
        <v>950.539857407</v>
      </c>
      <c r="BA24" s="158">
        <v>941.79722537299995</v>
      </c>
      <c r="BB24" s="41">
        <v>1337.9686078330001</v>
      </c>
      <c r="BC24" s="41">
        <v>1213.0296852849999</v>
      </c>
      <c r="BD24" s="158">
        <v>785.38540130599995</v>
      </c>
      <c r="BE24" s="158">
        <v>1562.4855837959999</v>
      </c>
      <c r="BF24" s="288">
        <v>1444.4652834010001</v>
      </c>
      <c r="BG24" s="287">
        <v>1130.0109947440001</v>
      </c>
      <c r="BH24" s="287">
        <v>906.24599569099996</v>
      </c>
      <c r="BI24" s="287">
        <v>619.04075346900004</v>
      </c>
      <c r="BJ24" s="287">
        <v>21.266943546</v>
      </c>
      <c r="BK24" s="287">
        <v>17.405665662000001</v>
      </c>
      <c r="BL24" s="287">
        <v>38.739225904999998</v>
      </c>
      <c r="BM24" s="287">
        <v>90.257557590999994</v>
      </c>
      <c r="BN24" s="287">
        <v>902.44</v>
      </c>
      <c r="BO24" s="287">
        <v>1172.2769124670001</v>
      </c>
      <c r="BP24" s="287">
        <v>800.15</v>
      </c>
      <c r="BQ24" s="287">
        <v>847.00438220499996</v>
      </c>
      <c r="BR24" s="287">
        <v>1545.937090941</v>
      </c>
      <c r="BS24" s="287">
        <v>1648.1462467040001</v>
      </c>
      <c r="BT24" s="287">
        <v>1770.898917304</v>
      </c>
      <c r="BU24" s="287"/>
      <c r="BV24" s="171"/>
      <c r="BW24" s="171"/>
      <c r="BX24" s="171"/>
      <c r="BY24" s="171"/>
      <c r="BZ24" s="171"/>
      <c r="CA24" s="171"/>
      <c r="CB24" s="171"/>
      <c r="CC24" s="171"/>
      <c r="CD24" s="171"/>
      <c r="CE24" s="171"/>
      <c r="CF24" s="171"/>
      <c r="CG24" s="171"/>
      <c r="CH24" s="171"/>
      <c r="CI24" s="171"/>
      <c r="CJ24" s="171"/>
      <c r="CK24" s="171"/>
      <c r="CL24" s="171"/>
      <c r="CM24" s="171"/>
      <c r="CN24" s="171"/>
      <c r="CO24" s="171"/>
      <c r="CP24" s="171"/>
      <c r="CQ24" s="171"/>
      <c r="CR24" s="171"/>
      <c r="CS24" s="171"/>
      <c r="CT24" s="171"/>
      <c r="CU24" s="171"/>
      <c r="CV24" s="171"/>
      <c r="CW24" s="171"/>
      <c r="CX24" s="171"/>
      <c r="CY24" s="171"/>
      <c r="CZ24" s="171"/>
      <c r="DA24" s="171"/>
      <c r="DB24" s="171"/>
      <c r="DC24" s="171"/>
      <c r="DD24" s="171"/>
      <c r="DE24" s="171"/>
      <c r="DF24" s="139"/>
      <c r="DG24" s="139"/>
      <c r="DH24" s="139"/>
      <c r="DI24" s="139"/>
      <c r="DJ24" s="139"/>
      <c r="DK24" s="139"/>
      <c r="DL24" s="139"/>
      <c r="DM24" s="139"/>
      <c r="DN24" s="139"/>
      <c r="DO24" s="139"/>
      <c r="DP24" s="139"/>
      <c r="DQ24" s="139"/>
      <c r="DR24" s="139"/>
      <c r="DS24" s="175"/>
      <c r="DT24" s="142" t="str">
        <f t="shared" si="10"/>
        <v/>
      </c>
      <c r="DU24" s="142" t="str">
        <f t="shared" si="11"/>
        <v/>
      </c>
      <c r="DV24" s="142" t="str">
        <f t="shared" si="12"/>
        <v/>
      </c>
      <c r="DW24" s="142" t="str">
        <f t="shared" si="13"/>
        <v/>
      </c>
      <c r="DX24" s="142" t="str">
        <f t="shared" si="14"/>
        <v/>
      </c>
      <c r="DY24" s="142" t="str">
        <f t="shared" si="15"/>
        <v/>
      </c>
      <c r="DZ24" s="142" t="str">
        <f t="shared" si="16"/>
        <v/>
      </c>
      <c r="EA24" s="142" t="str">
        <f t="shared" si="17"/>
        <v/>
      </c>
      <c r="EB24" s="142" t="str">
        <f t="shared" si="18"/>
        <v/>
      </c>
      <c r="EC24" s="142" t="str">
        <f t="shared" si="19"/>
        <v/>
      </c>
      <c r="ED24" s="142" t="str">
        <f t="shared" si="20"/>
        <v/>
      </c>
      <c r="EE24" s="142" t="str">
        <f t="shared" si="21"/>
        <v/>
      </c>
      <c r="EF24" s="142" t="str">
        <f t="shared" si="22"/>
        <v/>
      </c>
      <c r="EG24" s="142" t="str">
        <f t="shared" si="23"/>
        <v/>
      </c>
      <c r="EH24" s="142" t="str">
        <f t="shared" si="24"/>
        <v/>
      </c>
      <c r="EI24" s="142" t="str">
        <f t="shared" si="25"/>
        <v/>
      </c>
      <c r="EJ24" s="142" t="str">
        <f t="shared" si="26"/>
        <v/>
      </c>
      <c r="EK24" s="142" t="str">
        <f t="shared" si="27"/>
        <v/>
      </c>
      <c r="EL24" s="142" t="str">
        <f t="shared" si="28"/>
        <v/>
      </c>
      <c r="EM24" s="142" t="str">
        <f t="shared" si="29"/>
        <v/>
      </c>
      <c r="EN24" s="142">
        <f t="shared" si="30"/>
        <v>0.39315442940386136</v>
      </c>
      <c r="EO24" s="142">
        <f t="shared" si="31"/>
        <v>0.55560396496982589</v>
      </c>
      <c r="EP24" s="142">
        <f t="shared" si="32"/>
        <v>0.63954190140806588</v>
      </c>
      <c r="EQ24" s="142">
        <f t="shared" si="33"/>
        <v>0.79887319113144595</v>
      </c>
      <c r="ER24" s="142">
        <f t="shared" si="34"/>
        <v>0.804241433125789</v>
      </c>
      <c r="ES24" s="142">
        <f t="shared" si="35"/>
        <v>0.88377549148745893</v>
      </c>
      <c r="ET24" s="142">
        <f t="shared" si="36"/>
        <v>0.34809593796448701</v>
      </c>
      <c r="EU24" s="142">
        <f t="shared" si="37"/>
        <v>7.1604887898412795E-2</v>
      </c>
      <c r="EV24" s="142">
        <f t="shared" si="38"/>
        <v>0.33515157348076285</v>
      </c>
      <c r="EW24" s="142">
        <f t="shared" si="39"/>
        <v>0.22683024505390259</v>
      </c>
      <c r="EX24" s="142">
        <f t="shared" si="40"/>
        <v>0.45817341091576846</v>
      </c>
      <c r="EY24" s="142">
        <f t="shared" si="41"/>
        <v>0.608309008348765</v>
      </c>
      <c r="EZ24" s="142">
        <f t="shared" si="42"/>
        <v>0.44737179463113375</v>
      </c>
      <c r="FA24" s="142">
        <f t="shared" si="43"/>
        <v>0.4319555716368586</v>
      </c>
      <c r="FB24" s="142">
        <f t="shared" si="44"/>
        <v>0.14626509335765592</v>
      </c>
      <c r="FC24" s="142">
        <f t="shared" si="45"/>
        <v>0.20996690454609679</v>
      </c>
      <c r="FD24" s="142">
        <f t="shared" si="46"/>
        <v>0.28868815259888048</v>
      </c>
      <c r="FE24" s="142">
        <f t="shared" si="47"/>
        <v>0.47435127709719849</v>
      </c>
      <c r="FF24" s="142">
        <f t="shared" si="48"/>
        <v>0.32086299146205799</v>
      </c>
      <c r="FG24" s="142">
        <f t="shared" si="49"/>
        <v>0.24210530442868206</v>
      </c>
      <c r="FH24" s="142">
        <f t="shared" si="50"/>
        <v>8.7538133442987442E-2</v>
      </c>
      <c r="FI24" s="142">
        <f t="shared" si="51"/>
        <v>-0.17167394772948752</v>
      </c>
      <c r="FJ24" s="142">
        <f t="shared" si="52"/>
        <v>0.11163730509200143</v>
      </c>
      <c r="FK24" s="142">
        <f t="shared" si="53"/>
        <v>9.5661743111246089E-2</v>
      </c>
    </row>
    <row r="25" spans="2:167" ht="16">
      <c r="B25" s="140" t="str">
        <f>'FS Year'!B25</f>
        <v>Eps_Basis</v>
      </c>
      <c r="C25" s="143" t="s">
        <v>1242</v>
      </c>
      <c r="D25" s="128"/>
      <c r="E25" s="128"/>
      <c r="F25" s="128"/>
      <c r="G25" s="128"/>
      <c r="H25" s="128"/>
      <c r="I25" s="128"/>
      <c r="J25" s="128"/>
      <c r="K25" s="128"/>
      <c r="L25" s="128"/>
      <c r="M25" s="128"/>
      <c r="N25" s="128"/>
      <c r="O25" s="128"/>
      <c r="P25" s="128"/>
      <c r="Q25" s="128"/>
      <c r="R25" s="128"/>
      <c r="S25" s="128"/>
      <c r="T25" s="128"/>
      <c r="U25" s="128"/>
      <c r="V25" s="128"/>
      <c r="W25" s="128"/>
      <c r="X25" s="128"/>
      <c r="Y25" s="128"/>
      <c r="Z25" s="128">
        <v>2.6620000000000001E-6</v>
      </c>
      <c r="AA25" s="128">
        <v>2.278E-6</v>
      </c>
      <c r="AB25" s="128">
        <v>2.7939999999999998E-6</v>
      </c>
      <c r="AC25" s="128">
        <v>0</v>
      </c>
      <c r="AD25" s="128">
        <v>2.069E-6</v>
      </c>
      <c r="AE25" s="128">
        <v>1.17E-6</v>
      </c>
      <c r="AF25" s="128">
        <v>2.0559999999999999E-6</v>
      </c>
      <c r="AG25" s="128">
        <v>2.0099999999999998E-6</v>
      </c>
      <c r="AH25" s="128">
        <v>2.8490000000000002E-6</v>
      </c>
      <c r="AI25" s="128">
        <v>2.841E-6</v>
      </c>
      <c r="AJ25" s="128">
        <v>-1.72E-6</v>
      </c>
      <c r="AK25" s="128">
        <v>0</v>
      </c>
      <c r="AL25" s="128">
        <v>3.6239999999999999E-6</v>
      </c>
      <c r="AM25" s="128">
        <v>-1.4999999999999999E-7</v>
      </c>
      <c r="AN25" s="128">
        <v>1.835E-6</v>
      </c>
      <c r="AO25" s="128">
        <v>0</v>
      </c>
      <c r="AP25" s="173">
        <v>2.5469999999999999E-6</v>
      </c>
      <c r="AQ25" s="173">
        <v>2.2239999999999998E-6</v>
      </c>
      <c r="AR25" s="173">
        <v>2.0030000000000001E-6</v>
      </c>
      <c r="AS25" s="288">
        <v>6.6889999999999998E-6</v>
      </c>
      <c r="AT25" s="288">
        <v>2.3470000000000001E-6</v>
      </c>
      <c r="AU25" s="288">
        <v>2.435E-6</v>
      </c>
      <c r="AV25" s="288">
        <v>1.9300000000000002E-6</v>
      </c>
      <c r="AW25" s="288">
        <v>0</v>
      </c>
      <c r="AX25" s="288">
        <v>2.5000000000000002E-6</v>
      </c>
      <c r="AY25" s="288">
        <v>1.9750000000000001E-6</v>
      </c>
      <c r="AZ25" s="288">
        <v>2.0999999999999998E-6</v>
      </c>
      <c r="BA25" s="288">
        <v>2.0789999999999999E-6</v>
      </c>
      <c r="BB25" s="288">
        <v>2.897E-6</v>
      </c>
      <c r="BC25" s="288">
        <v>2.5289999999999998E-6</v>
      </c>
      <c r="BD25" s="288">
        <v>1.2979999999999999E-6</v>
      </c>
      <c r="BE25" s="158">
        <v>-5.1099999999999996E-7</v>
      </c>
      <c r="BF25" s="288">
        <v>2.0260000000000002E-6</v>
      </c>
      <c r="BG25" s="289">
        <v>-2.5600000000000002E-7</v>
      </c>
      <c r="BH25" s="289">
        <v>6.1799999999999995E-7</v>
      </c>
      <c r="BI25" s="289">
        <v>4.2199999999999999E-7</v>
      </c>
      <c r="BJ25" s="289">
        <v>1.4999999999999999E-8</v>
      </c>
      <c r="BK25" s="289">
        <v>1.0999999999999999E-8</v>
      </c>
      <c r="BL25" s="289">
        <v>26</v>
      </c>
      <c r="BM25" s="289">
        <v>62</v>
      </c>
      <c r="BN25" s="289">
        <v>617</v>
      </c>
      <c r="BO25" s="289">
        <v>802</v>
      </c>
      <c r="BP25" s="289">
        <v>547</v>
      </c>
      <c r="BQ25" s="289">
        <v>580</v>
      </c>
      <c r="BR25" s="289">
        <v>1058</v>
      </c>
      <c r="BS25" s="289">
        <v>1117</v>
      </c>
      <c r="BT25" s="289">
        <v>1198</v>
      </c>
      <c r="BU25" s="289"/>
      <c r="BV25" s="174"/>
      <c r="BW25" s="174"/>
      <c r="BX25" s="174"/>
      <c r="BY25" s="174"/>
      <c r="BZ25" s="174"/>
      <c r="CA25" s="174"/>
      <c r="CB25" s="174"/>
      <c r="CC25" s="174"/>
      <c r="CD25" s="174"/>
      <c r="CE25" s="174"/>
      <c r="CF25" s="174"/>
      <c r="CG25" s="174"/>
      <c r="CH25" s="174"/>
      <c r="CI25" s="174"/>
      <c r="CJ25" s="174"/>
      <c r="CK25" s="174"/>
      <c r="CL25" s="174"/>
      <c r="CM25" s="174"/>
      <c r="CN25" s="174"/>
      <c r="CO25" s="174"/>
      <c r="CP25" s="174"/>
      <c r="CQ25" s="174"/>
      <c r="CR25" s="174"/>
      <c r="CS25" s="174"/>
      <c r="CT25" s="174"/>
      <c r="CU25" s="174"/>
      <c r="CV25" s="174"/>
      <c r="CW25" s="174"/>
      <c r="CX25" s="174"/>
      <c r="CY25" s="174"/>
      <c r="CZ25" s="174"/>
      <c r="DA25" s="174"/>
      <c r="DB25" s="174"/>
      <c r="DC25" s="174"/>
      <c r="DD25" s="174"/>
      <c r="DE25" s="174"/>
      <c r="DF25" s="142"/>
      <c r="DG25" s="142"/>
      <c r="DH25" s="142"/>
      <c r="DI25" s="142"/>
      <c r="DJ25" s="142"/>
      <c r="DK25" s="142"/>
      <c r="DL25" s="142"/>
      <c r="DM25" s="142"/>
      <c r="DN25" s="142"/>
      <c r="DO25" s="142"/>
      <c r="DP25" s="142"/>
      <c r="DQ25" s="142"/>
      <c r="DR25" s="142"/>
      <c r="DS25" s="175"/>
      <c r="DT25" s="142" t="str">
        <f t="shared" si="10"/>
        <v/>
      </c>
      <c r="DU25" s="142" t="str">
        <f t="shared" si="11"/>
        <v/>
      </c>
      <c r="DV25" s="142" t="str">
        <f t="shared" si="12"/>
        <v/>
      </c>
      <c r="DW25" s="142" t="str">
        <f t="shared" si="13"/>
        <v/>
      </c>
      <c r="DX25" s="142" t="str">
        <f t="shared" si="14"/>
        <v/>
      </c>
      <c r="DY25" s="142" t="str">
        <f t="shared" si="15"/>
        <v/>
      </c>
      <c r="DZ25" s="142" t="str">
        <f t="shared" si="16"/>
        <v/>
      </c>
      <c r="EA25" s="142" t="str">
        <f t="shared" si="17"/>
        <v/>
      </c>
      <c r="EB25" s="142" t="str">
        <f t="shared" si="18"/>
        <v/>
      </c>
      <c r="EC25" s="142" t="str">
        <f t="shared" si="19"/>
        <v/>
      </c>
      <c r="ED25" s="142" t="str">
        <f t="shared" si="20"/>
        <v/>
      </c>
      <c r="EE25" s="142" t="str">
        <f t="shared" si="21"/>
        <v/>
      </c>
      <c r="EF25" s="142" t="str">
        <f t="shared" si="22"/>
        <v/>
      </c>
      <c r="EG25" s="142" t="str">
        <f t="shared" si="23"/>
        <v/>
      </c>
      <c r="EH25" s="142" t="str">
        <f t="shared" si="24"/>
        <v/>
      </c>
      <c r="EI25" s="142" t="str">
        <f t="shared" si="25"/>
        <v/>
      </c>
      <c r="EJ25" s="142" t="str">
        <f t="shared" si="26"/>
        <v/>
      </c>
      <c r="EK25" s="142" t="str">
        <f t="shared" si="27"/>
        <v/>
      </c>
      <c r="EL25" s="142" t="str">
        <f t="shared" si="28"/>
        <v/>
      </c>
      <c r="EM25" s="142" t="str">
        <f t="shared" si="29"/>
        <v/>
      </c>
      <c r="EN25" s="142">
        <f t="shared" si="30"/>
        <v>-0.22276483846731787</v>
      </c>
      <c r="EO25" s="142">
        <f t="shared" si="31"/>
        <v>-0.48639157155399471</v>
      </c>
      <c r="EP25" s="142">
        <f t="shared" si="32"/>
        <v>-0.26413743736578388</v>
      </c>
      <c r="EQ25" s="142" t="str">
        <f t="shared" si="33"/>
        <v/>
      </c>
      <c r="ER25" s="142">
        <f t="shared" si="34"/>
        <v>0.37699371677138727</v>
      </c>
      <c r="ES25" s="142">
        <f t="shared" si="35"/>
        <v>1.428205128205128</v>
      </c>
      <c r="ET25" s="142">
        <f t="shared" si="36"/>
        <v>-1.8365758754863815</v>
      </c>
      <c r="EU25" s="142">
        <f t="shared" si="37"/>
        <v>-1</v>
      </c>
      <c r="EV25" s="142">
        <f t="shared" si="38"/>
        <v>0.27202527202527182</v>
      </c>
      <c r="EW25" s="142">
        <f t="shared" si="39"/>
        <v>-1.0527983104540655</v>
      </c>
      <c r="EX25" s="142">
        <f t="shared" si="40"/>
        <v>-2.066860465116279</v>
      </c>
      <c r="EY25" s="142" t="str">
        <f t="shared" si="41"/>
        <v/>
      </c>
      <c r="EZ25" s="142"/>
      <c r="FA25" s="142"/>
      <c r="FB25" s="142"/>
      <c r="FC25" s="142"/>
      <c r="FD25" s="142">
        <f t="shared" ref="FD25:FI26" si="54">IFERROR(AT25/AP25-1,"")</f>
        <v>-7.8523753435414179E-2</v>
      </c>
      <c r="FE25" s="142">
        <f t="shared" si="54"/>
        <v>9.4874100719424481E-2</v>
      </c>
      <c r="FF25" s="142">
        <f t="shared" si="54"/>
        <v>-3.6445332001996955E-2</v>
      </c>
      <c r="FG25" s="142">
        <f t="shared" si="54"/>
        <v>-1</v>
      </c>
      <c r="FH25" s="142">
        <f t="shared" si="54"/>
        <v>6.5189603749467473E-2</v>
      </c>
      <c r="FI25" s="142">
        <f t="shared" si="54"/>
        <v>-0.1889117043121149</v>
      </c>
    </row>
    <row r="26" spans="2:167" ht="16">
      <c r="B26" s="140" t="str">
        <f>'FS Year'!B26</f>
        <v>Eps_Diluted</v>
      </c>
      <c r="C26" s="143" t="s">
        <v>1243</v>
      </c>
      <c r="D26" s="128"/>
      <c r="E26" s="128"/>
      <c r="F26" s="128"/>
      <c r="G26" s="128"/>
      <c r="H26" s="128"/>
      <c r="I26" s="128"/>
      <c r="J26" s="128"/>
      <c r="K26" s="128"/>
      <c r="L26" s="128"/>
      <c r="M26" s="128"/>
      <c r="N26" s="128"/>
      <c r="O26" s="128"/>
      <c r="P26" s="128"/>
      <c r="Q26" s="128"/>
      <c r="R26" s="128"/>
      <c r="S26" s="128"/>
      <c r="T26" s="128"/>
      <c r="U26" s="128"/>
      <c r="V26" s="128"/>
      <c r="W26" s="128"/>
      <c r="X26" s="128"/>
      <c r="Y26" s="128"/>
      <c r="Z26" s="128">
        <v>0</v>
      </c>
      <c r="AA26" s="128">
        <v>0</v>
      </c>
      <c r="AB26" s="128">
        <v>0</v>
      </c>
      <c r="AC26" s="128">
        <v>0</v>
      </c>
      <c r="AD26" s="128">
        <v>0</v>
      </c>
      <c r="AE26" s="128">
        <v>0</v>
      </c>
      <c r="AF26" s="128">
        <v>0</v>
      </c>
      <c r="AG26" s="128">
        <v>0</v>
      </c>
      <c r="AH26" s="128">
        <v>0</v>
      </c>
      <c r="AI26" s="128">
        <v>0</v>
      </c>
      <c r="AJ26" s="128">
        <v>-1.72E-6</v>
      </c>
      <c r="AK26" s="128">
        <v>0</v>
      </c>
      <c r="AL26" s="128">
        <v>1.759E-6</v>
      </c>
      <c r="AM26" s="128">
        <v>0</v>
      </c>
      <c r="AN26" s="128">
        <v>0</v>
      </c>
      <c r="AO26" s="128">
        <v>0</v>
      </c>
      <c r="AP26" s="173">
        <v>2.5469999999999999E-6</v>
      </c>
      <c r="AQ26" s="173">
        <v>2.2239999999999998E-6</v>
      </c>
      <c r="AR26" s="173">
        <v>2.0030000000000001E-6</v>
      </c>
      <c r="AS26" s="288">
        <v>6.6889999999999998E-6</v>
      </c>
      <c r="AT26" s="288">
        <v>2.3470000000000001E-6</v>
      </c>
      <c r="AU26" s="288">
        <v>2.435E-6</v>
      </c>
      <c r="AV26" s="288">
        <v>1.9300000000000002E-6</v>
      </c>
      <c r="AW26" s="158">
        <v>0</v>
      </c>
      <c r="AX26" s="158">
        <v>2.5000000000000002E-6</v>
      </c>
      <c r="AY26" s="158">
        <v>1.9750000000000001E-6</v>
      </c>
      <c r="AZ26" s="158">
        <v>2.0999999999999998E-6</v>
      </c>
      <c r="BA26" s="158">
        <v>2.0789999999999999E-6</v>
      </c>
      <c r="BB26" s="41">
        <v>2.897E-6</v>
      </c>
      <c r="BC26" s="41">
        <v>2.5289999999999998E-6</v>
      </c>
      <c r="BD26" s="158">
        <v>1.2979999999999999E-6</v>
      </c>
      <c r="BE26" s="158">
        <v>-5.1099999999999996E-7</v>
      </c>
      <c r="BF26" s="288">
        <v>2.0260000000000002E-6</v>
      </c>
      <c r="BG26" s="289">
        <v>-2.5600000000000002E-7</v>
      </c>
      <c r="BH26" s="289">
        <v>6.1799999999999995E-7</v>
      </c>
      <c r="BI26" s="289">
        <v>4.2199999999999999E-7</v>
      </c>
      <c r="BJ26" s="289">
        <v>1.4999999999999999E-8</v>
      </c>
      <c r="BK26" s="289">
        <v>1.0999999999999999E-8</v>
      </c>
      <c r="BL26" s="289">
        <v>26</v>
      </c>
      <c r="BM26" s="289">
        <v>62</v>
      </c>
      <c r="BN26" s="289">
        <v>617</v>
      </c>
      <c r="BO26" s="289">
        <v>802</v>
      </c>
      <c r="BP26" s="289">
        <v>547</v>
      </c>
      <c r="BQ26" s="289">
        <v>580</v>
      </c>
      <c r="BR26" s="289">
        <v>1058</v>
      </c>
      <c r="BS26" s="289">
        <v>1117</v>
      </c>
      <c r="BT26" s="289">
        <v>1198</v>
      </c>
      <c r="BU26" s="289"/>
      <c r="BV26" s="174"/>
      <c r="BW26" s="174"/>
      <c r="BX26" s="174"/>
      <c r="BY26" s="174"/>
      <c r="BZ26" s="174"/>
      <c r="CA26" s="174"/>
      <c r="CB26" s="174"/>
      <c r="CC26" s="174"/>
      <c r="CD26" s="174"/>
      <c r="CE26" s="174"/>
      <c r="CF26" s="174"/>
      <c r="CG26" s="174"/>
      <c r="CH26" s="174"/>
      <c r="CI26" s="174"/>
      <c r="CJ26" s="174"/>
      <c r="CK26" s="174"/>
      <c r="CL26" s="174"/>
      <c r="CM26" s="174"/>
      <c r="CN26" s="174"/>
      <c r="CO26" s="174"/>
      <c r="CP26" s="174"/>
      <c r="CQ26" s="174"/>
      <c r="CR26" s="174"/>
      <c r="CS26" s="174"/>
      <c r="CT26" s="174"/>
      <c r="CU26" s="174"/>
      <c r="CV26" s="174"/>
      <c r="CW26" s="174"/>
      <c r="CX26" s="174"/>
      <c r="CY26" s="174"/>
      <c r="CZ26" s="174"/>
      <c r="DA26" s="174"/>
      <c r="DB26" s="174"/>
      <c r="DC26" s="174"/>
      <c r="DD26" s="174"/>
      <c r="DE26" s="174"/>
      <c r="DF26" s="142"/>
      <c r="DG26" s="142"/>
      <c r="DH26" s="142"/>
      <c r="DI26" s="142"/>
      <c r="DJ26" s="142"/>
      <c r="DK26" s="142"/>
      <c r="DL26" s="142"/>
      <c r="DM26" s="142"/>
      <c r="DN26" s="142"/>
      <c r="DO26" s="142"/>
      <c r="DP26" s="142"/>
      <c r="DQ26" s="142"/>
      <c r="DR26" s="142"/>
      <c r="DS26" s="175"/>
      <c r="DT26" s="142" t="str">
        <f t="shared" si="10"/>
        <v/>
      </c>
      <c r="DU26" s="142" t="str">
        <f t="shared" si="11"/>
        <v/>
      </c>
      <c r="DV26" s="142" t="str">
        <f t="shared" si="12"/>
        <v/>
      </c>
      <c r="DW26" s="142" t="str">
        <f t="shared" si="13"/>
        <v/>
      </c>
      <c r="DX26" s="142" t="str">
        <f t="shared" si="14"/>
        <v/>
      </c>
      <c r="DY26" s="142" t="str">
        <f t="shared" si="15"/>
        <v/>
      </c>
      <c r="DZ26" s="142" t="str">
        <f t="shared" si="16"/>
        <v/>
      </c>
      <c r="EA26" s="142" t="str">
        <f t="shared" si="17"/>
        <v/>
      </c>
      <c r="EB26" s="142" t="str">
        <f t="shared" si="18"/>
        <v/>
      </c>
      <c r="EC26" s="142" t="str">
        <f t="shared" si="19"/>
        <v/>
      </c>
      <c r="ED26" s="142" t="str">
        <f t="shared" si="20"/>
        <v/>
      </c>
      <c r="EE26" s="142" t="str">
        <f t="shared" si="21"/>
        <v/>
      </c>
      <c r="EF26" s="142" t="str">
        <f t="shared" si="22"/>
        <v/>
      </c>
      <c r="EG26" s="142" t="str">
        <f t="shared" si="23"/>
        <v/>
      </c>
      <c r="EH26" s="142" t="str">
        <f t="shared" si="24"/>
        <v/>
      </c>
      <c r="EI26" s="142" t="str">
        <f t="shared" si="25"/>
        <v/>
      </c>
      <c r="EJ26" s="142" t="str">
        <f t="shared" si="26"/>
        <v/>
      </c>
      <c r="EK26" s="142" t="str">
        <f t="shared" si="27"/>
        <v/>
      </c>
      <c r="EL26" s="142" t="str">
        <f t="shared" si="28"/>
        <v/>
      </c>
      <c r="EM26" s="142" t="str">
        <f t="shared" si="29"/>
        <v/>
      </c>
      <c r="EN26" s="142" t="str">
        <f t="shared" si="30"/>
        <v/>
      </c>
      <c r="EO26" s="142" t="str">
        <f t="shared" si="31"/>
        <v/>
      </c>
      <c r="EP26" s="142" t="str">
        <f t="shared" si="32"/>
        <v/>
      </c>
      <c r="EQ26" s="142" t="str">
        <f t="shared" si="33"/>
        <v/>
      </c>
      <c r="ER26" s="142" t="str">
        <f t="shared" si="34"/>
        <v/>
      </c>
      <c r="ES26" s="142" t="str">
        <f t="shared" si="35"/>
        <v/>
      </c>
      <c r="ET26" s="142" t="str">
        <f t="shared" si="36"/>
        <v/>
      </c>
      <c r="EU26" s="142" t="str">
        <f t="shared" si="37"/>
        <v/>
      </c>
      <c r="EV26" s="142" t="str">
        <f t="shared" si="38"/>
        <v/>
      </c>
      <c r="EW26" s="142" t="str">
        <f t="shared" si="39"/>
        <v/>
      </c>
      <c r="EX26" s="142">
        <f t="shared" si="40"/>
        <v>-1</v>
      </c>
      <c r="EY26" s="142" t="str">
        <f t="shared" si="41"/>
        <v/>
      </c>
      <c r="EZ26" s="142">
        <f>IFERROR(AP26/AL26-1,"")</f>
        <v>0.44798180784536656</v>
      </c>
      <c r="FA26" s="142" t="str">
        <f>IFERROR(AQ26/AM26-1,"")</f>
        <v/>
      </c>
      <c r="FB26" s="142" t="str">
        <f>IFERROR(AR26/AN26-1,"")</f>
        <v/>
      </c>
      <c r="FC26" s="142" t="str">
        <f>IFERROR(AS26/AO26-1,"")</f>
        <v/>
      </c>
      <c r="FD26" s="142">
        <f t="shared" si="54"/>
        <v>-7.8523753435414179E-2</v>
      </c>
      <c r="FE26" s="142">
        <f t="shared" si="54"/>
        <v>9.4874100719424481E-2</v>
      </c>
      <c r="FF26" s="142">
        <f t="shared" si="54"/>
        <v>-3.6445332001996955E-2</v>
      </c>
      <c r="FG26" s="142">
        <f t="shared" si="54"/>
        <v>-1</v>
      </c>
      <c r="FH26" s="142">
        <f t="shared" si="54"/>
        <v>6.5189603749467473E-2</v>
      </c>
      <c r="FI26" s="142">
        <f t="shared" si="54"/>
        <v>-0.1889117043121149</v>
      </c>
    </row>
    <row r="27" spans="2:167" s="136" customFormat="1" ht="19">
      <c r="B27" s="177" t="s">
        <v>1244</v>
      </c>
      <c r="C27" s="144"/>
      <c r="D27" s="135"/>
      <c r="E27" s="135"/>
      <c r="F27" s="135"/>
      <c r="G27" s="135"/>
      <c r="H27" s="135"/>
      <c r="I27" s="135"/>
      <c r="J27" s="135"/>
      <c r="K27" s="135"/>
      <c r="L27" s="135"/>
      <c r="M27" s="135"/>
      <c r="N27" s="135"/>
      <c r="O27" s="135"/>
      <c r="P27" s="135"/>
      <c r="Q27" s="135"/>
      <c r="R27" s="135"/>
      <c r="S27" s="135"/>
      <c r="T27" s="135"/>
      <c r="U27" s="135"/>
      <c r="V27" s="135"/>
      <c r="W27" s="135"/>
      <c r="X27" s="135"/>
      <c r="Y27" s="135"/>
      <c r="Z27" s="135"/>
      <c r="AA27" s="135"/>
      <c r="AB27" s="135"/>
      <c r="AC27" s="135"/>
      <c r="AD27" s="135"/>
      <c r="AE27" s="135"/>
      <c r="AF27" s="135"/>
      <c r="AG27" s="135"/>
      <c r="AH27" s="135"/>
      <c r="AI27" s="135"/>
      <c r="AJ27" s="135"/>
      <c r="AK27" s="135"/>
      <c r="AL27" s="135"/>
      <c r="AM27" s="135"/>
      <c r="AN27" s="135"/>
      <c r="AO27" s="135"/>
      <c r="AP27" s="40">
        <f t="shared" ref="AP27:AZ27" si="55">SUM(AP11:AP12)</f>
        <v>-2897.2779795219999</v>
      </c>
      <c r="AQ27" s="40">
        <f t="shared" si="55"/>
        <v>-2862.0854631430002</v>
      </c>
      <c r="AR27" s="40">
        <f t="shared" si="55"/>
        <v>-2827.1461742789998</v>
      </c>
      <c r="AS27" s="40">
        <f t="shared" si="55"/>
        <v>-2834.8454718920002</v>
      </c>
      <c r="AT27" s="40">
        <f t="shared" si="55"/>
        <v>-3079.1334997040003</v>
      </c>
      <c r="AU27" s="40">
        <f t="shared" si="55"/>
        <v>-3382.7500202480001</v>
      </c>
      <c r="AV27" s="40">
        <f t="shared" si="55"/>
        <v>-3834.9399015550002</v>
      </c>
      <c r="AW27" s="40">
        <f t="shared" si="55"/>
        <v>-4214.2421767630003</v>
      </c>
      <c r="AX27" s="40">
        <f t="shared" si="55"/>
        <v>-4562.5324907439999</v>
      </c>
      <c r="AY27" s="40">
        <f t="shared" si="55"/>
        <v>-4539.013568327</v>
      </c>
      <c r="AZ27" s="40">
        <f t="shared" si="55"/>
        <v>-4593.8234773260001</v>
      </c>
      <c r="BA27" s="40">
        <f>SUM(BA11:BA12)</f>
        <v>-5042.861132557</v>
      </c>
      <c r="BB27" s="40"/>
      <c r="BC27" s="40"/>
      <c r="BD27" s="40"/>
      <c r="BE27" s="40"/>
      <c r="BF27" s="155"/>
      <c r="BG27" s="287"/>
      <c r="BH27" s="287"/>
      <c r="BI27" s="287"/>
      <c r="BJ27" s="287"/>
      <c r="BK27" s="171"/>
      <c r="BL27" s="171"/>
      <c r="BM27" s="171"/>
      <c r="BN27" s="171"/>
      <c r="BO27" s="287"/>
      <c r="BP27" s="287"/>
      <c r="BQ27" s="287"/>
      <c r="BR27" s="287"/>
      <c r="BS27" s="287"/>
      <c r="BT27" s="287"/>
      <c r="BU27" s="287"/>
      <c r="BV27" s="171"/>
      <c r="BW27" s="171"/>
      <c r="BX27" s="171"/>
      <c r="BY27" s="171"/>
      <c r="BZ27" s="171"/>
      <c r="CA27" s="171"/>
      <c r="CB27" s="171"/>
      <c r="CC27" s="171"/>
      <c r="CD27" s="171"/>
      <c r="CE27" s="171"/>
      <c r="CF27" s="171"/>
      <c r="CG27" s="171"/>
      <c r="CH27" s="171"/>
      <c r="CI27" s="171"/>
      <c r="CJ27" s="171"/>
      <c r="CK27" s="171"/>
      <c r="CL27" s="171"/>
      <c r="CM27" s="171"/>
      <c r="CN27" s="171"/>
      <c r="CO27" s="171"/>
      <c r="CP27" s="171"/>
      <c r="CQ27" s="171"/>
      <c r="CR27" s="171"/>
      <c r="CS27" s="171"/>
      <c r="CT27" s="171"/>
      <c r="CU27" s="171"/>
      <c r="CV27" s="171"/>
      <c r="CW27" s="171"/>
      <c r="CX27" s="171"/>
      <c r="CY27" s="171"/>
      <c r="CZ27" s="171"/>
      <c r="DA27" s="171"/>
      <c r="DB27" s="171"/>
      <c r="DC27" s="171"/>
      <c r="DD27" s="171"/>
      <c r="DE27" s="171"/>
      <c r="DF27" s="139"/>
      <c r="DG27" s="139"/>
      <c r="DH27" s="139"/>
      <c r="DI27" s="139"/>
      <c r="DJ27" s="139"/>
      <c r="DK27" s="139"/>
      <c r="DL27" s="139"/>
      <c r="DM27" s="139"/>
      <c r="DN27" s="139"/>
      <c r="DO27" s="139"/>
      <c r="DP27" s="139"/>
      <c r="DQ27" s="139"/>
      <c r="DR27" s="139"/>
      <c r="DS27" s="172"/>
      <c r="DT27" s="139"/>
      <c r="DU27" s="139"/>
      <c r="DV27" s="139"/>
      <c r="DW27" s="139"/>
      <c r="DX27" s="139"/>
      <c r="DY27" s="139"/>
      <c r="DZ27" s="139"/>
      <c r="EA27" s="139"/>
      <c r="EB27" s="139"/>
      <c r="EC27" s="139"/>
      <c r="ED27" s="139"/>
      <c r="EE27" s="139"/>
      <c r="EF27" s="139"/>
      <c r="EG27" s="139"/>
      <c r="EH27" s="139"/>
      <c r="EI27" s="139"/>
      <c r="EJ27" s="139"/>
      <c r="EK27" s="139"/>
      <c r="EL27" s="139"/>
      <c r="EM27" s="139"/>
      <c r="EN27" s="139"/>
      <c r="EO27" s="139"/>
      <c r="EP27" s="139"/>
      <c r="EQ27" s="139"/>
      <c r="ER27" s="139"/>
      <c r="ES27" s="139"/>
      <c r="ET27" s="139"/>
      <c r="EU27" s="139"/>
      <c r="EV27" s="139"/>
      <c r="EW27" s="139"/>
      <c r="EX27" s="139"/>
      <c r="EY27" s="139"/>
      <c r="EZ27" s="139"/>
      <c r="FA27" s="139"/>
      <c r="FB27" s="139"/>
      <c r="FC27" s="139"/>
      <c r="FD27" s="139"/>
      <c r="FE27" s="139"/>
      <c r="FF27" s="139"/>
    </row>
    <row r="28" spans="2:167" ht="19">
      <c r="B28" s="177" t="s">
        <v>1245</v>
      </c>
      <c r="C28" s="143"/>
      <c r="D28" s="128"/>
      <c r="E28" s="128"/>
      <c r="F28" s="128"/>
      <c r="G28" s="128"/>
      <c r="H28" s="128"/>
      <c r="I28" s="128"/>
      <c r="J28" s="128"/>
      <c r="K28" s="128"/>
      <c r="L28" s="128"/>
      <c r="M28" s="128"/>
      <c r="N28" s="128"/>
      <c r="O28" s="128"/>
      <c r="P28" s="128"/>
      <c r="Q28" s="128"/>
      <c r="R28" s="128"/>
      <c r="S28" s="128"/>
      <c r="T28" s="128"/>
      <c r="U28" s="128"/>
      <c r="V28" s="128"/>
      <c r="W28" s="128"/>
      <c r="X28" s="128"/>
      <c r="Y28" s="128"/>
      <c r="Z28" s="128"/>
      <c r="AA28" s="128"/>
      <c r="AB28" s="128"/>
      <c r="AC28" s="128"/>
      <c r="AD28" s="128"/>
      <c r="AE28" s="128"/>
      <c r="AF28" s="128"/>
      <c r="AG28" s="128"/>
      <c r="AH28" s="128"/>
      <c r="AI28" s="128"/>
      <c r="AJ28" s="128"/>
      <c r="AK28" s="128"/>
      <c r="AL28" s="128"/>
      <c r="AM28" s="128"/>
      <c r="AN28" s="128"/>
      <c r="AO28" s="128"/>
      <c r="AP28" s="167"/>
      <c r="AQ28" s="167"/>
      <c r="AR28" s="167"/>
      <c r="AS28" s="167"/>
      <c r="AT28" s="167">
        <f t="shared" ref="AT28:BA28" si="56">AT27/AP27-1</f>
        <v>6.2767715582473516E-2</v>
      </c>
      <c r="AU28" s="167">
        <f t="shared" si="56"/>
        <v>0.18191789302239481</v>
      </c>
      <c r="AV28" s="167">
        <f t="shared" si="56"/>
        <v>0.35647032914137022</v>
      </c>
      <c r="AW28" s="167">
        <f t="shared" si="56"/>
        <v>0.48658620674317699</v>
      </c>
      <c r="AX28" s="167">
        <f t="shared" si="56"/>
        <v>0.4817585827904507</v>
      </c>
      <c r="AY28" s="167">
        <f t="shared" si="56"/>
        <v>0.34181170383800064</v>
      </c>
      <c r="AZ28" s="167">
        <f t="shared" si="56"/>
        <v>0.19788669320822638</v>
      </c>
      <c r="BA28" s="167">
        <f t="shared" si="56"/>
        <v>0.19662347844244432</v>
      </c>
      <c r="BB28" s="167"/>
      <c r="BC28" s="167"/>
      <c r="BD28" s="167"/>
      <c r="BE28" s="167"/>
      <c r="BF28" s="288"/>
      <c r="BG28" s="287"/>
      <c r="BH28" s="287"/>
      <c r="BI28" s="287"/>
      <c r="BJ28" s="287"/>
      <c r="BK28" s="171"/>
      <c r="BL28" s="171"/>
      <c r="BM28" s="171"/>
      <c r="BN28" s="171">
        <f ca="1">Rev_Year!AS110+Rev_Year!AS86</f>
        <v>6382.627701200001</v>
      </c>
      <c r="BO28" s="287"/>
      <c r="BP28" s="287"/>
      <c r="BQ28" s="287"/>
      <c r="BR28" s="287"/>
      <c r="BS28" s="287"/>
      <c r="BT28" s="287"/>
      <c r="BU28" s="287"/>
      <c r="BV28" s="171"/>
      <c r="BW28" s="171"/>
      <c r="BX28" s="171"/>
      <c r="BY28" s="171"/>
      <c r="BZ28" s="171"/>
      <c r="CA28" s="171"/>
      <c r="CB28" s="171"/>
      <c r="CC28" s="171"/>
      <c r="CD28" s="171"/>
      <c r="CE28" s="171"/>
      <c r="CF28" s="171"/>
      <c r="CG28" s="171"/>
      <c r="CH28" s="171"/>
      <c r="CI28" s="171"/>
      <c r="CJ28" s="171"/>
      <c r="CK28" s="171"/>
      <c r="CL28" s="171"/>
      <c r="CM28" s="171"/>
      <c r="CN28" s="171"/>
      <c r="CO28" s="171"/>
      <c r="CP28" s="171"/>
      <c r="CQ28" s="171"/>
      <c r="CR28" s="171"/>
      <c r="CS28" s="171"/>
      <c r="CT28" s="171"/>
      <c r="CU28" s="171"/>
      <c r="CV28" s="171"/>
      <c r="CW28" s="171"/>
      <c r="CX28" s="171"/>
      <c r="CY28" s="171"/>
      <c r="CZ28" s="171"/>
      <c r="DA28" s="171"/>
      <c r="DB28" s="171"/>
      <c r="DC28" s="171"/>
      <c r="DD28" s="171"/>
      <c r="DE28" s="171"/>
      <c r="DF28" s="139"/>
      <c r="DG28" s="139"/>
      <c r="DH28" s="139"/>
      <c r="DI28" s="139"/>
      <c r="DJ28" s="139"/>
      <c r="DK28" s="139"/>
      <c r="DL28" s="139"/>
      <c r="DM28" s="139"/>
      <c r="DN28" s="139"/>
      <c r="DO28" s="139"/>
      <c r="DP28" s="139"/>
      <c r="DQ28" s="139"/>
      <c r="DR28" s="139"/>
      <c r="DS28" s="175"/>
      <c r="DT28" s="142"/>
      <c r="DU28" s="142"/>
      <c r="DV28" s="142"/>
      <c r="DW28" s="142"/>
      <c r="DX28" s="142"/>
      <c r="DY28" s="142"/>
      <c r="DZ28" s="142"/>
      <c r="EA28" s="142"/>
      <c r="EB28" s="142"/>
      <c r="EC28" s="142"/>
      <c r="ED28" s="142"/>
      <c r="EE28" s="142"/>
      <c r="EF28" s="142"/>
      <c r="EG28" s="142"/>
      <c r="EH28" s="142"/>
      <c r="EI28" s="142"/>
      <c r="EJ28" s="142"/>
      <c r="EK28" s="142"/>
      <c r="EL28" s="142"/>
      <c r="EM28" s="142"/>
      <c r="EN28" s="142"/>
      <c r="EO28" s="142"/>
      <c r="EP28" s="142"/>
      <c r="EQ28" s="142"/>
      <c r="ER28" s="142"/>
      <c r="ES28" s="142"/>
      <c r="ET28" s="142"/>
      <c r="EU28" s="142"/>
      <c r="EV28" s="142"/>
      <c r="EW28" s="142"/>
      <c r="EX28" s="142"/>
      <c r="EY28" s="142"/>
      <c r="EZ28" s="142"/>
      <c r="FA28" s="142"/>
      <c r="FB28" s="142"/>
      <c r="FC28" s="142"/>
      <c r="FD28" s="142"/>
      <c r="FE28" s="142"/>
      <c r="FF28" s="142"/>
    </row>
    <row r="29" spans="2:167" s="402" customFormat="1" ht="19">
      <c r="B29" s="2170" t="s">
        <v>536</v>
      </c>
      <c r="AH29" s="157">
        <f t="shared" ref="AH29:AO29" si="57">-SUM(AH11:AH12)/AH4</f>
        <v>0.11103711025284696</v>
      </c>
      <c r="AI29" s="157">
        <f t="shared" si="57"/>
        <v>0.10678632592361224</v>
      </c>
      <c r="AJ29" s="157">
        <f t="shared" si="57"/>
        <v>0.11814642574444334</v>
      </c>
      <c r="AK29" s="157">
        <f t="shared" si="57"/>
        <v>0.12782091460974743</v>
      </c>
      <c r="AL29" s="157">
        <f t="shared" si="57"/>
        <v>0.12384317200569944</v>
      </c>
      <c r="AM29" s="157">
        <f t="shared" si="57"/>
        <v>0.12591731942597723</v>
      </c>
      <c r="AN29" s="157">
        <f t="shared" si="57"/>
        <v>0.12907810514479429</v>
      </c>
      <c r="AO29" s="157">
        <f t="shared" si="57"/>
        <v>0.12544650404743279</v>
      </c>
      <c r="AP29" s="157">
        <f t="shared" ref="AP29:AZ29" si="58">-SUM(AP11:AP12)/AP4</f>
        <v>0.12727724057038461</v>
      </c>
      <c r="AQ29" s="157">
        <f t="shared" si="58"/>
        <v>0.13124657902570849</v>
      </c>
      <c r="AR29" s="157">
        <f t="shared" si="58"/>
        <v>0.13522109252803313</v>
      </c>
      <c r="AS29" s="157">
        <f t="shared" si="58"/>
        <v>0.13474720439995438</v>
      </c>
      <c r="AT29" s="157">
        <f t="shared" si="58"/>
        <v>0.12307962895937612</v>
      </c>
      <c r="AU29" s="157">
        <f t="shared" si="58"/>
        <v>0.12715308477417242</v>
      </c>
      <c r="AV29" s="157">
        <f t="shared" si="58"/>
        <v>0.15253069735959784</v>
      </c>
      <c r="AW29" s="157">
        <f t="shared" si="58"/>
        <v>0.1658432936960276</v>
      </c>
      <c r="AX29" s="157">
        <f t="shared" si="58"/>
        <v>0.1554355370070154</v>
      </c>
      <c r="AY29" s="157">
        <f t="shared" si="58"/>
        <v>0.17268088405968746</v>
      </c>
      <c r="AZ29" s="157">
        <f t="shared" si="58"/>
        <v>0.1786537752723189</v>
      </c>
      <c r="BA29" s="157">
        <f>-SUM(BA11:BA12)/BA4</f>
        <v>0.18544230340854617</v>
      </c>
      <c r="BB29" s="157">
        <f t="shared" ref="BB29:BT29" si="59">-SUM(BB11:BB12)/BB4</f>
        <v>0.17300738379402075</v>
      </c>
      <c r="BC29" s="157">
        <f t="shared" si="59"/>
        <v>0.17833656939314468</v>
      </c>
      <c r="BD29" s="157">
        <f t="shared" si="59"/>
        <v>0.21557426772852054</v>
      </c>
      <c r="BE29" s="157">
        <f t="shared" si="59"/>
        <v>0.15271784982763473</v>
      </c>
      <c r="BF29" s="157">
        <f t="shared" si="59"/>
        <v>0.17208787673762299</v>
      </c>
      <c r="BG29" s="157">
        <f t="shared" si="59"/>
        <v>0.1545881295992852</v>
      </c>
      <c r="BH29" s="157">
        <f t="shared" si="59"/>
        <v>0.17677216757186856</v>
      </c>
      <c r="BI29" s="157">
        <f t="shared" si="59"/>
        <v>0.22542976272198983</v>
      </c>
      <c r="BJ29" s="157">
        <f t="shared" si="59"/>
        <v>0.1884975147912713</v>
      </c>
      <c r="BK29" s="157">
        <f t="shared" si="59"/>
        <v>0.1846367423020398</v>
      </c>
      <c r="BL29" s="157">
        <f t="shared" si="59"/>
        <v>0.15254721490305834</v>
      </c>
      <c r="BM29" s="157">
        <f t="shared" si="59"/>
        <v>0.18802595689665499</v>
      </c>
      <c r="BN29" s="157">
        <f t="shared" si="59"/>
        <v>0.18070607425597454</v>
      </c>
      <c r="BO29" s="157">
        <f t="shared" si="59"/>
        <v>0.17196225314464866</v>
      </c>
      <c r="BP29" s="157">
        <f t="shared" si="59"/>
        <v>0.17034076822132291</v>
      </c>
      <c r="BQ29" s="157">
        <f t="shared" si="59"/>
        <v>0.17468267367239723</v>
      </c>
      <c r="BR29" s="157">
        <f t="shared" si="59"/>
        <v>0.15546181250163546</v>
      </c>
      <c r="BS29" s="157">
        <f t="shared" si="59"/>
        <v>0.15696316370311694</v>
      </c>
      <c r="BT29" s="157">
        <f t="shared" si="59"/>
        <v>0.14278267944904433</v>
      </c>
      <c r="BU29" s="139"/>
      <c r="BV29" s="139"/>
      <c r="BW29" s="139"/>
      <c r="BX29" s="139"/>
      <c r="BY29" s="139"/>
      <c r="BZ29" s="139"/>
      <c r="CA29" s="139"/>
      <c r="CB29" s="139"/>
      <c r="CC29" s="139"/>
      <c r="CD29" s="139"/>
      <c r="CE29" s="139"/>
      <c r="CF29" s="139"/>
      <c r="CG29" s="139"/>
      <c r="CH29" s="139"/>
      <c r="CI29" s="139"/>
      <c r="CJ29" s="139"/>
      <c r="CK29" s="139"/>
      <c r="CL29" s="139"/>
      <c r="CM29" s="139"/>
      <c r="CN29" s="139"/>
      <c r="CO29" s="139"/>
      <c r="CP29" s="139"/>
      <c r="CQ29" s="139"/>
      <c r="CR29" s="139"/>
      <c r="CS29" s="139"/>
      <c r="CT29" s="139"/>
      <c r="CU29" s="139"/>
      <c r="CV29" s="139"/>
      <c r="CW29" s="139"/>
      <c r="CX29" s="139"/>
      <c r="CY29" s="139"/>
      <c r="CZ29" s="139"/>
      <c r="DA29" s="139"/>
      <c r="DB29" s="139"/>
      <c r="DC29" s="139"/>
      <c r="DD29" s="139"/>
      <c r="DE29" s="139"/>
      <c r="DF29" s="139"/>
      <c r="DG29" s="139"/>
      <c r="DH29" s="139"/>
      <c r="DI29" s="139"/>
      <c r="DJ29" s="139"/>
      <c r="DK29" s="139"/>
      <c r="DL29" s="139"/>
      <c r="DM29" s="139"/>
      <c r="DN29" s="139"/>
      <c r="DO29" s="139"/>
      <c r="DP29" s="139"/>
      <c r="DQ29" s="139"/>
      <c r="DR29" s="139"/>
      <c r="DS29" s="2171"/>
      <c r="DT29" s="142"/>
      <c r="DU29" s="142"/>
      <c r="DV29" s="142"/>
      <c r="DW29" s="142"/>
      <c r="DX29" s="142"/>
      <c r="DY29" s="142"/>
      <c r="DZ29" s="142"/>
      <c r="EA29" s="142"/>
      <c r="EB29" s="142"/>
      <c r="EC29" s="142"/>
      <c r="ED29" s="142"/>
      <c r="EE29" s="142"/>
      <c r="EF29" s="142"/>
      <c r="EG29" s="142"/>
      <c r="EH29" s="142"/>
      <c r="EI29" s="142"/>
      <c r="EJ29" s="142"/>
      <c r="EK29" s="142"/>
      <c r="EL29" s="142"/>
      <c r="EM29" s="142"/>
      <c r="EN29" s="142"/>
      <c r="EO29" s="142"/>
      <c r="EP29" s="142"/>
      <c r="EQ29" s="142"/>
      <c r="ER29" s="142"/>
      <c r="ES29" s="142"/>
      <c r="ET29" s="142"/>
      <c r="EU29" s="142"/>
      <c r="EV29" s="142"/>
      <c r="EW29" s="142"/>
      <c r="EX29" s="142"/>
      <c r="EY29" s="142"/>
      <c r="EZ29" s="142"/>
      <c r="FA29" s="142"/>
      <c r="FB29" s="142"/>
      <c r="FC29" s="142"/>
      <c r="FD29" s="142"/>
      <c r="FE29" s="142"/>
      <c r="FF29" s="142"/>
    </row>
    <row r="30" spans="2:167" ht="19">
      <c r="B30" s="177" t="s">
        <v>1246</v>
      </c>
      <c r="C30" s="143"/>
      <c r="D30" s="128"/>
      <c r="E30" s="128"/>
      <c r="F30" s="128"/>
      <c r="G30" s="128"/>
      <c r="H30" s="128"/>
      <c r="I30" s="128"/>
      <c r="J30" s="128"/>
      <c r="K30" s="128"/>
      <c r="L30" s="128"/>
      <c r="M30" s="128"/>
      <c r="N30" s="128"/>
      <c r="O30" s="128"/>
      <c r="P30" s="128"/>
      <c r="Q30" s="128"/>
      <c r="R30" s="128"/>
      <c r="S30" s="128"/>
      <c r="T30" s="128"/>
      <c r="U30" s="128"/>
      <c r="V30" s="128"/>
      <c r="W30" s="128"/>
      <c r="X30" s="128"/>
      <c r="Y30" s="128"/>
      <c r="Z30" s="128"/>
      <c r="AA30" s="128"/>
      <c r="AB30" s="128"/>
      <c r="AC30" s="128"/>
      <c r="AD30" s="128"/>
      <c r="AE30" s="128"/>
      <c r="AF30" s="128"/>
      <c r="AG30" s="128"/>
      <c r="AH30" s="128"/>
      <c r="AI30" s="128"/>
      <c r="AJ30" s="128"/>
      <c r="AK30" s="128"/>
      <c r="AL30" s="128"/>
      <c r="AM30" s="128"/>
      <c r="AN30" s="128"/>
      <c r="AO30" s="128"/>
      <c r="AP30" s="157">
        <f>-AP11/AP4</f>
        <v>0.10142582421100266</v>
      </c>
      <c r="AQ30" s="157">
        <f t="shared" ref="AQ30:AV30" si="60">-AQ11/AQ4</f>
        <v>0.11300169198187242</v>
      </c>
      <c r="AR30" s="157">
        <f t="shared" si="60"/>
        <v>0.116548616646548</v>
      </c>
      <c r="AS30" s="167">
        <f t="shared" si="60"/>
        <v>0.1164527511165241</v>
      </c>
      <c r="AT30" s="167">
        <f t="shared" si="60"/>
        <v>9.8578514782479892E-2</v>
      </c>
      <c r="AU30" s="167">
        <f t="shared" si="60"/>
        <v>0.11245007956709088</v>
      </c>
      <c r="AV30" s="167">
        <f t="shared" si="60"/>
        <v>0.13065448072760735</v>
      </c>
      <c r="AW30" s="167">
        <f>-AW11/AW4</f>
        <v>0.14539310437161657</v>
      </c>
      <c r="AX30" s="167">
        <f>-AX11/AX4</f>
        <v>0.12887088542022987</v>
      </c>
      <c r="AY30" s="167">
        <f>-AY11/AY4</f>
        <v>0.13461263783577662</v>
      </c>
      <c r="AZ30" s="167">
        <f>-AZ11/AZ4</f>
        <v>0.14597308296084299</v>
      </c>
      <c r="BA30" s="167">
        <f>-BA11/BA4</f>
        <v>0.15662341274486416</v>
      </c>
      <c r="BB30" s="167"/>
      <c r="BC30" s="167"/>
      <c r="BD30" s="167"/>
      <c r="BE30" s="167"/>
      <c r="BF30" s="288"/>
      <c r="BG30" s="287"/>
      <c r="BH30" s="287"/>
      <c r="BI30" s="287"/>
      <c r="BJ30" s="287"/>
      <c r="BK30" s="171"/>
      <c r="BL30" s="171"/>
      <c r="BM30" s="171"/>
      <c r="BN30" s="171"/>
      <c r="BO30" s="287"/>
      <c r="BP30" s="287"/>
      <c r="BQ30" s="287"/>
      <c r="BR30" s="287"/>
      <c r="BS30" s="287"/>
      <c r="BT30" s="287"/>
      <c r="BU30" s="287"/>
      <c r="BV30" s="171"/>
      <c r="BW30" s="171"/>
      <c r="BX30" s="171"/>
      <c r="BY30" s="171"/>
      <c r="BZ30" s="171"/>
      <c r="CA30" s="171"/>
      <c r="CB30" s="171"/>
      <c r="CC30" s="171"/>
      <c r="CD30" s="171"/>
      <c r="CE30" s="171"/>
      <c r="CF30" s="171"/>
      <c r="CG30" s="171"/>
      <c r="CH30" s="171"/>
      <c r="CI30" s="171"/>
      <c r="CJ30" s="171"/>
      <c r="CK30" s="171"/>
      <c r="CL30" s="171"/>
      <c r="CM30" s="171"/>
      <c r="CN30" s="171"/>
      <c r="CO30" s="171"/>
      <c r="CP30" s="171"/>
      <c r="CQ30" s="171"/>
      <c r="CR30" s="171"/>
      <c r="CS30" s="171"/>
      <c r="CT30" s="171"/>
      <c r="CU30" s="171"/>
      <c r="CV30" s="171"/>
      <c r="CW30" s="171"/>
      <c r="CX30" s="171"/>
      <c r="CY30" s="171"/>
      <c r="CZ30" s="171"/>
      <c r="DA30" s="171"/>
      <c r="DB30" s="171"/>
      <c r="DC30" s="171"/>
      <c r="DD30" s="171"/>
      <c r="DE30" s="171"/>
      <c r="DF30" s="139"/>
      <c r="DG30" s="139"/>
      <c r="DH30" s="139"/>
      <c r="DI30" s="139"/>
      <c r="DJ30" s="139"/>
      <c r="DK30" s="139"/>
      <c r="DL30" s="139"/>
      <c r="DM30" s="139"/>
      <c r="DN30" s="139"/>
      <c r="DO30" s="139"/>
      <c r="DP30" s="139"/>
      <c r="DQ30" s="139"/>
      <c r="DR30" s="139"/>
      <c r="DS30" s="175"/>
      <c r="DT30" s="142"/>
      <c r="DU30" s="142"/>
      <c r="DV30" s="142"/>
      <c r="DW30" s="142"/>
      <c r="DX30" s="142"/>
      <c r="DY30" s="142"/>
      <c r="DZ30" s="142"/>
      <c r="EA30" s="142"/>
      <c r="EB30" s="142"/>
      <c r="EC30" s="142"/>
      <c r="ED30" s="142"/>
      <c r="EE30" s="142"/>
      <c r="EF30" s="142"/>
      <c r="EG30" s="142"/>
      <c r="EH30" s="142"/>
      <c r="EI30" s="142"/>
      <c r="EJ30" s="142"/>
      <c r="EK30" s="142"/>
      <c r="EL30" s="142"/>
      <c r="EM30" s="142"/>
      <c r="EN30" s="142"/>
      <c r="EO30" s="142"/>
      <c r="EP30" s="142"/>
      <c r="EQ30" s="142"/>
      <c r="ER30" s="142"/>
      <c r="ES30" s="142"/>
      <c r="ET30" s="142"/>
      <c r="EU30" s="142"/>
      <c r="EV30" s="142"/>
      <c r="EW30" s="142"/>
      <c r="EX30" s="142"/>
      <c r="EY30" s="142"/>
      <c r="EZ30" s="142"/>
      <c r="FA30" s="142"/>
      <c r="FB30" s="142"/>
      <c r="FC30" s="142"/>
      <c r="FD30" s="142"/>
      <c r="FE30" s="142"/>
      <c r="FF30" s="142"/>
    </row>
    <row r="31" spans="2:167" ht="19">
      <c r="B31" s="177" t="s">
        <v>1247</v>
      </c>
      <c r="C31" s="143"/>
      <c r="D31" s="128"/>
      <c r="E31" s="128"/>
      <c r="F31" s="128"/>
      <c r="G31" s="128"/>
      <c r="H31" s="128"/>
      <c r="I31" s="128"/>
      <c r="J31" s="128"/>
      <c r="K31" s="128"/>
      <c r="L31" s="128"/>
      <c r="M31" s="128"/>
      <c r="N31" s="128"/>
      <c r="O31" s="128"/>
      <c r="P31" s="128"/>
      <c r="Q31" s="128"/>
      <c r="R31" s="128"/>
      <c r="S31" s="128"/>
      <c r="T31" s="128"/>
      <c r="U31" s="128"/>
      <c r="V31" s="128"/>
      <c r="W31" s="128"/>
      <c r="X31" s="128"/>
      <c r="Y31" s="128"/>
      <c r="Z31" s="128"/>
      <c r="AA31" s="128"/>
      <c r="AB31" s="128"/>
      <c r="AC31" s="128"/>
      <c r="AD31" s="128"/>
      <c r="AE31" s="128"/>
      <c r="AF31" s="128"/>
      <c r="AG31" s="128"/>
      <c r="AH31" s="128"/>
      <c r="AI31" s="128"/>
      <c r="AJ31" s="128"/>
      <c r="AK31" s="128"/>
      <c r="AL31" s="128"/>
      <c r="AM31" s="128"/>
      <c r="AN31" s="128"/>
      <c r="AO31" s="128"/>
      <c r="AP31" s="157">
        <f>-AP12/AP4</f>
        <v>2.5851416359381974E-2</v>
      </c>
      <c r="AQ31" s="157">
        <f t="shared" ref="AQ31:AV31" si="61">-AQ12/AQ4</f>
        <v>1.8244887043836071E-2</v>
      </c>
      <c r="AR31" s="157">
        <f t="shared" si="61"/>
        <v>1.8672475881485122E-2</v>
      </c>
      <c r="AS31" s="167">
        <f t="shared" si="61"/>
        <v>1.8294453283430285E-2</v>
      </c>
      <c r="AT31" s="167">
        <f t="shared" si="61"/>
        <v>2.4501114176896221E-2</v>
      </c>
      <c r="AU31" s="167">
        <f t="shared" si="61"/>
        <v>1.4703005207081546E-2</v>
      </c>
      <c r="AV31" s="167">
        <f t="shared" si="61"/>
        <v>2.1876216631990481E-2</v>
      </c>
      <c r="AW31" s="167">
        <f>-AW12/AW4</f>
        <v>2.0450189324411023E-2</v>
      </c>
      <c r="AX31" s="167">
        <f>-AX12/AX4</f>
        <v>2.6564651586785528E-2</v>
      </c>
      <c r="AY31" s="167">
        <f>-AY12/AY4</f>
        <v>3.806824622391082E-2</v>
      </c>
      <c r="AZ31" s="167">
        <f>-AZ12/AZ4</f>
        <v>3.2680692311475919E-2</v>
      </c>
      <c r="BA31" s="167">
        <f>-BA12/BA4</f>
        <v>2.8818890663682022E-2</v>
      </c>
      <c r="BB31" s="167"/>
      <c r="BC31" s="167"/>
      <c r="BD31" s="167"/>
      <c r="BE31" s="167"/>
      <c r="BF31" s="288"/>
      <c r="BG31" s="287"/>
      <c r="BH31" s="287"/>
      <c r="BI31" s="287"/>
      <c r="BJ31" s="287"/>
      <c r="BK31" s="171"/>
      <c r="BL31" s="171"/>
      <c r="BM31" s="171"/>
      <c r="BN31" s="171"/>
      <c r="BO31" s="287"/>
      <c r="BP31" s="287"/>
      <c r="BQ31" s="287"/>
      <c r="BR31" s="287"/>
      <c r="BS31" s="287"/>
      <c r="BT31" s="287"/>
      <c r="BU31" s="287"/>
      <c r="BV31" s="171"/>
      <c r="BW31" s="171"/>
      <c r="BX31" s="171"/>
      <c r="BY31" s="171"/>
      <c r="BZ31" s="171"/>
      <c r="CA31" s="171"/>
      <c r="CB31" s="171"/>
      <c r="CC31" s="171"/>
      <c r="CD31" s="171"/>
      <c r="CE31" s="171"/>
      <c r="CF31" s="171"/>
      <c r="CG31" s="171"/>
      <c r="CH31" s="171"/>
      <c r="CI31" s="171"/>
      <c r="CJ31" s="171"/>
      <c r="CK31" s="171"/>
      <c r="CL31" s="171"/>
      <c r="CM31" s="171"/>
      <c r="CN31" s="171"/>
      <c r="CO31" s="171"/>
      <c r="CP31" s="171"/>
      <c r="CQ31" s="171"/>
      <c r="CR31" s="171"/>
      <c r="CS31" s="171"/>
      <c r="CT31" s="171"/>
      <c r="CU31" s="171"/>
      <c r="CV31" s="171"/>
      <c r="CW31" s="171"/>
      <c r="CX31" s="171"/>
      <c r="CY31" s="171"/>
      <c r="CZ31" s="171"/>
      <c r="DA31" s="171"/>
      <c r="DB31" s="171"/>
      <c r="DC31" s="171"/>
      <c r="DD31" s="171"/>
      <c r="DE31" s="171"/>
      <c r="DF31" s="139"/>
      <c r="DG31" s="139"/>
      <c r="DH31" s="139"/>
      <c r="DI31" s="139"/>
      <c r="DJ31" s="139"/>
      <c r="DK31" s="139"/>
      <c r="DL31" s="139"/>
      <c r="DM31" s="139"/>
      <c r="DN31" s="139"/>
      <c r="DO31" s="139"/>
      <c r="DP31" s="139"/>
      <c r="DQ31" s="139"/>
      <c r="DR31" s="139"/>
      <c r="DS31" s="175"/>
      <c r="DT31" s="142"/>
      <c r="DU31" s="142"/>
      <c r="DV31" s="142"/>
      <c r="DW31" s="142"/>
      <c r="DX31" s="142"/>
      <c r="DY31" s="142"/>
      <c r="DZ31" s="142"/>
      <c r="EA31" s="142"/>
      <c r="EB31" s="142"/>
      <c r="EC31" s="142"/>
      <c r="ED31" s="142"/>
      <c r="EE31" s="142"/>
      <c r="EF31" s="142"/>
      <c r="EG31" s="142"/>
      <c r="EH31" s="142"/>
      <c r="EI31" s="142"/>
      <c r="EJ31" s="142"/>
      <c r="EK31" s="142"/>
      <c r="EL31" s="142"/>
      <c r="EM31" s="142"/>
      <c r="EN31" s="142"/>
      <c r="EO31" s="142"/>
      <c r="EP31" s="142"/>
      <c r="EQ31" s="142"/>
      <c r="ER31" s="142"/>
      <c r="ES31" s="142"/>
      <c r="ET31" s="142"/>
      <c r="EU31" s="142"/>
      <c r="EV31" s="142"/>
      <c r="EW31" s="142"/>
      <c r="EX31" s="142"/>
      <c r="EY31" s="142"/>
      <c r="EZ31" s="142"/>
      <c r="FA31" s="142"/>
      <c r="FB31" s="142"/>
      <c r="FC31" s="142"/>
      <c r="FD31" s="142"/>
      <c r="FE31" s="142"/>
      <c r="FF31" s="142"/>
    </row>
    <row r="32" spans="2:167" ht="19">
      <c r="B32" s="177" t="s">
        <v>775</v>
      </c>
      <c r="C32" s="143"/>
      <c r="D32" s="128"/>
      <c r="E32" s="128"/>
      <c r="F32" s="128"/>
      <c r="G32" s="128"/>
      <c r="H32" s="128"/>
      <c r="I32" s="128"/>
      <c r="J32" s="128"/>
      <c r="K32" s="128"/>
      <c r="L32" s="128"/>
      <c r="M32" s="128"/>
      <c r="N32" s="128"/>
      <c r="O32" s="128"/>
      <c r="P32" s="128"/>
      <c r="Q32" s="128"/>
      <c r="R32" s="128"/>
      <c r="S32" s="128"/>
      <c r="T32" s="128"/>
      <c r="U32" s="128"/>
      <c r="V32" s="128"/>
      <c r="W32" s="128"/>
      <c r="X32" s="128"/>
      <c r="Y32" s="128"/>
      <c r="Z32" s="128"/>
      <c r="AA32" s="128"/>
      <c r="AB32" s="128"/>
      <c r="AC32" s="128"/>
      <c r="AD32" s="128"/>
      <c r="AE32" s="128"/>
      <c r="AF32" s="128"/>
      <c r="AG32" s="128"/>
      <c r="AH32" s="128"/>
      <c r="AI32" s="128"/>
      <c r="AJ32" s="128"/>
      <c r="AK32" s="128"/>
      <c r="AL32" s="128"/>
      <c r="AM32" s="128"/>
      <c r="AN32" s="128"/>
      <c r="AO32" s="128"/>
      <c r="AP32" s="157">
        <f t="shared" ref="AP32:AZ32" si="62">-AP21/AP18</f>
        <v>0.2258146953150732</v>
      </c>
      <c r="AQ32" s="157">
        <f t="shared" si="62"/>
        <v>0.24388159566069137</v>
      </c>
      <c r="AR32" s="157">
        <f t="shared" si="62"/>
        <v>0.24355186137241788</v>
      </c>
      <c r="AS32" s="167">
        <f t="shared" si="62"/>
        <v>0.24575539317216077</v>
      </c>
      <c r="AT32" s="167">
        <f t="shared" si="62"/>
        <v>0.22371540093797637</v>
      </c>
      <c r="AU32" s="167">
        <f t="shared" si="62"/>
        <v>0.22646017500999965</v>
      </c>
      <c r="AV32" s="167">
        <f t="shared" si="62"/>
        <v>0.24762061445706912</v>
      </c>
      <c r="AW32" s="167">
        <f t="shared" si="62"/>
        <v>0.27090195876227624</v>
      </c>
      <c r="AX32" s="167">
        <f t="shared" si="62"/>
        <v>0.26679099964756431</v>
      </c>
      <c r="AY32" s="167">
        <f t="shared" si="62"/>
        <v>0.28655148835819372</v>
      </c>
      <c r="AZ32" s="167">
        <f t="shared" si="62"/>
        <v>0.25600612553636448</v>
      </c>
      <c r="BA32" s="167">
        <f>-BA21/BA18</f>
        <v>0.2934883376372287</v>
      </c>
      <c r="BB32" s="167"/>
      <c r="BC32" s="167"/>
      <c r="BD32" s="167"/>
      <c r="BE32" s="167"/>
      <c r="BF32" s="288"/>
      <c r="BG32" s="287"/>
      <c r="BH32" s="287"/>
      <c r="BI32" s="287"/>
      <c r="BJ32" s="287"/>
      <c r="BK32" s="171"/>
      <c r="BL32" s="171"/>
      <c r="BM32" s="171"/>
      <c r="BN32" s="171"/>
      <c r="BO32" s="287"/>
      <c r="BP32" s="287"/>
      <c r="BQ32" s="287"/>
      <c r="BR32" s="287"/>
      <c r="BS32" s="287"/>
      <c r="BT32" s="287"/>
      <c r="BU32" s="287"/>
      <c r="BV32" s="171"/>
      <c r="BW32" s="171"/>
      <c r="BX32" s="171"/>
      <c r="BY32" s="171"/>
      <c r="BZ32" s="171"/>
      <c r="CA32" s="171"/>
      <c r="CB32" s="171"/>
      <c r="CC32" s="171"/>
      <c r="CD32" s="171"/>
      <c r="CE32" s="171"/>
      <c r="CF32" s="171"/>
      <c r="CG32" s="171"/>
      <c r="CH32" s="171"/>
      <c r="CI32" s="171"/>
      <c r="CJ32" s="171"/>
      <c r="CK32" s="171"/>
      <c r="CL32" s="171"/>
      <c r="CM32" s="171"/>
      <c r="CN32" s="171"/>
      <c r="CO32" s="171"/>
      <c r="CP32" s="171"/>
      <c r="CQ32" s="171"/>
      <c r="CR32" s="171"/>
      <c r="CS32" s="171"/>
      <c r="CT32" s="171"/>
      <c r="CU32" s="171"/>
      <c r="CV32" s="171"/>
      <c r="CW32" s="171"/>
      <c r="CX32" s="171"/>
      <c r="CY32" s="171"/>
      <c r="CZ32" s="171"/>
      <c r="DA32" s="171"/>
      <c r="DB32" s="171"/>
      <c r="DC32" s="171"/>
      <c r="DD32" s="171"/>
      <c r="DE32" s="171"/>
      <c r="DF32" s="171"/>
      <c r="DG32" s="171"/>
      <c r="DH32" s="171"/>
      <c r="DI32" s="171"/>
      <c r="DJ32" s="171"/>
      <c r="DK32" s="171"/>
      <c r="DL32" s="171"/>
      <c r="DM32" s="171"/>
      <c r="DN32" s="171"/>
      <c r="DO32" s="171"/>
      <c r="DP32" s="171"/>
      <c r="DQ32" s="171"/>
      <c r="DR32" s="171"/>
      <c r="DS32" s="175"/>
      <c r="DT32" s="142"/>
      <c r="DU32" s="142"/>
      <c r="DV32" s="142"/>
      <c r="DW32" s="142"/>
      <c r="DX32" s="142"/>
      <c r="DY32" s="142"/>
      <c r="DZ32" s="142"/>
      <c r="EA32" s="142"/>
      <c r="EB32" s="142"/>
      <c r="EC32" s="142"/>
      <c r="ED32" s="142"/>
      <c r="EE32" s="142"/>
      <c r="EF32" s="142"/>
      <c r="EG32" s="142"/>
      <c r="EH32" s="142"/>
      <c r="EI32" s="142"/>
      <c r="EJ32" s="142"/>
      <c r="EK32" s="142"/>
      <c r="EL32" s="142"/>
      <c r="EM32" s="142"/>
      <c r="EN32" s="142"/>
      <c r="EO32" s="142"/>
      <c r="EP32" s="142"/>
      <c r="EQ32" s="142"/>
      <c r="ER32" s="142"/>
      <c r="ES32" s="142"/>
      <c r="ET32" s="142"/>
      <c r="EU32" s="142"/>
      <c r="EV32" s="142"/>
      <c r="EW32" s="142"/>
      <c r="EX32" s="142"/>
      <c r="EY32" s="142"/>
      <c r="EZ32" s="142"/>
      <c r="FA32" s="142"/>
      <c r="FB32" s="142"/>
      <c r="FC32" s="142"/>
      <c r="FD32" s="142"/>
      <c r="FE32" s="142"/>
      <c r="FF32" s="142"/>
    </row>
    <row r="33" spans="1:167" ht="19">
      <c r="B33" s="177" t="s">
        <v>1248</v>
      </c>
      <c r="C33" s="143"/>
      <c r="D33" s="128"/>
      <c r="E33" s="128"/>
      <c r="F33" s="128"/>
      <c r="G33" s="128"/>
      <c r="H33" s="128"/>
      <c r="I33" s="128"/>
      <c r="J33" s="128"/>
      <c r="K33" s="128"/>
      <c r="L33" s="128"/>
      <c r="M33" s="128"/>
      <c r="N33" s="128"/>
      <c r="O33" s="128"/>
      <c r="P33" s="128"/>
      <c r="Q33" s="128"/>
      <c r="R33" s="128"/>
      <c r="S33" s="128"/>
      <c r="T33" s="128"/>
      <c r="U33" s="128"/>
      <c r="V33" s="128"/>
      <c r="W33" s="128"/>
      <c r="X33" s="128"/>
      <c r="Y33" s="128"/>
      <c r="Z33" s="128"/>
      <c r="AA33" s="128"/>
      <c r="AB33" s="128"/>
      <c r="AC33" s="128"/>
      <c r="AD33" s="128"/>
      <c r="AE33" s="128"/>
      <c r="AF33" s="128"/>
      <c r="AG33" s="128"/>
      <c r="AH33" s="128"/>
      <c r="AI33" s="128"/>
      <c r="AJ33" s="128"/>
      <c r="AK33" s="128"/>
      <c r="AL33" s="128"/>
      <c r="AM33" s="128"/>
      <c r="AN33" s="128"/>
      <c r="AO33" s="128"/>
      <c r="AP33" s="157">
        <f t="shared" ref="AP33:AZ33" si="63">AP9/(SUM(AP113,AP126))</f>
        <v>-1.3662901460352317E-2</v>
      </c>
      <c r="AQ33" s="157">
        <f t="shared" si="63"/>
        <v>-1.3033041843245894E-2</v>
      </c>
      <c r="AR33" s="157">
        <f t="shared" si="63"/>
        <v>-1.2388500213896033E-2</v>
      </c>
      <c r="AS33" s="167">
        <f t="shared" si="63"/>
        <v>-1.5725926250601461E-2</v>
      </c>
      <c r="AT33" s="167">
        <f t="shared" si="63"/>
        <v>-1.3617403899075153E-2</v>
      </c>
      <c r="AU33" s="167">
        <f t="shared" si="63"/>
        <v>-1.3100058700608127E-2</v>
      </c>
      <c r="AV33" s="167">
        <f t="shared" si="63"/>
        <v>-1.442037129647023E-2</v>
      </c>
      <c r="AW33" s="167">
        <f t="shared" si="63"/>
        <v>-1.1046174794944323E-2</v>
      </c>
      <c r="AX33" s="167">
        <f t="shared" si="63"/>
        <v>-1.5340805993797967E-2</v>
      </c>
      <c r="AY33" s="167">
        <f t="shared" si="63"/>
        <v>-1.1694064478948557E-2</v>
      </c>
      <c r="AZ33" s="167">
        <f t="shared" si="63"/>
        <v>-1.0162689295868037E-2</v>
      </c>
      <c r="BA33" s="167">
        <f>BA9/(SUM(BA113,BA126))</f>
        <v>-8.5728889250862236E-3</v>
      </c>
      <c r="BB33" s="167"/>
      <c r="BC33" s="167"/>
      <c r="BD33" s="167"/>
      <c r="BE33" s="167"/>
      <c r="BF33" s="288"/>
      <c r="BG33" s="287"/>
      <c r="BH33" s="287"/>
      <c r="BI33" s="287"/>
      <c r="BJ33" s="287"/>
      <c r="BK33" s="171"/>
      <c r="BL33" s="171"/>
      <c r="BM33" s="171"/>
      <c r="BN33" s="171"/>
      <c r="BO33" s="287"/>
      <c r="BP33" s="287"/>
      <c r="BQ33" s="287"/>
      <c r="BR33" s="287"/>
      <c r="BS33" s="287"/>
      <c r="BT33" s="287"/>
      <c r="BU33" s="287"/>
      <c r="BV33" s="171"/>
      <c r="BW33" s="171"/>
      <c r="BX33" s="171"/>
      <c r="BY33" s="171"/>
      <c r="BZ33" s="171"/>
      <c r="CA33" s="171"/>
      <c r="CB33" s="171"/>
      <c r="CC33" s="171"/>
      <c r="CD33" s="171"/>
      <c r="CE33" s="171"/>
      <c r="CF33" s="171"/>
      <c r="CG33" s="171"/>
      <c r="CH33" s="171"/>
      <c r="CI33" s="171"/>
      <c r="CJ33" s="171"/>
      <c r="CK33" s="171"/>
      <c r="CL33" s="171"/>
      <c r="CM33" s="171"/>
      <c r="CN33" s="171"/>
      <c r="CO33" s="171"/>
      <c r="CP33" s="171"/>
      <c r="CQ33" s="171"/>
      <c r="CR33" s="171"/>
      <c r="CS33" s="171"/>
      <c r="CT33" s="171"/>
      <c r="CU33" s="171"/>
      <c r="CV33" s="171"/>
      <c r="CW33" s="171"/>
      <c r="CX33" s="171"/>
      <c r="CY33" s="171"/>
      <c r="CZ33" s="171"/>
      <c r="DA33" s="171"/>
      <c r="DB33" s="171"/>
      <c r="DC33" s="171"/>
      <c r="DD33" s="171"/>
      <c r="DE33" s="171"/>
      <c r="DF33" s="171"/>
      <c r="DG33" s="171"/>
      <c r="DH33" s="171"/>
      <c r="DI33" s="171"/>
      <c r="DJ33" s="171"/>
      <c r="DK33" s="171"/>
      <c r="DL33" s="171"/>
      <c r="DM33" s="171"/>
      <c r="DN33" s="171"/>
      <c r="DO33" s="171"/>
      <c r="DP33" s="171"/>
      <c r="DQ33" s="171"/>
      <c r="DR33" s="171"/>
      <c r="DS33" s="175"/>
      <c r="DT33" s="142"/>
      <c r="DU33" s="142"/>
      <c r="DV33" s="142"/>
      <c r="DW33" s="142"/>
      <c r="DX33" s="142"/>
      <c r="DY33" s="142"/>
      <c r="DZ33" s="142"/>
      <c r="EA33" s="142"/>
      <c r="EB33" s="142"/>
      <c r="EC33" s="142"/>
      <c r="ED33" s="142"/>
      <c r="EE33" s="142"/>
      <c r="EF33" s="142"/>
      <c r="EG33" s="142"/>
      <c r="EH33" s="142"/>
      <c r="EI33" s="142"/>
      <c r="EJ33" s="142"/>
      <c r="EK33" s="142"/>
      <c r="EL33" s="142"/>
      <c r="EM33" s="142"/>
      <c r="EN33" s="142"/>
      <c r="EO33" s="142"/>
      <c r="EP33" s="142"/>
      <c r="EQ33" s="142"/>
      <c r="ER33" s="142"/>
      <c r="ES33" s="142"/>
      <c r="ET33" s="142"/>
      <c r="EU33" s="142"/>
      <c r="EV33" s="142"/>
      <c r="EW33" s="142"/>
      <c r="EX33" s="142"/>
      <c r="EY33" s="142"/>
      <c r="EZ33" s="142"/>
      <c r="FA33" s="142"/>
      <c r="FB33" s="142"/>
      <c r="FC33" s="142"/>
      <c r="FD33" s="142"/>
      <c r="FE33" s="142"/>
      <c r="FF33" s="142"/>
    </row>
    <row r="34" spans="1:167">
      <c r="B34" s="140"/>
      <c r="AS34" s="288"/>
      <c r="AT34" s="288"/>
      <c r="AU34" s="288"/>
      <c r="AV34" s="288"/>
      <c r="AW34" s="288"/>
      <c r="AX34" s="288"/>
      <c r="AY34" s="288" t="s">
        <v>1249</v>
      </c>
      <c r="AZ34" s="288"/>
      <c r="BA34" s="288"/>
      <c r="BB34" s="288"/>
      <c r="BC34" s="288"/>
      <c r="BD34" s="288"/>
      <c r="BE34" s="288"/>
      <c r="BF34" s="288"/>
      <c r="BG34" s="288"/>
      <c r="BH34" s="288"/>
      <c r="BI34" s="288"/>
    </row>
    <row r="35" spans="1:167" ht="32">
      <c r="A35" s="129">
        <v>2</v>
      </c>
      <c r="B35" s="130" t="s">
        <v>776</v>
      </c>
      <c r="C35" s="150"/>
      <c r="D35" s="149" t="s">
        <v>1198</v>
      </c>
      <c r="E35" s="149" t="s">
        <v>1199</v>
      </c>
      <c r="F35" s="149" t="s">
        <v>1200</v>
      </c>
      <c r="G35" s="149" t="s">
        <v>1201</v>
      </c>
      <c r="H35" s="149" t="s">
        <v>1202</v>
      </c>
      <c r="I35" s="149" t="s">
        <v>1203</v>
      </c>
      <c r="J35" s="149" t="s">
        <v>1204</v>
      </c>
      <c r="K35" s="149" t="s">
        <v>1205</v>
      </c>
      <c r="L35" s="149" t="s">
        <v>1206</v>
      </c>
      <c r="M35" s="149" t="s">
        <v>1207</v>
      </c>
      <c r="N35" s="149" t="s">
        <v>1208</v>
      </c>
      <c r="O35" s="149" t="s">
        <v>1209</v>
      </c>
      <c r="P35" s="149" t="s">
        <v>1210</v>
      </c>
      <c r="Q35" s="149" t="s">
        <v>1211</v>
      </c>
      <c r="R35" s="149" t="s">
        <v>1212</v>
      </c>
      <c r="S35" s="149" t="s">
        <v>1213</v>
      </c>
      <c r="T35" s="149" t="s">
        <v>1214</v>
      </c>
      <c r="U35" s="149" t="s">
        <v>1215</v>
      </c>
      <c r="V35" s="149" t="s">
        <v>1216</v>
      </c>
      <c r="W35" s="149" t="s">
        <v>1217</v>
      </c>
      <c r="X35" s="149" t="s">
        <v>1218</v>
      </c>
      <c r="Y35" s="149" t="s">
        <v>1219</v>
      </c>
      <c r="Z35" s="149" t="s">
        <v>1220</v>
      </c>
      <c r="AA35" s="149" t="s">
        <v>1221</v>
      </c>
      <c r="AB35" s="149" t="s">
        <v>1222</v>
      </c>
      <c r="AC35" s="149" t="s">
        <v>1223</v>
      </c>
      <c r="AD35" s="149" t="s">
        <v>1224</v>
      </c>
      <c r="AE35" s="149" t="s">
        <v>1225</v>
      </c>
      <c r="AF35" s="149" t="s">
        <v>1226</v>
      </c>
      <c r="AG35" s="149" t="s">
        <v>1227</v>
      </c>
      <c r="AH35" s="149" t="s">
        <v>1228</v>
      </c>
      <c r="AI35" s="149" t="s">
        <v>1229</v>
      </c>
      <c r="AJ35" s="149" t="s">
        <v>1230</v>
      </c>
      <c r="AK35" s="149" t="s">
        <v>1231</v>
      </c>
      <c r="AL35" s="149" t="s">
        <v>1232</v>
      </c>
      <c r="AM35" s="149" t="s">
        <v>1233</v>
      </c>
      <c r="AN35" s="149" t="s">
        <v>1234</v>
      </c>
      <c r="AO35" s="149" t="s">
        <v>1235</v>
      </c>
      <c r="AP35" s="149" t="s">
        <v>75</v>
      </c>
      <c r="AQ35" s="149" t="s">
        <v>76</v>
      </c>
      <c r="AR35" s="149" t="s">
        <v>77</v>
      </c>
      <c r="AS35" s="291" t="s">
        <v>78</v>
      </c>
      <c r="AT35" s="291" t="s">
        <v>79</v>
      </c>
      <c r="AU35" s="291" t="s">
        <v>80</v>
      </c>
      <c r="AV35" s="291" t="s">
        <v>81</v>
      </c>
      <c r="AW35" s="291" t="str">
        <f t="shared" ref="AW35:BI35" si="64">AW1</f>
        <v>Q4/2019</v>
      </c>
      <c r="AX35" s="291" t="str">
        <f t="shared" si="64"/>
        <v>Q1/2020</v>
      </c>
      <c r="AY35" s="291" t="str">
        <f t="shared" si="64"/>
        <v>Q2/2020</v>
      </c>
      <c r="AZ35" s="291" t="str">
        <f t="shared" si="64"/>
        <v>Q3/2020</v>
      </c>
      <c r="BA35" s="291" t="str">
        <f t="shared" si="64"/>
        <v>Q4/2020</v>
      </c>
      <c r="BB35" s="291" t="str">
        <f t="shared" si="64"/>
        <v>Q1/2021</v>
      </c>
      <c r="BC35" s="291" t="str">
        <f t="shared" si="64"/>
        <v>Q2/2021</v>
      </c>
      <c r="BD35" s="291" t="str">
        <f t="shared" si="64"/>
        <v>Q3/2021</v>
      </c>
      <c r="BE35" s="291" t="str">
        <f t="shared" si="64"/>
        <v>Q4/2021</v>
      </c>
      <c r="BF35" s="291" t="str">
        <f t="shared" si="64"/>
        <v>Q1/2022</v>
      </c>
      <c r="BG35" s="291" t="str">
        <f t="shared" si="64"/>
        <v>Q2/2022</v>
      </c>
      <c r="BH35" s="291" t="str">
        <f t="shared" si="64"/>
        <v>Q3/2022</v>
      </c>
      <c r="BI35" s="291" t="str">
        <f t="shared" si="64"/>
        <v>Q4/2022</v>
      </c>
      <c r="BJ35" s="291"/>
      <c r="BK35" s="149"/>
      <c r="BL35" s="149"/>
      <c r="BM35" s="149"/>
      <c r="BN35" s="149"/>
      <c r="BO35" s="291"/>
      <c r="BP35" s="291"/>
      <c r="BQ35" s="291"/>
      <c r="BR35" s="291"/>
      <c r="BS35" s="291"/>
      <c r="BT35" s="291"/>
      <c r="BU35" s="291"/>
      <c r="BV35" s="149"/>
      <c r="BW35" s="149"/>
      <c r="BX35" s="149"/>
      <c r="BY35" s="149"/>
      <c r="BZ35" s="149"/>
      <c r="CA35" s="149"/>
      <c r="CB35" s="149"/>
      <c r="CC35" s="149"/>
      <c r="CD35" s="149"/>
      <c r="CE35" s="149"/>
      <c r="CF35" s="149"/>
      <c r="CG35" s="149"/>
      <c r="CH35" s="149"/>
      <c r="CI35" s="149"/>
      <c r="CJ35" s="149"/>
      <c r="CK35" s="149"/>
      <c r="CL35" s="149"/>
      <c r="CM35" s="149"/>
      <c r="CN35" s="149"/>
      <c r="CO35" s="149"/>
      <c r="CP35" s="149"/>
      <c r="CQ35" s="149"/>
      <c r="CR35" s="149"/>
      <c r="CS35" s="149"/>
      <c r="CT35" s="149"/>
      <c r="CU35" s="149"/>
      <c r="CV35" s="149"/>
      <c r="CW35" s="149"/>
      <c r="CX35" s="149"/>
      <c r="CY35" s="149"/>
      <c r="CZ35" s="149"/>
      <c r="DA35" s="149"/>
      <c r="DB35" s="149"/>
      <c r="DC35" s="149"/>
      <c r="DD35" s="149"/>
      <c r="DE35" s="149"/>
      <c r="DF35" s="149"/>
      <c r="DG35" s="149"/>
      <c r="DH35" s="149"/>
      <c r="DI35" s="149"/>
      <c r="DJ35" s="149"/>
      <c r="DK35" s="149"/>
      <c r="DL35" s="149"/>
      <c r="DM35" s="149"/>
      <c r="DN35" s="149"/>
      <c r="DO35" s="149"/>
      <c r="DP35" s="149"/>
      <c r="DQ35" s="149"/>
      <c r="DR35" s="149"/>
      <c r="DS35" s="133"/>
      <c r="DT35" s="149" t="s">
        <v>1204</v>
      </c>
      <c r="DU35" s="149" t="s">
        <v>1205</v>
      </c>
      <c r="DV35" s="149" t="s">
        <v>1206</v>
      </c>
      <c r="DW35" s="149" t="s">
        <v>1207</v>
      </c>
      <c r="DX35" s="149" t="s">
        <v>1208</v>
      </c>
      <c r="DY35" s="149" t="s">
        <v>1209</v>
      </c>
      <c r="DZ35" s="149" t="s">
        <v>1210</v>
      </c>
      <c r="EA35" s="149" t="s">
        <v>1211</v>
      </c>
      <c r="EB35" s="149" t="s">
        <v>1212</v>
      </c>
      <c r="EC35" s="149" t="s">
        <v>1213</v>
      </c>
      <c r="ED35" s="149" t="s">
        <v>1214</v>
      </c>
      <c r="EE35" s="149" t="s">
        <v>1215</v>
      </c>
      <c r="EF35" s="149" t="s">
        <v>1216</v>
      </c>
      <c r="EG35" s="149" t="s">
        <v>1217</v>
      </c>
      <c r="EH35" s="149" t="s">
        <v>1218</v>
      </c>
      <c r="EI35" s="149" t="s">
        <v>1219</v>
      </c>
      <c r="EJ35" s="149" t="s">
        <v>1220</v>
      </c>
      <c r="EK35" s="149" t="s">
        <v>1221</v>
      </c>
      <c r="EL35" s="149" t="s">
        <v>1222</v>
      </c>
      <c r="EM35" s="149" t="s">
        <v>1223</v>
      </c>
      <c r="EN35" s="149" t="s">
        <v>1224</v>
      </c>
      <c r="EO35" s="149" t="s">
        <v>1225</v>
      </c>
      <c r="EP35" s="149" t="s">
        <v>1226</v>
      </c>
      <c r="EQ35" s="149" t="s">
        <v>1227</v>
      </c>
      <c r="ER35" s="149" t="s">
        <v>1228</v>
      </c>
      <c r="ES35" s="149" t="s">
        <v>1229</v>
      </c>
      <c r="ET35" s="149" t="s">
        <v>1230</v>
      </c>
      <c r="EU35" s="149" t="s">
        <v>1231</v>
      </c>
      <c r="EV35" s="149" t="s">
        <v>1232</v>
      </c>
      <c r="EW35" s="149" t="s">
        <v>1233</v>
      </c>
      <c r="EX35" s="149" t="s">
        <v>1234</v>
      </c>
      <c r="EY35" s="149" t="s">
        <v>1235</v>
      </c>
      <c r="EZ35" s="149" t="s">
        <v>75</v>
      </c>
      <c r="FA35" s="149" t="s">
        <v>76</v>
      </c>
      <c r="FB35" s="149" t="s">
        <v>77</v>
      </c>
      <c r="FC35" s="149" t="s">
        <v>78</v>
      </c>
      <c r="FD35" s="149" t="s">
        <v>79</v>
      </c>
      <c r="FE35" s="149" t="s">
        <v>80</v>
      </c>
      <c r="FF35" s="149" t="s">
        <v>81</v>
      </c>
      <c r="FG35" s="169">
        <f>DM35</f>
        <v>0</v>
      </c>
      <c r="FH35" s="160" t="str">
        <f>LEFT(FD35,3)&amp;RIGHT(FD35,4)+1</f>
        <v>Q1/2020</v>
      </c>
      <c r="FI35" s="160" t="str">
        <f>LEFT(FE35,3)&amp;RIGHT(FE35,4)+1</f>
        <v>Q2/2020</v>
      </c>
      <c r="FJ35" s="160" t="str">
        <f>LEFT(FF35,3)&amp;RIGHT(FF35,4)+1</f>
        <v>Q3/2020</v>
      </c>
      <c r="FK35" s="160" t="str">
        <f>LEFT(FG35,3)&amp;RIGHT(FG35,4)+1</f>
        <v>01</v>
      </c>
    </row>
    <row r="36" spans="1:167" s="136" customFormat="1" ht="16">
      <c r="B36" s="185" t="s">
        <v>777</v>
      </c>
      <c r="C36" s="134" t="s">
        <v>778</v>
      </c>
      <c r="D36" s="135"/>
      <c r="E36" s="135"/>
      <c r="F36" s="135"/>
      <c r="G36" s="135"/>
      <c r="H36" s="135"/>
      <c r="I36" s="135"/>
      <c r="J36" s="135"/>
      <c r="K36" s="135"/>
      <c r="L36" s="135"/>
      <c r="M36" s="135"/>
      <c r="N36" s="135"/>
      <c r="O36" s="135"/>
      <c r="P36" s="135"/>
      <c r="Q36" s="135"/>
      <c r="R36" s="135"/>
      <c r="S36" s="135"/>
      <c r="T36" s="135"/>
      <c r="U36" s="135"/>
      <c r="V36" s="135"/>
      <c r="W36" s="135"/>
      <c r="X36" s="135"/>
      <c r="Y36" s="135"/>
      <c r="Z36" s="135">
        <v>1770.9985615860001</v>
      </c>
      <c r="AA36" s="135">
        <v>1855.8109709820001</v>
      </c>
      <c r="AB36" s="135">
        <v>2415.1636982179998</v>
      </c>
      <c r="AC36" s="135">
        <v>2837.6866223930001</v>
      </c>
      <c r="AD36" s="135">
        <v>3031.3580745290001</v>
      </c>
      <c r="AE36" s="135">
        <v>3258.605583308</v>
      </c>
      <c r="AF36" s="135">
        <v>3930.699462259</v>
      </c>
      <c r="AG36" s="135">
        <v>6176.4323263639999</v>
      </c>
      <c r="AH36" s="135">
        <v>6779.1894738139999</v>
      </c>
      <c r="AI36" s="135">
        <v>6584.8844959710004</v>
      </c>
      <c r="AJ36" s="135">
        <v>8258.0166298090007</v>
      </c>
      <c r="AK36" s="135">
        <v>12288.284543051001</v>
      </c>
      <c r="AL36" s="135">
        <v>11359.326915129001</v>
      </c>
      <c r="AM36" s="135">
        <v>11577.309555312</v>
      </c>
      <c r="AN36" s="135">
        <v>13167.690183426999</v>
      </c>
      <c r="AO36" s="135">
        <v>18864.164526076998</v>
      </c>
      <c r="AP36" s="170">
        <v>18987.675255015001</v>
      </c>
      <c r="AQ36" s="170">
        <v>19674.745908176999</v>
      </c>
      <c r="AR36" s="170">
        <v>20874.017598029001</v>
      </c>
      <c r="AS36" s="155">
        <v>23389.569670395002</v>
      </c>
      <c r="AT36" s="155">
        <v>25629.416426211999</v>
      </c>
      <c r="AU36" s="155">
        <v>27617.536973490998</v>
      </c>
      <c r="AV36" s="155">
        <v>26686.795166645999</v>
      </c>
      <c r="AW36" s="155">
        <v>35011.896908246003</v>
      </c>
      <c r="AX36" s="155">
        <v>30121.859890958</v>
      </c>
      <c r="AY36" s="155">
        <v>30910.452111817998</v>
      </c>
      <c r="AZ36" s="155">
        <v>32884.121759948997</v>
      </c>
      <c r="BA36" s="155">
        <v>37425.547622436003</v>
      </c>
      <c r="BB36" s="40">
        <v>40807.257390562998</v>
      </c>
      <c r="BC36" s="40">
        <v>44190.714249021003</v>
      </c>
      <c r="BD36" s="155">
        <v>35015.204067826999</v>
      </c>
      <c r="BE36" s="155">
        <v>51976.153923199003</v>
      </c>
      <c r="BF36" s="155">
        <v>51376.792032817997</v>
      </c>
      <c r="BG36" s="287">
        <v>48128.776434045998</v>
      </c>
      <c r="BH36" s="287">
        <v>50122.470481873999</v>
      </c>
      <c r="BI36" s="287">
        <v>44631.140049888003</v>
      </c>
      <c r="BJ36" s="287">
        <v>50183.400888124001</v>
      </c>
      <c r="BK36" s="287">
        <v>49611.451060648003</v>
      </c>
      <c r="BL36" s="287">
        <v>49825.377770911</v>
      </c>
      <c r="BM36" s="287">
        <v>51946.979209618003</v>
      </c>
      <c r="BN36" s="287">
        <v>56259.44</v>
      </c>
      <c r="BO36" s="287">
        <v>59688.208633825001</v>
      </c>
      <c r="BP36" s="287">
        <v>61074.95</v>
      </c>
      <c r="BQ36" s="287">
        <v>65774.193760868002</v>
      </c>
      <c r="BR36" s="287">
        <v>68350.202307084997</v>
      </c>
      <c r="BS36" s="287">
        <v>75933.600138862996</v>
      </c>
      <c r="BT36" s="287">
        <v>75125.383121673003</v>
      </c>
      <c r="BU36" s="287"/>
      <c r="BV36" s="139"/>
      <c r="BW36" s="139"/>
      <c r="BX36" s="139"/>
      <c r="BY36" s="139"/>
      <c r="BZ36" s="139"/>
      <c r="CA36" s="139"/>
      <c r="CB36" s="139"/>
      <c r="CC36" s="139"/>
      <c r="CD36" s="139"/>
      <c r="CE36" s="139"/>
      <c r="CF36" s="139"/>
      <c r="CG36" s="139"/>
      <c r="CH36" s="139"/>
      <c r="CI36" s="139"/>
      <c r="CJ36" s="139"/>
      <c r="CK36" s="139"/>
      <c r="CL36" s="139"/>
      <c r="CM36" s="139"/>
      <c r="CN36" s="139"/>
      <c r="CO36" s="139"/>
      <c r="CP36" s="139"/>
      <c r="CQ36" s="139"/>
      <c r="CR36" s="139"/>
      <c r="CS36" s="139"/>
      <c r="CT36" s="139"/>
      <c r="CU36" s="139"/>
      <c r="CV36" s="139"/>
      <c r="CW36" s="139"/>
      <c r="CX36" s="139"/>
      <c r="CY36" s="139"/>
      <c r="CZ36" s="139"/>
      <c r="DA36" s="139"/>
      <c r="DB36" s="139"/>
      <c r="DC36" s="139"/>
      <c r="DD36" s="139"/>
      <c r="DE36" s="139"/>
      <c r="DF36" s="139"/>
      <c r="DG36" s="139"/>
      <c r="DH36" s="139"/>
      <c r="DI36" s="139"/>
      <c r="DJ36" s="139"/>
      <c r="DK36" s="139"/>
      <c r="DL36" s="139"/>
      <c r="DM36" s="139"/>
      <c r="DN36" s="139"/>
      <c r="DO36" s="139"/>
      <c r="DP36" s="139"/>
      <c r="DQ36" s="139"/>
      <c r="DR36" s="139"/>
      <c r="DS36" s="146"/>
      <c r="DT36" s="171" t="str">
        <f>IFERROR(J36/F36-1,"")</f>
        <v/>
      </c>
      <c r="DU36" s="171" t="str">
        <f t="shared" ref="DU36:EJ51" si="65">IFERROR(K36/G36-1,"")</f>
        <v/>
      </c>
      <c r="DV36" s="171" t="str">
        <f t="shared" si="65"/>
        <v/>
      </c>
      <c r="DW36" s="171" t="str">
        <f t="shared" si="65"/>
        <v/>
      </c>
      <c r="DX36" s="171" t="str">
        <f t="shared" si="65"/>
        <v/>
      </c>
      <c r="DY36" s="171" t="str">
        <f t="shared" si="65"/>
        <v/>
      </c>
      <c r="DZ36" s="171" t="str">
        <f t="shared" si="65"/>
        <v/>
      </c>
      <c r="EA36" s="171" t="str">
        <f t="shared" si="65"/>
        <v/>
      </c>
      <c r="EB36" s="171" t="str">
        <f t="shared" si="65"/>
        <v/>
      </c>
      <c r="EC36" s="171" t="str">
        <f t="shared" si="65"/>
        <v/>
      </c>
      <c r="ED36" s="171" t="str">
        <f t="shared" si="65"/>
        <v/>
      </c>
      <c r="EE36" s="171" t="str">
        <f t="shared" si="65"/>
        <v/>
      </c>
      <c r="EF36" s="171" t="str">
        <f t="shared" si="65"/>
        <v/>
      </c>
      <c r="EG36" s="171" t="str">
        <f t="shared" si="65"/>
        <v/>
      </c>
      <c r="EH36" s="171" t="str">
        <f t="shared" si="65"/>
        <v/>
      </c>
      <c r="EI36" s="171" t="str">
        <f t="shared" si="65"/>
        <v/>
      </c>
      <c r="EJ36" s="171" t="str">
        <f t="shared" si="65"/>
        <v/>
      </c>
      <c r="EK36" s="171" t="str">
        <f t="shared" ref="EK36:EZ51" si="66">IFERROR(AA36/W36-1,"")</f>
        <v/>
      </c>
      <c r="EL36" s="171" t="str">
        <f t="shared" si="66"/>
        <v/>
      </c>
      <c r="EM36" s="171" t="str">
        <f t="shared" si="66"/>
        <v/>
      </c>
      <c r="EN36" s="171">
        <f t="shared" si="66"/>
        <v>0.71166602857898287</v>
      </c>
      <c r="EO36" s="171">
        <f t="shared" si="66"/>
        <v>0.75589304851652694</v>
      </c>
      <c r="EP36" s="171">
        <f t="shared" si="66"/>
        <v>0.62750850601109165</v>
      </c>
      <c r="EQ36" s="171">
        <f t="shared" si="66"/>
        <v>1.17657308514055</v>
      </c>
      <c r="ER36" s="171">
        <f t="shared" si="66"/>
        <v>1.2363539071072367</v>
      </c>
      <c r="ES36" s="171">
        <f t="shared" si="66"/>
        <v>1.0207675730078081</v>
      </c>
      <c r="ET36" s="171">
        <f t="shared" si="66"/>
        <v>1.10090257703474</v>
      </c>
      <c r="EU36" s="171">
        <f t="shared" si="66"/>
        <v>0.98954410794701975</v>
      </c>
      <c r="EV36" s="171">
        <f t="shared" si="66"/>
        <v>0.67561726353964802</v>
      </c>
      <c r="EW36" s="171">
        <f t="shared" si="66"/>
        <v>0.75816440856261691</v>
      </c>
      <c r="EX36" s="171">
        <f t="shared" si="66"/>
        <v>0.59453422942931922</v>
      </c>
      <c r="EY36" s="171">
        <f t="shared" si="66"/>
        <v>0.53513409133617795</v>
      </c>
      <c r="EZ36" s="171">
        <f t="shared" si="66"/>
        <v>0.67154932654734423</v>
      </c>
      <c r="FA36" s="171">
        <f t="shared" ref="FA36:FG51" si="67">IFERROR(AQ36/AM36-1,"")</f>
        <v>0.69942298028557626</v>
      </c>
      <c r="FB36" s="171">
        <f t="shared" si="67"/>
        <v>0.58524519541789277</v>
      </c>
      <c r="FC36" s="171">
        <f t="shared" si="67"/>
        <v>0.23989427880902325</v>
      </c>
      <c r="FD36" s="171">
        <f t="shared" si="67"/>
        <v>0.34979222479817751</v>
      </c>
      <c r="FE36" s="171">
        <f t="shared" si="67"/>
        <v>0.40370488657812365</v>
      </c>
      <c r="FF36" s="171">
        <f t="shared" si="67"/>
        <v>0.27846951557451316</v>
      </c>
      <c r="FG36" s="171">
        <f t="shared" si="67"/>
        <v>0.49690214063928617</v>
      </c>
      <c r="FH36" s="171">
        <f t="shared" ref="FH36:FH99" si="68">IFERROR(AX36/AT36-1,"")</f>
        <v>0.17528465689727679</v>
      </c>
      <c r="FI36" s="171">
        <f t="shared" ref="FI36:FI99" si="69">IFERROR(AY36/AU36-1,"")</f>
        <v>0.1192327592966651</v>
      </c>
      <c r="FJ36" s="171">
        <f t="shared" ref="FJ36:FK99" si="70">IFERROR(AZ36/AV36-1,"")</f>
        <v>0.23222445987252205</v>
      </c>
      <c r="FK36" s="171">
        <f t="shared" si="70"/>
        <v>6.8938016141065983E-2</v>
      </c>
    </row>
    <row r="37" spans="1:167" s="136" customFormat="1" ht="16">
      <c r="B37" s="154" t="s">
        <v>779</v>
      </c>
      <c r="C37" s="134" t="s">
        <v>360</v>
      </c>
      <c r="D37" s="135"/>
      <c r="E37" s="135"/>
      <c r="F37" s="135"/>
      <c r="G37" s="135"/>
      <c r="H37" s="135"/>
      <c r="I37" s="135"/>
      <c r="J37" s="135"/>
      <c r="K37" s="135"/>
      <c r="L37" s="135"/>
      <c r="M37" s="135"/>
      <c r="N37" s="135"/>
      <c r="O37" s="135"/>
      <c r="P37" s="135"/>
      <c r="Q37" s="135"/>
      <c r="R37" s="135"/>
      <c r="S37" s="135"/>
      <c r="T37" s="135"/>
      <c r="U37" s="135"/>
      <c r="V37" s="135"/>
      <c r="W37" s="135"/>
      <c r="X37" s="135"/>
      <c r="Y37" s="135"/>
      <c r="Z37" s="135">
        <v>172.973914667</v>
      </c>
      <c r="AA37" s="135">
        <v>303.11149009100001</v>
      </c>
      <c r="AB37" s="135">
        <v>418.555609065</v>
      </c>
      <c r="AC37" s="135">
        <v>212.92062019100001</v>
      </c>
      <c r="AD37" s="135">
        <v>234.502575458</v>
      </c>
      <c r="AE37" s="135">
        <v>395.47116096000002</v>
      </c>
      <c r="AF37" s="135">
        <v>468.56347233600002</v>
      </c>
      <c r="AG37" s="135">
        <v>343.87296870500001</v>
      </c>
      <c r="AH37" s="135">
        <v>428.43030767499999</v>
      </c>
      <c r="AI37" s="135">
        <v>596.04294267700004</v>
      </c>
      <c r="AJ37" s="135">
        <v>573.67928110900004</v>
      </c>
      <c r="AK37" s="135">
        <v>996.98346201200002</v>
      </c>
      <c r="AL37" s="135">
        <v>825.89697191200003</v>
      </c>
      <c r="AM37" s="135">
        <v>1519.0183699199999</v>
      </c>
      <c r="AN37" s="135">
        <v>2931.92155099</v>
      </c>
      <c r="AO37" s="135">
        <v>3410.9833513929998</v>
      </c>
      <c r="AP37" s="170">
        <v>2344.3579658889998</v>
      </c>
      <c r="AQ37" s="170">
        <v>2904.5994351499999</v>
      </c>
      <c r="AR37" s="170">
        <v>5069.7782307560001</v>
      </c>
      <c r="AS37" s="155">
        <v>3749.5502582119998</v>
      </c>
      <c r="AT37" s="155">
        <v>2839.1599069180002</v>
      </c>
      <c r="AU37" s="155">
        <v>3292.6590826000001</v>
      </c>
      <c r="AV37" s="155">
        <v>3697.1911477899998</v>
      </c>
      <c r="AW37" s="155">
        <v>3177.2368164680001</v>
      </c>
      <c r="AX37" s="155">
        <v>3273.3754683819998</v>
      </c>
      <c r="AY37" s="155">
        <v>2166.2280165870002</v>
      </c>
      <c r="AZ37" s="155">
        <v>2590.9652810389998</v>
      </c>
      <c r="BA37" s="155">
        <v>7347.9573979249999</v>
      </c>
      <c r="BB37" s="40">
        <v>2203.9522144970001</v>
      </c>
      <c r="BC37" s="40">
        <v>4617.7865232550002</v>
      </c>
      <c r="BD37" s="155">
        <v>3215.2159548139998</v>
      </c>
      <c r="BE37" s="155">
        <v>4943.9334601930004</v>
      </c>
      <c r="BF37" s="155">
        <v>3259.2520885580002</v>
      </c>
      <c r="BG37" s="287">
        <v>2897.8293530370001</v>
      </c>
      <c r="BH37" s="287">
        <v>7065.2428448649998</v>
      </c>
      <c r="BI37" s="287">
        <v>5061.0205474220002</v>
      </c>
      <c r="BJ37" s="287">
        <v>7065.2428448649998</v>
      </c>
      <c r="BK37" s="287">
        <v>3441.539364017</v>
      </c>
      <c r="BL37" s="287">
        <v>2351.917872085</v>
      </c>
      <c r="BM37" s="287">
        <v>5365.7048571719997</v>
      </c>
      <c r="BN37" s="287">
        <v>5570.88</v>
      </c>
      <c r="BO37" s="287">
        <v>5776.4627990360004</v>
      </c>
      <c r="BP37" s="287">
        <v>9752.34</v>
      </c>
      <c r="BQ37" s="287">
        <v>5697.3315407299997</v>
      </c>
      <c r="BR37" s="287">
        <v>2658.2181361490002</v>
      </c>
      <c r="BS37" s="287">
        <v>6030.0677484389998</v>
      </c>
      <c r="BT37" s="287">
        <v>5510.8161695279996</v>
      </c>
      <c r="BU37" s="287"/>
      <c r="BV37" s="139"/>
      <c r="BW37" s="139"/>
      <c r="BX37" s="139"/>
      <c r="BY37" s="139"/>
      <c r="BZ37" s="139"/>
      <c r="CA37" s="139"/>
      <c r="CB37" s="139"/>
      <c r="CC37" s="139"/>
      <c r="CD37" s="139"/>
      <c r="CE37" s="139"/>
      <c r="CF37" s="139"/>
      <c r="CG37" s="139"/>
      <c r="CH37" s="139"/>
      <c r="CI37" s="139"/>
      <c r="CJ37" s="139"/>
      <c r="CK37" s="139"/>
      <c r="CL37" s="139"/>
      <c r="CM37" s="139"/>
      <c r="CN37" s="139"/>
      <c r="CO37" s="139"/>
      <c r="CP37" s="139"/>
      <c r="CQ37" s="139"/>
      <c r="CR37" s="139"/>
      <c r="CS37" s="139"/>
      <c r="CT37" s="139"/>
      <c r="CU37" s="139"/>
      <c r="CV37" s="139"/>
      <c r="CW37" s="139"/>
      <c r="CX37" s="139"/>
      <c r="CY37" s="139"/>
      <c r="CZ37" s="139"/>
      <c r="DA37" s="139"/>
      <c r="DB37" s="139"/>
      <c r="DC37" s="139"/>
      <c r="DD37" s="139"/>
      <c r="DE37" s="139"/>
      <c r="DF37" s="139"/>
      <c r="DG37" s="139"/>
      <c r="DH37" s="139"/>
      <c r="DI37" s="139"/>
      <c r="DJ37" s="139"/>
      <c r="DK37" s="139"/>
      <c r="DL37" s="139"/>
      <c r="DM37" s="139"/>
      <c r="DN37" s="139"/>
      <c r="DO37" s="139"/>
      <c r="DP37" s="139"/>
      <c r="DQ37" s="139"/>
      <c r="DR37" s="139"/>
      <c r="DS37" s="146"/>
      <c r="DT37" s="171" t="str">
        <f t="shared" ref="DT37:EI66" si="71">IFERROR(J37/F37-1,"")</f>
        <v/>
      </c>
      <c r="DU37" s="171" t="str">
        <f t="shared" si="65"/>
        <v/>
      </c>
      <c r="DV37" s="171" t="str">
        <f t="shared" si="65"/>
        <v/>
      </c>
      <c r="DW37" s="171" t="str">
        <f t="shared" si="65"/>
        <v/>
      </c>
      <c r="DX37" s="171" t="str">
        <f t="shared" si="65"/>
        <v/>
      </c>
      <c r="DY37" s="171" t="str">
        <f t="shared" si="65"/>
        <v/>
      </c>
      <c r="DZ37" s="171" t="str">
        <f t="shared" si="65"/>
        <v/>
      </c>
      <c r="EA37" s="171" t="str">
        <f t="shared" si="65"/>
        <v/>
      </c>
      <c r="EB37" s="171" t="str">
        <f t="shared" si="65"/>
        <v/>
      </c>
      <c r="EC37" s="171" t="str">
        <f t="shared" si="65"/>
        <v/>
      </c>
      <c r="ED37" s="171" t="str">
        <f t="shared" si="65"/>
        <v/>
      </c>
      <c r="EE37" s="171" t="str">
        <f t="shared" si="65"/>
        <v/>
      </c>
      <c r="EF37" s="171" t="str">
        <f t="shared" si="65"/>
        <v/>
      </c>
      <c r="EG37" s="171" t="str">
        <f t="shared" si="65"/>
        <v/>
      </c>
      <c r="EH37" s="171" t="str">
        <f t="shared" si="65"/>
        <v/>
      </c>
      <c r="EI37" s="171" t="str">
        <f t="shared" si="65"/>
        <v/>
      </c>
      <c r="EJ37" s="171" t="str">
        <f t="shared" si="65"/>
        <v/>
      </c>
      <c r="EK37" s="171" t="str">
        <f t="shared" si="66"/>
        <v/>
      </c>
      <c r="EL37" s="171" t="str">
        <f t="shared" si="66"/>
        <v/>
      </c>
      <c r="EM37" s="171" t="str">
        <f t="shared" si="66"/>
        <v/>
      </c>
      <c r="EN37" s="171">
        <f t="shared" si="66"/>
        <v>0.35571063364930855</v>
      </c>
      <c r="EO37" s="171">
        <f t="shared" si="66"/>
        <v>0.30470527805221703</v>
      </c>
      <c r="EP37" s="171">
        <f t="shared" si="66"/>
        <v>0.11947722641374048</v>
      </c>
      <c r="EQ37" s="171">
        <f t="shared" si="66"/>
        <v>0.61502896429913378</v>
      </c>
      <c r="ER37" s="171">
        <f t="shared" si="66"/>
        <v>0.82697485022603923</v>
      </c>
      <c r="ES37" s="171">
        <f t="shared" si="66"/>
        <v>0.5071717018002404</v>
      </c>
      <c r="ET37" s="171">
        <f t="shared" si="66"/>
        <v>0.22433632790228053</v>
      </c>
      <c r="EU37" s="171">
        <f t="shared" si="66"/>
        <v>1.8992783752865643</v>
      </c>
      <c r="EV37" s="171">
        <f t="shared" si="66"/>
        <v>0.92772770067077404</v>
      </c>
      <c r="EW37" s="171">
        <f t="shared" si="66"/>
        <v>1.5485049166049216</v>
      </c>
      <c r="EX37" s="171">
        <f t="shared" si="66"/>
        <v>4.1107328563830947</v>
      </c>
      <c r="EY37" s="171">
        <f t="shared" si="66"/>
        <v>2.4213038444081474</v>
      </c>
      <c r="EZ37" s="171">
        <f t="shared" si="66"/>
        <v>1.8385598272163093</v>
      </c>
      <c r="FA37" s="171">
        <f t="shared" si="67"/>
        <v>0.91215556879866599</v>
      </c>
      <c r="FB37" s="171">
        <f t="shared" si="67"/>
        <v>0.72916571694905197</v>
      </c>
      <c r="FC37" s="171">
        <f t="shared" si="67"/>
        <v>9.9257859666988413E-2</v>
      </c>
      <c r="FD37" s="171">
        <f t="shared" si="67"/>
        <v>0.211060745939184</v>
      </c>
      <c r="FE37" s="171">
        <f t="shared" si="67"/>
        <v>0.13360177749602853</v>
      </c>
      <c r="FF37" s="171">
        <f t="shared" si="67"/>
        <v>-0.27073907782378903</v>
      </c>
      <c r="FG37" s="171">
        <f t="shared" si="67"/>
        <v>-0.15263522351528935</v>
      </c>
      <c r="FH37" s="171">
        <f t="shared" si="68"/>
        <v>0.15293804354096929</v>
      </c>
      <c r="FI37" s="171">
        <f t="shared" si="69"/>
        <v>-0.34210376408708854</v>
      </c>
      <c r="FJ37" s="171">
        <f t="shared" si="70"/>
        <v>-0.29920710683629326</v>
      </c>
      <c r="FK37" s="171">
        <f t="shared" si="70"/>
        <v>1.3126879809020386</v>
      </c>
    </row>
    <row r="38" spans="1:167" s="136" customFormat="1" ht="16">
      <c r="B38" s="154" t="s">
        <v>780</v>
      </c>
      <c r="C38" s="134" t="s">
        <v>781</v>
      </c>
      <c r="D38" s="135"/>
      <c r="E38" s="135"/>
      <c r="F38" s="135"/>
      <c r="G38" s="135"/>
      <c r="H38" s="135"/>
      <c r="I38" s="135"/>
      <c r="J38" s="135"/>
      <c r="K38" s="135"/>
      <c r="L38" s="135"/>
      <c r="M38" s="135"/>
      <c r="N38" s="135"/>
      <c r="O38" s="135"/>
      <c r="P38" s="135"/>
      <c r="Q38" s="135"/>
      <c r="R38" s="135"/>
      <c r="S38" s="135"/>
      <c r="T38" s="135"/>
      <c r="U38" s="135"/>
      <c r="V38" s="135"/>
      <c r="W38" s="135"/>
      <c r="X38" s="135"/>
      <c r="Y38" s="135"/>
      <c r="Z38" s="135">
        <v>142.925914667</v>
      </c>
      <c r="AA38" s="135">
        <v>147.253490091</v>
      </c>
      <c r="AB38" s="135">
        <v>144.834609065</v>
      </c>
      <c r="AC38" s="135">
        <v>210.211076663</v>
      </c>
      <c r="AD38" s="135">
        <v>231.75562245699999</v>
      </c>
      <c r="AE38" s="135">
        <v>393.53434402699997</v>
      </c>
      <c r="AF38" s="135">
        <v>466.60469265900002</v>
      </c>
      <c r="AG38" s="135">
        <v>341.11172675099999</v>
      </c>
      <c r="AH38" s="135">
        <v>425.646339388</v>
      </c>
      <c r="AI38" s="135">
        <v>593.22283360200004</v>
      </c>
      <c r="AJ38" s="135">
        <v>570.83616401200004</v>
      </c>
      <c r="AK38" s="135">
        <v>994.084241883</v>
      </c>
      <c r="AL38" s="135">
        <v>822.757883601</v>
      </c>
      <c r="AM38" s="135">
        <v>949.91656011999999</v>
      </c>
      <c r="AN38" s="135">
        <v>1549.8140120370001</v>
      </c>
      <c r="AO38" s="135">
        <v>2189.863295952</v>
      </c>
      <c r="AP38" s="170">
        <v>1393.3317055059999</v>
      </c>
      <c r="AQ38" s="170">
        <v>2059.2210307250002</v>
      </c>
      <c r="AR38" s="170">
        <v>2584.4482307560002</v>
      </c>
      <c r="AS38" s="155">
        <v>3363.7172769540002</v>
      </c>
      <c r="AT38" s="155">
        <v>2791.1599069180002</v>
      </c>
      <c r="AU38" s="155">
        <v>2942.6590826000001</v>
      </c>
      <c r="AV38" s="155">
        <v>2671.770369327</v>
      </c>
      <c r="AW38" s="155">
        <v>2024.347938868</v>
      </c>
      <c r="AX38" s="155">
        <v>3047.5002702920001</v>
      </c>
      <c r="AY38" s="155">
        <v>2117.2416290420001</v>
      </c>
      <c r="AZ38" s="155">
        <v>2531.477281039</v>
      </c>
      <c r="BA38" s="155">
        <v>2243.3744661740002</v>
      </c>
      <c r="BB38" s="40">
        <v>2059.947172526</v>
      </c>
      <c r="BC38" s="40">
        <v>3663.5736766790001</v>
      </c>
      <c r="BD38" s="155">
        <v>1839.361622984</v>
      </c>
      <c r="BE38" s="155">
        <v>2606.672264502</v>
      </c>
      <c r="BF38" s="155">
        <v>3249.2468878680002</v>
      </c>
      <c r="BG38" s="287">
        <v>2837.8293530370001</v>
      </c>
      <c r="BH38" s="287">
        <v>5495.7021954869997</v>
      </c>
      <c r="BI38" s="287">
        <v>3846.0205474220002</v>
      </c>
      <c r="BJ38" s="287">
        <v>5495.7021954869997</v>
      </c>
      <c r="BK38" s="287">
        <v>3091.539364017</v>
      </c>
      <c r="BL38" s="287">
        <v>2351.917872085</v>
      </c>
      <c r="BM38" s="287">
        <v>4795.6365832219999</v>
      </c>
      <c r="BN38" s="287">
        <v>5103.7299999999996</v>
      </c>
      <c r="BO38" s="287">
        <v>4564.6463015529998</v>
      </c>
      <c r="BP38" s="287">
        <v>3283.84</v>
      </c>
      <c r="BQ38" s="287">
        <v>4697.3315407299997</v>
      </c>
      <c r="BR38" s="287">
        <v>2658.2181361490002</v>
      </c>
      <c r="BS38" s="287">
        <v>5730.0677484389998</v>
      </c>
      <c r="BT38" s="287">
        <v>5510.8161695279996</v>
      </c>
      <c r="BU38" s="287"/>
      <c r="BV38" s="139"/>
      <c r="BW38" s="139"/>
      <c r="BX38" s="139"/>
      <c r="BY38" s="139"/>
      <c r="BZ38" s="139"/>
      <c r="CA38" s="139"/>
      <c r="CB38" s="139"/>
      <c r="CC38" s="139"/>
      <c r="CD38" s="139"/>
      <c r="CE38" s="139"/>
      <c r="CF38" s="139"/>
      <c r="CG38" s="139"/>
      <c r="CH38" s="139"/>
      <c r="CI38" s="139"/>
      <c r="CJ38" s="139"/>
      <c r="CK38" s="139"/>
      <c r="CL38" s="139"/>
      <c r="CM38" s="139"/>
      <c r="CN38" s="139"/>
      <c r="CO38" s="139"/>
      <c r="CP38" s="139"/>
      <c r="CQ38" s="139"/>
      <c r="CR38" s="139"/>
      <c r="CS38" s="139"/>
      <c r="CT38" s="139"/>
      <c r="CU38" s="139"/>
      <c r="CV38" s="139"/>
      <c r="CW38" s="139"/>
      <c r="CX38" s="139"/>
      <c r="CY38" s="139"/>
      <c r="CZ38" s="139"/>
      <c r="DA38" s="139"/>
      <c r="DB38" s="139"/>
      <c r="DC38" s="139"/>
      <c r="DD38" s="139"/>
      <c r="DE38" s="139"/>
      <c r="DF38" s="139"/>
      <c r="DG38" s="139"/>
      <c r="DH38" s="139"/>
      <c r="DI38" s="139"/>
      <c r="DJ38" s="139"/>
      <c r="DK38" s="139"/>
      <c r="DL38" s="139"/>
      <c r="DM38" s="139"/>
      <c r="DN38" s="139"/>
      <c r="DO38" s="139"/>
      <c r="DP38" s="139"/>
      <c r="DQ38" s="139"/>
      <c r="DR38" s="139"/>
      <c r="DS38" s="146"/>
      <c r="DT38" s="171" t="str">
        <f t="shared" si="71"/>
        <v/>
      </c>
      <c r="DU38" s="171" t="str">
        <f t="shared" si="65"/>
        <v/>
      </c>
      <c r="DV38" s="171" t="str">
        <f t="shared" si="65"/>
        <v/>
      </c>
      <c r="DW38" s="171" t="str">
        <f t="shared" si="65"/>
        <v/>
      </c>
      <c r="DX38" s="171" t="str">
        <f t="shared" si="65"/>
        <v/>
      </c>
      <c r="DY38" s="171" t="str">
        <f t="shared" si="65"/>
        <v/>
      </c>
      <c r="DZ38" s="171" t="str">
        <f t="shared" si="65"/>
        <v/>
      </c>
      <c r="EA38" s="171" t="str">
        <f t="shared" si="65"/>
        <v/>
      </c>
      <c r="EB38" s="171" t="str">
        <f t="shared" si="65"/>
        <v/>
      </c>
      <c r="EC38" s="171" t="str">
        <f t="shared" si="65"/>
        <v/>
      </c>
      <c r="ED38" s="171" t="str">
        <f t="shared" si="65"/>
        <v/>
      </c>
      <c r="EE38" s="171" t="str">
        <f t="shared" si="65"/>
        <v/>
      </c>
      <c r="EF38" s="171" t="str">
        <f t="shared" si="65"/>
        <v/>
      </c>
      <c r="EG38" s="171" t="str">
        <f t="shared" si="65"/>
        <v/>
      </c>
      <c r="EH38" s="171" t="str">
        <f t="shared" si="65"/>
        <v/>
      </c>
      <c r="EI38" s="171" t="str">
        <f t="shared" si="65"/>
        <v/>
      </c>
      <c r="EJ38" s="171" t="str">
        <f t="shared" si="65"/>
        <v/>
      </c>
      <c r="EK38" s="171" t="str">
        <f t="shared" si="66"/>
        <v/>
      </c>
      <c r="EL38" s="171" t="str">
        <f t="shared" si="66"/>
        <v/>
      </c>
      <c r="EM38" s="171" t="str">
        <f t="shared" si="66"/>
        <v/>
      </c>
      <c r="EN38" s="171">
        <f t="shared" si="66"/>
        <v>0.62150875855482468</v>
      </c>
      <c r="EO38" s="171">
        <f t="shared" si="66"/>
        <v>1.67249586942763</v>
      </c>
      <c r="EP38" s="171">
        <f t="shared" si="66"/>
        <v>2.2216380854771636</v>
      </c>
      <c r="EQ38" s="171">
        <f t="shared" si="66"/>
        <v>0.6227105258485186</v>
      </c>
      <c r="ER38" s="171">
        <f t="shared" si="66"/>
        <v>0.83661710070043527</v>
      </c>
      <c r="ES38" s="171">
        <f t="shared" si="66"/>
        <v>0.50742328491995514</v>
      </c>
      <c r="ET38" s="171">
        <f t="shared" si="66"/>
        <v>0.22338281846036545</v>
      </c>
      <c r="EU38" s="171">
        <f t="shared" si="66"/>
        <v>1.914248218175882</v>
      </c>
      <c r="EV38" s="171">
        <f t="shared" si="66"/>
        <v>0.93296125789304862</v>
      </c>
      <c r="EW38" s="171">
        <f t="shared" si="66"/>
        <v>0.60128118189953184</v>
      </c>
      <c r="EX38" s="171">
        <f t="shared" si="66"/>
        <v>1.7149891855912971</v>
      </c>
      <c r="EY38" s="171">
        <f t="shared" si="66"/>
        <v>1.2028950904643136</v>
      </c>
      <c r="EZ38" s="171">
        <f t="shared" si="66"/>
        <v>0.69348934027559217</v>
      </c>
      <c r="FA38" s="171">
        <f t="shared" si="67"/>
        <v>1.167791485248836</v>
      </c>
      <c r="FB38" s="171">
        <f t="shared" si="67"/>
        <v>0.66758605270262539</v>
      </c>
      <c r="FC38" s="171">
        <f t="shared" si="67"/>
        <v>0.53603984466605259</v>
      </c>
      <c r="FD38" s="171">
        <f t="shared" si="67"/>
        <v>1.0032271539420452</v>
      </c>
      <c r="FE38" s="171">
        <f t="shared" si="67"/>
        <v>0.42901565140093956</v>
      </c>
      <c r="FF38" s="171">
        <f t="shared" si="67"/>
        <v>3.3787536361467918E-2</v>
      </c>
      <c r="FG38" s="171">
        <f t="shared" si="67"/>
        <v>-0.39818130592082945</v>
      </c>
      <c r="FH38" s="171">
        <f t="shared" si="68"/>
        <v>9.1840085098188196E-2</v>
      </c>
      <c r="FI38" s="171">
        <f t="shared" si="69"/>
        <v>-0.28050053723134605</v>
      </c>
      <c r="FJ38" s="171">
        <f t="shared" si="70"/>
        <v>-5.2509410950365099E-2</v>
      </c>
      <c r="FK38" s="171">
        <f t="shared" si="70"/>
        <v>0.10819608778739798</v>
      </c>
    </row>
    <row r="39" spans="1:167" ht="16">
      <c r="B39" s="140" t="s">
        <v>782</v>
      </c>
      <c r="C39" s="127" t="s">
        <v>783</v>
      </c>
      <c r="D39" s="128"/>
      <c r="E39" s="128"/>
      <c r="F39" s="128"/>
      <c r="G39" s="128"/>
      <c r="H39" s="128"/>
      <c r="I39" s="128"/>
      <c r="J39" s="128"/>
      <c r="K39" s="128"/>
      <c r="L39" s="128"/>
      <c r="M39" s="128"/>
      <c r="N39" s="128"/>
      <c r="O39" s="128"/>
      <c r="P39" s="128"/>
      <c r="Q39" s="128"/>
      <c r="R39" s="128"/>
      <c r="S39" s="128"/>
      <c r="T39" s="128"/>
      <c r="U39" s="128"/>
      <c r="V39" s="128"/>
      <c r="W39" s="128"/>
      <c r="X39" s="128"/>
      <c r="Y39" s="128"/>
      <c r="Z39" s="128">
        <v>30.047999999999998</v>
      </c>
      <c r="AA39" s="128">
        <v>155.858</v>
      </c>
      <c r="AB39" s="128">
        <v>273.721</v>
      </c>
      <c r="AC39" s="128">
        <v>2.7095435280000002</v>
      </c>
      <c r="AD39" s="128">
        <v>2.7469530010000001</v>
      </c>
      <c r="AE39" s="128">
        <v>1.936816933</v>
      </c>
      <c r="AF39" s="128">
        <v>1.9587796770000001</v>
      </c>
      <c r="AG39" s="128">
        <v>2.7612419539999999</v>
      </c>
      <c r="AH39" s="128">
        <v>2.783968287</v>
      </c>
      <c r="AI39" s="128">
        <v>2.820109075</v>
      </c>
      <c r="AJ39" s="128">
        <v>2.8431170969999999</v>
      </c>
      <c r="AK39" s="128">
        <v>2.8992201290000001</v>
      </c>
      <c r="AL39" s="128">
        <v>3.1390883110000001</v>
      </c>
      <c r="AM39" s="128">
        <v>569.10180979999996</v>
      </c>
      <c r="AN39" s="128">
        <v>1382.1075389529999</v>
      </c>
      <c r="AO39" s="128">
        <v>1221.120055441</v>
      </c>
      <c r="AP39" s="173">
        <v>951.02626038300002</v>
      </c>
      <c r="AQ39" s="173">
        <v>845.37840442499999</v>
      </c>
      <c r="AR39" s="173">
        <v>2485.33</v>
      </c>
      <c r="AS39" s="288">
        <v>385.83298125800002</v>
      </c>
      <c r="AT39" s="288">
        <v>48</v>
      </c>
      <c r="AU39" s="288">
        <v>350</v>
      </c>
      <c r="AV39" s="288">
        <v>1025.420778463</v>
      </c>
      <c r="AW39" s="158">
        <v>1152.8888775999999</v>
      </c>
      <c r="AX39" s="158">
        <v>225.87519809</v>
      </c>
      <c r="AY39" s="158">
        <v>48.986387544999999</v>
      </c>
      <c r="AZ39" s="158">
        <v>59.488</v>
      </c>
      <c r="BA39" s="158">
        <v>5104.5829317509997</v>
      </c>
      <c r="BB39" s="41">
        <v>144.005041971</v>
      </c>
      <c r="BC39" s="41">
        <v>954.21284657599995</v>
      </c>
      <c r="BD39" s="158">
        <v>1375.8543318300001</v>
      </c>
      <c r="BE39" s="158">
        <v>2337.261195691</v>
      </c>
      <c r="BF39" s="288">
        <v>10.005200690000001</v>
      </c>
      <c r="BG39" s="289">
        <v>60</v>
      </c>
      <c r="BH39" s="289">
        <v>1569.5406493779999</v>
      </c>
      <c r="BI39" s="289">
        <v>1215</v>
      </c>
      <c r="BJ39" s="289">
        <v>1569.5406493779999</v>
      </c>
      <c r="BK39" s="289">
        <v>350</v>
      </c>
      <c r="BL39" s="289">
        <v>0</v>
      </c>
      <c r="BM39" s="289">
        <v>570.06827395000005</v>
      </c>
      <c r="BN39" s="289">
        <v>467.14</v>
      </c>
      <c r="BO39" s="289">
        <v>1211.8164974829999</v>
      </c>
      <c r="BP39" s="289">
        <v>6468.5</v>
      </c>
      <c r="BQ39" s="289">
        <v>1000</v>
      </c>
      <c r="BR39" s="289">
        <v>0</v>
      </c>
      <c r="BS39" s="289">
        <v>300</v>
      </c>
      <c r="BT39" s="289">
        <v>0</v>
      </c>
      <c r="BU39" s="289"/>
      <c r="BV39" s="142"/>
      <c r="BW39" s="142"/>
      <c r="BX39" s="142"/>
      <c r="BY39" s="142"/>
      <c r="BZ39" s="142"/>
      <c r="CA39" s="142"/>
      <c r="CB39" s="142"/>
      <c r="CC39" s="142"/>
      <c r="CD39" s="142"/>
      <c r="CE39" s="142"/>
      <c r="CF39" s="142"/>
      <c r="CG39" s="142"/>
      <c r="CH39" s="142"/>
      <c r="CI39" s="142"/>
      <c r="CJ39" s="142"/>
      <c r="CK39" s="142"/>
      <c r="CL39" s="142"/>
      <c r="CM39" s="142"/>
      <c r="CN39" s="142"/>
      <c r="CO39" s="142"/>
      <c r="CP39" s="142"/>
      <c r="CQ39" s="142"/>
      <c r="CR39" s="142"/>
      <c r="CS39" s="142"/>
      <c r="CT39" s="142"/>
      <c r="CU39" s="142"/>
      <c r="CV39" s="142"/>
      <c r="CW39" s="142"/>
      <c r="CX39" s="142"/>
      <c r="CY39" s="142"/>
      <c r="CZ39" s="142"/>
      <c r="DA39" s="142"/>
      <c r="DB39" s="142"/>
      <c r="DC39" s="142"/>
      <c r="DD39" s="142"/>
      <c r="DE39" s="142"/>
      <c r="DF39" s="142"/>
      <c r="DG39" s="142"/>
      <c r="DH39" s="142"/>
      <c r="DI39" s="142"/>
      <c r="DJ39" s="142"/>
      <c r="DK39" s="142"/>
      <c r="DL39" s="142"/>
      <c r="DM39" s="142"/>
      <c r="DN39" s="142"/>
      <c r="DO39" s="142"/>
      <c r="DP39" s="142"/>
      <c r="DQ39" s="142"/>
      <c r="DR39" s="142"/>
      <c r="DS39" s="133"/>
      <c r="DT39" s="174" t="str">
        <f t="shared" si="71"/>
        <v/>
      </c>
      <c r="DU39" s="174" t="str">
        <f t="shared" si="65"/>
        <v/>
      </c>
      <c r="DV39" s="174" t="str">
        <f t="shared" si="65"/>
        <v/>
      </c>
      <c r="DW39" s="174" t="str">
        <f t="shared" si="65"/>
        <v/>
      </c>
      <c r="DX39" s="174" t="str">
        <f t="shared" si="65"/>
        <v/>
      </c>
      <c r="DY39" s="174" t="str">
        <f t="shared" si="65"/>
        <v/>
      </c>
      <c r="DZ39" s="174" t="str">
        <f t="shared" si="65"/>
        <v/>
      </c>
      <c r="EA39" s="174" t="str">
        <f t="shared" si="65"/>
        <v/>
      </c>
      <c r="EB39" s="174" t="str">
        <f t="shared" si="65"/>
        <v/>
      </c>
      <c r="EC39" s="174" t="str">
        <f t="shared" si="65"/>
        <v/>
      </c>
      <c r="ED39" s="174" t="str">
        <f t="shared" si="65"/>
        <v/>
      </c>
      <c r="EE39" s="174" t="str">
        <f t="shared" si="65"/>
        <v/>
      </c>
      <c r="EF39" s="174" t="str">
        <f t="shared" si="65"/>
        <v/>
      </c>
      <c r="EG39" s="174" t="str">
        <f t="shared" si="65"/>
        <v/>
      </c>
      <c r="EH39" s="174" t="str">
        <f t="shared" si="65"/>
        <v/>
      </c>
      <c r="EI39" s="174" t="str">
        <f t="shared" si="65"/>
        <v/>
      </c>
      <c r="EJ39" s="174" t="str">
        <f t="shared" si="65"/>
        <v/>
      </c>
      <c r="EK39" s="174" t="str">
        <f t="shared" si="66"/>
        <v/>
      </c>
      <c r="EL39" s="174" t="str">
        <f t="shared" si="66"/>
        <v/>
      </c>
      <c r="EM39" s="174" t="str">
        <f t="shared" si="66"/>
        <v/>
      </c>
      <c r="EN39" s="174">
        <f t="shared" si="66"/>
        <v>-0.90858117009451544</v>
      </c>
      <c r="EO39" s="174">
        <f t="shared" si="66"/>
        <v>-0.98757319526107101</v>
      </c>
      <c r="EP39" s="174">
        <f t="shared" si="66"/>
        <v>-0.99284388235831378</v>
      </c>
      <c r="EQ39" s="174">
        <f t="shared" si="66"/>
        <v>1.9080123816338945E-2</v>
      </c>
      <c r="ER39" s="174">
        <f t="shared" si="66"/>
        <v>1.3475034333141123E-2</v>
      </c>
      <c r="ES39" s="174">
        <f t="shared" si="66"/>
        <v>0.45605350043684267</v>
      </c>
      <c r="ET39" s="174">
        <f t="shared" si="66"/>
        <v>0.45147365494133607</v>
      </c>
      <c r="EU39" s="174">
        <f t="shared" si="66"/>
        <v>4.9969606901025809E-2</v>
      </c>
      <c r="EV39" s="174">
        <f t="shared" si="66"/>
        <v>0.12755893292975573</v>
      </c>
      <c r="EW39" s="174">
        <f t="shared" si="66"/>
        <v>200.80134692130656</v>
      </c>
      <c r="EX39" s="174">
        <f t="shared" si="66"/>
        <v>485.12402929565303</v>
      </c>
      <c r="EY39" s="174">
        <f t="shared" si="66"/>
        <v>420.18914780789311</v>
      </c>
      <c r="EZ39" s="174">
        <f t="shared" si="66"/>
        <v>301.96256943470235</v>
      </c>
      <c r="FA39" s="174">
        <f t="shared" si="67"/>
        <v>0.48546075564597513</v>
      </c>
      <c r="FB39" s="174">
        <f t="shared" si="67"/>
        <v>0.79821752646160515</v>
      </c>
      <c r="FC39" s="174">
        <f t="shared" si="67"/>
        <v>-0.68403353991376481</v>
      </c>
      <c r="FD39" s="174">
        <f t="shared" si="67"/>
        <v>-0.94952820758002066</v>
      </c>
      <c r="FE39" s="174">
        <f t="shared" si="67"/>
        <v>-0.58598421941230083</v>
      </c>
      <c r="FF39" s="174">
        <f t="shared" si="67"/>
        <v>-0.58741061409832895</v>
      </c>
      <c r="FG39" s="174">
        <f t="shared" si="67"/>
        <v>1.9880516534409032</v>
      </c>
      <c r="FH39" s="174">
        <f t="shared" si="68"/>
        <v>3.7057332935416669</v>
      </c>
      <c r="FI39" s="174">
        <f t="shared" si="69"/>
        <v>-0.86003889272857137</v>
      </c>
      <c r="FJ39" s="174">
        <f t="shared" si="70"/>
        <v>-0.94198674217508405</v>
      </c>
      <c r="FK39" s="174">
        <f t="shared" si="70"/>
        <v>3.4276452231695984</v>
      </c>
    </row>
    <row r="40" spans="1:167" ht="16">
      <c r="B40" s="140" t="s">
        <v>784</v>
      </c>
      <c r="C40" s="127" t="s">
        <v>785</v>
      </c>
      <c r="D40" s="128"/>
      <c r="E40" s="128"/>
      <c r="F40" s="128"/>
      <c r="G40" s="128"/>
      <c r="H40" s="128"/>
      <c r="I40" s="128"/>
      <c r="J40" s="128"/>
      <c r="K40" s="128"/>
      <c r="L40" s="128"/>
      <c r="M40" s="128"/>
      <c r="N40" s="128"/>
      <c r="O40" s="128"/>
      <c r="P40" s="128"/>
      <c r="Q40" s="128"/>
      <c r="R40" s="128"/>
      <c r="S40" s="128"/>
      <c r="T40" s="128"/>
      <c r="U40" s="128"/>
      <c r="V40" s="128"/>
      <c r="W40" s="128"/>
      <c r="X40" s="128"/>
      <c r="Y40" s="128"/>
      <c r="Z40" s="128">
        <v>0</v>
      </c>
      <c r="AA40" s="128">
        <v>0</v>
      </c>
      <c r="AB40" s="128">
        <v>0</v>
      </c>
      <c r="AC40" s="128">
        <v>0</v>
      </c>
      <c r="AD40" s="128">
        <v>0</v>
      </c>
      <c r="AE40" s="128">
        <v>0</v>
      </c>
      <c r="AF40" s="128">
        <v>0</v>
      </c>
      <c r="AG40" s="128">
        <v>0</v>
      </c>
      <c r="AH40" s="128">
        <v>0</v>
      </c>
      <c r="AI40" s="128">
        <v>0</v>
      </c>
      <c r="AJ40" s="128">
        <v>0</v>
      </c>
      <c r="AK40" s="128">
        <v>0</v>
      </c>
      <c r="AL40" s="128">
        <v>0</v>
      </c>
      <c r="AM40" s="128">
        <v>0</v>
      </c>
      <c r="AN40" s="128">
        <v>0</v>
      </c>
      <c r="AO40" s="128">
        <v>0</v>
      </c>
      <c r="AP40" s="173">
        <v>2.5674999999999999</v>
      </c>
      <c r="AQ40" s="173">
        <v>663.00215384399996</v>
      </c>
      <c r="AR40" s="173">
        <v>659.85110543200005</v>
      </c>
      <c r="AS40" s="288">
        <v>50.922451739000003</v>
      </c>
      <c r="AT40" s="288">
        <v>3830</v>
      </c>
      <c r="AU40" s="288">
        <v>6133.4</v>
      </c>
      <c r="AV40" s="288">
        <v>4275.3999999999996</v>
      </c>
      <c r="AW40" s="158">
        <v>3075</v>
      </c>
      <c r="AX40" s="158">
        <v>3800</v>
      </c>
      <c r="AY40" s="158">
        <v>8712.4</v>
      </c>
      <c r="AZ40" s="158">
        <v>10598.354547946001</v>
      </c>
      <c r="BA40" s="158">
        <v>8057.3188219180001</v>
      </c>
      <c r="BB40" s="41">
        <v>12622.967473973</v>
      </c>
      <c r="BC40" s="41">
        <v>13524.445343145</v>
      </c>
      <c r="BD40" s="158">
        <v>6814.2808062410004</v>
      </c>
      <c r="BE40" s="158">
        <v>13434.708637068999</v>
      </c>
      <c r="BF40" s="288">
        <v>11699.727339355</v>
      </c>
      <c r="BG40" s="289">
        <v>12320.647805155</v>
      </c>
      <c r="BH40" s="289">
        <v>8846.2330861230002</v>
      </c>
      <c r="BI40" s="289">
        <v>10059.049605640001</v>
      </c>
      <c r="BJ40" s="289">
        <v>8846.2330861230002</v>
      </c>
      <c r="BK40" s="289">
        <v>20978.938278067999</v>
      </c>
      <c r="BL40" s="289">
        <v>20901.865637221999</v>
      </c>
      <c r="BM40" s="289">
        <v>18937.008073822999</v>
      </c>
      <c r="BN40" s="289">
        <v>24673.24</v>
      </c>
      <c r="BO40" s="289">
        <v>25180.620627699998</v>
      </c>
      <c r="BP40" s="289">
        <v>21548.92</v>
      </c>
      <c r="BQ40" s="289">
        <v>28524.44175632</v>
      </c>
      <c r="BR40" s="289">
        <v>32390.51501562</v>
      </c>
      <c r="BS40" s="289">
        <v>34303.249939745001</v>
      </c>
      <c r="BT40" s="289">
        <v>33436.260988198999</v>
      </c>
      <c r="BU40" s="289"/>
      <c r="BV40" s="142"/>
      <c r="BW40" s="142"/>
      <c r="BX40" s="142"/>
      <c r="BY40" s="142"/>
      <c r="BZ40" s="142"/>
      <c r="CA40" s="142"/>
      <c r="CB40" s="142"/>
      <c r="CC40" s="142"/>
      <c r="CD40" s="142"/>
      <c r="CE40" s="142"/>
      <c r="CF40" s="142"/>
      <c r="CG40" s="142"/>
      <c r="CH40" s="142"/>
      <c r="CI40" s="142"/>
      <c r="CJ40" s="142"/>
      <c r="CK40" s="142"/>
      <c r="CL40" s="142"/>
      <c r="CM40" s="142"/>
      <c r="CN40" s="142"/>
      <c r="CO40" s="142"/>
      <c r="CP40" s="142"/>
      <c r="CQ40" s="142"/>
      <c r="CR40" s="142"/>
      <c r="CS40" s="142"/>
      <c r="CT40" s="142"/>
      <c r="CU40" s="142"/>
      <c r="CV40" s="142"/>
      <c r="CW40" s="142"/>
      <c r="CX40" s="142"/>
      <c r="CY40" s="142"/>
      <c r="CZ40" s="142"/>
      <c r="DA40" s="142"/>
      <c r="DB40" s="142"/>
      <c r="DC40" s="142"/>
      <c r="DD40" s="142"/>
      <c r="DE40" s="142"/>
      <c r="DF40" s="142"/>
      <c r="DG40" s="142"/>
      <c r="DH40" s="142"/>
      <c r="DI40" s="142"/>
      <c r="DJ40" s="142"/>
      <c r="DK40" s="142"/>
      <c r="DL40" s="142"/>
      <c r="DM40" s="142"/>
      <c r="DN40" s="142"/>
      <c r="DO40" s="142"/>
      <c r="DP40" s="142"/>
      <c r="DQ40" s="142"/>
      <c r="DR40" s="142"/>
      <c r="DS40" s="133"/>
      <c r="DT40" s="174" t="str">
        <f t="shared" si="71"/>
        <v/>
      </c>
      <c r="DU40" s="174" t="str">
        <f t="shared" si="65"/>
        <v/>
      </c>
      <c r="DV40" s="174" t="str">
        <f t="shared" si="65"/>
        <v/>
      </c>
      <c r="DW40" s="174" t="str">
        <f t="shared" si="65"/>
        <v/>
      </c>
      <c r="DX40" s="174" t="str">
        <f t="shared" si="65"/>
        <v/>
      </c>
      <c r="DY40" s="174" t="str">
        <f t="shared" si="65"/>
        <v/>
      </c>
      <c r="DZ40" s="174" t="str">
        <f t="shared" si="65"/>
        <v/>
      </c>
      <c r="EA40" s="174" t="str">
        <f t="shared" si="65"/>
        <v/>
      </c>
      <c r="EB40" s="174" t="str">
        <f t="shared" si="65"/>
        <v/>
      </c>
      <c r="EC40" s="174" t="str">
        <f t="shared" si="65"/>
        <v/>
      </c>
      <c r="ED40" s="174" t="str">
        <f t="shared" si="65"/>
        <v/>
      </c>
      <c r="EE40" s="174" t="str">
        <f t="shared" si="65"/>
        <v/>
      </c>
      <c r="EF40" s="174" t="str">
        <f t="shared" si="65"/>
        <v/>
      </c>
      <c r="EG40" s="174" t="str">
        <f t="shared" si="65"/>
        <v/>
      </c>
      <c r="EH40" s="174" t="str">
        <f t="shared" si="65"/>
        <v/>
      </c>
      <c r="EI40" s="174" t="str">
        <f t="shared" si="65"/>
        <v/>
      </c>
      <c r="EJ40" s="174" t="str">
        <f t="shared" si="65"/>
        <v/>
      </c>
      <c r="EK40" s="174" t="str">
        <f t="shared" si="66"/>
        <v/>
      </c>
      <c r="EL40" s="174" t="str">
        <f t="shared" si="66"/>
        <v/>
      </c>
      <c r="EM40" s="174" t="str">
        <f t="shared" si="66"/>
        <v/>
      </c>
      <c r="EN40" s="174" t="str">
        <f t="shared" si="66"/>
        <v/>
      </c>
      <c r="EO40" s="174" t="str">
        <f t="shared" si="66"/>
        <v/>
      </c>
      <c r="EP40" s="174" t="str">
        <f t="shared" si="66"/>
        <v/>
      </c>
      <c r="EQ40" s="174" t="str">
        <f t="shared" si="66"/>
        <v/>
      </c>
      <c r="ER40" s="174" t="str">
        <f t="shared" si="66"/>
        <v/>
      </c>
      <c r="ES40" s="174" t="str">
        <f t="shared" si="66"/>
        <v/>
      </c>
      <c r="ET40" s="174" t="str">
        <f t="shared" si="66"/>
        <v/>
      </c>
      <c r="EU40" s="174" t="str">
        <f t="shared" si="66"/>
        <v/>
      </c>
      <c r="EV40" s="174" t="str">
        <f t="shared" si="66"/>
        <v/>
      </c>
      <c r="EW40" s="174" t="str">
        <f t="shared" si="66"/>
        <v/>
      </c>
      <c r="EX40" s="174" t="str">
        <f t="shared" si="66"/>
        <v/>
      </c>
      <c r="EY40" s="174" t="str">
        <f t="shared" si="66"/>
        <v/>
      </c>
      <c r="EZ40" s="174" t="str">
        <f t="shared" si="66"/>
        <v/>
      </c>
      <c r="FA40" s="174" t="str">
        <f t="shared" si="67"/>
        <v/>
      </c>
      <c r="FB40" s="174" t="str">
        <f t="shared" si="67"/>
        <v/>
      </c>
      <c r="FC40" s="174" t="str">
        <f t="shared" si="67"/>
        <v/>
      </c>
      <c r="FD40" s="174">
        <f t="shared" si="67"/>
        <v>1490.7234664070108</v>
      </c>
      <c r="FE40" s="174">
        <f t="shared" si="67"/>
        <v>8.2509503392098296</v>
      </c>
      <c r="FF40" s="174">
        <f t="shared" si="67"/>
        <v>5.4793405130403237</v>
      </c>
      <c r="FG40" s="174">
        <f t="shared" si="67"/>
        <v>59.38593773451305</v>
      </c>
      <c r="FH40" s="174">
        <f t="shared" si="68"/>
        <v>-7.8328981723237989E-3</v>
      </c>
      <c r="FI40" s="174">
        <f t="shared" si="69"/>
        <v>0.42048455995043543</v>
      </c>
      <c r="FJ40" s="174">
        <f t="shared" si="70"/>
        <v>1.4789153173845726</v>
      </c>
      <c r="FK40" s="174">
        <f t="shared" si="70"/>
        <v>1.6202662835505692</v>
      </c>
    </row>
    <row r="41" spans="1:167" ht="16">
      <c r="B41" s="140" t="s">
        <v>784</v>
      </c>
      <c r="C41" s="127" t="s">
        <v>786</v>
      </c>
      <c r="D41" s="128"/>
      <c r="E41" s="128"/>
      <c r="F41" s="128"/>
      <c r="G41" s="128"/>
      <c r="H41" s="128"/>
      <c r="I41" s="128"/>
      <c r="J41" s="128"/>
      <c r="K41" s="128"/>
      <c r="L41" s="128"/>
      <c r="M41" s="128"/>
      <c r="N41" s="128"/>
      <c r="O41" s="128"/>
      <c r="P41" s="128"/>
      <c r="Q41" s="128"/>
      <c r="R41" s="128"/>
      <c r="S41" s="128"/>
      <c r="T41" s="128"/>
      <c r="U41" s="128"/>
      <c r="V41" s="128"/>
      <c r="W41" s="128"/>
      <c r="X41" s="128"/>
      <c r="Y41" s="128"/>
      <c r="Z41" s="128">
        <v>0</v>
      </c>
      <c r="AA41" s="128">
        <v>0</v>
      </c>
      <c r="AB41" s="128">
        <v>0</v>
      </c>
      <c r="AC41" s="128">
        <v>0</v>
      </c>
      <c r="AD41" s="128">
        <v>0</v>
      </c>
      <c r="AE41" s="128">
        <v>0</v>
      </c>
      <c r="AF41" s="128">
        <v>0</v>
      </c>
      <c r="AG41" s="128">
        <v>0</v>
      </c>
      <c r="AH41" s="128">
        <v>0</v>
      </c>
      <c r="AI41" s="128">
        <v>0</v>
      </c>
      <c r="AJ41" s="128">
        <v>0</v>
      </c>
      <c r="AK41" s="128">
        <v>0</v>
      </c>
      <c r="AL41" s="128">
        <v>0</v>
      </c>
      <c r="AM41" s="128">
        <v>0</v>
      </c>
      <c r="AN41" s="128">
        <v>0</v>
      </c>
      <c r="AO41" s="128">
        <v>0</v>
      </c>
      <c r="AP41" s="173">
        <v>0</v>
      </c>
      <c r="AQ41" s="173">
        <v>0</v>
      </c>
      <c r="AR41" s="173">
        <v>0</v>
      </c>
      <c r="AS41" s="288">
        <v>0</v>
      </c>
      <c r="AT41" s="288">
        <v>0</v>
      </c>
      <c r="AU41" s="288">
        <v>0</v>
      </c>
      <c r="AV41" s="288">
        <v>0</v>
      </c>
      <c r="AW41" s="158">
        <v>0</v>
      </c>
      <c r="AX41" s="158">
        <v>0</v>
      </c>
      <c r="AY41" s="158">
        <v>0</v>
      </c>
      <c r="AZ41" s="158">
        <v>0</v>
      </c>
      <c r="BA41" s="158">
        <v>0</v>
      </c>
      <c r="BB41" s="41">
        <v>0</v>
      </c>
      <c r="BC41" s="41">
        <v>0</v>
      </c>
      <c r="BD41" s="158">
        <v>0</v>
      </c>
      <c r="BE41" s="158">
        <v>0</v>
      </c>
      <c r="BF41" s="288">
        <v>0</v>
      </c>
      <c r="BG41" s="289">
        <v>0</v>
      </c>
      <c r="BH41" s="289">
        <v>0</v>
      </c>
      <c r="BI41" s="289">
        <v>0</v>
      </c>
      <c r="BJ41" s="289">
        <v>0</v>
      </c>
      <c r="BK41" s="289">
        <v>0</v>
      </c>
      <c r="BL41" s="289">
        <v>0</v>
      </c>
      <c r="BM41" s="289">
        <v>0</v>
      </c>
      <c r="BN41" s="289">
        <v>0</v>
      </c>
      <c r="BO41" s="289">
        <v>0</v>
      </c>
      <c r="BP41" s="289">
        <v>0</v>
      </c>
      <c r="BQ41" s="289">
        <v>0</v>
      </c>
      <c r="BR41" s="289">
        <v>0</v>
      </c>
      <c r="BS41" s="289">
        <v>0</v>
      </c>
      <c r="BT41" s="289">
        <v>0</v>
      </c>
      <c r="BU41" s="289"/>
      <c r="BV41" s="142"/>
      <c r="BW41" s="142"/>
      <c r="BX41" s="142"/>
      <c r="BY41" s="142"/>
      <c r="BZ41" s="142"/>
      <c r="CA41" s="142"/>
      <c r="CB41" s="142"/>
      <c r="CC41" s="142"/>
      <c r="CD41" s="142"/>
      <c r="CE41" s="142"/>
      <c r="CF41" s="142"/>
      <c r="CG41" s="142"/>
      <c r="CH41" s="142"/>
      <c r="CI41" s="142"/>
      <c r="CJ41" s="142"/>
      <c r="CK41" s="142"/>
      <c r="CL41" s="142"/>
      <c r="CM41" s="142"/>
      <c r="CN41" s="142"/>
      <c r="CO41" s="142"/>
      <c r="CP41" s="142"/>
      <c r="CQ41" s="142"/>
      <c r="CR41" s="142"/>
      <c r="CS41" s="142"/>
      <c r="CT41" s="142"/>
      <c r="CU41" s="142"/>
      <c r="CV41" s="142"/>
      <c r="CW41" s="142"/>
      <c r="CX41" s="142"/>
      <c r="CY41" s="142"/>
      <c r="CZ41" s="142"/>
      <c r="DA41" s="142"/>
      <c r="DB41" s="142"/>
      <c r="DC41" s="142"/>
      <c r="DD41" s="142"/>
      <c r="DE41" s="142"/>
      <c r="DF41" s="142"/>
      <c r="DG41" s="142"/>
      <c r="DH41" s="142"/>
      <c r="DI41" s="142"/>
      <c r="DJ41" s="142"/>
      <c r="DK41" s="142"/>
      <c r="DL41" s="142"/>
      <c r="DM41" s="142"/>
      <c r="DN41" s="142"/>
      <c r="DO41" s="142"/>
      <c r="DP41" s="142"/>
      <c r="DQ41" s="142"/>
      <c r="DR41" s="142"/>
      <c r="DS41" s="133"/>
      <c r="DT41" s="174" t="str">
        <f t="shared" si="71"/>
        <v/>
      </c>
      <c r="DU41" s="174" t="str">
        <f t="shared" si="65"/>
        <v/>
      </c>
      <c r="DV41" s="174" t="str">
        <f t="shared" si="65"/>
        <v/>
      </c>
      <c r="DW41" s="174" t="str">
        <f t="shared" si="65"/>
        <v/>
      </c>
      <c r="DX41" s="174" t="str">
        <f t="shared" si="65"/>
        <v/>
      </c>
      <c r="DY41" s="174" t="str">
        <f t="shared" si="65"/>
        <v/>
      </c>
      <c r="DZ41" s="174" t="str">
        <f t="shared" si="65"/>
        <v/>
      </c>
      <c r="EA41" s="174" t="str">
        <f t="shared" si="65"/>
        <v/>
      </c>
      <c r="EB41" s="174" t="str">
        <f t="shared" si="65"/>
        <v/>
      </c>
      <c r="EC41" s="174" t="str">
        <f t="shared" si="65"/>
        <v/>
      </c>
      <c r="ED41" s="174" t="str">
        <f t="shared" si="65"/>
        <v/>
      </c>
      <c r="EE41" s="174" t="str">
        <f t="shared" si="65"/>
        <v/>
      </c>
      <c r="EF41" s="174" t="str">
        <f t="shared" si="65"/>
        <v/>
      </c>
      <c r="EG41" s="174" t="str">
        <f t="shared" si="65"/>
        <v/>
      </c>
      <c r="EH41" s="174" t="str">
        <f t="shared" si="65"/>
        <v/>
      </c>
      <c r="EI41" s="174" t="str">
        <f t="shared" si="65"/>
        <v/>
      </c>
      <c r="EJ41" s="174" t="str">
        <f t="shared" si="65"/>
        <v/>
      </c>
      <c r="EK41" s="174" t="str">
        <f t="shared" si="66"/>
        <v/>
      </c>
      <c r="EL41" s="174" t="str">
        <f t="shared" si="66"/>
        <v/>
      </c>
      <c r="EM41" s="174" t="str">
        <f t="shared" si="66"/>
        <v/>
      </c>
      <c r="EN41" s="174" t="str">
        <f t="shared" si="66"/>
        <v/>
      </c>
      <c r="EO41" s="174" t="str">
        <f t="shared" si="66"/>
        <v/>
      </c>
      <c r="EP41" s="174" t="str">
        <f t="shared" si="66"/>
        <v/>
      </c>
      <c r="EQ41" s="174" t="str">
        <f t="shared" si="66"/>
        <v/>
      </c>
      <c r="ER41" s="174" t="str">
        <f t="shared" si="66"/>
        <v/>
      </c>
      <c r="ES41" s="174" t="str">
        <f t="shared" si="66"/>
        <v/>
      </c>
      <c r="ET41" s="174" t="str">
        <f t="shared" si="66"/>
        <v/>
      </c>
      <c r="EU41" s="174" t="str">
        <f t="shared" si="66"/>
        <v/>
      </c>
      <c r="EV41" s="174" t="str">
        <f t="shared" si="66"/>
        <v/>
      </c>
      <c r="EW41" s="174" t="str">
        <f t="shared" si="66"/>
        <v/>
      </c>
      <c r="EX41" s="174" t="str">
        <f t="shared" si="66"/>
        <v/>
      </c>
      <c r="EY41" s="174" t="str">
        <f t="shared" si="66"/>
        <v/>
      </c>
      <c r="EZ41" s="174" t="str">
        <f t="shared" si="66"/>
        <v/>
      </c>
      <c r="FA41" s="174" t="str">
        <f t="shared" si="67"/>
        <v/>
      </c>
      <c r="FB41" s="174" t="str">
        <f t="shared" si="67"/>
        <v/>
      </c>
      <c r="FC41" s="174" t="str">
        <f t="shared" si="67"/>
        <v/>
      </c>
      <c r="FD41" s="174" t="str">
        <f t="shared" si="67"/>
        <v/>
      </c>
      <c r="FE41" s="174" t="str">
        <f t="shared" si="67"/>
        <v/>
      </c>
      <c r="FF41" s="174" t="str">
        <f t="shared" si="67"/>
        <v/>
      </c>
      <c r="FG41" s="174" t="str">
        <f t="shared" si="67"/>
        <v/>
      </c>
      <c r="FH41" s="174" t="str">
        <f t="shared" si="68"/>
        <v/>
      </c>
      <c r="FI41" s="174" t="str">
        <f t="shared" si="69"/>
        <v/>
      </c>
      <c r="FJ41" s="174" t="str">
        <f t="shared" si="70"/>
        <v/>
      </c>
      <c r="FK41" s="174" t="str">
        <f t="shared" si="70"/>
        <v/>
      </c>
    </row>
    <row r="42" spans="1:167" ht="16">
      <c r="B42" s="140" t="s">
        <v>787</v>
      </c>
      <c r="C42" s="127" t="s">
        <v>788</v>
      </c>
      <c r="D42" s="128"/>
      <c r="E42" s="128"/>
      <c r="F42" s="128"/>
      <c r="G42" s="128"/>
      <c r="H42" s="128"/>
      <c r="I42" s="128"/>
      <c r="J42" s="128"/>
      <c r="K42" s="128"/>
      <c r="L42" s="128"/>
      <c r="M42" s="128"/>
      <c r="N42" s="128"/>
      <c r="O42" s="128"/>
      <c r="P42" s="128"/>
      <c r="Q42" s="128"/>
      <c r="R42" s="128"/>
      <c r="S42" s="128"/>
      <c r="T42" s="128"/>
      <c r="U42" s="128"/>
      <c r="V42" s="128"/>
      <c r="W42" s="128"/>
      <c r="X42" s="128"/>
      <c r="Y42" s="128"/>
      <c r="Z42" s="128">
        <v>0</v>
      </c>
      <c r="AA42" s="128">
        <v>0</v>
      </c>
      <c r="AB42" s="128">
        <v>0</v>
      </c>
      <c r="AC42" s="128">
        <v>0</v>
      </c>
      <c r="AD42" s="128">
        <v>0</v>
      </c>
      <c r="AE42" s="128">
        <v>0</v>
      </c>
      <c r="AF42" s="128">
        <v>0</v>
      </c>
      <c r="AG42" s="128">
        <v>0</v>
      </c>
      <c r="AH42" s="128">
        <v>0</v>
      </c>
      <c r="AI42" s="128">
        <v>0</v>
      </c>
      <c r="AJ42" s="128">
        <v>0</v>
      </c>
      <c r="AK42" s="128">
        <v>0</v>
      </c>
      <c r="AL42" s="128">
        <v>0</v>
      </c>
      <c r="AM42" s="128">
        <v>0</v>
      </c>
      <c r="AN42" s="128">
        <v>0</v>
      </c>
      <c r="AO42" s="128">
        <v>0</v>
      </c>
      <c r="AP42" s="173">
        <v>0</v>
      </c>
      <c r="AQ42" s="173">
        <v>0</v>
      </c>
      <c r="AR42" s="173">
        <v>0</v>
      </c>
      <c r="AS42" s="288">
        <v>0</v>
      </c>
      <c r="AT42" s="288">
        <v>0</v>
      </c>
      <c r="AU42" s="288">
        <v>0</v>
      </c>
      <c r="AV42" s="288">
        <v>0</v>
      </c>
      <c r="AW42" s="158">
        <v>0</v>
      </c>
      <c r="AX42" s="158">
        <v>0</v>
      </c>
      <c r="AY42" s="158">
        <v>0</v>
      </c>
      <c r="AZ42" s="158">
        <v>0</v>
      </c>
      <c r="BA42" s="158">
        <v>0</v>
      </c>
      <c r="BB42" s="41">
        <v>0</v>
      </c>
      <c r="BC42" s="41">
        <v>0</v>
      </c>
      <c r="BD42" s="158">
        <v>0</v>
      </c>
      <c r="BE42" s="158">
        <v>0</v>
      </c>
      <c r="BF42" s="288">
        <v>0</v>
      </c>
      <c r="BG42" s="289">
        <v>0</v>
      </c>
      <c r="BH42" s="289">
        <v>0</v>
      </c>
      <c r="BI42" s="289">
        <v>0</v>
      </c>
      <c r="BJ42" s="289">
        <v>0</v>
      </c>
      <c r="BK42" s="289">
        <v>0</v>
      </c>
      <c r="BL42" s="289">
        <v>0</v>
      </c>
      <c r="BM42" s="289">
        <v>0</v>
      </c>
      <c r="BN42" s="289">
        <v>0</v>
      </c>
      <c r="BO42" s="289">
        <v>0</v>
      </c>
      <c r="BP42" s="289">
        <v>0</v>
      </c>
      <c r="BQ42" s="289">
        <v>0</v>
      </c>
      <c r="BR42" s="289">
        <v>0</v>
      </c>
      <c r="BS42" s="289">
        <v>0</v>
      </c>
      <c r="BT42" s="289">
        <v>0</v>
      </c>
      <c r="BU42" s="289"/>
      <c r="BV42" s="142"/>
      <c r="BW42" s="142"/>
      <c r="BX42" s="142"/>
      <c r="BY42" s="142"/>
      <c r="BZ42" s="142"/>
      <c r="CA42" s="142"/>
      <c r="CB42" s="142"/>
      <c r="CC42" s="142"/>
      <c r="CD42" s="142"/>
      <c r="CE42" s="142"/>
      <c r="CF42" s="142"/>
      <c r="CG42" s="142"/>
      <c r="CH42" s="142"/>
      <c r="CI42" s="142"/>
      <c r="CJ42" s="142"/>
      <c r="CK42" s="142"/>
      <c r="CL42" s="142"/>
      <c r="CM42" s="142"/>
      <c r="CN42" s="142"/>
      <c r="CO42" s="142"/>
      <c r="CP42" s="142"/>
      <c r="CQ42" s="142"/>
      <c r="CR42" s="142"/>
      <c r="CS42" s="142"/>
      <c r="CT42" s="142"/>
      <c r="CU42" s="142"/>
      <c r="CV42" s="142"/>
      <c r="CW42" s="142"/>
      <c r="CX42" s="142"/>
      <c r="CY42" s="142"/>
      <c r="CZ42" s="142"/>
      <c r="DA42" s="142"/>
      <c r="DB42" s="142"/>
      <c r="DC42" s="142"/>
      <c r="DD42" s="142"/>
      <c r="DE42" s="142"/>
      <c r="DF42" s="142"/>
      <c r="DG42" s="142"/>
      <c r="DH42" s="142"/>
      <c r="DI42" s="142"/>
      <c r="DJ42" s="142"/>
      <c r="DK42" s="142"/>
      <c r="DL42" s="142"/>
      <c r="DM42" s="142"/>
      <c r="DN42" s="142"/>
      <c r="DO42" s="142"/>
      <c r="DP42" s="142"/>
      <c r="DQ42" s="142"/>
      <c r="DR42" s="142"/>
      <c r="DS42" s="133"/>
      <c r="DT42" s="174" t="str">
        <f t="shared" si="71"/>
        <v/>
      </c>
      <c r="DU42" s="174" t="str">
        <f t="shared" si="65"/>
        <v/>
      </c>
      <c r="DV42" s="174" t="str">
        <f t="shared" si="65"/>
        <v/>
      </c>
      <c r="DW42" s="174" t="str">
        <f t="shared" si="65"/>
        <v/>
      </c>
      <c r="DX42" s="174" t="str">
        <f t="shared" si="65"/>
        <v/>
      </c>
      <c r="DY42" s="174" t="str">
        <f t="shared" si="65"/>
        <v/>
      </c>
      <c r="DZ42" s="174" t="str">
        <f t="shared" si="65"/>
        <v/>
      </c>
      <c r="EA42" s="174" t="str">
        <f t="shared" si="65"/>
        <v/>
      </c>
      <c r="EB42" s="174" t="str">
        <f t="shared" si="65"/>
        <v/>
      </c>
      <c r="EC42" s="174" t="str">
        <f t="shared" si="65"/>
        <v/>
      </c>
      <c r="ED42" s="174" t="str">
        <f t="shared" si="65"/>
        <v/>
      </c>
      <c r="EE42" s="174" t="str">
        <f t="shared" si="65"/>
        <v/>
      </c>
      <c r="EF42" s="174" t="str">
        <f t="shared" si="65"/>
        <v/>
      </c>
      <c r="EG42" s="174" t="str">
        <f t="shared" si="65"/>
        <v/>
      </c>
      <c r="EH42" s="174" t="str">
        <f t="shared" si="65"/>
        <v/>
      </c>
      <c r="EI42" s="174" t="str">
        <f t="shared" si="65"/>
        <v/>
      </c>
      <c r="EJ42" s="174" t="str">
        <f t="shared" si="65"/>
        <v/>
      </c>
      <c r="EK42" s="174" t="str">
        <f t="shared" si="66"/>
        <v/>
      </c>
      <c r="EL42" s="174" t="str">
        <f t="shared" si="66"/>
        <v/>
      </c>
      <c r="EM42" s="174" t="str">
        <f t="shared" si="66"/>
        <v/>
      </c>
      <c r="EN42" s="174" t="str">
        <f t="shared" si="66"/>
        <v/>
      </c>
      <c r="EO42" s="174" t="str">
        <f t="shared" si="66"/>
        <v/>
      </c>
      <c r="EP42" s="174" t="str">
        <f t="shared" si="66"/>
        <v/>
      </c>
      <c r="EQ42" s="174" t="str">
        <f t="shared" si="66"/>
        <v/>
      </c>
      <c r="ER42" s="174" t="str">
        <f t="shared" si="66"/>
        <v/>
      </c>
      <c r="ES42" s="174" t="str">
        <f t="shared" si="66"/>
        <v/>
      </c>
      <c r="ET42" s="174" t="str">
        <f t="shared" si="66"/>
        <v/>
      </c>
      <c r="EU42" s="174" t="str">
        <f t="shared" si="66"/>
        <v/>
      </c>
      <c r="EV42" s="174" t="str">
        <f t="shared" si="66"/>
        <v/>
      </c>
      <c r="EW42" s="174" t="str">
        <f t="shared" si="66"/>
        <v/>
      </c>
      <c r="EX42" s="174" t="str">
        <f t="shared" si="66"/>
        <v/>
      </c>
      <c r="EY42" s="174" t="str">
        <f t="shared" si="66"/>
        <v/>
      </c>
      <c r="EZ42" s="174" t="str">
        <f t="shared" si="66"/>
        <v/>
      </c>
      <c r="FA42" s="174" t="str">
        <f t="shared" si="67"/>
        <v/>
      </c>
      <c r="FB42" s="174" t="str">
        <f t="shared" si="67"/>
        <v/>
      </c>
      <c r="FC42" s="174" t="str">
        <f t="shared" si="67"/>
        <v/>
      </c>
      <c r="FD42" s="174" t="str">
        <f t="shared" si="67"/>
        <v/>
      </c>
      <c r="FE42" s="174" t="str">
        <f t="shared" si="67"/>
        <v/>
      </c>
      <c r="FF42" s="174" t="str">
        <f t="shared" si="67"/>
        <v/>
      </c>
      <c r="FG42" s="174" t="str">
        <f t="shared" si="67"/>
        <v/>
      </c>
      <c r="FH42" s="174" t="str">
        <f t="shared" si="68"/>
        <v/>
      </c>
      <c r="FI42" s="174" t="str">
        <f t="shared" si="69"/>
        <v/>
      </c>
      <c r="FJ42" s="174" t="str">
        <f t="shared" si="70"/>
        <v/>
      </c>
      <c r="FK42" s="174" t="str">
        <f t="shared" si="70"/>
        <v/>
      </c>
    </row>
    <row r="43" spans="1:167" ht="16">
      <c r="B43" s="140" t="s">
        <v>789</v>
      </c>
      <c r="C43" s="127" t="s">
        <v>790</v>
      </c>
      <c r="D43" s="128"/>
      <c r="E43" s="128"/>
      <c r="F43" s="128"/>
      <c r="G43" s="128"/>
      <c r="H43" s="128"/>
      <c r="I43" s="128"/>
      <c r="J43" s="128"/>
      <c r="K43" s="128"/>
      <c r="L43" s="128"/>
      <c r="M43" s="128"/>
      <c r="N43" s="128"/>
      <c r="O43" s="128"/>
      <c r="P43" s="128"/>
      <c r="Q43" s="128"/>
      <c r="R43" s="128"/>
      <c r="S43" s="128"/>
      <c r="T43" s="128"/>
      <c r="U43" s="128"/>
      <c r="V43" s="128"/>
      <c r="W43" s="128"/>
      <c r="X43" s="128"/>
      <c r="Y43" s="128"/>
      <c r="Z43" s="128">
        <v>0</v>
      </c>
      <c r="AA43" s="128">
        <v>0</v>
      </c>
      <c r="AB43" s="128">
        <v>0</v>
      </c>
      <c r="AC43" s="128">
        <v>0</v>
      </c>
      <c r="AD43" s="128">
        <v>0</v>
      </c>
      <c r="AE43" s="128">
        <v>0</v>
      </c>
      <c r="AF43" s="128">
        <v>0</v>
      </c>
      <c r="AG43" s="128">
        <v>0</v>
      </c>
      <c r="AH43" s="128">
        <v>0</v>
      </c>
      <c r="AI43" s="128">
        <v>0</v>
      </c>
      <c r="AJ43" s="128">
        <v>0</v>
      </c>
      <c r="AK43" s="128">
        <v>0</v>
      </c>
      <c r="AL43" s="128">
        <v>0</v>
      </c>
      <c r="AM43" s="128">
        <v>0</v>
      </c>
      <c r="AN43" s="128">
        <v>0</v>
      </c>
      <c r="AO43" s="128">
        <v>0</v>
      </c>
      <c r="AP43" s="173">
        <v>2.5674999999999999</v>
      </c>
      <c r="AQ43" s="173">
        <v>663.00215384399996</v>
      </c>
      <c r="AR43" s="173">
        <v>659.85110543200005</v>
      </c>
      <c r="AS43" s="288">
        <v>50.922451739000003</v>
      </c>
      <c r="AT43" s="288">
        <v>3830</v>
      </c>
      <c r="AU43" s="288">
        <v>6133.4</v>
      </c>
      <c r="AV43" s="288">
        <v>4275.3999999999996</v>
      </c>
      <c r="AW43" s="158">
        <v>3075</v>
      </c>
      <c r="AX43" s="158">
        <v>3800</v>
      </c>
      <c r="AY43" s="158">
        <v>8712.4</v>
      </c>
      <c r="AZ43" s="158">
        <v>10598.354547946001</v>
      </c>
      <c r="BA43" s="158">
        <v>8057.3188219180001</v>
      </c>
      <c r="BB43" s="41">
        <v>12622.967473973</v>
      </c>
      <c r="BC43" s="41">
        <v>13524.445343145</v>
      </c>
      <c r="BD43" s="158">
        <v>6814.2808062410004</v>
      </c>
      <c r="BE43" s="158">
        <v>13434.708637068999</v>
      </c>
      <c r="BF43" s="288">
        <v>11699.727339355</v>
      </c>
      <c r="BG43" s="289">
        <v>12320.647805155</v>
      </c>
      <c r="BH43" s="289">
        <v>8846.2330861230002</v>
      </c>
      <c r="BI43" s="289">
        <v>10059.049605640001</v>
      </c>
      <c r="BJ43" s="289">
        <v>8846.2330861230002</v>
      </c>
      <c r="BK43" s="289">
        <v>20978.938278067999</v>
      </c>
      <c r="BL43" s="289">
        <v>20901.865637221999</v>
      </c>
      <c r="BM43" s="289">
        <v>18937.008073822999</v>
      </c>
      <c r="BN43" s="289">
        <v>24673.24</v>
      </c>
      <c r="BO43" s="289">
        <v>25180.620627699998</v>
      </c>
      <c r="BP43" s="289">
        <v>21548.92</v>
      </c>
      <c r="BQ43" s="289">
        <v>28524.44175632</v>
      </c>
      <c r="BR43" s="289">
        <v>32390.51501562</v>
      </c>
      <c r="BS43" s="289">
        <v>34303.249939745001</v>
      </c>
      <c r="BT43" s="289">
        <v>33436.260988198999</v>
      </c>
      <c r="BU43" s="289"/>
      <c r="BV43" s="142"/>
      <c r="BW43" s="142"/>
      <c r="BX43" s="142"/>
      <c r="BY43" s="142"/>
      <c r="BZ43" s="142"/>
      <c r="CA43" s="142"/>
      <c r="CB43" s="142"/>
      <c r="CC43" s="142"/>
      <c r="CD43" s="142"/>
      <c r="CE43" s="142"/>
      <c r="CF43" s="142"/>
      <c r="CG43" s="142"/>
      <c r="CH43" s="142"/>
      <c r="CI43" s="142"/>
      <c r="CJ43" s="142"/>
      <c r="CK43" s="142"/>
      <c r="CL43" s="142"/>
      <c r="CM43" s="142"/>
      <c r="CN43" s="142"/>
      <c r="CO43" s="142"/>
      <c r="CP43" s="142"/>
      <c r="CQ43" s="142"/>
      <c r="CR43" s="142"/>
      <c r="CS43" s="142"/>
      <c r="CT43" s="142"/>
      <c r="CU43" s="142"/>
      <c r="CV43" s="142"/>
      <c r="CW43" s="142"/>
      <c r="CX43" s="142"/>
      <c r="CY43" s="142"/>
      <c r="CZ43" s="142"/>
      <c r="DA43" s="142"/>
      <c r="DB43" s="142"/>
      <c r="DC43" s="142"/>
      <c r="DD43" s="142"/>
      <c r="DE43" s="142"/>
      <c r="DF43" s="142"/>
      <c r="DG43" s="142"/>
      <c r="DH43" s="142"/>
      <c r="DI43" s="142"/>
      <c r="DJ43" s="142"/>
      <c r="DK43" s="142"/>
      <c r="DL43" s="142"/>
      <c r="DM43" s="142"/>
      <c r="DN43" s="142"/>
      <c r="DO43" s="142"/>
      <c r="DP43" s="142"/>
      <c r="DQ43" s="142"/>
      <c r="DR43" s="142"/>
      <c r="DS43" s="133"/>
      <c r="DT43" s="174" t="str">
        <f t="shared" si="71"/>
        <v/>
      </c>
      <c r="DU43" s="174" t="str">
        <f t="shared" si="65"/>
        <v/>
      </c>
      <c r="DV43" s="174" t="str">
        <f t="shared" si="65"/>
        <v/>
      </c>
      <c r="DW43" s="174" t="str">
        <f t="shared" si="65"/>
        <v/>
      </c>
      <c r="DX43" s="174" t="str">
        <f t="shared" si="65"/>
        <v/>
      </c>
      <c r="DY43" s="174" t="str">
        <f t="shared" si="65"/>
        <v/>
      </c>
      <c r="DZ43" s="174" t="str">
        <f t="shared" si="65"/>
        <v/>
      </c>
      <c r="EA43" s="174" t="str">
        <f t="shared" si="65"/>
        <v/>
      </c>
      <c r="EB43" s="174" t="str">
        <f t="shared" si="65"/>
        <v/>
      </c>
      <c r="EC43" s="174" t="str">
        <f t="shared" si="65"/>
        <v/>
      </c>
      <c r="ED43" s="174" t="str">
        <f t="shared" si="65"/>
        <v/>
      </c>
      <c r="EE43" s="174" t="str">
        <f t="shared" si="65"/>
        <v/>
      </c>
      <c r="EF43" s="174" t="str">
        <f t="shared" si="65"/>
        <v/>
      </c>
      <c r="EG43" s="174" t="str">
        <f t="shared" si="65"/>
        <v/>
      </c>
      <c r="EH43" s="174" t="str">
        <f t="shared" si="65"/>
        <v/>
      </c>
      <c r="EI43" s="174" t="str">
        <f t="shared" si="65"/>
        <v/>
      </c>
      <c r="EJ43" s="174" t="str">
        <f t="shared" si="65"/>
        <v/>
      </c>
      <c r="EK43" s="174" t="str">
        <f t="shared" si="66"/>
        <v/>
      </c>
      <c r="EL43" s="174" t="str">
        <f t="shared" si="66"/>
        <v/>
      </c>
      <c r="EM43" s="174" t="str">
        <f t="shared" si="66"/>
        <v/>
      </c>
      <c r="EN43" s="174" t="str">
        <f t="shared" si="66"/>
        <v/>
      </c>
      <c r="EO43" s="174" t="str">
        <f t="shared" si="66"/>
        <v/>
      </c>
      <c r="EP43" s="174" t="str">
        <f t="shared" si="66"/>
        <v/>
      </c>
      <c r="EQ43" s="174" t="str">
        <f t="shared" si="66"/>
        <v/>
      </c>
      <c r="ER43" s="174" t="str">
        <f t="shared" si="66"/>
        <v/>
      </c>
      <c r="ES43" s="174" t="str">
        <f t="shared" si="66"/>
        <v/>
      </c>
      <c r="ET43" s="174" t="str">
        <f t="shared" si="66"/>
        <v/>
      </c>
      <c r="EU43" s="174" t="str">
        <f t="shared" si="66"/>
        <v/>
      </c>
      <c r="EV43" s="174" t="str">
        <f t="shared" si="66"/>
        <v/>
      </c>
      <c r="EW43" s="174" t="str">
        <f t="shared" si="66"/>
        <v/>
      </c>
      <c r="EX43" s="174" t="str">
        <f t="shared" si="66"/>
        <v/>
      </c>
      <c r="EY43" s="174" t="str">
        <f t="shared" si="66"/>
        <v/>
      </c>
      <c r="EZ43" s="174" t="str">
        <f t="shared" si="66"/>
        <v/>
      </c>
      <c r="FA43" s="174" t="str">
        <f t="shared" si="67"/>
        <v/>
      </c>
      <c r="FB43" s="174" t="str">
        <f t="shared" si="67"/>
        <v/>
      </c>
      <c r="FC43" s="174" t="str">
        <f t="shared" si="67"/>
        <v/>
      </c>
      <c r="FD43" s="174">
        <f t="shared" si="67"/>
        <v>1490.7234664070108</v>
      </c>
      <c r="FE43" s="174">
        <f t="shared" si="67"/>
        <v>8.2509503392098296</v>
      </c>
      <c r="FF43" s="174">
        <f t="shared" si="67"/>
        <v>5.4793405130403237</v>
      </c>
      <c r="FG43" s="174">
        <f t="shared" si="67"/>
        <v>59.38593773451305</v>
      </c>
      <c r="FH43" s="174">
        <f t="shared" si="68"/>
        <v>-7.8328981723237989E-3</v>
      </c>
      <c r="FI43" s="174">
        <f t="shared" si="69"/>
        <v>0.42048455995043543</v>
      </c>
      <c r="FJ43" s="174">
        <f t="shared" si="70"/>
        <v>1.4789153173845726</v>
      </c>
      <c r="FK43" s="174">
        <f t="shared" si="70"/>
        <v>1.6202662835505692</v>
      </c>
    </row>
    <row r="44" spans="1:167" s="136" customFormat="1" ht="16">
      <c r="B44" s="154" t="s">
        <v>791</v>
      </c>
      <c r="C44" s="134" t="s">
        <v>792</v>
      </c>
      <c r="D44" s="135"/>
      <c r="E44" s="135"/>
      <c r="F44" s="135"/>
      <c r="G44" s="135"/>
      <c r="H44" s="135"/>
      <c r="I44" s="135"/>
      <c r="J44" s="135"/>
      <c r="K44" s="135"/>
      <c r="L44" s="135"/>
      <c r="M44" s="135"/>
      <c r="N44" s="135"/>
      <c r="O44" s="135"/>
      <c r="P44" s="135"/>
      <c r="Q44" s="135"/>
      <c r="R44" s="135"/>
      <c r="S44" s="135"/>
      <c r="T44" s="135"/>
      <c r="U44" s="135"/>
      <c r="V44" s="135"/>
      <c r="W44" s="135"/>
      <c r="X44" s="135"/>
      <c r="Y44" s="135"/>
      <c r="Z44" s="135">
        <v>237.96818659499999</v>
      </c>
      <c r="AA44" s="135">
        <v>289.92309649499998</v>
      </c>
      <c r="AB44" s="135">
        <v>298.254184399</v>
      </c>
      <c r="AC44" s="135">
        <v>296.73554923699999</v>
      </c>
      <c r="AD44" s="135">
        <v>339.45734809700002</v>
      </c>
      <c r="AE44" s="135">
        <v>328.50762850000001</v>
      </c>
      <c r="AF44" s="135">
        <v>427.14563751399999</v>
      </c>
      <c r="AG44" s="135">
        <v>636.32297995500005</v>
      </c>
      <c r="AH44" s="135">
        <v>545.03698951499996</v>
      </c>
      <c r="AI44" s="135">
        <v>657.95790494100004</v>
      </c>
      <c r="AJ44" s="135">
        <v>863.78151962100003</v>
      </c>
      <c r="AK44" s="135">
        <v>1410.4880103539999</v>
      </c>
      <c r="AL44" s="135">
        <v>997.31810552599995</v>
      </c>
      <c r="AM44" s="135">
        <v>1080.6745151319999</v>
      </c>
      <c r="AN44" s="135">
        <v>1149.224825069</v>
      </c>
      <c r="AO44" s="135">
        <v>2774.7889634329999</v>
      </c>
      <c r="AP44" s="170">
        <v>1730.824187579</v>
      </c>
      <c r="AQ44" s="170">
        <v>1433.8693483879999</v>
      </c>
      <c r="AR44" s="170">
        <v>1505.154445936</v>
      </c>
      <c r="AS44" s="155">
        <v>1560.1046500739999</v>
      </c>
      <c r="AT44" s="155">
        <v>1919.0777754789999</v>
      </c>
      <c r="AU44" s="155">
        <v>1309.517488724</v>
      </c>
      <c r="AV44" s="155">
        <v>1247.264512387</v>
      </c>
      <c r="AW44" s="155">
        <v>1815.085561979</v>
      </c>
      <c r="AX44" s="155">
        <v>1443.027344349</v>
      </c>
      <c r="AY44" s="155">
        <v>1286.574635638</v>
      </c>
      <c r="AZ44" s="155">
        <v>1466.027079598</v>
      </c>
      <c r="BA44" s="155">
        <v>1703.4646706650001</v>
      </c>
      <c r="BB44" s="40">
        <v>1738.733670248</v>
      </c>
      <c r="BC44" s="40">
        <v>2774.679155325</v>
      </c>
      <c r="BD44" s="155">
        <v>2787.7216766050001</v>
      </c>
      <c r="BE44" s="155">
        <v>3162.1219715860002</v>
      </c>
      <c r="BF44" s="155">
        <v>2624.4312495989998</v>
      </c>
      <c r="BG44" s="287">
        <v>3756.036864744</v>
      </c>
      <c r="BH44" s="287">
        <v>4647.5792472439998</v>
      </c>
      <c r="BI44" s="287">
        <v>3072.0938533670001</v>
      </c>
      <c r="BJ44" s="287">
        <v>4647.5792472439998</v>
      </c>
      <c r="BK44" s="287">
        <v>2616.2119691859998</v>
      </c>
      <c r="BL44" s="287">
        <v>3076.4660930909999</v>
      </c>
      <c r="BM44" s="287">
        <v>5158.8533377849999</v>
      </c>
      <c r="BN44" s="287">
        <v>4862.8500000000004</v>
      </c>
      <c r="BO44" s="287">
        <v>7120.7094434869996</v>
      </c>
      <c r="BP44" s="287">
        <v>7355.27</v>
      </c>
      <c r="BQ44" s="287">
        <v>8763.6673655979994</v>
      </c>
      <c r="BR44" s="287">
        <v>9862.532179881</v>
      </c>
      <c r="BS44" s="287">
        <v>11374.18443626</v>
      </c>
      <c r="BT44" s="287">
        <v>11515.134739245001</v>
      </c>
      <c r="BU44" s="287"/>
      <c r="BV44" s="139"/>
      <c r="BW44" s="139"/>
      <c r="BX44" s="139"/>
      <c r="BY44" s="139"/>
      <c r="BZ44" s="139"/>
      <c r="CA44" s="139"/>
      <c r="CB44" s="139"/>
      <c r="CC44" s="139"/>
      <c r="CD44" s="139"/>
      <c r="CE44" s="139"/>
      <c r="CF44" s="139"/>
      <c r="CG44" s="139"/>
      <c r="CH44" s="139"/>
      <c r="CI44" s="139"/>
      <c r="CJ44" s="139"/>
      <c r="CK44" s="139"/>
      <c r="CL44" s="139"/>
      <c r="CM44" s="139"/>
      <c r="CN44" s="139"/>
      <c r="CO44" s="139"/>
      <c r="CP44" s="139"/>
      <c r="CQ44" s="139"/>
      <c r="CR44" s="139"/>
      <c r="CS44" s="139"/>
      <c r="CT44" s="139"/>
      <c r="CU44" s="139"/>
      <c r="CV44" s="139"/>
      <c r="CW44" s="139"/>
      <c r="CX44" s="139"/>
      <c r="CY44" s="139"/>
      <c r="CZ44" s="139"/>
      <c r="DA44" s="139"/>
      <c r="DB44" s="139"/>
      <c r="DC44" s="139"/>
      <c r="DD44" s="139"/>
      <c r="DE44" s="139"/>
      <c r="DF44" s="139"/>
      <c r="DG44" s="139"/>
      <c r="DH44" s="139"/>
      <c r="DI44" s="139"/>
      <c r="DJ44" s="139"/>
      <c r="DK44" s="139"/>
      <c r="DL44" s="139"/>
      <c r="DM44" s="139"/>
      <c r="DN44" s="139"/>
      <c r="DO44" s="139"/>
      <c r="DP44" s="139"/>
      <c r="DQ44" s="139"/>
      <c r="DR44" s="139"/>
      <c r="DS44" s="146"/>
      <c r="DT44" s="171" t="str">
        <f t="shared" si="71"/>
        <v/>
      </c>
      <c r="DU44" s="171" t="str">
        <f t="shared" si="65"/>
        <v/>
      </c>
      <c r="DV44" s="171" t="str">
        <f t="shared" si="65"/>
        <v/>
      </c>
      <c r="DW44" s="171" t="str">
        <f t="shared" si="65"/>
        <v/>
      </c>
      <c r="DX44" s="171" t="str">
        <f t="shared" si="65"/>
        <v/>
      </c>
      <c r="DY44" s="171" t="str">
        <f t="shared" si="65"/>
        <v/>
      </c>
      <c r="DZ44" s="171" t="str">
        <f t="shared" si="65"/>
        <v/>
      </c>
      <c r="EA44" s="171" t="str">
        <f t="shared" si="65"/>
        <v/>
      </c>
      <c r="EB44" s="171" t="str">
        <f t="shared" si="65"/>
        <v/>
      </c>
      <c r="EC44" s="171" t="str">
        <f t="shared" si="65"/>
        <v/>
      </c>
      <c r="ED44" s="171" t="str">
        <f t="shared" si="65"/>
        <v/>
      </c>
      <c r="EE44" s="171" t="str">
        <f t="shared" si="65"/>
        <v/>
      </c>
      <c r="EF44" s="171" t="str">
        <f t="shared" si="65"/>
        <v/>
      </c>
      <c r="EG44" s="171" t="str">
        <f t="shared" si="65"/>
        <v/>
      </c>
      <c r="EH44" s="171" t="str">
        <f t="shared" si="65"/>
        <v/>
      </c>
      <c r="EI44" s="171" t="str">
        <f t="shared" si="65"/>
        <v/>
      </c>
      <c r="EJ44" s="171" t="str">
        <f t="shared" si="65"/>
        <v/>
      </c>
      <c r="EK44" s="171" t="str">
        <f t="shared" si="66"/>
        <v/>
      </c>
      <c r="EL44" s="171" t="str">
        <f t="shared" si="66"/>
        <v/>
      </c>
      <c r="EM44" s="171" t="str">
        <f t="shared" si="66"/>
        <v/>
      </c>
      <c r="EN44" s="171">
        <f t="shared" si="66"/>
        <v>0.42648205608561152</v>
      </c>
      <c r="EO44" s="171">
        <f t="shared" si="66"/>
        <v>0.13308540254800105</v>
      </c>
      <c r="EP44" s="171">
        <f t="shared" si="66"/>
        <v>0.43215304212654715</v>
      </c>
      <c r="EQ44" s="171">
        <f t="shared" si="66"/>
        <v>1.1444110137500738</v>
      </c>
      <c r="ER44" s="171">
        <f t="shared" si="66"/>
        <v>0.60561258305492771</v>
      </c>
      <c r="ES44" s="171">
        <f t="shared" si="66"/>
        <v>1.0028694856959768</v>
      </c>
      <c r="ET44" s="171">
        <f t="shared" si="66"/>
        <v>1.0222178193092022</v>
      </c>
      <c r="EU44" s="171">
        <f t="shared" si="66"/>
        <v>1.216622776147025</v>
      </c>
      <c r="EV44" s="171">
        <f t="shared" si="66"/>
        <v>0.82981728710460811</v>
      </c>
      <c r="EW44" s="171">
        <f t="shared" si="66"/>
        <v>0.64246756063962085</v>
      </c>
      <c r="EX44" s="171">
        <f t="shared" si="66"/>
        <v>0.33045775924129916</v>
      </c>
      <c r="EY44" s="171">
        <f t="shared" si="66"/>
        <v>0.96725455520645798</v>
      </c>
      <c r="EZ44" s="171">
        <f t="shared" si="66"/>
        <v>0.73547855793326677</v>
      </c>
      <c r="FA44" s="171">
        <f t="shared" si="67"/>
        <v>0.32682813216230855</v>
      </c>
      <c r="FB44" s="171">
        <f t="shared" si="67"/>
        <v>0.30971278474221076</v>
      </c>
      <c r="FC44" s="171">
        <f t="shared" si="67"/>
        <v>-0.43775736798959264</v>
      </c>
      <c r="FD44" s="171">
        <f t="shared" si="67"/>
        <v>0.10876528607063252</v>
      </c>
      <c r="FE44" s="171">
        <f t="shared" si="67"/>
        <v>-8.6724679486175016E-2</v>
      </c>
      <c r="FF44" s="171">
        <f t="shared" si="67"/>
        <v>-0.17133785456058481</v>
      </c>
      <c r="FG44" s="171">
        <f t="shared" si="67"/>
        <v>0.16343833850691092</v>
      </c>
      <c r="FH44" s="171">
        <f t="shared" si="68"/>
        <v>-0.24806208336771451</v>
      </c>
      <c r="FI44" s="171">
        <f t="shared" si="69"/>
        <v>-1.752008146783568E-2</v>
      </c>
      <c r="FJ44" s="171">
        <f t="shared" si="70"/>
        <v>0.1753938840064766</v>
      </c>
      <c r="FK44" s="171">
        <f t="shared" si="70"/>
        <v>-6.1496214642520197E-2</v>
      </c>
    </row>
    <row r="45" spans="1:167" ht="16">
      <c r="B45" s="140" t="s">
        <v>793</v>
      </c>
      <c r="C45" s="127" t="s">
        <v>794</v>
      </c>
      <c r="D45" s="128"/>
      <c r="E45" s="128"/>
      <c r="F45" s="128"/>
      <c r="G45" s="128"/>
      <c r="H45" s="128"/>
      <c r="I45" s="128"/>
      <c r="J45" s="128"/>
      <c r="K45" s="128"/>
      <c r="L45" s="128"/>
      <c r="M45" s="128"/>
      <c r="N45" s="128"/>
      <c r="O45" s="128"/>
      <c r="P45" s="128"/>
      <c r="Q45" s="128"/>
      <c r="R45" s="128"/>
      <c r="S45" s="128"/>
      <c r="T45" s="128"/>
      <c r="U45" s="128"/>
      <c r="V45" s="128"/>
      <c r="W45" s="128"/>
      <c r="X45" s="128"/>
      <c r="Y45" s="128"/>
      <c r="Z45" s="128">
        <v>25.424430784999998</v>
      </c>
      <c r="AA45" s="128">
        <v>32.467450657999997</v>
      </c>
      <c r="AB45" s="128">
        <v>31.909056035999999</v>
      </c>
      <c r="AC45" s="128">
        <v>44.481521770999997</v>
      </c>
      <c r="AD45" s="128">
        <v>41.187833640999997</v>
      </c>
      <c r="AE45" s="128">
        <v>53.407075096</v>
      </c>
      <c r="AF45" s="128">
        <v>60.429928183000001</v>
      </c>
      <c r="AG45" s="128">
        <v>76.906740739</v>
      </c>
      <c r="AH45" s="128">
        <v>74.935032147000001</v>
      </c>
      <c r="AI45" s="128">
        <v>124.933295976</v>
      </c>
      <c r="AJ45" s="128">
        <v>150.31861558700001</v>
      </c>
      <c r="AK45" s="128">
        <v>243.46394551099999</v>
      </c>
      <c r="AL45" s="128">
        <v>131.70128259399999</v>
      </c>
      <c r="AM45" s="128">
        <v>210.61337720099999</v>
      </c>
      <c r="AN45" s="128">
        <v>253.17750398000001</v>
      </c>
      <c r="AO45" s="128">
        <v>1441.6012024839999</v>
      </c>
      <c r="AP45" s="173">
        <v>337.92992113899999</v>
      </c>
      <c r="AQ45" s="173">
        <v>389.78319500200001</v>
      </c>
      <c r="AR45" s="173">
        <v>417.87827856000001</v>
      </c>
      <c r="AS45" s="288">
        <v>380.144545257</v>
      </c>
      <c r="AT45" s="288">
        <v>416.04742255799999</v>
      </c>
      <c r="AU45" s="288">
        <v>486.34955724700001</v>
      </c>
      <c r="AV45" s="288">
        <v>213.18436516899999</v>
      </c>
      <c r="AW45" s="158">
        <v>262.26836281700002</v>
      </c>
      <c r="AX45" s="158">
        <v>203.72266500500001</v>
      </c>
      <c r="AY45" s="158">
        <v>293.73103620699999</v>
      </c>
      <c r="AZ45" s="158">
        <v>163.056682102</v>
      </c>
      <c r="BA45" s="158">
        <v>196.39454543400001</v>
      </c>
      <c r="BB45" s="41">
        <v>216.790068593</v>
      </c>
      <c r="BC45" s="41">
        <v>288.15054577900003</v>
      </c>
      <c r="BD45" s="158">
        <v>189.75253976900001</v>
      </c>
      <c r="BE45" s="158">
        <v>384.236578232</v>
      </c>
      <c r="BF45" s="288">
        <v>231.86797168699999</v>
      </c>
      <c r="BG45" s="289">
        <v>377.44770438799998</v>
      </c>
      <c r="BH45" s="289">
        <v>210.748997022</v>
      </c>
      <c r="BI45" s="289">
        <v>178.06136525100001</v>
      </c>
      <c r="BJ45" s="289">
        <v>210.748997022</v>
      </c>
      <c r="BK45" s="289">
        <v>218.495722481</v>
      </c>
      <c r="BL45" s="289">
        <v>192.130085127</v>
      </c>
      <c r="BM45" s="289">
        <v>308.47434392700001</v>
      </c>
      <c r="BN45" s="289">
        <v>307.57</v>
      </c>
      <c r="BO45" s="289">
        <v>347.552799612</v>
      </c>
      <c r="BP45" s="289">
        <v>232.97</v>
      </c>
      <c r="BQ45" s="289">
        <v>241.40539688699999</v>
      </c>
      <c r="BR45" s="289">
        <v>238.30858630099999</v>
      </c>
      <c r="BS45" s="289">
        <v>307.952455563</v>
      </c>
      <c r="BT45" s="289">
        <v>203.25575538499999</v>
      </c>
      <c r="BU45" s="289"/>
      <c r="BV45" s="142"/>
      <c r="BW45" s="142"/>
      <c r="BX45" s="142"/>
      <c r="BY45" s="142"/>
      <c r="BZ45" s="142"/>
      <c r="CA45" s="142"/>
      <c r="CB45" s="142"/>
      <c r="CC45" s="142"/>
      <c r="CD45" s="142"/>
      <c r="CE45" s="142"/>
      <c r="CF45" s="142"/>
      <c r="CG45" s="142"/>
      <c r="CH45" s="142"/>
      <c r="CI45" s="142"/>
      <c r="CJ45" s="142"/>
      <c r="CK45" s="142"/>
      <c r="CL45" s="142"/>
      <c r="CM45" s="142"/>
      <c r="CN45" s="142"/>
      <c r="CO45" s="142"/>
      <c r="CP45" s="142"/>
      <c r="CQ45" s="142"/>
      <c r="CR45" s="142"/>
      <c r="CS45" s="142"/>
      <c r="CT45" s="142"/>
      <c r="CU45" s="142"/>
      <c r="CV45" s="142"/>
      <c r="CW45" s="142"/>
      <c r="CX45" s="142"/>
      <c r="CY45" s="142"/>
      <c r="CZ45" s="142"/>
      <c r="DA45" s="142"/>
      <c r="DB45" s="142"/>
      <c r="DC45" s="142"/>
      <c r="DD45" s="142"/>
      <c r="DE45" s="142"/>
      <c r="DF45" s="142"/>
      <c r="DG45" s="142"/>
      <c r="DH45" s="142"/>
      <c r="DI45" s="142"/>
      <c r="DJ45" s="142"/>
      <c r="DK45" s="142"/>
      <c r="DL45" s="142"/>
      <c r="DM45" s="142"/>
      <c r="DN45" s="142"/>
      <c r="DO45" s="142"/>
      <c r="DP45" s="142"/>
      <c r="DQ45" s="142"/>
      <c r="DR45" s="142"/>
      <c r="DS45" s="133"/>
      <c r="DT45" s="174" t="str">
        <f t="shared" si="71"/>
        <v/>
      </c>
      <c r="DU45" s="174" t="str">
        <f t="shared" si="65"/>
        <v/>
      </c>
      <c r="DV45" s="174" t="str">
        <f t="shared" si="65"/>
        <v/>
      </c>
      <c r="DW45" s="174" t="str">
        <f t="shared" si="65"/>
        <v/>
      </c>
      <c r="DX45" s="174" t="str">
        <f t="shared" si="65"/>
        <v/>
      </c>
      <c r="DY45" s="174" t="str">
        <f t="shared" si="65"/>
        <v/>
      </c>
      <c r="DZ45" s="174" t="str">
        <f t="shared" si="65"/>
        <v/>
      </c>
      <c r="EA45" s="174" t="str">
        <f t="shared" si="65"/>
        <v/>
      </c>
      <c r="EB45" s="174" t="str">
        <f t="shared" si="65"/>
        <v/>
      </c>
      <c r="EC45" s="174" t="str">
        <f t="shared" si="65"/>
        <v/>
      </c>
      <c r="ED45" s="174" t="str">
        <f t="shared" si="65"/>
        <v/>
      </c>
      <c r="EE45" s="174" t="str">
        <f t="shared" si="65"/>
        <v/>
      </c>
      <c r="EF45" s="174" t="str">
        <f t="shared" si="65"/>
        <v/>
      </c>
      <c r="EG45" s="174" t="str">
        <f t="shared" si="65"/>
        <v/>
      </c>
      <c r="EH45" s="174" t="str">
        <f t="shared" si="65"/>
        <v/>
      </c>
      <c r="EI45" s="174" t="str">
        <f t="shared" si="65"/>
        <v/>
      </c>
      <c r="EJ45" s="174" t="str">
        <f t="shared" si="65"/>
        <v/>
      </c>
      <c r="EK45" s="174" t="str">
        <f t="shared" si="66"/>
        <v/>
      </c>
      <c r="EL45" s="174" t="str">
        <f t="shared" si="66"/>
        <v/>
      </c>
      <c r="EM45" s="174" t="str">
        <f t="shared" si="66"/>
        <v/>
      </c>
      <c r="EN45" s="174">
        <f t="shared" si="66"/>
        <v>0.62001005998136849</v>
      </c>
      <c r="EO45" s="174">
        <f t="shared" si="66"/>
        <v>0.64494205777257307</v>
      </c>
      <c r="EP45" s="174">
        <f t="shared" si="66"/>
        <v>0.89381748287453489</v>
      </c>
      <c r="EQ45" s="174">
        <f t="shared" si="66"/>
        <v>0.72895929988483044</v>
      </c>
      <c r="ER45" s="174">
        <f t="shared" si="66"/>
        <v>0.81934871350958138</v>
      </c>
      <c r="ES45" s="174">
        <f t="shared" si="66"/>
        <v>1.3392648961103104</v>
      </c>
      <c r="ET45" s="174">
        <f t="shared" si="66"/>
        <v>1.4874862523713421</v>
      </c>
      <c r="EU45" s="174">
        <f t="shared" si="66"/>
        <v>2.1657035933592432</v>
      </c>
      <c r="EV45" s="174">
        <f t="shared" si="66"/>
        <v>0.75753954886736663</v>
      </c>
      <c r="EW45" s="174">
        <f t="shared" si="66"/>
        <v>0.68580661828900569</v>
      </c>
      <c r="EX45" s="174">
        <f t="shared" si="66"/>
        <v>0.68427245681668936</v>
      </c>
      <c r="EY45" s="174">
        <f t="shared" si="66"/>
        <v>4.9212102205041557</v>
      </c>
      <c r="EZ45" s="174">
        <f t="shared" si="66"/>
        <v>1.5658817779379417</v>
      </c>
      <c r="FA45" s="174">
        <f t="shared" si="67"/>
        <v>0.85070483262802599</v>
      </c>
      <c r="FB45" s="174">
        <f t="shared" si="67"/>
        <v>0.65053479077276433</v>
      </c>
      <c r="FC45" s="174">
        <f t="shared" si="67"/>
        <v>-0.73630394827502987</v>
      </c>
      <c r="FD45" s="174">
        <f t="shared" si="67"/>
        <v>0.23116479640424648</v>
      </c>
      <c r="FE45" s="174">
        <f t="shared" si="67"/>
        <v>0.24774378034564704</v>
      </c>
      <c r="FF45" s="174">
        <f t="shared" si="67"/>
        <v>-0.48984099890611943</v>
      </c>
      <c r="FG45" s="174">
        <f t="shared" si="67"/>
        <v>-0.31008253021310295</v>
      </c>
      <c r="FH45" s="174">
        <f t="shared" si="68"/>
        <v>-0.51033787506134687</v>
      </c>
      <c r="FI45" s="174">
        <f t="shared" si="69"/>
        <v>-0.39604954537292969</v>
      </c>
      <c r="FJ45" s="174">
        <f t="shared" si="70"/>
        <v>-0.23513770828016267</v>
      </c>
      <c r="FK45" s="174">
        <f t="shared" si="70"/>
        <v>-0.25116951459739745</v>
      </c>
    </row>
    <row r="46" spans="1:167" ht="16">
      <c r="B46" s="140" t="s">
        <v>795</v>
      </c>
      <c r="C46" s="127" t="s">
        <v>796</v>
      </c>
      <c r="D46" s="128"/>
      <c r="E46" s="128"/>
      <c r="F46" s="128"/>
      <c r="G46" s="128"/>
      <c r="H46" s="128"/>
      <c r="I46" s="128"/>
      <c r="J46" s="128"/>
      <c r="K46" s="128"/>
      <c r="L46" s="128"/>
      <c r="M46" s="128"/>
      <c r="N46" s="128"/>
      <c r="O46" s="128"/>
      <c r="P46" s="128"/>
      <c r="Q46" s="128"/>
      <c r="R46" s="128"/>
      <c r="S46" s="128"/>
      <c r="T46" s="128"/>
      <c r="U46" s="128"/>
      <c r="V46" s="128"/>
      <c r="W46" s="128"/>
      <c r="X46" s="128"/>
      <c r="Y46" s="128"/>
      <c r="Z46" s="128">
        <v>27.941612274000001</v>
      </c>
      <c r="AA46" s="128">
        <v>116.655869377</v>
      </c>
      <c r="AB46" s="128">
        <v>112.135033362</v>
      </c>
      <c r="AC46" s="128">
        <v>90.846398086999997</v>
      </c>
      <c r="AD46" s="128">
        <v>102.75788126</v>
      </c>
      <c r="AE46" s="128">
        <v>45.271966241000001</v>
      </c>
      <c r="AF46" s="128">
        <v>61.602636840999999</v>
      </c>
      <c r="AG46" s="128">
        <v>218.45341917499999</v>
      </c>
      <c r="AH46" s="128">
        <v>134.035455294</v>
      </c>
      <c r="AI46" s="128">
        <v>183.28119203700001</v>
      </c>
      <c r="AJ46" s="128">
        <v>174.18516836200001</v>
      </c>
      <c r="AK46" s="128">
        <v>315.21018115300001</v>
      </c>
      <c r="AL46" s="128">
        <v>81.339350535999998</v>
      </c>
      <c r="AM46" s="128">
        <v>62.220382655999998</v>
      </c>
      <c r="AN46" s="128">
        <v>112.099614317</v>
      </c>
      <c r="AO46" s="128">
        <v>128.482078761</v>
      </c>
      <c r="AP46" s="173">
        <v>40.635659294</v>
      </c>
      <c r="AQ46" s="173">
        <v>83.457888054999998</v>
      </c>
      <c r="AR46" s="173">
        <v>85.909526091000004</v>
      </c>
      <c r="AS46" s="288">
        <v>21.007291749</v>
      </c>
      <c r="AT46" s="288">
        <v>74.524468807000005</v>
      </c>
      <c r="AU46" s="288">
        <v>144.83264277800001</v>
      </c>
      <c r="AV46" s="288">
        <v>192.83960267200001</v>
      </c>
      <c r="AW46" s="158">
        <v>187.734040886</v>
      </c>
      <c r="AX46" s="158">
        <v>305.554754694</v>
      </c>
      <c r="AY46" s="158">
        <v>254.38403805199999</v>
      </c>
      <c r="AZ46" s="158">
        <v>416.44818462199999</v>
      </c>
      <c r="BA46" s="158">
        <v>287.91333155199999</v>
      </c>
      <c r="BB46" s="41">
        <v>369.838632437</v>
      </c>
      <c r="BC46" s="41">
        <v>461.19741184899999</v>
      </c>
      <c r="BD46" s="158">
        <v>635.72747655499995</v>
      </c>
      <c r="BE46" s="158">
        <v>390.73878275599998</v>
      </c>
      <c r="BF46" s="288">
        <v>388.78201327699998</v>
      </c>
      <c r="BG46" s="289">
        <v>525.16031588500005</v>
      </c>
      <c r="BH46" s="289">
        <v>599.96043509200001</v>
      </c>
      <c r="BI46" s="289">
        <v>465.04181209299998</v>
      </c>
      <c r="BJ46" s="289">
        <v>599.96043509200001</v>
      </c>
      <c r="BK46" s="289">
        <v>157.33787002599999</v>
      </c>
      <c r="BL46" s="289">
        <v>182.052135682</v>
      </c>
      <c r="BM46" s="289">
        <v>95.981093251000004</v>
      </c>
      <c r="BN46" s="289">
        <v>47.84</v>
      </c>
      <c r="BO46" s="289">
        <v>89.769785614</v>
      </c>
      <c r="BP46" s="289">
        <v>99.5</v>
      </c>
      <c r="BQ46" s="289">
        <v>53.659523938</v>
      </c>
      <c r="BR46" s="289">
        <v>62.660193812999999</v>
      </c>
      <c r="BS46" s="289">
        <v>38.235583466000001</v>
      </c>
      <c r="BT46" s="289">
        <v>34.907414897999999</v>
      </c>
      <c r="BU46" s="289"/>
      <c r="BV46" s="142"/>
      <c r="BW46" s="142"/>
      <c r="BX46" s="142"/>
      <c r="BY46" s="142"/>
      <c r="BZ46" s="142"/>
      <c r="CA46" s="142"/>
      <c r="CB46" s="142"/>
      <c r="CC46" s="142"/>
      <c r="CD46" s="142"/>
      <c r="CE46" s="142"/>
      <c r="CF46" s="142"/>
      <c r="CG46" s="142"/>
      <c r="CH46" s="142"/>
      <c r="CI46" s="142"/>
      <c r="CJ46" s="142"/>
      <c r="CK46" s="142"/>
      <c r="CL46" s="142"/>
      <c r="CM46" s="142"/>
      <c r="CN46" s="142"/>
      <c r="CO46" s="142"/>
      <c r="CP46" s="142"/>
      <c r="CQ46" s="142"/>
      <c r="CR46" s="142"/>
      <c r="CS46" s="142"/>
      <c r="CT46" s="142"/>
      <c r="CU46" s="142"/>
      <c r="CV46" s="142"/>
      <c r="CW46" s="142"/>
      <c r="CX46" s="142"/>
      <c r="CY46" s="142"/>
      <c r="CZ46" s="142"/>
      <c r="DA46" s="142"/>
      <c r="DB46" s="142"/>
      <c r="DC46" s="142"/>
      <c r="DD46" s="142"/>
      <c r="DE46" s="142"/>
      <c r="DF46" s="142"/>
      <c r="DG46" s="142"/>
      <c r="DH46" s="142"/>
      <c r="DI46" s="142"/>
      <c r="DJ46" s="142"/>
      <c r="DK46" s="142"/>
      <c r="DL46" s="142"/>
      <c r="DM46" s="142"/>
      <c r="DN46" s="142"/>
      <c r="DO46" s="142"/>
      <c r="DP46" s="142"/>
      <c r="DQ46" s="142"/>
      <c r="DR46" s="142"/>
      <c r="DS46" s="133"/>
      <c r="DT46" s="174" t="str">
        <f t="shared" si="71"/>
        <v/>
      </c>
      <c r="DU46" s="174" t="str">
        <f t="shared" si="65"/>
        <v/>
      </c>
      <c r="DV46" s="174" t="str">
        <f t="shared" si="65"/>
        <v/>
      </c>
      <c r="DW46" s="174" t="str">
        <f t="shared" si="65"/>
        <v/>
      </c>
      <c r="DX46" s="174" t="str">
        <f t="shared" si="65"/>
        <v/>
      </c>
      <c r="DY46" s="174" t="str">
        <f t="shared" si="65"/>
        <v/>
      </c>
      <c r="DZ46" s="174" t="str">
        <f t="shared" si="65"/>
        <v/>
      </c>
      <c r="EA46" s="174" t="str">
        <f t="shared" si="65"/>
        <v/>
      </c>
      <c r="EB46" s="174" t="str">
        <f t="shared" si="65"/>
        <v/>
      </c>
      <c r="EC46" s="174" t="str">
        <f t="shared" si="65"/>
        <v/>
      </c>
      <c r="ED46" s="174" t="str">
        <f t="shared" si="65"/>
        <v/>
      </c>
      <c r="EE46" s="174" t="str">
        <f t="shared" si="65"/>
        <v/>
      </c>
      <c r="EF46" s="174" t="str">
        <f t="shared" si="65"/>
        <v/>
      </c>
      <c r="EG46" s="174" t="str">
        <f t="shared" si="65"/>
        <v/>
      </c>
      <c r="EH46" s="174" t="str">
        <f t="shared" si="65"/>
        <v/>
      </c>
      <c r="EI46" s="174" t="str">
        <f t="shared" si="65"/>
        <v/>
      </c>
      <c r="EJ46" s="174" t="str">
        <f t="shared" si="65"/>
        <v/>
      </c>
      <c r="EK46" s="174" t="str">
        <f t="shared" si="66"/>
        <v/>
      </c>
      <c r="EL46" s="174" t="str">
        <f t="shared" si="66"/>
        <v/>
      </c>
      <c r="EM46" s="174" t="str">
        <f t="shared" si="66"/>
        <v/>
      </c>
      <c r="EN46" s="174">
        <f t="shared" si="66"/>
        <v>2.677593127137385</v>
      </c>
      <c r="EO46" s="174">
        <f t="shared" si="66"/>
        <v>-0.61191865884867447</v>
      </c>
      <c r="EP46" s="174">
        <f t="shared" si="66"/>
        <v>-0.45063879686795794</v>
      </c>
      <c r="EQ46" s="174">
        <f t="shared" si="66"/>
        <v>1.4046459053422877</v>
      </c>
      <c r="ER46" s="174">
        <f t="shared" si="66"/>
        <v>0.30438126643406416</v>
      </c>
      <c r="ES46" s="174">
        <f t="shared" si="66"/>
        <v>3.0484477979446281</v>
      </c>
      <c r="ET46" s="174">
        <f t="shared" si="66"/>
        <v>1.8275602684278289</v>
      </c>
      <c r="EU46" s="174">
        <f t="shared" si="66"/>
        <v>0.44291713237268904</v>
      </c>
      <c r="EV46" s="174">
        <f t="shared" si="66"/>
        <v>-0.39315048874503955</v>
      </c>
      <c r="EW46" s="174">
        <f t="shared" si="66"/>
        <v>-0.66051954396150359</v>
      </c>
      <c r="EX46" s="174">
        <f t="shared" si="66"/>
        <v>-0.35643421669502207</v>
      </c>
      <c r="EY46" s="174">
        <f t="shared" si="66"/>
        <v>-0.59239235772452403</v>
      </c>
      <c r="EZ46" s="174">
        <f t="shared" si="66"/>
        <v>-0.50041819824938172</v>
      </c>
      <c r="FA46" s="174">
        <f t="shared" si="67"/>
        <v>0.34132714220702454</v>
      </c>
      <c r="FB46" s="174">
        <f t="shared" si="67"/>
        <v>-0.23363227773414608</v>
      </c>
      <c r="FC46" s="174">
        <f t="shared" si="67"/>
        <v>-0.83649632733544588</v>
      </c>
      <c r="FD46" s="174">
        <f t="shared" si="67"/>
        <v>0.83396726180357095</v>
      </c>
      <c r="FE46" s="174">
        <f t="shared" si="67"/>
        <v>0.73539788932297356</v>
      </c>
      <c r="FF46" s="174">
        <f t="shared" si="67"/>
        <v>1.2446824170317727</v>
      </c>
      <c r="FG46" s="174">
        <f t="shared" si="67"/>
        <v>7.9366132069326181</v>
      </c>
      <c r="FH46" s="174">
        <f t="shared" si="68"/>
        <v>3.1000594782542024</v>
      </c>
      <c r="FI46" s="174">
        <f t="shared" si="69"/>
        <v>0.75639989143829101</v>
      </c>
      <c r="FJ46" s="174">
        <f t="shared" si="70"/>
        <v>1.1595573671157928</v>
      </c>
      <c r="FK46" s="174">
        <f t="shared" si="70"/>
        <v>0.5336234717646815</v>
      </c>
    </row>
    <row r="47" spans="1:167" ht="16">
      <c r="B47" s="140" t="s">
        <v>797</v>
      </c>
      <c r="C47" s="127" t="s">
        <v>798</v>
      </c>
      <c r="D47" s="128"/>
      <c r="E47" s="128"/>
      <c r="F47" s="128"/>
      <c r="G47" s="128"/>
      <c r="H47" s="128"/>
      <c r="I47" s="128"/>
      <c r="J47" s="128"/>
      <c r="K47" s="128"/>
      <c r="L47" s="128"/>
      <c r="M47" s="128"/>
      <c r="N47" s="128"/>
      <c r="O47" s="128"/>
      <c r="P47" s="128"/>
      <c r="Q47" s="128"/>
      <c r="R47" s="128"/>
      <c r="S47" s="128"/>
      <c r="T47" s="128"/>
      <c r="U47" s="128"/>
      <c r="V47" s="128"/>
      <c r="W47" s="128"/>
      <c r="X47" s="128"/>
      <c r="Y47" s="128"/>
      <c r="Z47" s="128">
        <v>0</v>
      </c>
      <c r="AA47" s="128">
        <v>0</v>
      </c>
      <c r="AB47" s="128">
        <v>0</v>
      </c>
      <c r="AC47" s="128">
        <v>0</v>
      </c>
      <c r="AD47" s="128">
        <v>0</v>
      </c>
      <c r="AE47" s="128">
        <v>0</v>
      </c>
      <c r="AF47" s="128">
        <v>0</v>
      </c>
      <c r="AG47" s="128">
        <v>0</v>
      </c>
      <c r="AH47" s="128">
        <v>0</v>
      </c>
      <c r="AI47" s="128">
        <v>0</v>
      </c>
      <c r="AJ47" s="128">
        <v>0</v>
      </c>
      <c r="AK47" s="128">
        <v>0</v>
      </c>
      <c r="AL47" s="128">
        <v>0</v>
      </c>
      <c r="AM47" s="128">
        <v>0</v>
      </c>
      <c r="AN47" s="128">
        <v>0</v>
      </c>
      <c r="AO47" s="128">
        <v>0</v>
      </c>
      <c r="AP47" s="173">
        <v>0</v>
      </c>
      <c r="AQ47" s="173">
        <v>0</v>
      </c>
      <c r="AR47" s="173">
        <v>0</v>
      </c>
      <c r="AS47" s="288">
        <v>0</v>
      </c>
      <c r="AT47" s="288">
        <v>0</v>
      </c>
      <c r="AU47" s="288">
        <v>0</v>
      </c>
      <c r="AV47" s="288">
        <v>0</v>
      </c>
      <c r="AW47" s="158">
        <v>0</v>
      </c>
      <c r="AX47" s="158">
        <v>0</v>
      </c>
      <c r="AY47" s="158">
        <v>0</v>
      </c>
      <c r="AZ47" s="158">
        <v>0</v>
      </c>
      <c r="BA47" s="158">
        <v>0</v>
      </c>
      <c r="BB47" s="41">
        <v>0</v>
      </c>
      <c r="BC47" s="41">
        <v>0</v>
      </c>
      <c r="BD47" s="158">
        <v>0</v>
      </c>
      <c r="BE47" s="158">
        <v>0</v>
      </c>
      <c r="BF47" s="288">
        <v>0</v>
      </c>
      <c r="BG47" s="289">
        <v>0</v>
      </c>
      <c r="BH47" s="289">
        <v>0</v>
      </c>
      <c r="BI47" s="289">
        <v>0</v>
      </c>
      <c r="BJ47" s="289">
        <v>0</v>
      </c>
      <c r="BK47" s="289">
        <v>0</v>
      </c>
      <c r="BL47" s="289">
        <v>0</v>
      </c>
      <c r="BM47" s="289">
        <v>0</v>
      </c>
      <c r="BN47" s="289">
        <v>0</v>
      </c>
      <c r="BO47" s="289">
        <v>0</v>
      </c>
      <c r="BP47" s="289">
        <v>0</v>
      </c>
      <c r="BQ47" s="289">
        <v>0</v>
      </c>
      <c r="BR47" s="289">
        <v>0</v>
      </c>
      <c r="BS47" s="289">
        <v>0</v>
      </c>
      <c r="BT47" s="289">
        <v>0</v>
      </c>
      <c r="BU47" s="289"/>
      <c r="BV47" s="142"/>
      <c r="BW47" s="142"/>
      <c r="BX47" s="142"/>
      <c r="BY47" s="142"/>
      <c r="BZ47" s="142"/>
      <c r="CA47" s="142"/>
      <c r="CB47" s="142"/>
      <c r="CC47" s="142"/>
      <c r="CD47" s="142"/>
      <c r="CE47" s="142"/>
      <c r="CF47" s="142"/>
      <c r="CG47" s="142"/>
      <c r="CH47" s="142"/>
      <c r="CI47" s="142"/>
      <c r="CJ47" s="142"/>
      <c r="CK47" s="142"/>
      <c r="CL47" s="142"/>
      <c r="CM47" s="142"/>
      <c r="CN47" s="142"/>
      <c r="CO47" s="142"/>
      <c r="CP47" s="142"/>
      <c r="CQ47" s="142"/>
      <c r="CR47" s="142"/>
      <c r="CS47" s="142"/>
      <c r="CT47" s="142"/>
      <c r="CU47" s="142"/>
      <c r="CV47" s="142"/>
      <c r="CW47" s="142"/>
      <c r="CX47" s="142"/>
      <c r="CY47" s="142"/>
      <c r="CZ47" s="142"/>
      <c r="DA47" s="142"/>
      <c r="DB47" s="142"/>
      <c r="DC47" s="142"/>
      <c r="DD47" s="142"/>
      <c r="DE47" s="142"/>
      <c r="DF47" s="142"/>
      <c r="DG47" s="142"/>
      <c r="DH47" s="142"/>
      <c r="DI47" s="142"/>
      <c r="DJ47" s="142"/>
      <c r="DK47" s="142"/>
      <c r="DL47" s="142"/>
      <c r="DM47" s="142"/>
      <c r="DN47" s="142"/>
      <c r="DO47" s="142"/>
      <c r="DP47" s="142"/>
      <c r="DQ47" s="142"/>
      <c r="DR47" s="142"/>
      <c r="DS47" s="133"/>
      <c r="DT47" s="174" t="str">
        <f t="shared" si="71"/>
        <v/>
      </c>
      <c r="DU47" s="174" t="str">
        <f t="shared" si="65"/>
        <v/>
      </c>
      <c r="DV47" s="174" t="str">
        <f t="shared" si="65"/>
        <v/>
      </c>
      <c r="DW47" s="174" t="str">
        <f t="shared" si="65"/>
        <v/>
      </c>
      <c r="DX47" s="174" t="str">
        <f t="shared" si="65"/>
        <v/>
      </c>
      <c r="DY47" s="174" t="str">
        <f t="shared" si="65"/>
        <v/>
      </c>
      <c r="DZ47" s="174" t="str">
        <f t="shared" si="65"/>
        <v/>
      </c>
      <c r="EA47" s="174" t="str">
        <f t="shared" si="65"/>
        <v/>
      </c>
      <c r="EB47" s="174" t="str">
        <f t="shared" si="65"/>
        <v/>
      </c>
      <c r="EC47" s="174" t="str">
        <f t="shared" si="65"/>
        <v/>
      </c>
      <c r="ED47" s="174" t="str">
        <f t="shared" si="65"/>
        <v/>
      </c>
      <c r="EE47" s="174" t="str">
        <f t="shared" si="65"/>
        <v/>
      </c>
      <c r="EF47" s="174" t="str">
        <f t="shared" si="65"/>
        <v/>
      </c>
      <c r="EG47" s="174" t="str">
        <f t="shared" si="65"/>
        <v/>
      </c>
      <c r="EH47" s="174" t="str">
        <f t="shared" si="65"/>
        <v/>
      </c>
      <c r="EI47" s="174" t="str">
        <f t="shared" si="65"/>
        <v/>
      </c>
      <c r="EJ47" s="174" t="str">
        <f t="shared" si="65"/>
        <v/>
      </c>
      <c r="EK47" s="174" t="str">
        <f t="shared" si="66"/>
        <v/>
      </c>
      <c r="EL47" s="174" t="str">
        <f t="shared" si="66"/>
        <v/>
      </c>
      <c r="EM47" s="174" t="str">
        <f t="shared" si="66"/>
        <v/>
      </c>
      <c r="EN47" s="174" t="str">
        <f t="shared" si="66"/>
        <v/>
      </c>
      <c r="EO47" s="174" t="str">
        <f t="shared" si="66"/>
        <v/>
      </c>
      <c r="EP47" s="174" t="str">
        <f t="shared" si="66"/>
        <v/>
      </c>
      <c r="EQ47" s="174" t="str">
        <f t="shared" si="66"/>
        <v/>
      </c>
      <c r="ER47" s="174" t="str">
        <f t="shared" si="66"/>
        <v/>
      </c>
      <c r="ES47" s="174" t="str">
        <f t="shared" si="66"/>
        <v/>
      </c>
      <c r="ET47" s="174" t="str">
        <f t="shared" si="66"/>
        <v/>
      </c>
      <c r="EU47" s="174" t="str">
        <f t="shared" si="66"/>
        <v/>
      </c>
      <c r="EV47" s="174" t="str">
        <f t="shared" si="66"/>
        <v/>
      </c>
      <c r="EW47" s="174" t="str">
        <f t="shared" si="66"/>
        <v/>
      </c>
      <c r="EX47" s="174" t="str">
        <f t="shared" si="66"/>
        <v/>
      </c>
      <c r="EY47" s="174" t="str">
        <f t="shared" si="66"/>
        <v/>
      </c>
      <c r="EZ47" s="174" t="str">
        <f t="shared" si="66"/>
        <v/>
      </c>
      <c r="FA47" s="174" t="str">
        <f t="shared" si="67"/>
        <v/>
      </c>
      <c r="FB47" s="174" t="str">
        <f t="shared" si="67"/>
        <v/>
      </c>
      <c r="FC47" s="174" t="str">
        <f t="shared" si="67"/>
        <v/>
      </c>
      <c r="FD47" s="174" t="str">
        <f t="shared" si="67"/>
        <v/>
      </c>
      <c r="FE47" s="174" t="str">
        <f t="shared" si="67"/>
        <v/>
      </c>
      <c r="FF47" s="174" t="str">
        <f t="shared" si="67"/>
        <v/>
      </c>
      <c r="FG47" s="174" t="str">
        <f t="shared" si="67"/>
        <v/>
      </c>
      <c r="FH47" s="174" t="str">
        <f t="shared" si="68"/>
        <v/>
      </c>
      <c r="FI47" s="174" t="str">
        <f t="shared" si="69"/>
        <v/>
      </c>
      <c r="FJ47" s="174" t="str">
        <f t="shared" si="70"/>
        <v/>
      </c>
      <c r="FK47" s="174" t="str">
        <f t="shared" si="70"/>
        <v/>
      </c>
    </row>
    <row r="48" spans="1:167" ht="16">
      <c r="B48" s="140" t="s">
        <v>799</v>
      </c>
      <c r="C48" s="127" t="s">
        <v>800</v>
      </c>
      <c r="D48" s="128"/>
      <c r="E48" s="128"/>
      <c r="F48" s="128"/>
      <c r="G48" s="128"/>
      <c r="H48" s="128"/>
      <c r="I48" s="128"/>
      <c r="J48" s="128"/>
      <c r="K48" s="128"/>
      <c r="L48" s="128"/>
      <c r="M48" s="128"/>
      <c r="N48" s="128"/>
      <c r="O48" s="128"/>
      <c r="P48" s="128"/>
      <c r="Q48" s="128"/>
      <c r="R48" s="128"/>
      <c r="S48" s="128"/>
      <c r="T48" s="128"/>
      <c r="U48" s="128"/>
      <c r="V48" s="128"/>
      <c r="W48" s="128"/>
      <c r="X48" s="128"/>
      <c r="Y48" s="128"/>
      <c r="Z48" s="128">
        <v>0</v>
      </c>
      <c r="AA48" s="128">
        <v>0</v>
      </c>
      <c r="AB48" s="128">
        <v>0</v>
      </c>
      <c r="AC48" s="128">
        <v>0</v>
      </c>
      <c r="AD48" s="128">
        <v>0</v>
      </c>
      <c r="AE48" s="128">
        <v>0</v>
      </c>
      <c r="AF48" s="128">
        <v>0</v>
      </c>
      <c r="AG48" s="128">
        <v>0</v>
      </c>
      <c r="AH48" s="128">
        <v>0</v>
      </c>
      <c r="AI48" s="128">
        <v>0</v>
      </c>
      <c r="AJ48" s="128">
        <v>0</v>
      </c>
      <c r="AK48" s="128">
        <v>0</v>
      </c>
      <c r="AL48" s="128">
        <v>0</v>
      </c>
      <c r="AM48" s="128">
        <v>0</v>
      </c>
      <c r="AN48" s="128">
        <v>0</v>
      </c>
      <c r="AO48" s="128">
        <v>0</v>
      </c>
      <c r="AP48" s="173">
        <v>0</v>
      </c>
      <c r="AQ48" s="173">
        <v>0</v>
      </c>
      <c r="AR48" s="173">
        <v>0</v>
      </c>
      <c r="AS48" s="288">
        <v>0</v>
      </c>
      <c r="AT48" s="288">
        <v>0</v>
      </c>
      <c r="AU48" s="288">
        <v>0</v>
      </c>
      <c r="AV48" s="288">
        <v>0</v>
      </c>
      <c r="AW48" s="158">
        <v>0</v>
      </c>
      <c r="AX48" s="158">
        <v>0</v>
      </c>
      <c r="AY48" s="158">
        <v>0</v>
      </c>
      <c r="AZ48" s="158">
        <v>0</v>
      </c>
      <c r="BA48" s="158">
        <v>0</v>
      </c>
      <c r="BB48" s="41">
        <v>0</v>
      </c>
      <c r="BC48" s="41">
        <v>0</v>
      </c>
      <c r="BD48" s="158">
        <v>0</v>
      </c>
      <c r="BE48" s="158">
        <v>0</v>
      </c>
      <c r="BF48" s="288">
        <v>0</v>
      </c>
      <c r="BG48" s="289">
        <v>0</v>
      </c>
      <c r="BH48" s="289">
        <v>0</v>
      </c>
      <c r="BI48" s="289">
        <v>0</v>
      </c>
      <c r="BJ48" s="289">
        <v>0</v>
      </c>
      <c r="BK48" s="289">
        <v>0</v>
      </c>
      <c r="BL48" s="289">
        <v>0</v>
      </c>
      <c r="BM48" s="289">
        <v>0</v>
      </c>
      <c r="BN48" s="289">
        <v>0</v>
      </c>
      <c r="BO48" s="289">
        <v>0</v>
      </c>
      <c r="BP48" s="289">
        <v>0</v>
      </c>
      <c r="BQ48" s="289">
        <v>0</v>
      </c>
      <c r="BR48" s="289">
        <v>0</v>
      </c>
      <c r="BS48" s="289">
        <v>0</v>
      </c>
      <c r="BT48" s="289">
        <v>0</v>
      </c>
      <c r="BU48" s="289"/>
      <c r="BV48" s="142"/>
      <c r="BW48" s="142"/>
      <c r="BX48" s="142"/>
      <c r="BY48" s="142"/>
      <c r="BZ48" s="142"/>
      <c r="CA48" s="142"/>
      <c r="CB48" s="142"/>
      <c r="CC48" s="142"/>
      <c r="CD48" s="142"/>
      <c r="CE48" s="142"/>
      <c r="CF48" s="142"/>
      <c r="CG48" s="142"/>
      <c r="CH48" s="142"/>
      <c r="CI48" s="142"/>
      <c r="CJ48" s="142"/>
      <c r="CK48" s="142"/>
      <c r="CL48" s="142"/>
      <c r="CM48" s="142"/>
      <c r="CN48" s="142"/>
      <c r="CO48" s="142"/>
      <c r="CP48" s="142"/>
      <c r="CQ48" s="142"/>
      <c r="CR48" s="142"/>
      <c r="CS48" s="142"/>
      <c r="CT48" s="142"/>
      <c r="CU48" s="142"/>
      <c r="CV48" s="142"/>
      <c r="CW48" s="142"/>
      <c r="CX48" s="142"/>
      <c r="CY48" s="142"/>
      <c r="CZ48" s="142"/>
      <c r="DA48" s="142"/>
      <c r="DB48" s="142"/>
      <c r="DC48" s="142"/>
      <c r="DD48" s="142"/>
      <c r="DE48" s="142"/>
      <c r="DF48" s="142"/>
      <c r="DG48" s="142"/>
      <c r="DH48" s="142"/>
      <c r="DI48" s="142"/>
      <c r="DJ48" s="142"/>
      <c r="DK48" s="142"/>
      <c r="DL48" s="142"/>
      <c r="DM48" s="142"/>
      <c r="DN48" s="142"/>
      <c r="DO48" s="142"/>
      <c r="DP48" s="142"/>
      <c r="DQ48" s="142"/>
      <c r="DR48" s="142"/>
      <c r="DS48" s="133"/>
      <c r="DT48" s="174" t="str">
        <f t="shared" si="71"/>
        <v/>
      </c>
      <c r="DU48" s="174" t="str">
        <f t="shared" si="65"/>
        <v/>
      </c>
      <c r="DV48" s="174" t="str">
        <f t="shared" si="65"/>
        <v/>
      </c>
      <c r="DW48" s="174" t="str">
        <f t="shared" si="65"/>
        <v/>
      </c>
      <c r="DX48" s="174" t="str">
        <f t="shared" si="65"/>
        <v/>
      </c>
      <c r="DY48" s="174" t="str">
        <f t="shared" si="65"/>
        <v/>
      </c>
      <c r="DZ48" s="174" t="str">
        <f t="shared" si="65"/>
        <v/>
      </c>
      <c r="EA48" s="174" t="str">
        <f t="shared" si="65"/>
        <v/>
      </c>
      <c r="EB48" s="174" t="str">
        <f t="shared" si="65"/>
        <v/>
      </c>
      <c r="EC48" s="174" t="str">
        <f t="shared" si="65"/>
        <v/>
      </c>
      <c r="ED48" s="174" t="str">
        <f t="shared" si="65"/>
        <v/>
      </c>
      <c r="EE48" s="174" t="str">
        <f t="shared" si="65"/>
        <v/>
      </c>
      <c r="EF48" s="174" t="str">
        <f t="shared" si="65"/>
        <v/>
      </c>
      <c r="EG48" s="174" t="str">
        <f t="shared" si="65"/>
        <v/>
      </c>
      <c r="EH48" s="174" t="str">
        <f t="shared" si="65"/>
        <v/>
      </c>
      <c r="EI48" s="174" t="str">
        <f t="shared" si="65"/>
        <v/>
      </c>
      <c r="EJ48" s="174" t="str">
        <f t="shared" si="65"/>
        <v/>
      </c>
      <c r="EK48" s="174" t="str">
        <f t="shared" si="66"/>
        <v/>
      </c>
      <c r="EL48" s="174" t="str">
        <f t="shared" si="66"/>
        <v/>
      </c>
      <c r="EM48" s="174" t="str">
        <f t="shared" si="66"/>
        <v/>
      </c>
      <c r="EN48" s="174" t="str">
        <f t="shared" si="66"/>
        <v/>
      </c>
      <c r="EO48" s="174" t="str">
        <f t="shared" si="66"/>
        <v/>
      </c>
      <c r="EP48" s="174" t="str">
        <f t="shared" si="66"/>
        <v/>
      </c>
      <c r="EQ48" s="174" t="str">
        <f t="shared" si="66"/>
        <v/>
      </c>
      <c r="ER48" s="174" t="str">
        <f t="shared" si="66"/>
        <v/>
      </c>
      <c r="ES48" s="174" t="str">
        <f t="shared" si="66"/>
        <v/>
      </c>
      <c r="ET48" s="174" t="str">
        <f t="shared" si="66"/>
        <v/>
      </c>
      <c r="EU48" s="174" t="str">
        <f t="shared" si="66"/>
        <v/>
      </c>
      <c r="EV48" s="174" t="str">
        <f t="shared" si="66"/>
        <v/>
      </c>
      <c r="EW48" s="174" t="str">
        <f t="shared" si="66"/>
        <v/>
      </c>
      <c r="EX48" s="174" t="str">
        <f t="shared" si="66"/>
        <v/>
      </c>
      <c r="EY48" s="174" t="str">
        <f t="shared" si="66"/>
        <v/>
      </c>
      <c r="EZ48" s="174" t="str">
        <f t="shared" si="66"/>
        <v/>
      </c>
      <c r="FA48" s="174" t="str">
        <f t="shared" si="67"/>
        <v/>
      </c>
      <c r="FB48" s="174" t="str">
        <f t="shared" si="67"/>
        <v/>
      </c>
      <c r="FC48" s="174" t="str">
        <f t="shared" si="67"/>
        <v/>
      </c>
      <c r="FD48" s="174" t="str">
        <f t="shared" si="67"/>
        <v/>
      </c>
      <c r="FE48" s="174" t="str">
        <f t="shared" si="67"/>
        <v/>
      </c>
      <c r="FF48" s="174" t="str">
        <f t="shared" si="67"/>
        <v/>
      </c>
      <c r="FG48" s="174" t="str">
        <f t="shared" si="67"/>
        <v/>
      </c>
      <c r="FH48" s="174" t="str">
        <f t="shared" si="68"/>
        <v/>
      </c>
      <c r="FI48" s="174" t="str">
        <f t="shared" si="69"/>
        <v/>
      </c>
      <c r="FJ48" s="174" t="str">
        <f t="shared" si="70"/>
        <v/>
      </c>
      <c r="FK48" s="174" t="str">
        <f t="shared" si="70"/>
        <v/>
      </c>
    </row>
    <row r="49" spans="2:167" s="302" customFormat="1" ht="16">
      <c r="B49" s="297" t="s">
        <v>801</v>
      </c>
      <c r="C49" s="298" t="s">
        <v>802</v>
      </c>
      <c r="D49" s="299"/>
      <c r="E49" s="299"/>
      <c r="F49" s="299"/>
      <c r="G49" s="299"/>
      <c r="H49" s="299"/>
      <c r="I49" s="299"/>
      <c r="J49" s="299"/>
      <c r="K49" s="299"/>
      <c r="L49" s="299"/>
      <c r="M49" s="299"/>
      <c r="N49" s="299"/>
      <c r="O49" s="299"/>
      <c r="P49" s="299"/>
      <c r="Q49" s="299"/>
      <c r="R49" s="299"/>
      <c r="S49" s="299"/>
      <c r="T49" s="299"/>
      <c r="U49" s="299"/>
      <c r="V49" s="299"/>
      <c r="W49" s="299"/>
      <c r="X49" s="299"/>
      <c r="Y49" s="299"/>
      <c r="Z49" s="299">
        <v>0</v>
      </c>
      <c r="AA49" s="299">
        <v>0</v>
      </c>
      <c r="AB49" s="299">
        <v>0</v>
      </c>
      <c r="AC49" s="299">
        <v>0</v>
      </c>
      <c r="AD49" s="299">
        <v>0</v>
      </c>
      <c r="AE49" s="299">
        <v>0</v>
      </c>
      <c r="AF49" s="299">
        <v>0</v>
      </c>
      <c r="AG49" s="299">
        <v>0</v>
      </c>
      <c r="AH49" s="299">
        <v>0</v>
      </c>
      <c r="AI49" s="299">
        <v>0</v>
      </c>
      <c r="AJ49" s="299">
        <v>0</v>
      </c>
      <c r="AK49" s="299">
        <v>0</v>
      </c>
      <c r="AL49" s="299">
        <v>0</v>
      </c>
      <c r="AM49" s="299">
        <v>0</v>
      </c>
      <c r="AN49" s="299">
        <v>0</v>
      </c>
      <c r="AO49" s="299">
        <v>84.7</v>
      </c>
      <c r="AP49" s="492">
        <v>0</v>
      </c>
      <c r="AQ49" s="492">
        <v>0</v>
      </c>
      <c r="AR49" s="492">
        <v>0</v>
      </c>
      <c r="AS49" s="300">
        <v>0</v>
      </c>
      <c r="AT49" s="300">
        <v>0</v>
      </c>
      <c r="AU49" s="300">
        <v>0</v>
      </c>
      <c r="AV49" s="300">
        <v>0</v>
      </c>
      <c r="AW49" s="301">
        <v>0</v>
      </c>
      <c r="AX49" s="301">
        <v>0</v>
      </c>
      <c r="AY49" s="301">
        <v>0</v>
      </c>
      <c r="AZ49" s="301">
        <v>20</v>
      </c>
      <c r="BA49" s="301">
        <v>80</v>
      </c>
      <c r="BB49" s="342">
        <v>204.4</v>
      </c>
      <c r="BC49" s="342">
        <v>580</v>
      </c>
      <c r="BD49" s="301">
        <v>1007.4</v>
      </c>
      <c r="BE49" s="301">
        <v>961.91769763800005</v>
      </c>
      <c r="BF49" s="300">
        <v>895</v>
      </c>
      <c r="BG49" s="493">
        <v>881.91769763800005</v>
      </c>
      <c r="BH49" s="493">
        <v>989.91769763800005</v>
      </c>
      <c r="BI49" s="493">
        <v>26.662420966999999</v>
      </c>
      <c r="BJ49" s="493">
        <v>989.91769763800005</v>
      </c>
      <c r="BK49" s="493">
        <v>16.917697638</v>
      </c>
      <c r="BL49" s="493">
        <v>16.917697638</v>
      </c>
      <c r="BM49" s="493">
        <v>2085.9176976379999</v>
      </c>
      <c r="BN49" s="493">
        <v>1820</v>
      </c>
      <c r="BO49" s="493">
        <v>4079.0549123279998</v>
      </c>
      <c r="BP49" s="493">
        <v>4536.4399999999996</v>
      </c>
      <c r="BQ49" s="493">
        <v>6037.7145961010001</v>
      </c>
      <c r="BR49" s="493">
        <v>6972</v>
      </c>
      <c r="BS49" s="493">
        <v>7929</v>
      </c>
      <c r="BT49" s="493">
        <v>7879.5</v>
      </c>
      <c r="BU49" s="493"/>
      <c r="BV49" s="494"/>
      <c r="BW49" s="494"/>
      <c r="BX49" s="494"/>
      <c r="BY49" s="494"/>
      <c r="BZ49" s="494"/>
      <c r="CA49" s="494"/>
      <c r="CB49" s="494"/>
      <c r="CC49" s="494"/>
      <c r="CD49" s="494"/>
      <c r="CE49" s="494"/>
      <c r="CF49" s="494"/>
      <c r="CG49" s="494"/>
      <c r="CH49" s="494"/>
      <c r="CI49" s="494"/>
      <c r="CJ49" s="494"/>
      <c r="CK49" s="494"/>
      <c r="CL49" s="494"/>
      <c r="CM49" s="494"/>
      <c r="CN49" s="494"/>
      <c r="CO49" s="494"/>
      <c r="CP49" s="494"/>
      <c r="CQ49" s="494"/>
      <c r="CR49" s="494"/>
      <c r="CS49" s="494"/>
      <c r="CT49" s="494"/>
      <c r="CU49" s="494"/>
      <c r="CV49" s="494"/>
      <c r="CW49" s="494"/>
      <c r="CX49" s="494"/>
      <c r="CY49" s="494"/>
      <c r="CZ49" s="494"/>
      <c r="DA49" s="494"/>
      <c r="DB49" s="494"/>
      <c r="DC49" s="494"/>
      <c r="DD49" s="494"/>
      <c r="DE49" s="494"/>
      <c r="DF49" s="494"/>
      <c r="DG49" s="494"/>
      <c r="DH49" s="494"/>
      <c r="DI49" s="494"/>
      <c r="DJ49" s="494"/>
      <c r="DK49" s="494"/>
      <c r="DL49" s="494"/>
      <c r="DM49" s="494"/>
      <c r="DN49" s="494"/>
      <c r="DO49" s="494"/>
      <c r="DP49" s="494"/>
      <c r="DQ49" s="494"/>
      <c r="DR49" s="494"/>
      <c r="DS49" s="495"/>
      <c r="DT49" s="496" t="str">
        <f t="shared" si="71"/>
        <v/>
      </c>
      <c r="DU49" s="496" t="str">
        <f t="shared" si="65"/>
        <v/>
      </c>
      <c r="DV49" s="496" t="str">
        <f t="shared" si="65"/>
        <v/>
      </c>
      <c r="DW49" s="496" t="str">
        <f t="shared" si="65"/>
        <v/>
      </c>
      <c r="DX49" s="496" t="str">
        <f t="shared" si="65"/>
        <v/>
      </c>
      <c r="DY49" s="496" t="str">
        <f t="shared" si="65"/>
        <v/>
      </c>
      <c r="DZ49" s="496" t="str">
        <f t="shared" si="65"/>
        <v/>
      </c>
      <c r="EA49" s="496" t="str">
        <f t="shared" si="65"/>
        <v/>
      </c>
      <c r="EB49" s="496" t="str">
        <f t="shared" si="65"/>
        <v/>
      </c>
      <c r="EC49" s="496" t="str">
        <f t="shared" si="65"/>
        <v/>
      </c>
      <c r="ED49" s="496" t="str">
        <f t="shared" si="65"/>
        <v/>
      </c>
      <c r="EE49" s="496" t="str">
        <f t="shared" si="65"/>
        <v/>
      </c>
      <c r="EF49" s="496" t="str">
        <f t="shared" si="65"/>
        <v/>
      </c>
      <c r="EG49" s="496" t="str">
        <f t="shared" si="65"/>
        <v/>
      </c>
      <c r="EH49" s="496" t="str">
        <f t="shared" si="65"/>
        <v/>
      </c>
      <c r="EI49" s="496" t="str">
        <f t="shared" si="65"/>
        <v/>
      </c>
      <c r="EJ49" s="496" t="str">
        <f t="shared" si="65"/>
        <v/>
      </c>
      <c r="EK49" s="496" t="str">
        <f t="shared" si="66"/>
        <v/>
      </c>
      <c r="EL49" s="496" t="str">
        <f t="shared" si="66"/>
        <v/>
      </c>
      <c r="EM49" s="496" t="str">
        <f t="shared" si="66"/>
        <v/>
      </c>
      <c r="EN49" s="496" t="str">
        <f t="shared" si="66"/>
        <v/>
      </c>
      <c r="EO49" s="496" t="str">
        <f t="shared" si="66"/>
        <v/>
      </c>
      <c r="EP49" s="496" t="str">
        <f t="shared" si="66"/>
        <v/>
      </c>
      <c r="EQ49" s="496" t="str">
        <f t="shared" si="66"/>
        <v/>
      </c>
      <c r="ER49" s="496" t="str">
        <f t="shared" si="66"/>
        <v/>
      </c>
      <c r="ES49" s="496" t="str">
        <f t="shared" si="66"/>
        <v/>
      </c>
      <c r="ET49" s="496" t="str">
        <f t="shared" si="66"/>
        <v/>
      </c>
      <c r="EU49" s="496" t="str">
        <f t="shared" si="66"/>
        <v/>
      </c>
      <c r="EV49" s="496" t="str">
        <f t="shared" si="66"/>
        <v/>
      </c>
      <c r="EW49" s="496" t="str">
        <f t="shared" si="66"/>
        <v/>
      </c>
      <c r="EX49" s="496" t="str">
        <f t="shared" si="66"/>
        <v/>
      </c>
      <c r="EY49" s="496" t="str">
        <f t="shared" si="66"/>
        <v/>
      </c>
      <c r="EZ49" s="496" t="str">
        <f t="shared" si="66"/>
        <v/>
      </c>
      <c r="FA49" s="496" t="str">
        <f t="shared" si="67"/>
        <v/>
      </c>
      <c r="FB49" s="496" t="str">
        <f t="shared" si="67"/>
        <v/>
      </c>
      <c r="FC49" s="496">
        <f t="shared" si="67"/>
        <v>-1</v>
      </c>
      <c r="FD49" s="496" t="str">
        <f t="shared" si="67"/>
        <v/>
      </c>
      <c r="FE49" s="496" t="str">
        <f t="shared" si="67"/>
        <v/>
      </c>
      <c r="FF49" s="496" t="str">
        <f t="shared" si="67"/>
        <v/>
      </c>
      <c r="FG49" s="496" t="str">
        <f t="shared" si="67"/>
        <v/>
      </c>
      <c r="FH49" s="496" t="str">
        <f t="shared" si="68"/>
        <v/>
      </c>
      <c r="FI49" s="496" t="str">
        <f t="shared" si="69"/>
        <v/>
      </c>
      <c r="FJ49" s="496" t="str">
        <f t="shared" si="70"/>
        <v/>
      </c>
      <c r="FK49" s="496" t="str">
        <f t="shared" si="70"/>
        <v/>
      </c>
    </row>
    <row r="50" spans="2:167" ht="16">
      <c r="B50" s="140" t="s">
        <v>803</v>
      </c>
      <c r="C50" s="127" t="s">
        <v>804</v>
      </c>
      <c r="D50" s="128"/>
      <c r="E50" s="128"/>
      <c r="F50" s="128"/>
      <c r="G50" s="128"/>
      <c r="H50" s="128"/>
      <c r="I50" s="128"/>
      <c r="J50" s="128"/>
      <c r="K50" s="128"/>
      <c r="L50" s="128"/>
      <c r="M50" s="128"/>
      <c r="N50" s="128"/>
      <c r="O50" s="128"/>
      <c r="P50" s="128"/>
      <c r="Q50" s="128"/>
      <c r="R50" s="128"/>
      <c r="S50" s="128"/>
      <c r="T50" s="128"/>
      <c r="U50" s="128"/>
      <c r="V50" s="128"/>
      <c r="W50" s="128"/>
      <c r="X50" s="128"/>
      <c r="Y50" s="128"/>
      <c r="Z50" s="128">
        <v>184.602143536</v>
      </c>
      <c r="AA50" s="128">
        <v>140.88210828199999</v>
      </c>
      <c r="AB50" s="128">
        <v>154.21009500100001</v>
      </c>
      <c r="AC50" s="128">
        <v>161.40762937900001</v>
      </c>
      <c r="AD50" s="128">
        <v>195.51163319599999</v>
      </c>
      <c r="AE50" s="128">
        <v>229.82858716300001</v>
      </c>
      <c r="AF50" s="128">
        <v>305.11307248999998</v>
      </c>
      <c r="AG50" s="128">
        <v>340.96282004099999</v>
      </c>
      <c r="AH50" s="128">
        <v>336.06650207400003</v>
      </c>
      <c r="AI50" s="128">
        <v>349.74341692799999</v>
      </c>
      <c r="AJ50" s="128">
        <v>539.27773567199995</v>
      </c>
      <c r="AK50" s="128">
        <v>851.81388369000001</v>
      </c>
      <c r="AL50" s="128">
        <v>784.27747239600001</v>
      </c>
      <c r="AM50" s="128">
        <v>807.84075527499999</v>
      </c>
      <c r="AN50" s="128">
        <v>783.94770677199995</v>
      </c>
      <c r="AO50" s="128">
        <v>1120.005682188</v>
      </c>
      <c r="AP50" s="173">
        <v>1352.258607146</v>
      </c>
      <c r="AQ50" s="173">
        <v>960.62826533099997</v>
      </c>
      <c r="AR50" s="173">
        <v>1001.366641285</v>
      </c>
      <c r="AS50" s="288">
        <v>1158.9528130680001</v>
      </c>
      <c r="AT50" s="288">
        <v>1428.5058841140001</v>
      </c>
      <c r="AU50" s="288">
        <v>678.33528869899999</v>
      </c>
      <c r="AV50" s="288">
        <v>841.24054454600002</v>
      </c>
      <c r="AW50" s="158">
        <v>1365.0831582759999</v>
      </c>
      <c r="AX50" s="158">
        <v>933.74992465000003</v>
      </c>
      <c r="AY50" s="158">
        <v>738.45956137899998</v>
      </c>
      <c r="AZ50" s="158">
        <v>866.52221287400005</v>
      </c>
      <c r="BA50" s="158">
        <v>1139.156793679</v>
      </c>
      <c r="BB50" s="41">
        <v>947.70496921799997</v>
      </c>
      <c r="BC50" s="41">
        <v>1445.3311976970001</v>
      </c>
      <c r="BD50" s="158">
        <v>954.84166028100003</v>
      </c>
      <c r="BE50" s="158">
        <v>1425.2289129599999</v>
      </c>
      <c r="BF50" s="288">
        <v>1108.7812646350001</v>
      </c>
      <c r="BG50" s="289">
        <v>1971.5111468330001</v>
      </c>
      <c r="BH50" s="289">
        <v>2846.9521174920001</v>
      </c>
      <c r="BI50" s="289">
        <v>2402.3282550560002</v>
      </c>
      <c r="BJ50" s="289">
        <v>2846.9521174920001</v>
      </c>
      <c r="BK50" s="289">
        <v>2223.4606790409998</v>
      </c>
      <c r="BL50" s="289">
        <v>2685.3661746439998</v>
      </c>
      <c r="BM50" s="289">
        <v>2668.4802029689999</v>
      </c>
      <c r="BN50" s="289">
        <v>2687.44</v>
      </c>
      <c r="BO50" s="289">
        <v>2604.331945933</v>
      </c>
      <c r="BP50" s="289">
        <v>2486.35</v>
      </c>
      <c r="BQ50" s="289">
        <v>2430.887848672</v>
      </c>
      <c r="BR50" s="289">
        <v>2589.5633997670002</v>
      </c>
      <c r="BS50" s="289">
        <v>3098.9963972310002</v>
      </c>
      <c r="BT50" s="289">
        <v>3397.4715689620002</v>
      </c>
      <c r="BU50" s="289"/>
      <c r="BV50" s="142"/>
      <c r="BW50" s="142"/>
      <c r="BX50" s="142"/>
      <c r="BY50" s="142"/>
      <c r="BZ50" s="142"/>
      <c r="CA50" s="142"/>
      <c r="CB50" s="142"/>
      <c r="CC50" s="142"/>
      <c r="CD50" s="142"/>
      <c r="CE50" s="142"/>
      <c r="CF50" s="142"/>
      <c r="CG50" s="142"/>
      <c r="CH50" s="142"/>
      <c r="CI50" s="142"/>
      <c r="CJ50" s="142"/>
      <c r="CK50" s="142"/>
      <c r="CL50" s="142"/>
      <c r="CM50" s="142"/>
      <c r="CN50" s="142"/>
      <c r="CO50" s="142"/>
      <c r="CP50" s="142"/>
      <c r="CQ50" s="142"/>
      <c r="CR50" s="142"/>
      <c r="CS50" s="142"/>
      <c r="CT50" s="142"/>
      <c r="CU50" s="142"/>
      <c r="CV50" s="142"/>
      <c r="CW50" s="142"/>
      <c r="CX50" s="142"/>
      <c r="CY50" s="142"/>
      <c r="CZ50" s="142"/>
      <c r="DA50" s="142"/>
      <c r="DB50" s="142"/>
      <c r="DC50" s="142"/>
      <c r="DD50" s="142"/>
      <c r="DE50" s="142"/>
      <c r="DF50" s="142"/>
      <c r="DG50" s="142"/>
      <c r="DH50" s="142"/>
      <c r="DI50" s="142"/>
      <c r="DJ50" s="142"/>
      <c r="DK50" s="142"/>
      <c r="DL50" s="142"/>
      <c r="DM50" s="142"/>
      <c r="DN50" s="142"/>
      <c r="DO50" s="142"/>
      <c r="DP50" s="142"/>
      <c r="DQ50" s="142"/>
      <c r="DR50" s="142"/>
      <c r="DS50" s="133"/>
      <c r="DT50" s="174" t="str">
        <f t="shared" si="71"/>
        <v/>
      </c>
      <c r="DU50" s="174" t="str">
        <f t="shared" si="65"/>
        <v/>
      </c>
      <c r="DV50" s="174" t="str">
        <f t="shared" si="65"/>
        <v/>
      </c>
      <c r="DW50" s="174" t="str">
        <f t="shared" si="65"/>
        <v/>
      </c>
      <c r="DX50" s="174" t="str">
        <f t="shared" si="65"/>
        <v/>
      </c>
      <c r="DY50" s="174" t="str">
        <f t="shared" si="65"/>
        <v/>
      </c>
      <c r="DZ50" s="174" t="str">
        <f t="shared" si="65"/>
        <v/>
      </c>
      <c r="EA50" s="174" t="str">
        <f t="shared" si="65"/>
        <v/>
      </c>
      <c r="EB50" s="174" t="str">
        <f t="shared" si="65"/>
        <v/>
      </c>
      <c r="EC50" s="174" t="str">
        <f t="shared" si="65"/>
        <v/>
      </c>
      <c r="ED50" s="174" t="str">
        <f t="shared" si="65"/>
        <v/>
      </c>
      <c r="EE50" s="174" t="str">
        <f t="shared" si="65"/>
        <v/>
      </c>
      <c r="EF50" s="174" t="str">
        <f t="shared" si="65"/>
        <v/>
      </c>
      <c r="EG50" s="174" t="str">
        <f t="shared" si="65"/>
        <v/>
      </c>
      <c r="EH50" s="174" t="str">
        <f t="shared" si="65"/>
        <v/>
      </c>
      <c r="EI50" s="174" t="str">
        <f t="shared" si="65"/>
        <v/>
      </c>
      <c r="EJ50" s="174" t="str">
        <f t="shared" si="65"/>
        <v/>
      </c>
      <c r="EK50" s="174" t="str">
        <f t="shared" si="66"/>
        <v/>
      </c>
      <c r="EL50" s="174" t="str">
        <f t="shared" si="66"/>
        <v/>
      </c>
      <c r="EM50" s="174" t="str">
        <f t="shared" si="66"/>
        <v/>
      </c>
      <c r="EN50" s="174">
        <f t="shared" si="66"/>
        <v>5.9097307599098814E-2</v>
      </c>
      <c r="EO50" s="174">
        <f t="shared" si="66"/>
        <v>0.63135397365688339</v>
      </c>
      <c r="EP50" s="174">
        <f t="shared" si="66"/>
        <v>0.97855446809770408</v>
      </c>
      <c r="EQ50" s="174">
        <f t="shared" si="66"/>
        <v>1.1124331071140872</v>
      </c>
      <c r="ER50" s="174">
        <f t="shared" si="66"/>
        <v>0.71890795744667568</v>
      </c>
      <c r="ES50" s="174">
        <f t="shared" si="66"/>
        <v>0.52175767708110854</v>
      </c>
      <c r="ET50" s="174">
        <f t="shared" si="66"/>
        <v>0.76746847085575021</v>
      </c>
      <c r="EU50" s="174">
        <f t="shared" si="66"/>
        <v>1.4982603193731543</v>
      </c>
      <c r="EV50" s="174">
        <f t="shared" si="66"/>
        <v>1.3336972520495554</v>
      </c>
      <c r="EW50" s="174">
        <f t="shared" si="66"/>
        <v>1.3098097524486252</v>
      </c>
      <c r="EX50" s="174">
        <f t="shared" si="66"/>
        <v>0.45369937402498928</v>
      </c>
      <c r="EY50" s="174">
        <f t="shared" si="66"/>
        <v>0.31484788359660376</v>
      </c>
      <c r="EZ50" s="174">
        <f t="shared" si="66"/>
        <v>0.72420942171753855</v>
      </c>
      <c r="FA50" s="174">
        <f t="shared" si="67"/>
        <v>0.18913072787964147</v>
      </c>
      <c r="FB50" s="174">
        <f t="shared" si="67"/>
        <v>0.27733856816578872</v>
      </c>
      <c r="FC50" s="174">
        <f t="shared" si="67"/>
        <v>3.4774047577968092E-2</v>
      </c>
      <c r="FD50" s="174">
        <f t="shared" si="67"/>
        <v>5.6385129711929327E-2</v>
      </c>
      <c r="FE50" s="174">
        <f t="shared" si="67"/>
        <v>-0.29386286747947332</v>
      </c>
      <c r="FF50" s="174">
        <f t="shared" si="67"/>
        <v>-0.15990756046508481</v>
      </c>
      <c r="FG50" s="174">
        <f t="shared" si="67"/>
        <v>0.17785913531917497</v>
      </c>
      <c r="FH50" s="174">
        <f t="shared" si="68"/>
        <v>-0.34634506232423523</v>
      </c>
      <c r="FI50" s="174">
        <f t="shared" si="69"/>
        <v>8.8635035920531458E-2</v>
      </c>
      <c r="FJ50" s="174">
        <f t="shared" si="70"/>
        <v>3.0052841000006714E-2</v>
      </c>
      <c r="FK50" s="174">
        <f t="shared" si="70"/>
        <v>-0.16550373742968771</v>
      </c>
    </row>
    <row r="51" spans="2:167" ht="16">
      <c r="B51" s="140" t="s">
        <v>805</v>
      </c>
      <c r="C51" s="127" t="s">
        <v>806</v>
      </c>
      <c r="D51" s="128"/>
      <c r="E51" s="128"/>
      <c r="F51" s="128"/>
      <c r="G51" s="128"/>
      <c r="H51" s="128"/>
      <c r="I51" s="128"/>
      <c r="J51" s="128"/>
      <c r="K51" s="128"/>
      <c r="L51" s="128"/>
      <c r="M51" s="128"/>
      <c r="N51" s="128"/>
      <c r="O51" s="128"/>
      <c r="P51" s="128"/>
      <c r="Q51" s="128"/>
      <c r="R51" s="128"/>
      <c r="S51" s="128"/>
      <c r="T51" s="128"/>
      <c r="U51" s="128"/>
      <c r="V51" s="128"/>
      <c r="W51" s="128"/>
      <c r="X51" s="128"/>
      <c r="Y51" s="128"/>
      <c r="Z51" s="128">
        <v>0</v>
      </c>
      <c r="AA51" s="128">
        <v>-8.2331821999999999E-2</v>
      </c>
      <c r="AB51" s="128">
        <v>0</v>
      </c>
      <c r="AC51" s="128">
        <v>0</v>
      </c>
      <c r="AD51" s="128">
        <v>0</v>
      </c>
      <c r="AE51" s="128">
        <v>0</v>
      </c>
      <c r="AF51" s="128">
        <v>0</v>
      </c>
      <c r="AG51" s="128">
        <v>0</v>
      </c>
      <c r="AH51" s="128">
        <v>0</v>
      </c>
      <c r="AI51" s="128">
        <v>0</v>
      </c>
      <c r="AJ51" s="128">
        <v>0</v>
      </c>
      <c r="AK51" s="128">
        <v>0</v>
      </c>
      <c r="AL51" s="128">
        <v>0</v>
      </c>
      <c r="AM51" s="128">
        <v>0</v>
      </c>
      <c r="AN51" s="128">
        <v>0</v>
      </c>
      <c r="AO51" s="128">
        <v>0</v>
      </c>
      <c r="AP51" s="173">
        <v>0</v>
      </c>
      <c r="AQ51" s="173">
        <v>0</v>
      </c>
      <c r="AR51" s="173">
        <v>0</v>
      </c>
      <c r="AS51" s="288">
        <v>0</v>
      </c>
      <c r="AT51" s="288">
        <v>0</v>
      </c>
      <c r="AU51" s="288">
        <v>0</v>
      </c>
      <c r="AV51" s="288">
        <v>0</v>
      </c>
      <c r="AW51" s="158">
        <v>0</v>
      </c>
      <c r="AX51" s="158">
        <v>0</v>
      </c>
      <c r="AY51" s="158">
        <v>0</v>
      </c>
      <c r="AZ51" s="158">
        <v>0</v>
      </c>
      <c r="BA51" s="158">
        <v>0</v>
      </c>
      <c r="BB51" s="41">
        <v>0</v>
      </c>
      <c r="BC51" s="41">
        <v>0</v>
      </c>
      <c r="BD51" s="158">
        <v>0</v>
      </c>
      <c r="BE51" s="158">
        <v>0</v>
      </c>
      <c r="BF51" s="288">
        <v>0</v>
      </c>
      <c r="BG51" s="289">
        <v>0</v>
      </c>
      <c r="BH51" s="289">
        <v>0</v>
      </c>
      <c r="BI51" s="289">
        <v>0</v>
      </c>
      <c r="BJ51" s="289">
        <v>0</v>
      </c>
      <c r="BK51" s="289">
        <v>0</v>
      </c>
      <c r="BL51" s="289">
        <v>0</v>
      </c>
      <c r="BM51" s="289">
        <v>0</v>
      </c>
      <c r="BN51" s="289">
        <v>0</v>
      </c>
      <c r="BO51" s="289">
        <v>0</v>
      </c>
      <c r="BP51" s="289">
        <v>0</v>
      </c>
      <c r="BQ51" s="289">
        <v>0</v>
      </c>
      <c r="BR51" s="289">
        <v>0</v>
      </c>
      <c r="BS51" s="289">
        <v>0</v>
      </c>
      <c r="BT51" s="289">
        <v>0</v>
      </c>
      <c r="BU51" s="289"/>
      <c r="BV51" s="142"/>
      <c r="BW51" s="142"/>
      <c r="BX51" s="142"/>
      <c r="BY51" s="142"/>
      <c r="BZ51" s="142"/>
      <c r="CA51" s="142"/>
      <c r="CB51" s="142"/>
      <c r="CC51" s="142"/>
      <c r="CD51" s="142"/>
      <c r="CE51" s="142"/>
      <c r="CF51" s="142"/>
      <c r="CG51" s="142"/>
      <c r="CH51" s="142"/>
      <c r="CI51" s="142"/>
      <c r="CJ51" s="142"/>
      <c r="CK51" s="142"/>
      <c r="CL51" s="142"/>
      <c r="CM51" s="142"/>
      <c r="CN51" s="142"/>
      <c r="CO51" s="142"/>
      <c r="CP51" s="142"/>
      <c r="CQ51" s="142"/>
      <c r="CR51" s="142"/>
      <c r="CS51" s="142"/>
      <c r="CT51" s="142"/>
      <c r="CU51" s="142"/>
      <c r="CV51" s="142"/>
      <c r="CW51" s="142"/>
      <c r="CX51" s="142"/>
      <c r="CY51" s="142"/>
      <c r="CZ51" s="142"/>
      <c r="DA51" s="142"/>
      <c r="DB51" s="142"/>
      <c r="DC51" s="142"/>
      <c r="DD51" s="142"/>
      <c r="DE51" s="142"/>
      <c r="DF51" s="142"/>
      <c r="DG51" s="142"/>
      <c r="DH51" s="142"/>
      <c r="DI51" s="142"/>
      <c r="DJ51" s="142"/>
      <c r="DK51" s="142"/>
      <c r="DL51" s="142"/>
      <c r="DM51" s="142"/>
      <c r="DN51" s="142"/>
      <c r="DO51" s="142"/>
      <c r="DP51" s="142"/>
      <c r="DQ51" s="142"/>
      <c r="DR51" s="142"/>
      <c r="DS51" s="133"/>
      <c r="DT51" s="174" t="str">
        <f t="shared" si="71"/>
        <v/>
      </c>
      <c r="DU51" s="174" t="str">
        <f t="shared" si="65"/>
        <v/>
      </c>
      <c r="DV51" s="174" t="str">
        <f t="shared" si="65"/>
        <v/>
      </c>
      <c r="DW51" s="174" t="str">
        <f t="shared" si="65"/>
        <v/>
      </c>
      <c r="DX51" s="174" t="str">
        <f t="shared" si="65"/>
        <v/>
      </c>
      <c r="DY51" s="174" t="str">
        <f t="shared" si="65"/>
        <v/>
      </c>
      <c r="DZ51" s="174" t="str">
        <f t="shared" si="65"/>
        <v/>
      </c>
      <c r="EA51" s="174" t="str">
        <f t="shared" si="65"/>
        <v/>
      </c>
      <c r="EB51" s="174" t="str">
        <f t="shared" si="65"/>
        <v/>
      </c>
      <c r="EC51" s="174" t="str">
        <f t="shared" si="65"/>
        <v/>
      </c>
      <c r="ED51" s="174" t="str">
        <f t="shared" si="65"/>
        <v/>
      </c>
      <c r="EE51" s="174" t="str">
        <f t="shared" si="65"/>
        <v/>
      </c>
      <c r="EF51" s="174" t="str">
        <f t="shared" si="65"/>
        <v/>
      </c>
      <c r="EG51" s="174" t="str">
        <f t="shared" si="65"/>
        <v/>
      </c>
      <c r="EH51" s="174" t="str">
        <f t="shared" si="65"/>
        <v/>
      </c>
      <c r="EI51" s="174" t="str">
        <f t="shared" si="65"/>
        <v/>
      </c>
      <c r="EJ51" s="174" t="str">
        <f t="shared" ref="EJ51:EY67" si="72">IFERROR(Z51/V51-1,"")</f>
        <v/>
      </c>
      <c r="EK51" s="174" t="str">
        <f t="shared" si="66"/>
        <v/>
      </c>
      <c r="EL51" s="174" t="str">
        <f t="shared" si="66"/>
        <v/>
      </c>
      <c r="EM51" s="174" t="str">
        <f t="shared" si="66"/>
        <v/>
      </c>
      <c r="EN51" s="174" t="str">
        <f t="shared" si="66"/>
        <v/>
      </c>
      <c r="EO51" s="174">
        <f t="shared" si="66"/>
        <v>-1</v>
      </c>
      <c r="EP51" s="174" t="str">
        <f t="shared" si="66"/>
        <v/>
      </c>
      <c r="EQ51" s="174" t="str">
        <f t="shared" si="66"/>
        <v/>
      </c>
      <c r="ER51" s="174" t="str">
        <f t="shared" si="66"/>
        <v/>
      </c>
      <c r="ES51" s="174" t="str">
        <f t="shared" si="66"/>
        <v/>
      </c>
      <c r="ET51" s="174" t="str">
        <f t="shared" si="66"/>
        <v/>
      </c>
      <c r="EU51" s="174" t="str">
        <f t="shared" si="66"/>
        <v/>
      </c>
      <c r="EV51" s="174" t="str">
        <f t="shared" si="66"/>
        <v/>
      </c>
      <c r="EW51" s="174" t="str">
        <f t="shared" si="66"/>
        <v/>
      </c>
      <c r="EX51" s="174" t="str">
        <f t="shared" si="66"/>
        <v/>
      </c>
      <c r="EY51" s="174" t="str">
        <f t="shared" si="66"/>
        <v/>
      </c>
      <c r="EZ51" s="174" t="str">
        <f t="shared" ref="EZ51:FF88" si="73">IFERROR(AP51/AL51-1,"")</f>
        <v/>
      </c>
      <c r="FA51" s="174" t="str">
        <f t="shared" si="67"/>
        <v/>
      </c>
      <c r="FB51" s="174" t="str">
        <f t="shared" si="67"/>
        <v/>
      </c>
      <c r="FC51" s="174" t="str">
        <f t="shared" si="67"/>
        <v/>
      </c>
      <c r="FD51" s="174" t="str">
        <f t="shared" si="67"/>
        <v/>
      </c>
      <c r="FE51" s="174" t="str">
        <f t="shared" si="67"/>
        <v/>
      </c>
      <c r="FF51" s="174" t="str">
        <f t="shared" si="67"/>
        <v/>
      </c>
      <c r="FG51" s="174" t="str">
        <f t="shared" si="67"/>
        <v/>
      </c>
      <c r="FH51" s="174" t="str">
        <f t="shared" si="68"/>
        <v/>
      </c>
      <c r="FI51" s="174" t="str">
        <f t="shared" si="69"/>
        <v/>
      </c>
      <c r="FJ51" s="174" t="str">
        <f t="shared" si="70"/>
        <v/>
      </c>
      <c r="FK51" s="174" t="str">
        <f t="shared" si="70"/>
        <v/>
      </c>
    </row>
    <row r="52" spans="2:167" ht="16">
      <c r="B52" s="140" t="s">
        <v>807</v>
      </c>
      <c r="C52" s="127" t="s">
        <v>808</v>
      </c>
      <c r="D52" s="128"/>
      <c r="E52" s="128"/>
      <c r="F52" s="128"/>
      <c r="G52" s="128"/>
      <c r="H52" s="128"/>
      <c r="I52" s="128"/>
      <c r="J52" s="128"/>
      <c r="K52" s="128"/>
      <c r="L52" s="128"/>
      <c r="M52" s="128"/>
      <c r="N52" s="128"/>
      <c r="O52" s="128"/>
      <c r="P52" s="128"/>
      <c r="Q52" s="128"/>
      <c r="R52" s="128"/>
      <c r="S52" s="128"/>
      <c r="T52" s="128"/>
      <c r="U52" s="128"/>
      <c r="V52" s="128"/>
      <c r="W52" s="128"/>
      <c r="X52" s="128"/>
      <c r="Y52" s="128"/>
      <c r="Z52" s="128">
        <v>0</v>
      </c>
      <c r="AA52" s="128">
        <v>0</v>
      </c>
      <c r="AB52" s="128">
        <v>0</v>
      </c>
      <c r="AC52" s="128">
        <v>0</v>
      </c>
      <c r="AD52" s="128">
        <v>0</v>
      </c>
      <c r="AE52" s="128">
        <v>0</v>
      </c>
      <c r="AF52" s="128">
        <v>0</v>
      </c>
      <c r="AG52" s="128">
        <v>0</v>
      </c>
      <c r="AH52" s="128">
        <v>0</v>
      </c>
      <c r="AI52" s="128">
        <v>0</v>
      </c>
      <c r="AJ52" s="128">
        <v>0</v>
      </c>
      <c r="AK52" s="128">
        <v>0</v>
      </c>
      <c r="AL52" s="128">
        <v>0</v>
      </c>
      <c r="AM52" s="128">
        <v>0</v>
      </c>
      <c r="AN52" s="128">
        <v>0</v>
      </c>
      <c r="AO52" s="128">
        <v>0</v>
      </c>
      <c r="AP52" s="173">
        <v>0</v>
      </c>
      <c r="AQ52" s="173">
        <v>0</v>
      </c>
      <c r="AR52" s="173">
        <v>0</v>
      </c>
      <c r="AS52" s="288">
        <v>0</v>
      </c>
      <c r="AT52" s="288">
        <v>0</v>
      </c>
      <c r="AU52" s="288">
        <v>0</v>
      </c>
      <c r="AV52" s="288">
        <v>0</v>
      </c>
      <c r="AW52" s="158">
        <v>0</v>
      </c>
      <c r="AX52" s="158">
        <v>0</v>
      </c>
      <c r="AY52" s="158">
        <v>0</v>
      </c>
      <c r="AZ52" s="158">
        <v>0</v>
      </c>
      <c r="BA52" s="158">
        <v>0</v>
      </c>
      <c r="BB52" s="41">
        <v>0</v>
      </c>
      <c r="BC52" s="41">
        <v>0</v>
      </c>
      <c r="BD52" s="158">
        <v>0</v>
      </c>
      <c r="BE52" s="158">
        <v>0</v>
      </c>
      <c r="BF52" s="288">
        <v>0</v>
      </c>
      <c r="BG52" s="289">
        <v>0</v>
      </c>
      <c r="BH52" s="289">
        <v>0</v>
      </c>
      <c r="BI52" s="289">
        <v>0</v>
      </c>
      <c r="BJ52" s="289">
        <v>0</v>
      </c>
      <c r="BK52" s="289">
        <v>0</v>
      </c>
      <c r="BL52" s="289">
        <v>0</v>
      </c>
      <c r="BM52" s="289">
        <v>0</v>
      </c>
      <c r="BN52" s="289">
        <v>0</v>
      </c>
      <c r="BO52" s="289">
        <v>0</v>
      </c>
      <c r="BP52" s="289">
        <v>0</v>
      </c>
      <c r="BQ52" s="289">
        <v>0</v>
      </c>
      <c r="BR52" s="289">
        <v>0</v>
      </c>
      <c r="BS52" s="289">
        <v>0</v>
      </c>
      <c r="BT52" s="289">
        <v>0</v>
      </c>
      <c r="BU52" s="289"/>
      <c r="BV52" s="142"/>
      <c r="BW52" s="142"/>
      <c r="BX52" s="142"/>
      <c r="BY52" s="142"/>
      <c r="BZ52" s="142"/>
      <c r="CA52" s="142"/>
      <c r="CB52" s="142"/>
      <c r="CC52" s="142"/>
      <c r="CD52" s="142"/>
      <c r="CE52" s="142"/>
      <c r="CF52" s="142"/>
      <c r="CG52" s="142"/>
      <c r="CH52" s="142"/>
      <c r="CI52" s="142"/>
      <c r="CJ52" s="142"/>
      <c r="CK52" s="142"/>
      <c r="CL52" s="142"/>
      <c r="CM52" s="142"/>
      <c r="CN52" s="142"/>
      <c r="CO52" s="142"/>
      <c r="CP52" s="142"/>
      <c r="CQ52" s="142"/>
      <c r="CR52" s="142"/>
      <c r="CS52" s="142"/>
      <c r="CT52" s="142"/>
      <c r="CU52" s="142"/>
      <c r="CV52" s="142"/>
      <c r="CW52" s="142"/>
      <c r="CX52" s="142"/>
      <c r="CY52" s="142"/>
      <c r="CZ52" s="142"/>
      <c r="DA52" s="142"/>
      <c r="DB52" s="142"/>
      <c r="DC52" s="142"/>
      <c r="DD52" s="142"/>
      <c r="DE52" s="142"/>
      <c r="DF52" s="142"/>
      <c r="DG52" s="142"/>
      <c r="DH52" s="142"/>
      <c r="DI52" s="142"/>
      <c r="DJ52" s="142"/>
      <c r="DK52" s="142"/>
      <c r="DL52" s="142"/>
      <c r="DM52" s="142"/>
      <c r="DN52" s="142"/>
      <c r="DO52" s="142"/>
      <c r="DP52" s="142"/>
      <c r="DQ52" s="142"/>
      <c r="DR52" s="142"/>
      <c r="DS52" s="133"/>
      <c r="DT52" s="174" t="str">
        <f t="shared" si="71"/>
        <v/>
      </c>
      <c r="DU52" s="174" t="str">
        <f t="shared" si="71"/>
        <v/>
      </c>
      <c r="DV52" s="174" t="str">
        <f t="shared" si="71"/>
        <v/>
      </c>
      <c r="DW52" s="174" t="str">
        <f t="shared" si="71"/>
        <v/>
      </c>
      <c r="DX52" s="174" t="str">
        <f t="shared" si="71"/>
        <v/>
      </c>
      <c r="DY52" s="174" t="str">
        <f t="shared" si="71"/>
        <v/>
      </c>
      <c r="DZ52" s="174" t="str">
        <f t="shared" si="71"/>
        <v/>
      </c>
      <c r="EA52" s="174" t="str">
        <f t="shared" si="71"/>
        <v/>
      </c>
      <c r="EB52" s="174" t="str">
        <f t="shared" si="71"/>
        <v/>
      </c>
      <c r="EC52" s="174" t="str">
        <f t="shared" si="71"/>
        <v/>
      </c>
      <c r="ED52" s="174" t="str">
        <f t="shared" si="71"/>
        <v/>
      </c>
      <c r="EE52" s="174" t="str">
        <f t="shared" si="71"/>
        <v/>
      </c>
      <c r="EF52" s="174" t="str">
        <f t="shared" si="71"/>
        <v/>
      </c>
      <c r="EG52" s="174" t="str">
        <f t="shared" si="71"/>
        <v/>
      </c>
      <c r="EH52" s="174" t="str">
        <f t="shared" si="71"/>
        <v/>
      </c>
      <c r="EI52" s="174" t="str">
        <f t="shared" si="71"/>
        <v/>
      </c>
      <c r="EJ52" s="174" t="str">
        <f t="shared" si="72"/>
        <v/>
      </c>
      <c r="EK52" s="174" t="str">
        <f t="shared" si="72"/>
        <v/>
      </c>
      <c r="EL52" s="174" t="str">
        <f t="shared" si="72"/>
        <v/>
      </c>
      <c r="EM52" s="174" t="str">
        <f t="shared" si="72"/>
        <v/>
      </c>
      <c r="EN52" s="174" t="str">
        <f t="shared" si="72"/>
        <v/>
      </c>
      <c r="EO52" s="174" t="str">
        <f t="shared" si="72"/>
        <v/>
      </c>
      <c r="EP52" s="174" t="str">
        <f t="shared" si="72"/>
        <v/>
      </c>
      <c r="EQ52" s="174" t="str">
        <f t="shared" si="72"/>
        <v/>
      </c>
      <c r="ER52" s="174" t="str">
        <f t="shared" si="72"/>
        <v/>
      </c>
      <c r="ES52" s="174" t="str">
        <f t="shared" si="72"/>
        <v/>
      </c>
      <c r="ET52" s="174" t="str">
        <f t="shared" si="72"/>
        <v/>
      </c>
      <c r="EU52" s="174" t="str">
        <f t="shared" si="72"/>
        <v/>
      </c>
      <c r="EV52" s="174" t="str">
        <f t="shared" si="72"/>
        <v/>
      </c>
      <c r="EW52" s="174" t="str">
        <f t="shared" si="72"/>
        <v/>
      </c>
      <c r="EX52" s="174" t="str">
        <f t="shared" si="72"/>
        <v/>
      </c>
      <c r="EY52" s="174" t="str">
        <f t="shared" si="72"/>
        <v/>
      </c>
      <c r="EZ52" s="174" t="str">
        <f t="shared" si="73"/>
        <v/>
      </c>
      <c r="FA52" s="174" t="str">
        <f t="shared" si="73"/>
        <v/>
      </c>
      <c r="FB52" s="174" t="str">
        <f t="shared" si="73"/>
        <v/>
      </c>
      <c r="FC52" s="174" t="str">
        <f t="shared" si="73"/>
        <v/>
      </c>
      <c r="FD52" s="174" t="str">
        <f t="shared" si="73"/>
        <v/>
      </c>
      <c r="FE52" s="174" t="str">
        <f t="shared" si="73"/>
        <v/>
      </c>
      <c r="FF52" s="174" t="str">
        <f t="shared" si="73"/>
        <v/>
      </c>
      <c r="FG52" s="174" t="str">
        <f t="shared" ref="FG52:FG115" si="74">IFERROR(AW52/AS52-1,"")</f>
        <v/>
      </c>
      <c r="FH52" s="174" t="str">
        <f t="shared" si="68"/>
        <v/>
      </c>
      <c r="FI52" s="174" t="str">
        <f t="shared" si="69"/>
        <v/>
      </c>
      <c r="FJ52" s="174" t="str">
        <f t="shared" si="70"/>
        <v/>
      </c>
      <c r="FK52" s="174" t="str">
        <f t="shared" si="70"/>
        <v/>
      </c>
    </row>
    <row r="53" spans="2:167" s="136" customFormat="1" ht="16">
      <c r="B53" s="154" t="s">
        <v>809</v>
      </c>
      <c r="C53" s="134" t="s">
        <v>810</v>
      </c>
      <c r="D53" s="135"/>
      <c r="E53" s="135"/>
      <c r="F53" s="135"/>
      <c r="G53" s="135"/>
      <c r="H53" s="135"/>
      <c r="I53" s="135"/>
      <c r="J53" s="135"/>
      <c r="K53" s="135"/>
      <c r="L53" s="135"/>
      <c r="M53" s="135"/>
      <c r="N53" s="135"/>
      <c r="O53" s="135"/>
      <c r="P53" s="135"/>
      <c r="Q53" s="135"/>
      <c r="R53" s="135"/>
      <c r="S53" s="135"/>
      <c r="T53" s="135"/>
      <c r="U53" s="135"/>
      <c r="V53" s="135"/>
      <c r="W53" s="135"/>
      <c r="X53" s="135"/>
      <c r="Y53" s="135"/>
      <c r="Z53" s="135">
        <v>1316.577610844</v>
      </c>
      <c r="AA53" s="135">
        <v>1218.0536280460001</v>
      </c>
      <c r="AB53" s="135">
        <v>1625.424671239</v>
      </c>
      <c r="AC53" s="135">
        <v>2195.306348135</v>
      </c>
      <c r="AD53" s="135">
        <v>2352.0945371960001</v>
      </c>
      <c r="AE53" s="135">
        <v>2429.7434556479998</v>
      </c>
      <c r="AF53" s="135">
        <v>2910.9282647599998</v>
      </c>
      <c r="AG53" s="135">
        <v>4932.6848422989997</v>
      </c>
      <c r="AH53" s="135">
        <v>5578.4923788879996</v>
      </c>
      <c r="AI53" s="135">
        <v>5083.2973340520002</v>
      </c>
      <c r="AJ53" s="135">
        <v>6501.3921146590001</v>
      </c>
      <c r="AK53" s="135">
        <v>9370.7317497780004</v>
      </c>
      <c r="AL53" s="135">
        <v>9236.8583329020003</v>
      </c>
      <c r="AM53" s="135">
        <v>8750.9159562650002</v>
      </c>
      <c r="AN53" s="135">
        <v>8801.8786482199994</v>
      </c>
      <c r="AO53" s="135">
        <v>12050.162650982</v>
      </c>
      <c r="AP53" s="170">
        <v>14417.399343964</v>
      </c>
      <c r="AQ53" s="170">
        <v>14275.184170658</v>
      </c>
      <c r="AR53" s="170">
        <v>13304.860681972999</v>
      </c>
      <c r="AS53" s="155">
        <v>17446.005298980999</v>
      </c>
      <c r="AT53" s="155">
        <v>16612.706036831001</v>
      </c>
      <c r="AU53" s="155">
        <v>16424.088758792001</v>
      </c>
      <c r="AV53" s="155">
        <v>16989.973677729999</v>
      </c>
      <c r="AW53" s="155">
        <v>25745.428436580001</v>
      </c>
      <c r="AX53" s="155">
        <v>20958.928807241002</v>
      </c>
      <c r="AY53" s="155">
        <v>18076.174508838001</v>
      </c>
      <c r="AZ53" s="155">
        <v>17514.792364187</v>
      </c>
      <c r="BA53" s="155">
        <v>19422.177452674001</v>
      </c>
      <c r="BB53" s="40">
        <v>23252.975952139001</v>
      </c>
      <c r="BC53" s="40">
        <v>22414.714164477002</v>
      </c>
      <c r="BD53" s="155">
        <v>21556.084239774998</v>
      </c>
      <c r="BE53" s="155">
        <v>29180.338446472</v>
      </c>
      <c r="BF53" s="155">
        <v>32587.880017144998</v>
      </c>
      <c r="BG53" s="287">
        <v>28254.091292165002</v>
      </c>
      <c r="BH53" s="287">
        <v>28687.856655795</v>
      </c>
      <c r="BI53" s="287">
        <v>25696.077735282001</v>
      </c>
      <c r="BJ53" s="287">
        <v>28687.856655795</v>
      </c>
      <c r="BK53" s="287">
        <v>21874.382023893999</v>
      </c>
      <c r="BL53" s="287">
        <v>22853.546635653998</v>
      </c>
      <c r="BM53" s="287">
        <v>21824.235626176</v>
      </c>
      <c r="BN53" s="287">
        <v>20492.37</v>
      </c>
      <c r="BO53" s="287">
        <v>21040.831426681001</v>
      </c>
      <c r="BP53" s="287">
        <v>21853.58</v>
      </c>
      <c r="BQ53" s="287">
        <v>22244.676326705001</v>
      </c>
      <c r="BR53" s="287">
        <v>22808.478321986</v>
      </c>
      <c r="BS53" s="287">
        <v>23691.724133317999</v>
      </c>
      <c r="BT53" s="287">
        <v>24101.279307428002</v>
      </c>
      <c r="BU53" s="287"/>
      <c r="BV53" s="139"/>
      <c r="BW53" s="139"/>
      <c r="BX53" s="139"/>
      <c r="BY53" s="139"/>
      <c r="BZ53" s="139"/>
      <c r="CA53" s="139"/>
      <c r="CB53" s="139"/>
      <c r="CC53" s="139"/>
      <c r="CD53" s="139"/>
      <c r="CE53" s="139"/>
      <c r="CF53" s="139"/>
      <c r="CG53" s="139"/>
      <c r="CH53" s="139"/>
      <c r="CI53" s="139"/>
      <c r="CJ53" s="139"/>
      <c r="CK53" s="139"/>
      <c r="CL53" s="139"/>
      <c r="CM53" s="139"/>
      <c r="CN53" s="139"/>
      <c r="CO53" s="139"/>
      <c r="CP53" s="139"/>
      <c r="CQ53" s="139"/>
      <c r="CR53" s="139"/>
      <c r="CS53" s="139"/>
      <c r="CT53" s="139"/>
      <c r="CU53" s="139"/>
      <c r="CV53" s="139"/>
      <c r="CW53" s="139"/>
      <c r="CX53" s="139"/>
      <c r="CY53" s="139"/>
      <c r="CZ53" s="139"/>
      <c r="DA53" s="139"/>
      <c r="DB53" s="139"/>
      <c r="DC53" s="139"/>
      <c r="DD53" s="139"/>
      <c r="DE53" s="139"/>
      <c r="DF53" s="139"/>
      <c r="DG53" s="139"/>
      <c r="DH53" s="139"/>
      <c r="DI53" s="139"/>
      <c r="DJ53" s="139"/>
      <c r="DK53" s="139"/>
      <c r="DL53" s="139"/>
      <c r="DM53" s="139"/>
      <c r="DN53" s="139"/>
      <c r="DO53" s="139"/>
      <c r="DP53" s="139"/>
      <c r="DQ53" s="139"/>
      <c r="DR53" s="139"/>
      <c r="DS53" s="146"/>
      <c r="DT53" s="171" t="str">
        <f t="shared" si="71"/>
        <v/>
      </c>
      <c r="DU53" s="171" t="str">
        <f t="shared" si="71"/>
        <v/>
      </c>
      <c r="DV53" s="171" t="str">
        <f t="shared" si="71"/>
        <v/>
      </c>
      <c r="DW53" s="171" t="str">
        <f t="shared" si="71"/>
        <v/>
      </c>
      <c r="DX53" s="171" t="str">
        <f t="shared" si="71"/>
        <v/>
      </c>
      <c r="DY53" s="171" t="str">
        <f t="shared" si="71"/>
        <v/>
      </c>
      <c r="DZ53" s="171" t="str">
        <f t="shared" si="71"/>
        <v/>
      </c>
      <c r="EA53" s="171" t="str">
        <f t="shared" si="71"/>
        <v/>
      </c>
      <c r="EB53" s="171" t="str">
        <f t="shared" si="71"/>
        <v/>
      </c>
      <c r="EC53" s="171" t="str">
        <f t="shared" si="71"/>
        <v/>
      </c>
      <c r="ED53" s="171" t="str">
        <f t="shared" si="71"/>
        <v/>
      </c>
      <c r="EE53" s="171" t="str">
        <f t="shared" si="71"/>
        <v/>
      </c>
      <c r="EF53" s="171" t="str">
        <f t="shared" si="71"/>
        <v/>
      </c>
      <c r="EG53" s="171" t="str">
        <f t="shared" si="71"/>
        <v/>
      </c>
      <c r="EH53" s="171" t="str">
        <f t="shared" si="71"/>
        <v/>
      </c>
      <c r="EI53" s="171" t="str">
        <f t="shared" si="71"/>
        <v/>
      </c>
      <c r="EJ53" s="171" t="str">
        <f t="shared" si="72"/>
        <v/>
      </c>
      <c r="EK53" s="171" t="str">
        <f t="shared" si="72"/>
        <v/>
      </c>
      <c r="EL53" s="171" t="str">
        <f t="shared" si="72"/>
        <v/>
      </c>
      <c r="EM53" s="171" t="str">
        <f t="shared" si="72"/>
        <v/>
      </c>
      <c r="EN53" s="171">
        <f t="shared" si="72"/>
        <v>0.78652174989378398</v>
      </c>
      <c r="EO53" s="171">
        <f t="shared" si="72"/>
        <v>0.9947754349254645</v>
      </c>
      <c r="EP53" s="171">
        <f t="shared" si="72"/>
        <v>0.79087245091531</v>
      </c>
      <c r="EQ53" s="171">
        <f t="shared" si="72"/>
        <v>1.2469232353331967</v>
      </c>
      <c r="ER53" s="171">
        <f t="shared" si="72"/>
        <v>1.3717126546870353</v>
      </c>
      <c r="ES53" s="171">
        <f t="shared" si="72"/>
        <v>1.0921127793289238</v>
      </c>
      <c r="ET53" s="171">
        <f t="shared" si="72"/>
        <v>1.2334429169435497</v>
      </c>
      <c r="EU53" s="171">
        <f t="shared" si="72"/>
        <v>0.89972237216974515</v>
      </c>
      <c r="EV53" s="171">
        <f t="shared" si="72"/>
        <v>0.65579832426754137</v>
      </c>
      <c r="EW53" s="171">
        <f t="shared" si="72"/>
        <v>0.7215038549180175</v>
      </c>
      <c r="EX53" s="171">
        <f t="shared" si="72"/>
        <v>0.35384522160630527</v>
      </c>
      <c r="EY53" s="171">
        <f t="shared" si="72"/>
        <v>0.28593614380941768</v>
      </c>
      <c r="EZ53" s="171">
        <f t="shared" si="73"/>
        <v>0.56085530646375048</v>
      </c>
      <c r="FA53" s="171">
        <f t="shared" si="73"/>
        <v>0.6312788560651228</v>
      </c>
      <c r="FB53" s="171">
        <f t="shared" si="73"/>
        <v>0.51159328749250998</v>
      </c>
      <c r="FC53" s="171">
        <f t="shared" si="73"/>
        <v>0.44778172745736988</v>
      </c>
      <c r="FD53" s="171">
        <f t="shared" si="73"/>
        <v>0.15226787026511057</v>
      </c>
      <c r="FE53" s="171">
        <f t="shared" si="73"/>
        <v>0.15053428120044687</v>
      </c>
      <c r="FF53" s="171">
        <f t="shared" si="73"/>
        <v>0.27697494050050642</v>
      </c>
      <c r="FG53" s="171">
        <f t="shared" si="74"/>
        <v>0.4757205443519934</v>
      </c>
      <c r="FH53" s="171">
        <f t="shared" si="68"/>
        <v>0.26162039831284911</v>
      </c>
      <c r="FI53" s="171">
        <f t="shared" si="69"/>
        <v>0.10058918788791993</v>
      </c>
      <c r="FJ53" s="171">
        <f t="shared" si="70"/>
        <v>3.0889905800438155E-2</v>
      </c>
      <c r="FK53" s="171">
        <f t="shared" si="70"/>
        <v>-0.24560674915480163</v>
      </c>
    </row>
    <row r="54" spans="2:167" ht="16">
      <c r="B54" s="140" t="s">
        <v>809</v>
      </c>
      <c r="C54" s="127" t="s">
        <v>811</v>
      </c>
      <c r="D54" s="128"/>
      <c r="E54" s="128"/>
      <c r="F54" s="128"/>
      <c r="G54" s="128"/>
      <c r="H54" s="128"/>
      <c r="I54" s="128"/>
      <c r="J54" s="128"/>
      <c r="K54" s="128"/>
      <c r="L54" s="128"/>
      <c r="M54" s="128"/>
      <c r="N54" s="128"/>
      <c r="O54" s="128"/>
      <c r="P54" s="128"/>
      <c r="Q54" s="128"/>
      <c r="R54" s="128"/>
      <c r="S54" s="128"/>
      <c r="T54" s="128"/>
      <c r="U54" s="128"/>
      <c r="V54" s="128"/>
      <c r="W54" s="128"/>
      <c r="X54" s="128"/>
      <c r="Y54" s="128"/>
      <c r="Z54" s="128">
        <v>1350.4899520280001</v>
      </c>
      <c r="AA54" s="128">
        <v>1268.534455066</v>
      </c>
      <c r="AB54" s="128">
        <v>1673.592377533</v>
      </c>
      <c r="AC54" s="128">
        <v>2253.516929935</v>
      </c>
      <c r="AD54" s="128">
        <v>2402.3241867289998</v>
      </c>
      <c r="AE54" s="128">
        <v>2477.6073148529999</v>
      </c>
      <c r="AF54" s="128">
        <v>2985.8740119449999</v>
      </c>
      <c r="AG54" s="128">
        <v>5009.7084926280004</v>
      </c>
      <c r="AH54" s="128">
        <v>5667.1667158</v>
      </c>
      <c r="AI54" s="128">
        <v>5179.847206591</v>
      </c>
      <c r="AJ54" s="128">
        <v>6611.456768948</v>
      </c>
      <c r="AK54" s="128">
        <v>9513.6575698279994</v>
      </c>
      <c r="AL54" s="128">
        <v>9399.3342207860005</v>
      </c>
      <c r="AM54" s="128">
        <v>8941.6521162009994</v>
      </c>
      <c r="AN54" s="128">
        <v>9002.5347244410004</v>
      </c>
      <c r="AO54" s="128">
        <v>12309.955461928999</v>
      </c>
      <c r="AP54" s="173">
        <v>14735.000448428</v>
      </c>
      <c r="AQ54" s="173">
        <v>14635.272065949001</v>
      </c>
      <c r="AR54" s="173">
        <v>13667.536889135001</v>
      </c>
      <c r="AS54" s="288">
        <v>17821.137643753002</v>
      </c>
      <c r="AT54" s="288">
        <v>16952.317476314998</v>
      </c>
      <c r="AU54" s="288">
        <v>16740.774626439001</v>
      </c>
      <c r="AV54" s="288">
        <v>17386.803041461</v>
      </c>
      <c r="AW54" s="158">
        <v>26195.934673883999</v>
      </c>
      <c r="AX54" s="158">
        <v>21463.192128559</v>
      </c>
      <c r="AY54" s="158">
        <v>18626.103813844002</v>
      </c>
      <c r="AZ54" s="158">
        <v>18012.640524607999</v>
      </c>
      <c r="BA54" s="158">
        <v>19926.363502364999</v>
      </c>
      <c r="BB54" s="41">
        <v>23708.068728499002</v>
      </c>
      <c r="BC54" s="41">
        <v>22840.830524937999</v>
      </c>
      <c r="BD54" s="158">
        <v>22200.618447240999</v>
      </c>
      <c r="BE54" s="158">
        <v>29863.174970268999</v>
      </c>
      <c r="BF54" s="288">
        <v>33234.2504424</v>
      </c>
      <c r="BG54" s="289">
        <v>28752.056117743999</v>
      </c>
      <c r="BH54" s="289">
        <v>29093.319246704999</v>
      </c>
      <c r="BI54" s="289">
        <v>26058.131396686</v>
      </c>
      <c r="BJ54" s="289">
        <v>29093.319246704999</v>
      </c>
      <c r="BK54" s="289">
        <v>22156.359601380998</v>
      </c>
      <c r="BL54" s="289">
        <v>23080.345901883</v>
      </c>
      <c r="BM54" s="289">
        <v>22028.684523095999</v>
      </c>
      <c r="BN54" s="289">
        <v>20759.7</v>
      </c>
      <c r="BO54" s="289">
        <v>21319.351807165</v>
      </c>
      <c r="BP54" s="289">
        <v>22212.93</v>
      </c>
      <c r="BQ54" s="289">
        <v>22667.774012643</v>
      </c>
      <c r="BR54" s="289">
        <v>23243.566847542999</v>
      </c>
      <c r="BS54" s="289">
        <v>24132.788913495999</v>
      </c>
      <c r="BT54" s="289">
        <v>24645.125687618001</v>
      </c>
      <c r="BU54" s="289"/>
      <c r="BV54" s="142"/>
      <c r="BW54" s="142"/>
      <c r="BX54" s="142"/>
      <c r="BY54" s="142"/>
      <c r="BZ54" s="142"/>
      <c r="CA54" s="142"/>
      <c r="CB54" s="142"/>
      <c r="CC54" s="142"/>
      <c r="CD54" s="142"/>
      <c r="CE54" s="142"/>
      <c r="CF54" s="142"/>
      <c r="CG54" s="142"/>
      <c r="CH54" s="142"/>
      <c r="CI54" s="142"/>
      <c r="CJ54" s="142"/>
      <c r="CK54" s="142"/>
      <c r="CL54" s="142"/>
      <c r="CM54" s="142"/>
      <c r="CN54" s="142"/>
      <c r="CO54" s="142"/>
      <c r="CP54" s="142"/>
      <c r="CQ54" s="142"/>
      <c r="CR54" s="142"/>
      <c r="CS54" s="142"/>
      <c r="CT54" s="142"/>
      <c r="CU54" s="142"/>
      <c r="CV54" s="142"/>
      <c r="CW54" s="142"/>
      <c r="CX54" s="142"/>
      <c r="CY54" s="142"/>
      <c r="CZ54" s="142"/>
      <c r="DA54" s="142"/>
      <c r="DB54" s="142"/>
      <c r="DC54" s="142"/>
      <c r="DD54" s="142"/>
      <c r="DE54" s="142"/>
      <c r="DF54" s="142"/>
      <c r="DG54" s="142"/>
      <c r="DH54" s="142"/>
      <c r="DI54" s="142"/>
      <c r="DJ54" s="142"/>
      <c r="DK54" s="142"/>
      <c r="DL54" s="142"/>
      <c r="DM54" s="142"/>
      <c r="DN54" s="142"/>
      <c r="DO54" s="142"/>
      <c r="DP54" s="142"/>
      <c r="DQ54" s="142"/>
      <c r="DR54" s="142"/>
      <c r="DS54" s="133"/>
      <c r="DT54" s="174" t="str">
        <f t="shared" si="71"/>
        <v/>
      </c>
      <c r="DU54" s="174" t="str">
        <f t="shared" si="71"/>
        <v/>
      </c>
      <c r="DV54" s="174" t="str">
        <f t="shared" si="71"/>
        <v/>
      </c>
      <c r="DW54" s="174" t="str">
        <f t="shared" si="71"/>
        <v/>
      </c>
      <c r="DX54" s="174" t="str">
        <f t="shared" si="71"/>
        <v/>
      </c>
      <c r="DY54" s="174" t="str">
        <f t="shared" si="71"/>
        <v/>
      </c>
      <c r="DZ54" s="174" t="str">
        <f t="shared" si="71"/>
        <v/>
      </c>
      <c r="EA54" s="174" t="str">
        <f t="shared" si="71"/>
        <v/>
      </c>
      <c r="EB54" s="174" t="str">
        <f t="shared" si="71"/>
        <v/>
      </c>
      <c r="EC54" s="174" t="str">
        <f t="shared" si="71"/>
        <v/>
      </c>
      <c r="ED54" s="174" t="str">
        <f t="shared" si="71"/>
        <v/>
      </c>
      <c r="EE54" s="174" t="str">
        <f t="shared" si="71"/>
        <v/>
      </c>
      <c r="EF54" s="174" t="str">
        <f t="shared" si="71"/>
        <v/>
      </c>
      <c r="EG54" s="174" t="str">
        <f t="shared" si="71"/>
        <v/>
      </c>
      <c r="EH54" s="174" t="str">
        <f t="shared" si="71"/>
        <v/>
      </c>
      <c r="EI54" s="174" t="str">
        <f t="shared" si="71"/>
        <v/>
      </c>
      <c r="EJ54" s="174" t="str">
        <f t="shared" si="72"/>
        <v/>
      </c>
      <c r="EK54" s="174" t="str">
        <f t="shared" si="72"/>
        <v/>
      </c>
      <c r="EL54" s="174" t="str">
        <f t="shared" si="72"/>
        <v/>
      </c>
      <c r="EM54" s="174" t="str">
        <f t="shared" si="72"/>
        <v/>
      </c>
      <c r="EN54" s="174">
        <f t="shared" si="72"/>
        <v>0.77885380274135629</v>
      </c>
      <c r="EO54" s="174">
        <f t="shared" si="72"/>
        <v>0.95312575465212235</v>
      </c>
      <c r="EP54" s="174">
        <f t="shared" si="72"/>
        <v>0.78411066638962645</v>
      </c>
      <c r="EQ54" s="174">
        <f t="shared" si="72"/>
        <v>1.223062283704476</v>
      </c>
      <c r="ER54" s="174">
        <f t="shared" si="72"/>
        <v>1.3590349491990934</v>
      </c>
      <c r="ES54" s="174">
        <f t="shared" si="72"/>
        <v>1.0906651249931136</v>
      </c>
      <c r="ET54" s="174">
        <f t="shared" si="72"/>
        <v>1.214245056053552</v>
      </c>
      <c r="EU54" s="174">
        <f t="shared" si="72"/>
        <v>0.89904414275356581</v>
      </c>
      <c r="EV54" s="174">
        <f t="shared" si="72"/>
        <v>0.65855968108027563</v>
      </c>
      <c r="EW54" s="174">
        <f t="shared" si="72"/>
        <v>0.72623858572958699</v>
      </c>
      <c r="EX54" s="174">
        <f t="shared" si="72"/>
        <v>0.36165674813502013</v>
      </c>
      <c r="EY54" s="174">
        <f t="shared" si="72"/>
        <v>0.29392458910538188</v>
      </c>
      <c r="EZ54" s="174">
        <f t="shared" si="73"/>
        <v>0.56766427305484357</v>
      </c>
      <c r="FA54" s="174">
        <f t="shared" si="73"/>
        <v>0.63675256829014559</v>
      </c>
      <c r="FB54" s="174">
        <f t="shared" si="73"/>
        <v>0.51818763353713893</v>
      </c>
      <c r="FC54" s="174">
        <f t="shared" si="73"/>
        <v>0.44770122839748994</v>
      </c>
      <c r="FD54" s="174">
        <f t="shared" si="73"/>
        <v>0.15047960369241475</v>
      </c>
      <c r="FE54" s="174">
        <f t="shared" si="73"/>
        <v>0.14386494156051555</v>
      </c>
      <c r="FF54" s="174">
        <f t="shared" si="73"/>
        <v>0.27212409832839946</v>
      </c>
      <c r="FG54" s="174">
        <f t="shared" si="74"/>
        <v>0.46993616218809064</v>
      </c>
      <c r="FH54" s="174">
        <f t="shared" si="68"/>
        <v>0.26609191684537459</v>
      </c>
      <c r="FI54" s="174">
        <f t="shared" si="69"/>
        <v>0.11261899341428716</v>
      </c>
      <c r="FJ54" s="174">
        <f t="shared" si="70"/>
        <v>3.5994971683673604E-2</v>
      </c>
      <c r="FK54" s="174">
        <f t="shared" si="70"/>
        <v>-0.23933374584910083</v>
      </c>
    </row>
    <row r="55" spans="2:167" ht="16">
      <c r="B55" s="140" t="s">
        <v>812</v>
      </c>
      <c r="C55" s="127" t="s">
        <v>813</v>
      </c>
      <c r="D55" s="128"/>
      <c r="E55" s="128"/>
      <c r="F55" s="128"/>
      <c r="G55" s="128"/>
      <c r="H55" s="128"/>
      <c r="I55" s="128"/>
      <c r="J55" s="128"/>
      <c r="K55" s="128"/>
      <c r="L55" s="128"/>
      <c r="M55" s="128"/>
      <c r="N55" s="128"/>
      <c r="O55" s="128"/>
      <c r="P55" s="128"/>
      <c r="Q55" s="128"/>
      <c r="R55" s="128"/>
      <c r="S55" s="128"/>
      <c r="T55" s="128"/>
      <c r="U55" s="128"/>
      <c r="V55" s="128"/>
      <c r="W55" s="128"/>
      <c r="X55" s="128"/>
      <c r="Y55" s="128"/>
      <c r="Z55" s="128">
        <v>-33.912341183999999</v>
      </c>
      <c r="AA55" s="128">
        <v>-50.48082702</v>
      </c>
      <c r="AB55" s="128">
        <v>-48.167706293999998</v>
      </c>
      <c r="AC55" s="128">
        <v>-58.2105818</v>
      </c>
      <c r="AD55" s="128">
        <v>-50.229649533</v>
      </c>
      <c r="AE55" s="128">
        <v>-47.863859204999997</v>
      </c>
      <c r="AF55" s="128">
        <v>-74.945747185000002</v>
      </c>
      <c r="AG55" s="128">
        <v>-77.023650329000006</v>
      </c>
      <c r="AH55" s="128">
        <v>-88.674336912000001</v>
      </c>
      <c r="AI55" s="128">
        <v>-96.549872539000006</v>
      </c>
      <c r="AJ55" s="128">
        <v>-110.064654289</v>
      </c>
      <c r="AK55" s="128">
        <v>-142.92582005</v>
      </c>
      <c r="AL55" s="128">
        <v>-162.475887884</v>
      </c>
      <c r="AM55" s="128">
        <v>-190.73615993600001</v>
      </c>
      <c r="AN55" s="128">
        <v>-200.65607622100001</v>
      </c>
      <c r="AO55" s="128">
        <v>-259.79281094700002</v>
      </c>
      <c r="AP55" s="173">
        <v>-317.601104464</v>
      </c>
      <c r="AQ55" s="173">
        <v>-360.087895291</v>
      </c>
      <c r="AR55" s="173">
        <v>-362.67620716200003</v>
      </c>
      <c r="AS55" s="288">
        <v>-375.13234477200001</v>
      </c>
      <c r="AT55" s="288">
        <v>-339.61143948400002</v>
      </c>
      <c r="AU55" s="288">
        <v>-316.68586764700001</v>
      </c>
      <c r="AV55" s="288">
        <v>-396.829363731</v>
      </c>
      <c r="AW55" s="158">
        <v>-450.50623730400002</v>
      </c>
      <c r="AX55" s="158">
        <v>-504.26332131800001</v>
      </c>
      <c r="AY55" s="158">
        <v>-549.92930500600005</v>
      </c>
      <c r="AZ55" s="158">
        <v>-497.84816042099999</v>
      </c>
      <c r="BA55" s="158">
        <v>-504.18604969099999</v>
      </c>
      <c r="BB55" s="41">
        <v>-455.09277636000002</v>
      </c>
      <c r="BC55" s="41">
        <v>-426.116360461</v>
      </c>
      <c r="BD55" s="158">
        <v>-644.534207466</v>
      </c>
      <c r="BE55" s="158">
        <v>-682.83652379700004</v>
      </c>
      <c r="BF55" s="288">
        <v>-646.37042525499999</v>
      </c>
      <c r="BG55" s="289">
        <v>-497.96482557899998</v>
      </c>
      <c r="BH55" s="289">
        <v>-405.46259091000002</v>
      </c>
      <c r="BI55" s="289">
        <v>-362.05366140400002</v>
      </c>
      <c r="BJ55" s="289">
        <v>-405.46259091000002</v>
      </c>
      <c r="BK55" s="289">
        <v>-281.97757748700002</v>
      </c>
      <c r="BL55" s="289">
        <v>-226.79926622900001</v>
      </c>
      <c r="BM55" s="289">
        <v>-204.44889692000001</v>
      </c>
      <c r="BN55" s="289">
        <v>-267.33</v>
      </c>
      <c r="BO55" s="289">
        <v>-278.52038048399999</v>
      </c>
      <c r="BP55" s="289">
        <v>-359.35</v>
      </c>
      <c r="BQ55" s="289">
        <v>-423.09768593799998</v>
      </c>
      <c r="BR55" s="289">
        <v>-435.08852555700003</v>
      </c>
      <c r="BS55" s="289">
        <v>-441.06478017799998</v>
      </c>
      <c r="BT55" s="289">
        <v>-543.84638018999999</v>
      </c>
      <c r="BU55" s="289"/>
      <c r="BV55" s="142"/>
      <c r="BW55" s="142"/>
      <c r="BX55" s="142"/>
      <c r="BY55" s="142"/>
      <c r="BZ55" s="142"/>
      <c r="CA55" s="142"/>
      <c r="CB55" s="142"/>
      <c r="CC55" s="142"/>
      <c r="CD55" s="142"/>
      <c r="CE55" s="142"/>
      <c r="CF55" s="142"/>
      <c r="CG55" s="142"/>
      <c r="CH55" s="142"/>
      <c r="CI55" s="142"/>
      <c r="CJ55" s="142"/>
      <c r="CK55" s="142"/>
      <c r="CL55" s="142"/>
      <c r="CM55" s="142"/>
      <c r="CN55" s="142"/>
      <c r="CO55" s="142"/>
      <c r="CP55" s="142"/>
      <c r="CQ55" s="142"/>
      <c r="CR55" s="142"/>
      <c r="CS55" s="142"/>
      <c r="CT55" s="142"/>
      <c r="CU55" s="142"/>
      <c r="CV55" s="142"/>
      <c r="CW55" s="142"/>
      <c r="CX55" s="142"/>
      <c r="CY55" s="142"/>
      <c r="CZ55" s="142"/>
      <c r="DA55" s="142"/>
      <c r="DB55" s="142"/>
      <c r="DC55" s="142"/>
      <c r="DD55" s="142"/>
      <c r="DE55" s="142"/>
      <c r="DF55" s="142"/>
      <c r="DG55" s="142"/>
      <c r="DH55" s="142"/>
      <c r="DI55" s="142"/>
      <c r="DJ55" s="142"/>
      <c r="DK55" s="142"/>
      <c r="DL55" s="142"/>
      <c r="DM55" s="142"/>
      <c r="DN55" s="142"/>
      <c r="DO55" s="142"/>
      <c r="DP55" s="142"/>
      <c r="DQ55" s="142"/>
      <c r="DR55" s="142"/>
      <c r="DS55" s="133"/>
      <c r="DT55" s="174" t="str">
        <f t="shared" si="71"/>
        <v/>
      </c>
      <c r="DU55" s="174" t="str">
        <f t="shared" si="71"/>
        <v/>
      </c>
      <c r="DV55" s="174" t="str">
        <f t="shared" si="71"/>
        <v/>
      </c>
      <c r="DW55" s="174" t="str">
        <f t="shared" si="71"/>
        <v/>
      </c>
      <c r="DX55" s="174" t="str">
        <f t="shared" si="71"/>
        <v/>
      </c>
      <c r="DY55" s="174" t="str">
        <f t="shared" si="71"/>
        <v/>
      </c>
      <c r="DZ55" s="174" t="str">
        <f t="shared" si="71"/>
        <v/>
      </c>
      <c r="EA55" s="174" t="str">
        <f t="shared" si="71"/>
        <v/>
      </c>
      <c r="EB55" s="174" t="str">
        <f t="shared" si="71"/>
        <v/>
      </c>
      <c r="EC55" s="174" t="str">
        <f t="shared" si="71"/>
        <v/>
      </c>
      <c r="ED55" s="174" t="str">
        <f t="shared" si="71"/>
        <v/>
      </c>
      <c r="EE55" s="174" t="str">
        <f t="shared" si="71"/>
        <v/>
      </c>
      <c r="EF55" s="174" t="str">
        <f t="shared" si="71"/>
        <v/>
      </c>
      <c r="EG55" s="174" t="str">
        <f t="shared" si="71"/>
        <v/>
      </c>
      <c r="EH55" s="174" t="str">
        <f t="shared" si="71"/>
        <v/>
      </c>
      <c r="EI55" s="174" t="str">
        <f t="shared" si="71"/>
        <v/>
      </c>
      <c r="EJ55" s="174" t="str">
        <f t="shared" si="72"/>
        <v/>
      </c>
      <c r="EK55" s="174" t="str">
        <f t="shared" si="72"/>
        <v/>
      </c>
      <c r="EL55" s="174" t="str">
        <f t="shared" si="72"/>
        <v/>
      </c>
      <c r="EM55" s="174" t="str">
        <f t="shared" si="72"/>
        <v/>
      </c>
      <c r="EN55" s="174">
        <f t="shared" si="72"/>
        <v>0.48116136424985556</v>
      </c>
      <c r="EO55" s="174">
        <f t="shared" si="72"/>
        <v>-5.1840826893806313E-2</v>
      </c>
      <c r="EP55" s="174">
        <f t="shared" si="72"/>
        <v>0.55593348638101125</v>
      </c>
      <c r="EQ55" s="174">
        <f t="shared" si="72"/>
        <v>0.32318983846679239</v>
      </c>
      <c r="ER55" s="174">
        <f t="shared" si="72"/>
        <v>0.76537837186665048</v>
      </c>
      <c r="ES55" s="174">
        <f t="shared" si="72"/>
        <v>1.0171769293712556</v>
      </c>
      <c r="ET55" s="174">
        <f t="shared" si="72"/>
        <v>0.46859105984106941</v>
      </c>
      <c r="EU55" s="174">
        <f t="shared" si="72"/>
        <v>0.85560953602568102</v>
      </c>
      <c r="EV55" s="174">
        <f t="shared" si="72"/>
        <v>0.83227632189954037</v>
      </c>
      <c r="EW55" s="174">
        <f t="shared" si="72"/>
        <v>0.97551954156081089</v>
      </c>
      <c r="EX55" s="174">
        <f t="shared" si="72"/>
        <v>0.82307460571430524</v>
      </c>
      <c r="EY55" s="174">
        <f t="shared" si="72"/>
        <v>0.81767584650636405</v>
      </c>
      <c r="EZ55" s="174">
        <f t="shared" si="73"/>
        <v>0.95475838661520029</v>
      </c>
      <c r="FA55" s="174">
        <f t="shared" si="73"/>
        <v>0.88788479023497491</v>
      </c>
      <c r="FB55" s="174">
        <f t="shared" si="73"/>
        <v>0.80745190473351602</v>
      </c>
      <c r="FC55" s="174">
        <f t="shared" si="73"/>
        <v>0.44396738079303599</v>
      </c>
      <c r="FD55" s="174">
        <f t="shared" si="73"/>
        <v>6.9301821406275721E-2</v>
      </c>
      <c r="FE55" s="174">
        <f t="shared" si="73"/>
        <v>-0.12053175963864393</v>
      </c>
      <c r="FF55" s="174">
        <f t="shared" si="73"/>
        <v>9.4169829436162811E-2</v>
      </c>
      <c r="FG55" s="174">
        <f t="shared" si="74"/>
        <v>0.20092613602223808</v>
      </c>
      <c r="FH55" s="174">
        <f t="shared" si="68"/>
        <v>0.48482431005318705</v>
      </c>
      <c r="FI55" s="174">
        <f t="shared" si="69"/>
        <v>0.73651356497849574</v>
      </c>
      <c r="FJ55" s="174">
        <f t="shared" si="70"/>
        <v>0.25456482287555193</v>
      </c>
      <c r="FK55" s="174">
        <f t="shared" si="70"/>
        <v>0.1191544266029263</v>
      </c>
    </row>
    <row r="56" spans="2:167" ht="16">
      <c r="B56" s="140" t="s">
        <v>472</v>
      </c>
      <c r="C56" s="127" t="s">
        <v>814</v>
      </c>
      <c r="D56" s="128"/>
      <c r="E56" s="128"/>
      <c r="F56" s="128"/>
      <c r="G56" s="128"/>
      <c r="H56" s="128"/>
      <c r="I56" s="128"/>
      <c r="J56" s="128"/>
      <c r="K56" s="128"/>
      <c r="L56" s="128"/>
      <c r="M56" s="128"/>
      <c r="N56" s="128"/>
      <c r="O56" s="128"/>
      <c r="P56" s="128"/>
      <c r="Q56" s="128"/>
      <c r="R56" s="128"/>
      <c r="S56" s="128"/>
      <c r="T56" s="128"/>
      <c r="U56" s="128"/>
      <c r="V56" s="128"/>
      <c r="W56" s="128"/>
      <c r="X56" s="128"/>
      <c r="Y56" s="128"/>
      <c r="Z56" s="128">
        <v>43.478849480000001</v>
      </c>
      <c r="AA56" s="128">
        <v>44.722756349999997</v>
      </c>
      <c r="AB56" s="128">
        <v>72.929233515000007</v>
      </c>
      <c r="AC56" s="128">
        <v>132.72410482999999</v>
      </c>
      <c r="AD56" s="128">
        <v>105.303613778</v>
      </c>
      <c r="AE56" s="128">
        <v>104.8833382</v>
      </c>
      <c r="AF56" s="128">
        <v>124.06208764900001</v>
      </c>
      <c r="AG56" s="128">
        <v>263.55153540499998</v>
      </c>
      <c r="AH56" s="128">
        <v>227.22979773599999</v>
      </c>
      <c r="AI56" s="128">
        <v>247.58631430099999</v>
      </c>
      <c r="AJ56" s="128">
        <v>319.16371442000002</v>
      </c>
      <c r="AK56" s="128">
        <v>510.08132090700002</v>
      </c>
      <c r="AL56" s="128">
        <v>299.25350478899998</v>
      </c>
      <c r="AM56" s="128">
        <v>226.700713995</v>
      </c>
      <c r="AN56" s="128">
        <v>284.66515914799999</v>
      </c>
      <c r="AO56" s="128">
        <v>628.22956026899999</v>
      </c>
      <c r="AP56" s="173">
        <v>492.52625758300002</v>
      </c>
      <c r="AQ56" s="173">
        <v>398.09080013699997</v>
      </c>
      <c r="AR56" s="173">
        <v>334.37313393199997</v>
      </c>
      <c r="AS56" s="288">
        <v>582.98701138900003</v>
      </c>
      <c r="AT56" s="288">
        <v>428.47270698400001</v>
      </c>
      <c r="AU56" s="288">
        <v>457.87164337500002</v>
      </c>
      <c r="AV56" s="288">
        <v>476.96582873900002</v>
      </c>
      <c r="AW56" s="158">
        <v>1199.146093219</v>
      </c>
      <c r="AX56" s="158">
        <v>646.52827098600005</v>
      </c>
      <c r="AY56" s="158">
        <v>669.07495075500003</v>
      </c>
      <c r="AZ56" s="158">
        <v>713.98248717900003</v>
      </c>
      <c r="BA56" s="158">
        <v>894.62927925400004</v>
      </c>
      <c r="BB56" s="41">
        <v>988.62807970599999</v>
      </c>
      <c r="BC56" s="41">
        <v>859.08906281899999</v>
      </c>
      <c r="BD56" s="158">
        <v>641.90139039200005</v>
      </c>
      <c r="BE56" s="158">
        <v>1255.051407879</v>
      </c>
      <c r="BF56" s="288">
        <v>1205.5013381609999</v>
      </c>
      <c r="BG56" s="289">
        <v>900.17111894499999</v>
      </c>
      <c r="BH56" s="289">
        <v>875.55864784699997</v>
      </c>
      <c r="BI56" s="289">
        <v>742.89830817699999</v>
      </c>
      <c r="BJ56" s="289">
        <v>936.48905409700001</v>
      </c>
      <c r="BK56" s="289">
        <v>700.37942548299998</v>
      </c>
      <c r="BL56" s="289">
        <v>641.58153285900005</v>
      </c>
      <c r="BM56" s="289">
        <v>661.17731466199996</v>
      </c>
      <c r="BN56" s="289">
        <v>660.1</v>
      </c>
      <c r="BO56" s="289">
        <v>569.58433692100004</v>
      </c>
      <c r="BP56" s="289">
        <v>564.84</v>
      </c>
      <c r="BQ56" s="289">
        <v>544.07677151500002</v>
      </c>
      <c r="BR56" s="289">
        <v>630.45865344900005</v>
      </c>
      <c r="BS56" s="289">
        <v>534.37388110100005</v>
      </c>
      <c r="BT56" s="289">
        <v>561.89191727299999</v>
      </c>
      <c r="BU56" s="289"/>
      <c r="BV56" s="142"/>
      <c r="BW56" s="142"/>
      <c r="BX56" s="142"/>
      <c r="BY56" s="142"/>
      <c r="BZ56" s="142"/>
      <c r="CA56" s="142"/>
      <c r="CB56" s="142"/>
      <c r="CC56" s="142"/>
      <c r="CD56" s="142"/>
      <c r="CE56" s="142"/>
      <c r="CF56" s="142"/>
      <c r="CG56" s="142"/>
      <c r="CH56" s="142"/>
      <c r="CI56" s="142"/>
      <c r="CJ56" s="142"/>
      <c r="CK56" s="142"/>
      <c r="CL56" s="142"/>
      <c r="CM56" s="142"/>
      <c r="CN56" s="142"/>
      <c r="CO56" s="142"/>
      <c r="CP56" s="142"/>
      <c r="CQ56" s="142"/>
      <c r="CR56" s="142"/>
      <c r="CS56" s="142"/>
      <c r="CT56" s="142"/>
      <c r="CU56" s="142"/>
      <c r="CV56" s="142"/>
      <c r="CW56" s="142"/>
      <c r="CX56" s="142"/>
      <c r="CY56" s="142"/>
      <c r="CZ56" s="142"/>
      <c r="DA56" s="142"/>
      <c r="DB56" s="142"/>
      <c r="DC56" s="142"/>
      <c r="DD56" s="142"/>
      <c r="DE56" s="142"/>
      <c r="DF56" s="142"/>
      <c r="DG56" s="142"/>
      <c r="DH56" s="142"/>
      <c r="DI56" s="142"/>
      <c r="DJ56" s="142"/>
      <c r="DK56" s="142"/>
      <c r="DL56" s="142"/>
      <c r="DM56" s="142"/>
      <c r="DN56" s="142"/>
      <c r="DO56" s="142"/>
      <c r="DP56" s="142"/>
      <c r="DQ56" s="142"/>
      <c r="DR56" s="142"/>
      <c r="DS56" s="133"/>
      <c r="DT56" s="174" t="str">
        <f t="shared" si="71"/>
        <v/>
      </c>
      <c r="DU56" s="174" t="str">
        <f t="shared" si="71"/>
        <v/>
      </c>
      <c r="DV56" s="174" t="str">
        <f t="shared" si="71"/>
        <v/>
      </c>
      <c r="DW56" s="174" t="str">
        <f t="shared" si="71"/>
        <v/>
      </c>
      <c r="DX56" s="174" t="str">
        <f t="shared" si="71"/>
        <v/>
      </c>
      <c r="DY56" s="174" t="str">
        <f t="shared" si="71"/>
        <v/>
      </c>
      <c r="DZ56" s="174" t="str">
        <f t="shared" si="71"/>
        <v/>
      </c>
      <c r="EA56" s="174" t="str">
        <f t="shared" si="71"/>
        <v/>
      </c>
      <c r="EB56" s="174" t="str">
        <f t="shared" si="71"/>
        <v/>
      </c>
      <c r="EC56" s="174" t="str">
        <f t="shared" si="71"/>
        <v/>
      </c>
      <c r="ED56" s="174" t="str">
        <f t="shared" si="71"/>
        <v/>
      </c>
      <c r="EE56" s="174" t="str">
        <f t="shared" si="71"/>
        <v/>
      </c>
      <c r="EF56" s="174" t="str">
        <f t="shared" si="71"/>
        <v/>
      </c>
      <c r="EG56" s="174" t="str">
        <f t="shared" si="71"/>
        <v/>
      </c>
      <c r="EH56" s="174" t="str">
        <f t="shared" si="71"/>
        <v/>
      </c>
      <c r="EI56" s="174" t="str">
        <f t="shared" si="71"/>
        <v/>
      </c>
      <c r="EJ56" s="174" t="str">
        <f t="shared" si="72"/>
        <v/>
      </c>
      <c r="EK56" s="174" t="str">
        <f t="shared" si="72"/>
        <v/>
      </c>
      <c r="EL56" s="174" t="str">
        <f t="shared" si="72"/>
        <v/>
      </c>
      <c r="EM56" s="174" t="str">
        <f t="shared" si="72"/>
        <v/>
      </c>
      <c r="EN56" s="174">
        <f t="shared" si="72"/>
        <v>1.4219503284335757</v>
      </c>
      <c r="EO56" s="174">
        <f t="shared" si="72"/>
        <v>1.3451894909871762</v>
      </c>
      <c r="EP56" s="174">
        <f t="shared" si="72"/>
        <v>0.70112973453207972</v>
      </c>
      <c r="EQ56" s="174">
        <f t="shared" si="72"/>
        <v>0.98570964741160361</v>
      </c>
      <c r="ER56" s="174">
        <f t="shared" si="72"/>
        <v>1.1578537486381384</v>
      </c>
      <c r="ES56" s="174">
        <f t="shared" si="72"/>
        <v>1.360587663875481</v>
      </c>
      <c r="ET56" s="174">
        <f t="shared" si="72"/>
        <v>1.5726127978999282</v>
      </c>
      <c r="EU56" s="174">
        <f t="shared" si="72"/>
        <v>0.93541396039737501</v>
      </c>
      <c r="EV56" s="174">
        <f t="shared" si="72"/>
        <v>0.31696418238543922</v>
      </c>
      <c r="EW56" s="174">
        <f t="shared" si="72"/>
        <v>-8.4356844864246328E-2</v>
      </c>
      <c r="EX56" s="174">
        <f t="shared" si="72"/>
        <v>-0.10809046803673317</v>
      </c>
      <c r="EY56" s="174">
        <f t="shared" si="72"/>
        <v>0.23162628098577476</v>
      </c>
      <c r="EZ56" s="174">
        <f t="shared" si="73"/>
        <v>0.64584958806171477</v>
      </c>
      <c r="FA56" s="174">
        <f t="shared" si="73"/>
        <v>0.75601917224565973</v>
      </c>
      <c r="FB56" s="174">
        <f t="shared" si="73"/>
        <v>0.17461910313427698</v>
      </c>
      <c r="FC56" s="174">
        <f t="shared" si="73"/>
        <v>-7.2015950444337062E-2</v>
      </c>
      <c r="FD56" s="174">
        <f t="shared" si="73"/>
        <v>-0.13005103710273913</v>
      </c>
      <c r="FE56" s="174">
        <f t="shared" si="73"/>
        <v>0.15016886403159013</v>
      </c>
      <c r="FF56" s="174">
        <f t="shared" si="73"/>
        <v>0.4264478223181607</v>
      </c>
      <c r="FG56" s="174">
        <f t="shared" si="74"/>
        <v>1.0569001878137314</v>
      </c>
      <c r="FH56" s="174">
        <f t="shared" si="68"/>
        <v>0.50891354442826309</v>
      </c>
      <c r="FI56" s="174">
        <f t="shared" si="69"/>
        <v>0.46127186611341009</v>
      </c>
      <c r="FJ56" s="174">
        <f t="shared" si="70"/>
        <v>0.49692586797386196</v>
      </c>
      <c r="FK56" s="174">
        <f t="shared" si="70"/>
        <v>-0.25394471589992174</v>
      </c>
    </row>
    <row r="57" spans="2:167" ht="16">
      <c r="B57" s="140" t="s">
        <v>815</v>
      </c>
      <c r="C57" s="127" t="s">
        <v>816</v>
      </c>
      <c r="D57" s="128"/>
      <c r="E57" s="128"/>
      <c r="F57" s="128"/>
      <c r="G57" s="128"/>
      <c r="H57" s="128"/>
      <c r="I57" s="128"/>
      <c r="J57" s="128"/>
      <c r="K57" s="128"/>
      <c r="L57" s="128"/>
      <c r="M57" s="128"/>
      <c r="N57" s="128"/>
      <c r="O57" s="128"/>
      <c r="P57" s="128"/>
      <c r="Q57" s="128"/>
      <c r="R57" s="128"/>
      <c r="S57" s="128"/>
      <c r="T57" s="128"/>
      <c r="U57" s="128"/>
      <c r="V57" s="128"/>
      <c r="W57" s="128"/>
      <c r="X57" s="128"/>
      <c r="Y57" s="128"/>
      <c r="Z57" s="128">
        <v>30.313434167</v>
      </c>
      <c r="AA57" s="128">
        <v>38.489050800000001</v>
      </c>
      <c r="AB57" s="128">
        <v>48.443040179999997</v>
      </c>
      <c r="AC57" s="128">
        <v>77.713718761999999</v>
      </c>
      <c r="AD57" s="128">
        <v>81.434383859999997</v>
      </c>
      <c r="AE57" s="128">
        <v>80.034870064000003</v>
      </c>
      <c r="AF57" s="128">
        <v>97.350252092999995</v>
      </c>
      <c r="AG57" s="128">
        <v>109.62606802800001</v>
      </c>
      <c r="AH57" s="128">
        <v>120.56809956399999</v>
      </c>
      <c r="AI57" s="128">
        <v>162.268550764</v>
      </c>
      <c r="AJ57" s="128">
        <v>183.81254941500001</v>
      </c>
      <c r="AK57" s="128">
        <v>208.179145656</v>
      </c>
      <c r="AL57" s="128">
        <v>212.81834175</v>
      </c>
      <c r="AM57" s="128">
        <v>189.28066843799999</v>
      </c>
      <c r="AN57" s="128">
        <v>250.76733945300001</v>
      </c>
      <c r="AO57" s="128">
        <v>330.53171537399999</v>
      </c>
      <c r="AP57" s="173">
        <v>293.14914766700002</v>
      </c>
      <c r="AQ57" s="173">
        <v>285.18373444899999</v>
      </c>
      <c r="AR57" s="173">
        <v>253.776864617</v>
      </c>
      <c r="AS57" s="288">
        <v>283.03471690200001</v>
      </c>
      <c r="AT57" s="288">
        <v>289.84169033900002</v>
      </c>
      <c r="AU57" s="288">
        <v>338.32220103399999</v>
      </c>
      <c r="AV57" s="288">
        <v>378.75104006599997</v>
      </c>
      <c r="AW57" s="158">
        <v>487.03059195600002</v>
      </c>
      <c r="AX57" s="158">
        <v>468.83507707000001</v>
      </c>
      <c r="AY57" s="158">
        <v>457.44555852100001</v>
      </c>
      <c r="AZ57" s="158">
        <v>472.74612545999997</v>
      </c>
      <c r="BA57" s="158">
        <v>563.78631614100004</v>
      </c>
      <c r="BB57" s="41">
        <v>596.79095493600005</v>
      </c>
      <c r="BC57" s="41">
        <v>610.85391510299996</v>
      </c>
      <c r="BD57" s="158">
        <v>474.47258047899999</v>
      </c>
      <c r="BE57" s="158">
        <v>576.98555678000002</v>
      </c>
      <c r="BF57" s="288">
        <v>528.94741163000003</v>
      </c>
      <c r="BG57" s="289">
        <v>661.34523987700004</v>
      </c>
      <c r="BH57" s="289">
        <v>638.14148654400003</v>
      </c>
      <c r="BI57" s="289">
        <v>557.51664784699994</v>
      </c>
      <c r="BJ57" s="289">
        <v>699.07189279399995</v>
      </c>
      <c r="BK57" s="289">
        <v>467.74803709100001</v>
      </c>
      <c r="BL57" s="289">
        <v>396.51973239500001</v>
      </c>
      <c r="BM57" s="289">
        <v>481.24096130200002</v>
      </c>
      <c r="BN57" s="289">
        <v>433.2</v>
      </c>
      <c r="BO57" s="289">
        <v>412.41532656599998</v>
      </c>
      <c r="BP57" s="289">
        <v>387.2</v>
      </c>
      <c r="BQ57" s="289">
        <v>390.39136066899999</v>
      </c>
      <c r="BR57" s="289">
        <v>415.90271589899999</v>
      </c>
      <c r="BS57" s="289">
        <v>423.60357656100001</v>
      </c>
      <c r="BT57" s="289">
        <v>424.07684892399999</v>
      </c>
      <c r="BU57" s="289"/>
      <c r="BV57" s="142"/>
      <c r="BW57" s="142"/>
      <c r="BX57" s="142"/>
      <c r="BY57" s="142"/>
      <c r="BZ57" s="142"/>
      <c r="CA57" s="142"/>
      <c r="CB57" s="142"/>
      <c r="CC57" s="142"/>
      <c r="CD57" s="142"/>
      <c r="CE57" s="142"/>
      <c r="CF57" s="142"/>
      <c r="CG57" s="142"/>
      <c r="CH57" s="142"/>
      <c r="CI57" s="142"/>
      <c r="CJ57" s="142"/>
      <c r="CK57" s="142"/>
      <c r="CL57" s="142"/>
      <c r="CM57" s="142"/>
      <c r="CN57" s="142"/>
      <c r="CO57" s="142"/>
      <c r="CP57" s="142"/>
      <c r="CQ57" s="142"/>
      <c r="CR57" s="142"/>
      <c r="CS57" s="142"/>
      <c r="CT57" s="142"/>
      <c r="CU57" s="142"/>
      <c r="CV57" s="142"/>
      <c r="CW57" s="142"/>
      <c r="CX57" s="142"/>
      <c r="CY57" s="142"/>
      <c r="CZ57" s="142"/>
      <c r="DA57" s="142"/>
      <c r="DB57" s="142"/>
      <c r="DC57" s="142"/>
      <c r="DD57" s="142"/>
      <c r="DE57" s="142"/>
      <c r="DF57" s="142"/>
      <c r="DG57" s="142"/>
      <c r="DH57" s="142"/>
      <c r="DI57" s="142"/>
      <c r="DJ57" s="142"/>
      <c r="DK57" s="142"/>
      <c r="DL57" s="142"/>
      <c r="DM57" s="142"/>
      <c r="DN57" s="142"/>
      <c r="DO57" s="142"/>
      <c r="DP57" s="142"/>
      <c r="DQ57" s="142"/>
      <c r="DR57" s="142"/>
      <c r="DS57" s="133"/>
      <c r="DT57" s="174" t="str">
        <f t="shared" si="71"/>
        <v/>
      </c>
      <c r="DU57" s="174" t="str">
        <f t="shared" si="71"/>
        <v/>
      </c>
      <c r="DV57" s="174" t="str">
        <f t="shared" si="71"/>
        <v/>
      </c>
      <c r="DW57" s="174" t="str">
        <f t="shared" si="71"/>
        <v/>
      </c>
      <c r="DX57" s="174" t="str">
        <f t="shared" si="71"/>
        <v/>
      </c>
      <c r="DY57" s="174" t="str">
        <f t="shared" si="71"/>
        <v/>
      </c>
      <c r="DZ57" s="174" t="str">
        <f t="shared" si="71"/>
        <v/>
      </c>
      <c r="EA57" s="174" t="str">
        <f t="shared" si="71"/>
        <v/>
      </c>
      <c r="EB57" s="174" t="str">
        <f t="shared" si="71"/>
        <v/>
      </c>
      <c r="EC57" s="174" t="str">
        <f t="shared" si="71"/>
        <v/>
      </c>
      <c r="ED57" s="174" t="str">
        <f t="shared" si="71"/>
        <v/>
      </c>
      <c r="EE57" s="174" t="str">
        <f t="shared" si="71"/>
        <v/>
      </c>
      <c r="EF57" s="174" t="str">
        <f t="shared" si="71"/>
        <v/>
      </c>
      <c r="EG57" s="174" t="str">
        <f t="shared" si="71"/>
        <v/>
      </c>
      <c r="EH57" s="174" t="str">
        <f t="shared" si="71"/>
        <v/>
      </c>
      <c r="EI57" s="174" t="str">
        <f t="shared" si="71"/>
        <v/>
      </c>
      <c r="EJ57" s="174" t="str">
        <f t="shared" si="72"/>
        <v/>
      </c>
      <c r="EK57" s="174" t="str">
        <f t="shared" si="72"/>
        <v/>
      </c>
      <c r="EL57" s="174" t="str">
        <f t="shared" si="72"/>
        <v/>
      </c>
      <c r="EM57" s="174" t="str">
        <f t="shared" si="72"/>
        <v/>
      </c>
      <c r="EN57" s="174">
        <f t="shared" si="72"/>
        <v>1.686412348115002</v>
      </c>
      <c r="EO57" s="174">
        <f t="shared" si="72"/>
        <v>1.0794191698798663</v>
      </c>
      <c r="EP57" s="174">
        <f t="shared" si="72"/>
        <v>1.0095818043474414</v>
      </c>
      <c r="EQ57" s="174">
        <f t="shared" si="72"/>
        <v>0.41063984293085087</v>
      </c>
      <c r="ER57" s="174">
        <f t="shared" si="72"/>
        <v>0.48055518871829039</v>
      </c>
      <c r="ES57" s="174">
        <f t="shared" si="72"/>
        <v>1.0274731580652499</v>
      </c>
      <c r="ET57" s="174">
        <f t="shared" si="72"/>
        <v>0.88815689187328895</v>
      </c>
      <c r="EU57" s="174">
        <f t="shared" si="72"/>
        <v>0.89899308988103255</v>
      </c>
      <c r="EV57" s="174">
        <f t="shared" si="72"/>
        <v>0.76512976914786401</v>
      </c>
      <c r="EW57" s="174">
        <f t="shared" si="72"/>
        <v>0.1664655137845279</v>
      </c>
      <c r="EX57" s="174">
        <f t="shared" si="72"/>
        <v>0.36425581523726014</v>
      </c>
      <c r="EY57" s="174">
        <f t="shared" si="72"/>
        <v>0.58772731213038121</v>
      </c>
      <c r="EZ57" s="174">
        <f t="shared" si="73"/>
        <v>0.37746185435165858</v>
      </c>
      <c r="FA57" s="174">
        <f t="shared" si="73"/>
        <v>0.50667121371886759</v>
      </c>
      <c r="FB57" s="174">
        <f t="shared" si="73"/>
        <v>1.200126448111094E-2</v>
      </c>
      <c r="FC57" s="174">
        <f t="shared" si="73"/>
        <v>-0.14369876251740821</v>
      </c>
      <c r="FD57" s="174">
        <f t="shared" si="73"/>
        <v>-1.1282507059365843E-2</v>
      </c>
      <c r="FE57" s="174">
        <f t="shared" si="73"/>
        <v>0.1863306358887129</v>
      </c>
      <c r="FF57" s="174">
        <f t="shared" si="73"/>
        <v>0.49245692919096862</v>
      </c>
      <c r="FG57" s="174">
        <f t="shared" si="74"/>
        <v>0.7207450636687549</v>
      </c>
      <c r="FH57" s="174">
        <f t="shared" si="68"/>
        <v>0.617555695737382</v>
      </c>
      <c r="FI57" s="174">
        <f t="shared" si="69"/>
        <v>0.35210032662038815</v>
      </c>
      <c r="FJ57" s="174">
        <f t="shared" si="70"/>
        <v>0.24817116113429205</v>
      </c>
      <c r="FK57" s="174">
        <f t="shared" si="70"/>
        <v>0.15759938996180023</v>
      </c>
    </row>
    <row r="58" spans="2:167" ht="16">
      <c r="B58" s="140" t="s">
        <v>817</v>
      </c>
      <c r="C58" s="127" t="s">
        <v>818</v>
      </c>
      <c r="D58" s="128"/>
      <c r="E58" s="128"/>
      <c r="F58" s="128"/>
      <c r="G58" s="128"/>
      <c r="H58" s="128"/>
      <c r="I58" s="128"/>
      <c r="J58" s="128"/>
      <c r="K58" s="128"/>
      <c r="L58" s="128"/>
      <c r="M58" s="128"/>
      <c r="N58" s="128"/>
      <c r="O58" s="128"/>
      <c r="P58" s="128"/>
      <c r="Q58" s="128"/>
      <c r="R58" s="128"/>
      <c r="S58" s="128"/>
      <c r="T58" s="128"/>
      <c r="U58" s="128"/>
      <c r="V58" s="128"/>
      <c r="W58" s="128"/>
      <c r="X58" s="128"/>
      <c r="Y58" s="128"/>
      <c r="Z58" s="128">
        <v>10.047303596000001</v>
      </c>
      <c r="AA58" s="128">
        <v>2.6568432610000001</v>
      </c>
      <c r="AB58" s="128">
        <v>0</v>
      </c>
      <c r="AC58" s="128">
        <v>49.618196517999998</v>
      </c>
      <c r="AD58" s="128">
        <v>23.869229917999998</v>
      </c>
      <c r="AE58" s="128">
        <v>24.848468136000001</v>
      </c>
      <c r="AF58" s="128">
        <v>26.710335556</v>
      </c>
      <c r="AG58" s="128">
        <v>153.92296737699999</v>
      </c>
      <c r="AH58" s="128">
        <v>106.658698172</v>
      </c>
      <c r="AI58" s="128">
        <v>81.987929636999993</v>
      </c>
      <c r="AJ58" s="128">
        <v>135.35116500500001</v>
      </c>
      <c r="AK58" s="128">
        <v>301.89967525100002</v>
      </c>
      <c r="AL58" s="128">
        <v>86.407163038999997</v>
      </c>
      <c r="AM58" s="128">
        <v>37.396045557000001</v>
      </c>
      <c r="AN58" s="128">
        <v>33.874146619999998</v>
      </c>
      <c r="AO58" s="128">
        <v>297.598157759</v>
      </c>
      <c r="AP58" s="173">
        <v>198.41209078099999</v>
      </c>
      <c r="AQ58" s="173">
        <v>102.830791807</v>
      </c>
      <c r="AR58" s="173">
        <v>79.374938925999999</v>
      </c>
      <c r="AS58" s="288">
        <v>298.10934556000001</v>
      </c>
      <c r="AT58" s="288">
        <v>136.65660947399999</v>
      </c>
      <c r="AU58" s="288">
        <v>82.354945694999998</v>
      </c>
      <c r="AV58" s="288">
        <v>84.241411670999994</v>
      </c>
      <c r="AW58" s="158">
        <v>709.22513597199998</v>
      </c>
      <c r="AX58" s="158">
        <v>174.508889345</v>
      </c>
      <c r="AY58" s="158">
        <v>205.35259114199999</v>
      </c>
      <c r="AZ58" s="158">
        <v>234.713359236</v>
      </c>
      <c r="BA58" s="158">
        <v>326.09127564599999</v>
      </c>
      <c r="BB58" s="41">
        <v>386.31172667700002</v>
      </c>
      <c r="BC58" s="41">
        <v>225.02421269800001</v>
      </c>
      <c r="BD58" s="158">
        <v>150.67842000300001</v>
      </c>
      <c r="BE58" s="158">
        <v>636.08144006999999</v>
      </c>
      <c r="BF58" s="288">
        <v>635.17482074300005</v>
      </c>
      <c r="BG58" s="289">
        <v>157.481588171</v>
      </c>
      <c r="BH58" s="289">
        <v>127.66980197700001</v>
      </c>
      <c r="BI58" s="289">
        <v>156.74375373999999</v>
      </c>
      <c r="BJ58" s="289">
        <v>127.66980197700001</v>
      </c>
      <c r="BK58" s="289">
        <v>189.580737986</v>
      </c>
      <c r="BL58" s="289">
        <v>209.38799776299999</v>
      </c>
      <c r="BM58" s="289">
        <v>149.051709905</v>
      </c>
      <c r="BN58" s="289">
        <v>195.84</v>
      </c>
      <c r="BO58" s="289">
        <v>126.63656806199999</v>
      </c>
      <c r="BP58" s="289">
        <v>156.28</v>
      </c>
      <c r="BQ58" s="289">
        <v>121.055116271</v>
      </c>
      <c r="BR58" s="289">
        <v>184.45753804899999</v>
      </c>
      <c r="BS58" s="289">
        <v>97.059486731999996</v>
      </c>
      <c r="BT58" s="289">
        <v>124.01261409599999</v>
      </c>
      <c r="BU58" s="289"/>
      <c r="BV58" s="142"/>
      <c r="BW58" s="142"/>
      <c r="BX58" s="142"/>
      <c r="BY58" s="142"/>
      <c r="BZ58" s="142"/>
      <c r="CA58" s="142"/>
      <c r="CB58" s="142"/>
      <c r="CC58" s="142"/>
      <c r="CD58" s="142"/>
      <c r="CE58" s="142"/>
      <c r="CF58" s="142"/>
      <c r="CG58" s="142"/>
      <c r="CH58" s="142"/>
      <c r="CI58" s="142"/>
      <c r="CJ58" s="142"/>
      <c r="CK58" s="142"/>
      <c r="CL58" s="142"/>
      <c r="CM58" s="142"/>
      <c r="CN58" s="142"/>
      <c r="CO58" s="142"/>
      <c r="CP58" s="142"/>
      <c r="CQ58" s="142"/>
      <c r="CR58" s="142"/>
      <c r="CS58" s="142"/>
      <c r="CT58" s="142"/>
      <c r="CU58" s="142"/>
      <c r="CV58" s="142"/>
      <c r="CW58" s="142"/>
      <c r="CX58" s="142"/>
      <c r="CY58" s="142"/>
      <c r="CZ58" s="142"/>
      <c r="DA58" s="142"/>
      <c r="DB58" s="142"/>
      <c r="DC58" s="142"/>
      <c r="DD58" s="142"/>
      <c r="DE58" s="142"/>
      <c r="DF58" s="142"/>
      <c r="DG58" s="142"/>
      <c r="DH58" s="142"/>
      <c r="DI58" s="142"/>
      <c r="DJ58" s="142"/>
      <c r="DK58" s="142"/>
      <c r="DL58" s="142"/>
      <c r="DM58" s="142"/>
      <c r="DN58" s="142"/>
      <c r="DO58" s="142"/>
      <c r="DP58" s="142"/>
      <c r="DQ58" s="142"/>
      <c r="DR58" s="142"/>
      <c r="DS58" s="133"/>
      <c r="DT58" s="174" t="str">
        <f t="shared" si="71"/>
        <v/>
      </c>
      <c r="DU58" s="174" t="str">
        <f t="shared" si="71"/>
        <v/>
      </c>
      <c r="DV58" s="174" t="str">
        <f t="shared" si="71"/>
        <v/>
      </c>
      <c r="DW58" s="174" t="str">
        <f t="shared" si="71"/>
        <v/>
      </c>
      <c r="DX58" s="174" t="str">
        <f t="shared" si="71"/>
        <v/>
      </c>
      <c r="DY58" s="174" t="str">
        <f t="shared" si="71"/>
        <v/>
      </c>
      <c r="DZ58" s="174" t="str">
        <f t="shared" si="71"/>
        <v/>
      </c>
      <c r="EA58" s="174" t="str">
        <f t="shared" si="71"/>
        <v/>
      </c>
      <c r="EB58" s="174" t="str">
        <f t="shared" si="71"/>
        <v/>
      </c>
      <c r="EC58" s="174" t="str">
        <f t="shared" si="71"/>
        <v/>
      </c>
      <c r="ED58" s="174" t="str">
        <f t="shared" si="71"/>
        <v/>
      </c>
      <c r="EE58" s="174" t="str">
        <f t="shared" si="71"/>
        <v/>
      </c>
      <c r="EF58" s="174" t="str">
        <f t="shared" si="71"/>
        <v/>
      </c>
      <c r="EG58" s="174" t="str">
        <f t="shared" si="71"/>
        <v/>
      </c>
      <c r="EH58" s="174" t="str">
        <f t="shared" si="71"/>
        <v/>
      </c>
      <c r="EI58" s="174" t="str">
        <f t="shared" si="71"/>
        <v/>
      </c>
      <c r="EJ58" s="174" t="str">
        <f t="shared" si="72"/>
        <v/>
      </c>
      <c r="EK58" s="174" t="str">
        <f t="shared" si="72"/>
        <v/>
      </c>
      <c r="EL58" s="174" t="str">
        <f t="shared" si="72"/>
        <v/>
      </c>
      <c r="EM58" s="174" t="str">
        <f t="shared" si="72"/>
        <v/>
      </c>
      <c r="EN58" s="174">
        <f t="shared" si="72"/>
        <v>1.3756851467594489</v>
      </c>
      <c r="EO58" s="174">
        <f t="shared" si="72"/>
        <v>8.3526285501115218</v>
      </c>
      <c r="EP58" s="174" t="str">
        <f t="shared" si="72"/>
        <v/>
      </c>
      <c r="EQ58" s="174">
        <f t="shared" si="72"/>
        <v>2.1021475623597352</v>
      </c>
      <c r="ER58" s="174">
        <f t="shared" si="72"/>
        <v>3.4684599603093069</v>
      </c>
      <c r="ES58" s="174">
        <f t="shared" si="72"/>
        <v>2.2995164606633196</v>
      </c>
      <c r="ET58" s="174">
        <f t="shared" si="72"/>
        <v>4.0673704462164944</v>
      </c>
      <c r="EU58" s="174">
        <f t="shared" si="72"/>
        <v>0.96136860142232106</v>
      </c>
      <c r="EV58" s="174">
        <f t="shared" si="72"/>
        <v>-0.18987232621517625</v>
      </c>
      <c r="EW58" s="174">
        <f t="shared" si="72"/>
        <v>-0.54388352379953631</v>
      </c>
      <c r="EX58" s="174">
        <f t="shared" si="72"/>
        <v>-0.7497313996614019</v>
      </c>
      <c r="EY58" s="174">
        <f t="shared" si="72"/>
        <v>-1.4248168662068683E-2</v>
      </c>
      <c r="EZ58" s="174">
        <f t="shared" si="73"/>
        <v>1.2962458643787023</v>
      </c>
      <c r="FA58" s="174">
        <f t="shared" si="73"/>
        <v>1.7497771562574096</v>
      </c>
      <c r="FB58" s="174">
        <f t="shared" si="73"/>
        <v>1.3432306595477566</v>
      </c>
      <c r="FC58" s="174">
        <f t="shared" si="73"/>
        <v>1.7177115774149598E-3</v>
      </c>
      <c r="FD58" s="174">
        <f t="shared" si="73"/>
        <v>-0.31124857897477343</v>
      </c>
      <c r="FE58" s="174">
        <f t="shared" si="73"/>
        <v>-0.19912173923964815</v>
      </c>
      <c r="FF58" s="174">
        <f t="shared" si="73"/>
        <v>6.130994002448209E-2</v>
      </c>
      <c r="FG58" s="174">
        <f t="shared" si="74"/>
        <v>1.3790771625750837</v>
      </c>
      <c r="FH58" s="174">
        <f t="shared" si="68"/>
        <v>0.27698828484546656</v>
      </c>
      <c r="FI58" s="174">
        <f t="shared" si="69"/>
        <v>1.4935064847534414</v>
      </c>
      <c r="FJ58" s="174">
        <f t="shared" si="70"/>
        <v>1.7861992644740994</v>
      </c>
      <c r="FK58" s="174">
        <f t="shared" si="70"/>
        <v>-0.54021472293267114</v>
      </c>
    </row>
    <row r="59" spans="2:167" ht="16">
      <c r="B59" s="140" t="s">
        <v>819</v>
      </c>
      <c r="C59" s="127" t="s">
        <v>820</v>
      </c>
      <c r="D59" s="128"/>
      <c r="E59" s="128"/>
      <c r="F59" s="128"/>
      <c r="G59" s="128"/>
      <c r="H59" s="128"/>
      <c r="I59" s="128"/>
      <c r="J59" s="128"/>
      <c r="K59" s="128"/>
      <c r="L59" s="128"/>
      <c r="M59" s="128"/>
      <c r="N59" s="128"/>
      <c r="O59" s="128"/>
      <c r="P59" s="128"/>
      <c r="Q59" s="128"/>
      <c r="R59" s="128"/>
      <c r="S59" s="128"/>
      <c r="T59" s="128"/>
      <c r="U59" s="128"/>
      <c r="V59" s="128"/>
      <c r="W59" s="128"/>
      <c r="X59" s="128"/>
      <c r="Y59" s="128"/>
      <c r="Z59" s="128">
        <v>0</v>
      </c>
      <c r="AA59" s="128">
        <v>0</v>
      </c>
      <c r="AB59" s="128">
        <v>20.915496209000001</v>
      </c>
      <c r="AC59" s="128">
        <v>0.17499999999999999</v>
      </c>
      <c r="AD59" s="128">
        <v>0</v>
      </c>
      <c r="AE59" s="128">
        <v>0</v>
      </c>
      <c r="AF59" s="128">
        <v>1.5E-3</v>
      </c>
      <c r="AG59" s="128">
        <v>2.5000000000000001E-3</v>
      </c>
      <c r="AH59" s="128">
        <v>3.0000000000000001E-3</v>
      </c>
      <c r="AI59" s="128">
        <v>3.3298339000000001</v>
      </c>
      <c r="AJ59" s="128">
        <v>0</v>
      </c>
      <c r="AK59" s="128">
        <v>2.5000000000000001E-3</v>
      </c>
      <c r="AL59" s="128">
        <v>2.8000000000000001E-2</v>
      </c>
      <c r="AM59" s="128">
        <v>2.4E-2</v>
      </c>
      <c r="AN59" s="128">
        <v>2.3673074999999998E-2</v>
      </c>
      <c r="AO59" s="128">
        <v>9.9687135999999996E-2</v>
      </c>
      <c r="AP59" s="173">
        <v>0.96501913500000003</v>
      </c>
      <c r="AQ59" s="173">
        <v>10.076273881000001</v>
      </c>
      <c r="AR59" s="173">
        <v>1.221330389</v>
      </c>
      <c r="AS59" s="288">
        <v>1.8429489269999999</v>
      </c>
      <c r="AT59" s="288">
        <v>1.974407171</v>
      </c>
      <c r="AU59" s="288">
        <v>37.194496645999997</v>
      </c>
      <c r="AV59" s="288">
        <v>13.973377001999999</v>
      </c>
      <c r="AW59" s="158">
        <v>2.8903652910000002</v>
      </c>
      <c r="AX59" s="158">
        <v>3.1843045710000002</v>
      </c>
      <c r="AY59" s="158">
        <v>6.2768010920000004</v>
      </c>
      <c r="AZ59" s="158">
        <v>6.523002483</v>
      </c>
      <c r="BA59" s="158">
        <v>4.751687467</v>
      </c>
      <c r="BB59" s="41">
        <v>5.5253980929999997</v>
      </c>
      <c r="BC59" s="41">
        <v>23.210935018000001</v>
      </c>
      <c r="BD59" s="158">
        <v>16.750389909999999</v>
      </c>
      <c r="BE59" s="158">
        <v>41.984411029</v>
      </c>
      <c r="BF59" s="288">
        <v>41.379105787999997</v>
      </c>
      <c r="BG59" s="289">
        <v>81.344290896999993</v>
      </c>
      <c r="BH59" s="289">
        <v>109.74735932599999</v>
      </c>
      <c r="BI59" s="289">
        <v>28.63790659</v>
      </c>
      <c r="BJ59" s="289">
        <v>109.74735932599999</v>
      </c>
      <c r="BK59" s="289">
        <v>43.050650406000003</v>
      </c>
      <c r="BL59" s="289">
        <v>35.673802701</v>
      </c>
      <c r="BM59" s="289">
        <v>30.884643454999999</v>
      </c>
      <c r="BN59" s="289">
        <v>31.06</v>
      </c>
      <c r="BO59" s="289">
        <v>30.532442292999999</v>
      </c>
      <c r="BP59" s="289">
        <v>21.37</v>
      </c>
      <c r="BQ59" s="289">
        <v>32.630294575000001</v>
      </c>
      <c r="BR59" s="289">
        <v>30.098399500999999</v>
      </c>
      <c r="BS59" s="289">
        <v>13.710817808</v>
      </c>
      <c r="BT59" s="289">
        <v>13.802454253000001</v>
      </c>
      <c r="BU59" s="289"/>
      <c r="BV59" s="142"/>
      <c r="BW59" s="142"/>
      <c r="BX59" s="142"/>
      <c r="BY59" s="142"/>
      <c r="BZ59" s="142"/>
      <c r="CA59" s="142"/>
      <c r="CB59" s="142"/>
      <c r="CC59" s="142"/>
      <c r="CD59" s="142"/>
      <c r="CE59" s="142"/>
      <c r="CF59" s="142"/>
      <c r="CG59" s="142"/>
      <c r="CH59" s="142"/>
      <c r="CI59" s="142"/>
      <c r="CJ59" s="142"/>
      <c r="CK59" s="142"/>
      <c r="CL59" s="142"/>
      <c r="CM59" s="142"/>
      <c r="CN59" s="142"/>
      <c r="CO59" s="142"/>
      <c r="CP59" s="142"/>
      <c r="CQ59" s="142"/>
      <c r="CR59" s="142"/>
      <c r="CS59" s="142"/>
      <c r="CT59" s="142"/>
      <c r="CU59" s="142"/>
      <c r="CV59" s="142"/>
      <c r="CW59" s="142"/>
      <c r="CX59" s="142"/>
      <c r="CY59" s="142"/>
      <c r="CZ59" s="142"/>
      <c r="DA59" s="142"/>
      <c r="DB59" s="142"/>
      <c r="DC59" s="142"/>
      <c r="DD59" s="142"/>
      <c r="DE59" s="142"/>
      <c r="DF59" s="142"/>
      <c r="DG59" s="142"/>
      <c r="DH59" s="142"/>
      <c r="DI59" s="142"/>
      <c r="DJ59" s="142"/>
      <c r="DK59" s="142"/>
      <c r="DL59" s="142"/>
      <c r="DM59" s="142"/>
      <c r="DN59" s="142"/>
      <c r="DO59" s="142"/>
      <c r="DP59" s="142"/>
      <c r="DQ59" s="142"/>
      <c r="DR59" s="142"/>
      <c r="DS59" s="133"/>
      <c r="DT59" s="174" t="str">
        <f t="shared" si="71"/>
        <v/>
      </c>
      <c r="DU59" s="174" t="str">
        <f t="shared" si="71"/>
        <v/>
      </c>
      <c r="DV59" s="174" t="str">
        <f t="shared" si="71"/>
        <v/>
      </c>
      <c r="DW59" s="174" t="str">
        <f t="shared" si="71"/>
        <v/>
      </c>
      <c r="DX59" s="174" t="str">
        <f t="shared" si="71"/>
        <v/>
      </c>
      <c r="DY59" s="174" t="str">
        <f t="shared" si="71"/>
        <v/>
      </c>
      <c r="DZ59" s="174" t="str">
        <f t="shared" si="71"/>
        <v/>
      </c>
      <c r="EA59" s="174" t="str">
        <f t="shared" si="71"/>
        <v/>
      </c>
      <c r="EB59" s="174" t="str">
        <f t="shared" si="71"/>
        <v/>
      </c>
      <c r="EC59" s="174" t="str">
        <f t="shared" si="71"/>
        <v/>
      </c>
      <c r="ED59" s="174" t="str">
        <f t="shared" si="71"/>
        <v/>
      </c>
      <c r="EE59" s="174" t="str">
        <f t="shared" si="71"/>
        <v/>
      </c>
      <c r="EF59" s="174" t="str">
        <f t="shared" si="71"/>
        <v/>
      </c>
      <c r="EG59" s="174" t="str">
        <f t="shared" si="71"/>
        <v/>
      </c>
      <c r="EH59" s="174" t="str">
        <f t="shared" si="71"/>
        <v/>
      </c>
      <c r="EI59" s="174" t="str">
        <f t="shared" si="71"/>
        <v/>
      </c>
      <c r="EJ59" s="174" t="str">
        <f t="shared" si="72"/>
        <v/>
      </c>
      <c r="EK59" s="174" t="str">
        <f t="shared" si="72"/>
        <v/>
      </c>
      <c r="EL59" s="174" t="str">
        <f t="shared" si="72"/>
        <v/>
      </c>
      <c r="EM59" s="174" t="str">
        <f t="shared" si="72"/>
        <v/>
      </c>
      <c r="EN59" s="174" t="str">
        <f t="shared" si="72"/>
        <v/>
      </c>
      <c r="EO59" s="174" t="str">
        <f t="shared" si="72"/>
        <v/>
      </c>
      <c r="EP59" s="174">
        <f t="shared" si="72"/>
        <v>-0.99992828283943103</v>
      </c>
      <c r="EQ59" s="174">
        <f t="shared" si="72"/>
        <v>-0.98571428571428577</v>
      </c>
      <c r="ER59" s="174" t="str">
        <f t="shared" si="72"/>
        <v/>
      </c>
      <c r="ES59" s="174" t="str">
        <f t="shared" si="72"/>
        <v/>
      </c>
      <c r="ET59" s="174">
        <f t="shared" si="72"/>
        <v>-1</v>
      </c>
      <c r="EU59" s="174">
        <f t="shared" si="72"/>
        <v>0</v>
      </c>
      <c r="EV59" s="174">
        <f t="shared" si="72"/>
        <v>8.3333333333333339</v>
      </c>
      <c r="EW59" s="174">
        <f t="shared" si="72"/>
        <v>-0.99279243328023059</v>
      </c>
      <c r="EX59" s="174" t="str">
        <f t="shared" si="72"/>
        <v/>
      </c>
      <c r="EY59" s="174">
        <f t="shared" si="72"/>
        <v>38.874854399999997</v>
      </c>
      <c r="EZ59" s="174">
        <f t="shared" si="73"/>
        <v>33.464969107142856</v>
      </c>
      <c r="FA59" s="174">
        <f t="shared" si="73"/>
        <v>418.84474504166667</v>
      </c>
      <c r="FB59" s="174">
        <f t="shared" si="73"/>
        <v>50.591539713366352</v>
      </c>
      <c r="FC59" s="174">
        <f t="shared" si="73"/>
        <v>17.487329468468229</v>
      </c>
      <c r="FD59" s="174">
        <f t="shared" si="73"/>
        <v>1.0459772240682046</v>
      </c>
      <c r="FE59" s="174">
        <f t="shared" si="73"/>
        <v>2.6912947271247356</v>
      </c>
      <c r="FF59" s="174">
        <f t="shared" si="73"/>
        <v>10.441111371543871</v>
      </c>
      <c r="FG59" s="174">
        <f t="shared" si="74"/>
        <v>0.56833716260656875</v>
      </c>
      <c r="FH59" s="174">
        <f t="shared" si="68"/>
        <v>0.61279021762629138</v>
      </c>
      <c r="FI59" s="174">
        <f t="shared" si="69"/>
        <v>-0.83124382212401771</v>
      </c>
      <c r="FJ59" s="174">
        <f t="shared" si="70"/>
        <v>-0.5331835330810607</v>
      </c>
      <c r="FK59" s="174">
        <f t="shared" si="70"/>
        <v>0.64397471897264058</v>
      </c>
    </row>
    <row r="60" spans="2:167" ht="16">
      <c r="B60" s="140" t="s">
        <v>821</v>
      </c>
      <c r="C60" s="127" t="s">
        <v>822</v>
      </c>
      <c r="D60" s="128"/>
      <c r="E60" s="128"/>
      <c r="F60" s="128"/>
      <c r="G60" s="128"/>
      <c r="H60" s="128"/>
      <c r="I60" s="128"/>
      <c r="J60" s="128"/>
      <c r="K60" s="128"/>
      <c r="L60" s="128"/>
      <c r="M60" s="128"/>
      <c r="N60" s="128"/>
      <c r="O60" s="128"/>
      <c r="P60" s="128"/>
      <c r="Q60" s="128"/>
      <c r="R60" s="128"/>
      <c r="S60" s="128"/>
      <c r="T60" s="128"/>
      <c r="U60" s="128"/>
      <c r="V60" s="128"/>
      <c r="W60" s="128"/>
      <c r="X60" s="128"/>
      <c r="Y60" s="128"/>
      <c r="Z60" s="128">
        <v>0</v>
      </c>
      <c r="AA60" s="128">
        <v>0</v>
      </c>
      <c r="AB60" s="128">
        <v>0</v>
      </c>
      <c r="AC60" s="128">
        <v>0</v>
      </c>
      <c r="AD60" s="128">
        <v>0</v>
      </c>
      <c r="AE60" s="128">
        <v>0</v>
      </c>
      <c r="AF60" s="128">
        <v>0</v>
      </c>
      <c r="AG60" s="128">
        <v>0</v>
      </c>
      <c r="AH60" s="128">
        <v>0</v>
      </c>
      <c r="AI60" s="128">
        <v>0</v>
      </c>
      <c r="AJ60" s="128">
        <v>0</v>
      </c>
      <c r="AK60" s="128">
        <v>0</v>
      </c>
      <c r="AL60" s="128">
        <v>0</v>
      </c>
      <c r="AM60" s="128">
        <v>0</v>
      </c>
      <c r="AN60" s="128">
        <v>0</v>
      </c>
      <c r="AO60" s="128">
        <v>0</v>
      </c>
      <c r="AP60" s="173">
        <v>0</v>
      </c>
      <c r="AQ60" s="173">
        <v>0</v>
      </c>
      <c r="AR60" s="173">
        <v>0</v>
      </c>
      <c r="AS60" s="288">
        <v>0</v>
      </c>
      <c r="AT60" s="288">
        <v>0</v>
      </c>
      <c r="AU60" s="288">
        <v>0</v>
      </c>
      <c r="AV60" s="288">
        <v>0</v>
      </c>
      <c r="AW60" s="158">
        <v>0</v>
      </c>
      <c r="AX60" s="158">
        <v>0</v>
      </c>
      <c r="AY60" s="158">
        <v>0</v>
      </c>
      <c r="AZ60" s="158">
        <v>0</v>
      </c>
      <c r="BA60" s="158">
        <v>0</v>
      </c>
      <c r="BB60" s="41">
        <v>0</v>
      </c>
      <c r="BC60" s="41">
        <v>0</v>
      </c>
      <c r="BD60" s="158">
        <v>0</v>
      </c>
      <c r="BE60" s="158">
        <v>0</v>
      </c>
      <c r="BF60" s="288">
        <v>0</v>
      </c>
      <c r="BG60" s="289">
        <v>0</v>
      </c>
      <c r="BH60" s="289">
        <v>0</v>
      </c>
      <c r="BI60" s="289">
        <v>0</v>
      </c>
      <c r="BJ60" s="289">
        <v>0</v>
      </c>
      <c r="BK60" s="289">
        <v>0</v>
      </c>
      <c r="BL60" s="289">
        <v>0</v>
      </c>
      <c r="BM60" s="289">
        <v>0</v>
      </c>
      <c r="BN60" s="289">
        <v>0</v>
      </c>
      <c r="BO60" s="289">
        <v>0</v>
      </c>
      <c r="BP60" s="289">
        <v>0</v>
      </c>
      <c r="BQ60" s="289">
        <v>0</v>
      </c>
      <c r="BR60" s="289">
        <v>0</v>
      </c>
      <c r="BS60" s="289">
        <v>0</v>
      </c>
      <c r="BT60" s="289">
        <v>0</v>
      </c>
      <c r="BU60" s="289"/>
      <c r="BV60" s="142"/>
      <c r="BW60" s="142"/>
      <c r="BX60" s="142"/>
      <c r="BY60" s="142"/>
      <c r="BZ60" s="142"/>
      <c r="CA60" s="142"/>
      <c r="CB60" s="142"/>
      <c r="CC60" s="142"/>
      <c r="CD60" s="142"/>
      <c r="CE60" s="142"/>
      <c r="CF60" s="142"/>
      <c r="CG60" s="142"/>
      <c r="CH60" s="142"/>
      <c r="CI60" s="142"/>
      <c r="CJ60" s="142"/>
      <c r="CK60" s="142"/>
      <c r="CL60" s="142"/>
      <c r="CM60" s="142"/>
      <c r="CN60" s="142"/>
      <c r="CO60" s="142"/>
      <c r="CP60" s="142"/>
      <c r="CQ60" s="142"/>
      <c r="CR60" s="142"/>
      <c r="CS60" s="142"/>
      <c r="CT60" s="142"/>
      <c r="CU60" s="142"/>
      <c r="CV60" s="142"/>
      <c r="CW60" s="142"/>
      <c r="CX60" s="142"/>
      <c r="CY60" s="142"/>
      <c r="CZ60" s="142"/>
      <c r="DA60" s="142"/>
      <c r="DB60" s="142"/>
      <c r="DC60" s="142"/>
      <c r="DD60" s="142"/>
      <c r="DE60" s="142"/>
      <c r="DF60" s="142"/>
      <c r="DG60" s="142"/>
      <c r="DH60" s="142"/>
      <c r="DI60" s="142"/>
      <c r="DJ60" s="142"/>
      <c r="DK60" s="142"/>
      <c r="DL60" s="142"/>
      <c r="DM60" s="142"/>
      <c r="DN60" s="142"/>
      <c r="DO60" s="142"/>
      <c r="DP60" s="142"/>
      <c r="DQ60" s="142"/>
      <c r="DR60" s="142"/>
      <c r="DS60" s="133"/>
      <c r="DT60" s="174" t="str">
        <f t="shared" si="71"/>
        <v/>
      </c>
      <c r="DU60" s="174" t="str">
        <f t="shared" si="71"/>
        <v/>
      </c>
      <c r="DV60" s="174" t="str">
        <f t="shared" si="71"/>
        <v/>
      </c>
      <c r="DW60" s="174" t="str">
        <f t="shared" si="71"/>
        <v/>
      </c>
      <c r="DX60" s="174" t="str">
        <f t="shared" si="71"/>
        <v/>
      </c>
      <c r="DY60" s="174" t="str">
        <f t="shared" si="71"/>
        <v/>
      </c>
      <c r="DZ60" s="174" t="str">
        <f t="shared" si="71"/>
        <v/>
      </c>
      <c r="EA60" s="174" t="str">
        <f t="shared" si="71"/>
        <v/>
      </c>
      <c r="EB60" s="174" t="str">
        <f t="shared" si="71"/>
        <v/>
      </c>
      <c r="EC60" s="174" t="str">
        <f t="shared" si="71"/>
        <v/>
      </c>
      <c r="ED60" s="174" t="str">
        <f t="shared" si="71"/>
        <v/>
      </c>
      <c r="EE60" s="174" t="str">
        <f t="shared" si="71"/>
        <v/>
      </c>
      <c r="EF60" s="174" t="str">
        <f t="shared" si="71"/>
        <v/>
      </c>
      <c r="EG60" s="174" t="str">
        <f t="shared" si="71"/>
        <v/>
      </c>
      <c r="EH60" s="174" t="str">
        <f t="shared" si="71"/>
        <v/>
      </c>
      <c r="EI60" s="174" t="str">
        <f t="shared" si="71"/>
        <v/>
      </c>
      <c r="EJ60" s="174" t="str">
        <f t="shared" si="72"/>
        <v/>
      </c>
      <c r="EK60" s="174" t="str">
        <f t="shared" si="72"/>
        <v/>
      </c>
      <c r="EL60" s="174" t="str">
        <f t="shared" si="72"/>
        <v/>
      </c>
      <c r="EM60" s="174" t="str">
        <f t="shared" si="72"/>
        <v/>
      </c>
      <c r="EN60" s="174" t="str">
        <f t="shared" si="72"/>
        <v/>
      </c>
      <c r="EO60" s="174" t="str">
        <f t="shared" si="72"/>
        <v/>
      </c>
      <c r="EP60" s="174" t="str">
        <f t="shared" si="72"/>
        <v/>
      </c>
      <c r="EQ60" s="174" t="str">
        <f t="shared" si="72"/>
        <v/>
      </c>
      <c r="ER60" s="174" t="str">
        <f t="shared" si="72"/>
        <v/>
      </c>
      <c r="ES60" s="174" t="str">
        <f t="shared" si="72"/>
        <v/>
      </c>
      <c r="ET60" s="174" t="str">
        <f t="shared" si="72"/>
        <v/>
      </c>
      <c r="EU60" s="174" t="str">
        <f t="shared" si="72"/>
        <v/>
      </c>
      <c r="EV60" s="174" t="str">
        <f t="shared" si="72"/>
        <v/>
      </c>
      <c r="EW60" s="174" t="str">
        <f t="shared" si="72"/>
        <v/>
      </c>
      <c r="EX60" s="174" t="str">
        <f t="shared" si="72"/>
        <v/>
      </c>
      <c r="EY60" s="174" t="str">
        <f t="shared" si="72"/>
        <v/>
      </c>
      <c r="EZ60" s="174" t="str">
        <f t="shared" si="73"/>
        <v/>
      </c>
      <c r="FA60" s="174" t="str">
        <f t="shared" si="73"/>
        <v/>
      </c>
      <c r="FB60" s="174" t="str">
        <f t="shared" si="73"/>
        <v/>
      </c>
      <c r="FC60" s="174" t="str">
        <f t="shared" si="73"/>
        <v/>
      </c>
      <c r="FD60" s="174" t="str">
        <f t="shared" si="73"/>
        <v/>
      </c>
      <c r="FE60" s="174" t="str">
        <f t="shared" si="73"/>
        <v/>
      </c>
      <c r="FF60" s="174" t="str">
        <f t="shared" si="73"/>
        <v/>
      </c>
      <c r="FG60" s="174" t="str">
        <f t="shared" si="74"/>
        <v/>
      </c>
      <c r="FH60" s="174" t="str">
        <f t="shared" si="68"/>
        <v/>
      </c>
      <c r="FI60" s="174" t="str">
        <f t="shared" si="69"/>
        <v/>
      </c>
      <c r="FJ60" s="174" t="str">
        <f t="shared" si="70"/>
        <v/>
      </c>
      <c r="FK60" s="174" t="str">
        <f t="shared" si="70"/>
        <v/>
      </c>
    </row>
    <row r="61" spans="2:167" ht="16">
      <c r="B61" s="140" t="s">
        <v>472</v>
      </c>
      <c r="C61" s="127" t="s">
        <v>823</v>
      </c>
      <c r="D61" s="128"/>
      <c r="E61" s="128"/>
      <c r="F61" s="128"/>
      <c r="G61" s="128"/>
      <c r="H61" s="128"/>
      <c r="I61" s="128"/>
      <c r="J61" s="128"/>
      <c r="K61" s="128"/>
      <c r="L61" s="128"/>
      <c r="M61" s="128"/>
      <c r="N61" s="128"/>
      <c r="O61" s="128"/>
      <c r="P61" s="128"/>
      <c r="Q61" s="128"/>
      <c r="R61" s="128"/>
      <c r="S61" s="128"/>
      <c r="T61" s="128"/>
      <c r="U61" s="128"/>
      <c r="V61" s="128"/>
      <c r="W61" s="128"/>
      <c r="X61" s="128"/>
      <c r="Y61" s="128"/>
      <c r="Z61" s="128">
        <v>3.1181117170000001</v>
      </c>
      <c r="AA61" s="128">
        <v>3.5768622890000001</v>
      </c>
      <c r="AB61" s="128">
        <v>3.5706971260000002</v>
      </c>
      <c r="AC61" s="128">
        <v>5.2171895499999996</v>
      </c>
      <c r="AD61" s="128">
        <v>0</v>
      </c>
      <c r="AE61" s="128">
        <v>0</v>
      </c>
      <c r="AF61" s="128">
        <v>0</v>
      </c>
      <c r="AG61" s="128">
        <v>0</v>
      </c>
      <c r="AH61" s="128">
        <v>0</v>
      </c>
      <c r="AI61" s="128">
        <v>0</v>
      </c>
      <c r="AJ61" s="128">
        <v>0</v>
      </c>
      <c r="AK61" s="128">
        <v>0</v>
      </c>
      <c r="AL61" s="128">
        <v>0</v>
      </c>
      <c r="AM61" s="128">
        <v>0</v>
      </c>
      <c r="AN61" s="128">
        <v>0</v>
      </c>
      <c r="AO61" s="128">
        <v>0</v>
      </c>
      <c r="AP61" s="173">
        <v>0</v>
      </c>
      <c r="AQ61" s="173">
        <v>0</v>
      </c>
      <c r="AR61" s="173">
        <v>0</v>
      </c>
      <c r="AS61" s="288">
        <v>0</v>
      </c>
      <c r="AT61" s="288">
        <v>0</v>
      </c>
      <c r="AU61" s="288">
        <v>0</v>
      </c>
      <c r="AV61" s="288">
        <v>0</v>
      </c>
      <c r="AW61" s="158">
        <v>0</v>
      </c>
      <c r="AX61" s="158">
        <v>0</v>
      </c>
      <c r="AY61" s="158">
        <v>0</v>
      </c>
      <c r="AZ61" s="158">
        <v>0</v>
      </c>
      <c r="BA61" s="158">
        <v>0</v>
      </c>
      <c r="BB61" s="41">
        <v>0</v>
      </c>
      <c r="BC61" s="41">
        <v>0</v>
      </c>
      <c r="BD61" s="158">
        <v>0</v>
      </c>
      <c r="BE61" s="158">
        <v>0</v>
      </c>
      <c r="BF61" s="288">
        <v>0</v>
      </c>
      <c r="BG61" s="289">
        <v>0</v>
      </c>
      <c r="BH61" s="289">
        <v>0</v>
      </c>
      <c r="BI61" s="289">
        <v>0</v>
      </c>
      <c r="BJ61" s="289">
        <v>0</v>
      </c>
      <c r="BK61" s="289">
        <v>0</v>
      </c>
      <c r="BL61" s="289">
        <v>0</v>
      </c>
      <c r="BM61" s="289">
        <v>0</v>
      </c>
      <c r="BN61" s="289">
        <v>0</v>
      </c>
      <c r="BO61" s="289">
        <v>0</v>
      </c>
      <c r="BP61" s="289">
        <v>0</v>
      </c>
      <c r="BQ61" s="289">
        <v>0</v>
      </c>
      <c r="BR61" s="289">
        <v>0</v>
      </c>
      <c r="BS61" s="289">
        <v>0</v>
      </c>
      <c r="BT61" s="289">
        <v>0</v>
      </c>
      <c r="BU61" s="289"/>
      <c r="BV61" s="142"/>
      <c r="BW61" s="142"/>
      <c r="BX61" s="142"/>
      <c r="BY61" s="142"/>
      <c r="BZ61" s="142"/>
      <c r="CA61" s="142"/>
      <c r="CB61" s="142"/>
      <c r="CC61" s="142"/>
      <c r="CD61" s="142"/>
      <c r="CE61" s="142"/>
      <c r="CF61" s="142"/>
      <c r="CG61" s="142"/>
      <c r="CH61" s="142"/>
      <c r="CI61" s="142"/>
      <c r="CJ61" s="142"/>
      <c r="CK61" s="142"/>
      <c r="CL61" s="142"/>
      <c r="CM61" s="142"/>
      <c r="CN61" s="142"/>
      <c r="CO61" s="142"/>
      <c r="CP61" s="142"/>
      <c r="CQ61" s="142"/>
      <c r="CR61" s="142"/>
      <c r="CS61" s="142"/>
      <c r="CT61" s="142"/>
      <c r="CU61" s="142"/>
      <c r="CV61" s="142"/>
      <c r="CW61" s="142"/>
      <c r="CX61" s="142"/>
      <c r="CY61" s="142"/>
      <c r="CZ61" s="142"/>
      <c r="DA61" s="142"/>
      <c r="DB61" s="142"/>
      <c r="DC61" s="142"/>
      <c r="DD61" s="142"/>
      <c r="DE61" s="142"/>
      <c r="DF61" s="142"/>
      <c r="DG61" s="142"/>
      <c r="DH61" s="142"/>
      <c r="DI61" s="142"/>
      <c r="DJ61" s="142"/>
      <c r="DK61" s="142"/>
      <c r="DL61" s="142"/>
      <c r="DM61" s="142"/>
      <c r="DN61" s="142"/>
      <c r="DO61" s="142"/>
      <c r="DP61" s="142"/>
      <c r="DQ61" s="142"/>
      <c r="DR61" s="142"/>
      <c r="DS61" s="133"/>
      <c r="DT61" s="174" t="str">
        <f t="shared" si="71"/>
        <v/>
      </c>
      <c r="DU61" s="174" t="str">
        <f t="shared" si="71"/>
        <v/>
      </c>
      <c r="DV61" s="174" t="str">
        <f t="shared" si="71"/>
        <v/>
      </c>
      <c r="DW61" s="174" t="str">
        <f t="shared" si="71"/>
        <v/>
      </c>
      <c r="DX61" s="174" t="str">
        <f t="shared" si="71"/>
        <v/>
      </c>
      <c r="DY61" s="174" t="str">
        <f t="shared" si="71"/>
        <v/>
      </c>
      <c r="DZ61" s="174" t="str">
        <f t="shared" si="71"/>
        <v/>
      </c>
      <c r="EA61" s="174" t="str">
        <f t="shared" si="71"/>
        <v/>
      </c>
      <c r="EB61" s="174" t="str">
        <f t="shared" si="71"/>
        <v/>
      </c>
      <c r="EC61" s="174" t="str">
        <f t="shared" si="71"/>
        <v/>
      </c>
      <c r="ED61" s="174" t="str">
        <f t="shared" si="71"/>
        <v/>
      </c>
      <c r="EE61" s="174" t="str">
        <f t="shared" si="71"/>
        <v/>
      </c>
      <c r="EF61" s="174" t="str">
        <f t="shared" si="71"/>
        <v/>
      </c>
      <c r="EG61" s="174" t="str">
        <f t="shared" si="71"/>
        <v/>
      </c>
      <c r="EH61" s="174" t="str">
        <f t="shared" si="71"/>
        <v/>
      </c>
      <c r="EI61" s="174" t="str">
        <f t="shared" si="71"/>
        <v/>
      </c>
      <c r="EJ61" s="174" t="str">
        <f t="shared" si="72"/>
        <v/>
      </c>
      <c r="EK61" s="174" t="str">
        <f t="shared" si="72"/>
        <v/>
      </c>
      <c r="EL61" s="174" t="str">
        <f t="shared" si="72"/>
        <v/>
      </c>
      <c r="EM61" s="174" t="str">
        <f t="shared" si="72"/>
        <v/>
      </c>
      <c r="EN61" s="174">
        <f t="shared" si="72"/>
        <v>-1</v>
      </c>
      <c r="EO61" s="174">
        <f t="shared" si="72"/>
        <v>-1</v>
      </c>
      <c r="EP61" s="174">
        <f t="shared" si="72"/>
        <v>-1</v>
      </c>
      <c r="EQ61" s="174">
        <f t="shared" si="72"/>
        <v>-1</v>
      </c>
      <c r="ER61" s="174" t="str">
        <f t="shared" si="72"/>
        <v/>
      </c>
      <c r="ES61" s="174" t="str">
        <f t="shared" si="72"/>
        <v/>
      </c>
      <c r="ET61" s="174" t="str">
        <f t="shared" si="72"/>
        <v/>
      </c>
      <c r="EU61" s="174" t="str">
        <f t="shared" si="72"/>
        <v/>
      </c>
      <c r="EV61" s="174" t="str">
        <f t="shared" si="72"/>
        <v/>
      </c>
      <c r="EW61" s="174" t="str">
        <f t="shared" si="72"/>
        <v/>
      </c>
      <c r="EX61" s="174" t="str">
        <f t="shared" si="72"/>
        <v/>
      </c>
      <c r="EY61" s="174" t="str">
        <f t="shared" si="72"/>
        <v/>
      </c>
      <c r="EZ61" s="174" t="str">
        <f t="shared" si="73"/>
        <v/>
      </c>
      <c r="FA61" s="174" t="str">
        <f t="shared" si="73"/>
        <v/>
      </c>
      <c r="FB61" s="174" t="str">
        <f t="shared" si="73"/>
        <v/>
      </c>
      <c r="FC61" s="174" t="str">
        <f t="shared" si="73"/>
        <v/>
      </c>
      <c r="FD61" s="174" t="str">
        <f t="shared" si="73"/>
        <v/>
      </c>
      <c r="FE61" s="174" t="str">
        <f t="shared" si="73"/>
        <v/>
      </c>
      <c r="FF61" s="174" t="str">
        <f t="shared" si="73"/>
        <v/>
      </c>
      <c r="FG61" s="174" t="str">
        <f t="shared" si="74"/>
        <v/>
      </c>
      <c r="FH61" s="174" t="str">
        <f t="shared" si="68"/>
        <v/>
      </c>
      <c r="FI61" s="174" t="str">
        <f t="shared" si="69"/>
        <v/>
      </c>
      <c r="FJ61" s="174" t="str">
        <f t="shared" si="70"/>
        <v/>
      </c>
      <c r="FK61" s="174" t="str">
        <f t="shared" si="70"/>
        <v/>
      </c>
    </row>
    <row r="62" spans="2:167" s="136" customFormat="1" ht="16">
      <c r="B62" s="185" t="s">
        <v>824</v>
      </c>
      <c r="C62" s="134" t="s">
        <v>825</v>
      </c>
      <c r="D62" s="135"/>
      <c r="E62" s="135"/>
      <c r="F62" s="135"/>
      <c r="G62" s="135"/>
      <c r="H62" s="135"/>
      <c r="I62" s="135"/>
      <c r="J62" s="135"/>
      <c r="K62" s="135"/>
      <c r="L62" s="135"/>
      <c r="M62" s="135"/>
      <c r="N62" s="135"/>
      <c r="O62" s="135"/>
      <c r="P62" s="135"/>
      <c r="Q62" s="135"/>
      <c r="R62" s="135"/>
      <c r="S62" s="135"/>
      <c r="T62" s="135"/>
      <c r="U62" s="135"/>
      <c r="V62" s="135"/>
      <c r="W62" s="135"/>
      <c r="X62" s="135"/>
      <c r="Y62" s="135"/>
      <c r="Z62" s="135">
        <v>316.38001742900002</v>
      </c>
      <c r="AA62" s="135">
        <v>378.65315130300002</v>
      </c>
      <c r="AB62" s="135">
        <v>433.02454375899998</v>
      </c>
      <c r="AC62" s="135">
        <v>569.51286879099996</v>
      </c>
      <c r="AD62" s="135">
        <v>634.39573631600001</v>
      </c>
      <c r="AE62" s="135">
        <v>763.60631988099999</v>
      </c>
      <c r="AF62" s="135">
        <v>883.17798593299995</v>
      </c>
      <c r="AG62" s="135">
        <v>1089.3299075100001</v>
      </c>
      <c r="AH62" s="135">
        <v>1185.7138661060001</v>
      </c>
      <c r="AI62" s="135">
        <v>1409.7298462220001</v>
      </c>
      <c r="AJ62" s="135">
        <v>1918.313934715</v>
      </c>
      <c r="AK62" s="135">
        <v>2518.2021307959999</v>
      </c>
      <c r="AL62" s="135">
        <v>2748.0536289669999</v>
      </c>
      <c r="AM62" s="135">
        <v>3073.701329562</v>
      </c>
      <c r="AN62" s="135">
        <v>3464.8031288749999</v>
      </c>
      <c r="AO62" s="135">
        <v>3949.2628689379999</v>
      </c>
      <c r="AP62" s="170">
        <v>4671.2110251659997</v>
      </c>
      <c r="AQ62" s="170">
        <v>4667.9429466199999</v>
      </c>
      <c r="AR62" s="170">
        <v>4672.4139376530002</v>
      </c>
      <c r="AS62" s="155">
        <v>4750.5367304620004</v>
      </c>
      <c r="AT62" s="155">
        <v>4775.7642936410002</v>
      </c>
      <c r="AU62" s="155">
        <v>5149.2891236280002</v>
      </c>
      <c r="AV62" s="155">
        <v>5666.6043399589998</v>
      </c>
      <c r="AW62" s="155">
        <v>6696.1986366370002</v>
      </c>
      <c r="AX62" s="155">
        <v>6748.0728856429996</v>
      </c>
      <c r="AY62" s="155">
        <v>7435.8887738370004</v>
      </c>
      <c r="AZ62" s="155">
        <v>7843.3901291869997</v>
      </c>
      <c r="BA62" s="155">
        <v>8713.6459821869994</v>
      </c>
      <c r="BB62" s="40">
        <v>9078.2505284180006</v>
      </c>
      <c r="BC62" s="40">
        <v>9745.1697384220006</v>
      </c>
      <c r="BD62" s="155">
        <v>15112.089537981999</v>
      </c>
      <c r="BE62" s="155">
        <v>11007.042730588</v>
      </c>
      <c r="BF62" s="155">
        <v>10993.848285433</v>
      </c>
      <c r="BG62" s="287">
        <v>11088.123214578</v>
      </c>
      <c r="BH62" s="287">
        <v>11159.526326252</v>
      </c>
      <c r="BI62" s="287">
        <v>11203.069784187001</v>
      </c>
      <c r="BJ62" s="287">
        <v>11098.595920002001</v>
      </c>
      <c r="BK62" s="287">
        <v>9757.0509735199994</v>
      </c>
      <c r="BL62" s="287">
        <v>8819.4200824540003</v>
      </c>
      <c r="BM62" s="287">
        <v>8160.8992366769999</v>
      </c>
      <c r="BN62" s="287">
        <v>7284.09</v>
      </c>
      <c r="BO62" s="287">
        <v>6181.6164033249997</v>
      </c>
      <c r="BP62" s="287">
        <v>5825.09</v>
      </c>
      <c r="BQ62" s="287">
        <v>4444.5159691939998</v>
      </c>
      <c r="BR62" s="287">
        <v>4329.0224078620004</v>
      </c>
      <c r="BS62" s="287">
        <v>5067.7991089050001</v>
      </c>
      <c r="BT62" s="287">
        <v>5163.1147703930001</v>
      </c>
      <c r="BU62" s="287"/>
      <c r="BV62" s="139"/>
      <c r="BW62" s="139"/>
      <c r="BX62" s="139"/>
      <c r="BY62" s="139"/>
      <c r="BZ62" s="139"/>
      <c r="CA62" s="139"/>
      <c r="CB62" s="139"/>
      <c r="CC62" s="139"/>
      <c r="CD62" s="139"/>
      <c r="CE62" s="139"/>
      <c r="CF62" s="139"/>
      <c r="CG62" s="139"/>
      <c r="CH62" s="139"/>
      <c r="CI62" s="139"/>
      <c r="CJ62" s="139"/>
      <c r="CK62" s="139"/>
      <c r="CL62" s="139"/>
      <c r="CM62" s="139"/>
      <c r="CN62" s="139"/>
      <c r="CO62" s="139"/>
      <c r="CP62" s="139"/>
      <c r="CQ62" s="139"/>
      <c r="CR62" s="139"/>
      <c r="CS62" s="139"/>
      <c r="CT62" s="139"/>
      <c r="CU62" s="139"/>
      <c r="CV62" s="139"/>
      <c r="CW62" s="139"/>
      <c r="CX62" s="139"/>
      <c r="CY62" s="139"/>
      <c r="CZ62" s="139"/>
      <c r="DA62" s="139"/>
      <c r="DB62" s="139"/>
      <c r="DC62" s="139"/>
      <c r="DD62" s="139"/>
      <c r="DE62" s="139"/>
      <c r="DF62" s="139"/>
      <c r="DG62" s="139"/>
      <c r="DH62" s="139"/>
      <c r="DI62" s="139"/>
      <c r="DJ62" s="139"/>
      <c r="DK62" s="139"/>
      <c r="DL62" s="139"/>
      <c r="DM62" s="139"/>
      <c r="DN62" s="139"/>
      <c r="DO62" s="139"/>
      <c r="DP62" s="139"/>
      <c r="DQ62" s="139"/>
      <c r="DR62" s="139"/>
      <c r="DS62" s="146"/>
      <c r="DT62" s="171" t="str">
        <f t="shared" si="71"/>
        <v/>
      </c>
      <c r="DU62" s="171" t="str">
        <f t="shared" si="71"/>
        <v/>
      </c>
      <c r="DV62" s="171" t="str">
        <f t="shared" si="71"/>
        <v/>
      </c>
      <c r="DW62" s="171" t="str">
        <f t="shared" si="71"/>
        <v/>
      </c>
      <c r="DX62" s="171" t="str">
        <f t="shared" si="71"/>
        <v/>
      </c>
      <c r="DY62" s="171" t="str">
        <f t="shared" si="71"/>
        <v/>
      </c>
      <c r="DZ62" s="171" t="str">
        <f t="shared" si="71"/>
        <v/>
      </c>
      <c r="EA62" s="171" t="str">
        <f t="shared" si="71"/>
        <v/>
      </c>
      <c r="EB62" s="171" t="str">
        <f t="shared" si="71"/>
        <v/>
      </c>
      <c r="EC62" s="171" t="str">
        <f t="shared" si="71"/>
        <v/>
      </c>
      <c r="ED62" s="171" t="str">
        <f t="shared" si="71"/>
        <v/>
      </c>
      <c r="EE62" s="171" t="str">
        <f t="shared" si="71"/>
        <v/>
      </c>
      <c r="EF62" s="171" t="str">
        <f t="shared" si="71"/>
        <v/>
      </c>
      <c r="EG62" s="171" t="str">
        <f t="shared" si="71"/>
        <v/>
      </c>
      <c r="EH62" s="171" t="str">
        <f t="shared" si="71"/>
        <v/>
      </c>
      <c r="EI62" s="171" t="str">
        <f t="shared" si="71"/>
        <v/>
      </c>
      <c r="EJ62" s="171" t="str">
        <f t="shared" si="72"/>
        <v/>
      </c>
      <c r="EK62" s="171" t="str">
        <f t="shared" si="72"/>
        <v/>
      </c>
      <c r="EL62" s="171" t="str">
        <f t="shared" si="72"/>
        <v/>
      </c>
      <c r="EM62" s="171" t="str">
        <f t="shared" si="72"/>
        <v/>
      </c>
      <c r="EN62" s="171">
        <f t="shared" si="72"/>
        <v>1.0051700529992131</v>
      </c>
      <c r="EO62" s="171">
        <f t="shared" si="72"/>
        <v>1.0166379634061427</v>
      </c>
      <c r="EP62" s="171">
        <f t="shared" si="72"/>
        <v>1.0395564146694953</v>
      </c>
      <c r="EQ62" s="171">
        <f t="shared" si="72"/>
        <v>0.91273975919543759</v>
      </c>
      <c r="ER62" s="171">
        <f t="shared" si="72"/>
        <v>0.86904450681141077</v>
      </c>
      <c r="ES62" s="171">
        <f t="shared" si="72"/>
        <v>0.84614743162640615</v>
      </c>
      <c r="ET62" s="171">
        <f t="shared" si="72"/>
        <v>1.1720581414724349</v>
      </c>
      <c r="EU62" s="171">
        <f t="shared" si="72"/>
        <v>1.3116983325576075</v>
      </c>
      <c r="EV62" s="171">
        <f t="shared" si="72"/>
        <v>1.3176364108753118</v>
      </c>
      <c r="EW62" s="171">
        <f t="shared" si="72"/>
        <v>1.180347772163123</v>
      </c>
      <c r="EX62" s="171">
        <f t="shared" si="72"/>
        <v>0.80617106833963481</v>
      </c>
      <c r="EY62" s="171">
        <f t="shared" si="72"/>
        <v>0.56828668383726755</v>
      </c>
      <c r="EZ62" s="171">
        <f t="shared" si="73"/>
        <v>0.69982527849062359</v>
      </c>
      <c r="FA62" s="171">
        <f t="shared" si="73"/>
        <v>0.51867160993328465</v>
      </c>
      <c r="FB62" s="171">
        <f t="shared" si="73"/>
        <v>0.34853663075803798</v>
      </c>
      <c r="FC62" s="171">
        <f t="shared" si="73"/>
        <v>0.20289200494255066</v>
      </c>
      <c r="FD62" s="171">
        <f t="shared" si="73"/>
        <v>2.2382475960029069E-2</v>
      </c>
      <c r="FE62" s="171">
        <f t="shared" si="73"/>
        <v>0.10311740792730495</v>
      </c>
      <c r="FF62" s="171">
        <f t="shared" si="73"/>
        <v>0.21277875110641231</v>
      </c>
      <c r="FG62" s="171">
        <f t="shared" si="74"/>
        <v>0.40956675352045524</v>
      </c>
      <c r="FH62" s="171">
        <f t="shared" si="68"/>
        <v>0.4129828171436678</v>
      </c>
      <c r="FI62" s="171">
        <f t="shared" si="69"/>
        <v>0.44406122773660561</v>
      </c>
      <c r="FJ62" s="171">
        <f t="shared" si="70"/>
        <v>0.38414289380997269</v>
      </c>
      <c r="FK62" s="171">
        <f t="shared" si="70"/>
        <v>0.30128248205062391</v>
      </c>
    </row>
    <row r="63" spans="2:167" ht="16">
      <c r="B63" s="140" t="s">
        <v>826</v>
      </c>
      <c r="C63" s="127" t="s">
        <v>827</v>
      </c>
      <c r="D63" s="128"/>
      <c r="E63" s="128"/>
      <c r="F63" s="128"/>
      <c r="G63" s="128"/>
      <c r="H63" s="128"/>
      <c r="I63" s="128"/>
      <c r="J63" s="128"/>
      <c r="K63" s="128"/>
      <c r="L63" s="128"/>
      <c r="M63" s="128"/>
      <c r="N63" s="128"/>
      <c r="O63" s="128"/>
      <c r="P63" s="128"/>
      <c r="Q63" s="128"/>
      <c r="R63" s="128"/>
      <c r="S63" s="128"/>
      <c r="T63" s="128"/>
      <c r="U63" s="128"/>
      <c r="V63" s="128"/>
      <c r="W63" s="128"/>
      <c r="X63" s="128"/>
      <c r="Y63" s="128"/>
      <c r="Z63" s="128">
        <v>0</v>
      </c>
      <c r="AA63" s="128">
        <v>0</v>
      </c>
      <c r="AB63" s="128">
        <v>0</v>
      </c>
      <c r="AC63" s="128">
        <v>0</v>
      </c>
      <c r="AD63" s="128">
        <v>83.551866078000003</v>
      </c>
      <c r="AE63" s="128">
        <v>95.099340666000003</v>
      </c>
      <c r="AF63" s="128">
        <v>105.276217668</v>
      </c>
      <c r="AG63" s="128">
        <v>112.464049268</v>
      </c>
      <c r="AH63" s="128">
        <v>120.38528249700001</v>
      </c>
      <c r="AI63" s="128">
        <v>137.72230797200001</v>
      </c>
      <c r="AJ63" s="128">
        <v>160.05310980600001</v>
      </c>
      <c r="AK63" s="128">
        <v>179.685175407</v>
      </c>
      <c r="AL63" s="128">
        <v>191.79930057199999</v>
      </c>
      <c r="AM63" s="128">
        <v>201.37619837</v>
      </c>
      <c r="AN63" s="128">
        <v>227.56608803200001</v>
      </c>
      <c r="AO63" s="128">
        <v>242.11597011800001</v>
      </c>
      <c r="AP63" s="173">
        <v>302.36514553299997</v>
      </c>
      <c r="AQ63" s="173">
        <v>303.03586443500001</v>
      </c>
      <c r="AR63" s="173">
        <v>310.31115544800002</v>
      </c>
      <c r="AS63" s="288">
        <v>313.77564533200001</v>
      </c>
      <c r="AT63" s="288">
        <v>316.757634908</v>
      </c>
      <c r="AU63" s="288">
        <v>330.666630725</v>
      </c>
      <c r="AV63" s="288">
        <v>352.28865956300001</v>
      </c>
      <c r="AW63" s="158">
        <v>374.563598474</v>
      </c>
      <c r="AX63" s="158">
        <v>384.74652964699999</v>
      </c>
      <c r="AY63" s="158">
        <v>397.36634425900002</v>
      </c>
      <c r="AZ63" s="158">
        <v>411.312890047</v>
      </c>
      <c r="BA63" s="158">
        <v>439.49325775699998</v>
      </c>
      <c r="BB63" s="41">
        <v>445.89865282599999</v>
      </c>
      <c r="BC63" s="41">
        <v>463.07799228800002</v>
      </c>
      <c r="BD63" s="158">
        <v>462.19163783300002</v>
      </c>
      <c r="BE63" s="158">
        <v>482.38917946399999</v>
      </c>
      <c r="BF63" s="288">
        <v>523.35434487500004</v>
      </c>
      <c r="BG63" s="289">
        <v>519.08886992199996</v>
      </c>
      <c r="BH63" s="289">
        <v>522.320952121</v>
      </c>
      <c r="BI63" s="289">
        <v>494.62157681000002</v>
      </c>
      <c r="BJ63" s="289">
        <v>522.320952121</v>
      </c>
      <c r="BK63" s="289">
        <v>486.82533546100001</v>
      </c>
      <c r="BL63" s="289">
        <v>479.97268911700002</v>
      </c>
      <c r="BM63" s="289">
        <v>457.56998663000002</v>
      </c>
      <c r="BN63" s="289">
        <v>428.91</v>
      </c>
      <c r="BO63" s="289">
        <v>411.63705487999999</v>
      </c>
      <c r="BP63" s="289">
        <v>397.94</v>
      </c>
      <c r="BQ63" s="289">
        <v>389.70780247200003</v>
      </c>
      <c r="BR63" s="289">
        <v>398.37695839899999</v>
      </c>
      <c r="BS63" s="289">
        <v>392.831179367</v>
      </c>
      <c r="BT63" s="289">
        <v>394.95829670900002</v>
      </c>
      <c r="BU63" s="289"/>
      <c r="BV63" s="142"/>
      <c r="BW63" s="142"/>
      <c r="BX63" s="142"/>
      <c r="BY63" s="142"/>
      <c r="BZ63" s="142"/>
      <c r="CA63" s="142"/>
      <c r="CB63" s="142"/>
      <c r="CC63" s="142"/>
      <c r="CD63" s="142"/>
      <c r="CE63" s="142"/>
      <c r="CF63" s="142"/>
      <c r="CG63" s="142"/>
      <c r="CH63" s="142"/>
      <c r="CI63" s="142"/>
      <c r="CJ63" s="142"/>
      <c r="CK63" s="142"/>
      <c r="CL63" s="142"/>
      <c r="CM63" s="142"/>
      <c r="CN63" s="142"/>
      <c r="CO63" s="142"/>
      <c r="CP63" s="142"/>
      <c r="CQ63" s="142"/>
      <c r="CR63" s="142"/>
      <c r="CS63" s="142"/>
      <c r="CT63" s="142"/>
      <c r="CU63" s="142"/>
      <c r="CV63" s="142"/>
      <c r="CW63" s="142"/>
      <c r="CX63" s="142"/>
      <c r="CY63" s="142"/>
      <c r="CZ63" s="142"/>
      <c r="DA63" s="142"/>
      <c r="DB63" s="142"/>
      <c r="DC63" s="142"/>
      <c r="DD63" s="142"/>
      <c r="DE63" s="142"/>
      <c r="DF63" s="142"/>
      <c r="DG63" s="142"/>
      <c r="DH63" s="142"/>
      <c r="DI63" s="142"/>
      <c r="DJ63" s="142"/>
      <c r="DK63" s="142"/>
      <c r="DL63" s="142"/>
      <c r="DM63" s="142"/>
      <c r="DN63" s="142"/>
      <c r="DO63" s="142"/>
      <c r="DP63" s="142"/>
      <c r="DQ63" s="142"/>
      <c r="DR63" s="142"/>
      <c r="DS63" s="133"/>
      <c r="DT63" s="174" t="str">
        <f t="shared" si="71"/>
        <v/>
      </c>
      <c r="DU63" s="174" t="str">
        <f t="shared" si="71"/>
        <v/>
      </c>
      <c r="DV63" s="174" t="str">
        <f t="shared" si="71"/>
        <v/>
      </c>
      <c r="DW63" s="174" t="str">
        <f t="shared" si="71"/>
        <v/>
      </c>
      <c r="DX63" s="174" t="str">
        <f t="shared" si="71"/>
        <v/>
      </c>
      <c r="DY63" s="174" t="str">
        <f t="shared" si="71"/>
        <v/>
      </c>
      <c r="DZ63" s="174" t="str">
        <f t="shared" si="71"/>
        <v/>
      </c>
      <c r="EA63" s="174" t="str">
        <f t="shared" si="71"/>
        <v/>
      </c>
      <c r="EB63" s="174" t="str">
        <f t="shared" si="71"/>
        <v/>
      </c>
      <c r="EC63" s="174" t="str">
        <f t="shared" si="71"/>
        <v/>
      </c>
      <c r="ED63" s="174" t="str">
        <f t="shared" si="71"/>
        <v/>
      </c>
      <c r="EE63" s="174" t="str">
        <f t="shared" si="71"/>
        <v/>
      </c>
      <c r="EF63" s="174" t="str">
        <f t="shared" si="71"/>
        <v/>
      </c>
      <c r="EG63" s="174" t="str">
        <f t="shared" si="71"/>
        <v/>
      </c>
      <c r="EH63" s="174" t="str">
        <f t="shared" si="71"/>
        <v/>
      </c>
      <c r="EI63" s="174" t="str">
        <f t="shared" si="71"/>
        <v/>
      </c>
      <c r="EJ63" s="174" t="str">
        <f t="shared" si="72"/>
        <v/>
      </c>
      <c r="EK63" s="174" t="str">
        <f t="shared" si="72"/>
        <v/>
      </c>
      <c r="EL63" s="174" t="str">
        <f t="shared" si="72"/>
        <v/>
      </c>
      <c r="EM63" s="174" t="str">
        <f t="shared" si="72"/>
        <v/>
      </c>
      <c r="EN63" s="174" t="str">
        <f t="shared" si="72"/>
        <v/>
      </c>
      <c r="EO63" s="174" t="str">
        <f t="shared" si="72"/>
        <v/>
      </c>
      <c r="EP63" s="174" t="str">
        <f t="shared" si="72"/>
        <v/>
      </c>
      <c r="EQ63" s="174" t="str">
        <f t="shared" si="72"/>
        <v/>
      </c>
      <c r="ER63" s="174">
        <f t="shared" si="72"/>
        <v>0.44084492840188738</v>
      </c>
      <c r="ES63" s="174">
        <f t="shared" si="72"/>
        <v>0.44819414106872579</v>
      </c>
      <c r="ET63" s="174">
        <f t="shared" si="72"/>
        <v>0.52031592083546241</v>
      </c>
      <c r="EU63" s="174">
        <f t="shared" si="72"/>
        <v>0.59771212735558854</v>
      </c>
      <c r="EV63" s="174">
        <f t="shared" si="72"/>
        <v>0.59321219831651439</v>
      </c>
      <c r="EW63" s="174">
        <f t="shared" si="72"/>
        <v>0.46219012253948955</v>
      </c>
      <c r="EX63" s="174">
        <f t="shared" si="72"/>
        <v>0.42181609784297436</v>
      </c>
      <c r="EY63" s="174">
        <f t="shared" si="72"/>
        <v>0.34744543933348826</v>
      </c>
      <c r="EZ63" s="174">
        <f t="shared" si="73"/>
        <v>0.5764663616147776</v>
      </c>
      <c r="FA63" s="174">
        <f t="shared" si="73"/>
        <v>0.50482463611819162</v>
      </c>
      <c r="FB63" s="174">
        <f t="shared" si="73"/>
        <v>0.3636089547945498</v>
      </c>
      <c r="FC63" s="174">
        <f t="shared" si="73"/>
        <v>0.29597252580684885</v>
      </c>
      <c r="FD63" s="174">
        <f t="shared" si="73"/>
        <v>4.7599697212552083E-2</v>
      </c>
      <c r="FE63" s="174">
        <f t="shared" si="73"/>
        <v>9.1179855366349427E-2</v>
      </c>
      <c r="FF63" s="174">
        <f t="shared" si="73"/>
        <v>0.13527552386699271</v>
      </c>
      <c r="FG63" s="174">
        <f t="shared" si="74"/>
        <v>0.19373062902215188</v>
      </c>
      <c r="FH63" s="174">
        <f t="shared" si="68"/>
        <v>0.21464011359583135</v>
      </c>
      <c r="FI63" s="174">
        <f t="shared" si="69"/>
        <v>0.20171286527388088</v>
      </c>
      <c r="FJ63" s="174">
        <f t="shared" si="70"/>
        <v>0.16754507669141883</v>
      </c>
      <c r="FK63" s="174">
        <f t="shared" si="70"/>
        <v>0.17334748904465958</v>
      </c>
    </row>
    <row r="64" spans="2:167" ht="16">
      <c r="B64" s="140" t="s">
        <v>828</v>
      </c>
      <c r="C64" s="127" t="s">
        <v>829</v>
      </c>
      <c r="D64" s="128"/>
      <c r="E64" s="128"/>
      <c r="F64" s="128"/>
      <c r="G64" s="128"/>
      <c r="H64" s="128"/>
      <c r="I64" s="128"/>
      <c r="J64" s="128"/>
      <c r="K64" s="128"/>
      <c r="L64" s="128"/>
      <c r="M64" s="128"/>
      <c r="N64" s="128"/>
      <c r="O64" s="128"/>
      <c r="P64" s="128"/>
      <c r="Q64" s="128"/>
      <c r="R64" s="128"/>
      <c r="S64" s="128"/>
      <c r="T64" s="128"/>
      <c r="U64" s="128"/>
      <c r="V64" s="128"/>
      <c r="W64" s="128"/>
      <c r="X64" s="128"/>
      <c r="Y64" s="128"/>
      <c r="Z64" s="128">
        <v>0</v>
      </c>
      <c r="AA64" s="128">
        <v>0</v>
      </c>
      <c r="AB64" s="128">
        <v>0</v>
      </c>
      <c r="AC64" s="128">
        <v>0</v>
      </c>
      <c r="AD64" s="128">
        <v>0</v>
      </c>
      <c r="AE64" s="128">
        <v>0</v>
      </c>
      <c r="AF64" s="128">
        <v>0</v>
      </c>
      <c r="AG64" s="128">
        <v>0</v>
      </c>
      <c r="AH64" s="128">
        <v>0</v>
      </c>
      <c r="AI64" s="128">
        <v>0</v>
      </c>
      <c r="AJ64" s="128">
        <v>0</v>
      </c>
      <c r="AK64" s="128">
        <v>0</v>
      </c>
      <c r="AL64" s="128">
        <v>0</v>
      </c>
      <c r="AM64" s="128">
        <v>0</v>
      </c>
      <c r="AN64" s="128">
        <v>0</v>
      </c>
      <c r="AO64" s="128">
        <v>0</v>
      </c>
      <c r="AP64" s="173">
        <v>0</v>
      </c>
      <c r="AQ64" s="173">
        <v>0</v>
      </c>
      <c r="AR64" s="173">
        <v>0</v>
      </c>
      <c r="AS64" s="288">
        <v>0</v>
      </c>
      <c r="AT64" s="288">
        <v>0</v>
      </c>
      <c r="AU64" s="288">
        <v>0</v>
      </c>
      <c r="AV64" s="288">
        <v>0</v>
      </c>
      <c r="AW64" s="158">
        <v>0</v>
      </c>
      <c r="AX64" s="158">
        <v>0</v>
      </c>
      <c r="AY64" s="158">
        <v>0</v>
      </c>
      <c r="AZ64" s="158">
        <v>0</v>
      </c>
      <c r="BA64" s="158">
        <v>0</v>
      </c>
      <c r="BB64" s="41">
        <v>0</v>
      </c>
      <c r="BC64" s="41">
        <v>0</v>
      </c>
      <c r="BD64" s="158">
        <v>0</v>
      </c>
      <c r="BE64" s="158">
        <v>0</v>
      </c>
      <c r="BF64" s="288">
        <v>0</v>
      </c>
      <c r="BG64" s="289">
        <v>0</v>
      </c>
      <c r="BH64" s="289">
        <v>0</v>
      </c>
      <c r="BI64" s="289">
        <v>0</v>
      </c>
      <c r="BJ64" s="289">
        <v>0</v>
      </c>
      <c r="BK64" s="289">
        <v>0</v>
      </c>
      <c r="BL64" s="289">
        <v>0</v>
      </c>
      <c r="BM64" s="289">
        <v>0</v>
      </c>
      <c r="BN64" s="289">
        <v>0</v>
      </c>
      <c r="BO64" s="289">
        <v>0</v>
      </c>
      <c r="BP64" s="289">
        <v>0</v>
      </c>
      <c r="BQ64" s="289">
        <v>0</v>
      </c>
      <c r="BR64" s="289">
        <v>0</v>
      </c>
      <c r="BS64" s="289">
        <v>0</v>
      </c>
      <c r="BT64" s="289">
        <v>0</v>
      </c>
      <c r="BU64" s="289"/>
      <c r="BV64" s="142"/>
      <c r="BW64" s="142"/>
      <c r="BX64" s="142"/>
      <c r="BY64" s="142"/>
      <c r="BZ64" s="142"/>
      <c r="CA64" s="142"/>
      <c r="CB64" s="142"/>
      <c r="CC64" s="142"/>
      <c r="CD64" s="142"/>
      <c r="CE64" s="142"/>
      <c r="CF64" s="142"/>
      <c r="CG64" s="142"/>
      <c r="CH64" s="142"/>
      <c r="CI64" s="142"/>
      <c r="CJ64" s="142"/>
      <c r="CK64" s="142"/>
      <c r="CL64" s="142"/>
      <c r="CM64" s="142"/>
      <c r="CN64" s="142"/>
      <c r="CO64" s="142"/>
      <c r="CP64" s="142"/>
      <c r="CQ64" s="142"/>
      <c r="CR64" s="142"/>
      <c r="CS64" s="142"/>
      <c r="CT64" s="142"/>
      <c r="CU64" s="142"/>
      <c r="CV64" s="142"/>
      <c r="CW64" s="142"/>
      <c r="CX64" s="142"/>
      <c r="CY64" s="142"/>
      <c r="CZ64" s="142"/>
      <c r="DA64" s="142"/>
      <c r="DB64" s="142"/>
      <c r="DC64" s="142"/>
      <c r="DD64" s="142"/>
      <c r="DE64" s="142"/>
      <c r="DF64" s="142"/>
      <c r="DG64" s="142"/>
      <c r="DH64" s="142"/>
      <c r="DI64" s="142"/>
      <c r="DJ64" s="142"/>
      <c r="DK64" s="142"/>
      <c r="DL64" s="142"/>
      <c r="DM64" s="142"/>
      <c r="DN64" s="142"/>
      <c r="DO64" s="142"/>
      <c r="DP64" s="142"/>
      <c r="DQ64" s="142"/>
      <c r="DR64" s="142"/>
      <c r="DS64" s="133"/>
      <c r="DT64" s="174" t="str">
        <f t="shared" si="71"/>
        <v/>
      </c>
      <c r="DU64" s="174" t="str">
        <f t="shared" si="71"/>
        <v/>
      </c>
      <c r="DV64" s="174" t="str">
        <f t="shared" si="71"/>
        <v/>
      </c>
      <c r="DW64" s="174" t="str">
        <f t="shared" si="71"/>
        <v/>
      </c>
      <c r="DX64" s="174" t="str">
        <f t="shared" si="71"/>
        <v/>
      </c>
      <c r="DY64" s="174" t="str">
        <f t="shared" si="71"/>
        <v/>
      </c>
      <c r="DZ64" s="174" t="str">
        <f t="shared" si="71"/>
        <v/>
      </c>
      <c r="EA64" s="174" t="str">
        <f t="shared" si="71"/>
        <v/>
      </c>
      <c r="EB64" s="174" t="str">
        <f t="shared" si="71"/>
        <v/>
      </c>
      <c r="EC64" s="174" t="str">
        <f t="shared" si="71"/>
        <v/>
      </c>
      <c r="ED64" s="174" t="str">
        <f t="shared" si="71"/>
        <v/>
      </c>
      <c r="EE64" s="174" t="str">
        <f t="shared" si="71"/>
        <v/>
      </c>
      <c r="EF64" s="174" t="str">
        <f t="shared" si="71"/>
        <v/>
      </c>
      <c r="EG64" s="174" t="str">
        <f t="shared" si="71"/>
        <v/>
      </c>
      <c r="EH64" s="174" t="str">
        <f t="shared" si="71"/>
        <v/>
      </c>
      <c r="EI64" s="174" t="str">
        <f t="shared" si="71"/>
        <v/>
      </c>
      <c r="EJ64" s="174" t="str">
        <f t="shared" si="72"/>
        <v/>
      </c>
      <c r="EK64" s="174" t="str">
        <f t="shared" si="72"/>
        <v/>
      </c>
      <c r="EL64" s="174" t="str">
        <f t="shared" si="72"/>
        <v/>
      </c>
      <c r="EM64" s="174" t="str">
        <f t="shared" si="72"/>
        <v/>
      </c>
      <c r="EN64" s="174" t="str">
        <f t="shared" si="72"/>
        <v/>
      </c>
      <c r="EO64" s="174" t="str">
        <f t="shared" si="72"/>
        <v/>
      </c>
      <c r="EP64" s="174" t="str">
        <f t="shared" si="72"/>
        <v/>
      </c>
      <c r="EQ64" s="174" t="str">
        <f t="shared" si="72"/>
        <v/>
      </c>
      <c r="ER64" s="174" t="str">
        <f t="shared" si="72"/>
        <v/>
      </c>
      <c r="ES64" s="174" t="str">
        <f t="shared" si="72"/>
        <v/>
      </c>
      <c r="ET64" s="174" t="str">
        <f t="shared" si="72"/>
        <v/>
      </c>
      <c r="EU64" s="174" t="str">
        <f t="shared" si="72"/>
        <v/>
      </c>
      <c r="EV64" s="174" t="str">
        <f t="shared" si="72"/>
        <v/>
      </c>
      <c r="EW64" s="174" t="str">
        <f t="shared" si="72"/>
        <v/>
      </c>
      <c r="EX64" s="174" t="str">
        <f t="shared" si="72"/>
        <v/>
      </c>
      <c r="EY64" s="174" t="str">
        <f t="shared" si="72"/>
        <v/>
      </c>
      <c r="EZ64" s="174" t="str">
        <f t="shared" si="73"/>
        <v/>
      </c>
      <c r="FA64" s="174" t="str">
        <f t="shared" si="73"/>
        <v/>
      </c>
      <c r="FB64" s="174" t="str">
        <f t="shared" si="73"/>
        <v/>
      </c>
      <c r="FC64" s="174" t="str">
        <f t="shared" si="73"/>
        <v/>
      </c>
      <c r="FD64" s="174" t="str">
        <f t="shared" si="73"/>
        <v/>
      </c>
      <c r="FE64" s="174" t="str">
        <f t="shared" si="73"/>
        <v/>
      </c>
      <c r="FF64" s="174" t="str">
        <f t="shared" si="73"/>
        <v/>
      </c>
      <c r="FG64" s="174" t="str">
        <f t="shared" si="74"/>
        <v/>
      </c>
      <c r="FH64" s="174" t="str">
        <f t="shared" si="68"/>
        <v/>
      </c>
      <c r="FI64" s="174" t="str">
        <f t="shared" si="69"/>
        <v/>
      </c>
      <c r="FJ64" s="174" t="str">
        <f t="shared" si="70"/>
        <v/>
      </c>
      <c r="FK64" s="174" t="str">
        <f t="shared" si="70"/>
        <v/>
      </c>
    </row>
    <row r="65" spans="2:167" ht="16">
      <c r="B65" s="140" t="s">
        <v>830</v>
      </c>
      <c r="C65" s="127" t="s">
        <v>831</v>
      </c>
      <c r="D65" s="128"/>
      <c r="E65" s="128"/>
      <c r="F65" s="128"/>
      <c r="G65" s="128"/>
      <c r="H65" s="128"/>
      <c r="I65" s="128"/>
      <c r="J65" s="128"/>
      <c r="K65" s="128"/>
      <c r="L65" s="128"/>
      <c r="M65" s="128"/>
      <c r="N65" s="128"/>
      <c r="O65" s="128"/>
      <c r="P65" s="128"/>
      <c r="Q65" s="128"/>
      <c r="R65" s="128"/>
      <c r="S65" s="128"/>
      <c r="T65" s="128"/>
      <c r="U65" s="128"/>
      <c r="V65" s="128"/>
      <c r="W65" s="128"/>
      <c r="X65" s="128"/>
      <c r="Y65" s="128"/>
      <c r="Z65" s="128">
        <v>0</v>
      </c>
      <c r="AA65" s="128">
        <v>0</v>
      </c>
      <c r="AB65" s="128">
        <v>0</v>
      </c>
      <c r="AC65" s="128">
        <v>0</v>
      </c>
      <c r="AD65" s="128">
        <v>0</v>
      </c>
      <c r="AE65" s="128">
        <v>0</v>
      </c>
      <c r="AF65" s="128">
        <v>0</v>
      </c>
      <c r="AG65" s="128">
        <v>0</v>
      </c>
      <c r="AH65" s="128">
        <v>0</v>
      </c>
      <c r="AI65" s="128">
        <v>0</v>
      </c>
      <c r="AJ65" s="128">
        <v>0</v>
      </c>
      <c r="AK65" s="128">
        <v>0</v>
      </c>
      <c r="AL65" s="128">
        <v>0</v>
      </c>
      <c r="AM65" s="128">
        <v>0</v>
      </c>
      <c r="AN65" s="128">
        <v>0</v>
      </c>
      <c r="AO65" s="128">
        <v>0</v>
      </c>
      <c r="AP65" s="173">
        <v>0</v>
      </c>
      <c r="AQ65" s="173">
        <v>0</v>
      </c>
      <c r="AR65" s="173">
        <v>0</v>
      </c>
      <c r="AS65" s="288">
        <v>0</v>
      </c>
      <c r="AT65" s="288">
        <v>0</v>
      </c>
      <c r="AU65" s="288">
        <v>0</v>
      </c>
      <c r="AV65" s="288">
        <v>0</v>
      </c>
      <c r="AW65" s="158">
        <v>0</v>
      </c>
      <c r="AX65" s="158">
        <v>0</v>
      </c>
      <c r="AY65" s="158">
        <v>0</v>
      </c>
      <c r="AZ65" s="158">
        <v>0</v>
      </c>
      <c r="BA65" s="158">
        <v>0</v>
      </c>
      <c r="BB65" s="41">
        <v>0</v>
      </c>
      <c r="BC65" s="41">
        <v>0</v>
      </c>
      <c r="BD65" s="158">
        <v>0</v>
      </c>
      <c r="BE65" s="158">
        <v>0</v>
      </c>
      <c r="BF65" s="288">
        <v>0</v>
      </c>
      <c r="BG65" s="289">
        <v>0</v>
      </c>
      <c r="BH65" s="289">
        <v>0</v>
      </c>
      <c r="BI65" s="289">
        <v>0</v>
      </c>
      <c r="BJ65" s="289">
        <v>0</v>
      </c>
      <c r="BK65" s="289">
        <v>0</v>
      </c>
      <c r="BL65" s="289">
        <v>0</v>
      </c>
      <c r="BM65" s="289">
        <v>0</v>
      </c>
      <c r="BN65" s="289">
        <v>0</v>
      </c>
      <c r="BO65" s="289">
        <v>0</v>
      </c>
      <c r="BP65" s="289">
        <v>0</v>
      </c>
      <c r="BQ65" s="289">
        <v>0</v>
      </c>
      <c r="BR65" s="289">
        <v>0</v>
      </c>
      <c r="BS65" s="289">
        <v>0</v>
      </c>
      <c r="BT65" s="289">
        <v>0</v>
      </c>
      <c r="BU65" s="289"/>
      <c r="BV65" s="142"/>
      <c r="BW65" s="142"/>
      <c r="BX65" s="142"/>
      <c r="BY65" s="142"/>
      <c r="BZ65" s="142"/>
      <c r="CA65" s="142"/>
      <c r="CB65" s="142"/>
      <c r="CC65" s="142"/>
      <c r="CD65" s="142"/>
      <c r="CE65" s="142"/>
      <c r="CF65" s="142"/>
      <c r="CG65" s="142"/>
      <c r="CH65" s="142"/>
      <c r="CI65" s="142"/>
      <c r="CJ65" s="142"/>
      <c r="CK65" s="142"/>
      <c r="CL65" s="142"/>
      <c r="CM65" s="142"/>
      <c r="CN65" s="142"/>
      <c r="CO65" s="142"/>
      <c r="CP65" s="142"/>
      <c r="CQ65" s="142"/>
      <c r="CR65" s="142"/>
      <c r="CS65" s="142"/>
      <c r="CT65" s="142"/>
      <c r="CU65" s="142"/>
      <c r="CV65" s="142"/>
      <c r="CW65" s="142"/>
      <c r="CX65" s="142"/>
      <c r="CY65" s="142"/>
      <c r="CZ65" s="142"/>
      <c r="DA65" s="142"/>
      <c r="DB65" s="142"/>
      <c r="DC65" s="142"/>
      <c r="DD65" s="142"/>
      <c r="DE65" s="142"/>
      <c r="DF65" s="142"/>
      <c r="DG65" s="142"/>
      <c r="DH65" s="142"/>
      <c r="DI65" s="142"/>
      <c r="DJ65" s="142"/>
      <c r="DK65" s="142"/>
      <c r="DL65" s="142"/>
      <c r="DM65" s="142"/>
      <c r="DN65" s="142"/>
      <c r="DO65" s="142"/>
      <c r="DP65" s="142"/>
      <c r="DQ65" s="142"/>
      <c r="DR65" s="142"/>
      <c r="DS65" s="133"/>
      <c r="DT65" s="174" t="str">
        <f t="shared" si="71"/>
        <v/>
      </c>
      <c r="DU65" s="174" t="str">
        <f t="shared" si="71"/>
        <v/>
      </c>
      <c r="DV65" s="174" t="str">
        <f t="shared" si="71"/>
        <v/>
      </c>
      <c r="DW65" s="174" t="str">
        <f t="shared" si="71"/>
        <v/>
      </c>
      <c r="DX65" s="174" t="str">
        <f t="shared" si="71"/>
        <v/>
      </c>
      <c r="DY65" s="174" t="str">
        <f t="shared" si="71"/>
        <v/>
      </c>
      <c r="DZ65" s="174" t="str">
        <f t="shared" si="71"/>
        <v/>
      </c>
      <c r="EA65" s="174" t="str">
        <f t="shared" si="71"/>
        <v/>
      </c>
      <c r="EB65" s="174" t="str">
        <f t="shared" si="71"/>
        <v/>
      </c>
      <c r="EC65" s="174" t="str">
        <f t="shared" si="71"/>
        <v/>
      </c>
      <c r="ED65" s="174" t="str">
        <f t="shared" si="71"/>
        <v/>
      </c>
      <c r="EE65" s="174" t="str">
        <f t="shared" si="71"/>
        <v/>
      </c>
      <c r="EF65" s="174" t="str">
        <f t="shared" si="71"/>
        <v/>
      </c>
      <c r="EG65" s="174" t="str">
        <f t="shared" si="71"/>
        <v/>
      </c>
      <c r="EH65" s="174" t="str">
        <f t="shared" si="71"/>
        <v/>
      </c>
      <c r="EI65" s="174" t="str">
        <f t="shared" si="71"/>
        <v/>
      </c>
      <c r="EJ65" s="174" t="str">
        <f t="shared" si="72"/>
        <v/>
      </c>
      <c r="EK65" s="174" t="str">
        <f t="shared" si="72"/>
        <v/>
      </c>
      <c r="EL65" s="174" t="str">
        <f t="shared" si="72"/>
        <v/>
      </c>
      <c r="EM65" s="174" t="str">
        <f t="shared" si="72"/>
        <v/>
      </c>
      <c r="EN65" s="174" t="str">
        <f t="shared" si="72"/>
        <v/>
      </c>
      <c r="EO65" s="174" t="str">
        <f t="shared" si="72"/>
        <v/>
      </c>
      <c r="EP65" s="174" t="str">
        <f t="shared" si="72"/>
        <v/>
      </c>
      <c r="EQ65" s="174" t="str">
        <f t="shared" si="72"/>
        <v/>
      </c>
      <c r="ER65" s="174" t="str">
        <f t="shared" si="72"/>
        <v/>
      </c>
      <c r="ES65" s="174" t="str">
        <f t="shared" si="72"/>
        <v/>
      </c>
      <c r="ET65" s="174" t="str">
        <f t="shared" si="72"/>
        <v/>
      </c>
      <c r="EU65" s="174" t="str">
        <f t="shared" si="72"/>
        <v/>
      </c>
      <c r="EV65" s="174" t="str">
        <f t="shared" si="72"/>
        <v/>
      </c>
      <c r="EW65" s="174" t="str">
        <f t="shared" si="72"/>
        <v/>
      </c>
      <c r="EX65" s="174" t="str">
        <f t="shared" si="72"/>
        <v/>
      </c>
      <c r="EY65" s="174" t="str">
        <f t="shared" si="72"/>
        <v/>
      </c>
      <c r="EZ65" s="174" t="str">
        <f t="shared" si="73"/>
        <v/>
      </c>
      <c r="FA65" s="174" t="str">
        <f t="shared" si="73"/>
        <v/>
      </c>
      <c r="FB65" s="174" t="str">
        <f t="shared" si="73"/>
        <v/>
      </c>
      <c r="FC65" s="174" t="str">
        <f t="shared" si="73"/>
        <v/>
      </c>
      <c r="FD65" s="174" t="str">
        <f t="shared" si="73"/>
        <v/>
      </c>
      <c r="FE65" s="174" t="str">
        <f t="shared" si="73"/>
        <v/>
      </c>
      <c r="FF65" s="174" t="str">
        <f t="shared" si="73"/>
        <v/>
      </c>
      <c r="FG65" s="174" t="str">
        <f t="shared" si="74"/>
        <v/>
      </c>
      <c r="FH65" s="174" t="str">
        <f t="shared" si="68"/>
        <v/>
      </c>
      <c r="FI65" s="174" t="str">
        <f t="shared" si="69"/>
        <v/>
      </c>
      <c r="FJ65" s="174" t="str">
        <f t="shared" si="70"/>
        <v/>
      </c>
      <c r="FK65" s="174" t="str">
        <f t="shared" si="70"/>
        <v/>
      </c>
    </row>
    <row r="66" spans="2:167" ht="16">
      <c r="B66" s="140" t="s">
        <v>832</v>
      </c>
      <c r="C66" s="127" t="s">
        <v>833</v>
      </c>
      <c r="D66" s="128"/>
      <c r="E66" s="128"/>
      <c r="F66" s="128"/>
      <c r="G66" s="128"/>
      <c r="H66" s="128"/>
      <c r="I66" s="128"/>
      <c r="J66" s="128"/>
      <c r="K66" s="128"/>
      <c r="L66" s="128"/>
      <c r="M66" s="128"/>
      <c r="N66" s="128"/>
      <c r="O66" s="128"/>
      <c r="P66" s="128"/>
      <c r="Q66" s="128"/>
      <c r="R66" s="128"/>
      <c r="S66" s="128"/>
      <c r="T66" s="128"/>
      <c r="U66" s="128"/>
      <c r="V66" s="128"/>
      <c r="W66" s="128"/>
      <c r="X66" s="128"/>
      <c r="Y66" s="128"/>
      <c r="Z66" s="128">
        <v>0</v>
      </c>
      <c r="AA66" s="128">
        <v>0</v>
      </c>
      <c r="AB66" s="128">
        <v>0</v>
      </c>
      <c r="AC66" s="128">
        <v>0</v>
      </c>
      <c r="AD66" s="128">
        <v>0</v>
      </c>
      <c r="AE66" s="128">
        <v>0</v>
      </c>
      <c r="AF66" s="128">
        <v>0</v>
      </c>
      <c r="AG66" s="128">
        <v>0</v>
      </c>
      <c r="AH66" s="128">
        <v>0</v>
      </c>
      <c r="AI66" s="128">
        <v>0</v>
      </c>
      <c r="AJ66" s="128">
        <v>0</v>
      </c>
      <c r="AK66" s="128">
        <v>0</v>
      </c>
      <c r="AL66" s="128">
        <v>0</v>
      </c>
      <c r="AM66" s="128">
        <v>0</v>
      </c>
      <c r="AN66" s="128">
        <v>0</v>
      </c>
      <c r="AO66" s="128">
        <v>0</v>
      </c>
      <c r="AP66" s="173">
        <v>0</v>
      </c>
      <c r="AQ66" s="173">
        <v>0</v>
      </c>
      <c r="AR66" s="173">
        <v>0</v>
      </c>
      <c r="AS66" s="288">
        <v>0</v>
      </c>
      <c r="AT66" s="288">
        <v>0</v>
      </c>
      <c r="AU66" s="288">
        <v>0</v>
      </c>
      <c r="AV66" s="288">
        <v>0</v>
      </c>
      <c r="AW66" s="158">
        <v>0</v>
      </c>
      <c r="AX66" s="158">
        <v>0</v>
      </c>
      <c r="AY66" s="158">
        <v>0</v>
      </c>
      <c r="AZ66" s="158">
        <v>0</v>
      </c>
      <c r="BA66" s="158">
        <v>0</v>
      </c>
      <c r="BB66" s="41">
        <v>0</v>
      </c>
      <c r="BC66" s="41">
        <v>0</v>
      </c>
      <c r="BD66" s="158">
        <v>0</v>
      </c>
      <c r="BE66" s="158">
        <v>0</v>
      </c>
      <c r="BF66" s="288">
        <v>0</v>
      </c>
      <c r="BG66" s="289">
        <v>0</v>
      </c>
      <c r="BH66" s="289">
        <v>0</v>
      </c>
      <c r="BI66" s="289">
        <v>0</v>
      </c>
      <c r="BJ66" s="289">
        <v>0</v>
      </c>
      <c r="BK66" s="289">
        <v>0</v>
      </c>
      <c r="BL66" s="289">
        <v>0</v>
      </c>
      <c r="BM66" s="289">
        <v>0</v>
      </c>
      <c r="BN66" s="289">
        <v>0</v>
      </c>
      <c r="BO66" s="289">
        <v>0</v>
      </c>
      <c r="BP66" s="289">
        <v>0</v>
      </c>
      <c r="BQ66" s="289">
        <v>0</v>
      </c>
      <c r="BR66" s="289">
        <v>0</v>
      </c>
      <c r="BS66" s="289">
        <v>0</v>
      </c>
      <c r="BT66" s="289">
        <v>0</v>
      </c>
      <c r="BU66" s="289"/>
      <c r="BV66" s="142"/>
      <c r="BW66" s="142"/>
      <c r="BX66" s="142"/>
      <c r="BY66" s="142"/>
      <c r="BZ66" s="142"/>
      <c r="CA66" s="142"/>
      <c r="CB66" s="142"/>
      <c r="CC66" s="142"/>
      <c r="CD66" s="142"/>
      <c r="CE66" s="142"/>
      <c r="CF66" s="142"/>
      <c r="CG66" s="142"/>
      <c r="CH66" s="142"/>
      <c r="CI66" s="142"/>
      <c r="CJ66" s="142"/>
      <c r="CK66" s="142"/>
      <c r="CL66" s="142"/>
      <c r="CM66" s="142"/>
      <c r="CN66" s="142"/>
      <c r="CO66" s="142"/>
      <c r="CP66" s="142"/>
      <c r="CQ66" s="142"/>
      <c r="CR66" s="142"/>
      <c r="CS66" s="142"/>
      <c r="CT66" s="142"/>
      <c r="CU66" s="142"/>
      <c r="CV66" s="142"/>
      <c r="CW66" s="142"/>
      <c r="CX66" s="142"/>
      <c r="CY66" s="142"/>
      <c r="CZ66" s="142"/>
      <c r="DA66" s="142"/>
      <c r="DB66" s="142"/>
      <c r="DC66" s="142"/>
      <c r="DD66" s="142"/>
      <c r="DE66" s="142"/>
      <c r="DF66" s="142"/>
      <c r="DG66" s="142"/>
      <c r="DH66" s="142"/>
      <c r="DI66" s="142"/>
      <c r="DJ66" s="142"/>
      <c r="DK66" s="142"/>
      <c r="DL66" s="142"/>
      <c r="DM66" s="142"/>
      <c r="DN66" s="142"/>
      <c r="DO66" s="142"/>
      <c r="DP66" s="142"/>
      <c r="DQ66" s="142"/>
      <c r="DR66" s="142"/>
      <c r="DS66" s="133"/>
      <c r="DT66" s="174" t="str">
        <f t="shared" si="71"/>
        <v/>
      </c>
      <c r="DU66" s="174" t="str">
        <f t="shared" si="71"/>
        <v/>
      </c>
      <c r="DV66" s="174" t="str">
        <f t="shared" si="71"/>
        <v/>
      </c>
      <c r="DW66" s="174" t="str">
        <f t="shared" si="71"/>
        <v/>
      </c>
      <c r="DX66" s="174" t="str">
        <f t="shared" si="71"/>
        <v/>
      </c>
      <c r="DY66" s="174" t="str">
        <f t="shared" si="71"/>
        <v/>
      </c>
      <c r="DZ66" s="174" t="str">
        <f t="shared" si="71"/>
        <v/>
      </c>
      <c r="EA66" s="174" t="str">
        <f t="shared" si="71"/>
        <v/>
      </c>
      <c r="EB66" s="174" t="str">
        <f t="shared" si="71"/>
        <v/>
      </c>
      <c r="EC66" s="174" t="str">
        <f t="shared" si="71"/>
        <v/>
      </c>
      <c r="ED66" s="174" t="str">
        <f t="shared" si="71"/>
        <v/>
      </c>
      <c r="EE66" s="174" t="str">
        <f t="shared" si="71"/>
        <v/>
      </c>
      <c r="EF66" s="174" t="str">
        <f t="shared" si="71"/>
        <v/>
      </c>
      <c r="EG66" s="174" t="str">
        <f t="shared" si="71"/>
        <v/>
      </c>
      <c r="EH66" s="174" t="str">
        <f t="shared" si="71"/>
        <v/>
      </c>
      <c r="EI66" s="174" t="str">
        <f t="shared" si="71"/>
        <v/>
      </c>
      <c r="EJ66" s="174" t="str">
        <f t="shared" si="72"/>
        <v/>
      </c>
      <c r="EK66" s="174" t="str">
        <f t="shared" si="72"/>
        <v/>
      </c>
      <c r="EL66" s="174" t="str">
        <f t="shared" si="72"/>
        <v/>
      </c>
      <c r="EM66" s="174" t="str">
        <f t="shared" si="72"/>
        <v/>
      </c>
      <c r="EN66" s="174" t="str">
        <f t="shared" si="72"/>
        <v/>
      </c>
      <c r="EO66" s="174" t="str">
        <f t="shared" si="72"/>
        <v/>
      </c>
      <c r="EP66" s="174" t="str">
        <f t="shared" si="72"/>
        <v/>
      </c>
      <c r="EQ66" s="174" t="str">
        <f t="shared" si="72"/>
        <v/>
      </c>
      <c r="ER66" s="174" t="str">
        <f t="shared" si="72"/>
        <v/>
      </c>
      <c r="ES66" s="174" t="str">
        <f t="shared" si="72"/>
        <v/>
      </c>
      <c r="ET66" s="174" t="str">
        <f t="shared" si="72"/>
        <v/>
      </c>
      <c r="EU66" s="174" t="str">
        <f t="shared" si="72"/>
        <v/>
      </c>
      <c r="EV66" s="174" t="str">
        <f t="shared" si="72"/>
        <v/>
      </c>
      <c r="EW66" s="174" t="str">
        <f t="shared" si="72"/>
        <v/>
      </c>
      <c r="EX66" s="174" t="str">
        <f t="shared" si="72"/>
        <v/>
      </c>
      <c r="EY66" s="174" t="str">
        <f t="shared" si="72"/>
        <v/>
      </c>
      <c r="EZ66" s="174" t="str">
        <f t="shared" si="73"/>
        <v/>
      </c>
      <c r="FA66" s="174" t="str">
        <f t="shared" si="73"/>
        <v/>
      </c>
      <c r="FB66" s="174" t="str">
        <f t="shared" si="73"/>
        <v/>
      </c>
      <c r="FC66" s="174" t="str">
        <f t="shared" si="73"/>
        <v/>
      </c>
      <c r="FD66" s="174" t="str">
        <f t="shared" si="73"/>
        <v/>
      </c>
      <c r="FE66" s="174" t="str">
        <f t="shared" si="73"/>
        <v/>
      </c>
      <c r="FF66" s="174" t="str">
        <f t="shared" si="73"/>
        <v/>
      </c>
      <c r="FG66" s="174" t="str">
        <f t="shared" si="74"/>
        <v/>
      </c>
      <c r="FH66" s="174" t="str">
        <f t="shared" si="68"/>
        <v/>
      </c>
      <c r="FI66" s="174" t="str">
        <f t="shared" si="69"/>
        <v/>
      </c>
      <c r="FJ66" s="174" t="str">
        <f t="shared" si="70"/>
        <v/>
      </c>
      <c r="FK66" s="174" t="str">
        <f t="shared" si="70"/>
        <v/>
      </c>
    </row>
    <row r="67" spans="2:167" ht="16">
      <c r="B67" s="140" t="s">
        <v>834</v>
      </c>
      <c r="C67" s="127" t="s">
        <v>835</v>
      </c>
      <c r="D67" s="128"/>
      <c r="E67" s="128"/>
      <c r="F67" s="128"/>
      <c r="G67" s="128"/>
      <c r="H67" s="128"/>
      <c r="I67" s="128"/>
      <c r="J67" s="128"/>
      <c r="K67" s="128"/>
      <c r="L67" s="128"/>
      <c r="M67" s="128"/>
      <c r="N67" s="128"/>
      <c r="O67" s="128"/>
      <c r="P67" s="128"/>
      <c r="Q67" s="128"/>
      <c r="R67" s="128"/>
      <c r="S67" s="128"/>
      <c r="T67" s="128"/>
      <c r="U67" s="128"/>
      <c r="V67" s="128"/>
      <c r="W67" s="128"/>
      <c r="X67" s="128"/>
      <c r="Y67" s="128"/>
      <c r="Z67" s="128">
        <v>0</v>
      </c>
      <c r="AA67" s="128">
        <v>0</v>
      </c>
      <c r="AB67" s="128">
        <v>0</v>
      </c>
      <c r="AC67" s="128">
        <v>0</v>
      </c>
      <c r="AD67" s="128">
        <v>0</v>
      </c>
      <c r="AE67" s="128">
        <v>0</v>
      </c>
      <c r="AF67" s="128">
        <v>0</v>
      </c>
      <c r="AG67" s="128">
        <v>0</v>
      </c>
      <c r="AH67" s="128">
        <v>0</v>
      </c>
      <c r="AI67" s="128">
        <v>0</v>
      </c>
      <c r="AJ67" s="128">
        <v>0</v>
      </c>
      <c r="AK67" s="128">
        <v>0</v>
      </c>
      <c r="AL67" s="128">
        <v>0</v>
      </c>
      <c r="AM67" s="128">
        <v>0</v>
      </c>
      <c r="AN67" s="128">
        <v>0</v>
      </c>
      <c r="AO67" s="128">
        <v>0</v>
      </c>
      <c r="AP67" s="173">
        <v>0</v>
      </c>
      <c r="AQ67" s="173">
        <v>0</v>
      </c>
      <c r="AR67" s="173">
        <v>0</v>
      </c>
      <c r="AS67" s="288">
        <v>0</v>
      </c>
      <c r="AT67" s="288">
        <v>0</v>
      </c>
      <c r="AU67" s="288">
        <v>0</v>
      </c>
      <c r="AV67" s="288">
        <v>0</v>
      </c>
      <c r="AW67" s="158">
        <v>0</v>
      </c>
      <c r="AX67" s="158">
        <v>0</v>
      </c>
      <c r="AY67" s="158">
        <v>0</v>
      </c>
      <c r="AZ67" s="158">
        <v>0</v>
      </c>
      <c r="BA67" s="158">
        <v>0</v>
      </c>
      <c r="BB67" s="41">
        <v>0</v>
      </c>
      <c r="BC67" s="41">
        <v>0</v>
      </c>
      <c r="BD67" s="158">
        <v>0</v>
      </c>
      <c r="BE67" s="158">
        <v>0</v>
      </c>
      <c r="BF67" s="288">
        <v>0</v>
      </c>
      <c r="BG67" s="289">
        <v>0</v>
      </c>
      <c r="BH67" s="289">
        <v>0</v>
      </c>
      <c r="BI67" s="289">
        <v>0</v>
      </c>
      <c r="BJ67" s="289">
        <v>0</v>
      </c>
      <c r="BK67" s="289">
        <v>0</v>
      </c>
      <c r="BL67" s="289">
        <v>0</v>
      </c>
      <c r="BM67" s="289">
        <v>0</v>
      </c>
      <c r="BN67" s="289">
        <v>0</v>
      </c>
      <c r="BO67" s="289">
        <v>0</v>
      </c>
      <c r="BP67" s="289">
        <v>0</v>
      </c>
      <c r="BQ67" s="289">
        <v>0</v>
      </c>
      <c r="BR67" s="289">
        <v>0</v>
      </c>
      <c r="BS67" s="289">
        <v>0</v>
      </c>
      <c r="BT67" s="289">
        <v>0</v>
      </c>
      <c r="BU67" s="289"/>
      <c r="BV67" s="142"/>
      <c r="BW67" s="142"/>
      <c r="BX67" s="142"/>
      <c r="BY67" s="142"/>
      <c r="BZ67" s="142"/>
      <c r="CA67" s="142"/>
      <c r="CB67" s="142"/>
      <c r="CC67" s="142"/>
      <c r="CD67" s="142"/>
      <c r="CE67" s="142"/>
      <c r="CF67" s="142"/>
      <c r="CG67" s="142"/>
      <c r="CH67" s="142"/>
      <c r="CI67" s="142"/>
      <c r="CJ67" s="142"/>
      <c r="CK67" s="142"/>
      <c r="CL67" s="142"/>
      <c r="CM67" s="142"/>
      <c r="CN67" s="142"/>
      <c r="CO67" s="142"/>
      <c r="CP67" s="142"/>
      <c r="CQ67" s="142"/>
      <c r="CR67" s="142"/>
      <c r="CS67" s="142"/>
      <c r="CT67" s="142"/>
      <c r="CU67" s="142"/>
      <c r="CV67" s="142"/>
      <c r="CW67" s="142"/>
      <c r="CX67" s="142"/>
      <c r="CY67" s="142"/>
      <c r="CZ67" s="142"/>
      <c r="DA67" s="142"/>
      <c r="DB67" s="142"/>
      <c r="DC67" s="142"/>
      <c r="DD67" s="142"/>
      <c r="DE67" s="142"/>
      <c r="DF67" s="142"/>
      <c r="DG67" s="142"/>
      <c r="DH67" s="142"/>
      <c r="DI67" s="142"/>
      <c r="DJ67" s="142"/>
      <c r="DK67" s="142"/>
      <c r="DL67" s="142"/>
      <c r="DM67" s="142"/>
      <c r="DN67" s="142"/>
      <c r="DO67" s="142"/>
      <c r="DP67" s="142"/>
      <c r="DQ67" s="142"/>
      <c r="DR67" s="142"/>
      <c r="DS67" s="133"/>
      <c r="DT67" s="174" t="str">
        <f t="shared" ref="DT67:EI82" si="75">IFERROR(J67/F67-1,"")</f>
        <v/>
      </c>
      <c r="DU67" s="174" t="str">
        <f t="shared" si="75"/>
        <v/>
      </c>
      <c r="DV67" s="174" t="str">
        <f t="shared" si="75"/>
        <v/>
      </c>
      <c r="DW67" s="174" t="str">
        <f t="shared" si="75"/>
        <v/>
      </c>
      <c r="DX67" s="174" t="str">
        <f t="shared" si="75"/>
        <v/>
      </c>
      <c r="DY67" s="174" t="str">
        <f t="shared" si="75"/>
        <v/>
      </c>
      <c r="DZ67" s="174" t="str">
        <f t="shared" si="75"/>
        <v/>
      </c>
      <c r="EA67" s="174" t="str">
        <f t="shared" si="75"/>
        <v/>
      </c>
      <c r="EB67" s="174" t="str">
        <f t="shared" si="75"/>
        <v/>
      </c>
      <c r="EC67" s="174" t="str">
        <f t="shared" si="75"/>
        <v/>
      </c>
      <c r="ED67" s="174" t="str">
        <f t="shared" si="75"/>
        <v/>
      </c>
      <c r="EE67" s="174" t="str">
        <f t="shared" si="75"/>
        <v/>
      </c>
      <c r="EF67" s="174" t="str">
        <f t="shared" si="75"/>
        <v/>
      </c>
      <c r="EG67" s="174" t="str">
        <f t="shared" si="75"/>
        <v/>
      </c>
      <c r="EH67" s="174" t="str">
        <f t="shared" si="75"/>
        <v/>
      </c>
      <c r="EI67" s="174" t="str">
        <f t="shared" si="75"/>
        <v/>
      </c>
      <c r="EJ67" s="174" t="str">
        <f t="shared" si="72"/>
        <v/>
      </c>
      <c r="EK67" s="174" t="str">
        <f t="shared" si="72"/>
        <v/>
      </c>
      <c r="EL67" s="174" t="str">
        <f t="shared" si="72"/>
        <v/>
      </c>
      <c r="EM67" s="174" t="str">
        <f t="shared" si="72"/>
        <v/>
      </c>
      <c r="EN67" s="174" t="str">
        <f t="shared" si="72"/>
        <v/>
      </c>
      <c r="EO67" s="174" t="str">
        <f t="shared" si="72"/>
        <v/>
      </c>
      <c r="EP67" s="174" t="str">
        <f t="shared" si="72"/>
        <v/>
      </c>
      <c r="EQ67" s="174" t="str">
        <f t="shared" si="72"/>
        <v/>
      </c>
      <c r="ER67" s="174" t="str">
        <f t="shared" si="72"/>
        <v/>
      </c>
      <c r="ES67" s="174" t="str">
        <f t="shared" si="72"/>
        <v/>
      </c>
      <c r="ET67" s="174" t="str">
        <f t="shared" si="72"/>
        <v/>
      </c>
      <c r="EU67" s="174" t="str">
        <f t="shared" si="72"/>
        <v/>
      </c>
      <c r="EV67" s="174" t="str">
        <f t="shared" si="72"/>
        <v/>
      </c>
      <c r="EW67" s="174" t="str">
        <f t="shared" si="72"/>
        <v/>
      </c>
      <c r="EX67" s="174" t="str">
        <f t="shared" ref="EX67:FA130" si="76">IFERROR(AN67/AJ67-1,"")</f>
        <v/>
      </c>
      <c r="EY67" s="174" t="str">
        <f t="shared" si="76"/>
        <v/>
      </c>
      <c r="EZ67" s="174" t="str">
        <f t="shared" si="73"/>
        <v/>
      </c>
      <c r="FA67" s="174" t="str">
        <f t="shared" si="73"/>
        <v/>
      </c>
      <c r="FB67" s="174" t="str">
        <f t="shared" si="73"/>
        <v/>
      </c>
      <c r="FC67" s="174" t="str">
        <f t="shared" si="73"/>
        <v/>
      </c>
      <c r="FD67" s="174" t="str">
        <f t="shared" si="73"/>
        <v/>
      </c>
      <c r="FE67" s="174" t="str">
        <f t="shared" si="73"/>
        <v/>
      </c>
      <c r="FF67" s="174" t="str">
        <f t="shared" si="73"/>
        <v/>
      </c>
      <c r="FG67" s="174" t="str">
        <f t="shared" si="74"/>
        <v/>
      </c>
      <c r="FH67" s="174" t="str">
        <f t="shared" si="68"/>
        <v/>
      </c>
      <c r="FI67" s="174" t="str">
        <f t="shared" si="69"/>
        <v/>
      </c>
      <c r="FJ67" s="174" t="str">
        <f t="shared" si="70"/>
        <v/>
      </c>
      <c r="FK67" s="174" t="str">
        <f t="shared" si="70"/>
        <v/>
      </c>
    </row>
    <row r="68" spans="2:167" s="417" customFormat="1" ht="16">
      <c r="B68" s="418" t="s">
        <v>836</v>
      </c>
      <c r="C68" s="419" t="s">
        <v>837</v>
      </c>
      <c r="D68" s="420"/>
      <c r="E68" s="420"/>
      <c r="F68" s="420"/>
      <c r="G68" s="420"/>
      <c r="H68" s="420"/>
      <c r="I68" s="420"/>
      <c r="J68" s="420"/>
      <c r="K68" s="420"/>
      <c r="L68" s="420"/>
      <c r="M68" s="420"/>
      <c r="N68" s="420"/>
      <c r="O68" s="420"/>
      <c r="P68" s="420"/>
      <c r="Q68" s="420"/>
      <c r="R68" s="420"/>
      <c r="S68" s="420"/>
      <c r="T68" s="420"/>
      <c r="U68" s="420"/>
      <c r="V68" s="420"/>
      <c r="W68" s="420"/>
      <c r="X68" s="420"/>
      <c r="Y68" s="420"/>
      <c r="Z68" s="420">
        <v>0</v>
      </c>
      <c r="AA68" s="420">
        <v>0</v>
      </c>
      <c r="AB68" s="420">
        <v>0</v>
      </c>
      <c r="AC68" s="420">
        <v>0</v>
      </c>
      <c r="AD68" s="420">
        <v>0</v>
      </c>
      <c r="AE68" s="420">
        <v>0</v>
      </c>
      <c r="AF68" s="420">
        <v>0</v>
      </c>
      <c r="AG68" s="420">
        <v>0</v>
      </c>
      <c r="AH68" s="420">
        <v>0</v>
      </c>
      <c r="AI68" s="420">
        <v>0</v>
      </c>
      <c r="AJ68" s="420">
        <v>0</v>
      </c>
      <c r="AK68" s="420">
        <v>0</v>
      </c>
      <c r="AL68" s="420">
        <v>0</v>
      </c>
      <c r="AM68" s="420">
        <v>0</v>
      </c>
      <c r="AN68" s="420">
        <v>0</v>
      </c>
      <c r="AO68" s="420">
        <v>0</v>
      </c>
      <c r="AP68" s="421">
        <v>0</v>
      </c>
      <c r="AQ68" s="421">
        <v>0</v>
      </c>
      <c r="AR68" s="421">
        <v>0</v>
      </c>
      <c r="AS68" s="188">
        <v>0</v>
      </c>
      <c r="AT68" s="188">
        <v>0</v>
      </c>
      <c r="AU68" s="188">
        <v>0</v>
      </c>
      <c r="AV68" s="188">
        <v>0</v>
      </c>
      <c r="AW68" s="188">
        <v>0</v>
      </c>
      <c r="AX68" s="188">
        <v>0</v>
      </c>
      <c r="AY68" s="188">
        <v>0</v>
      </c>
      <c r="AZ68" s="188">
        <v>0</v>
      </c>
      <c r="BA68" s="188">
        <v>0</v>
      </c>
      <c r="BB68" s="189">
        <v>0</v>
      </c>
      <c r="BC68" s="189">
        <v>0</v>
      </c>
      <c r="BD68" s="188">
        <v>0</v>
      </c>
      <c r="BE68" s="188">
        <v>0</v>
      </c>
      <c r="BF68" s="188">
        <v>25.417697638</v>
      </c>
      <c r="BG68" s="422">
        <v>8.5</v>
      </c>
      <c r="BH68" s="422">
        <v>8.5</v>
      </c>
      <c r="BI68" s="422">
        <v>0</v>
      </c>
      <c r="BJ68" s="422">
        <v>8.5</v>
      </c>
      <c r="BK68" s="422">
        <v>9.7447233289999993</v>
      </c>
      <c r="BL68" s="422">
        <v>9.7447233289999993</v>
      </c>
      <c r="BM68" s="422">
        <v>9.2449733290000005</v>
      </c>
      <c r="BN68" s="422">
        <v>0</v>
      </c>
      <c r="BO68" s="422">
        <v>0</v>
      </c>
      <c r="BP68" s="422">
        <v>0</v>
      </c>
      <c r="BQ68" s="422">
        <v>0</v>
      </c>
      <c r="BR68" s="422">
        <v>0</v>
      </c>
      <c r="BS68" s="422">
        <v>0</v>
      </c>
      <c r="BT68" s="422">
        <v>0</v>
      </c>
      <c r="BU68" s="422"/>
      <c r="BV68" s="424"/>
      <c r="BW68" s="424"/>
      <c r="BX68" s="424"/>
      <c r="BY68" s="424"/>
      <c r="BZ68" s="424"/>
      <c r="CA68" s="424"/>
      <c r="CB68" s="424"/>
      <c r="CC68" s="424"/>
      <c r="CD68" s="424"/>
      <c r="CE68" s="424"/>
      <c r="CF68" s="424"/>
      <c r="CG68" s="424"/>
      <c r="CH68" s="424"/>
      <c r="CI68" s="424"/>
      <c r="CJ68" s="424"/>
      <c r="CK68" s="424"/>
      <c r="CL68" s="424"/>
      <c r="CM68" s="424"/>
      <c r="CN68" s="424"/>
      <c r="CO68" s="424"/>
      <c r="CP68" s="424"/>
      <c r="CQ68" s="424"/>
      <c r="CR68" s="424"/>
      <c r="CS68" s="424"/>
      <c r="CT68" s="424"/>
      <c r="CU68" s="424"/>
      <c r="CV68" s="424"/>
      <c r="CW68" s="424"/>
      <c r="CX68" s="424"/>
      <c r="CY68" s="424"/>
      <c r="CZ68" s="424"/>
      <c r="DA68" s="424"/>
      <c r="DB68" s="424"/>
      <c r="DC68" s="424"/>
      <c r="DD68" s="424"/>
      <c r="DE68" s="424"/>
      <c r="DF68" s="424"/>
      <c r="DG68" s="424"/>
      <c r="DH68" s="424"/>
      <c r="DI68" s="424"/>
      <c r="DJ68" s="424"/>
      <c r="DK68" s="424"/>
      <c r="DL68" s="424"/>
      <c r="DM68" s="424"/>
      <c r="DN68" s="424"/>
      <c r="DO68" s="424"/>
      <c r="DP68" s="424"/>
      <c r="DQ68" s="424"/>
      <c r="DR68" s="424"/>
      <c r="DS68" s="497"/>
      <c r="DT68" s="423" t="str">
        <f t="shared" si="75"/>
        <v/>
      </c>
      <c r="DU68" s="423" t="str">
        <f t="shared" si="75"/>
        <v/>
      </c>
      <c r="DV68" s="423" t="str">
        <f t="shared" si="75"/>
        <v/>
      </c>
      <c r="DW68" s="423" t="str">
        <f t="shared" si="75"/>
        <v/>
      </c>
      <c r="DX68" s="423" t="str">
        <f t="shared" si="75"/>
        <v/>
      </c>
      <c r="DY68" s="423" t="str">
        <f t="shared" si="75"/>
        <v/>
      </c>
      <c r="DZ68" s="423" t="str">
        <f t="shared" si="75"/>
        <v/>
      </c>
      <c r="EA68" s="423" t="str">
        <f t="shared" si="75"/>
        <v/>
      </c>
      <c r="EB68" s="423" t="str">
        <f t="shared" si="75"/>
        <v/>
      </c>
      <c r="EC68" s="423" t="str">
        <f t="shared" si="75"/>
        <v/>
      </c>
      <c r="ED68" s="423" t="str">
        <f t="shared" si="75"/>
        <v/>
      </c>
      <c r="EE68" s="423" t="str">
        <f t="shared" si="75"/>
        <v/>
      </c>
      <c r="EF68" s="423" t="str">
        <f t="shared" si="75"/>
        <v/>
      </c>
      <c r="EG68" s="423" t="str">
        <f t="shared" si="75"/>
        <v/>
      </c>
      <c r="EH68" s="423" t="str">
        <f t="shared" si="75"/>
        <v/>
      </c>
      <c r="EI68" s="423" t="str">
        <f t="shared" si="75"/>
        <v/>
      </c>
      <c r="EJ68" s="423" t="str">
        <f t="shared" ref="EJ68:EW86" si="77">IFERROR(Z68/V68-1,"")</f>
        <v/>
      </c>
      <c r="EK68" s="423" t="str">
        <f t="shared" si="77"/>
        <v/>
      </c>
      <c r="EL68" s="423" t="str">
        <f t="shared" si="77"/>
        <v/>
      </c>
      <c r="EM68" s="423" t="str">
        <f t="shared" si="77"/>
        <v/>
      </c>
      <c r="EN68" s="423" t="str">
        <f t="shared" si="77"/>
        <v/>
      </c>
      <c r="EO68" s="423" t="str">
        <f t="shared" si="77"/>
        <v/>
      </c>
      <c r="EP68" s="423" t="str">
        <f t="shared" si="77"/>
        <v/>
      </c>
      <c r="EQ68" s="423" t="str">
        <f t="shared" si="77"/>
        <v/>
      </c>
      <c r="ER68" s="423" t="str">
        <f t="shared" si="77"/>
        <v/>
      </c>
      <c r="ES68" s="423" t="str">
        <f t="shared" si="77"/>
        <v/>
      </c>
      <c r="ET68" s="423" t="str">
        <f t="shared" si="77"/>
        <v/>
      </c>
      <c r="EU68" s="423" t="str">
        <f t="shared" si="77"/>
        <v/>
      </c>
      <c r="EV68" s="423" t="str">
        <f t="shared" si="77"/>
        <v/>
      </c>
      <c r="EW68" s="423" t="str">
        <f t="shared" si="77"/>
        <v/>
      </c>
      <c r="EX68" s="423" t="str">
        <f t="shared" si="76"/>
        <v/>
      </c>
      <c r="EY68" s="423" t="str">
        <f t="shared" si="76"/>
        <v/>
      </c>
      <c r="EZ68" s="423" t="str">
        <f t="shared" si="73"/>
        <v/>
      </c>
      <c r="FA68" s="423" t="str">
        <f t="shared" si="73"/>
        <v/>
      </c>
      <c r="FB68" s="423" t="str">
        <f t="shared" si="73"/>
        <v/>
      </c>
      <c r="FC68" s="423" t="str">
        <f t="shared" si="73"/>
        <v/>
      </c>
      <c r="FD68" s="423" t="str">
        <f t="shared" si="73"/>
        <v/>
      </c>
      <c r="FE68" s="423" t="str">
        <f t="shared" si="73"/>
        <v/>
      </c>
      <c r="FF68" s="423" t="str">
        <f t="shared" si="73"/>
        <v/>
      </c>
      <c r="FG68" s="423" t="str">
        <f t="shared" si="74"/>
        <v/>
      </c>
      <c r="FH68" s="423" t="str">
        <f t="shared" si="68"/>
        <v/>
      </c>
      <c r="FI68" s="423" t="str">
        <f t="shared" si="69"/>
        <v/>
      </c>
      <c r="FJ68" s="423" t="str">
        <f t="shared" si="70"/>
        <v/>
      </c>
      <c r="FK68" s="423" t="str">
        <f t="shared" si="70"/>
        <v/>
      </c>
    </row>
    <row r="69" spans="2:167" ht="16">
      <c r="B69" s="140" t="s">
        <v>838</v>
      </c>
      <c r="C69" s="127" t="s">
        <v>839</v>
      </c>
      <c r="D69" s="128"/>
      <c r="E69" s="128"/>
      <c r="F69" s="128"/>
      <c r="G69" s="128"/>
      <c r="H69" s="128"/>
      <c r="I69" s="128"/>
      <c r="J69" s="128"/>
      <c r="K69" s="128"/>
      <c r="L69" s="128"/>
      <c r="M69" s="128"/>
      <c r="N69" s="128"/>
      <c r="O69" s="128"/>
      <c r="P69" s="128"/>
      <c r="Q69" s="128"/>
      <c r="R69" s="128"/>
      <c r="S69" s="128"/>
      <c r="T69" s="128"/>
      <c r="U69" s="128"/>
      <c r="V69" s="128"/>
      <c r="W69" s="128"/>
      <c r="X69" s="128"/>
      <c r="Y69" s="128"/>
      <c r="Z69" s="128">
        <v>0</v>
      </c>
      <c r="AA69" s="128">
        <v>0</v>
      </c>
      <c r="AB69" s="128">
        <v>0</v>
      </c>
      <c r="AC69" s="128">
        <v>0</v>
      </c>
      <c r="AD69" s="128">
        <v>83.551866078000003</v>
      </c>
      <c r="AE69" s="128">
        <v>95.099340666000003</v>
      </c>
      <c r="AF69" s="128">
        <v>105.276217668</v>
      </c>
      <c r="AG69" s="128">
        <v>112.464049268</v>
      </c>
      <c r="AH69" s="128">
        <v>120.38528249700001</v>
      </c>
      <c r="AI69" s="128">
        <v>137.72230797200001</v>
      </c>
      <c r="AJ69" s="128">
        <v>160.05310980600001</v>
      </c>
      <c r="AK69" s="128">
        <v>179.685175407</v>
      </c>
      <c r="AL69" s="128">
        <v>191.79930057199999</v>
      </c>
      <c r="AM69" s="128">
        <v>201.37619837</v>
      </c>
      <c r="AN69" s="128">
        <v>227.56608803200001</v>
      </c>
      <c r="AO69" s="128">
        <v>242.11597011800001</v>
      </c>
      <c r="AP69" s="173">
        <v>302.36514553299997</v>
      </c>
      <c r="AQ69" s="173">
        <v>303.03586443500001</v>
      </c>
      <c r="AR69" s="173">
        <v>310.31115544800002</v>
      </c>
      <c r="AS69" s="288">
        <v>313.77564533200001</v>
      </c>
      <c r="AT69" s="288">
        <v>316.757634908</v>
      </c>
      <c r="AU69" s="288">
        <v>330.666630725</v>
      </c>
      <c r="AV69" s="288">
        <v>352.28865956300001</v>
      </c>
      <c r="AW69" s="158">
        <v>374.563598474</v>
      </c>
      <c r="AX69" s="158">
        <v>384.74652964699999</v>
      </c>
      <c r="AY69" s="158">
        <v>397.36634425900002</v>
      </c>
      <c r="AZ69" s="158">
        <v>411.312890047</v>
      </c>
      <c r="BA69" s="158">
        <v>439.49325775699998</v>
      </c>
      <c r="BB69" s="41">
        <v>445.89865282599999</v>
      </c>
      <c r="BC69" s="41">
        <v>463.07799228800002</v>
      </c>
      <c r="BD69" s="158">
        <v>462.19163783300002</v>
      </c>
      <c r="BE69" s="158">
        <v>482.38917946399999</v>
      </c>
      <c r="BF69" s="288">
        <v>497.93664723699999</v>
      </c>
      <c r="BG69" s="289">
        <v>510.58886992200001</v>
      </c>
      <c r="BH69" s="289">
        <v>513.820952121</v>
      </c>
      <c r="BI69" s="289">
        <v>494.62157681000002</v>
      </c>
      <c r="BJ69" s="289">
        <v>513.820952121</v>
      </c>
      <c r="BK69" s="289">
        <v>477.080612132</v>
      </c>
      <c r="BL69" s="289">
        <v>470.22796578800001</v>
      </c>
      <c r="BM69" s="289">
        <v>448.32501330100001</v>
      </c>
      <c r="BN69" s="289">
        <v>428.91</v>
      </c>
      <c r="BO69" s="289">
        <v>411.63705487999999</v>
      </c>
      <c r="BP69" s="289">
        <v>397.94</v>
      </c>
      <c r="BQ69" s="289">
        <v>389.70780247200003</v>
      </c>
      <c r="BR69" s="289">
        <v>398.37695839899999</v>
      </c>
      <c r="BS69" s="289">
        <v>392.831179367</v>
      </c>
      <c r="BT69" s="289">
        <v>394.95829670900002</v>
      </c>
      <c r="BU69" s="289"/>
      <c r="BV69" s="142"/>
      <c r="BW69" s="142"/>
      <c r="BX69" s="142"/>
      <c r="BY69" s="142"/>
      <c r="BZ69" s="142"/>
      <c r="CA69" s="142"/>
      <c r="CB69" s="142"/>
      <c r="CC69" s="142"/>
      <c r="CD69" s="142"/>
      <c r="CE69" s="142"/>
      <c r="CF69" s="142"/>
      <c r="CG69" s="142"/>
      <c r="CH69" s="142"/>
      <c r="CI69" s="142"/>
      <c r="CJ69" s="142"/>
      <c r="CK69" s="142"/>
      <c r="CL69" s="142"/>
      <c r="CM69" s="142"/>
      <c r="CN69" s="142"/>
      <c r="CO69" s="142"/>
      <c r="CP69" s="142"/>
      <c r="CQ69" s="142"/>
      <c r="CR69" s="142"/>
      <c r="CS69" s="142"/>
      <c r="CT69" s="142"/>
      <c r="CU69" s="142"/>
      <c r="CV69" s="142"/>
      <c r="CW69" s="142"/>
      <c r="CX69" s="142"/>
      <c r="CY69" s="142"/>
      <c r="CZ69" s="142"/>
      <c r="DA69" s="142"/>
      <c r="DB69" s="142"/>
      <c r="DC69" s="142"/>
      <c r="DD69" s="142"/>
      <c r="DE69" s="142"/>
      <c r="DF69" s="142"/>
      <c r="DG69" s="142"/>
      <c r="DH69" s="142"/>
      <c r="DI69" s="142"/>
      <c r="DJ69" s="142"/>
      <c r="DK69" s="142"/>
      <c r="DL69" s="142"/>
      <c r="DM69" s="142"/>
      <c r="DN69" s="142"/>
      <c r="DO69" s="142"/>
      <c r="DP69" s="142"/>
      <c r="DQ69" s="142"/>
      <c r="DR69" s="142"/>
      <c r="DS69" s="133"/>
      <c r="DT69" s="174" t="str">
        <f t="shared" si="75"/>
        <v/>
      </c>
      <c r="DU69" s="174" t="str">
        <f t="shared" si="75"/>
        <v/>
      </c>
      <c r="DV69" s="174" t="str">
        <f t="shared" si="75"/>
        <v/>
      </c>
      <c r="DW69" s="174" t="str">
        <f t="shared" si="75"/>
        <v/>
      </c>
      <c r="DX69" s="174" t="str">
        <f t="shared" si="75"/>
        <v/>
      </c>
      <c r="DY69" s="174" t="str">
        <f t="shared" si="75"/>
        <v/>
      </c>
      <c r="DZ69" s="174" t="str">
        <f t="shared" si="75"/>
        <v/>
      </c>
      <c r="EA69" s="174" t="str">
        <f t="shared" si="75"/>
        <v/>
      </c>
      <c r="EB69" s="174" t="str">
        <f t="shared" si="75"/>
        <v/>
      </c>
      <c r="EC69" s="174" t="str">
        <f t="shared" si="75"/>
        <v/>
      </c>
      <c r="ED69" s="174" t="str">
        <f t="shared" si="75"/>
        <v/>
      </c>
      <c r="EE69" s="174" t="str">
        <f t="shared" si="75"/>
        <v/>
      </c>
      <c r="EF69" s="174" t="str">
        <f t="shared" si="75"/>
        <v/>
      </c>
      <c r="EG69" s="174" t="str">
        <f t="shared" si="75"/>
        <v/>
      </c>
      <c r="EH69" s="174" t="str">
        <f t="shared" si="75"/>
        <v/>
      </c>
      <c r="EI69" s="174" t="str">
        <f t="shared" si="75"/>
        <v/>
      </c>
      <c r="EJ69" s="174" t="str">
        <f t="shared" si="77"/>
        <v/>
      </c>
      <c r="EK69" s="174" t="str">
        <f t="shared" si="77"/>
        <v/>
      </c>
      <c r="EL69" s="174" t="str">
        <f t="shared" si="77"/>
        <v/>
      </c>
      <c r="EM69" s="174" t="str">
        <f t="shared" si="77"/>
        <v/>
      </c>
      <c r="EN69" s="174" t="str">
        <f t="shared" si="77"/>
        <v/>
      </c>
      <c r="EO69" s="174" t="str">
        <f t="shared" si="77"/>
        <v/>
      </c>
      <c r="EP69" s="174" t="str">
        <f t="shared" si="77"/>
        <v/>
      </c>
      <c r="EQ69" s="174" t="str">
        <f t="shared" si="77"/>
        <v/>
      </c>
      <c r="ER69" s="174">
        <f t="shared" si="77"/>
        <v>0.44084492840188738</v>
      </c>
      <c r="ES69" s="174">
        <f t="shared" si="77"/>
        <v>0.44819414106872579</v>
      </c>
      <c r="ET69" s="174">
        <f t="shared" si="77"/>
        <v>0.52031592083546241</v>
      </c>
      <c r="EU69" s="174">
        <f t="shared" si="77"/>
        <v>0.59771212735558854</v>
      </c>
      <c r="EV69" s="174">
        <f t="shared" si="77"/>
        <v>0.59321219831651439</v>
      </c>
      <c r="EW69" s="174">
        <f t="shared" si="77"/>
        <v>0.46219012253948955</v>
      </c>
      <c r="EX69" s="174">
        <f t="shared" si="76"/>
        <v>0.42181609784297436</v>
      </c>
      <c r="EY69" s="174">
        <f t="shared" si="76"/>
        <v>0.34744543933348826</v>
      </c>
      <c r="EZ69" s="174">
        <f t="shared" si="73"/>
        <v>0.5764663616147776</v>
      </c>
      <c r="FA69" s="174">
        <f t="shared" si="73"/>
        <v>0.50482463611819162</v>
      </c>
      <c r="FB69" s="174">
        <f t="shared" si="73"/>
        <v>0.3636089547945498</v>
      </c>
      <c r="FC69" s="174">
        <f t="shared" si="73"/>
        <v>0.29597252580684885</v>
      </c>
      <c r="FD69" s="174">
        <f t="shared" si="73"/>
        <v>4.7599697212552083E-2</v>
      </c>
      <c r="FE69" s="174">
        <f t="shared" si="73"/>
        <v>9.1179855366349427E-2</v>
      </c>
      <c r="FF69" s="174">
        <f t="shared" si="73"/>
        <v>0.13527552386699271</v>
      </c>
      <c r="FG69" s="174">
        <f t="shared" si="74"/>
        <v>0.19373062902215188</v>
      </c>
      <c r="FH69" s="174">
        <f t="shared" si="68"/>
        <v>0.21464011359583135</v>
      </c>
      <c r="FI69" s="174">
        <f t="shared" si="69"/>
        <v>0.20171286527388088</v>
      </c>
      <c r="FJ69" s="174">
        <f t="shared" si="70"/>
        <v>0.16754507669141883</v>
      </c>
      <c r="FK69" s="174">
        <f t="shared" si="70"/>
        <v>0.17334748904465958</v>
      </c>
    </row>
    <row r="70" spans="2:167" ht="16">
      <c r="B70" s="140" t="s">
        <v>840</v>
      </c>
      <c r="C70" s="127" t="s">
        <v>841</v>
      </c>
      <c r="D70" s="128"/>
      <c r="E70" s="128"/>
      <c r="F70" s="128"/>
      <c r="G70" s="128"/>
      <c r="H70" s="128"/>
      <c r="I70" s="128"/>
      <c r="J70" s="128"/>
      <c r="K70" s="128"/>
      <c r="L70" s="128"/>
      <c r="M70" s="128"/>
      <c r="N70" s="128"/>
      <c r="O70" s="128"/>
      <c r="P70" s="128"/>
      <c r="Q70" s="128"/>
      <c r="R70" s="128"/>
      <c r="S70" s="128"/>
      <c r="T70" s="128"/>
      <c r="U70" s="128"/>
      <c r="V70" s="128"/>
      <c r="W70" s="128"/>
      <c r="X70" s="128"/>
      <c r="Y70" s="128"/>
      <c r="Z70" s="128">
        <v>0</v>
      </c>
      <c r="AA70" s="128">
        <v>0</v>
      </c>
      <c r="AB70" s="128">
        <v>0</v>
      </c>
      <c r="AC70" s="128">
        <v>0</v>
      </c>
      <c r="AD70" s="128">
        <v>0</v>
      </c>
      <c r="AE70" s="128">
        <v>0</v>
      </c>
      <c r="AF70" s="128">
        <v>0</v>
      </c>
      <c r="AG70" s="128">
        <v>0</v>
      </c>
      <c r="AH70" s="128">
        <v>0</v>
      </c>
      <c r="AI70" s="128">
        <v>0</v>
      </c>
      <c r="AJ70" s="128">
        <v>0</v>
      </c>
      <c r="AK70" s="128">
        <v>0</v>
      </c>
      <c r="AL70" s="128">
        <v>0</v>
      </c>
      <c r="AM70" s="128">
        <v>0</v>
      </c>
      <c r="AN70" s="128">
        <v>0</v>
      </c>
      <c r="AO70" s="128">
        <v>0</v>
      </c>
      <c r="AP70" s="173">
        <v>0</v>
      </c>
      <c r="AQ70" s="173">
        <v>0</v>
      </c>
      <c r="AR70" s="173">
        <v>0</v>
      </c>
      <c r="AS70" s="288">
        <v>0</v>
      </c>
      <c r="AT70" s="288">
        <v>0</v>
      </c>
      <c r="AU70" s="288">
        <v>0</v>
      </c>
      <c r="AV70" s="288">
        <v>0</v>
      </c>
      <c r="AW70" s="158">
        <v>0</v>
      </c>
      <c r="AX70" s="158">
        <v>0</v>
      </c>
      <c r="AY70" s="158">
        <v>0</v>
      </c>
      <c r="AZ70" s="158">
        <v>0</v>
      </c>
      <c r="BA70" s="158">
        <v>0</v>
      </c>
      <c r="BB70" s="41">
        <v>0</v>
      </c>
      <c r="BC70" s="41">
        <v>0</v>
      </c>
      <c r="BD70" s="158">
        <v>0</v>
      </c>
      <c r="BE70" s="158">
        <v>0</v>
      </c>
      <c r="BF70" s="288">
        <v>0</v>
      </c>
      <c r="BG70" s="289">
        <v>0</v>
      </c>
      <c r="BH70" s="289">
        <v>0</v>
      </c>
      <c r="BI70" s="289">
        <v>0</v>
      </c>
      <c r="BJ70" s="289">
        <v>0</v>
      </c>
      <c r="BK70" s="289">
        <v>0</v>
      </c>
      <c r="BL70" s="289">
        <v>0</v>
      </c>
      <c r="BM70" s="289">
        <v>0</v>
      </c>
      <c r="BN70" s="289">
        <v>0</v>
      </c>
      <c r="BO70" s="289">
        <v>0</v>
      </c>
      <c r="BP70" s="289">
        <v>0</v>
      </c>
      <c r="BQ70" s="289">
        <v>0</v>
      </c>
      <c r="BR70" s="289">
        <v>0</v>
      </c>
      <c r="BS70" s="289">
        <v>0</v>
      </c>
      <c r="BT70" s="289">
        <v>0</v>
      </c>
      <c r="BU70" s="289"/>
      <c r="BV70" s="142"/>
      <c r="BW70" s="142"/>
      <c r="BX70" s="142"/>
      <c r="BY70" s="142"/>
      <c r="BZ70" s="142"/>
      <c r="CA70" s="142"/>
      <c r="CB70" s="142"/>
      <c r="CC70" s="142"/>
      <c r="CD70" s="142"/>
      <c r="CE70" s="142"/>
      <c r="CF70" s="142"/>
      <c r="CG70" s="142"/>
      <c r="CH70" s="142"/>
      <c r="CI70" s="142"/>
      <c r="CJ70" s="142"/>
      <c r="CK70" s="142"/>
      <c r="CL70" s="142"/>
      <c r="CM70" s="142"/>
      <c r="CN70" s="142"/>
      <c r="CO70" s="142"/>
      <c r="CP70" s="142"/>
      <c r="CQ70" s="142"/>
      <c r="CR70" s="142"/>
      <c r="CS70" s="142"/>
      <c r="CT70" s="142"/>
      <c r="CU70" s="142"/>
      <c r="CV70" s="142"/>
      <c r="CW70" s="142"/>
      <c r="CX70" s="142"/>
      <c r="CY70" s="142"/>
      <c r="CZ70" s="142"/>
      <c r="DA70" s="142"/>
      <c r="DB70" s="142"/>
      <c r="DC70" s="142"/>
      <c r="DD70" s="142"/>
      <c r="DE70" s="142"/>
      <c r="DF70" s="142"/>
      <c r="DG70" s="142"/>
      <c r="DH70" s="142"/>
      <c r="DI70" s="142"/>
      <c r="DJ70" s="142"/>
      <c r="DK70" s="142"/>
      <c r="DL70" s="142"/>
      <c r="DM70" s="142"/>
      <c r="DN70" s="142"/>
      <c r="DO70" s="142"/>
      <c r="DP70" s="142"/>
      <c r="DQ70" s="142"/>
      <c r="DR70" s="142"/>
      <c r="DS70" s="133"/>
      <c r="DT70" s="174" t="str">
        <f t="shared" si="75"/>
        <v/>
      </c>
      <c r="DU70" s="174" t="str">
        <f t="shared" si="75"/>
        <v/>
      </c>
      <c r="DV70" s="174" t="str">
        <f t="shared" si="75"/>
        <v/>
      </c>
      <c r="DW70" s="174" t="str">
        <f t="shared" si="75"/>
        <v/>
      </c>
      <c r="DX70" s="174" t="str">
        <f t="shared" si="75"/>
        <v/>
      </c>
      <c r="DY70" s="174" t="str">
        <f t="shared" si="75"/>
        <v/>
      </c>
      <c r="DZ70" s="174" t="str">
        <f t="shared" si="75"/>
        <v/>
      </c>
      <c r="EA70" s="174" t="str">
        <f t="shared" si="75"/>
        <v/>
      </c>
      <c r="EB70" s="174" t="str">
        <f t="shared" si="75"/>
        <v/>
      </c>
      <c r="EC70" s="174" t="str">
        <f t="shared" si="75"/>
        <v/>
      </c>
      <c r="ED70" s="174" t="str">
        <f t="shared" si="75"/>
        <v/>
      </c>
      <c r="EE70" s="174" t="str">
        <f t="shared" si="75"/>
        <v/>
      </c>
      <c r="EF70" s="174" t="str">
        <f t="shared" si="75"/>
        <v/>
      </c>
      <c r="EG70" s="174" t="str">
        <f t="shared" si="75"/>
        <v/>
      </c>
      <c r="EH70" s="174" t="str">
        <f t="shared" si="75"/>
        <v/>
      </c>
      <c r="EI70" s="174" t="str">
        <f t="shared" si="75"/>
        <v/>
      </c>
      <c r="EJ70" s="174" t="str">
        <f t="shared" si="77"/>
        <v/>
      </c>
      <c r="EK70" s="174" t="str">
        <f t="shared" si="77"/>
        <v/>
      </c>
      <c r="EL70" s="174" t="str">
        <f t="shared" si="77"/>
        <v/>
      </c>
      <c r="EM70" s="174" t="str">
        <f t="shared" si="77"/>
        <v/>
      </c>
      <c r="EN70" s="174" t="str">
        <f t="shared" si="77"/>
        <v/>
      </c>
      <c r="EO70" s="174" t="str">
        <f t="shared" si="77"/>
        <v/>
      </c>
      <c r="EP70" s="174" t="str">
        <f t="shared" si="77"/>
        <v/>
      </c>
      <c r="EQ70" s="174" t="str">
        <f t="shared" si="77"/>
        <v/>
      </c>
      <c r="ER70" s="174" t="str">
        <f t="shared" si="77"/>
        <v/>
      </c>
      <c r="ES70" s="174" t="str">
        <f t="shared" si="77"/>
        <v/>
      </c>
      <c r="ET70" s="174" t="str">
        <f t="shared" si="77"/>
        <v/>
      </c>
      <c r="EU70" s="174" t="str">
        <f t="shared" si="77"/>
        <v/>
      </c>
      <c r="EV70" s="174" t="str">
        <f t="shared" si="77"/>
        <v/>
      </c>
      <c r="EW70" s="174" t="str">
        <f t="shared" si="77"/>
        <v/>
      </c>
      <c r="EX70" s="174" t="str">
        <f t="shared" si="76"/>
        <v/>
      </c>
      <c r="EY70" s="174" t="str">
        <f t="shared" si="76"/>
        <v/>
      </c>
      <c r="EZ70" s="174" t="str">
        <f t="shared" si="73"/>
        <v/>
      </c>
      <c r="FA70" s="174" t="str">
        <f t="shared" si="73"/>
        <v/>
      </c>
      <c r="FB70" s="174" t="str">
        <f t="shared" si="73"/>
        <v/>
      </c>
      <c r="FC70" s="174" t="str">
        <f t="shared" si="73"/>
        <v/>
      </c>
      <c r="FD70" s="174" t="str">
        <f t="shared" si="73"/>
        <v/>
      </c>
      <c r="FE70" s="174" t="str">
        <f t="shared" si="73"/>
        <v/>
      </c>
      <c r="FF70" s="174" t="str">
        <f t="shared" si="73"/>
        <v/>
      </c>
      <c r="FG70" s="174" t="str">
        <f t="shared" si="74"/>
        <v/>
      </c>
      <c r="FH70" s="174" t="str">
        <f t="shared" si="68"/>
        <v/>
      </c>
      <c r="FI70" s="174" t="str">
        <f t="shared" si="69"/>
        <v/>
      </c>
      <c r="FJ70" s="174" t="str">
        <f t="shared" si="70"/>
        <v/>
      </c>
      <c r="FK70" s="174" t="str">
        <f t="shared" si="70"/>
        <v/>
      </c>
    </row>
    <row r="71" spans="2:167" ht="16">
      <c r="B71" s="140" t="s">
        <v>842</v>
      </c>
      <c r="C71" s="127" t="s">
        <v>843</v>
      </c>
      <c r="D71" s="128"/>
      <c r="E71" s="128"/>
      <c r="F71" s="128"/>
      <c r="G71" s="128"/>
      <c r="H71" s="128"/>
      <c r="I71" s="128"/>
      <c r="J71" s="128"/>
      <c r="K71" s="128"/>
      <c r="L71" s="128"/>
      <c r="M71" s="128"/>
      <c r="N71" s="128"/>
      <c r="O71" s="128"/>
      <c r="P71" s="128"/>
      <c r="Q71" s="128"/>
      <c r="R71" s="128"/>
      <c r="S71" s="128"/>
      <c r="T71" s="128"/>
      <c r="U71" s="128"/>
      <c r="V71" s="128"/>
      <c r="W71" s="128"/>
      <c r="X71" s="128"/>
      <c r="Y71" s="128"/>
      <c r="Z71" s="128">
        <v>265.03301007200002</v>
      </c>
      <c r="AA71" s="128">
        <v>284.63973683</v>
      </c>
      <c r="AB71" s="128">
        <v>316.23647068700001</v>
      </c>
      <c r="AC71" s="128">
        <v>434.41926159799999</v>
      </c>
      <c r="AD71" s="128">
        <v>504.89591901900002</v>
      </c>
      <c r="AE71" s="128">
        <v>587.755418362</v>
      </c>
      <c r="AF71" s="128">
        <v>671.69217113800005</v>
      </c>
      <c r="AG71" s="128">
        <v>849.14698968599998</v>
      </c>
      <c r="AH71" s="128">
        <v>912.22591256299995</v>
      </c>
      <c r="AI71" s="128">
        <v>1094.471225564</v>
      </c>
      <c r="AJ71" s="128">
        <v>1557.770390122</v>
      </c>
      <c r="AK71" s="128">
        <v>2096.122649031</v>
      </c>
      <c r="AL71" s="128">
        <v>2302.5710682600002</v>
      </c>
      <c r="AM71" s="128">
        <v>2597.5673749699999</v>
      </c>
      <c r="AN71" s="128">
        <v>3003.1366361750001</v>
      </c>
      <c r="AO71" s="128">
        <v>3463.6579949349998</v>
      </c>
      <c r="AP71" s="173">
        <v>3500.3117174210001</v>
      </c>
      <c r="AQ71" s="173">
        <v>3418.1273683710001</v>
      </c>
      <c r="AR71" s="173">
        <v>3330.8575633300002</v>
      </c>
      <c r="AS71" s="288">
        <v>3333.1476596020002</v>
      </c>
      <c r="AT71" s="288">
        <v>3633.0496940570001</v>
      </c>
      <c r="AU71" s="288">
        <v>3930.0329229429999</v>
      </c>
      <c r="AV71" s="288">
        <v>4478.0442834730002</v>
      </c>
      <c r="AW71" s="158">
        <v>5403.7769889210003</v>
      </c>
      <c r="AX71" s="158">
        <v>5538.1354736639996</v>
      </c>
      <c r="AY71" s="158">
        <v>6175.4190825719998</v>
      </c>
      <c r="AZ71" s="158">
        <v>6502.873343796</v>
      </c>
      <c r="BA71" s="158">
        <v>7294.9616661359996</v>
      </c>
      <c r="BB71" s="41">
        <v>7744.5702589809998</v>
      </c>
      <c r="BC71" s="41">
        <v>8243.7669314750001</v>
      </c>
      <c r="BD71" s="158">
        <v>8630.4996119589996</v>
      </c>
      <c r="BE71" s="158">
        <v>9634.1756619150001</v>
      </c>
      <c r="BF71" s="288">
        <v>9577.4555986190007</v>
      </c>
      <c r="BG71" s="289">
        <v>9537.399927556</v>
      </c>
      <c r="BH71" s="289">
        <v>9429.5189701010004</v>
      </c>
      <c r="BI71" s="289">
        <v>9727.5029114400004</v>
      </c>
      <c r="BJ71" s="289">
        <v>9429.5189701010004</v>
      </c>
      <c r="BK71" s="289">
        <v>8443.3890589099992</v>
      </c>
      <c r="BL71" s="289">
        <v>7370.7601594429998</v>
      </c>
      <c r="BM71" s="289">
        <v>6500.1356089139999</v>
      </c>
      <c r="BN71" s="289">
        <v>5800.3</v>
      </c>
      <c r="BO71" s="289">
        <v>4963.4376166430002</v>
      </c>
      <c r="BP71" s="289">
        <v>4172.05</v>
      </c>
      <c r="BQ71" s="289">
        <v>3586.6286640449998</v>
      </c>
      <c r="BR71" s="289">
        <v>3233.9016266429999</v>
      </c>
      <c r="BS71" s="289">
        <v>2977.7957553050001</v>
      </c>
      <c r="BT71" s="289">
        <v>2606.7573994590002</v>
      </c>
      <c r="BU71" s="289"/>
      <c r="BV71" s="142"/>
      <c r="BW71" s="142"/>
      <c r="BX71" s="142"/>
      <c r="BY71" s="142"/>
      <c r="BZ71" s="142"/>
      <c r="CA71" s="142"/>
      <c r="CB71" s="142"/>
      <c r="CC71" s="142"/>
      <c r="CD71" s="142"/>
      <c r="CE71" s="142"/>
      <c r="CF71" s="142"/>
      <c r="CG71" s="142"/>
      <c r="CH71" s="142"/>
      <c r="CI71" s="142"/>
      <c r="CJ71" s="142"/>
      <c r="CK71" s="142"/>
      <c r="CL71" s="142"/>
      <c r="CM71" s="142"/>
      <c r="CN71" s="142"/>
      <c r="CO71" s="142"/>
      <c r="CP71" s="142"/>
      <c r="CQ71" s="142"/>
      <c r="CR71" s="142"/>
      <c r="CS71" s="142"/>
      <c r="CT71" s="142"/>
      <c r="CU71" s="142"/>
      <c r="CV71" s="142"/>
      <c r="CW71" s="142"/>
      <c r="CX71" s="142"/>
      <c r="CY71" s="142"/>
      <c r="CZ71" s="142"/>
      <c r="DA71" s="142"/>
      <c r="DB71" s="142"/>
      <c r="DC71" s="142"/>
      <c r="DD71" s="142"/>
      <c r="DE71" s="142"/>
      <c r="DF71" s="142"/>
      <c r="DG71" s="142"/>
      <c r="DH71" s="142"/>
      <c r="DI71" s="142"/>
      <c r="DJ71" s="142"/>
      <c r="DK71" s="142"/>
      <c r="DL71" s="142"/>
      <c r="DM71" s="142"/>
      <c r="DN71" s="142"/>
      <c r="DO71" s="142"/>
      <c r="DP71" s="142"/>
      <c r="DQ71" s="142"/>
      <c r="DR71" s="142"/>
      <c r="DS71" s="133"/>
      <c r="DT71" s="174" t="str">
        <f t="shared" si="75"/>
        <v/>
      </c>
      <c r="DU71" s="174" t="str">
        <f t="shared" si="75"/>
        <v/>
      </c>
      <c r="DV71" s="174" t="str">
        <f t="shared" si="75"/>
        <v/>
      </c>
      <c r="DW71" s="174" t="str">
        <f t="shared" si="75"/>
        <v/>
      </c>
      <c r="DX71" s="174" t="str">
        <f t="shared" si="75"/>
        <v/>
      </c>
      <c r="DY71" s="174" t="str">
        <f t="shared" si="75"/>
        <v/>
      </c>
      <c r="DZ71" s="174" t="str">
        <f t="shared" si="75"/>
        <v/>
      </c>
      <c r="EA71" s="174" t="str">
        <f t="shared" si="75"/>
        <v/>
      </c>
      <c r="EB71" s="174" t="str">
        <f t="shared" si="75"/>
        <v/>
      </c>
      <c r="EC71" s="174" t="str">
        <f t="shared" si="75"/>
        <v/>
      </c>
      <c r="ED71" s="174" t="str">
        <f t="shared" si="75"/>
        <v/>
      </c>
      <c r="EE71" s="174" t="str">
        <f t="shared" si="75"/>
        <v/>
      </c>
      <c r="EF71" s="174" t="str">
        <f t="shared" si="75"/>
        <v/>
      </c>
      <c r="EG71" s="174" t="str">
        <f t="shared" si="75"/>
        <v/>
      </c>
      <c r="EH71" s="174" t="str">
        <f t="shared" si="75"/>
        <v/>
      </c>
      <c r="EI71" s="174" t="str">
        <f t="shared" si="75"/>
        <v/>
      </c>
      <c r="EJ71" s="174" t="str">
        <f t="shared" si="77"/>
        <v/>
      </c>
      <c r="EK71" s="174" t="str">
        <f t="shared" si="77"/>
        <v/>
      </c>
      <c r="EL71" s="174" t="str">
        <f t="shared" si="77"/>
        <v/>
      </c>
      <c r="EM71" s="174" t="str">
        <f t="shared" si="77"/>
        <v/>
      </c>
      <c r="EN71" s="174">
        <f t="shared" si="77"/>
        <v>0.90503031634375586</v>
      </c>
      <c r="EO71" s="174">
        <f t="shared" si="77"/>
        <v>1.0649099275728839</v>
      </c>
      <c r="EP71" s="174">
        <f t="shared" si="77"/>
        <v>1.1240186803210874</v>
      </c>
      <c r="EQ71" s="174">
        <f t="shared" si="77"/>
        <v>0.95467159205242136</v>
      </c>
      <c r="ER71" s="174">
        <f t="shared" si="77"/>
        <v>0.80676032069229597</v>
      </c>
      <c r="ES71" s="174">
        <f t="shared" si="77"/>
        <v>0.86212018021739856</v>
      </c>
      <c r="ET71" s="174">
        <f t="shared" si="77"/>
        <v>1.3191730632840053</v>
      </c>
      <c r="EU71" s="174">
        <f t="shared" si="77"/>
        <v>1.4685038921307489</v>
      </c>
      <c r="EV71" s="174">
        <f t="shared" si="77"/>
        <v>1.5241237247807082</v>
      </c>
      <c r="EW71" s="174">
        <f t="shared" si="77"/>
        <v>1.373353738588631</v>
      </c>
      <c r="EX71" s="174">
        <f t="shared" si="76"/>
        <v>0.92784293193543332</v>
      </c>
      <c r="EY71" s="174">
        <f t="shared" si="76"/>
        <v>0.65241189323353144</v>
      </c>
      <c r="EZ71" s="174">
        <f t="shared" si="73"/>
        <v>0.52017532299930491</v>
      </c>
      <c r="FA71" s="174">
        <f t="shared" si="73"/>
        <v>0.31589555724631668</v>
      </c>
      <c r="FB71" s="174">
        <f t="shared" si="73"/>
        <v>0.10912621264292777</v>
      </c>
      <c r="FC71" s="174">
        <f t="shared" si="73"/>
        <v>-3.767991398800008E-2</v>
      </c>
      <c r="FD71" s="174">
        <f t="shared" si="73"/>
        <v>3.7921758789471571E-2</v>
      </c>
      <c r="FE71" s="174">
        <f t="shared" si="73"/>
        <v>0.14976198935967733</v>
      </c>
      <c r="FF71" s="174">
        <f t="shared" si="73"/>
        <v>0.34441182137974957</v>
      </c>
      <c r="FG71" s="174">
        <f t="shared" si="74"/>
        <v>0.62122340225582651</v>
      </c>
      <c r="FH71" s="174">
        <f t="shared" si="68"/>
        <v>0.52437647156970324</v>
      </c>
      <c r="FI71" s="174">
        <f t="shared" si="69"/>
        <v>0.57134029247458451</v>
      </c>
      <c r="FJ71" s="174">
        <f t="shared" si="70"/>
        <v>0.45216816363249968</v>
      </c>
      <c r="FK71" s="174">
        <f t="shared" si="70"/>
        <v>0.3499745975994879</v>
      </c>
    </row>
    <row r="72" spans="2:167" ht="16">
      <c r="B72" s="140" t="s">
        <v>844</v>
      </c>
      <c r="C72" s="127" t="s">
        <v>845</v>
      </c>
      <c r="D72" s="128"/>
      <c r="E72" s="128"/>
      <c r="F72" s="128"/>
      <c r="G72" s="128"/>
      <c r="H72" s="128"/>
      <c r="I72" s="128"/>
      <c r="J72" s="128"/>
      <c r="K72" s="128"/>
      <c r="L72" s="128"/>
      <c r="M72" s="128"/>
      <c r="N72" s="128"/>
      <c r="O72" s="128"/>
      <c r="P72" s="128"/>
      <c r="Q72" s="128"/>
      <c r="R72" s="128"/>
      <c r="S72" s="128"/>
      <c r="T72" s="128"/>
      <c r="U72" s="128"/>
      <c r="V72" s="128"/>
      <c r="W72" s="128"/>
      <c r="X72" s="128"/>
      <c r="Y72" s="128"/>
      <c r="Z72" s="128">
        <v>249.90289871100001</v>
      </c>
      <c r="AA72" s="128">
        <v>272.06843301599997</v>
      </c>
      <c r="AB72" s="128">
        <v>274.04587991300002</v>
      </c>
      <c r="AC72" s="128">
        <v>388.33122408700001</v>
      </c>
      <c r="AD72" s="128">
        <v>472.82107993699998</v>
      </c>
      <c r="AE72" s="128">
        <v>565.19152870100004</v>
      </c>
      <c r="AF72" s="128">
        <v>649.34261494999998</v>
      </c>
      <c r="AG72" s="128">
        <v>826.92540604299995</v>
      </c>
      <c r="AH72" s="128">
        <v>890.13230146499995</v>
      </c>
      <c r="AI72" s="128">
        <v>1072.505587011</v>
      </c>
      <c r="AJ72" s="128">
        <v>1531.0279499139999</v>
      </c>
      <c r="AK72" s="128">
        <v>2069.5081813679999</v>
      </c>
      <c r="AL72" s="128">
        <v>2276.0845731059999</v>
      </c>
      <c r="AM72" s="128">
        <v>2571.208852325</v>
      </c>
      <c r="AN72" s="128">
        <v>2976.8990931409999</v>
      </c>
      <c r="AO72" s="128">
        <v>3435.8483332989999</v>
      </c>
      <c r="AP72" s="173">
        <v>3469.2954415630002</v>
      </c>
      <c r="AQ72" s="173">
        <v>3386.769615191</v>
      </c>
      <c r="AR72" s="173">
        <v>3300.1536890699999</v>
      </c>
      <c r="AS72" s="288">
        <v>3304.9235294700002</v>
      </c>
      <c r="AT72" s="288">
        <v>3604.9736261140001</v>
      </c>
      <c r="AU72" s="288">
        <v>3901.1122604880002</v>
      </c>
      <c r="AV72" s="288">
        <v>4449.3350442720002</v>
      </c>
      <c r="AW72" s="158">
        <v>5375.2791729740002</v>
      </c>
      <c r="AX72" s="158">
        <v>5508.9146033910001</v>
      </c>
      <c r="AY72" s="158">
        <v>6146.7243763140004</v>
      </c>
      <c r="AZ72" s="158">
        <v>6474.7048015529999</v>
      </c>
      <c r="BA72" s="158">
        <v>7267.3192879079998</v>
      </c>
      <c r="BB72" s="41">
        <v>7716.4946067640003</v>
      </c>
      <c r="BC72" s="41">
        <v>8216.2174432730008</v>
      </c>
      <c r="BD72" s="158">
        <v>8603.4244469080004</v>
      </c>
      <c r="BE72" s="158">
        <v>9566.9549332200004</v>
      </c>
      <c r="BF72" s="288">
        <v>9498.9318118339997</v>
      </c>
      <c r="BG72" s="289">
        <v>9460.3264345000007</v>
      </c>
      <c r="BH72" s="289">
        <v>9353.8957707749996</v>
      </c>
      <c r="BI72" s="289">
        <v>9653.3300059760004</v>
      </c>
      <c r="BJ72" s="289">
        <v>9353.8957707749996</v>
      </c>
      <c r="BK72" s="289">
        <v>8371.8924882770007</v>
      </c>
      <c r="BL72" s="289">
        <v>7300.6017562260004</v>
      </c>
      <c r="BM72" s="289">
        <v>6431.3153731129996</v>
      </c>
      <c r="BN72" s="289">
        <v>5732.81</v>
      </c>
      <c r="BO72" s="289">
        <v>4897.293715672</v>
      </c>
      <c r="BP72" s="289">
        <v>4107.25</v>
      </c>
      <c r="BQ72" s="289">
        <v>3523.1610979060001</v>
      </c>
      <c r="BR72" s="289">
        <v>3171.7722279200002</v>
      </c>
      <c r="BS72" s="289">
        <v>2917.004523997</v>
      </c>
      <c r="BT72" s="289">
        <v>2547.3043355670002</v>
      </c>
      <c r="BU72" s="289"/>
      <c r="BV72" s="142"/>
      <c r="BW72" s="142"/>
      <c r="BX72" s="142"/>
      <c r="BY72" s="142"/>
      <c r="BZ72" s="142"/>
      <c r="CA72" s="142"/>
      <c r="CB72" s="142"/>
      <c r="CC72" s="142"/>
      <c r="CD72" s="142"/>
      <c r="CE72" s="142"/>
      <c r="CF72" s="142"/>
      <c r="CG72" s="142"/>
      <c r="CH72" s="142"/>
      <c r="CI72" s="142"/>
      <c r="CJ72" s="142"/>
      <c r="CK72" s="142"/>
      <c r="CL72" s="142"/>
      <c r="CM72" s="142"/>
      <c r="CN72" s="142"/>
      <c r="CO72" s="142"/>
      <c r="CP72" s="142"/>
      <c r="CQ72" s="142"/>
      <c r="CR72" s="142"/>
      <c r="CS72" s="142"/>
      <c r="CT72" s="142"/>
      <c r="CU72" s="142"/>
      <c r="CV72" s="142"/>
      <c r="CW72" s="142"/>
      <c r="CX72" s="142"/>
      <c r="CY72" s="142"/>
      <c r="CZ72" s="142"/>
      <c r="DA72" s="142"/>
      <c r="DB72" s="142"/>
      <c r="DC72" s="142"/>
      <c r="DD72" s="142"/>
      <c r="DE72" s="142"/>
      <c r="DF72" s="142"/>
      <c r="DG72" s="142"/>
      <c r="DH72" s="142"/>
      <c r="DI72" s="142"/>
      <c r="DJ72" s="142"/>
      <c r="DK72" s="142"/>
      <c r="DL72" s="142"/>
      <c r="DM72" s="142"/>
      <c r="DN72" s="142"/>
      <c r="DO72" s="142"/>
      <c r="DP72" s="142"/>
      <c r="DQ72" s="142"/>
      <c r="DR72" s="142"/>
      <c r="DS72" s="133"/>
      <c r="DT72" s="174" t="str">
        <f t="shared" si="75"/>
        <v/>
      </c>
      <c r="DU72" s="174" t="str">
        <f t="shared" si="75"/>
        <v/>
      </c>
      <c r="DV72" s="174" t="str">
        <f t="shared" si="75"/>
        <v/>
      </c>
      <c r="DW72" s="174" t="str">
        <f t="shared" si="75"/>
        <v/>
      </c>
      <c r="DX72" s="174" t="str">
        <f t="shared" si="75"/>
        <v/>
      </c>
      <c r="DY72" s="174" t="str">
        <f t="shared" si="75"/>
        <v/>
      </c>
      <c r="DZ72" s="174" t="str">
        <f t="shared" si="75"/>
        <v/>
      </c>
      <c r="EA72" s="174" t="str">
        <f t="shared" si="75"/>
        <v/>
      </c>
      <c r="EB72" s="174" t="str">
        <f t="shared" si="75"/>
        <v/>
      </c>
      <c r="EC72" s="174" t="str">
        <f t="shared" si="75"/>
        <v/>
      </c>
      <c r="ED72" s="174" t="str">
        <f t="shared" si="75"/>
        <v/>
      </c>
      <c r="EE72" s="174" t="str">
        <f t="shared" si="75"/>
        <v/>
      </c>
      <c r="EF72" s="174" t="str">
        <f t="shared" si="75"/>
        <v/>
      </c>
      <c r="EG72" s="174" t="str">
        <f t="shared" si="75"/>
        <v/>
      </c>
      <c r="EH72" s="174" t="str">
        <f t="shared" si="75"/>
        <v/>
      </c>
      <c r="EI72" s="174" t="str">
        <f t="shared" si="75"/>
        <v/>
      </c>
      <c r="EJ72" s="174" t="str">
        <f t="shared" si="77"/>
        <v/>
      </c>
      <c r="EK72" s="174" t="str">
        <f t="shared" si="77"/>
        <v/>
      </c>
      <c r="EL72" s="174" t="str">
        <f t="shared" si="77"/>
        <v/>
      </c>
      <c r="EM72" s="174" t="str">
        <f t="shared" si="77"/>
        <v/>
      </c>
      <c r="EN72" s="174">
        <f t="shared" si="77"/>
        <v>0.89201918975655237</v>
      </c>
      <c r="EO72" s="174">
        <f t="shared" si="77"/>
        <v>1.0773873780048637</v>
      </c>
      <c r="EP72" s="174">
        <f t="shared" si="77"/>
        <v>1.3694668029898627</v>
      </c>
      <c r="EQ72" s="174">
        <f t="shared" si="77"/>
        <v>1.1294332125550102</v>
      </c>
      <c r="ER72" s="174">
        <f t="shared" si="77"/>
        <v>0.88259859645767857</v>
      </c>
      <c r="ES72" s="174">
        <f t="shared" si="77"/>
        <v>0.89759671288063725</v>
      </c>
      <c r="ET72" s="174">
        <f t="shared" si="77"/>
        <v>1.3578122160238792</v>
      </c>
      <c r="EU72" s="174">
        <f t="shared" si="77"/>
        <v>1.5026540075373931</v>
      </c>
      <c r="EV72" s="174">
        <f t="shared" si="77"/>
        <v>1.5570182874612777</v>
      </c>
      <c r="EW72" s="174">
        <f t="shared" si="77"/>
        <v>1.3973850425253111</v>
      </c>
      <c r="EX72" s="174">
        <f t="shared" si="76"/>
        <v>0.94437932586940465</v>
      </c>
      <c r="EY72" s="174">
        <f t="shared" si="76"/>
        <v>0.66022457134129953</v>
      </c>
      <c r="EZ72" s="174">
        <f t="shared" si="73"/>
        <v>0.52423837082148306</v>
      </c>
      <c r="FA72" s="174">
        <f t="shared" si="73"/>
        <v>0.31718962157762265</v>
      </c>
      <c r="FB72" s="174">
        <f t="shared" si="73"/>
        <v>0.10858769001401591</v>
      </c>
      <c r="FC72" s="174">
        <f t="shared" si="73"/>
        <v>-3.8105524787029665E-2</v>
      </c>
      <c r="FD72" s="174">
        <f t="shared" si="73"/>
        <v>3.9108282023359031E-2</v>
      </c>
      <c r="FE72" s="174">
        <f t="shared" si="73"/>
        <v>0.15186821181752963</v>
      </c>
      <c r="FF72" s="174">
        <f t="shared" si="73"/>
        <v>0.34822055682074771</v>
      </c>
      <c r="FG72" s="174">
        <f t="shared" si="74"/>
        <v>0.62644585420589638</v>
      </c>
      <c r="FH72" s="174">
        <f t="shared" si="68"/>
        <v>0.52814283119440275</v>
      </c>
      <c r="FI72" s="174">
        <f t="shared" si="69"/>
        <v>0.57563381053409901</v>
      </c>
      <c r="FJ72" s="174">
        <f t="shared" si="70"/>
        <v>0.45520729212973676</v>
      </c>
      <c r="FK72" s="174">
        <f t="shared" si="70"/>
        <v>0.35198918122185341</v>
      </c>
    </row>
    <row r="73" spans="2:167" ht="16">
      <c r="B73" s="140" t="s">
        <v>846</v>
      </c>
      <c r="C73" s="127" t="s">
        <v>847</v>
      </c>
      <c r="D73" s="128"/>
      <c r="E73" s="128"/>
      <c r="F73" s="128"/>
      <c r="G73" s="128"/>
      <c r="H73" s="128"/>
      <c r="I73" s="128"/>
      <c r="J73" s="128"/>
      <c r="K73" s="128"/>
      <c r="L73" s="128"/>
      <c r="M73" s="128"/>
      <c r="N73" s="128"/>
      <c r="O73" s="128"/>
      <c r="P73" s="128"/>
      <c r="Q73" s="128"/>
      <c r="R73" s="128"/>
      <c r="S73" s="128"/>
      <c r="T73" s="128"/>
      <c r="U73" s="128"/>
      <c r="V73" s="128"/>
      <c r="W73" s="128"/>
      <c r="X73" s="128"/>
      <c r="Y73" s="128"/>
      <c r="Z73" s="128">
        <v>344.73582691600001</v>
      </c>
      <c r="AA73" s="128">
        <v>392.12971566499999</v>
      </c>
      <c r="AB73" s="128">
        <v>419.46499088000002</v>
      </c>
      <c r="AC73" s="128">
        <v>558.48201090600003</v>
      </c>
      <c r="AD73" s="128">
        <v>678.62447314200006</v>
      </c>
      <c r="AE73" s="128">
        <v>813.58665003999999</v>
      </c>
      <c r="AF73" s="128">
        <v>946.59777063000001</v>
      </c>
      <c r="AG73" s="128">
        <v>1182.7695131979999</v>
      </c>
      <c r="AH73" s="128">
        <v>1313.3540068899999</v>
      </c>
      <c r="AI73" s="128">
        <v>1575.521686738</v>
      </c>
      <c r="AJ73" s="128">
        <v>2137.694039168</v>
      </c>
      <c r="AK73" s="128">
        <v>2784.1901224339999</v>
      </c>
      <c r="AL73" s="128">
        <v>3131.100586694</v>
      </c>
      <c r="AM73" s="128">
        <v>3583.3821769629999</v>
      </c>
      <c r="AN73" s="128">
        <v>4168.2954114690001</v>
      </c>
      <c r="AO73" s="128">
        <v>4832.6999063780004</v>
      </c>
      <c r="AP73" s="173">
        <v>5189.2418968780003</v>
      </c>
      <c r="AQ73" s="173">
        <v>5360.5634774669998</v>
      </c>
      <c r="AR73" s="173">
        <v>5542.9515424350002</v>
      </c>
      <c r="AS73" s="288">
        <v>5788.3263316760003</v>
      </c>
      <c r="AT73" s="288">
        <v>6366.5209944799999</v>
      </c>
      <c r="AU73" s="288">
        <v>6963.5068235810004</v>
      </c>
      <c r="AV73" s="288">
        <v>7842.1200581330004</v>
      </c>
      <c r="AW73" s="158">
        <v>9148.4559895250004</v>
      </c>
      <c r="AX73" s="158">
        <v>9715.7864117370009</v>
      </c>
      <c r="AY73" s="158">
        <v>10810.716825142999</v>
      </c>
      <c r="AZ73" s="158">
        <v>11628.324745583001</v>
      </c>
      <c r="BA73" s="158">
        <v>12963.311412900999</v>
      </c>
      <c r="BB73" s="41">
        <v>14018.738060314001</v>
      </c>
      <c r="BC73" s="41">
        <v>15150.686306554</v>
      </c>
      <c r="BD73" s="158">
        <v>16255.905656653</v>
      </c>
      <c r="BE73" s="158">
        <v>17987.087849356001</v>
      </c>
      <c r="BF73" s="288">
        <v>18720.568196944001</v>
      </c>
      <c r="BG73" s="289">
        <v>19326.455928513002</v>
      </c>
      <c r="BH73" s="289">
        <v>19904.769151420998</v>
      </c>
      <c r="BI73" s="289">
        <v>20841.293419594</v>
      </c>
      <c r="BJ73" s="289">
        <v>19904.769151420998</v>
      </c>
      <c r="BK73" s="289">
        <v>21049.279236279999</v>
      </c>
      <c r="BL73" s="289">
        <v>20750.175883135998</v>
      </c>
      <c r="BM73" s="289">
        <v>20139.282722977001</v>
      </c>
      <c r="BN73" s="289">
        <v>20074.560000000001</v>
      </c>
      <c r="BO73" s="289">
        <v>19550.338850689001</v>
      </c>
      <c r="BP73" s="289">
        <v>19064.45</v>
      </c>
      <c r="BQ73" s="289">
        <v>19174.626383751998</v>
      </c>
      <c r="BR73" s="289">
        <v>19305.596081131</v>
      </c>
      <c r="BS73" s="289">
        <v>19477.127305514001</v>
      </c>
      <c r="BT73" s="289">
        <v>19496.422101807999</v>
      </c>
      <c r="BU73" s="289"/>
      <c r="BV73" s="142"/>
      <c r="BW73" s="142"/>
      <c r="BX73" s="142"/>
      <c r="BY73" s="142"/>
      <c r="BZ73" s="142"/>
      <c r="CA73" s="142"/>
      <c r="CB73" s="142"/>
      <c r="CC73" s="142"/>
      <c r="CD73" s="142"/>
      <c r="CE73" s="142"/>
      <c r="CF73" s="142"/>
      <c r="CG73" s="142"/>
      <c r="CH73" s="142"/>
      <c r="CI73" s="142"/>
      <c r="CJ73" s="142"/>
      <c r="CK73" s="142"/>
      <c r="CL73" s="142"/>
      <c r="CM73" s="142"/>
      <c r="CN73" s="142"/>
      <c r="CO73" s="142"/>
      <c r="CP73" s="142"/>
      <c r="CQ73" s="142"/>
      <c r="CR73" s="142"/>
      <c r="CS73" s="142"/>
      <c r="CT73" s="142"/>
      <c r="CU73" s="142"/>
      <c r="CV73" s="142"/>
      <c r="CW73" s="142"/>
      <c r="CX73" s="142"/>
      <c r="CY73" s="142"/>
      <c r="CZ73" s="142"/>
      <c r="DA73" s="142"/>
      <c r="DB73" s="142"/>
      <c r="DC73" s="142"/>
      <c r="DD73" s="142"/>
      <c r="DE73" s="142"/>
      <c r="DF73" s="142"/>
      <c r="DG73" s="142"/>
      <c r="DH73" s="142"/>
      <c r="DI73" s="142"/>
      <c r="DJ73" s="142"/>
      <c r="DK73" s="142"/>
      <c r="DL73" s="142"/>
      <c r="DM73" s="142"/>
      <c r="DN73" s="142"/>
      <c r="DO73" s="142"/>
      <c r="DP73" s="142"/>
      <c r="DQ73" s="142"/>
      <c r="DR73" s="142"/>
      <c r="DS73" s="133"/>
      <c r="DT73" s="174" t="str">
        <f t="shared" si="75"/>
        <v/>
      </c>
      <c r="DU73" s="174" t="str">
        <f t="shared" si="75"/>
        <v/>
      </c>
      <c r="DV73" s="174" t="str">
        <f t="shared" si="75"/>
        <v/>
      </c>
      <c r="DW73" s="174" t="str">
        <f t="shared" si="75"/>
        <v/>
      </c>
      <c r="DX73" s="174" t="str">
        <f t="shared" si="75"/>
        <v/>
      </c>
      <c r="DY73" s="174" t="str">
        <f t="shared" si="75"/>
        <v/>
      </c>
      <c r="DZ73" s="174" t="str">
        <f t="shared" si="75"/>
        <v/>
      </c>
      <c r="EA73" s="174" t="str">
        <f t="shared" si="75"/>
        <v/>
      </c>
      <c r="EB73" s="174" t="str">
        <f t="shared" si="75"/>
        <v/>
      </c>
      <c r="EC73" s="174" t="str">
        <f t="shared" si="75"/>
        <v/>
      </c>
      <c r="ED73" s="174" t="str">
        <f t="shared" si="75"/>
        <v/>
      </c>
      <c r="EE73" s="174" t="str">
        <f t="shared" si="75"/>
        <v/>
      </c>
      <c r="EF73" s="174" t="str">
        <f t="shared" si="75"/>
        <v/>
      </c>
      <c r="EG73" s="174" t="str">
        <f t="shared" si="75"/>
        <v/>
      </c>
      <c r="EH73" s="174" t="str">
        <f t="shared" si="75"/>
        <v/>
      </c>
      <c r="EI73" s="174" t="str">
        <f t="shared" si="75"/>
        <v/>
      </c>
      <c r="EJ73" s="174" t="str">
        <f t="shared" si="77"/>
        <v/>
      </c>
      <c r="EK73" s="174" t="str">
        <f t="shared" si="77"/>
        <v/>
      </c>
      <c r="EL73" s="174" t="str">
        <f t="shared" si="77"/>
        <v/>
      </c>
      <c r="EM73" s="174" t="str">
        <f t="shared" si="77"/>
        <v/>
      </c>
      <c r="EN73" s="174">
        <f t="shared" si="77"/>
        <v>0.96853480304893558</v>
      </c>
      <c r="EO73" s="174">
        <f t="shared" si="77"/>
        <v>1.0747895850235807</v>
      </c>
      <c r="EP73" s="174">
        <f t="shared" si="77"/>
        <v>1.2566788437912844</v>
      </c>
      <c r="EQ73" s="174">
        <f t="shared" si="77"/>
        <v>1.1178292050611383</v>
      </c>
      <c r="ER73" s="174">
        <f t="shared" si="77"/>
        <v>0.93531777716360764</v>
      </c>
      <c r="ES73" s="174">
        <f t="shared" si="77"/>
        <v>0.93651369114837291</v>
      </c>
      <c r="ET73" s="174">
        <f t="shared" si="77"/>
        <v>1.2582918590071008</v>
      </c>
      <c r="EU73" s="174">
        <f t="shared" si="77"/>
        <v>1.3539583083318081</v>
      </c>
      <c r="EV73" s="174">
        <f t="shared" si="77"/>
        <v>1.3840492131351496</v>
      </c>
      <c r="EW73" s="174">
        <f t="shared" si="77"/>
        <v>1.2744099348972626</v>
      </c>
      <c r="EX73" s="174">
        <f t="shared" si="76"/>
        <v>0.94990271530687287</v>
      </c>
      <c r="EY73" s="174">
        <f t="shared" si="76"/>
        <v>0.73576504974924206</v>
      </c>
      <c r="EZ73" s="174">
        <f t="shared" si="73"/>
        <v>0.65732200330143553</v>
      </c>
      <c r="FA73" s="174">
        <f t="shared" si="73"/>
        <v>0.49595081203708014</v>
      </c>
      <c r="FB73" s="174">
        <f t="shared" si="73"/>
        <v>0.32978855749610614</v>
      </c>
      <c r="FC73" s="174">
        <f t="shared" si="73"/>
        <v>0.19774172694580172</v>
      </c>
      <c r="FD73" s="174">
        <f t="shared" si="73"/>
        <v>0.22686918840886672</v>
      </c>
      <c r="FE73" s="174">
        <f t="shared" si="73"/>
        <v>0.29902515898784432</v>
      </c>
      <c r="FF73" s="174">
        <f t="shared" si="73"/>
        <v>0.41479137930330578</v>
      </c>
      <c r="FG73" s="174">
        <f t="shared" si="74"/>
        <v>0.58050107497586101</v>
      </c>
      <c r="FH73" s="174">
        <f t="shared" si="68"/>
        <v>0.52607466780694412</v>
      </c>
      <c r="FI73" s="174">
        <f t="shared" si="69"/>
        <v>0.55248168760802074</v>
      </c>
      <c r="FJ73" s="174">
        <f t="shared" si="70"/>
        <v>0.482803713713023</v>
      </c>
      <c r="FK73" s="174">
        <f t="shared" si="70"/>
        <v>0.41699445542985791</v>
      </c>
    </row>
    <row r="74" spans="2:167" ht="16">
      <c r="B74" s="140" t="s">
        <v>568</v>
      </c>
      <c r="C74" s="127" t="s">
        <v>849</v>
      </c>
      <c r="D74" s="128"/>
      <c r="E74" s="128"/>
      <c r="F74" s="128"/>
      <c r="G74" s="128"/>
      <c r="H74" s="128"/>
      <c r="I74" s="128"/>
      <c r="J74" s="128"/>
      <c r="K74" s="128"/>
      <c r="L74" s="128"/>
      <c r="M74" s="128"/>
      <c r="N74" s="128"/>
      <c r="O74" s="128"/>
      <c r="P74" s="128"/>
      <c r="Q74" s="128"/>
      <c r="R74" s="128"/>
      <c r="S74" s="128"/>
      <c r="T74" s="128"/>
      <c r="U74" s="128"/>
      <c r="V74" s="128"/>
      <c r="W74" s="128"/>
      <c r="X74" s="128"/>
      <c r="Y74" s="128"/>
      <c r="Z74" s="128">
        <v>-94.832928205000002</v>
      </c>
      <c r="AA74" s="128">
        <v>-120.06128264900001</v>
      </c>
      <c r="AB74" s="128">
        <v>-145.41911096699999</v>
      </c>
      <c r="AC74" s="128">
        <v>-170.15078681899999</v>
      </c>
      <c r="AD74" s="128">
        <v>-205.80339320499999</v>
      </c>
      <c r="AE74" s="128">
        <v>-248.39512133900001</v>
      </c>
      <c r="AF74" s="128">
        <v>-297.25515567999997</v>
      </c>
      <c r="AG74" s="128">
        <v>-355.84410715500002</v>
      </c>
      <c r="AH74" s="128">
        <v>-423.22170542499998</v>
      </c>
      <c r="AI74" s="128">
        <v>-503.01609972699998</v>
      </c>
      <c r="AJ74" s="128">
        <v>-606.66608925399998</v>
      </c>
      <c r="AK74" s="128">
        <v>-714.68194106600004</v>
      </c>
      <c r="AL74" s="128">
        <v>-855.01601358799996</v>
      </c>
      <c r="AM74" s="128">
        <v>-1012.1733246380001</v>
      </c>
      <c r="AN74" s="128">
        <v>-1191.396318328</v>
      </c>
      <c r="AO74" s="128">
        <v>-1396.851573079</v>
      </c>
      <c r="AP74" s="173">
        <v>-1719.9464553150001</v>
      </c>
      <c r="AQ74" s="173">
        <v>-1973.793862276</v>
      </c>
      <c r="AR74" s="173">
        <v>-2242.7978533649998</v>
      </c>
      <c r="AS74" s="288">
        <v>-2483.4028022060002</v>
      </c>
      <c r="AT74" s="288">
        <v>-2761.5473683659998</v>
      </c>
      <c r="AU74" s="288">
        <v>-3062.3945630930002</v>
      </c>
      <c r="AV74" s="288">
        <v>-3392.7850138610002</v>
      </c>
      <c r="AW74" s="158">
        <v>-3773.1768165509998</v>
      </c>
      <c r="AX74" s="158">
        <v>-4206.8718083459999</v>
      </c>
      <c r="AY74" s="158">
        <v>-4663.9924488289998</v>
      </c>
      <c r="AZ74" s="158">
        <v>-5153.6199440299997</v>
      </c>
      <c r="BA74" s="158">
        <v>-5695.9921249930003</v>
      </c>
      <c r="BB74" s="41">
        <v>-6302.2434535499997</v>
      </c>
      <c r="BC74" s="41">
        <v>-6934.4688632810003</v>
      </c>
      <c r="BD74" s="158">
        <v>-7652.4812097450003</v>
      </c>
      <c r="BE74" s="158">
        <v>-8420.1329161360009</v>
      </c>
      <c r="BF74" s="288">
        <v>-9221.6363851099995</v>
      </c>
      <c r="BG74" s="289">
        <v>-9866.1294940129992</v>
      </c>
      <c r="BH74" s="289">
        <v>-10550.873380646</v>
      </c>
      <c r="BI74" s="289">
        <v>-11187.963413617999</v>
      </c>
      <c r="BJ74" s="289">
        <v>-10550.873380646</v>
      </c>
      <c r="BK74" s="289">
        <v>-12677.386748003</v>
      </c>
      <c r="BL74" s="289">
        <v>-13449.57412691</v>
      </c>
      <c r="BM74" s="289">
        <v>-13707.967349864</v>
      </c>
      <c r="BN74" s="289">
        <v>-14341.74</v>
      </c>
      <c r="BO74" s="289">
        <v>-14653.045135017001</v>
      </c>
      <c r="BP74" s="289">
        <v>-14957.21</v>
      </c>
      <c r="BQ74" s="289">
        <v>-15651.465285845999</v>
      </c>
      <c r="BR74" s="289">
        <v>-16133.823853211001</v>
      </c>
      <c r="BS74" s="289">
        <v>-16560.122781516999</v>
      </c>
      <c r="BT74" s="289">
        <v>-16949.117766241001</v>
      </c>
      <c r="BU74" s="289"/>
      <c r="BV74" s="142"/>
      <c r="BW74" s="142"/>
      <c r="BX74" s="142"/>
      <c r="BY74" s="142"/>
      <c r="BZ74" s="142"/>
      <c r="CA74" s="142"/>
      <c r="CB74" s="142"/>
      <c r="CC74" s="142"/>
      <c r="CD74" s="142"/>
      <c r="CE74" s="142"/>
      <c r="CF74" s="142"/>
      <c r="CG74" s="142"/>
      <c r="CH74" s="142"/>
      <c r="CI74" s="142"/>
      <c r="CJ74" s="142"/>
      <c r="CK74" s="142"/>
      <c r="CL74" s="142"/>
      <c r="CM74" s="142"/>
      <c r="CN74" s="142"/>
      <c r="CO74" s="142"/>
      <c r="CP74" s="142"/>
      <c r="CQ74" s="142"/>
      <c r="CR74" s="142"/>
      <c r="CS74" s="142"/>
      <c r="CT74" s="142"/>
      <c r="CU74" s="142"/>
      <c r="CV74" s="142"/>
      <c r="CW74" s="142"/>
      <c r="CX74" s="142"/>
      <c r="CY74" s="142"/>
      <c r="CZ74" s="142"/>
      <c r="DA74" s="142"/>
      <c r="DB74" s="142"/>
      <c r="DC74" s="142"/>
      <c r="DD74" s="142"/>
      <c r="DE74" s="142"/>
      <c r="DF74" s="142"/>
      <c r="DG74" s="142"/>
      <c r="DH74" s="142"/>
      <c r="DI74" s="142"/>
      <c r="DJ74" s="142"/>
      <c r="DK74" s="142"/>
      <c r="DL74" s="142"/>
      <c r="DM74" s="142"/>
      <c r="DN74" s="142"/>
      <c r="DO74" s="142"/>
      <c r="DP74" s="142"/>
      <c r="DQ74" s="142"/>
      <c r="DR74" s="142"/>
      <c r="DS74" s="133"/>
      <c r="DT74" s="174" t="str">
        <f t="shared" si="75"/>
        <v/>
      </c>
      <c r="DU74" s="174" t="str">
        <f t="shared" si="75"/>
        <v/>
      </c>
      <c r="DV74" s="174" t="str">
        <f t="shared" si="75"/>
        <v/>
      </c>
      <c r="DW74" s="174" t="str">
        <f t="shared" si="75"/>
        <v/>
      </c>
      <c r="DX74" s="174" t="str">
        <f t="shared" si="75"/>
        <v/>
      </c>
      <c r="DY74" s="174" t="str">
        <f t="shared" si="75"/>
        <v/>
      </c>
      <c r="DZ74" s="174" t="str">
        <f t="shared" si="75"/>
        <v/>
      </c>
      <c r="EA74" s="174" t="str">
        <f t="shared" si="75"/>
        <v/>
      </c>
      <c r="EB74" s="174" t="str">
        <f t="shared" si="75"/>
        <v/>
      </c>
      <c r="EC74" s="174" t="str">
        <f t="shared" si="75"/>
        <v/>
      </c>
      <c r="ED74" s="174" t="str">
        <f t="shared" si="75"/>
        <v/>
      </c>
      <c r="EE74" s="174" t="str">
        <f t="shared" si="75"/>
        <v/>
      </c>
      <c r="EF74" s="174" t="str">
        <f t="shared" si="75"/>
        <v/>
      </c>
      <c r="EG74" s="174" t="str">
        <f t="shared" si="75"/>
        <v/>
      </c>
      <c r="EH74" s="174" t="str">
        <f t="shared" si="75"/>
        <v/>
      </c>
      <c r="EI74" s="174" t="str">
        <f t="shared" si="75"/>
        <v/>
      </c>
      <c r="EJ74" s="174" t="str">
        <f t="shared" si="77"/>
        <v/>
      </c>
      <c r="EK74" s="174" t="str">
        <f t="shared" si="77"/>
        <v/>
      </c>
      <c r="EL74" s="174" t="str">
        <f t="shared" si="77"/>
        <v/>
      </c>
      <c r="EM74" s="174" t="str">
        <f t="shared" si="77"/>
        <v/>
      </c>
      <c r="EN74" s="174">
        <f t="shared" si="77"/>
        <v>1.1701680745333047</v>
      </c>
      <c r="EO74" s="174">
        <f t="shared" si="77"/>
        <v>1.0689027791347598</v>
      </c>
      <c r="EP74" s="174">
        <f t="shared" si="77"/>
        <v>1.0441271694162411</v>
      </c>
      <c r="EQ74" s="174">
        <f t="shared" si="77"/>
        <v>1.0913456458684121</v>
      </c>
      <c r="ER74" s="174">
        <f t="shared" si="77"/>
        <v>1.0564369655627126</v>
      </c>
      <c r="ES74" s="174">
        <f t="shared" si="77"/>
        <v>1.0250643290232064</v>
      </c>
      <c r="ET74" s="174">
        <f t="shared" si="77"/>
        <v>1.0408934131560899</v>
      </c>
      <c r="EU74" s="174">
        <f t="shared" si="77"/>
        <v>1.0084130288960944</v>
      </c>
      <c r="EV74" s="174">
        <f t="shared" si="77"/>
        <v>1.0202555838420229</v>
      </c>
      <c r="EW74" s="174">
        <f t="shared" si="77"/>
        <v>1.012208605623822</v>
      </c>
      <c r="EX74" s="174">
        <f t="shared" si="76"/>
        <v>0.9638419542998129</v>
      </c>
      <c r="EY74" s="174">
        <f t="shared" si="76"/>
        <v>0.95450800253255919</v>
      </c>
      <c r="EZ74" s="174">
        <f t="shared" si="73"/>
        <v>1.0115956052067321</v>
      </c>
      <c r="FA74" s="174">
        <f t="shared" si="73"/>
        <v>0.95005520717701186</v>
      </c>
      <c r="FB74" s="174">
        <f t="shared" si="73"/>
        <v>0.88249520236266288</v>
      </c>
      <c r="FC74" s="174">
        <f t="shared" si="73"/>
        <v>0.77785732576581301</v>
      </c>
      <c r="FD74" s="174">
        <f t="shared" si="73"/>
        <v>0.60560077892671105</v>
      </c>
      <c r="FE74" s="174">
        <f t="shared" si="73"/>
        <v>0.55152704728837509</v>
      </c>
      <c r="FF74" s="174">
        <f t="shared" si="73"/>
        <v>0.51274668324236528</v>
      </c>
      <c r="FG74" s="174">
        <f t="shared" si="74"/>
        <v>0.51935755778293258</v>
      </c>
      <c r="FH74" s="174">
        <f t="shared" si="68"/>
        <v>0.52337485010629914</v>
      </c>
      <c r="FI74" s="174">
        <f t="shared" si="69"/>
        <v>0.52298874385356653</v>
      </c>
      <c r="FJ74" s="174">
        <f t="shared" si="70"/>
        <v>0.51899396011690224</v>
      </c>
      <c r="FK74" s="174">
        <f t="shared" si="70"/>
        <v>0.50960116684900414</v>
      </c>
    </row>
    <row r="75" spans="2:167" ht="16">
      <c r="B75" s="140" t="s">
        <v>850</v>
      </c>
      <c r="C75" s="127" t="s">
        <v>851</v>
      </c>
      <c r="D75" s="128"/>
      <c r="E75" s="128"/>
      <c r="F75" s="128"/>
      <c r="G75" s="128"/>
      <c r="H75" s="128"/>
      <c r="I75" s="128"/>
      <c r="J75" s="128"/>
      <c r="K75" s="128"/>
      <c r="L75" s="128"/>
      <c r="M75" s="128"/>
      <c r="N75" s="128"/>
      <c r="O75" s="128"/>
      <c r="P75" s="128"/>
      <c r="Q75" s="128"/>
      <c r="R75" s="128"/>
      <c r="S75" s="128"/>
      <c r="T75" s="128"/>
      <c r="U75" s="128"/>
      <c r="V75" s="128"/>
      <c r="W75" s="128"/>
      <c r="X75" s="128"/>
      <c r="Y75" s="128"/>
      <c r="Z75" s="128">
        <v>0</v>
      </c>
      <c r="AA75" s="128">
        <v>0</v>
      </c>
      <c r="AB75" s="128">
        <v>0</v>
      </c>
      <c r="AC75" s="128">
        <v>0</v>
      </c>
      <c r="AD75" s="128">
        <v>0</v>
      </c>
      <c r="AE75" s="128">
        <v>0</v>
      </c>
      <c r="AF75" s="128">
        <v>0</v>
      </c>
      <c r="AG75" s="128">
        <v>0</v>
      </c>
      <c r="AH75" s="128">
        <v>0</v>
      </c>
      <c r="AI75" s="128">
        <v>0</v>
      </c>
      <c r="AJ75" s="128">
        <v>0</v>
      </c>
      <c r="AK75" s="128">
        <v>0</v>
      </c>
      <c r="AL75" s="128">
        <v>0</v>
      </c>
      <c r="AM75" s="128">
        <v>0</v>
      </c>
      <c r="AN75" s="128">
        <v>0</v>
      </c>
      <c r="AO75" s="128">
        <v>0</v>
      </c>
      <c r="AP75" s="173">
        <v>0</v>
      </c>
      <c r="AQ75" s="173">
        <v>0</v>
      </c>
      <c r="AR75" s="173">
        <v>0</v>
      </c>
      <c r="AS75" s="288">
        <v>0</v>
      </c>
      <c r="AT75" s="288">
        <v>0</v>
      </c>
      <c r="AU75" s="288">
        <v>0</v>
      </c>
      <c r="AV75" s="288">
        <v>0</v>
      </c>
      <c r="AW75" s="158">
        <v>0</v>
      </c>
      <c r="AX75" s="158">
        <v>0</v>
      </c>
      <c r="AY75" s="158">
        <v>0</v>
      </c>
      <c r="AZ75" s="158">
        <v>0</v>
      </c>
      <c r="BA75" s="158">
        <v>0</v>
      </c>
      <c r="BB75" s="41">
        <v>0</v>
      </c>
      <c r="BC75" s="41">
        <v>0</v>
      </c>
      <c r="BD75" s="158">
        <v>0</v>
      </c>
      <c r="BE75" s="158">
        <v>0</v>
      </c>
      <c r="BF75" s="288">
        <v>0</v>
      </c>
      <c r="BG75" s="289">
        <v>0</v>
      </c>
      <c r="BH75" s="289">
        <v>0</v>
      </c>
      <c r="BI75" s="289">
        <v>0</v>
      </c>
      <c r="BJ75" s="289">
        <v>0</v>
      </c>
      <c r="BK75" s="289">
        <v>0</v>
      </c>
      <c r="BL75" s="289">
        <v>0</v>
      </c>
      <c r="BM75" s="289">
        <v>0</v>
      </c>
      <c r="BN75" s="289">
        <v>0</v>
      </c>
      <c r="BO75" s="289">
        <v>0</v>
      </c>
      <c r="BP75" s="289">
        <v>0</v>
      </c>
      <c r="BQ75" s="289">
        <v>0</v>
      </c>
      <c r="BR75" s="289">
        <v>0</v>
      </c>
      <c r="BS75" s="289">
        <v>0</v>
      </c>
      <c r="BT75" s="289">
        <v>0</v>
      </c>
      <c r="BU75" s="289"/>
      <c r="BV75" s="142"/>
      <c r="BW75" s="142"/>
      <c r="BX75" s="142"/>
      <c r="BY75" s="142"/>
      <c r="BZ75" s="142"/>
      <c r="CA75" s="142"/>
      <c r="CB75" s="142"/>
      <c r="CC75" s="142"/>
      <c r="CD75" s="142"/>
      <c r="CE75" s="142"/>
      <c r="CF75" s="142"/>
      <c r="CG75" s="142"/>
      <c r="CH75" s="142"/>
      <c r="CI75" s="142"/>
      <c r="CJ75" s="142"/>
      <c r="CK75" s="142"/>
      <c r="CL75" s="142"/>
      <c r="CM75" s="142"/>
      <c r="CN75" s="142"/>
      <c r="CO75" s="142"/>
      <c r="CP75" s="142"/>
      <c r="CQ75" s="142"/>
      <c r="CR75" s="142"/>
      <c r="CS75" s="142"/>
      <c r="CT75" s="142"/>
      <c r="CU75" s="142"/>
      <c r="CV75" s="142"/>
      <c r="CW75" s="142"/>
      <c r="CX75" s="142"/>
      <c r="CY75" s="142"/>
      <c r="CZ75" s="142"/>
      <c r="DA75" s="142"/>
      <c r="DB75" s="142"/>
      <c r="DC75" s="142"/>
      <c r="DD75" s="142"/>
      <c r="DE75" s="142"/>
      <c r="DF75" s="142"/>
      <c r="DG75" s="142"/>
      <c r="DH75" s="142"/>
      <c r="DI75" s="142"/>
      <c r="DJ75" s="142"/>
      <c r="DK75" s="142"/>
      <c r="DL75" s="142"/>
      <c r="DM75" s="142"/>
      <c r="DN75" s="142"/>
      <c r="DO75" s="142"/>
      <c r="DP75" s="142"/>
      <c r="DQ75" s="142"/>
      <c r="DR75" s="142"/>
      <c r="DS75" s="133"/>
      <c r="DT75" s="174" t="str">
        <f t="shared" si="75"/>
        <v/>
      </c>
      <c r="DU75" s="174" t="str">
        <f t="shared" si="75"/>
        <v/>
      </c>
      <c r="DV75" s="174" t="str">
        <f t="shared" si="75"/>
        <v/>
      </c>
      <c r="DW75" s="174" t="str">
        <f t="shared" si="75"/>
        <v/>
      </c>
      <c r="DX75" s="174" t="str">
        <f t="shared" si="75"/>
        <v/>
      </c>
      <c r="DY75" s="174" t="str">
        <f t="shared" si="75"/>
        <v/>
      </c>
      <c r="DZ75" s="174" t="str">
        <f t="shared" si="75"/>
        <v/>
      </c>
      <c r="EA75" s="174" t="str">
        <f t="shared" si="75"/>
        <v/>
      </c>
      <c r="EB75" s="174" t="str">
        <f t="shared" si="75"/>
        <v/>
      </c>
      <c r="EC75" s="174" t="str">
        <f t="shared" si="75"/>
        <v/>
      </c>
      <c r="ED75" s="174" t="str">
        <f t="shared" si="75"/>
        <v/>
      </c>
      <c r="EE75" s="174" t="str">
        <f t="shared" si="75"/>
        <v/>
      </c>
      <c r="EF75" s="174" t="str">
        <f t="shared" si="75"/>
        <v/>
      </c>
      <c r="EG75" s="174" t="str">
        <f t="shared" si="75"/>
        <v/>
      </c>
      <c r="EH75" s="174" t="str">
        <f t="shared" si="75"/>
        <v/>
      </c>
      <c r="EI75" s="174" t="str">
        <f t="shared" si="75"/>
        <v/>
      </c>
      <c r="EJ75" s="174" t="str">
        <f t="shared" si="77"/>
        <v/>
      </c>
      <c r="EK75" s="174" t="str">
        <f t="shared" si="77"/>
        <v/>
      </c>
      <c r="EL75" s="174" t="str">
        <f t="shared" si="77"/>
        <v/>
      </c>
      <c r="EM75" s="174" t="str">
        <f t="shared" si="77"/>
        <v/>
      </c>
      <c r="EN75" s="174" t="str">
        <f t="shared" si="77"/>
        <v/>
      </c>
      <c r="EO75" s="174" t="str">
        <f t="shared" si="77"/>
        <v/>
      </c>
      <c r="EP75" s="174" t="str">
        <f t="shared" si="77"/>
        <v/>
      </c>
      <c r="EQ75" s="174" t="str">
        <f t="shared" si="77"/>
        <v/>
      </c>
      <c r="ER75" s="174" t="str">
        <f t="shared" si="77"/>
        <v/>
      </c>
      <c r="ES75" s="174" t="str">
        <f t="shared" si="77"/>
        <v/>
      </c>
      <c r="ET75" s="174" t="str">
        <f t="shared" si="77"/>
        <v/>
      </c>
      <c r="EU75" s="174" t="str">
        <f t="shared" si="77"/>
        <v/>
      </c>
      <c r="EV75" s="174" t="str">
        <f t="shared" si="77"/>
        <v/>
      </c>
      <c r="EW75" s="174" t="str">
        <f t="shared" si="77"/>
        <v/>
      </c>
      <c r="EX75" s="174" t="str">
        <f t="shared" si="76"/>
        <v/>
      </c>
      <c r="EY75" s="174" t="str">
        <f t="shared" si="76"/>
        <v/>
      </c>
      <c r="EZ75" s="174" t="str">
        <f t="shared" si="73"/>
        <v/>
      </c>
      <c r="FA75" s="174" t="str">
        <f t="shared" si="73"/>
        <v/>
      </c>
      <c r="FB75" s="174" t="str">
        <f t="shared" si="73"/>
        <v/>
      </c>
      <c r="FC75" s="174" t="str">
        <f t="shared" si="73"/>
        <v/>
      </c>
      <c r="FD75" s="174" t="str">
        <f t="shared" si="73"/>
        <v/>
      </c>
      <c r="FE75" s="174" t="str">
        <f t="shared" si="73"/>
        <v/>
      </c>
      <c r="FF75" s="174" t="str">
        <f t="shared" si="73"/>
        <v/>
      </c>
      <c r="FG75" s="174" t="str">
        <f t="shared" si="74"/>
        <v/>
      </c>
      <c r="FH75" s="174" t="str">
        <f t="shared" si="68"/>
        <v/>
      </c>
      <c r="FI75" s="174" t="str">
        <f t="shared" si="69"/>
        <v/>
      </c>
      <c r="FJ75" s="174" t="str">
        <f t="shared" si="70"/>
        <v/>
      </c>
      <c r="FK75" s="174" t="str">
        <f t="shared" si="70"/>
        <v/>
      </c>
    </row>
    <row r="76" spans="2:167" ht="16">
      <c r="B76" s="140" t="s">
        <v>846</v>
      </c>
      <c r="C76" s="127" t="s">
        <v>852</v>
      </c>
      <c r="D76" s="128"/>
      <c r="E76" s="128"/>
      <c r="F76" s="128"/>
      <c r="G76" s="128"/>
      <c r="H76" s="128"/>
      <c r="I76" s="128"/>
      <c r="J76" s="128"/>
      <c r="K76" s="128"/>
      <c r="L76" s="128"/>
      <c r="M76" s="128"/>
      <c r="N76" s="128"/>
      <c r="O76" s="128"/>
      <c r="P76" s="128"/>
      <c r="Q76" s="128"/>
      <c r="R76" s="128"/>
      <c r="S76" s="128"/>
      <c r="T76" s="128"/>
      <c r="U76" s="128"/>
      <c r="V76" s="128"/>
      <c r="W76" s="128"/>
      <c r="X76" s="128"/>
      <c r="Y76" s="128"/>
      <c r="Z76" s="128">
        <v>0</v>
      </c>
      <c r="AA76" s="128">
        <v>0</v>
      </c>
      <c r="AB76" s="128">
        <v>0</v>
      </c>
      <c r="AC76" s="128">
        <v>0</v>
      </c>
      <c r="AD76" s="128">
        <v>0</v>
      </c>
      <c r="AE76" s="128">
        <v>0</v>
      </c>
      <c r="AF76" s="128">
        <v>0</v>
      </c>
      <c r="AG76" s="128">
        <v>0</v>
      </c>
      <c r="AH76" s="128">
        <v>0</v>
      </c>
      <c r="AI76" s="128">
        <v>0</v>
      </c>
      <c r="AJ76" s="128">
        <v>0</v>
      </c>
      <c r="AK76" s="128">
        <v>0</v>
      </c>
      <c r="AL76" s="128">
        <v>0</v>
      </c>
      <c r="AM76" s="128">
        <v>0</v>
      </c>
      <c r="AN76" s="128">
        <v>0</v>
      </c>
      <c r="AO76" s="128">
        <v>0</v>
      </c>
      <c r="AP76" s="173">
        <v>0</v>
      </c>
      <c r="AQ76" s="173">
        <v>0</v>
      </c>
      <c r="AR76" s="173">
        <v>0</v>
      </c>
      <c r="AS76" s="288">
        <v>0</v>
      </c>
      <c r="AT76" s="288">
        <v>0</v>
      </c>
      <c r="AU76" s="288">
        <v>0</v>
      </c>
      <c r="AV76" s="288">
        <v>0</v>
      </c>
      <c r="AW76" s="158">
        <v>0</v>
      </c>
      <c r="AX76" s="158">
        <v>0</v>
      </c>
      <c r="AY76" s="158">
        <v>0</v>
      </c>
      <c r="AZ76" s="158">
        <v>0</v>
      </c>
      <c r="BA76" s="158">
        <v>0</v>
      </c>
      <c r="BB76" s="41">
        <v>0</v>
      </c>
      <c r="BC76" s="41">
        <v>0</v>
      </c>
      <c r="BD76" s="158">
        <v>0</v>
      </c>
      <c r="BE76" s="158">
        <v>0</v>
      </c>
      <c r="BF76" s="288">
        <v>0</v>
      </c>
      <c r="BG76" s="289">
        <v>0</v>
      </c>
      <c r="BH76" s="289">
        <v>0</v>
      </c>
      <c r="BI76" s="289">
        <v>0</v>
      </c>
      <c r="BJ76" s="289">
        <v>0</v>
      </c>
      <c r="BK76" s="289">
        <v>0</v>
      </c>
      <c r="BL76" s="289">
        <v>0</v>
      </c>
      <c r="BM76" s="289">
        <v>0</v>
      </c>
      <c r="BN76" s="289">
        <v>0</v>
      </c>
      <c r="BO76" s="289">
        <v>0</v>
      </c>
      <c r="BP76" s="289">
        <v>0</v>
      </c>
      <c r="BQ76" s="289">
        <v>0</v>
      </c>
      <c r="BR76" s="289">
        <v>0</v>
      </c>
      <c r="BS76" s="289">
        <v>0</v>
      </c>
      <c r="BT76" s="289">
        <v>0</v>
      </c>
      <c r="BU76" s="289"/>
      <c r="BV76" s="142"/>
      <c r="BW76" s="142"/>
      <c r="BX76" s="142"/>
      <c r="BY76" s="142"/>
      <c r="BZ76" s="142"/>
      <c r="CA76" s="142"/>
      <c r="CB76" s="142"/>
      <c r="CC76" s="142"/>
      <c r="CD76" s="142"/>
      <c r="CE76" s="142"/>
      <c r="CF76" s="142"/>
      <c r="CG76" s="142"/>
      <c r="CH76" s="142"/>
      <c r="CI76" s="142"/>
      <c r="CJ76" s="142"/>
      <c r="CK76" s="142"/>
      <c r="CL76" s="142"/>
      <c r="CM76" s="142"/>
      <c r="CN76" s="142"/>
      <c r="CO76" s="142"/>
      <c r="CP76" s="142"/>
      <c r="CQ76" s="142"/>
      <c r="CR76" s="142"/>
      <c r="CS76" s="142"/>
      <c r="CT76" s="142"/>
      <c r="CU76" s="142"/>
      <c r="CV76" s="142"/>
      <c r="CW76" s="142"/>
      <c r="CX76" s="142"/>
      <c r="CY76" s="142"/>
      <c r="CZ76" s="142"/>
      <c r="DA76" s="142"/>
      <c r="DB76" s="142"/>
      <c r="DC76" s="142"/>
      <c r="DD76" s="142"/>
      <c r="DE76" s="142"/>
      <c r="DF76" s="142"/>
      <c r="DG76" s="142"/>
      <c r="DH76" s="142"/>
      <c r="DI76" s="142"/>
      <c r="DJ76" s="142"/>
      <c r="DK76" s="142"/>
      <c r="DL76" s="142"/>
      <c r="DM76" s="142"/>
      <c r="DN76" s="142"/>
      <c r="DO76" s="142"/>
      <c r="DP76" s="142"/>
      <c r="DQ76" s="142"/>
      <c r="DR76" s="142"/>
      <c r="DS76" s="133"/>
      <c r="DT76" s="174" t="str">
        <f t="shared" si="75"/>
        <v/>
      </c>
      <c r="DU76" s="174" t="str">
        <f t="shared" si="75"/>
        <v/>
      </c>
      <c r="DV76" s="174" t="str">
        <f t="shared" si="75"/>
        <v/>
      </c>
      <c r="DW76" s="174" t="str">
        <f t="shared" si="75"/>
        <v/>
      </c>
      <c r="DX76" s="174" t="str">
        <f t="shared" si="75"/>
        <v/>
      </c>
      <c r="DY76" s="174" t="str">
        <f t="shared" si="75"/>
        <v/>
      </c>
      <c r="DZ76" s="174" t="str">
        <f t="shared" si="75"/>
        <v/>
      </c>
      <c r="EA76" s="174" t="str">
        <f t="shared" si="75"/>
        <v/>
      </c>
      <c r="EB76" s="174" t="str">
        <f t="shared" si="75"/>
        <v/>
      </c>
      <c r="EC76" s="174" t="str">
        <f t="shared" si="75"/>
        <v/>
      </c>
      <c r="ED76" s="174" t="str">
        <f t="shared" si="75"/>
        <v/>
      </c>
      <c r="EE76" s="174" t="str">
        <f t="shared" si="75"/>
        <v/>
      </c>
      <c r="EF76" s="174" t="str">
        <f t="shared" si="75"/>
        <v/>
      </c>
      <c r="EG76" s="174" t="str">
        <f t="shared" si="75"/>
        <v/>
      </c>
      <c r="EH76" s="174" t="str">
        <f t="shared" si="75"/>
        <v/>
      </c>
      <c r="EI76" s="174" t="str">
        <f t="shared" si="75"/>
        <v/>
      </c>
      <c r="EJ76" s="174" t="str">
        <f t="shared" si="77"/>
        <v/>
      </c>
      <c r="EK76" s="174" t="str">
        <f t="shared" si="77"/>
        <v/>
      </c>
      <c r="EL76" s="174" t="str">
        <f t="shared" si="77"/>
        <v/>
      </c>
      <c r="EM76" s="174" t="str">
        <f t="shared" si="77"/>
        <v/>
      </c>
      <c r="EN76" s="174" t="str">
        <f t="shared" si="77"/>
        <v/>
      </c>
      <c r="EO76" s="174" t="str">
        <f t="shared" si="77"/>
        <v/>
      </c>
      <c r="EP76" s="174" t="str">
        <f t="shared" si="77"/>
        <v/>
      </c>
      <c r="EQ76" s="174" t="str">
        <f t="shared" si="77"/>
        <v/>
      </c>
      <c r="ER76" s="174" t="str">
        <f t="shared" si="77"/>
        <v/>
      </c>
      <c r="ES76" s="174" t="str">
        <f t="shared" si="77"/>
        <v/>
      </c>
      <c r="ET76" s="174" t="str">
        <f t="shared" si="77"/>
        <v/>
      </c>
      <c r="EU76" s="174" t="str">
        <f t="shared" si="77"/>
        <v/>
      </c>
      <c r="EV76" s="174" t="str">
        <f t="shared" si="77"/>
        <v/>
      </c>
      <c r="EW76" s="174" t="str">
        <f t="shared" si="77"/>
        <v/>
      </c>
      <c r="EX76" s="174" t="str">
        <f t="shared" si="76"/>
        <v/>
      </c>
      <c r="EY76" s="174" t="str">
        <f t="shared" si="76"/>
        <v/>
      </c>
      <c r="EZ76" s="174" t="str">
        <f t="shared" si="73"/>
        <v/>
      </c>
      <c r="FA76" s="174" t="str">
        <f t="shared" si="73"/>
        <v/>
      </c>
      <c r="FB76" s="174" t="str">
        <f t="shared" si="73"/>
        <v/>
      </c>
      <c r="FC76" s="174" t="str">
        <f t="shared" si="73"/>
        <v/>
      </c>
      <c r="FD76" s="174" t="str">
        <f t="shared" si="73"/>
        <v/>
      </c>
      <c r="FE76" s="174" t="str">
        <f t="shared" si="73"/>
        <v/>
      </c>
      <c r="FF76" s="174" t="str">
        <f t="shared" si="73"/>
        <v/>
      </c>
      <c r="FG76" s="174" t="str">
        <f t="shared" si="74"/>
        <v/>
      </c>
      <c r="FH76" s="174" t="str">
        <f t="shared" si="68"/>
        <v/>
      </c>
      <c r="FI76" s="174" t="str">
        <f t="shared" si="69"/>
        <v/>
      </c>
      <c r="FJ76" s="174" t="str">
        <f t="shared" si="70"/>
        <v/>
      </c>
      <c r="FK76" s="174" t="str">
        <f t="shared" si="70"/>
        <v/>
      </c>
    </row>
    <row r="77" spans="2:167" ht="16">
      <c r="B77" s="140" t="s">
        <v>853</v>
      </c>
      <c r="C77" s="127" t="s">
        <v>854</v>
      </c>
      <c r="D77" s="128"/>
      <c r="E77" s="128"/>
      <c r="F77" s="128"/>
      <c r="G77" s="128"/>
      <c r="H77" s="128"/>
      <c r="I77" s="128"/>
      <c r="J77" s="128"/>
      <c r="K77" s="128"/>
      <c r="L77" s="128"/>
      <c r="M77" s="128"/>
      <c r="N77" s="128"/>
      <c r="O77" s="128"/>
      <c r="P77" s="128"/>
      <c r="Q77" s="128"/>
      <c r="R77" s="128"/>
      <c r="S77" s="128"/>
      <c r="T77" s="128"/>
      <c r="U77" s="128"/>
      <c r="V77" s="128"/>
      <c r="W77" s="128"/>
      <c r="X77" s="128"/>
      <c r="Y77" s="128"/>
      <c r="Z77" s="128">
        <v>0</v>
      </c>
      <c r="AA77" s="128">
        <v>0</v>
      </c>
      <c r="AB77" s="128">
        <v>0</v>
      </c>
      <c r="AC77" s="128">
        <v>0</v>
      </c>
      <c r="AD77" s="128">
        <v>0</v>
      </c>
      <c r="AE77" s="128">
        <v>0</v>
      </c>
      <c r="AF77" s="128">
        <v>0</v>
      </c>
      <c r="AG77" s="128">
        <v>0</v>
      </c>
      <c r="AH77" s="128">
        <v>0</v>
      </c>
      <c r="AI77" s="128">
        <v>0</v>
      </c>
      <c r="AJ77" s="128">
        <v>0</v>
      </c>
      <c r="AK77" s="128">
        <v>0</v>
      </c>
      <c r="AL77" s="128">
        <v>0</v>
      </c>
      <c r="AM77" s="128">
        <v>0</v>
      </c>
      <c r="AN77" s="128">
        <v>0</v>
      </c>
      <c r="AO77" s="128">
        <v>0</v>
      </c>
      <c r="AP77" s="173">
        <v>0</v>
      </c>
      <c r="AQ77" s="173">
        <v>0</v>
      </c>
      <c r="AR77" s="173">
        <v>0</v>
      </c>
      <c r="AS77" s="288">
        <v>0</v>
      </c>
      <c r="AT77" s="288">
        <v>0</v>
      </c>
      <c r="AU77" s="288">
        <v>0</v>
      </c>
      <c r="AV77" s="288">
        <v>0</v>
      </c>
      <c r="AW77" s="158">
        <v>0</v>
      </c>
      <c r="AX77" s="158">
        <v>0</v>
      </c>
      <c r="AY77" s="158">
        <v>0</v>
      </c>
      <c r="AZ77" s="158">
        <v>0</v>
      </c>
      <c r="BA77" s="158">
        <v>0</v>
      </c>
      <c r="BB77" s="41">
        <v>0</v>
      </c>
      <c r="BC77" s="41">
        <v>0</v>
      </c>
      <c r="BD77" s="158">
        <v>0</v>
      </c>
      <c r="BE77" s="158">
        <v>0</v>
      </c>
      <c r="BF77" s="288">
        <v>0</v>
      </c>
      <c r="BG77" s="289">
        <v>0</v>
      </c>
      <c r="BH77" s="289">
        <v>0</v>
      </c>
      <c r="BI77" s="289">
        <v>0</v>
      </c>
      <c r="BJ77" s="289">
        <v>0</v>
      </c>
      <c r="BK77" s="289">
        <v>0</v>
      </c>
      <c r="BL77" s="289">
        <v>0</v>
      </c>
      <c r="BM77" s="289">
        <v>0</v>
      </c>
      <c r="BN77" s="289">
        <v>0</v>
      </c>
      <c r="BO77" s="289">
        <v>0</v>
      </c>
      <c r="BP77" s="289">
        <v>0</v>
      </c>
      <c r="BQ77" s="289">
        <v>0</v>
      </c>
      <c r="BR77" s="289">
        <v>0</v>
      </c>
      <c r="BS77" s="289">
        <v>0</v>
      </c>
      <c r="BT77" s="289">
        <v>0</v>
      </c>
      <c r="BU77" s="289"/>
      <c r="BV77" s="142"/>
      <c r="BW77" s="142"/>
      <c r="BX77" s="142"/>
      <c r="BY77" s="142"/>
      <c r="BZ77" s="142"/>
      <c r="CA77" s="142"/>
      <c r="CB77" s="142"/>
      <c r="CC77" s="142"/>
      <c r="CD77" s="142"/>
      <c r="CE77" s="142"/>
      <c r="CF77" s="142"/>
      <c r="CG77" s="142"/>
      <c r="CH77" s="142"/>
      <c r="CI77" s="142"/>
      <c r="CJ77" s="142"/>
      <c r="CK77" s="142"/>
      <c r="CL77" s="142"/>
      <c r="CM77" s="142"/>
      <c r="CN77" s="142"/>
      <c r="CO77" s="142"/>
      <c r="CP77" s="142"/>
      <c r="CQ77" s="142"/>
      <c r="CR77" s="142"/>
      <c r="CS77" s="142"/>
      <c r="CT77" s="142"/>
      <c r="CU77" s="142"/>
      <c r="CV77" s="142"/>
      <c r="CW77" s="142"/>
      <c r="CX77" s="142"/>
      <c r="CY77" s="142"/>
      <c r="CZ77" s="142"/>
      <c r="DA77" s="142"/>
      <c r="DB77" s="142"/>
      <c r="DC77" s="142"/>
      <c r="DD77" s="142"/>
      <c r="DE77" s="142"/>
      <c r="DF77" s="142"/>
      <c r="DG77" s="142"/>
      <c r="DH77" s="142"/>
      <c r="DI77" s="142"/>
      <c r="DJ77" s="142"/>
      <c r="DK77" s="142"/>
      <c r="DL77" s="142"/>
      <c r="DM77" s="142"/>
      <c r="DN77" s="142"/>
      <c r="DO77" s="142"/>
      <c r="DP77" s="142"/>
      <c r="DQ77" s="142"/>
      <c r="DR77" s="142"/>
      <c r="DS77" s="133"/>
      <c r="DT77" s="174" t="str">
        <f t="shared" si="75"/>
        <v/>
      </c>
      <c r="DU77" s="174" t="str">
        <f t="shared" si="75"/>
        <v/>
      </c>
      <c r="DV77" s="174" t="str">
        <f t="shared" si="75"/>
        <v/>
      </c>
      <c r="DW77" s="174" t="str">
        <f t="shared" si="75"/>
        <v/>
      </c>
      <c r="DX77" s="174" t="str">
        <f t="shared" si="75"/>
        <v/>
      </c>
      <c r="DY77" s="174" t="str">
        <f t="shared" si="75"/>
        <v/>
      </c>
      <c r="DZ77" s="174" t="str">
        <f t="shared" si="75"/>
        <v/>
      </c>
      <c r="EA77" s="174" t="str">
        <f t="shared" si="75"/>
        <v/>
      </c>
      <c r="EB77" s="174" t="str">
        <f t="shared" si="75"/>
        <v/>
      </c>
      <c r="EC77" s="174" t="str">
        <f t="shared" si="75"/>
        <v/>
      </c>
      <c r="ED77" s="174" t="str">
        <f t="shared" si="75"/>
        <v/>
      </c>
      <c r="EE77" s="174" t="str">
        <f t="shared" si="75"/>
        <v/>
      </c>
      <c r="EF77" s="174" t="str">
        <f t="shared" si="75"/>
        <v/>
      </c>
      <c r="EG77" s="174" t="str">
        <f t="shared" si="75"/>
        <v/>
      </c>
      <c r="EH77" s="174" t="str">
        <f t="shared" si="75"/>
        <v/>
      </c>
      <c r="EI77" s="174" t="str">
        <f t="shared" si="75"/>
        <v/>
      </c>
      <c r="EJ77" s="174" t="str">
        <f t="shared" si="77"/>
        <v/>
      </c>
      <c r="EK77" s="174" t="str">
        <f t="shared" si="77"/>
        <v/>
      </c>
      <c r="EL77" s="174" t="str">
        <f t="shared" si="77"/>
        <v/>
      </c>
      <c r="EM77" s="174" t="str">
        <f t="shared" si="77"/>
        <v/>
      </c>
      <c r="EN77" s="174" t="str">
        <f t="shared" si="77"/>
        <v/>
      </c>
      <c r="EO77" s="174" t="str">
        <f t="shared" si="77"/>
        <v/>
      </c>
      <c r="EP77" s="174" t="str">
        <f t="shared" si="77"/>
        <v/>
      </c>
      <c r="EQ77" s="174" t="str">
        <f t="shared" si="77"/>
        <v/>
      </c>
      <c r="ER77" s="174" t="str">
        <f t="shared" si="77"/>
        <v/>
      </c>
      <c r="ES77" s="174" t="str">
        <f t="shared" si="77"/>
        <v/>
      </c>
      <c r="ET77" s="174" t="str">
        <f t="shared" si="77"/>
        <v/>
      </c>
      <c r="EU77" s="174" t="str">
        <f t="shared" si="77"/>
        <v/>
      </c>
      <c r="EV77" s="174" t="str">
        <f t="shared" si="77"/>
        <v/>
      </c>
      <c r="EW77" s="174" t="str">
        <f t="shared" si="77"/>
        <v/>
      </c>
      <c r="EX77" s="174" t="str">
        <f t="shared" si="76"/>
        <v/>
      </c>
      <c r="EY77" s="174" t="str">
        <f t="shared" si="76"/>
        <v/>
      </c>
      <c r="EZ77" s="174" t="str">
        <f t="shared" si="73"/>
        <v/>
      </c>
      <c r="FA77" s="174" t="str">
        <f t="shared" si="73"/>
        <v/>
      </c>
      <c r="FB77" s="174" t="str">
        <f t="shared" si="73"/>
        <v/>
      </c>
      <c r="FC77" s="174" t="str">
        <f t="shared" si="73"/>
        <v/>
      </c>
      <c r="FD77" s="174" t="str">
        <f t="shared" si="73"/>
        <v/>
      </c>
      <c r="FE77" s="174" t="str">
        <f t="shared" si="73"/>
        <v/>
      </c>
      <c r="FF77" s="174" t="str">
        <f t="shared" si="73"/>
        <v/>
      </c>
      <c r="FG77" s="174" t="str">
        <f t="shared" si="74"/>
        <v/>
      </c>
      <c r="FH77" s="174" t="str">
        <f t="shared" si="68"/>
        <v/>
      </c>
      <c r="FI77" s="174" t="str">
        <f t="shared" si="69"/>
        <v/>
      </c>
      <c r="FJ77" s="174" t="str">
        <f t="shared" si="70"/>
        <v/>
      </c>
      <c r="FK77" s="174" t="str">
        <f t="shared" si="70"/>
        <v/>
      </c>
    </row>
    <row r="78" spans="2:167" ht="16">
      <c r="B78" s="140" t="s">
        <v>855</v>
      </c>
      <c r="C78" s="127" t="s">
        <v>856</v>
      </c>
      <c r="D78" s="128"/>
      <c r="E78" s="128"/>
      <c r="F78" s="128"/>
      <c r="G78" s="128"/>
      <c r="H78" s="128"/>
      <c r="I78" s="128"/>
      <c r="J78" s="128"/>
      <c r="K78" s="128"/>
      <c r="L78" s="128"/>
      <c r="M78" s="128"/>
      <c r="N78" s="128"/>
      <c r="O78" s="128"/>
      <c r="P78" s="128"/>
      <c r="Q78" s="128"/>
      <c r="R78" s="128"/>
      <c r="S78" s="128"/>
      <c r="T78" s="128"/>
      <c r="U78" s="128"/>
      <c r="V78" s="128"/>
      <c r="W78" s="128"/>
      <c r="X78" s="128"/>
      <c r="Y78" s="128"/>
      <c r="Z78" s="128">
        <v>4.8803950460000003</v>
      </c>
      <c r="AA78" s="128">
        <v>6.0173411090000002</v>
      </c>
      <c r="AB78" s="128">
        <v>5.7598271719999996</v>
      </c>
      <c r="AC78" s="128">
        <v>23.027313235000001</v>
      </c>
      <c r="AD78" s="128">
        <v>22.769799297999999</v>
      </c>
      <c r="AE78" s="128">
        <v>22.563889661000001</v>
      </c>
      <c r="AF78" s="128">
        <v>22.349556188000001</v>
      </c>
      <c r="AG78" s="128">
        <v>22.221583642999999</v>
      </c>
      <c r="AH78" s="128">
        <v>22.093611098</v>
      </c>
      <c r="AI78" s="128">
        <v>21.965638553000002</v>
      </c>
      <c r="AJ78" s="128">
        <v>26.742440208000001</v>
      </c>
      <c r="AK78" s="128">
        <v>26.614467662999999</v>
      </c>
      <c r="AL78" s="128">
        <v>26.486495154</v>
      </c>
      <c r="AM78" s="128">
        <v>26.358522645000001</v>
      </c>
      <c r="AN78" s="128">
        <v>26.237543034000002</v>
      </c>
      <c r="AO78" s="128">
        <v>27.809661636000001</v>
      </c>
      <c r="AP78" s="173">
        <v>31.016275858</v>
      </c>
      <c r="AQ78" s="173">
        <v>31.35775318</v>
      </c>
      <c r="AR78" s="173">
        <v>30.703874259999999</v>
      </c>
      <c r="AS78" s="288">
        <v>28.224130131999999</v>
      </c>
      <c r="AT78" s="288">
        <v>28.076067943000002</v>
      </c>
      <c r="AU78" s="288">
        <v>28.920662454999999</v>
      </c>
      <c r="AV78" s="288">
        <v>28.709239200999999</v>
      </c>
      <c r="AW78" s="158">
        <v>28.497815946999999</v>
      </c>
      <c r="AX78" s="158">
        <v>29.220870272999999</v>
      </c>
      <c r="AY78" s="158">
        <v>28.694706258</v>
      </c>
      <c r="AZ78" s="158">
        <v>28.168542243000001</v>
      </c>
      <c r="BA78" s="158">
        <v>27.642378227999998</v>
      </c>
      <c r="BB78" s="41">
        <v>28.075652216999998</v>
      </c>
      <c r="BC78" s="41">
        <v>27.549488201999999</v>
      </c>
      <c r="BD78" s="158">
        <v>27.075165050999999</v>
      </c>
      <c r="BE78" s="158">
        <v>67.220728695000005</v>
      </c>
      <c r="BF78" s="288">
        <v>78.523786784999999</v>
      </c>
      <c r="BG78" s="289">
        <v>77.073493056000004</v>
      </c>
      <c r="BH78" s="289">
        <v>75.623199326000005</v>
      </c>
      <c r="BI78" s="289">
        <v>74.172905463999996</v>
      </c>
      <c r="BJ78" s="289">
        <v>75.623199326000005</v>
      </c>
      <c r="BK78" s="289">
        <v>71.496570633000005</v>
      </c>
      <c r="BL78" s="289">
        <v>70.158403217</v>
      </c>
      <c r="BM78" s="289">
        <v>68.820235800999995</v>
      </c>
      <c r="BN78" s="289">
        <v>67.48</v>
      </c>
      <c r="BO78" s="289">
        <v>66.143900970999994</v>
      </c>
      <c r="BP78" s="289">
        <v>64.81</v>
      </c>
      <c r="BQ78" s="289">
        <v>63.467566138999999</v>
      </c>
      <c r="BR78" s="289">
        <v>62.129398723000001</v>
      </c>
      <c r="BS78" s="289">
        <v>60.791231308</v>
      </c>
      <c r="BT78" s="289">
        <v>59.453063892000003</v>
      </c>
      <c r="BU78" s="289"/>
      <c r="BV78" s="142"/>
      <c r="BW78" s="142"/>
      <c r="BX78" s="142"/>
      <c r="BY78" s="142"/>
      <c r="BZ78" s="142"/>
      <c r="CA78" s="142"/>
      <c r="CB78" s="142"/>
      <c r="CC78" s="142"/>
      <c r="CD78" s="142"/>
      <c r="CE78" s="142"/>
      <c r="CF78" s="142"/>
      <c r="CG78" s="142"/>
      <c r="CH78" s="142"/>
      <c r="CI78" s="142"/>
      <c r="CJ78" s="142"/>
      <c r="CK78" s="142"/>
      <c r="CL78" s="142"/>
      <c r="CM78" s="142"/>
      <c r="CN78" s="142"/>
      <c r="CO78" s="142"/>
      <c r="CP78" s="142"/>
      <c r="CQ78" s="142"/>
      <c r="CR78" s="142"/>
      <c r="CS78" s="142"/>
      <c r="CT78" s="142"/>
      <c r="CU78" s="142"/>
      <c r="CV78" s="142"/>
      <c r="CW78" s="142"/>
      <c r="CX78" s="142"/>
      <c r="CY78" s="142"/>
      <c r="CZ78" s="142"/>
      <c r="DA78" s="142"/>
      <c r="DB78" s="142"/>
      <c r="DC78" s="142"/>
      <c r="DD78" s="142"/>
      <c r="DE78" s="142"/>
      <c r="DF78" s="142"/>
      <c r="DG78" s="142"/>
      <c r="DH78" s="142"/>
      <c r="DI78" s="142"/>
      <c r="DJ78" s="142"/>
      <c r="DK78" s="142"/>
      <c r="DL78" s="142"/>
      <c r="DM78" s="142"/>
      <c r="DN78" s="142"/>
      <c r="DO78" s="142"/>
      <c r="DP78" s="142"/>
      <c r="DQ78" s="142"/>
      <c r="DR78" s="142"/>
      <c r="DS78" s="133"/>
      <c r="DT78" s="174" t="str">
        <f t="shared" si="75"/>
        <v/>
      </c>
      <c r="DU78" s="174" t="str">
        <f t="shared" si="75"/>
        <v/>
      </c>
      <c r="DV78" s="174" t="str">
        <f t="shared" si="75"/>
        <v/>
      </c>
      <c r="DW78" s="174" t="str">
        <f t="shared" si="75"/>
        <v/>
      </c>
      <c r="DX78" s="174" t="str">
        <f t="shared" si="75"/>
        <v/>
      </c>
      <c r="DY78" s="174" t="str">
        <f t="shared" si="75"/>
        <v/>
      </c>
      <c r="DZ78" s="174" t="str">
        <f t="shared" si="75"/>
        <v/>
      </c>
      <c r="EA78" s="174" t="str">
        <f t="shared" si="75"/>
        <v/>
      </c>
      <c r="EB78" s="174" t="str">
        <f t="shared" si="75"/>
        <v/>
      </c>
      <c r="EC78" s="174" t="str">
        <f t="shared" si="75"/>
        <v/>
      </c>
      <c r="ED78" s="174" t="str">
        <f t="shared" si="75"/>
        <v/>
      </c>
      <c r="EE78" s="174" t="str">
        <f t="shared" si="75"/>
        <v/>
      </c>
      <c r="EF78" s="174" t="str">
        <f t="shared" si="75"/>
        <v/>
      </c>
      <c r="EG78" s="174" t="str">
        <f t="shared" si="75"/>
        <v/>
      </c>
      <c r="EH78" s="174" t="str">
        <f t="shared" si="75"/>
        <v/>
      </c>
      <c r="EI78" s="174" t="str">
        <f t="shared" si="75"/>
        <v/>
      </c>
      <c r="EJ78" s="174" t="str">
        <f t="shared" si="77"/>
        <v/>
      </c>
      <c r="EK78" s="174" t="str">
        <f t="shared" si="77"/>
        <v/>
      </c>
      <c r="EL78" s="174" t="str">
        <f t="shared" si="77"/>
        <v/>
      </c>
      <c r="EM78" s="174" t="str">
        <f t="shared" si="77"/>
        <v/>
      </c>
      <c r="EN78" s="174">
        <f t="shared" si="77"/>
        <v>3.6655647920678582</v>
      </c>
      <c r="EO78" s="174">
        <f t="shared" si="77"/>
        <v>2.7498106310196881</v>
      </c>
      <c r="EP78" s="174">
        <f t="shared" si="77"/>
        <v>2.8802477089324725</v>
      </c>
      <c r="EQ78" s="174">
        <f t="shared" si="77"/>
        <v>-3.4990169446922126E-2</v>
      </c>
      <c r="ER78" s="174">
        <f t="shared" si="77"/>
        <v>-2.9696713227480798E-2</v>
      </c>
      <c r="ES78" s="174">
        <f t="shared" si="77"/>
        <v>-2.6513651546259398E-2</v>
      </c>
      <c r="ET78" s="174">
        <f t="shared" si="77"/>
        <v>0.19655352361576828</v>
      </c>
      <c r="EU78" s="174">
        <f t="shared" si="77"/>
        <v>0.19768546160227429</v>
      </c>
      <c r="EV78" s="174">
        <f t="shared" si="77"/>
        <v>0.19883051423846521</v>
      </c>
      <c r="EW78" s="174">
        <f t="shared" si="77"/>
        <v>0.199988909104581</v>
      </c>
      <c r="EX78" s="174">
        <f t="shared" si="76"/>
        <v>-1.8879996368056151E-2</v>
      </c>
      <c r="EY78" s="174">
        <f t="shared" si="76"/>
        <v>4.490767909145843E-2</v>
      </c>
      <c r="EZ78" s="174">
        <f t="shared" si="73"/>
        <v>0.17102227673622239</v>
      </c>
      <c r="FA78" s="174">
        <f t="shared" si="73"/>
        <v>0.18966277444036916</v>
      </c>
      <c r="FB78" s="174">
        <f t="shared" si="73"/>
        <v>0.17022673274750955</v>
      </c>
      <c r="FC78" s="174">
        <f t="shared" si="73"/>
        <v>1.4903759039752718E-2</v>
      </c>
      <c r="FD78" s="174">
        <f t="shared" si="73"/>
        <v>-9.4795646274909995E-2</v>
      </c>
      <c r="FE78" s="174">
        <f t="shared" si="73"/>
        <v>-7.7718920453598628E-2</v>
      </c>
      <c r="FF78" s="174">
        <f t="shared" si="73"/>
        <v>-6.4963627785518452E-2</v>
      </c>
      <c r="FG78" s="174">
        <f t="shared" si="74"/>
        <v>9.6968733392317485E-3</v>
      </c>
      <c r="FH78" s="174">
        <f t="shared" si="68"/>
        <v>4.0775023494179274E-2</v>
      </c>
      <c r="FI78" s="174">
        <f t="shared" si="69"/>
        <v>-7.812967540130944E-3</v>
      </c>
      <c r="FJ78" s="174">
        <f t="shared" si="70"/>
        <v>-1.8833552300513978E-2</v>
      </c>
      <c r="FK78" s="174">
        <f t="shared" si="70"/>
        <v>-3.0017658917825041E-2</v>
      </c>
    </row>
    <row r="79" spans="2:167" ht="16">
      <c r="B79" s="140" t="s">
        <v>846</v>
      </c>
      <c r="C79" s="127" t="s">
        <v>857</v>
      </c>
      <c r="D79" s="128"/>
      <c r="E79" s="128"/>
      <c r="F79" s="128"/>
      <c r="G79" s="128"/>
      <c r="H79" s="128"/>
      <c r="I79" s="128"/>
      <c r="J79" s="128"/>
      <c r="K79" s="128"/>
      <c r="L79" s="128"/>
      <c r="M79" s="128"/>
      <c r="N79" s="128"/>
      <c r="O79" s="128"/>
      <c r="P79" s="128"/>
      <c r="Q79" s="128"/>
      <c r="R79" s="128"/>
      <c r="S79" s="128"/>
      <c r="T79" s="128"/>
      <c r="U79" s="128"/>
      <c r="V79" s="128"/>
      <c r="W79" s="128"/>
      <c r="X79" s="128"/>
      <c r="Y79" s="128"/>
      <c r="Z79" s="128">
        <v>7.2880700440000004</v>
      </c>
      <c r="AA79" s="128">
        <v>8.6267516440000005</v>
      </c>
      <c r="AB79" s="128">
        <v>8.6267516440000005</v>
      </c>
      <c r="AC79" s="128">
        <v>26.151751644000001</v>
      </c>
      <c r="AD79" s="128">
        <v>26.151751644000001</v>
      </c>
      <c r="AE79" s="128">
        <v>26.203355943999998</v>
      </c>
      <c r="AF79" s="128">
        <v>26.203355943999998</v>
      </c>
      <c r="AG79" s="128">
        <v>26.203355943999998</v>
      </c>
      <c r="AH79" s="128">
        <v>26.203355943999998</v>
      </c>
      <c r="AI79" s="128">
        <v>26.203355943999998</v>
      </c>
      <c r="AJ79" s="128">
        <v>31.108130144</v>
      </c>
      <c r="AK79" s="128">
        <v>31.108130144</v>
      </c>
      <c r="AL79" s="128">
        <v>31.108130144</v>
      </c>
      <c r="AM79" s="128">
        <v>31.108130144</v>
      </c>
      <c r="AN79" s="128">
        <v>31.108130144</v>
      </c>
      <c r="AO79" s="128">
        <v>32.779467144000002</v>
      </c>
      <c r="AP79" s="173">
        <v>42.833498124999998</v>
      </c>
      <c r="AQ79" s="173">
        <v>43.892454125</v>
      </c>
      <c r="AR79" s="173">
        <v>43.885640125000002</v>
      </c>
      <c r="AS79" s="288">
        <v>33.838423143999997</v>
      </c>
      <c r="AT79" s="288">
        <v>33.838423143999997</v>
      </c>
      <c r="AU79" s="288">
        <v>34.852200199999999</v>
      </c>
      <c r="AV79" s="288">
        <v>34.852200199999999</v>
      </c>
      <c r="AW79" s="158">
        <v>34.852200199999999</v>
      </c>
      <c r="AX79" s="158">
        <v>35.811638199999997</v>
      </c>
      <c r="AY79" s="158">
        <v>35.811638199999997</v>
      </c>
      <c r="AZ79" s="158">
        <v>35.811638199999997</v>
      </c>
      <c r="BA79" s="158">
        <v>35.811638199999997</v>
      </c>
      <c r="BB79" s="41">
        <v>36.771076200000003</v>
      </c>
      <c r="BC79" s="41">
        <v>36.771076200000003</v>
      </c>
      <c r="BD79" s="158">
        <v>36.771076200000003</v>
      </c>
      <c r="BE79" s="158">
        <v>77.304561509999999</v>
      </c>
      <c r="BF79" s="288">
        <v>90.297772827000003</v>
      </c>
      <c r="BG79" s="289">
        <v>90.297772827000003</v>
      </c>
      <c r="BH79" s="289">
        <v>90.297772827000003</v>
      </c>
      <c r="BI79" s="289">
        <v>90.297772827000003</v>
      </c>
      <c r="BJ79" s="289">
        <v>90.297772827000003</v>
      </c>
      <c r="BK79" s="289">
        <v>90.297772827000003</v>
      </c>
      <c r="BL79" s="289">
        <v>90.297772827000003</v>
      </c>
      <c r="BM79" s="289">
        <v>90.297772827000003</v>
      </c>
      <c r="BN79" s="289">
        <v>90.3</v>
      </c>
      <c r="BO79" s="289">
        <v>90.297772827000003</v>
      </c>
      <c r="BP79" s="289">
        <v>90.3</v>
      </c>
      <c r="BQ79" s="289">
        <v>90.297772827000003</v>
      </c>
      <c r="BR79" s="289">
        <v>90.297772827000003</v>
      </c>
      <c r="BS79" s="289">
        <v>90.297772827000003</v>
      </c>
      <c r="BT79" s="289">
        <v>90.297772827000003</v>
      </c>
      <c r="BU79" s="289"/>
      <c r="BV79" s="142"/>
      <c r="BW79" s="142"/>
      <c r="BX79" s="142"/>
      <c r="BY79" s="142"/>
      <c r="BZ79" s="142"/>
      <c r="CA79" s="142"/>
      <c r="CB79" s="142"/>
      <c r="CC79" s="142"/>
      <c r="CD79" s="142"/>
      <c r="CE79" s="142"/>
      <c r="CF79" s="142"/>
      <c r="CG79" s="142"/>
      <c r="CH79" s="142"/>
      <c r="CI79" s="142"/>
      <c r="CJ79" s="142"/>
      <c r="CK79" s="142"/>
      <c r="CL79" s="142"/>
      <c r="CM79" s="142"/>
      <c r="CN79" s="142"/>
      <c r="CO79" s="142"/>
      <c r="CP79" s="142"/>
      <c r="CQ79" s="142"/>
      <c r="CR79" s="142"/>
      <c r="CS79" s="142"/>
      <c r="CT79" s="142"/>
      <c r="CU79" s="142"/>
      <c r="CV79" s="142"/>
      <c r="CW79" s="142"/>
      <c r="CX79" s="142"/>
      <c r="CY79" s="142"/>
      <c r="CZ79" s="142"/>
      <c r="DA79" s="142"/>
      <c r="DB79" s="142"/>
      <c r="DC79" s="142"/>
      <c r="DD79" s="142"/>
      <c r="DE79" s="142"/>
      <c r="DF79" s="142"/>
      <c r="DG79" s="142"/>
      <c r="DH79" s="142"/>
      <c r="DI79" s="142"/>
      <c r="DJ79" s="142"/>
      <c r="DK79" s="142"/>
      <c r="DL79" s="142"/>
      <c r="DM79" s="142"/>
      <c r="DN79" s="142"/>
      <c r="DO79" s="142"/>
      <c r="DP79" s="142"/>
      <c r="DQ79" s="142"/>
      <c r="DR79" s="142"/>
      <c r="DS79" s="133"/>
      <c r="DT79" s="174" t="str">
        <f t="shared" si="75"/>
        <v/>
      </c>
      <c r="DU79" s="174" t="str">
        <f t="shared" si="75"/>
        <v/>
      </c>
      <c r="DV79" s="174" t="str">
        <f t="shared" si="75"/>
        <v/>
      </c>
      <c r="DW79" s="174" t="str">
        <f t="shared" si="75"/>
        <v/>
      </c>
      <c r="DX79" s="174" t="str">
        <f t="shared" si="75"/>
        <v/>
      </c>
      <c r="DY79" s="174" t="str">
        <f t="shared" si="75"/>
        <v/>
      </c>
      <c r="DZ79" s="174" t="str">
        <f t="shared" si="75"/>
        <v/>
      </c>
      <c r="EA79" s="174" t="str">
        <f t="shared" si="75"/>
        <v/>
      </c>
      <c r="EB79" s="174" t="str">
        <f t="shared" si="75"/>
        <v/>
      </c>
      <c r="EC79" s="174" t="str">
        <f t="shared" si="75"/>
        <v/>
      </c>
      <c r="ED79" s="174" t="str">
        <f t="shared" si="75"/>
        <v/>
      </c>
      <c r="EE79" s="174" t="str">
        <f t="shared" si="75"/>
        <v/>
      </c>
      <c r="EF79" s="174" t="str">
        <f t="shared" si="75"/>
        <v/>
      </c>
      <c r="EG79" s="174" t="str">
        <f t="shared" si="75"/>
        <v/>
      </c>
      <c r="EH79" s="174" t="str">
        <f t="shared" si="75"/>
        <v/>
      </c>
      <c r="EI79" s="174" t="str">
        <f t="shared" si="75"/>
        <v/>
      </c>
      <c r="EJ79" s="174" t="str">
        <f t="shared" si="77"/>
        <v/>
      </c>
      <c r="EK79" s="174" t="str">
        <f t="shared" si="77"/>
        <v/>
      </c>
      <c r="EL79" s="174" t="str">
        <f t="shared" si="77"/>
        <v/>
      </c>
      <c r="EM79" s="174" t="str">
        <f t="shared" si="77"/>
        <v/>
      </c>
      <c r="EN79" s="174">
        <f t="shared" si="77"/>
        <v>2.588295870664659</v>
      </c>
      <c r="EO79" s="174">
        <f t="shared" si="77"/>
        <v>2.0374533805229826</v>
      </c>
      <c r="EP79" s="174">
        <f t="shared" si="77"/>
        <v>2.0374533805229826</v>
      </c>
      <c r="EQ79" s="174">
        <f t="shared" si="77"/>
        <v>1.9732636154732308E-3</v>
      </c>
      <c r="ER79" s="174">
        <f t="shared" si="77"/>
        <v>1.9732636154732308E-3</v>
      </c>
      <c r="ES79" s="174">
        <f t="shared" si="77"/>
        <v>0</v>
      </c>
      <c r="ET79" s="174">
        <f t="shared" si="77"/>
        <v>0.18718114620440773</v>
      </c>
      <c r="EU79" s="174">
        <f t="shared" si="77"/>
        <v>0.18718114620440773</v>
      </c>
      <c r="EV79" s="174">
        <f t="shared" si="77"/>
        <v>0.18718114620440773</v>
      </c>
      <c r="EW79" s="174">
        <f t="shared" si="77"/>
        <v>0.18718114620440773</v>
      </c>
      <c r="EX79" s="174">
        <f t="shared" si="76"/>
        <v>0</v>
      </c>
      <c r="EY79" s="174">
        <f t="shared" si="76"/>
        <v>5.3726694348498416E-2</v>
      </c>
      <c r="EZ79" s="174">
        <f t="shared" si="73"/>
        <v>0.37692294351100797</v>
      </c>
      <c r="FA79" s="174">
        <f t="shared" si="73"/>
        <v>0.4109640766520255</v>
      </c>
      <c r="FB79" s="174">
        <f t="shared" si="73"/>
        <v>0.41074503423551056</v>
      </c>
      <c r="FC79" s="174">
        <f t="shared" si="73"/>
        <v>3.2305467180049341E-2</v>
      </c>
      <c r="FD79" s="174">
        <f t="shared" si="73"/>
        <v>-0.21000094259754098</v>
      </c>
      <c r="FE79" s="174">
        <f t="shared" si="73"/>
        <v>-0.20596373807795154</v>
      </c>
      <c r="FF79" s="174">
        <f t="shared" si="73"/>
        <v>-0.20584045029923104</v>
      </c>
      <c r="FG79" s="174">
        <f t="shared" si="74"/>
        <v>2.9959346855078284E-2</v>
      </c>
      <c r="FH79" s="174">
        <f t="shared" si="68"/>
        <v>5.8312854816045867E-2</v>
      </c>
      <c r="FI79" s="174">
        <f t="shared" si="69"/>
        <v>2.7528764166802944E-2</v>
      </c>
      <c r="FJ79" s="174">
        <f t="shared" si="70"/>
        <v>2.7528764166802944E-2</v>
      </c>
      <c r="FK79" s="174">
        <f t="shared" si="70"/>
        <v>2.7528764166802944E-2</v>
      </c>
    </row>
    <row r="80" spans="2:167" ht="16">
      <c r="B80" s="140" t="s">
        <v>570</v>
      </c>
      <c r="C80" s="127" t="s">
        <v>858</v>
      </c>
      <c r="D80" s="128"/>
      <c r="E80" s="128"/>
      <c r="F80" s="128"/>
      <c r="G80" s="128"/>
      <c r="H80" s="128"/>
      <c r="I80" s="128"/>
      <c r="J80" s="128"/>
      <c r="K80" s="128"/>
      <c r="L80" s="128"/>
      <c r="M80" s="128"/>
      <c r="N80" s="128"/>
      <c r="O80" s="128"/>
      <c r="P80" s="128"/>
      <c r="Q80" s="128"/>
      <c r="R80" s="128"/>
      <c r="S80" s="128"/>
      <c r="T80" s="128"/>
      <c r="U80" s="128"/>
      <c r="V80" s="128"/>
      <c r="W80" s="128"/>
      <c r="X80" s="128"/>
      <c r="Y80" s="128"/>
      <c r="Z80" s="128">
        <v>-2.4076749980000001</v>
      </c>
      <c r="AA80" s="128">
        <v>-2.6094105349999999</v>
      </c>
      <c r="AB80" s="128">
        <v>-2.866924472</v>
      </c>
      <c r="AC80" s="128">
        <v>-3.1244384090000001</v>
      </c>
      <c r="AD80" s="128">
        <v>-3.3819523459999998</v>
      </c>
      <c r="AE80" s="128">
        <v>-3.639466283</v>
      </c>
      <c r="AF80" s="128">
        <v>-3.8537997559999999</v>
      </c>
      <c r="AG80" s="128">
        <v>-3.9817723009999999</v>
      </c>
      <c r="AH80" s="128">
        <v>-4.1097448459999999</v>
      </c>
      <c r="AI80" s="128">
        <v>-4.2377173910000003</v>
      </c>
      <c r="AJ80" s="128">
        <v>-4.3656899359999999</v>
      </c>
      <c r="AK80" s="128">
        <v>-4.4936624810000003</v>
      </c>
      <c r="AL80" s="128">
        <v>-4.6216349900000004</v>
      </c>
      <c r="AM80" s="128">
        <v>-4.7496074989999997</v>
      </c>
      <c r="AN80" s="128">
        <v>-4.8705871099999998</v>
      </c>
      <c r="AO80" s="128">
        <v>-4.9698055080000003</v>
      </c>
      <c r="AP80" s="173">
        <v>-11.817222267</v>
      </c>
      <c r="AQ80" s="173">
        <v>-12.534700945000001</v>
      </c>
      <c r="AR80" s="173">
        <v>-13.181765864999999</v>
      </c>
      <c r="AS80" s="288">
        <v>-5.6142930120000001</v>
      </c>
      <c r="AT80" s="288">
        <v>-5.7623552010000001</v>
      </c>
      <c r="AU80" s="288">
        <v>-5.931537745</v>
      </c>
      <c r="AV80" s="288">
        <v>-6.1429609989999996</v>
      </c>
      <c r="AW80" s="158">
        <v>-6.3543842530000001</v>
      </c>
      <c r="AX80" s="158">
        <v>-6.5907679269999999</v>
      </c>
      <c r="AY80" s="158">
        <v>-7.1169319419999999</v>
      </c>
      <c r="AZ80" s="158">
        <v>-7.6430959569999999</v>
      </c>
      <c r="BA80" s="158">
        <v>-8.1692599720000008</v>
      </c>
      <c r="BB80" s="41">
        <v>-8.6954239829999995</v>
      </c>
      <c r="BC80" s="41">
        <v>-9.2215879980000004</v>
      </c>
      <c r="BD80" s="158">
        <v>-9.6959111490000005</v>
      </c>
      <c r="BE80" s="158">
        <v>-10.083832814999999</v>
      </c>
      <c r="BF80" s="288">
        <v>-11.773986042000001</v>
      </c>
      <c r="BG80" s="289">
        <v>-13.224279771000001</v>
      </c>
      <c r="BH80" s="289">
        <v>-14.674573500999999</v>
      </c>
      <c r="BI80" s="289">
        <v>-16.124867363</v>
      </c>
      <c r="BJ80" s="289">
        <v>-14.674573500999999</v>
      </c>
      <c r="BK80" s="289">
        <v>-18.801202193999998</v>
      </c>
      <c r="BL80" s="289">
        <v>-20.139369609999999</v>
      </c>
      <c r="BM80" s="289">
        <v>-21.477537026</v>
      </c>
      <c r="BN80" s="289">
        <v>-22.82</v>
      </c>
      <c r="BO80" s="289">
        <v>-24.153871855999999</v>
      </c>
      <c r="BP80" s="289">
        <v>-25.49</v>
      </c>
      <c r="BQ80" s="289">
        <v>-26.830206688000001</v>
      </c>
      <c r="BR80" s="289">
        <v>-28.168374104000002</v>
      </c>
      <c r="BS80" s="289">
        <v>-29.506541518999999</v>
      </c>
      <c r="BT80" s="289">
        <v>-30.844708935</v>
      </c>
      <c r="BU80" s="289"/>
      <c r="BV80" s="142"/>
      <c r="BW80" s="142"/>
      <c r="BX80" s="142"/>
      <c r="BY80" s="142"/>
      <c r="BZ80" s="142"/>
      <c r="CA80" s="142"/>
      <c r="CB80" s="142"/>
      <c r="CC80" s="142"/>
      <c r="CD80" s="142"/>
      <c r="CE80" s="142"/>
      <c r="CF80" s="142"/>
      <c r="CG80" s="142"/>
      <c r="CH80" s="142"/>
      <c r="CI80" s="142"/>
      <c r="CJ80" s="142"/>
      <c r="CK80" s="142"/>
      <c r="CL80" s="142"/>
      <c r="CM80" s="142"/>
      <c r="CN80" s="142"/>
      <c r="CO80" s="142"/>
      <c r="CP80" s="142"/>
      <c r="CQ80" s="142"/>
      <c r="CR80" s="142"/>
      <c r="CS80" s="142"/>
      <c r="CT80" s="142"/>
      <c r="CU80" s="142"/>
      <c r="CV80" s="142"/>
      <c r="CW80" s="142"/>
      <c r="CX80" s="142"/>
      <c r="CY80" s="142"/>
      <c r="CZ80" s="142"/>
      <c r="DA80" s="142"/>
      <c r="DB80" s="142"/>
      <c r="DC80" s="142"/>
      <c r="DD80" s="142"/>
      <c r="DE80" s="142"/>
      <c r="DF80" s="142"/>
      <c r="DG80" s="142"/>
      <c r="DH80" s="142"/>
      <c r="DI80" s="142"/>
      <c r="DJ80" s="142"/>
      <c r="DK80" s="142"/>
      <c r="DL80" s="142"/>
      <c r="DM80" s="142"/>
      <c r="DN80" s="142"/>
      <c r="DO80" s="142"/>
      <c r="DP80" s="142"/>
      <c r="DQ80" s="142"/>
      <c r="DR80" s="142"/>
      <c r="DS80" s="133"/>
      <c r="DT80" s="174" t="str">
        <f t="shared" si="75"/>
        <v/>
      </c>
      <c r="DU80" s="174" t="str">
        <f t="shared" si="75"/>
        <v/>
      </c>
      <c r="DV80" s="174" t="str">
        <f t="shared" si="75"/>
        <v/>
      </c>
      <c r="DW80" s="174" t="str">
        <f t="shared" si="75"/>
        <v/>
      </c>
      <c r="DX80" s="174" t="str">
        <f t="shared" si="75"/>
        <v/>
      </c>
      <c r="DY80" s="174" t="str">
        <f t="shared" si="75"/>
        <v/>
      </c>
      <c r="DZ80" s="174" t="str">
        <f t="shared" si="75"/>
        <v/>
      </c>
      <c r="EA80" s="174" t="str">
        <f t="shared" si="75"/>
        <v/>
      </c>
      <c r="EB80" s="174" t="str">
        <f t="shared" si="75"/>
        <v/>
      </c>
      <c r="EC80" s="174" t="str">
        <f t="shared" si="75"/>
        <v/>
      </c>
      <c r="ED80" s="174" t="str">
        <f t="shared" si="75"/>
        <v/>
      </c>
      <c r="EE80" s="174" t="str">
        <f t="shared" si="75"/>
        <v/>
      </c>
      <c r="EF80" s="174" t="str">
        <f t="shared" si="75"/>
        <v/>
      </c>
      <c r="EG80" s="174" t="str">
        <f t="shared" si="75"/>
        <v/>
      </c>
      <c r="EH80" s="174" t="str">
        <f t="shared" si="75"/>
        <v/>
      </c>
      <c r="EI80" s="174" t="str">
        <f t="shared" si="75"/>
        <v/>
      </c>
      <c r="EJ80" s="174" t="str">
        <f t="shared" si="77"/>
        <v/>
      </c>
      <c r="EK80" s="174" t="str">
        <f t="shared" si="77"/>
        <v/>
      </c>
      <c r="EL80" s="174" t="str">
        <f t="shared" si="77"/>
        <v/>
      </c>
      <c r="EM80" s="174" t="str">
        <f t="shared" si="77"/>
        <v/>
      </c>
      <c r="EN80" s="174">
        <f t="shared" si="77"/>
        <v>0.40465484287094777</v>
      </c>
      <c r="EO80" s="174">
        <f t="shared" si="77"/>
        <v>0.39474652768656826</v>
      </c>
      <c r="EP80" s="174">
        <f t="shared" si="77"/>
        <v>0.34422786286781526</v>
      </c>
      <c r="EQ80" s="174">
        <f t="shared" si="77"/>
        <v>0.27439615693189356</v>
      </c>
      <c r="ER80" s="174">
        <f t="shared" si="77"/>
        <v>0.21519892226181003</v>
      </c>
      <c r="ES80" s="174">
        <f t="shared" si="77"/>
        <v>0.16437880213218081</v>
      </c>
      <c r="ET80" s="174">
        <f t="shared" si="77"/>
        <v>0.13282739436656921</v>
      </c>
      <c r="EU80" s="174">
        <f t="shared" si="77"/>
        <v>0.12855837584470664</v>
      </c>
      <c r="EV80" s="174">
        <f t="shared" si="77"/>
        <v>0.12455521283717208</v>
      </c>
      <c r="EW80" s="174">
        <f t="shared" si="77"/>
        <v>0.12079382855665255</v>
      </c>
      <c r="EX80" s="174">
        <f t="shared" si="76"/>
        <v>0.11565117573663608</v>
      </c>
      <c r="EY80" s="174">
        <f t="shared" si="76"/>
        <v>0.10595878729504427</v>
      </c>
      <c r="EZ80" s="174">
        <f t="shared" si="73"/>
        <v>1.5569354335791021</v>
      </c>
      <c r="FA80" s="174">
        <f t="shared" si="73"/>
        <v>1.6391024832344785</v>
      </c>
      <c r="FB80" s="174">
        <f t="shared" si="73"/>
        <v>1.7064018294500847</v>
      </c>
      <c r="FC80" s="174">
        <f t="shared" si="73"/>
        <v>0.12968062894263266</v>
      </c>
      <c r="FD80" s="174">
        <f t="shared" si="73"/>
        <v>-0.51237650686392056</v>
      </c>
      <c r="FE80" s="174">
        <f t="shared" si="73"/>
        <v>-0.52679064534315467</v>
      </c>
      <c r="FF80" s="174">
        <f t="shared" si="73"/>
        <v>-0.53398041947394281</v>
      </c>
      <c r="FG80" s="174">
        <f t="shared" si="74"/>
        <v>0.13182269600431029</v>
      </c>
      <c r="FH80" s="174">
        <f t="shared" si="68"/>
        <v>0.14376287075399952</v>
      </c>
      <c r="FI80" s="174">
        <f t="shared" si="69"/>
        <v>0.19984601767041443</v>
      </c>
      <c r="FJ80" s="174">
        <f t="shared" si="70"/>
        <v>0.24420388770890855</v>
      </c>
      <c r="FK80" s="174">
        <f t="shared" si="70"/>
        <v>0.2856100051146846</v>
      </c>
    </row>
    <row r="81" spans="2:167" ht="16">
      <c r="B81" s="140" t="s">
        <v>859</v>
      </c>
      <c r="C81" s="127" t="s">
        <v>860</v>
      </c>
      <c r="D81" s="128"/>
      <c r="E81" s="128"/>
      <c r="F81" s="128"/>
      <c r="G81" s="128"/>
      <c r="H81" s="128"/>
      <c r="I81" s="128"/>
      <c r="J81" s="128"/>
      <c r="K81" s="128"/>
      <c r="L81" s="128"/>
      <c r="M81" s="128"/>
      <c r="N81" s="128"/>
      <c r="O81" s="128"/>
      <c r="P81" s="128"/>
      <c r="Q81" s="128"/>
      <c r="R81" s="128"/>
      <c r="S81" s="128"/>
      <c r="T81" s="128"/>
      <c r="U81" s="128"/>
      <c r="V81" s="128"/>
      <c r="W81" s="128"/>
      <c r="X81" s="128"/>
      <c r="Y81" s="128"/>
      <c r="Z81" s="128">
        <v>10.249716315000001</v>
      </c>
      <c r="AA81" s="128">
        <v>6.553962705</v>
      </c>
      <c r="AB81" s="128">
        <v>36.430763601999999</v>
      </c>
      <c r="AC81" s="128">
        <v>23.060724275999998</v>
      </c>
      <c r="AD81" s="128">
        <v>9.3050397839999999</v>
      </c>
      <c r="AE81" s="128">
        <v>0</v>
      </c>
      <c r="AF81" s="128">
        <v>0</v>
      </c>
      <c r="AG81" s="128">
        <v>0</v>
      </c>
      <c r="AH81" s="128">
        <v>0</v>
      </c>
      <c r="AI81" s="128">
        <v>0</v>
      </c>
      <c r="AJ81" s="128">
        <v>0</v>
      </c>
      <c r="AK81" s="128">
        <v>0</v>
      </c>
      <c r="AL81" s="128">
        <v>0</v>
      </c>
      <c r="AM81" s="128">
        <v>0</v>
      </c>
      <c r="AN81" s="128">
        <v>0</v>
      </c>
      <c r="AO81" s="128">
        <v>0</v>
      </c>
      <c r="AP81" s="173">
        <v>0</v>
      </c>
      <c r="AQ81" s="173">
        <v>0</v>
      </c>
      <c r="AR81" s="173">
        <v>0</v>
      </c>
      <c r="AS81" s="288">
        <v>0</v>
      </c>
      <c r="AT81" s="288">
        <v>0</v>
      </c>
      <c r="AU81" s="288">
        <v>0</v>
      </c>
      <c r="AV81" s="288">
        <v>0</v>
      </c>
      <c r="AW81" s="158">
        <v>0</v>
      </c>
      <c r="AX81" s="158">
        <v>0</v>
      </c>
      <c r="AY81" s="158">
        <v>0</v>
      </c>
      <c r="AZ81" s="158">
        <v>0</v>
      </c>
      <c r="BA81" s="158">
        <v>0</v>
      </c>
      <c r="BB81" s="41">
        <v>0</v>
      </c>
      <c r="BC81" s="41">
        <v>0</v>
      </c>
      <c r="BD81" s="158">
        <v>0</v>
      </c>
      <c r="BE81" s="158">
        <v>0</v>
      </c>
      <c r="BF81" s="288">
        <v>0</v>
      </c>
      <c r="BG81" s="289">
        <v>0</v>
      </c>
      <c r="BH81" s="289">
        <v>0</v>
      </c>
      <c r="BI81" s="289">
        <v>0</v>
      </c>
      <c r="BJ81" s="289">
        <v>0</v>
      </c>
      <c r="BK81" s="289">
        <v>0</v>
      </c>
      <c r="BL81" s="289">
        <v>0</v>
      </c>
      <c r="BM81" s="289">
        <v>0</v>
      </c>
      <c r="BN81" s="289">
        <v>0</v>
      </c>
      <c r="BO81" s="289">
        <v>0</v>
      </c>
      <c r="BP81" s="289">
        <v>0</v>
      </c>
      <c r="BQ81" s="289">
        <v>0</v>
      </c>
      <c r="BR81" s="289">
        <v>0</v>
      </c>
      <c r="BS81" s="289">
        <v>0</v>
      </c>
      <c r="BT81" s="289">
        <v>0</v>
      </c>
      <c r="BU81" s="289"/>
      <c r="BV81" s="142"/>
      <c r="BW81" s="142"/>
      <c r="BX81" s="142"/>
      <c r="BY81" s="142"/>
      <c r="BZ81" s="142"/>
      <c r="CA81" s="142"/>
      <c r="CB81" s="142"/>
      <c r="CC81" s="142"/>
      <c r="CD81" s="142"/>
      <c r="CE81" s="142"/>
      <c r="CF81" s="142"/>
      <c r="CG81" s="142"/>
      <c r="CH81" s="142"/>
      <c r="CI81" s="142"/>
      <c r="CJ81" s="142"/>
      <c r="CK81" s="142"/>
      <c r="CL81" s="142"/>
      <c r="CM81" s="142"/>
      <c r="CN81" s="142"/>
      <c r="CO81" s="142"/>
      <c r="CP81" s="142"/>
      <c r="CQ81" s="142"/>
      <c r="CR81" s="142"/>
      <c r="CS81" s="142"/>
      <c r="CT81" s="142"/>
      <c r="CU81" s="142"/>
      <c r="CV81" s="142"/>
      <c r="CW81" s="142"/>
      <c r="CX81" s="142"/>
      <c r="CY81" s="142"/>
      <c r="CZ81" s="142"/>
      <c r="DA81" s="142"/>
      <c r="DB81" s="142"/>
      <c r="DC81" s="142"/>
      <c r="DD81" s="142"/>
      <c r="DE81" s="142"/>
      <c r="DF81" s="142"/>
      <c r="DG81" s="142"/>
      <c r="DH81" s="142"/>
      <c r="DI81" s="142"/>
      <c r="DJ81" s="142"/>
      <c r="DK81" s="142"/>
      <c r="DL81" s="142"/>
      <c r="DM81" s="142"/>
      <c r="DN81" s="142"/>
      <c r="DO81" s="142"/>
      <c r="DP81" s="142"/>
      <c r="DQ81" s="142"/>
      <c r="DR81" s="142"/>
      <c r="DS81" s="133"/>
      <c r="DT81" s="174" t="str">
        <f t="shared" si="75"/>
        <v/>
      </c>
      <c r="DU81" s="174" t="str">
        <f t="shared" si="75"/>
        <v/>
      </c>
      <c r="DV81" s="174" t="str">
        <f t="shared" si="75"/>
        <v/>
      </c>
      <c r="DW81" s="174" t="str">
        <f t="shared" si="75"/>
        <v/>
      </c>
      <c r="DX81" s="174" t="str">
        <f t="shared" si="75"/>
        <v/>
      </c>
      <c r="DY81" s="174" t="str">
        <f t="shared" si="75"/>
        <v/>
      </c>
      <c r="DZ81" s="174" t="str">
        <f t="shared" si="75"/>
        <v/>
      </c>
      <c r="EA81" s="174" t="str">
        <f t="shared" si="75"/>
        <v/>
      </c>
      <c r="EB81" s="174" t="str">
        <f t="shared" si="75"/>
        <v/>
      </c>
      <c r="EC81" s="174" t="str">
        <f t="shared" si="75"/>
        <v/>
      </c>
      <c r="ED81" s="174" t="str">
        <f t="shared" si="75"/>
        <v/>
      </c>
      <c r="EE81" s="174" t="str">
        <f t="shared" si="75"/>
        <v/>
      </c>
      <c r="EF81" s="174" t="str">
        <f t="shared" si="75"/>
        <v/>
      </c>
      <c r="EG81" s="174" t="str">
        <f t="shared" si="75"/>
        <v/>
      </c>
      <c r="EH81" s="174" t="str">
        <f t="shared" si="75"/>
        <v/>
      </c>
      <c r="EI81" s="174" t="str">
        <f t="shared" si="75"/>
        <v/>
      </c>
      <c r="EJ81" s="174" t="str">
        <f t="shared" si="77"/>
        <v/>
      </c>
      <c r="EK81" s="174" t="str">
        <f t="shared" si="77"/>
        <v/>
      </c>
      <c r="EL81" s="174" t="str">
        <f t="shared" si="77"/>
        <v/>
      </c>
      <c r="EM81" s="174" t="str">
        <f t="shared" si="77"/>
        <v/>
      </c>
      <c r="EN81" s="174">
        <f t="shared" si="77"/>
        <v>-9.2166114843345359E-2</v>
      </c>
      <c r="EO81" s="174">
        <f t="shared" si="77"/>
        <v>-1</v>
      </c>
      <c r="EP81" s="174">
        <f t="shared" si="77"/>
        <v>-1</v>
      </c>
      <c r="EQ81" s="174">
        <f t="shared" si="77"/>
        <v>-1</v>
      </c>
      <c r="ER81" s="174">
        <f t="shared" si="77"/>
        <v>-1</v>
      </c>
      <c r="ES81" s="174" t="str">
        <f t="shared" si="77"/>
        <v/>
      </c>
      <c r="ET81" s="174" t="str">
        <f t="shared" si="77"/>
        <v/>
      </c>
      <c r="EU81" s="174" t="str">
        <f t="shared" si="77"/>
        <v/>
      </c>
      <c r="EV81" s="174" t="str">
        <f t="shared" si="77"/>
        <v/>
      </c>
      <c r="EW81" s="174" t="str">
        <f t="shared" si="77"/>
        <v/>
      </c>
      <c r="EX81" s="174" t="str">
        <f t="shared" si="76"/>
        <v/>
      </c>
      <c r="EY81" s="174" t="str">
        <f t="shared" si="76"/>
        <v/>
      </c>
      <c r="EZ81" s="174" t="str">
        <f t="shared" si="73"/>
        <v/>
      </c>
      <c r="FA81" s="174" t="str">
        <f t="shared" si="73"/>
        <v/>
      </c>
      <c r="FB81" s="174" t="str">
        <f t="shared" si="73"/>
        <v/>
      </c>
      <c r="FC81" s="174" t="str">
        <f t="shared" si="73"/>
        <v/>
      </c>
      <c r="FD81" s="174" t="str">
        <f t="shared" si="73"/>
        <v/>
      </c>
      <c r="FE81" s="174" t="str">
        <f t="shared" si="73"/>
        <v/>
      </c>
      <c r="FF81" s="174" t="str">
        <f t="shared" si="73"/>
        <v/>
      </c>
      <c r="FG81" s="174" t="str">
        <f t="shared" si="74"/>
        <v/>
      </c>
      <c r="FH81" s="174" t="str">
        <f t="shared" si="68"/>
        <v/>
      </c>
      <c r="FI81" s="174" t="str">
        <f t="shared" si="69"/>
        <v/>
      </c>
      <c r="FJ81" s="174" t="str">
        <f t="shared" si="70"/>
        <v/>
      </c>
      <c r="FK81" s="174" t="str">
        <f t="shared" si="70"/>
        <v/>
      </c>
    </row>
    <row r="82" spans="2:167" ht="16">
      <c r="B82" s="140" t="s">
        <v>861</v>
      </c>
      <c r="C82" s="127" t="s">
        <v>862</v>
      </c>
      <c r="D82" s="128"/>
      <c r="E82" s="128"/>
      <c r="F82" s="128"/>
      <c r="G82" s="128"/>
      <c r="H82" s="128"/>
      <c r="I82" s="128"/>
      <c r="J82" s="128"/>
      <c r="K82" s="128"/>
      <c r="L82" s="128"/>
      <c r="M82" s="128"/>
      <c r="N82" s="128"/>
      <c r="O82" s="128"/>
      <c r="P82" s="128"/>
      <c r="Q82" s="128"/>
      <c r="R82" s="128"/>
      <c r="S82" s="128"/>
      <c r="T82" s="128"/>
      <c r="U82" s="128"/>
      <c r="V82" s="128"/>
      <c r="W82" s="128"/>
      <c r="X82" s="128"/>
      <c r="Y82" s="128"/>
      <c r="Z82" s="128">
        <v>0</v>
      </c>
      <c r="AA82" s="128">
        <v>0</v>
      </c>
      <c r="AB82" s="128">
        <v>0</v>
      </c>
      <c r="AC82" s="128">
        <v>0</v>
      </c>
      <c r="AD82" s="128">
        <v>0</v>
      </c>
      <c r="AE82" s="128">
        <v>0</v>
      </c>
      <c r="AF82" s="128">
        <v>0</v>
      </c>
      <c r="AG82" s="128">
        <v>0</v>
      </c>
      <c r="AH82" s="128">
        <v>0</v>
      </c>
      <c r="AI82" s="128">
        <v>0</v>
      </c>
      <c r="AJ82" s="128">
        <v>0</v>
      </c>
      <c r="AK82" s="128">
        <v>0</v>
      </c>
      <c r="AL82" s="128">
        <v>0</v>
      </c>
      <c r="AM82" s="128">
        <v>0</v>
      </c>
      <c r="AN82" s="128">
        <v>0</v>
      </c>
      <c r="AO82" s="128">
        <v>0</v>
      </c>
      <c r="AP82" s="173">
        <v>0</v>
      </c>
      <c r="AQ82" s="173">
        <v>0</v>
      </c>
      <c r="AR82" s="173">
        <v>0</v>
      </c>
      <c r="AS82" s="288">
        <v>0</v>
      </c>
      <c r="AT82" s="288">
        <v>0</v>
      </c>
      <c r="AU82" s="288">
        <v>0</v>
      </c>
      <c r="AV82" s="288">
        <v>0</v>
      </c>
      <c r="AW82" s="158">
        <v>0</v>
      </c>
      <c r="AX82" s="158">
        <v>0</v>
      </c>
      <c r="AY82" s="158">
        <v>0</v>
      </c>
      <c r="AZ82" s="158">
        <v>0</v>
      </c>
      <c r="BA82" s="158">
        <v>0</v>
      </c>
      <c r="BB82" s="41">
        <v>0</v>
      </c>
      <c r="BC82" s="41">
        <v>0</v>
      </c>
      <c r="BD82" s="158">
        <v>0</v>
      </c>
      <c r="BE82" s="158">
        <v>0</v>
      </c>
      <c r="BF82" s="288">
        <v>0</v>
      </c>
      <c r="BG82" s="289">
        <v>0</v>
      </c>
      <c r="BH82" s="289">
        <v>0</v>
      </c>
      <c r="BI82" s="289">
        <v>0</v>
      </c>
      <c r="BJ82" s="289">
        <v>0</v>
      </c>
      <c r="BK82" s="289">
        <v>0</v>
      </c>
      <c r="BL82" s="289">
        <v>0</v>
      </c>
      <c r="BM82" s="289">
        <v>0</v>
      </c>
      <c r="BN82" s="289">
        <v>0</v>
      </c>
      <c r="BO82" s="289">
        <v>0</v>
      </c>
      <c r="BP82" s="289">
        <v>0</v>
      </c>
      <c r="BQ82" s="289">
        <v>0</v>
      </c>
      <c r="BR82" s="289">
        <v>0</v>
      </c>
      <c r="BS82" s="289">
        <v>0</v>
      </c>
      <c r="BT82" s="289">
        <v>0</v>
      </c>
      <c r="BU82" s="289"/>
      <c r="BV82" s="142"/>
      <c r="BW82" s="142"/>
      <c r="BX82" s="142"/>
      <c r="BY82" s="142"/>
      <c r="BZ82" s="142"/>
      <c r="CA82" s="142"/>
      <c r="CB82" s="142"/>
      <c r="CC82" s="142"/>
      <c r="CD82" s="142"/>
      <c r="CE82" s="142"/>
      <c r="CF82" s="142"/>
      <c r="CG82" s="142"/>
      <c r="CH82" s="142"/>
      <c r="CI82" s="142"/>
      <c r="CJ82" s="142"/>
      <c r="CK82" s="142"/>
      <c r="CL82" s="142"/>
      <c r="CM82" s="142"/>
      <c r="CN82" s="142"/>
      <c r="CO82" s="142"/>
      <c r="CP82" s="142"/>
      <c r="CQ82" s="142"/>
      <c r="CR82" s="142"/>
      <c r="CS82" s="142"/>
      <c r="CT82" s="142"/>
      <c r="CU82" s="142"/>
      <c r="CV82" s="142"/>
      <c r="CW82" s="142"/>
      <c r="CX82" s="142"/>
      <c r="CY82" s="142"/>
      <c r="CZ82" s="142"/>
      <c r="DA82" s="142"/>
      <c r="DB82" s="142"/>
      <c r="DC82" s="142"/>
      <c r="DD82" s="142"/>
      <c r="DE82" s="142"/>
      <c r="DF82" s="142"/>
      <c r="DG82" s="142"/>
      <c r="DH82" s="142"/>
      <c r="DI82" s="142"/>
      <c r="DJ82" s="142"/>
      <c r="DK82" s="142"/>
      <c r="DL82" s="142"/>
      <c r="DM82" s="142"/>
      <c r="DN82" s="142"/>
      <c r="DO82" s="142"/>
      <c r="DP82" s="142"/>
      <c r="DQ82" s="142"/>
      <c r="DR82" s="142"/>
      <c r="DS82" s="133"/>
      <c r="DT82" s="174" t="str">
        <f t="shared" si="75"/>
        <v/>
      </c>
      <c r="DU82" s="174" t="str">
        <f t="shared" si="75"/>
        <v/>
      </c>
      <c r="DV82" s="174" t="str">
        <f t="shared" si="75"/>
        <v/>
      </c>
      <c r="DW82" s="174" t="str">
        <f t="shared" si="75"/>
        <v/>
      </c>
      <c r="DX82" s="174" t="str">
        <f t="shared" si="75"/>
        <v/>
      </c>
      <c r="DY82" s="174" t="str">
        <f t="shared" si="75"/>
        <v/>
      </c>
      <c r="DZ82" s="174" t="str">
        <f t="shared" si="75"/>
        <v/>
      </c>
      <c r="EA82" s="174" t="str">
        <f t="shared" si="75"/>
        <v/>
      </c>
      <c r="EB82" s="174" t="str">
        <f t="shared" si="75"/>
        <v/>
      </c>
      <c r="EC82" s="174" t="str">
        <f t="shared" si="75"/>
        <v/>
      </c>
      <c r="ED82" s="174" t="str">
        <f t="shared" si="75"/>
        <v/>
      </c>
      <c r="EE82" s="174" t="str">
        <f t="shared" si="75"/>
        <v/>
      </c>
      <c r="EF82" s="174" t="str">
        <f t="shared" si="75"/>
        <v/>
      </c>
      <c r="EG82" s="174" t="str">
        <f t="shared" si="75"/>
        <v/>
      </c>
      <c r="EH82" s="174" t="str">
        <f t="shared" si="75"/>
        <v/>
      </c>
      <c r="EI82" s="174" t="str">
        <f t="shared" ref="EI82:EN136" si="78">IFERROR(Y82/U82-1,"")</f>
        <v/>
      </c>
      <c r="EJ82" s="174" t="str">
        <f t="shared" si="77"/>
        <v/>
      </c>
      <c r="EK82" s="174" t="str">
        <f t="shared" si="77"/>
        <v/>
      </c>
      <c r="EL82" s="174" t="str">
        <f t="shared" si="77"/>
        <v/>
      </c>
      <c r="EM82" s="174" t="str">
        <f t="shared" si="77"/>
        <v/>
      </c>
      <c r="EN82" s="174" t="str">
        <f t="shared" si="77"/>
        <v/>
      </c>
      <c r="EO82" s="174" t="str">
        <f t="shared" si="77"/>
        <v/>
      </c>
      <c r="EP82" s="174" t="str">
        <f t="shared" si="77"/>
        <v/>
      </c>
      <c r="EQ82" s="174" t="str">
        <f t="shared" si="77"/>
        <v/>
      </c>
      <c r="ER82" s="174" t="str">
        <f t="shared" si="77"/>
        <v/>
      </c>
      <c r="ES82" s="174" t="str">
        <f t="shared" si="77"/>
        <v/>
      </c>
      <c r="ET82" s="174" t="str">
        <f t="shared" si="77"/>
        <v/>
      </c>
      <c r="EU82" s="174" t="str">
        <f t="shared" si="77"/>
        <v/>
      </c>
      <c r="EV82" s="174" t="str">
        <f t="shared" si="77"/>
        <v/>
      </c>
      <c r="EW82" s="174" t="str">
        <f t="shared" si="77"/>
        <v/>
      </c>
      <c r="EX82" s="174" t="str">
        <f t="shared" si="76"/>
        <v/>
      </c>
      <c r="EY82" s="174" t="str">
        <f t="shared" si="76"/>
        <v/>
      </c>
      <c r="EZ82" s="174" t="str">
        <f t="shared" si="73"/>
        <v/>
      </c>
      <c r="FA82" s="174" t="str">
        <f t="shared" si="73"/>
        <v/>
      </c>
      <c r="FB82" s="174" t="str">
        <f t="shared" si="73"/>
        <v/>
      </c>
      <c r="FC82" s="174" t="str">
        <f t="shared" si="73"/>
        <v/>
      </c>
      <c r="FD82" s="174" t="str">
        <f t="shared" si="73"/>
        <v/>
      </c>
      <c r="FE82" s="174" t="str">
        <f t="shared" si="73"/>
        <v/>
      </c>
      <c r="FF82" s="174" t="str">
        <f t="shared" si="73"/>
        <v/>
      </c>
      <c r="FG82" s="174" t="str">
        <f t="shared" si="74"/>
        <v/>
      </c>
      <c r="FH82" s="174" t="str">
        <f t="shared" si="68"/>
        <v/>
      </c>
      <c r="FI82" s="174" t="str">
        <f t="shared" si="69"/>
        <v/>
      </c>
      <c r="FJ82" s="174" t="str">
        <f t="shared" si="70"/>
        <v/>
      </c>
      <c r="FK82" s="174" t="str">
        <f t="shared" si="70"/>
        <v/>
      </c>
    </row>
    <row r="83" spans="2:167" ht="16">
      <c r="B83" s="140" t="s">
        <v>846</v>
      </c>
      <c r="C83" s="127" t="s">
        <v>863</v>
      </c>
      <c r="D83" s="128"/>
      <c r="E83" s="128"/>
      <c r="F83" s="128"/>
      <c r="G83" s="128"/>
      <c r="H83" s="128"/>
      <c r="I83" s="128"/>
      <c r="J83" s="128"/>
      <c r="K83" s="128"/>
      <c r="L83" s="128"/>
      <c r="M83" s="128"/>
      <c r="N83" s="128"/>
      <c r="O83" s="128"/>
      <c r="P83" s="128"/>
      <c r="Q83" s="128"/>
      <c r="R83" s="128"/>
      <c r="S83" s="128"/>
      <c r="T83" s="128"/>
      <c r="U83" s="128"/>
      <c r="V83" s="128"/>
      <c r="W83" s="128"/>
      <c r="X83" s="128"/>
      <c r="Y83" s="128"/>
      <c r="Z83" s="128">
        <v>0</v>
      </c>
      <c r="AA83" s="128">
        <v>0</v>
      </c>
      <c r="AB83" s="128">
        <v>0</v>
      </c>
      <c r="AC83" s="128">
        <v>0</v>
      </c>
      <c r="AD83" s="128">
        <v>0</v>
      </c>
      <c r="AE83" s="128">
        <v>0</v>
      </c>
      <c r="AF83" s="128">
        <v>0</v>
      </c>
      <c r="AG83" s="128">
        <v>0</v>
      </c>
      <c r="AH83" s="128">
        <v>0</v>
      </c>
      <c r="AI83" s="128">
        <v>0</v>
      </c>
      <c r="AJ83" s="128">
        <v>0</v>
      </c>
      <c r="AK83" s="128">
        <v>0</v>
      </c>
      <c r="AL83" s="128">
        <v>0</v>
      </c>
      <c r="AM83" s="128">
        <v>0</v>
      </c>
      <c r="AN83" s="128">
        <v>0</v>
      </c>
      <c r="AO83" s="128">
        <v>0</v>
      </c>
      <c r="AP83" s="173">
        <v>0</v>
      </c>
      <c r="AQ83" s="173">
        <v>0</v>
      </c>
      <c r="AR83" s="173">
        <v>0</v>
      </c>
      <c r="AS83" s="288">
        <v>0</v>
      </c>
      <c r="AT83" s="288">
        <v>0</v>
      </c>
      <c r="AU83" s="288">
        <v>0</v>
      </c>
      <c r="AV83" s="288">
        <v>0</v>
      </c>
      <c r="AW83" s="158">
        <v>0</v>
      </c>
      <c r="AX83" s="158">
        <v>0</v>
      </c>
      <c r="AY83" s="158">
        <v>0</v>
      </c>
      <c r="AZ83" s="158">
        <v>0</v>
      </c>
      <c r="BA83" s="158">
        <v>0</v>
      </c>
      <c r="BB83" s="41">
        <v>0</v>
      </c>
      <c r="BC83" s="41">
        <v>0</v>
      </c>
      <c r="BD83" s="158">
        <v>0</v>
      </c>
      <c r="BE83" s="158">
        <v>0</v>
      </c>
      <c r="BF83" s="288">
        <v>0</v>
      </c>
      <c r="BG83" s="289">
        <v>0</v>
      </c>
      <c r="BH83" s="289">
        <v>0</v>
      </c>
      <c r="BI83" s="289">
        <v>0</v>
      </c>
      <c r="BJ83" s="289">
        <v>0</v>
      </c>
      <c r="BK83" s="289">
        <v>0</v>
      </c>
      <c r="BL83" s="289">
        <v>0</v>
      </c>
      <c r="BM83" s="289">
        <v>0</v>
      </c>
      <c r="BN83" s="289">
        <v>0</v>
      </c>
      <c r="BO83" s="289">
        <v>0</v>
      </c>
      <c r="BP83" s="289">
        <v>0</v>
      </c>
      <c r="BQ83" s="289">
        <v>0</v>
      </c>
      <c r="BR83" s="289">
        <v>0</v>
      </c>
      <c r="BS83" s="289">
        <v>0</v>
      </c>
      <c r="BT83" s="289">
        <v>0</v>
      </c>
      <c r="BU83" s="289"/>
      <c r="BV83" s="142"/>
      <c r="BW83" s="142"/>
      <c r="BX83" s="142"/>
      <c r="BY83" s="142"/>
      <c r="BZ83" s="142"/>
      <c r="CA83" s="142"/>
      <c r="CB83" s="142"/>
      <c r="CC83" s="142"/>
      <c r="CD83" s="142"/>
      <c r="CE83" s="142"/>
      <c r="CF83" s="142"/>
      <c r="CG83" s="142"/>
      <c r="CH83" s="142"/>
      <c r="CI83" s="142"/>
      <c r="CJ83" s="142"/>
      <c r="CK83" s="142"/>
      <c r="CL83" s="142"/>
      <c r="CM83" s="142"/>
      <c r="CN83" s="142"/>
      <c r="CO83" s="142"/>
      <c r="CP83" s="142"/>
      <c r="CQ83" s="142"/>
      <c r="CR83" s="142"/>
      <c r="CS83" s="142"/>
      <c r="CT83" s="142"/>
      <c r="CU83" s="142"/>
      <c r="CV83" s="142"/>
      <c r="CW83" s="142"/>
      <c r="CX83" s="142"/>
      <c r="CY83" s="142"/>
      <c r="CZ83" s="142"/>
      <c r="DA83" s="142"/>
      <c r="DB83" s="142"/>
      <c r="DC83" s="142"/>
      <c r="DD83" s="142"/>
      <c r="DE83" s="142"/>
      <c r="DF83" s="142"/>
      <c r="DG83" s="142"/>
      <c r="DH83" s="142"/>
      <c r="DI83" s="142"/>
      <c r="DJ83" s="142"/>
      <c r="DK83" s="142"/>
      <c r="DL83" s="142"/>
      <c r="DM83" s="142"/>
      <c r="DN83" s="142"/>
      <c r="DO83" s="142"/>
      <c r="DP83" s="142"/>
      <c r="DQ83" s="142"/>
      <c r="DR83" s="142"/>
      <c r="DS83" s="133"/>
      <c r="DT83" s="174" t="str">
        <f t="shared" ref="DT83:EH99" si="79">IFERROR(J83/F83-1,"")</f>
        <v/>
      </c>
      <c r="DU83" s="174" t="str">
        <f t="shared" si="79"/>
        <v/>
      </c>
      <c r="DV83" s="174" t="str">
        <f t="shared" si="79"/>
        <v/>
      </c>
      <c r="DW83" s="174" t="str">
        <f t="shared" si="79"/>
        <v/>
      </c>
      <c r="DX83" s="174" t="str">
        <f t="shared" si="79"/>
        <v/>
      </c>
      <c r="DY83" s="174" t="str">
        <f t="shared" si="79"/>
        <v/>
      </c>
      <c r="DZ83" s="174" t="str">
        <f t="shared" si="79"/>
        <v/>
      </c>
      <c r="EA83" s="174" t="str">
        <f t="shared" si="79"/>
        <v/>
      </c>
      <c r="EB83" s="174" t="str">
        <f t="shared" si="79"/>
        <v/>
      </c>
      <c r="EC83" s="174" t="str">
        <f t="shared" si="79"/>
        <v/>
      </c>
      <c r="ED83" s="174" t="str">
        <f t="shared" si="79"/>
        <v/>
      </c>
      <c r="EE83" s="174" t="str">
        <f t="shared" si="79"/>
        <v/>
      </c>
      <c r="EF83" s="174" t="str">
        <f t="shared" si="79"/>
        <v/>
      </c>
      <c r="EG83" s="174" t="str">
        <f t="shared" si="79"/>
        <v/>
      </c>
      <c r="EH83" s="174" t="str">
        <f t="shared" si="79"/>
        <v/>
      </c>
      <c r="EI83" s="174" t="str">
        <f t="shared" si="78"/>
        <v/>
      </c>
      <c r="EJ83" s="174" t="str">
        <f t="shared" si="77"/>
        <v/>
      </c>
      <c r="EK83" s="174" t="str">
        <f t="shared" si="77"/>
        <v/>
      </c>
      <c r="EL83" s="174" t="str">
        <f t="shared" si="77"/>
        <v/>
      </c>
      <c r="EM83" s="174" t="str">
        <f t="shared" si="77"/>
        <v/>
      </c>
      <c r="EN83" s="174" t="str">
        <f t="shared" si="77"/>
        <v/>
      </c>
      <c r="EO83" s="174" t="str">
        <f t="shared" si="77"/>
        <v/>
      </c>
      <c r="EP83" s="174" t="str">
        <f t="shared" si="77"/>
        <v/>
      </c>
      <c r="EQ83" s="174" t="str">
        <f t="shared" si="77"/>
        <v/>
      </c>
      <c r="ER83" s="174" t="str">
        <f t="shared" si="77"/>
        <v/>
      </c>
      <c r="ES83" s="174" t="str">
        <f t="shared" si="77"/>
        <v/>
      </c>
      <c r="ET83" s="174" t="str">
        <f t="shared" si="77"/>
        <v/>
      </c>
      <c r="EU83" s="174" t="str">
        <f t="shared" si="77"/>
        <v/>
      </c>
      <c r="EV83" s="174" t="str">
        <f t="shared" si="77"/>
        <v/>
      </c>
      <c r="EW83" s="174" t="str">
        <f t="shared" si="77"/>
        <v/>
      </c>
      <c r="EX83" s="174" t="str">
        <f t="shared" si="76"/>
        <v/>
      </c>
      <c r="EY83" s="174" t="str">
        <f t="shared" si="76"/>
        <v/>
      </c>
      <c r="EZ83" s="174" t="str">
        <f t="shared" si="73"/>
        <v/>
      </c>
      <c r="FA83" s="174" t="str">
        <f t="shared" si="73"/>
        <v/>
      </c>
      <c r="FB83" s="174" t="str">
        <f t="shared" si="73"/>
        <v/>
      </c>
      <c r="FC83" s="174" t="str">
        <f t="shared" si="73"/>
        <v/>
      </c>
      <c r="FD83" s="174" t="str">
        <f t="shared" si="73"/>
        <v/>
      </c>
      <c r="FE83" s="174" t="str">
        <f t="shared" si="73"/>
        <v/>
      </c>
      <c r="FF83" s="174" t="str">
        <f t="shared" si="73"/>
        <v/>
      </c>
      <c r="FG83" s="174" t="str">
        <f t="shared" si="74"/>
        <v/>
      </c>
      <c r="FH83" s="174" t="str">
        <f t="shared" si="68"/>
        <v/>
      </c>
      <c r="FI83" s="174" t="str">
        <f t="shared" si="69"/>
        <v/>
      </c>
      <c r="FJ83" s="174" t="str">
        <f t="shared" si="70"/>
        <v/>
      </c>
      <c r="FK83" s="174" t="str">
        <f t="shared" si="70"/>
        <v/>
      </c>
    </row>
    <row r="84" spans="2:167" ht="16">
      <c r="B84" s="140" t="s">
        <v>853</v>
      </c>
      <c r="C84" s="127" t="s">
        <v>864</v>
      </c>
      <c r="D84" s="128"/>
      <c r="E84" s="128"/>
      <c r="F84" s="128"/>
      <c r="G84" s="128"/>
      <c r="H84" s="128"/>
      <c r="I84" s="128"/>
      <c r="J84" s="128"/>
      <c r="K84" s="128"/>
      <c r="L84" s="128"/>
      <c r="M84" s="128"/>
      <c r="N84" s="128"/>
      <c r="O84" s="128"/>
      <c r="P84" s="128"/>
      <c r="Q84" s="128"/>
      <c r="R84" s="128"/>
      <c r="S84" s="128"/>
      <c r="T84" s="128"/>
      <c r="U84" s="128"/>
      <c r="V84" s="128"/>
      <c r="W84" s="128"/>
      <c r="X84" s="128"/>
      <c r="Y84" s="128"/>
      <c r="Z84" s="128">
        <v>0</v>
      </c>
      <c r="AA84" s="128">
        <v>0</v>
      </c>
      <c r="AB84" s="128">
        <v>0</v>
      </c>
      <c r="AC84" s="128">
        <v>0</v>
      </c>
      <c r="AD84" s="128">
        <v>0</v>
      </c>
      <c r="AE84" s="128">
        <v>0</v>
      </c>
      <c r="AF84" s="128">
        <v>0</v>
      </c>
      <c r="AG84" s="128">
        <v>0</v>
      </c>
      <c r="AH84" s="128">
        <v>0</v>
      </c>
      <c r="AI84" s="128">
        <v>0</v>
      </c>
      <c r="AJ84" s="128">
        <v>0</v>
      </c>
      <c r="AK84" s="128">
        <v>0</v>
      </c>
      <c r="AL84" s="128">
        <v>0</v>
      </c>
      <c r="AM84" s="128">
        <v>0</v>
      </c>
      <c r="AN84" s="128">
        <v>0</v>
      </c>
      <c r="AO84" s="128">
        <v>0</v>
      </c>
      <c r="AP84" s="173">
        <v>0</v>
      </c>
      <c r="AQ84" s="173">
        <v>0</v>
      </c>
      <c r="AR84" s="173">
        <v>0</v>
      </c>
      <c r="AS84" s="288">
        <v>0</v>
      </c>
      <c r="AT84" s="288">
        <v>0</v>
      </c>
      <c r="AU84" s="288">
        <v>0</v>
      </c>
      <c r="AV84" s="288">
        <v>0</v>
      </c>
      <c r="AW84" s="158">
        <v>0</v>
      </c>
      <c r="AX84" s="158">
        <v>0</v>
      </c>
      <c r="AY84" s="158">
        <v>0</v>
      </c>
      <c r="AZ84" s="158">
        <v>0</v>
      </c>
      <c r="BA84" s="158">
        <v>0</v>
      </c>
      <c r="BB84" s="41">
        <v>0</v>
      </c>
      <c r="BC84" s="41">
        <v>0</v>
      </c>
      <c r="BD84" s="158">
        <v>0</v>
      </c>
      <c r="BE84" s="158">
        <v>0</v>
      </c>
      <c r="BF84" s="288">
        <v>0</v>
      </c>
      <c r="BG84" s="289">
        <v>0</v>
      </c>
      <c r="BH84" s="289">
        <v>0</v>
      </c>
      <c r="BI84" s="289">
        <v>0</v>
      </c>
      <c r="BJ84" s="289">
        <v>0</v>
      </c>
      <c r="BK84" s="289">
        <v>0</v>
      </c>
      <c r="BL84" s="289">
        <v>0</v>
      </c>
      <c r="BM84" s="289">
        <v>0</v>
      </c>
      <c r="BN84" s="289">
        <v>0</v>
      </c>
      <c r="BO84" s="289">
        <v>0</v>
      </c>
      <c r="BP84" s="289">
        <v>0</v>
      </c>
      <c r="BQ84" s="289">
        <v>0</v>
      </c>
      <c r="BR84" s="289">
        <v>0</v>
      </c>
      <c r="BS84" s="289">
        <v>0</v>
      </c>
      <c r="BT84" s="289">
        <v>0</v>
      </c>
      <c r="BU84" s="289"/>
      <c r="BV84" s="142"/>
      <c r="BW84" s="142"/>
      <c r="BX84" s="142"/>
      <c r="BY84" s="142"/>
      <c r="BZ84" s="142"/>
      <c r="CA84" s="142"/>
      <c r="CB84" s="142"/>
      <c r="CC84" s="142"/>
      <c r="CD84" s="142"/>
      <c r="CE84" s="142"/>
      <c r="CF84" s="142"/>
      <c r="CG84" s="142"/>
      <c r="CH84" s="142"/>
      <c r="CI84" s="142"/>
      <c r="CJ84" s="142"/>
      <c r="CK84" s="142"/>
      <c r="CL84" s="142"/>
      <c r="CM84" s="142"/>
      <c r="CN84" s="142"/>
      <c r="CO84" s="142"/>
      <c r="CP84" s="142"/>
      <c r="CQ84" s="142"/>
      <c r="CR84" s="142"/>
      <c r="CS84" s="142"/>
      <c r="CT84" s="142"/>
      <c r="CU84" s="142"/>
      <c r="CV84" s="142"/>
      <c r="CW84" s="142"/>
      <c r="CX84" s="142"/>
      <c r="CY84" s="142"/>
      <c r="CZ84" s="142"/>
      <c r="DA84" s="142"/>
      <c r="DB84" s="142"/>
      <c r="DC84" s="142"/>
      <c r="DD84" s="142"/>
      <c r="DE84" s="142"/>
      <c r="DF84" s="142"/>
      <c r="DG84" s="142"/>
      <c r="DH84" s="142"/>
      <c r="DI84" s="142"/>
      <c r="DJ84" s="142"/>
      <c r="DK84" s="142"/>
      <c r="DL84" s="142"/>
      <c r="DM84" s="142"/>
      <c r="DN84" s="142"/>
      <c r="DO84" s="142"/>
      <c r="DP84" s="142"/>
      <c r="DQ84" s="142"/>
      <c r="DR84" s="142"/>
      <c r="DS84" s="133"/>
      <c r="DT84" s="174" t="str">
        <f t="shared" si="79"/>
        <v/>
      </c>
      <c r="DU84" s="174" t="str">
        <f t="shared" si="79"/>
        <v/>
      </c>
      <c r="DV84" s="174" t="str">
        <f t="shared" si="79"/>
        <v/>
      </c>
      <c r="DW84" s="174" t="str">
        <f t="shared" si="79"/>
        <v/>
      </c>
      <c r="DX84" s="174" t="str">
        <f t="shared" si="79"/>
        <v/>
      </c>
      <c r="DY84" s="174" t="str">
        <f t="shared" si="79"/>
        <v/>
      </c>
      <c r="DZ84" s="174" t="str">
        <f t="shared" si="79"/>
        <v/>
      </c>
      <c r="EA84" s="174" t="str">
        <f t="shared" si="79"/>
        <v/>
      </c>
      <c r="EB84" s="174" t="str">
        <f t="shared" si="79"/>
        <v/>
      </c>
      <c r="EC84" s="174" t="str">
        <f t="shared" si="79"/>
        <v/>
      </c>
      <c r="ED84" s="174" t="str">
        <f t="shared" si="79"/>
        <v/>
      </c>
      <c r="EE84" s="174" t="str">
        <f t="shared" si="79"/>
        <v/>
      </c>
      <c r="EF84" s="174" t="str">
        <f t="shared" si="79"/>
        <v/>
      </c>
      <c r="EG84" s="174" t="str">
        <f t="shared" si="79"/>
        <v/>
      </c>
      <c r="EH84" s="174" t="str">
        <f t="shared" si="79"/>
        <v/>
      </c>
      <c r="EI84" s="174" t="str">
        <f t="shared" si="78"/>
        <v/>
      </c>
      <c r="EJ84" s="174" t="str">
        <f t="shared" si="77"/>
        <v/>
      </c>
      <c r="EK84" s="174" t="str">
        <f t="shared" si="77"/>
        <v/>
      </c>
      <c r="EL84" s="174" t="str">
        <f t="shared" si="77"/>
        <v/>
      </c>
      <c r="EM84" s="174" t="str">
        <f t="shared" si="77"/>
        <v/>
      </c>
      <c r="EN84" s="174" t="str">
        <f t="shared" si="77"/>
        <v/>
      </c>
      <c r="EO84" s="174" t="str">
        <f t="shared" si="77"/>
        <v/>
      </c>
      <c r="EP84" s="174" t="str">
        <f t="shared" si="77"/>
        <v/>
      </c>
      <c r="EQ84" s="174" t="str">
        <f t="shared" si="77"/>
        <v/>
      </c>
      <c r="ER84" s="174" t="str">
        <f t="shared" si="77"/>
        <v/>
      </c>
      <c r="ES84" s="174" t="str">
        <f t="shared" si="77"/>
        <v/>
      </c>
      <c r="ET84" s="174" t="str">
        <f t="shared" si="77"/>
        <v/>
      </c>
      <c r="EU84" s="174" t="str">
        <f t="shared" si="77"/>
        <v/>
      </c>
      <c r="EV84" s="174" t="str">
        <f t="shared" si="77"/>
        <v/>
      </c>
      <c r="EW84" s="174" t="str">
        <f t="shared" si="77"/>
        <v/>
      </c>
      <c r="EX84" s="174" t="str">
        <f t="shared" si="76"/>
        <v/>
      </c>
      <c r="EY84" s="174" t="str">
        <f t="shared" si="76"/>
        <v/>
      </c>
      <c r="EZ84" s="174" t="str">
        <f t="shared" si="73"/>
        <v/>
      </c>
      <c r="FA84" s="174" t="str">
        <f t="shared" si="73"/>
        <v/>
      </c>
      <c r="FB84" s="174" t="str">
        <f t="shared" si="73"/>
        <v/>
      </c>
      <c r="FC84" s="174" t="str">
        <f t="shared" si="73"/>
        <v/>
      </c>
      <c r="FD84" s="174" t="str">
        <f t="shared" si="73"/>
        <v/>
      </c>
      <c r="FE84" s="174" t="str">
        <f t="shared" si="73"/>
        <v/>
      </c>
      <c r="FF84" s="174" t="str">
        <f t="shared" si="73"/>
        <v/>
      </c>
      <c r="FG84" s="174" t="str">
        <f t="shared" si="74"/>
        <v/>
      </c>
      <c r="FH84" s="174" t="str">
        <f t="shared" si="68"/>
        <v/>
      </c>
      <c r="FI84" s="174" t="str">
        <f t="shared" si="69"/>
        <v/>
      </c>
      <c r="FJ84" s="174" t="str">
        <f t="shared" si="70"/>
        <v/>
      </c>
      <c r="FK84" s="174" t="str">
        <f t="shared" si="70"/>
        <v/>
      </c>
    </row>
    <row r="85" spans="2:167" ht="16">
      <c r="B85" s="140" t="s">
        <v>865</v>
      </c>
      <c r="C85" s="127" t="s">
        <v>866</v>
      </c>
      <c r="D85" s="128"/>
      <c r="E85" s="128"/>
      <c r="F85" s="128"/>
      <c r="G85" s="128"/>
      <c r="H85" s="128"/>
      <c r="I85" s="128"/>
      <c r="J85" s="128"/>
      <c r="K85" s="128"/>
      <c r="L85" s="128"/>
      <c r="M85" s="128"/>
      <c r="N85" s="128"/>
      <c r="O85" s="128"/>
      <c r="P85" s="128"/>
      <c r="Q85" s="128"/>
      <c r="R85" s="128"/>
      <c r="S85" s="128"/>
      <c r="T85" s="128"/>
      <c r="U85" s="128"/>
      <c r="V85" s="128"/>
      <c r="W85" s="128"/>
      <c r="X85" s="128"/>
      <c r="Y85" s="128"/>
      <c r="Z85" s="128">
        <v>0</v>
      </c>
      <c r="AA85" s="128">
        <v>0</v>
      </c>
      <c r="AB85" s="128">
        <v>0</v>
      </c>
      <c r="AC85" s="128">
        <v>0</v>
      </c>
      <c r="AD85" s="128">
        <v>0</v>
      </c>
      <c r="AE85" s="128">
        <v>17.746405528</v>
      </c>
      <c r="AF85" s="128">
        <v>36.683980073999997</v>
      </c>
      <c r="AG85" s="128">
        <v>42.854581813999999</v>
      </c>
      <c r="AH85" s="128">
        <v>48.999428631000001</v>
      </c>
      <c r="AI85" s="128">
        <v>57.208835000000001</v>
      </c>
      <c r="AJ85" s="128">
        <v>66.707585656999996</v>
      </c>
      <c r="AK85" s="128">
        <v>80.420562146999998</v>
      </c>
      <c r="AL85" s="128">
        <v>69.407880867000003</v>
      </c>
      <c r="AM85" s="128">
        <v>43.939084076</v>
      </c>
      <c r="AN85" s="128">
        <v>33.977954353999998</v>
      </c>
      <c r="AO85" s="128">
        <v>24.917366783999999</v>
      </c>
      <c r="AP85" s="173">
        <v>32.265503039000002</v>
      </c>
      <c r="AQ85" s="173">
        <v>71.706234643000002</v>
      </c>
      <c r="AR85" s="173">
        <v>154.768727219</v>
      </c>
      <c r="AS85" s="288">
        <v>244.569127108</v>
      </c>
      <c r="AT85" s="288">
        <v>11.658979636</v>
      </c>
      <c r="AU85" s="288">
        <v>51.369714193999997</v>
      </c>
      <c r="AV85" s="288">
        <v>32.350218138000002</v>
      </c>
      <c r="AW85" s="158">
        <v>87.43043831</v>
      </c>
      <c r="AX85" s="158">
        <v>17.105837249</v>
      </c>
      <c r="AY85" s="158">
        <v>61.844398097999999</v>
      </c>
      <c r="AZ85" s="158">
        <v>122.297130153</v>
      </c>
      <c r="BA85" s="158">
        <v>132.62036247</v>
      </c>
      <c r="BB85" s="41">
        <v>99.363949563000006</v>
      </c>
      <c r="BC85" s="41">
        <v>258.14139854699999</v>
      </c>
      <c r="BD85" s="158">
        <v>171.25346302200001</v>
      </c>
      <c r="BE85" s="158">
        <v>79.697939172000005</v>
      </c>
      <c r="BF85" s="288">
        <v>65.671217448999997</v>
      </c>
      <c r="BG85" s="289">
        <v>129.37780913</v>
      </c>
      <c r="BH85" s="289">
        <v>232.648827969</v>
      </c>
      <c r="BI85" s="289">
        <v>69.320373958000005</v>
      </c>
      <c r="BJ85" s="289">
        <v>232.648827969</v>
      </c>
      <c r="BK85" s="289">
        <v>3.6160513120000002</v>
      </c>
      <c r="BL85" s="289">
        <v>159.74789706600001</v>
      </c>
      <c r="BM85" s="289">
        <v>4.4938569340000001</v>
      </c>
      <c r="BN85" s="289">
        <v>1.36</v>
      </c>
      <c r="BO85" s="289">
        <v>2.238802674</v>
      </c>
      <c r="BP85" s="289">
        <v>9.9600000000000009</v>
      </c>
      <c r="BQ85" s="289">
        <v>24.526423340000001</v>
      </c>
      <c r="BR85" s="289">
        <v>56.354717819999998</v>
      </c>
      <c r="BS85" s="289">
        <v>106.48575723099999</v>
      </c>
      <c r="BT85" s="289">
        <v>76.144035145999993</v>
      </c>
      <c r="BU85" s="289"/>
      <c r="BV85" s="142"/>
      <c r="BW85" s="142"/>
      <c r="BX85" s="142"/>
      <c r="BY85" s="142"/>
      <c r="BZ85" s="142"/>
      <c r="CA85" s="142"/>
      <c r="CB85" s="142"/>
      <c r="CC85" s="142"/>
      <c r="CD85" s="142"/>
      <c r="CE85" s="142"/>
      <c r="CF85" s="142"/>
      <c r="CG85" s="142"/>
      <c r="CH85" s="142"/>
      <c r="CI85" s="142"/>
      <c r="CJ85" s="142"/>
      <c r="CK85" s="142"/>
      <c r="CL85" s="142"/>
      <c r="CM85" s="142"/>
      <c r="CN85" s="142"/>
      <c r="CO85" s="142"/>
      <c r="CP85" s="142"/>
      <c r="CQ85" s="142"/>
      <c r="CR85" s="142"/>
      <c r="CS85" s="142"/>
      <c r="CT85" s="142"/>
      <c r="CU85" s="142"/>
      <c r="CV85" s="142"/>
      <c r="CW85" s="142"/>
      <c r="CX85" s="142"/>
      <c r="CY85" s="142"/>
      <c r="CZ85" s="142"/>
      <c r="DA85" s="142"/>
      <c r="DB85" s="142"/>
      <c r="DC85" s="142"/>
      <c r="DD85" s="142"/>
      <c r="DE85" s="142"/>
      <c r="DF85" s="142"/>
      <c r="DG85" s="142"/>
      <c r="DH85" s="142"/>
      <c r="DI85" s="142"/>
      <c r="DJ85" s="142"/>
      <c r="DK85" s="142"/>
      <c r="DL85" s="142"/>
      <c r="DM85" s="142"/>
      <c r="DN85" s="142"/>
      <c r="DO85" s="142"/>
      <c r="DP85" s="142"/>
      <c r="DQ85" s="142"/>
      <c r="DR85" s="142"/>
      <c r="DS85" s="133"/>
      <c r="DT85" s="174" t="str">
        <f t="shared" si="79"/>
        <v/>
      </c>
      <c r="DU85" s="174" t="str">
        <f t="shared" si="79"/>
        <v/>
      </c>
      <c r="DV85" s="174" t="str">
        <f t="shared" si="79"/>
        <v/>
      </c>
      <c r="DW85" s="174" t="str">
        <f t="shared" si="79"/>
        <v/>
      </c>
      <c r="DX85" s="174" t="str">
        <f t="shared" si="79"/>
        <v/>
      </c>
      <c r="DY85" s="174" t="str">
        <f t="shared" si="79"/>
        <v/>
      </c>
      <c r="DZ85" s="174" t="str">
        <f t="shared" si="79"/>
        <v/>
      </c>
      <c r="EA85" s="174" t="str">
        <f t="shared" si="79"/>
        <v/>
      </c>
      <c r="EB85" s="174" t="str">
        <f t="shared" si="79"/>
        <v/>
      </c>
      <c r="EC85" s="174" t="str">
        <f t="shared" si="79"/>
        <v/>
      </c>
      <c r="ED85" s="174" t="str">
        <f t="shared" si="79"/>
        <v/>
      </c>
      <c r="EE85" s="174" t="str">
        <f t="shared" si="79"/>
        <v/>
      </c>
      <c r="EF85" s="174" t="str">
        <f t="shared" si="79"/>
        <v/>
      </c>
      <c r="EG85" s="174" t="str">
        <f t="shared" si="79"/>
        <v/>
      </c>
      <c r="EH85" s="174" t="str">
        <f t="shared" si="79"/>
        <v/>
      </c>
      <c r="EI85" s="174" t="str">
        <f t="shared" si="78"/>
        <v/>
      </c>
      <c r="EJ85" s="174" t="str">
        <f t="shared" si="77"/>
        <v/>
      </c>
      <c r="EK85" s="174" t="str">
        <f t="shared" si="77"/>
        <v/>
      </c>
      <c r="EL85" s="174" t="str">
        <f t="shared" si="77"/>
        <v/>
      </c>
      <c r="EM85" s="174" t="str">
        <f t="shared" si="77"/>
        <v/>
      </c>
      <c r="EN85" s="174" t="str">
        <f t="shared" si="77"/>
        <v/>
      </c>
      <c r="EO85" s="174" t="str">
        <f t="shared" si="77"/>
        <v/>
      </c>
      <c r="EP85" s="174" t="str">
        <f t="shared" si="77"/>
        <v/>
      </c>
      <c r="EQ85" s="174" t="str">
        <f t="shared" si="77"/>
        <v/>
      </c>
      <c r="ER85" s="174" t="str">
        <f t="shared" si="77"/>
        <v/>
      </c>
      <c r="ES85" s="174">
        <f t="shared" si="77"/>
        <v>2.2236857717320162</v>
      </c>
      <c r="ET85" s="174">
        <f t="shared" si="77"/>
        <v>0.81843915306996418</v>
      </c>
      <c r="EU85" s="174">
        <f t="shared" si="77"/>
        <v>0.87659192419718623</v>
      </c>
      <c r="EV85" s="174">
        <f t="shared" si="77"/>
        <v>0.4165038819062552</v>
      </c>
      <c r="EW85" s="174">
        <f t="shared" si="77"/>
        <v>-0.23195282553822327</v>
      </c>
      <c r="EX85" s="174">
        <f t="shared" si="76"/>
        <v>-0.49064332010591205</v>
      </c>
      <c r="EY85" s="174">
        <f t="shared" si="76"/>
        <v>-0.69016174323111823</v>
      </c>
      <c r="EZ85" s="174">
        <f t="shared" si="73"/>
        <v>-0.53513199602178541</v>
      </c>
      <c r="FA85" s="174">
        <f t="shared" si="73"/>
        <v>0.63194650391373819</v>
      </c>
      <c r="FB85" s="174">
        <f t="shared" si="73"/>
        <v>3.5549748406434043</v>
      </c>
      <c r="FC85" s="174">
        <f t="shared" si="73"/>
        <v>8.8152075710120119</v>
      </c>
      <c r="FD85" s="174">
        <f t="shared" si="73"/>
        <v>-0.63865495535874517</v>
      </c>
      <c r="FE85" s="174">
        <f t="shared" si="73"/>
        <v>-0.2836088179814259</v>
      </c>
      <c r="FF85" s="174">
        <f t="shared" si="73"/>
        <v>-0.79097703574040523</v>
      </c>
      <c r="FG85" s="174">
        <f t="shared" si="74"/>
        <v>-0.642512367182832</v>
      </c>
      <c r="FH85" s="174">
        <f t="shared" si="68"/>
        <v>0.46718133001806383</v>
      </c>
      <c r="FI85" s="174">
        <f t="shared" si="69"/>
        <v>0.20390777072346356</v>
      </c>
      <c r="FJ85" s="174">
        <f t="shared" si="70"/>
        <v>2.7804112983505469</v>
      </c>
      <c r="FK85" s="174">
        <f t="shared" si="70"/>
        <v>0.51686718073825944</v>
      </c>
    </row>
    <row r="86" spans="2:167" ht="16">
      <c r="B86" s="140" t="s">
        <v>867</v>
      </c>
      <c r="C86" s="127" t="s">
        <v>868</v>
      </c>
      <c r="D86" s="128"/>
      <c r="E86" s="128"/>
      <c r="F86" s="128"/>
      <c r="G86" s="128"/>
      <c r="H86" s="128"/>
      <c r="I86" s="128"/>
      <c r="J86" s="128"/>
      <c r="K86" s="128"/>
      <c r="L86" s="128"/>
      <c r="M86" s="128"/>
      <c r="N86" s="128"/>
      <c r="O86" s="128"/>
      <c r="P86" s="128"/>
      <c r="Q86" s="128"/>
      <c r="R86" s="128"/>
      <c r="S86" s="128"/>
      <c r="T86" s="128"/>
      <c r="U86" s="128"/>
      <c r="V86" s="128"/>
      <c r="W86" s="128"/>
      <c r="X86" s="128"/>
      <c r="Y86" s="128"/>
      <c r="Z86" s="128">
        <v>0</v>
      </c>
      <c r="AA86" s="128">
        <v>0</v>
      </c>
      <c r="AB86" s="128">
        <v>0</v>
      </c>
      <c r="AC86" s="128">
        <v>0</v>
      </c>
      <c r="AD86" s="128">
        <v>0</v>
      </c>
      <c r="AE86" s="128">
        <v>0</v>
      </c>
      <c r="AF86" s="128">
        <v>0</v>
      </c>
      <c r="AG86" s="128">
        <v>0</v>
      </c>
      <c r="AH86" s="128">
        <v>0</v>
      </c>
      <c r="AI86" s="128">
        <v>0</v>
      </c>
      <c r="AJ86" s="128">
        <v>0</v>
      </c>
      <c r="AK86" s="128">
        <v>0</v>
      </c>
      <c r="AL86" s="128">
        <v>0</v>
      </c>
      <c r="AM86" s="128">
        <v>0</v>
      </c>
      <c r="AN86" s="128">
        <v>0</v>
      </c>
      <c r="AO86" s="128">
        <v>0</v>
      </c>
      <c r="AP86" s="173">
        <v>0</v>
      </c>
      <c r="AQ86" s="173">
        <v>0</v>
      </c>
      <c r="AR86" s="173">
        <v>0</v>
      </c>
      <c r="AS86" s="288">
        <v>0</v>
      </c>
      <c r="AT86" s="288">
        <v>0</v>
      </c>
      <c r="AU86" s="288">
        <v>0</v>
      </c>
      <c r="AV86" s="288">
        <v>0</v>
      </c>
      <c r="AW86" s="158">
        <v>0</v>
      </c>
      <c r="AX86" s="158">
        <v>0</v>
      </c>
      <c r="AY86" s="158">
        <v>0</v>
      </c>
      <c r="AZ86" s="158">
        <v>0</v>
      </c>
      <c r="BA86" s="158">
        <v>0</v>
      </c>
      <c r="BB86" s="41">
        <v>0</v>
      </c>
      <c r="BC86" s="41">
        <v>0</v>
      </c>
      <c r="BD86" s="158">
        <v>0</v>
      </c>
      <c r="BE86" s="158">
        <v>0</v>
      </c>
      <c r="BF86" s="288">
        <v>0</v>
      </c>
      <c r="BG86" s="289">
        <v>0</v>
      </c>
      <c r="BH86" s="289">
        <v>0</v>
      </c>
      <c r="BI86" s="289">
        <v>0</v>
      </c>
      <c r="BJ86" s="289">
        <v>0</v>
      </c>
      <c r="BK86" s="289">
        <v>0</v>
      </c>
      <c r="BL86" s="289">
        <v>0</v>
      </c>
      <c r="BM86" s="289">
        <v>0</v>
      </c>
      <c r="BN86" s="289">
        <v>0</v>
      </c>
      <c r="BO86" s="289">
        <v>0</v>
      </c>
      <c r="BP86" s="289">
        <v>0</v>
      </c>
      <c r="BQ86" s="289">
        <v>0</v>
      </c>
      <c r="BR86" s="289">
        <v>0</v>
      </c>
      <c r="BS86" s="289">
        <v>0</v>
      </c>
      <c r="BT86" s="289">
        <v>0</v>
      </c>
      <c r="BU86" s="289"/>
      <c r="BV86" s="142"/>
      <c r="BW86" s="142"/>
      <c r="BX86" s="142"/>
      <c r="BY86" s="142"/>
      <c r="BZ86" s="142"/>
      <c r="CA86" s="142"/>
      <c r="CB86" s="142"/>
      <c r="CC86" s="142"/>
      <c r="CD86" s="142"/>
      <c r="CE86" s="142"/>
      <c r="CF86" s="142"/>
      <c r="CG86" s="142"/>
      <c r="CH86" s="142"/>
      <c r="CI86" s="142"/>
      <c r="CJ86" s="142"/>
      <c r="CK86" s="142"/>
      <c r="CL86" s="142"/>
      <c r="CM86" s="142"/>
      <c r="CN86" s="142"/>
      <c r="CO86" s="142"/>
      <c r="CP86" s="142"/>
      <c r="CQ86" s="142"/>
      <c r="CR86" s="142"/>
      <c r="CS86" s="142"/>
      <c r="CT86" s="142"/>
      <c r="CU86" s="142"/>
      <c r="CV86" s="142"/>
      <c r="CW86" s="142"/>
      <c r="CX86" s="142"/>
      <c r="CY86" s="142"/>
      <c r="CZ86" s="142"/>
      <c r="DA86" s="142"/>
      <c r="DB86" s="142"/>
      <c r="DC86" s="142"/>
      <c r="DD86" s="142"/>
      <c r="DE86" s="142"/>
      <c r="DF86" s="142"/>
      <c r="DG86" s="142"/>
      <c r="DH86" s="142"/>
      <c r="DI86" s="142"/>
      <c r="DJ86" s="142"/>
      <c r="DK86" s="142"/>
      <c r="DL86" s="142"/>
      <c r="DM86" s="142"/>
      <c r="DN86" s="142"/>
      <c r="DO86" s="142"/>
      <c r="DP86" s="142"/>
      <c r="DQ86" s="142"/>
      <c r="DR86" s="142"/>
      <c r="DS86" s="133"/>
      <c r="DT86" s="174" t="str">
        <f t="shared" si="79"/>
        <v/>
      </c>
      <c r="DU86" s="174" t="str">
        <f t="shared" si="79"/>
        <v/>
      </c>
      <c r="DV86" s="174" t="str">
        <f t="shared" si="79"/>
        <v/>
      </c>
      <c r="DW86" s="174" t="str">
        <f t="shared" si="79"/>
        <v/>
      </c>
      <c r="DX86" s="174" t="str">
        <f t="shared" si="79"/>
        <v/>
      </c>
      <c r="DY86" s="174" t="str">
        <f t="shared" si="79"/>
        <v/>
      </c>
      <c r="DZ86" s="174" t="str">
        <f t="shared" si="79"/>
        <v/>
      </c>
      <c r="EA86" s="174" t="str">
        <f t="shared" si="79"/>
        <v/>
      </c>
      <c r="EB86" s="174" t="str">
        <f t="shared" si="79"/>
        <v/>
      </c>
      <c r="EC86" s="174" t="str">
        <f t="shared" si="79"/>
        <v/>
      </c>
      <c r="ED86" s="174" t="str">
        <f t="shared" si="79"/>
        <v/>
      </c>
      <c r="EE86" s="174" t="str">
        <f t="shared" si="79"/>
        <v/>
      </c>
      <c r="EF86" s="174" t="str">
        <f t="shared" si="79"/>
        <v/>
      </c>
      <c r="EG86" s="174" t="str">
        <f t="shared" si="79"/>
        <v/>
      </c>
      <c r="EH86" s="174" t="str">
        <f t="shared" si="79"/>
        <v/>
      </c>
      <c r="EI86" s="174" t="str">
        <f t="shared" si="78"/>
        <v/>
      </c>
      <c r="EJ86" s="174" t="str">
        <f t="shared" si="77"/>
        <v/>
      </c>
      <c r="EK86" s="174" t="str">
        <f t="shared" si="77"/>
        <v/>
      </c>
      <c r="EL86" s="174" t="str">
        <f t="shared" si="77"/>
        <v/>
      </c>
      <c r="EM86" s="174" t="str">
        <f t="shared" ref="EM86:EW109" si="80">IFERROR(AC86/Y86-1,"")</f>
        <v/>
      </c>
      <c r="EN86" s="174" t="str">
        <f t="shared" si="80"/>
        <v/>
      </c>
      <c r="EO86" s="174" t="str">
        <f t="shared" si="80"/>
        <v/>
      </c>
      <c r="EP86" s="174" t="str">
        <f t="shared" si="80"/>
        <v/>
      </c>
      <c r="EQ86" s="174" t="str">
        <f t="shared" si="80"/>
        <v/>
      </c>
      <c r="ER86" s="174" t="str">
        <f t="shared" si="80"/>
        <v/>
      </c>
      <c r="ES86" s="174" t="str">
        <f t="shared" si="80"/>
        <v/>
      </c>
      <c r="ET86" s="174" t="str">
        <f t="shared" si="80"/>
        <v/>
      </c>
      <c r="EU86" s="174" t="str">
        <f t="shared" si="80"/>
        <v/>
      </c>
      <c r="EV86" s="174" t="str">
        <f t="shared" si="80"/>
        <v/>
      </c>
      <c r="EW86" s="174" t="str">
        <f t="shared" si="80"/>
        <v/>
      </c>
      <c r="EX86" s="174" t="str">
        <f t="shared" si="76"/>
        <v/>
      </c>
      <c r="EY86" s="174" t="str">
        <f t="shared" si="76"/>
        <v/>
      </c>
      <c r="EZ86" s="174" t="str">
        <f t="shared" si="73"/>
        <v/>
      </c>
      <c r="FA86" s="174" t="str">
        <f t="shared" si="73"/>
        <v/>
      </c>
      <c r="FB86" s="174" t="str">
        <f t="shared" si="73"/>
        <v/>
      </c>
      <c r="FC86" s="174" t="str">
        <f t="shared" si="73"/>
        <v/>
      </c>
      <c r="FD86" s="174" t="str">
        <f t="shared" si="73"/>
        <v/>
      </c>
      <c r="FE86" s="174" t="str">
        <f t="shared" si="73"/>
        <v/>
      </c>
      <c r="FF86" s="174" t="str">
        <f t="shared" si="73"/>
        <v/>
      </c>
      <c r="FG86" s="174" t="str">
        <f t="shared" si="74"/>
        <v/>
      </c>
      <c r="FH86" s="174" t="str">
        <f t="shared" si="68"/>
        <v/>
      </c>
      <c r="FI86" s="174" t="str">
        <f t="shared" si="69"/>
        <v/>
      </c>
      <c r="FJ86" s="174" t="str">
        <f t="shared" si="70"/>
        <v/>
      </c>
      <c r="FK86" s="174" t="str">
        <f t="shared" si="70"/>
        <v/>
      </c>
    </row>
    <row r="87" spans="2:167" ht="16">
      <c r="B87" s="140" t="s">
        <v>473</v>
      </c>
      <c r="C87" s="127" t="s">
        <v>869</v>
      </c>
      <c r="D87" s="128"/>
      <c r="E87" s="128"/>
      <c r="F87" s="128"/>
      <c r="G87" s="128"/>
      <c r="H87" s="128"/>
      <c r="I87" s="128"/>
      <c r="J87" s="128"/>
      <c r="K87" s="128"/>
      <c r="L87" s="128"/>
      <c r="M87" s="128"/>
      <c r="N87" s="128"/>
      <c r="O87" s="128"/>
      <c r="P87" s="128"/>
      <c r="Q87" s="128"/>
      <c r="R87" s="128"/>
      <c r="S87" s="128"/>
      <c r="T87" s="128"/>
      <c r="U87" s="128"/>
      <c r="V87" s="128"/>
      <c r="W87" s="128"/>
      <c r="X87" s="128"/>
      <c r="Y87" s="128"/>
      <c r="Z87" s="128">
        <v>0</v>
      </c>
      <c r="AA87" s="128">
        <v>0</v>
      </c>
      <c r="AB87" s="128">
        <v>0</v>
      </c>
      <c r="AC87" s="128">
        <v>0</v>
      </c>
      <c r="AD87" s="128">
        <v>0</v>
      </c>
      <c r="AE87" s="128">
        <v>17.746405528</v>
      </c>
      <c r="AF87" s="128">
        <v>36.683980073999997</v>
      </c>
      <c r="AG87" s="128">
        <v>42.854581813999999</v>
      </c>
      <c r="AH87" s="128">
        <v>48.999428631000001</v>
      </c>
      <c r="AI87" s="128">
        <v>57.208835000000001</v>
      </c>
      <c r="AJ87" s="128">
        <v>66.707585656999996</v>
      </c>
      <c r="AK87" s="128">
        <v>80.420562146999998</v>
      </c>
      <c r="AL87" s="128">
        <v>69.407880867000003</v>
      </c>
      <c r="AM87" s="128">
        <v>43.939084076</v>
      </c>
      <c r="AN87" s="128">
        <v>33.977954353999998</v>
      </c>
      <c r="AO87" s="128">
        <v>24.917366783999999</v>
      </c>
      <c r="AP87" s="173">
        <v>32.265503039000002</v>
      </c>
      <c r="AQ87" s="173">
        <v>71.706234643000002</v>
      </c>
      <c r="AR87" s="173">
        <v>154.768727219</v>
      </c>
      <c r="AS87" s="288">
        <v>244.569127108</v>
      </c>
      <c r="AT87" s="288">
        <v>11.658979636</v>
      </c>
      <c r="AU87" s="288">
        <v>51.369714193999997</v>
      </c>
      <c r="AV87" s="288">
        <v>32.350218138000002</v>
      </c>
      <c r="AW87" s="158">
        <v>87.43043831</v>
      </c>
      <c r="AX87" s="158">
        <v>17.105837249</v>
      </c>
      <c r="AY87" s="158">
        <v>61.844398097999999</v>
      </c>
      <c r="AZ87" s="158">
        <v>122.297130153</v>
      </c>
      <c r="BA87" s="158">
        <v>132.62036247</v>
      </c>
      <c r="BB87" s="41">
        <v>99.363949563000006</v>
      </c>
      <c r="BC87" s="41">
        <v>258.14139854699999</v>
      </c>
      <c r="BD87" s="158">
        <v>171.25346302200001</v>
      </c>
      <c r="BE87" s="158">
        <v>79.697939172000005</v>
      </c>
      <c r="BF87" s="288">
        <v>65.671217448999997</v>
      </c>
      <c r="BG87" s="289">
        <v>129.37780913</v>
      </c>
      <c r="BH87" s="289">
        <v>232.648827969</v>
      </c>
      <c r="BI87" s="289">
        <v>69.320373958000005</v>
      </c>
      <c r="BJ87" s="289">
        <v>232.648827969</v>
      </c>
      <c r="BK87" s="289">
        <v>3.6160513120000002</v>
      </c>
      <c r="BL87" s="289">
        <v>159.74789706600001</v>
      </c>
      <c r="BM87" s="289">
        <v>4.4938569340000001</v>
      </c>
      <c r="BN87" s="289">
        <v>1.36</v>
      </c>
      <c r="BO87" s="289">
        <v>2.238802674</v>
      </c>
      <c r="BP87" s="289">
        <v>9.9600000000000009</v>
      </c>
      <c r="BQ87" s="289">
        <v>24.526423340000001</v>
      </c>
      <c r="BR87" s="289">
        <v>56.354717819999998</v>
      </c>
      <c r="BS87" s="289">
        <v>106.48575723099999</v>
      </c>
      <c r="BT87" s="289">
        <v>76.144035145999993</v>
      </c>
      <c r="BU87" s="289"/>
      <c r="BV87" s="142"/>
      <c r="BW87" s="142"/>
      <c r="BX87" s="142"/>
      <c r="BY87" s="142"/>
      <c r="BZ87" s="142"/>
      <c r="CA87" s="142"/>
      <c r="CB87" s="142"/>
      <c r="CC87" s="142"/>
      <c r="CD87" s="142"/>
      <c r="CE87" s="142"/>
      <c r="CF87" s="142"/>
      <c r="CG87" s="142"/>
      <c r="CH87" s="142"/>
      <c r="CI87" s="142"/>
      <c r="CJ87" s="142"/>
      <c r="CK87" s="142"/>
      <c r="CL87" s="142"/>
      <c r="CM87" s="142"/>
      <c r="CN87" s="142"/>
      <c r="CO87" s="142"/>
      <c r="CP87" s="142"/>
      <c r="CQ87" s="142"/>
      <c r="CR87" s="142"/>
      <c r="CS87" s="142"/>
      <c r="CT87" s="142"/>
      <c r="CU87" s="142"/>
      <c r="CV87" s="142"/>
      <c r="CW87" s="142"/>
      <c r="CX87" s="142"/>
      <c r="CY87" s="142"/>
      <c r="CZ87" s="142"/>
      <c r="DA87" s="142"/>
      <c r="DB87" s="142"/>
      <c r="DC87" s="142"/>
      <c r="DD87" s="142"/>
      <c r="DE87" s="142"/>
      <c r="DF87" s="142"/>
      <c r="DG87" s="142"/>
      <c r="DH87" s="142"/>
      <c r="DI87" s="142"/>
      <c r="DJ87" s="142"/>
      <c r="DK87" s="142"/>
      <c r="DL87" s="142"/>
      <c r="DM87" s="142"/>
      <c r="DN87" s="142"/>
      <c r="DO87" s="142"/>
      <c r="DP87" s="142"/>
      <c r="DQ87" s="142"/>
      <c r="DR87" s="142"/>
      <c r="DS87" s="133"/>
      <c r="DT87" s="174" t="str">
        <f t="shared" si="79"/>
        <v/>
      </c>
      <c r="DU87" s="174" t="str">
        <f t="shared" si="79"/>
        <v/>
      </c>
      <c r="DV87" s="174" t="str">
        <f t="shared" si="79"/>
        <v/>
      </c>
      <c r="DW87" s="174" t="str">
        <f t="shared" si="79"/>
        <v/>
      </c>
      <c r="DX87" s="174" t="str">
        <f t="shared" si="79"/>
        <v/>
      </c>
      <c r="DY87" s="174" t="str">
        <f t="shared" si="79"/>
        <v/>
      </c>
      <c r="DZ87" s="174" t="str">
        <f t="shared" si="79"/>
        <v/>
      </c>
      <c r="EA87" s="174" t="str">
        <f t="shared" si="79"/>
        <v/>
      </c>
      <c r="EB87" s="174" t="str">
        <f t="shared" si="79"/>
        <v/>
      </c>
      <c r="EC87" s="174" t="str">
        <f t="shared" si="79"/>
        <v/>
      </c>
      <c r="ED87" s="174" t="str">
        <f t="shared" si="79"/>
        <v/>
      </c>
      <c r="EE87" s="174" t="str">
        <f t="shared" si="79"/>
        <v/>
      </c>
      <c r="EF87" s="174" t="str">
        <f t="shared" si="79"/>
        <v/>
      </c>
      <c r="EG87" s="174" t="str">
        <f t="shared" si="79"/>
        <v/>
      </c>
      <c r="EH87" s="174" t="str">
        <f t="shared" si="79"/>
        <v/>
      </c>
      <c r="EI87" s="174" t="str">
        <f t="shared" si="78"/>
        <v/>
      </c>
      <c r="EJ87" s="174" t="str">
        <f t="shared" si="78"/>
        <v/>
      </c>
      <c r="EK87" s="174" t="str">
        <f t="shared" si="78"/>
        <v/>
      </c>
      <c r="EL87" s="174" t="str">
        <f t="shared" si="78"/>
        <v/>
      </c>
      <c r="EM87" s="174" t="str">
        <f t="shared" si="80"/>
        <v/>
      </c>
      <c r="EN87" s="174" t="str">
        <f t="shared" si="80"/>
        <v/>
      </c>
      <c r="EO87" s="174" t="str">
        <f t="shared" si="80"/>
        <v/>
      </c>
      <c r="EP87" s="174" t="str">
        <f t="shared" si="80"/>
        <v/>
      </c>
      <c r="EQ87" s="174" t="str">
        <f t="shared" si="80"/>
        <v/>
      </c>
      <c r="ER87" s="174" t="str">
        <f t="shared" si="80"/>
        <v/>
      </c>
      <c r="ES87" s="174">
        <f t="shared" si="80"/>
        <v>2.2236857717320162</v>
      </c>
      <c r="ET87" s="174">
        <f t="shared" si="80"/>
        <v>0.81843915306996418</v>
      </c>
      <c r="EU87" s="174">
        <f t="shared" si="80"/>
        <v>0.87659192419718623</v>
      </c>
      <c r="EV87" s="174">
        <f t="shared" si="80"/>
        <v>0.4165038819062552</v>
      </c>
      <c r="EW87" s="174">
        <f t="shared" si="80"/>
        <v>-0.23195282553822327</v>
      </c>
      <c r="EX87" s="174">
        <f t="shared" si="76"/>
        <v>-0.49064332010591205</v>
      </c>
      <c r="EY87" s="174">
        <f t="shared" si="76"/>
        <v>-0.69016174323111823</v>
      </c>
      <c r="EZ87" s="174">
        <f t="shared" si="73"/>
        <v>-0.53513199602178541</v>
      </c>
      <c r="FA87" s="174">
        <f t="shared" si="73"/>
        <v>0.63194650391373819</v>
      </c>
      <c r="FB87" s="174">
        <f t="shared" si="73"/>
        <v>3.5549748406434043</v>
      </c>
      <c r="FC87" s="174">
        <f t="shared" si="73"/>
        <v>8.8152075710120119</v>
      </c>
      <c r="FD87" s="174">
        <f t="shared" si="73"/>
        <v>-0.63865495535874517</v>
      </c>
      <c r="FE87" s="174">
        <f t="shared" si="73"/>
        <v>-0.2836088179814259</v>
      </c>
      <c r="FF87" s="174">
        <f t="shared" si="73"/>
        <v>-0.79097703574040523</v>
      </c>
      <c r="FG87" s="174">
        <f t="shared" si="74"/>
        <v>-0.642512367182832</v>
      </c>
      <c r="FH87" s="174">
        <f t="shared" si="68"/>
        <v>0.46718133001806383</v>
      </c>
      <c r="FI87" s="174">
        <f t="shared" si="69"/>
        <v>0.20390777072346356</v>
      </c>
      <c r="FJ87" s="174">
        <f t="shared" si="70"/>
        <v>2.7804112983505469</v>
      </c>
      <c r="FK87" s="174">
        <f t="shared" si="70"/>
        <v>0.51686718073825944</v>
      </c>
    </row>
    <row r="88" spans="2:167" ht="16">
      <c r="B88" s="140" t="s">
        <v>870</v>
      </c>
      <c r="C88" s="127" t="s">
        <v>871</v>
      </c>
      <c r="D88" s="128"/>
      <c r="E88" s="128"/>
      <c r="F88" s="128"/>
      <c r="G88" s="128"/>
      <c r="H88" s="128"/>
      <c r="I88" s="128"/>
      <c r="J88" s="128"/>
      <c r="K88" s="128"/>
      <c r="L88" s="128"/>
      <c r="M88" s="128"/>
      <c r="N88" s="128"/>
      <c r="O88" s="128"/>
      <c r="P88" s="128"/>
      <c r="Q88" s="128"/>
      <c r="R88" s="128"/>
      <c r="S88" s="128"/>
      <c r="T88" s="128"/>
      <c r="U88" s="128"/>
      <c r="V88" s="128"/>
      <c r="W88" s="128"/>
      <c r="X88" s="128"/>
      <c r="Y88" s="128"/>
      <c r="Z88" s="128">
        <v>0</v>
      </c>
      <c r="AA88" s="128">
        <v>0</v>
      </c>
      <c r="AB88" s="128">
        <v>0</v>
      </c>
      <c r="AC88" s="128">
        <v>0</v>
      </c>
      <c r="AD88" s="128">
        <v>0</v>
      </c>
      <c r="AE88" s="128">
        <v>0</v>
      </c>
      <c r="AF88" s="128">
        <v>0</v>
      </c>
      <c r="AG88" s="128">
        <v>0</v>
      </c>
      <c r="AH88" s="128">
        <v>0</v>
      </c>
      <c r="AI88" s="128">
        <v>0</v>
      </c>
      <c r="AJ88" s="128">
        <v>0</v>
      </c>
      <c r="AK88" s="128">
        <v>0</v>
      </c>
      <c r="AL88" s="128">
        <v>0</v>
      </c>
      <c r="AM88" s="128">
        <v>0</v>
      </c>
      <c r="AN88" s="128">
        <v>0</v>
      </c>
      <c r="AO88" s="128">
        <v>0</v>
      </c>
      <c r="AP88" s="173">
        <v>0</v>
      </c>
      <c r="AQ88" s="173">
        <v>61.304248723000001</v>
      </c>
      <c r="AR88" s="173">
        <v>58.760018371000001</v>
      </c>
      <c r="AS88" s="288">
        <v>59.937763115000003</v>
      </c>
      <c r="AT88" s="288">
        <v>59.902315008999999</v>
      </c>
      <c r="AU88" s="288">
        <v>59.444956591</v>
      </c>
      <c r="AV88" s="288">
        <v>58.376172902</v>
      </c>
      <c r="AW88" s="158">
        <v>56.464479744000002</v>
      </c>
      <c r="AX88" s="158">
        <v>55.060624799999999</v>
      </c>
      <c r="AY88" s="158">
        <v>53.899866791000001</v>
      </c>
      <c r="AZ88" s="158">
        <v>52.670785043999999</v>
      </c>
      <c r="BA88" s="158">
        <v>52.757540272999996</v>
      </c>
      <c r="BB88" s="41">
        <v>49.796978181999997</v>
      </c>
      <c r="BC88" s="41">
        <v>46.383695336000002</v>
      </c>
      <c r="BD88" s="158">
        <v>5052.5945335779998</v>
      </c>
      <c r="BE88" s="158">
        <v>0</v>
      </c>
      <c r="BF88" s="288">
        <v>0</v>
      </c>
      <c r="BG88" s="289">
        <v>181.03484</v>
      </c>
      <c r="BH88" s="289">
        <v>231.03484</v>
      </c>
      <c r="BI88" s="289">
        <v>241.03484</v>
      </c>
      <c r="BJ88" s="289">
        <v>231.03484</v>
      </c>
      <c r="BK88" s="289">
        <v>231.03484</v>
      </c>
      <c r="BL88" s="289">
        <v>231.03484</v>
      </c>
      <c r="BM88" s="289">
        <v>746.63225272900002</v>
      </c>
      <c r="BN88" s="289">
        <v>626.15</v>
      </c>
      <c r="BO88" s="289">
        <v>409.73518909900002</v>
      </c>
      <c r="BP88" s="289">
        <v>954.84</v>
      </c>
      <c r="BQ88" s="289">
        <v>242.03579783000001</v>
      </c>
      <c r="BR88" s="289">
        <v>245.16557212999999</v>
      </c>
      <c r="BS88" s="289">
        <v>1211.0593904039999</v>
      </c>
      <c r="BT88" s="289">
        <v>1632.4473857590001</v>
      </c>
      <c r="BU88" s="289"/>
      <c r="BV88" s="142"/>
      <c r="BW88" s="142"/>
      <c r="BX88" s="142"/>
      <c r="BY88" s="142"/>
      <c r="BZ88" s="142"/>
      <c r="CA88" s="142"/>
      <c r="CB88" s="142"/>
      <c r="CC88" s="142"/>
      <c r="CD88" s="142"/>
      <c r="CE88" s="142"/>
      <c r="CF88" s="142"/>
      <c r="CG88" s="142"/>
      <c r="CH88" s="142"/>
      <c r="CI88" s="142"/>
      <c r="CJ88" s="142"/>
      <c r="CK88" s="142"/>
      <c r="CL88" s="142"/>
      <c r="CM88" s="142"/>
      <c r="CN88" s="142"/>
      <c r="CO88" s="142"/>
      <c r="CP88" s="142"/>
      <c r="CQ88" s="142"/>
      <c r="CR88" s="142"/>
      <c r="CS88" s="142"/>
      <c r="CT88" s="142"/>
      <c r="CU88" s="142"/>
      <c r="CV88" s="142"/>
      <c r="CW88" s="142"/>
      <c r="CX88" s="142"/>
      <c r="CY88" s="142"/>
      <c r="CZ88" s="142"/>
      <c r="DA88" s="142"/>
      <c r="DB88" s="142"/>
      <c r="DC88" s="142"/>
      <c r="DD88" s="142"/>
      <c r="DE88" s="142"/>
      <c r="DF88" s="142"/>
      <c r="DG88" s="142"/>
      <c r="DH88" s="142"/>
      <c r="DI88" s="142"/>
      <c r="DJ88" s="142"/>
      <c r="DK88" s="142"/>
      <c r="DL88" s="142"/>
      <c r="DM88" s="142"/>
      <c r="DN88" s="142"/>
      <c r="DO88" s="142"/>
      <c r="DP88" s="142"/>
      <c r="DQ88" s="142"/>
      <c r="DR88" s="142"/>
      <c r="DS88" s="133"/>
      <c r="DT88" s="174" t="str">
        <f t="shared" si="79"/>
        <v/>
      </c>
      <c r="DU88" s="174" t="str">
        <f t="shared" si="79"/>
        <v/>
      </c>
      <c r="DV88" s="174" t="str">
        <f t="shared" si="79"/>
        <v/>
      </c>
      <c r="DW88" s="174" t="str">
        <f t="shared" si="79"/>
        <v/>
      </c>
      <c r="DX88" s="174" t="str">
        <f t="shared" si="79"/>
        <v/>
      </c>
      <c r="DY88" s="174" t="str">
        <f t="shared" si="79"/>
        <v/>
      </c>
      <c r="DZ88" s="174" t="str">
        <f t="shared" si="79"/>
        <v/>
      </c>
      <c r="EA88" s="174" t="str">
        <f t="shared" si="79"/>
        <v/>
      </c>
      <c r="EB88" s="174" t="str">
        <f t="shared" si="79"/>
        <v/>
      </c>
      <c r="EC88" s="174" t="str">
        <f t="shared" si="79"/>
        <v/>
      </c>
      <c r="ED88" s="174" t="str">
        <f t="shared" si="79"/>
        <v/>
      </c>
      <c r="EE88" s="174" t="str">
        <f t="shared" si="79"/>
        <v/>
      </c>
      <c r="EF88" s="174" t="str">
        <f t="shared" si="79"/>
        <v/>
      </c>
      <c r="EG88" s="174" t="str">
        <f t="shared" si="79"/>
        <v/>
      </c>
      <c r="EH88" s="174" t="str">
        <f t="shared" si="79"/>
        <v/>
      </c>
      <c r="EI88" s="174" t="str">
        <f t="shared" si="78"/>
        <v/>
      </c>
      <c r="EJ88" s="174" t="str">
        <f t="shared" si="78"/>
        <v/>
      </c>
      <c r="EK88" s="174" t="str">
        <f t="shared" si="78"/>
        <v/>
      </c>
      <c r="EL88" s="174" t="str">
        <f t="shared" si="78"/>
        <v/>
      </c>
      <c r="EM88" s="174" t="str">
        <f t="shared" si="80"/>
        <v/>
      </c>
      <c r="EN88" s="174" t="str">
        <f t="shared" si="80"/>
        <v/>
      </c>
      <c r="EO88" s="174" t="str">
        <f t="shared" si="80"/>
        <v/>
      </c>
      <c r="EP88" s="174" t="str">
        <f t="shared" si="80"/>
        <v/>
      </c>
      <c r="EQ88" s="174" t="str">
        <f t="shared" si="80"/>
        <v/>
      </c>
      <c r="ER88" s="174" t="str">
        <f t="shared" si="80"/>
        <v/>
      </c>
      <c r="ES88" s="174" t="str">
        <f t="shared" si="80"/>
        <v/>
      </c>
      <c r="ET88" s="174" t="str">
        <f t="shared" si="80"/>
        <v/>
      </c>
      <c r="EU88" s="174" t="str">
        <f t="shared" si="80"/>
        <v/>
      </c>
      <c r="EV88" s="174" t="str">
        <f t="shared" si="80"/>
        <v/>
      </c>
      <c r="EW88" s="174" t="str">
        <f t="shared" si="80"/>
        <v/>
      </c>
      <c r="EX88" s="174" t="str">
        <f t="shared" si="76"/>
        <v/>
      </c>
      <c r="EY88" s="174" t="str">
        <f t="shared" si="76"/>
        <v/>
      </c>
      <c r="EZ88" s="174" t="str">
        <f t="shared" si="73"/>
        <v/>
      </c>
      <c r="FA88" s="174" t="str">
        <f t="shared" si="73"/>
        <v/>
      </c>
      <c r="FB88" s="174" t="str">
        <f t="shared" ref="FB88:FF138" si="81">IFERROR(AR88/AN88-1,"")</f>
        <v/>
      </c>
      <c r="FC88" s="174" t="str">
        <f t="shared" si="81"/>
        <v/>
      </c>
      <c r="FD88" s="174" t="str">
        <f t="shared" si="81"/>
        <v/>
      </c>
      <c r="FE88" s="174">
        <f t="shared" si="81"/>
        <v>-3.032892777792795E-2</v>
      </c>
      <c r="FF88" s="174">
        <f t="shared" si="81"/>
        <v>-6.5324259529068174E-3</v>
      </c>
      <c r="FG88" s="174">
        <f t="shared" si="74"/>
        <v>-5.7948164737745778E-2</v>
      </c>
      <c r="FH88" s="174">
        <f t="shared" si="68"/>
        <v>-8.082642896643577E-2</v>
      </c>
      <c r="FI88" s="174">
        <f t="shared" si="69"/>
        <v>-9.3281080818209072E-2</v>
      </c>
      <c r="FJ88" s="174">
        <f t="shared" si="70"/>
        <v>-9.7734873226068109E-2</v>
      </c>
      <c r="FK88" s="174">
        <f t="shared" si="70"/>
        <v>-6.5650821327082332E-2</v>
      </c>
    </row>
    <row r="89" spans="2:167" ht="16">
      <c r="B89" s="140" t="s">
        <v>872</v>
      </c>
      <c r="C89" s="127" t="s">
        <v>873</v>
      </c>
      <c r="D89" s="128"/>
      <c r="E89" s="128"/>
      <c r="F89" s="128"/>
      <c r="G89" s="128"/>
      <c r="H89" s="128"/>
      <c r="I89" s="128"/>
      <c r="J89" s="128"/>
      <c r="K89" s="128"/>
      <c r="L89" s="128"/>
      <c r="M89" s="128"/>
      <c r="N89" s="128"/>
      <c r="O89" s="128"/>
      <c r="P89" s="128"/>
      <c r="Q89" s="128"/>
      <c r="R89" s="128"/>
      <c r="S89" s="128"/>
      <c r="T89" s="128"/>
      <c r="U89" s="128"/>
      <c r="V89" s="128"/>
      <c r="W89" s="128"/>
      <c r="X89" s="128"/>
      <c r="Y89" s="128"/>
      <c r="Z89" s="128">
        <v>0</v>
      </c>
      <c r="AA89" s="128">
        <v>0</v>
      </c>
      <c r="AB89" s="128">
        <v>0</v>
      </c>
      <c r="AC89" s="128">
        <v>0</v>
      </c>
      <c r="AD89" s="128">
        <v>0</v>
      </c>
      <c r="AE89" s="128">
        <v>0</v>
      </c>
      <c r="AF89" s="128">
        <v>0</v>
      </c>
      <c r="AG89" s="128">
        <v>0</v>
      </c>
      <c r="AH89" s="128">
        <v>0</v>
      </c>
      <c r="AI89" s="128">
        <v>0</v>
      </c>
      <c r="AJ89" s="128">
        <v>0</v>
      </c>
      <c r="AK89" s="128">
        <v>0</v>
      </c>
      <c r="AL89" s="128">
        <v>0</v>
      </c>
      <c r="AM89" s="128">
        <v>0</v>
      </c>
      <c r="AN89" s="128">
        <v>0</v>
      </c>
      <c r="AO89" s="128">
        <v>0</v>
      </c>
      <c r="AP89" s="173">
        <v>0</v>
      </c>
      <c r="AQ89" s="173">
        <v>0</v>
      </c>
      <c r="AR89" s="173">
        <v>0</v>
      </c>
      <c r="AS89" s="288">
        <v>0</v>
      </c>
      <c r="AT89" s="288">
        <v>0</v>
      </c>
      <c r="AU89" s="288">
        <v>0</v>
      </c>
      <c r="AV89" s="288">
        <v>0</v>
      </c>
      <c r="AW89" s="158">
        <v>0</v>
      </c>
      <c r="AX89" s="158">
        <v>0</v>
      </c>
      <c r="AY89" s="158">
        <v>0</v>
      </c>
      <c r="AZ89" s="158">
        <v>0</v>
      </c>
      <c r="BA89" s="158">
        <v>0</v>
      </c>
      <c r="BB89" s="41">
        <v>0</v>
      </c>
      <c r="BC89" s="41">
        <v>0</v>
      </c>
      <c r="BD89" s="158">
        <v>0</v>
      </c>
      <c r="BE89" s="158">
        <v>0</v>
      </c>
      <c r="BF89" s="288">
        <v>0</v>
      </c>
      <c r="BG89" s="289">
        <v>0</v>
      </c>
      <c r="BH89" s="289">
        <v>0</v>
      </c>
      <c r="BI89" s="289">
        <v>0</v>
      </c>
      <c r="BJ89" s="289">
        <v>0</v>
      </c>
      <c r="BK89" s="289">
        <v>0</v>
      </c>
      <c r="BL89" s="289">
        <v>0</v>
      </c>
      <c r="BM89" s="289">
        <v>0</v>
      </c>
      <c r="BN89" s="289">
        <v>0</v>
      </c>
      <c r="BO89" s="289">
        <v>0</v>
      </c>
      <c r="BP89" s="289">
        <v>0</v>
      </c>
      <c r="BQ89" s="289">
        <v>0</v>
      </c>
      <c r="BR89" s="289">
        <v>0</v>
      </c>
      <c r="BS89" s="289">
        <v>0</v>
      </c>
      <c r="BT89" s="289">
        <v>0</v>
      </c>
      <c r="BU89" s="289"/>
      <c r="BV89" s="142"/>
      <c r="BW89" s="142"/>
      <c r="BX89" s="142"/>
      <c r="BY89" s="142"/>
      <c r="BZ89" s="142"/>
      <c r="CA89" s="142"/>
      <c r="CB89" s="142"/>
      <c r="CC89" s="142"/>
      <c r="CD89" s="142"/>
      <c r="CE89" s="142"/>
      <c r="CF89" s="142"/>
      <c r="CG89" s="142"/>
      <c r="CH89" s="142"/>
      <c r="CI89" s="142"/>
      <c r="CJ89" s="142"/>
      <c r="CK89" s="142"/>
      <c r="CL89" s="142"/>
      <c r="CM89" s="142"/>
      <c r="CN89" s="142"/>
      <c r="CO89" s="142"/>
      <c r="CP89" s="142"/>
      <c r="CQ89" s="142"/>
      <c r="CR89" s="142"/>
      <c r="CS89" s="142"/>
      <c r="CT89" s="142"/>
      <c r="CU89" s="142"/>
      <c r="CV89" s="142"/>
      <c r="CW89" s="142"/>
      <c r="CX89" s="142"/>
      <c r="CY89" s="142"/>
      <c r="CZ89" s="142"/>
      <c r="DA89" s="142"/>
      <c r="DB89" s="142"/>
      <c r="DC89" s="142"/>
      <c r="DD89" s="142"/>
      <c r="DE89" s="142"/>
      <c r="DF89" s="142"/>
      <c r="DG89" s="142"/>
      <c r="DH89" s="142"/>
      <c r="DI89" s="142"/>
      <c r="DJ89" s="142"/>
      <c r="DK89" s="142"/>
      <c r="DL89" s="142"/>
      <c r="DM89" s="142"/>
      <c r="DN89" s="142"/>
      <c r="DO89" s="142"/>
      <c r="DP89" s="142"/>
      <c r="DQ89" s="142"/>
      <c r="DR89" s="142"/>
      <c r="DS89" s="133"/>
      <c r="DT89" s="174" t="str">
        <f t="shared" si="79"/>
        <v/>
      </c>
      <c r="DU89" s="174" t="str">
        <f t="shared" si="79"/>
        <v/>
      </c>
      <c r="DV89" s="174" t="str">
        <f t="shared" si="79"/>
        <v/>
      </c>
      <c r="DW89" s="174" t="str">
        <f t="shared" si="79"/>
        <v/>
      </c>
      <c r="DX89" s="174" t="str">
        <f t="shared" si="79"/>
        <v/>
      </c>
      <c r="DY89" s="174" t="str">
        <f t="shared" si="79"/>
        <v/>
      </c>
      <c r="DZ89" s="174" t="str">
        <f t="shared" si="79"/>
        <v/>
      </c>
      <c r="EA89" s="174" t="str">
        <f t="shared" si="79"/>
        <v/>
      </c>
      <c r="EB89" s="174" t="str">
        <f t="shared" si="79"/>
        <v/>
      </c>
      <c r="EC89" s="174" t="str">
        <f t="shared" si="79"/>
        <v/>
      </c>
      <c r="ED89" s="174" t="str">
        <f t="shared" si="79"/>
        <v/>
      </c>
      <c r="EE89" s="174" t="str">
        <f t="shared" si="79"/>
        <v/>
      </c>
      <c r="EF89" s="174" t="str">
        <f t="shared" si="79"/>
        <v/>
      </c>
      <c r="EG89" s="174" t="str">
        <f t="shared" si="79"/>
        <v/>
      </c>
      <c r="EH89" s="174" t="str">
        <f t="shared" si="79"/>
        <v/>
      </c>
      <c r="EI89" s="174" t="str">
        <f t="shared" si="78"/>
        <v/>
      </c>
      <c r="EJ89" s="174" t="str">
        <f t="shared" si="78"/>
        <v/>
      </c>
      <c r="EK89" s="174" t="str">
        <f t="shared" si="78"/>
        <v/>
      </c>
      <c r="EL89" s="174" t="str">
        <f t="shared" si="78"/>
        <v/>
      </c>
      <c r="EM89" s="174" t="str">
        <f t="shared" si="80"/>
        <v/>
      </c>
      <c r="EN89" s="174" t="str">
        <f t="shared" si="80"/>
        <v/>
      </c>
      <c r="EO89" s="174" t="str">
        <f t="shared" si="80"/>
        <v/>
      </c>
      <c r="EP89" s="174" t="str">
        <f t="shared" si="80"/>
        <v/>
      </c>
      <c r="EQ89" s="174" t="str">
        <f t="shared" si="80"/>
        <v/>
      </c>
      <c r="ER89" s="174" t="str">
        <f t="shared" si="80"/>
        <v/>
      </c>
      <c r="ES89" s="174" t="str">
        <f t="shared" si="80"/>
        <v/>
      </c>
      <c r="ET89" s="174" t="str">
        <f t="shared" si="80"/>
        <v/>
      </c>
      <c r="EU89" s="174" t="str">
        <f t="shared" si="80"/>
        <v/>
      </c>
      <c r="EV89" s="174" t="str">
        <f t="shared" si="80"/>
        <v/>
      </c>
      <c r="EW89" s="174" t="str">
        <f t="shared" si="80"/>
        <v/>
      </c>
      <c r="EX89" s="174" t="str">
        <f t="shared" si="76"/>
        <v/>
      </c>
      <c r="EY89" s="174" t="str">
        <f t="shared" si="76"/>
        <v/>
      </c>
      <c r="EZ89" s="174" t="str">
        <f t="shared" si="76"/>
        <v/>
      </c>
      <c r="FA89" s="174" t="str">
        <f t="shared" si="76"/>
        <v/>
      </c>
      <c r="FB89" s="174" t="str">
        <f t="shared" si="81"/>
        <v/>
      </c>
      <c r="FC89" s="174" t="str">
        <f t="shared" si="81"/>
        <v/>
      </c>
      <c r="FD89" s="174" t="str">
        <f t="shared" si="81"/>
        <v/>
      </c>
      <c r="FE89" s="174" t="str">
        <f t="shared" si="81"/>
        <v/>
      </c>
      <c r="FF89" s="174" t="str">
        <f t="shared" si="81"/>
        <v/>
      </c>
      <c r="FG89" s="174" t="str">
        <f t="shared" si="74"/>
        <v/>
      </c>
      <c r="FH89" s="174" t="str">
        <f t="shared" si="68"/>
        <v/>
      </c>
      <c r="FI89" s="174" t="str">
        <f t="shared" si="69"/>
        <v/>
      </c>
      <c r="FJ89" s="174" t="str">
        <f t="shared" si="70"/>
        <v/>
      </c>
      <c r="FK89" s="174" t="str">
        <f t="shared" si="70"/>
        <v/>
      </c>
    </row>
    <row r="90" spans="2:167" ht="16">
      <c r="B90" s="140" t="s">
        <v>874</v>
      </c>
      <c r="C90" s="127" t="s">
        <v>875</v>
      </c>
      <c r="D90" s="128"/>
      <c r="E90" s="128"/>
      <c r="F90" s="128"/>
      <c r="G90" s="128"/>
      <c r="H90" s="128"/>
      <c r="I90" s="128"/>
      <c r="J90" s="128"/>
      <c r="K90" s="128"/>
      <c r="L90" s="128"/>
      <c r="M90" s="128"/>
      <c r="N90" s="128"/>
      <c r="O90" s="128"/>
      <c r="P90" s="128"/>
      <c r="Q90" s="128"/>
      <c r="R90" s="128"/>
      <c r="S90" s="128"/>
      <c r="T90" s="128"/>
      <c r="U90" s="128"/>
      <c r="V90" s="128"/>
      <c r="W90" s="128"/>
      <c r="X90" s="128"/>
      <c r="Y90" s="128"/>
      <c r="Z90" s="128">
        <v>0</v>
      </c>
      <c r="AA90" s="128">
        <v>0</v>
      </c>
      <c r="AB90" s="128">
        <v>0</v>
      </c>
      <c r="AC90" s="128">
        <v>0</v>
      </c>
      <c r="AD90" s="128">
        <v>0</v>
      </c>
      <c r="AE90" s="128">
        <v>0</v>
      </c>
      <c r="AF90" s="128">
        <v>0</v>
      </c>
      <c r="AG90" s="128">
        <v>0</v>
      </c>
      <c r="AH90" s="128">
        <v>0</v>
      </c>
      <c r="AI90" s="128">
        <v>0</v>
      </c>
      <c r="AJ90" s="128">
        <v>0</v>
      </c>
      <c r="AK90" s="128">
        <v>0</v>
      </c>
      <c r="AL90" s="128">
        <v>0</v>
      </c>
      <c r="AM90" s="128">
        <v>0</v>
      </c>
      <c r="AN90" s="128">
        <v>0</v>
      </c>
      <c r="AO90" s="128">
        <v>0</v>
      </c>
      <c r="AP90" s="173">
        <v>0</v>
      </c>
      <c r="AQ90" s="173">
        <v>61.304248723000001</v>
      </c>
      <c r="AR90" s="173">
        <v>58.760018371000001</v>
      </c>
      <c r="AS90" s="288">
        <v>59.937763115000003</v>
      </c>
      <c r="AT90" s="288">
        <v>59.902315008999999</v>
      </c>
      <c r="AU90" s="288">
        <v>59.444956591</v>
      </c>
      <c r="AV90" s="288">
        <v>58.376172902</v>
      </c>
      <c r="AW90" s="158">
        <v>56.464479744000002</v>
      </c>
      <c r="AX90" s="158">
        <v>55.060624799999999</v>
      </c>
      <c r="AY90" s="158">
        <v>53.899866791000001</v>
      </c>
      <c r="AZ90" s="158">
        <v>52.670785043999999</v>
      </c>
      <c r="BA90" s="158">
        <v>52.757540272999996</v>
      </c>
      <c r="BB90" s="41">
        <v>49.796978181999997</v>
      </c>
      <c r="BC90" s="41">
        <v>46.383695336000002</v>
      </c>
      <c r="BD90" s="158">
        <v>45.145441820000002</v>
      </c>
      <c r="BE90" s="158">
        <v>0</v>
      </c>
      <c r="BF90" s="288">
        <v>0</v>
      </c>
      <c r="BG90" s="289">
        <v>181.03484</v>
      </c>
      <c r="BH90" s="289">
        <v>181.03484</v>
      </c>
      <c r="BI90" s="289">
        <v>181.03484</v>
      </c>
      <c r="BJ90" s="289">
        <v>181.03484</v>
      </c>
      <c r="BK90" s="289">
        <v>181.03484</v>
      </c>
      <c r="BL90" s="289">
        <v>181.03484</v>
      </c>
      <c r="BM90" s="289">
        <v>286.63225272900002</v>
      </c>
      <c r="BN90" s="289">
        <v>266.14999999999998</v>
      </c>
      <c r="BO90" s="289">
        <v>239.46540070399999</v>
      </c>
      <c r="BP90" s="289">
        <v>239.61</v>
      </c>
      <c r="BQ90" s="289">
        <v>242.03579783000001</v>
      </c>
      <c r="BR90" s="289">
        <v>245.16557212999999</v>
      </c>
      <c r="BS90" s="289">
        <v>361.059390404</v>
      </c>
      <c r="BT90" s="289">
        <v>365.23609175899998</v>
      </c>
      <c r="BU90" s="289"/>
      <c r="BV90" s="142"/>
      <c r="BW90" s="142"/>
      <c r="BX90" s="142"/>
      <c r="BY90" s="142"/>
      <c r="BZ90" s="142"/>
      <c r="CA90" s="142"/>
      <c r="CB90" s="142"/>
      <c r="CC90" s="142"/>
      <c r="CD90" s="142"/>
      <c r="CE90" s="142"/>
      <c r="CF90" s="142"/>
      <c r="CG90" s="142"/>
      <c r="CH90" s="142"/>
      <c r="CI90" s="142"/>
      <c r="CJ90" s="142"/>
      <c r="CK90" s="142"/>
      <c r="CL90" s="142"/>
      <c r="CM90" s="142"/>
      <c r="CN90" s="142"/>
      <c r="CO90" s="142"/>
      <c r="CP90" s="142"/>
      <c r="CQ90" s="142"/>
      <c r="CR90" s="142"/>
      <c r="CS90" s="142"/>
      <c r="CT90" s="142"/>
      <c r="CU90" s="142"/>
      <c r="CV90" s="142"/>
      <c r="CW90" s="142"/>
      <c r="CX90" s="142"/>
      <c r="CY90" s="142"/>
      <c r="CZ90" s="142"/>
      <c r="DA90" s="142"/>
      <c r="DB90" s="142"/>
      <c r="DC90" s="142"/>
      <c r="DD90" s="142"/>
      <c r="DE90" s="142"/>
      <c r="DF90" s="142"/>
      <c r="DG90" s="142"/>
      <c r="DH90" s="142"/>
      <c r="DI90" s="142"/>
      <c r="DJ90" s="142"/>
      <c r="DK90" s="142"/>
      <c r="DL90" s="142"/>
      <c r="DM90" s="142"/>
      <c r="DN90" s="142"/>
      <c r="DO90" s="142"/>
      <c r="DP90" s="142"/>
      <c r="DQ90" s="142"/>
      <c r="DR90" s="142"/>
      <c r="DS90" s="133"/>
      <c r="DT90" s="174" t="str">
        <f t="shared" si="79"/>
        <v/>
      </c>
      <c r="DU90" s="174" t="str">
        <f t="shared" si="79"/>
        <v/>
      </c>
      <c r="DV90" s="174" t="str">
        <f t="shared" si="79"/>
        <v/>
      </c>
      <c r="DW90" s="174" t="str">
        <f t="shared" si="79"/>
        <v/>
      </c>
      <c r="DX90" s="174" t="str">
        <f t="shared" si="79"/>
        <v/>
      </c>
      <c r="DY90" s="174" t="str">
        <f t="shared" si="79"/>
        <v/>
      </c>
      <c r="DZ90" s="174" t="str">
        <f t="shared" si="79"/>
        <v/>
      </c>
      <c r="EA90" s="174" t="str">
        <f t="shared" si="79"/>
        <v/>
      </c>
      <c r="EB90" s="174" t="str">
        <f t="shared" si="79"/>
        <v/>
      </c>
      <c r="EC90" s="174" t="str">
        <f t="shared" si="79"/>
        <v/>
      </c>
      <c r="ED90" s="174" t="str">
        <f t="shared" si="79"/>
        <v/>
      </c>
      <c r="EE90" s="174" t="str">
        <f t="shared" si="79"/>
        <v/>
      </c>
      <c r="EF90" s="174" t="str">
        <f t="shared" si="79"/>
        <v/>
      </c>
      <c r="EG90" s="174" t="str">
        <f t="shared" si="79"/>
        <v/>
      </c>
      <c r="EH90" s="174" t="str">
        <f t="shared" si="79"/>
        <v/>
      </c>
      <c r="EI90" s="174" t="str">
        <f t="shared" si="78"/>
        <v/>
      </c>
      <c r="EJ90" s="174" t="str">
        <f t="shared" si="78"/>
        <v/>
      </c>
      <c r="EK90" s="174" t="str">
        <f t="shared" si="78"/>
        <v/>
      </c>
      <c r="EL90" s="174" t="str">
        <f t="shared" si="78"/>
        <v/>
      </c>
      <c r="EM90" s="174" t="str">
        <f t="shared" si="80"/>
        <v/>
      </c>
      <c r="EN90" s="174" t="str">
        <f t="shared" si="80"/>
        <v/>
      </c>
      <c r="EO90" s="174" t="str">
        <f t="shared" si="80"/>
        <v/>
      </c>
      <c r="EP90" s="174" t="str">
        <f t="shared" si="80"/>
        <v/>
      </c>
      <c r="EQ90" s="174" t="str">
        <f t="shared" si="80"/>
        <v/>
      </c>
      <c r="ER90" s="174" t="str">
        <f t="shared" si="80"/>
        <v/>
      </c>
      <c r="ES90" s="174" t="str">
        <f t="shared" si="80"/>
        <v/>
      </c>
      <c r="ET90" s="174" t="str">
        <f t="shared" si="80"/>
        <v/>
      </c>
      <c r="EU90" s="174" t="str">
        <f t="shared" si="80"/>
        <v/>
      </c>
      <c r="EV90" s="174" t="str">
        <f t="shared" si="80"/>
        <v/>
      </c>
      <c r="EW90" s="174" t="str">
        <f t="shared" si="80"/>
        <v/>
      </c>
      <c r="EX90" s="174" t="str">
        <f t="shared" si="76"/>
        <v/>
      </c>
      <c r="EY90" s="174" t="str">
        <f t="shared" si="76"/>
        <v/>
      </c>
      <c r="EZ90" s="174" t="str">
        <f t="shared" si="76"/>
        <v/>
      </c>
      <c r="FA90" s="174" t="str">
        <f t="shared" si="76"/>
        <v/>
      </c>
      <c r="FB90" s="174" t="str">
        <f t="shared" si="81"/>
        <v/>
      </c>
      <c r="FC90" s="174" t="str">
        <f t="shared" si="81"/>
        <v/>
      </c>
      <c r="FD90" s="174" t="str">
        <f t="shared" si="81"/>
        <v/>
      </c>
      <c r="FE90" s="174">
        <f t="shared" si="81"/>
        <v>-3.032892777792795E-2</v>
      </c>
      <c r="FF90" s="174">
        <f t="shared" si="81"/>
        <v>-6.5324259529068174E-3</v>
      </c>
      <c r="FG90" s="174">
        <f t="shared" si="74"/>
        <v>-5.7948164737745778E-2</v>
      </c>
      <c r="FH90" s="174">
        <f t="shared" si="68"/>
        <v>-8.082642896643577E-2</v>
      </c>
      <c r="FI90" s="174">
        <f t="shared" si="69"/>
        <v>-9.3281080818209072E-2</v>
      </c>
      <c r="FJ90" s="174">
        <f t="shared" si="70"/>
        <v>-9.7734873226068109E-2</v>
      </c>
      <c r="FK90" s="174">
        <f t="shared" si="70"/>
        <v>-6.5650821327082332E-2</v>
      </c>
    </row>
    <row r="91" spans="2:167" ht="16">
      <c r="B91" s="140" t="s">
        <v>876</v>
      </c>
      <c r="C91" s="127" t="s">
        <v>877</v>
      </c>
      <c r="D91" s="128"/>
      <c r="E91" s="128"/>
      <c r="F91" s="128"/>
      <c r="G91" s="128"/>
      <c r="H91" s="128"/>
      <c r="I91" s="128"/>
      <c r="J91" s="128"/>
      <c r="K91" s="128"/>
      <c r="L91" s="128"/>
      <c r="M91" s="128"/>
      <c r="N91" s="128"/>
      <c r="O91" s="128"/>
      <c r="P91" s="128"/>
      <c r="Q91" s="128"/>
      <c r="R91" s="128"/>
      <c r="S91" s="128"/>
      <c r="T91" s="128"/>
      <c r="U91" s="128"/>
      <c r="V91" s="128"/>
      <c r="W91" s="128"/>
      <c r="X91" s="128"/>
      <c r="Y91" s="128"/>
      <c r="Z91" s="128">
        <v>0</v>
      </c>
      <c r="AA91" s="128">
        <v>0</v>
      </c>
      <c r="AB91" s="128">
        <v>0</v>
      </c>
      <c r="AC91" s="128">
        <v>0</v>
      </c>
      <c r="AD91" s="128">
        <v>0</v>
      </c>
      <c r="AE91" s="128">
        <v>0</v>
      </c>
      <c r="AF91" s="128">
        <v>0</v>
      </c>
      <c r="AG91" s="128">
        <v>0</v>
      </c>
      <c r="AH91" s="128">
        <v>0</v>
      </c>
      <c r="AI91" s="128">
        <v>0</v>
      </c>
      <c r="AJ91" s="128">
        <v>0</v>
      </c>
      <c r="AK91" s="128">
        <v>0</v>
      </c>
      <c r="AL91" s="128">
        <v>0</v>
      </c>
      <c r="AM91" s="128">
        <v>0</v>
      </c>
      <c r="AN91" s="128">
        <v>0</v>
      </c>
      <c r="AO91" s="128">
        <v>0</v>
      </c>
      <c r="AP91" s="173">
        <v>0</v>
      </c>
      <c r="AQ91" s="173">
        <v>0</v>
      </c>
      <c r="AR91" s="173">
        <v>0</v>
      </c>
      <c r="AS91" s="288">
        <v>0</v>
      </c>
      <c r="AT91" s="288">
        <v>0</v>
      </c>
      <c r="AU91" s="288">
        <v>0</v>
      </c>
      <c r="AV91" s="288">
        <v>0</v>
      </c>
      <c r="AW91" s="158">
        <v>0</v>
      </c>
      <c r="AX91" s="158">
        <v>0</v>
      </c>
      <c r="AY91" s="158">
        <v>0</v>
      </c>
      <c r="AZ91" s="158">
        <v>0</v>
      </c>
      <c r="BA91" s="158">
        <v>0</v>
      </c>
      <c r="BB91" s="41">
        <v>0</v>
      </c>
      <c r="BC91" s="41">
        <v>0</v>
      </c>
      <c r="BD91" s="158">
        <v>0</v>
      </c>
      <c r="BE91" s="158">
        <v>0</v>
      </c>
      <c r="BF91" s="288">
        <v>0</v>
      </c>
      <c r="BG91" s="289">
        <v>0</v>
      </c>
      <c r="BH91" s="289">
        <v>0</v>
      </c>
      <c r="BI91" s="289">
        <v>0</v>
      </c>
      <c r="BJ91" s="289">
        <v>0</v>
      </c>
      <c r="BK91" s="289">
        <v>0</v>
      </c>
      <c r="BL91" s="289">
        <v>0</v>
      </c>
      <c r="BM91" s="289">
        <v>0</v>
      </c>
      <c r="BN91" s="289">
        <v>0</v>
      </c>
      <c r="BO91" s="289">
        <v>0</v>
      </c>
      <c r="BP91" s="289">
        <v>0</v>
      </c>
      <c r="BQ91" s="289">
        <v>0</v>
      </c>
      <c r="BR91" s="289">
        <v>0</v>
      </c>
      <c r="BS91" s="289">
        <v>0</v>
      </c>
      <c r="BT91" s="289">
        <v>0</v>
      </c>
      <c r="BU91" s="289"/>
      <c r="BV91" s="142"/>
      <c r="BW91" s="142"/>
      <c r="BX91" s="142"/>
      <c r="BY91" s="142"/>
      <c r="BZ91" s="142"/>
      <c r="CA91" s="142"/>
      <c r="CB91" s="142"/>
      <c r="CC91" s="142"/>
      <c r="CD91" s="142"/>
      <c r="CE91" s="142"/>
      <c r="CF91" s="142"/>
      <c r="CG91" s="142"/>
      <c r="CH91" s="142"/>
      <c r="CI91" s="142"/>
      <c r="CJ91" s="142"/>
      <c r="CK91" s="142"/>
      <c r="CL91" s="142"/>
      <c r="CM91" s="142"/>
      <c r="CN91" s="142"/>
      <c r="CO91" s="142"/>
      <c r="CP91" s="142"/>
      <c r="CQ91" s="142"/>
      <c r="CR91" s="142"/>
      <c r="CS91" s="142"/>
      <c r="CT91" s="142"/>
      <c r="CU91" s="142"/>
      <c r="CV91" s="142"/>
      <c r="CW91" s="142"/>
      <c r="CX91" s="142"/>
      <c r="CY91" s="142"/>
      <c r="CZ91" s="142"/>
      <c r="DA91" s="142"/>
      <c r="DB91" s="142"/>
      <c r="DC91" s="142"/>
      <c r="DD91" s="142"/>
      <c r="DE91" s="142"/>
      <c r="DF91" s="142"/>
      <c r="DG91" s="142"/>
      <c r="DH91" s="142"/>
      <c r="DI91" s="142"/>
      <c r="DJ91" s="142"/>
      <c r="DK91" s="142"/>
      <c r="DL91" s="142"/>
      <c r="DM91" s="142"/>
      <c r="DN91" s="142"/>
      <c r="DO91" s="142"/>
      <c r="DP91" s="142"/>
      <c r="DQ91" s="142"/>
      <c r="DR91" s="142"/>
      <c r="DS91" s="133"/>
      <c r="DT91" s="174" t="str">
        <f t="shared" si="79"/>
        <v/>
      </c>
      <c r="DU91" s="174" t="str">
        <f t="shared" si="79"/>
        <v/>
      </c>
      <c r="DV91" s="174" t="str">
        <f t="shared" si="79"/>
        <v/>
      </c>
      <c r="DW91" s="174" t="str">
        <f t="shared" si="79"/>
        <v/>
      </c>
      <c r="DX91" s="174" t="str">
        <f t="shared" si="79"/>
        <v/>
      </c>
      <c r="DY91" s="174" t="str">
        <f t="shared" si="79"/>
        <v/>
      </c>
      <c r="DZ91" s="174" t="str">
        <f t="shared" si="79"/>
        <v/>
      </c>
      <c r="EA91" s="174" t="str">
        <f t="shared" si="79"/>
        <v/>
      </c>
      <c r="EB91" s="174" t="str">
        <f t="shared" si="79"/>
        <v/>
      </c>
      <c r="EC91" s="174" t="str">
        <f t="shared" si="79"/>
        <v/>
      </c>
      <c r="ED91" s="174" t="str">
        <f t="shared" si="79"/>
        <v/>
      </c>
      <c r="EE91" s="174" t="str">
        <f t="shared" si="79"/>
        <v/>
      </c>
      <c r="EF91" s="174" t="str">
        <f t="shared" si="79"/>
        <v/>
      </c>
      <c r="EG91" s="174" t="str">
        <f t="shared" si="79"/>
        <v/>
      </c>
      <c r="EH91" s="174" t="str">
        <f t="shared" si="79"/>
        <v/>
      </c>
      <c r="EI91" s="174" t="str">
        <f t="shared" si="78"/>
        <v/>
      </c>
      <c r="EJ91" s="174" t="str">
        <f t="shared" si="78"/>
        <v/>
      </c>
      <c r="EK91" s="174" t="str">
        <f t="shared" si="78"/>
        <v/>
      </c>
      <c r="EL91" s="174" t="str">
        <f t="shared" si="78"/>
        <v/>
      </c>
      <c r="EM91" s="174" t="str">
        <f t="shared" si="80"/>
        <v/>
      </c>
      <c r="EN91" s="174" t="str">
        <f t="shared" si="80"/>
        <v/>
      </c>
      <c r="EO91" s="174" t="str">
        <f t="shared" si="80"/>
        <v/>
      </c>
      <c r="EP91" s="174" t="str">
        <f t="shared" si="80"/>
        <v/>
      </c>
      <c r="EQ91" s="174" t="str">
        <f t="shared" si="80"/>
        <v/>
      </c>
      <c r="ER91" s="174" t="str">
        <f t="shared" si="80"/>
        <v/>
      </c>
      <c r="ES91" s="174" t="str">
        <f t="shared" si="80"/>
        <v/>
      </c>
      <c r="ET91" s="174" t="str">
        <f t="shared" si="80"/>
        <v/>
      </c>
      <c r="EU91" s="174" t="str">
        <f t="shared" si="80"/>
        <v/>
      </c>
      <c r="EV91" s="174" t="str">
        <f t="shared" si="80"/>
        <v/>
      </c>
      <c r="EW91" s="174" t="str">
        <f t="shared" si="80"/>
        <v/>
      </c>
      <c r="EX91" s="174" t="str">
        <f t="shared" si="76"/>
        <v/>
      </c>
      <c r="EY91" s="174" t="str">
        <f t="shared" si="76"/>
        <v/>
      </c>
      <c r="EZ91" s="174" t="str">
        <f t="shared" si="76"/>
        <v/>
      </c>
      <c r="FA91" s="174" t="str">
        <f t="shared" si="76"/>
        <v/>
      </c>
      <c r="FB91" s="174" t="str">
        <f t="shared" si="81"/>
        <v/>
      </c>
      <c r="FC91" s="174" t="str">
        <f t="shared" si="81"/>
        <v/>
      </c>
      <c r="FD91" s="174" t="str">
        <f t="shared" si="81"/>
        <v/>
      </c>
      <c r="FE91" s="174" t="str">
        <f t="shared" si="81"/>
        <v/>
      </c>
      <c r="FF91" s="174" t="str">
        <f t="shared" si="81"/>
        <v/>
      </c>
      <c r="FG91" s="174" t="str">
        <f t="shared" si="74"/>
        <v/>
      </c>
      <c r="FH91" s="174" t="str">
        <f t="shared" si="68"/>
        <v/>
      </c>
      <c r="FI91" s="174" t="str">
        <f t="shared" si="69"/>
        <v/>
      </c>
      <c r="FJ91" s="174" t="str">
        <f t="shared" si="70"/>
        <v/>
      </c>
      <c r="FK91" s="174" t="str">
        <f t="shared" si="70"/>
        <v/>
      </c>
    </row>
    <row r="92" spans="2:167" ht="16">
      <c r="B92" s="140" t="s">
        <v>878</v>
      </c>
      <c r="C92" s="127" t="s">
        <v>879</v>
      </c>
      <c r="D92" s="128"/>
      <c r="E92" s="128"/>
      <c r="F92" s="128"/>
      <c r="G92" s="128"/>
      <c r="H92" s="128"/>
      <c r="I92" s="128"/>
      <c r="J92" s="128"/>
      <c r="K92" s="128"/>
      <c r="L92" s="128"/>
      <c r="M92" s="128"/>
      <c r="N92" s="128"/>
      <c r="O92" s="128"/>
      <c r="P92" s="128"/>
      <c r="Q92" s="128"/>
      <c r="R92" s="128"/>
      <c r="S92" s="128"/>
      <c r="T92" s="128"/>
      <c r="U92" s="128"/>
      <c r="V92" s="128"/>
      <c r="W92" s="128"/>
      <c r="X92" s="128"/>
      <c r="Y92" s="128"/>
      <c r="Z92" s="128">
        <v>0</v>
      </c>
      <c r="AA92" s="128">
        <v>0</v>
      </c>
      <c r="AB92" s="128">
        <v>0</v>
      </c>
      <c r="AC92" s="128">
        <v>0</v>
      </c>
      <c r="AD92" s="128">
        <v>0</v>
      </c>
      <c r="AE92" s="128">
        <v>0</v>
      </c>
      <c r="AF92" s="128">
        <v>0</v>
      </c>
      <c r="AG92" s="128">
        <v>0</v>
      </c>
      <c r="AH92" s="128">
        <v>0</v>
      </c>
      <c r="AI92" s="128">
        <v>0</v>
      </c>
      <c r="AJ92" s="128">
        <v>0</v>
      </c>
      <c r="AK92" s="128">
        <v>0</v>
      </c>
      <c r="AL92" s="128">
        <v>0</v>
      </c>
      <c r="AM92" s="128">
        <v>0</v>
      </c>
      <c r="AN92" s="128">
        <v>0</v>
      </c>
      <c r="AO92" s="128">
        <v>0</v>
      </c>
      <c r="AP92" s="173">
        <v>0</v>
      </c>
      <c r="AQ92" s="173">
        <v>0</v>
      </c>
      <c r="AR92" s="173">
        <v>0</v>
      </c>
      <c r="AS92" s="288">
        <v>0</v>
      </c>
      <c r="AT92" s="288">
        <v>0</v>
      </c>
      <c r="AU92" s="288">
        <v>0</v>
      </c>
      <c r="AV92" s="288">
        <v>0</v>
      </c>
      <c r="AW92" s="158">
        <v>0</v>
      </c>
      <c r="AX92" s="158">
        <v>0</v>
      </c>
      <c r="AY92" s="158">
        <v>0</v>
      </c>
      <c r="AZ92" s="158">
        <v>0</v>
      </c>
      <c r="BA92" s="158">
        <v>0</v>
      </c>
      <c r="BB92" s="41">
        <v>0</v>
      </c>
      <c r="BC92" s="41">
        <v>0</v>
      </c>
      <c r="BD92" s="158">
        <v>0</v>
      </c>
      <c r="BE92" s="158">
        <v>0</v>
      </c>
      <c r="BF92" s="288">
        <v>0</v>
      </c>
      <c r="BG92" s="289">
        <v>0</v>
      </c>
      <c r="BH92" s="289">
        <v>0</v>
      </c>
      <c r="BI92" s="289">
        <v>0</v>
      </c>
      <c r="BJ92" s="289">
        <v>0</v>
      </c>
      <c r="BK92" s="289">
        <v>0</v>
      </c>
      <c r="BL92" s="289">
        <v>0</v>
      </c>
      <c r="BM92" s="289">
        <v>0</v>
      </c>
      <c r="BN92" s="289">
        <v>0</v>
      </c>
      <c r="BO92" s="289">
        <v>0</v>
      </c>
      <c r="BP92" s="289">
        <v>0</v>
      </c>
      <c r="BQ92" s="289">
        <v>0</v>
      </c>
      <c r="BR92" s="289">
        <v>0</v>
      </c>
      <c r="BS92" s="289">
        <v>0</v>
      </c>
      <c r="BT92" s="289">
        <v>0</v>
      </c>
      <c r="BU92" s="289"/>
      <c r="BV92" s="142"/>
      <c r="BW92" s="142"/>
      <c r="BX92" s="142"/>
      <c r="BY92" s="142"/>
      <c r="BZ92" s="142"/>
      <c r="CA92" s="142"/>
      <c r="CB92" s="142"/>
      <c r="CC92" s="142"/>
      <c r="CD92" s="142"/>
      <c r="CE92" s="142"/>
      <c r="CF92" s="142"/>
      <c r="CG92" s="142"/>
      <c r="CH92" s="142"/>
      <c r="CI92" s="142"/>
      <c r="CJ92" s="142"/>
      <c r="CK92" s="142"/>
      <c r="CL92" s="142"/>
      <c r="CM92" s="142"/>
      <c r="CN92" s="142"/>
      <c r="CO92" s="142"/>
      <c r="CP92" s="142"/>
      <c r="CQ92" s="142"/>
      <c r="CR92" s="142"/>
      <c r="CS92" s="142"/>
      <c r="CT92" s="142"/>
      <c r="CU92" s="142"/>
      <c r="CV92" s="142"/>
      <c r="CW92" s="142"/>
      <c r="CX92" s="142"/>
      <c r="CY92" s="142"/>
      <c r="CZ92" s="142"/>
      <c r="DA92" s="142"/>
      <c r="DB92" s="142"/>
      <c r="DC92" s="142"/>
      <c r="DD92" s="142"/>
      <c r="DE92" s="142"/>
      <c r="DF92" s="142"/>
      <c r="DG92" s="142"/>
      <c r="DH92" s="142"/>
      <c r="DI92" s="142"/>
      <c r="DJ92" s="142"/>
      <c r="DK92" s="142"/>
      <c r="DL92" s="142"/>
      <c r="DM92" s="142"/>
      <c r="DN92" s="142"/>
      <c r="DO92" s="142"/>
      <c r="DP92" s="142"/>
      <c r="DQ92" s="142"/>
      <c r="DR92" s="142"/>
      <c r="DS92" s="133"/>
      <c r="DT92" s="174" t="str">
        <f t="shared" si="79"/>
        <v/>
      </c>
      <c r="DU92" s="174" t="str">
        <f t="shared" si="79"/>
        <v/>
      </c>
      <c r="DV92" s="174" t="str">
        <f t="shared" si="79"/>
        <v/>
      </c>
      <c r="DW92" s="174" t="str">
        <f t="shared" si="79"/>
        <v/>
      </c>
      <c r="DX92" s="174" t="str">
        <f t="shared" si="79"/>
        <v/>
      </c>
      <c r="DY92" s="174" t="str">
        <f t="shared" si="79"/>
        <v/>
      </c>
      <c r="DZ92" s="174" t="str">
        <f t="shared" si="79"/>
        <v/>
      </c>
      <c r="EA92" s="174" t="str">
        <f t="shared" si="79"/>
        <v/>
      </c>
      <c r="EB92" s="174" t="str">
        <f t="shared" si="79"/>
        <v/>
      </c>
      <c r="EC92" s="174" t="str">
        <f t="shared" si="79"/>
        <v/>
      </c>
      <c r="ED92" s="174" t="str">
        <f t="shared" si="79"/>
        <v/>
      </c>
      <c r="EE92" s="174" t="str">
        <f t="shared" si="79"/>
        <v/>
      </c>
      <c r="EF92" s="174" t="str">
        <f t="shared" si="79"/>
        <v/>
      </c>
      <c r="EG92" s="174" t="str">
        <f t="shared" si="79"/>
        <v/>
      </c>
      <c r="EH92" s="174" t="str">
        <f t="shared" si="79"/>
        <v/>
      </c>
      <c r="EI92" s="174" t="str">
        <f t="shared" si="78"/>
        <v/>
      </c>
      <c r="EJ92" s="174" t="str">
        <f t="shared" si="78"/>
        <v/>
      </c>
      <c r="EK92" s="174" t="str">
        <f t="shared" si="78"/>
        <v/>
      </c>
      <c r="EL92" s="174" t="str">
        <f t="shared" si="78"/>
        <v/>
      </c>
      <c r="EM92" s="174" t="str">
        <f t="shared" si="80"/>
        <v/>
      </c>
      <c r="EN92" s="174" t="str">
        <f t="shared" si="80"/>
        <v/>
      </c>
      <c r="EO92" s="174" t="str">
        <f t="shared" si="80"/>
        <v/>
      </c>
      <c r="EP92" s="174" t="str">
        <f t="shared" si="80"/>
        <v/>
      </c>
      <c r="EQ92" s="174" t="str">
        <f t="shared" si="80"/>
        <v/>
      </c>
      <c r="ER92" s="174" t="str">
        <f t="shared" si="80"/>
        <v/>
      </c>
      <c r="ES92" s="174" t="str">
        <f t="shared" si="80"/>
        <v/>
      </c>
      <c r="ET92" s="174" t="str">
        <f t="shared" si="80"/>
        <v/>
      </c>
      <c r="EU92" s="174" t="str">
        <f t="shared" si="80"/>
        <v/>
      </c>
      <c r="EV92" s="174" t="str">
        <f t="shared" si="80"/>
        <v/>
      </c>
      <c r="EW92" s="174" t="str">
        <f t="shared" si="80"/>
        <v/>
      </c>
      <c r="EX92" s="174" t="str">
        <f t="shared" si="76"/>
        <v/>
      </c>
      <c r="EY92" s="174" t="str">
        <f t="shared" si="76"/>
        <v/>
      </c>
      <c r="EZ92" s="174" t="str">
        <f t="shared" si="76"/>
        <v/>
      </c>
      <c r="FA92" s="174" t="str">
        <f t="shared" si="76"/>
        <v/>
      </c>
      <c r="FB92" s="174" t="str">
        <f t="shared" si="81"/>
        <v/>
      </c>
      <c r="FC92" s="174" t="str">
        <f t="shared" si="81"/>
        <v/>
      </c>
      <c r="FD92" s="174" t="str">
        <f t="shared" si="81"/>
        <v/>
      </c>
      <c r="FE92" s="174" t="str">
        <f t="shared" si="81"/>
        <v/>
      </c>
      <c r="FF92" s="174" t="str">
        <f t="shared" si="81"/>
        <v/>
      </c>
      <c r="FG92" s="174" t="str">
        <f t="shared" si="74"/>
        <v/>
      </c>
      <c r="FH92" s="174" t="str">
        <f t="shared" si="68"/>
        <v/>
      </c>
      <c r="FI92" s="174" t="str">
        <f t="shared" si="69"/>
        <v/>
      </c>
      <c r="FJ92" s="174" t="str">
        <f t="shared" si="70"/>
        <v/>
      </c>
      <c r="FK92" s="174" t="str">
        <f t="shared" si="70"/>
        <v/>
      </c>
    </row>
    <row r="93" spans="2:167" s="964" customFormat="1" ht="16">
      <c r="B93" s="954" t="s">
        <v>789</v>
      </c>
      <c r="C93" s="955" t="s">
        <v>790</v>
      </c>
      <c r="D93" s="956"/>
      <c r="E93" s="956"/>
      <c r="F93" s="956"/>
      <c r="G93" s="956"/>
      <c r="H93" s="956"/>
      <c r="I93" s="956"/>
      <c r="J93" s="956"/>
      <c r="K93" s="956"/>
      <c r="L93" s="956"/>
      <c r="M93" s="956"/>
      <c r="N93" s="956"/>
      <c r="O93" s="956"/>
      <c r="P93" s="956"/>
      <c r="Q93" s="956"/>
      <c r="R93" s="956"/>
      <c r="S93" s="956"/>
      <c r="T93" s="956"/>
      <c r="U93" s="956"/>
      <c r="V93" s="956"/>
      <c r="W93" s="956"/>
      <c r="X93" s="956"/>
      <c r="Y93" s="956"/>
      <c r="Z93" s="956">
        <v>0</v>
      </c>
      <c r="AA93" s="956">
        <v>0</v>
      </c>
      <c r="AB93" s="956">
        <v>0</v>
      </c>
      <c r="AC93" s="956">
        <v>0</v>
      </c>
      <c r="AD93" s="956">
        <v>0</v>
      </c>
      <c r="AE93" s="956">
        <v>0</v>
      </c>
      <c r="AF93" s="956">
        <v>0</v>
      </c>
      <c r="AG93" s="956">
        <v>0</v>
      </c>
      <c r="AH93" s="956">
        <v>0</v>
      </c>
      <c r="AI93" s="956">
        <v>0</v>
      </c>
      <c r="AJ93" s="956">
        <v>0</v>
      </c>
      <c r="AK93" s="956">
        <v>0</v>
      </c>
      <c r="AL93" s="956">
        <v>0</v>
      </c>
      <c r="AM93" s="956">
        <v>0</v>
      </c>
      <c r="AN93" s="956">
        <v>0</v>
      </c>
      <c r="AO93" s="956">
        <v>0</v>
      </c>
      <c r="AP93" s="957">
        <v>0</v>
      </c>
      <c r="AQ93" s="957">
        <v>0</v>
      </c>
      <c r="AR93" s="957">
        <v>0</v>
      </c>
      <c r="AS93" s="958">
        <v>0</v>
      </c>
      <c r="AT93" s="958">
        <v>0</v>
      </c>
      <c r="AU93" s="958">
        <v>0</v>
      </c>
      <c r="AV93" s="958">
        <v>0</v>
      </c>
      <c r="AW93" s="958">
        <v>0</v>
      </c>
      <c r="AX93" s="958">
        <v>0</v>
      </c>
      <c r="AY93" s="958">
        <v>0</v>
      </c>
      <c r="AZ93" s="958">
        <v>0</v>
      </c>
      <c r="BA93" s="958">
        <v>0</v>
      </c>
      <c r="BB93" s="959">
        <v>0</v>
      </c>
      <c r="BC93" s="959">
        <v>0</v>
      </c>
      <c r="BD93" s="958">
        <v>5007.4490917579997</v>
      </c>
      <c r="BE93" s="958">
        <v>0</v>
      </c>
      <c r="BF93" s="958">
        <v>0</v>
      </c>
      <c r="BG93" s="960">
        <v>0</v>
      </c>
      <c r="BH93" s="960">
        <v>50</v>
      </c>
      <c r="BI93" s="960">
        <v>60</v>
      </c>
      <c r="BJ93" s="960">
        <v>50</v>
      </c>
      <c r="BK93" s="960">
        <v>50</v>
      </c>
      <c r="BL93" s="960">
        <v>50</v>
      </c>
      <c r="BM93" s="960">
        <v>460</v>
      </c>
      <c r="BN93" s="960">
        <v>360</v>
      </c>
      <c r="BO93" s="960">
        <v>170.26978839500001</v>
      </c>
      <c r="BP93" s="960">
        <v>715.22</v>
      </c>
      <c r="BQ93" s="960">
        <v>0</v>
      </c>
      <c r="BR93" s="960">
        <v>0</v>
      </c>
      <c r="BS93" s="960">
        <v>850</v>
      </c>
      <c r="BT93" s="960">
        <v>1267.211294</v>
      </c>
      <c r="BU93" s="960"/>
      <c r="BV93" s="961"/>
      <c r="BW93" s="961"/>
      <c r="BX93" s="961"/>
      <c r="BY93" s="961"/>
      <c r="BZ93" s="961"/>
      <c r="CA93" s="961"/>
      <c r="CB93" s="961"/>
      <c r="CC93" s="961"/>
      <c r="CD93" s="961"/>
      <c r="CE93" s="961"/>
      <c r="CF93" s="961"/>
      <c r="CG93" s="961"/>
      <c r="CH93" s="961"/>
      <c r="CI93" s="961"/>
      <c r="CJ93" s="961"/>
      <c r="CK93" s="961"/>
      <c r="CL93" s="961"/>
      <c r="CM93" s="961"/>
      <c r="CN93" s="961"/>
      <c r="CO93" s="961"/>
      <c r="CP93" s="961"/>
      <c r="CQ93" s="961"/>
      <c r="CR93" s="961"/>
      <c r="CS93" s="961"/>
      <c r="CT93" s="961"/>
      <c r="CU93" s="961"/>
      <c r="CV93" s="961"/>
      <c r="CW93" s="961"/>
      <c r="CX93" s="961"/>
      <c r="CY93" s="961"/>
      <c r="CZ93" s="961"/>
      <c r="DA93" s="961"/>
      <c r="DB93" s="961"/>
      <c r="DC93" s="961"/>
      <c r="DD93" s="961"/>
      <c r="DE93" s="961"/>
      <c r="DF93" s="961"/>
      <c r="DG93" s="961"/>
      <c r="DH93" s="961"/>
      <c r="DI93" s="961"/>
      <c r="DJ93" s="961"/>
      <c r="DK93" s="961"/>
      <c r="DL93" s="961"/>
      <c r="DM93" s="961"/>
      <c r="DN93" s="961"/>
      <c r="DO93" s="961"/>
      <c r="DP93" s="961"/>
      <c r="DQ93" s="961"/>
      <c r="DR93" s="961"/>
      <c r="DS93" s="962"/>
      <c r="DT93" s="963" t="str">
        <f t="shared" si="79"/>
        <v/>
      </c>
      <c r="DU93" s="963" t="str">
        <f t="shared" si="79"/>
        <v/>
      </c>
      <c r="DV93" s="963" t="str">
        <f t="shared" si="79"/>
        <v/>
      </c>
      <c r="DW93" s="963" t="str">
        <f t="shared" si="79"/>
        <v/>
      </c>
      <c r="DX93" s="963" t="str">
        <f t="shared" si="79"/>
        <v/>
      </c>
      <c r="DY93" s="963" t="str">
        <f t="shared" si="79"/>
        <v/>
      </c>
      <c r="DZ93" s="963" t="str">
        <f t="shared" si="79"/>
        <v/>
      </c>
      <c r="EA93" s="963" t="str">
        <f t="shared" si="79"/>
        <v/>
      </c>
      <c r="EB93" s="963" t="str">
        <f t="shared" si="79"/>
        <v/>
      </c>
      <c r="EC93" s="963" t="str">
        <f t="shared" si="79"/>
        <v/>
      </c>
      <c r="ED93" s="963" t="str">
        <f t="shared" si="79"/>
        <v/>
      </c>
      <c r="EE93" s="963" t="str">
        <f t="shared" si="79"/>
        <v/>
      </c>
      <c r="EF93" s="963" t="str">
        <f t="shared" si="79"/>
        <v/>
      </c>
      <c r="EG93" s="963" t="str">
        <f t="shared" si="79"/>
        <v/>
      </c>
      <c r="EH93" s="963" t="str">
        <f t="shared" si="79"/>
        <v/>
      </c>
      <c r="EI93" s="963" t="str">
        <f t="shared" si="78"/>
        <v/>
      </c>
      <c r="EJ93" s="963" t="str">
        <f t="shared" si="78"/>
        <v/>
      </c>
      <c r="EK93" s="963" t="str">
        <f t="shared" si="78"/>
        <v/>
      </c>
      <c r="EL93" s="963" t="str">
        <f t="shared" si="78"/>
        <v/>
      </c>
      <c r="EM93" s="963" t="str">
        <f t="shared" si="80"/>
        <v/>
      </c>
      <c r="EN93" s="963" t="str">
        <f t="shared" si="80"/>
        <v/>
      </c>
      <c r="EO93" s="963" t="str">
        <f t="shared" si="80"/>
        <v/>
      </c>
      <c r="EP93" s="963" t="str">
        <f t="shared" si="80"/>
        <v/>
      </c>
      <c r="EQ93" s="963" t="str">
        <f t="shared" si="80"/>
        <v/>
      </c>
      <c r="ER93" s="963" t="str">
        <f t="shared" si="80"/>
        <v/>
      </c>
      <c r="ES93" s="963" t="str">
        <f t="shared" si="80"/>
        <v/>
      </c>
      <c r="ET93" s="963" t="str">
        <f t="shared" si="80"/>
        <v/>
      </c>
      <c r="EU93" s="963" t="str">
        <f t="shared" si="80"/>
        <v/>
      </c>
      <c r="EV93" s="963" t="str">
        <f t="shared" si="80"/>
        <v/>
      </c>
      <c r="EW93" s="963" t="str">
        <f t="shared" si="80"/>
        <v/>
      </c>
      <c r="EX93" s="963" t="str">
        <f t="shared" si="76"/>
        <v/>
      </c>
      <c r="EY93" s="963" t="str">
        <f t="shared" si="76"/>
        <v/>
      </c>
      <c r="EZ93" s="963" t="str">
        <f t="shared" si="76"/>
        <v/>
      </c>
      <c r="FA93" s="963" t="str">
        <f t="shared" si="76"/>
        <v/>
      </c>
      <c r="FB93" s="963" t="str">
        <f t="shared" si="81"/>
        <v/>
      </c>
      <c r="FC93" s="963" t="str">
        <f t="shared" si="81"/>
        <v/>
      </c>
      <c r="FD93" s="963" t="str">
        <f t="shared" si="81"/>
        <v/>
      </c>
      <c r="FE93" s="963" t="str">
        <f t="shared" si="81"/>
        <v/>
      </c>
      <c r="FF93" s="963" t="str">
        <f t="shared" si="81"/>
        <v/>
      </c>
      <c r="FG93" s="963" t="str">
        <f t="shared" si="74"/>
        <v/>
      </c>
      <c r="FH93" s="963" t="str">
        <f t="shared" si="68"/>
        <v/>
      </c>
      <c r="FI93" s="963" t="str">
        <f t="shared" si="69"/>
        <v/>
      </c>
      <c r="FJ93" s="963" t="str">
        <f t="shared" si="70"/>
        <v/>
      </c>
      <c r="FK93" s="963" t="str">
        <f t="shared" si="70"/>
        <v/>
      </c>
    </row>
    <row r="94" spans="2:167" ht="16">
      <c r="B94" s="140" t="s">
        <v>880</v>
      </c>
      <c r="C94" s="143" t="s">
        <v>881</v>
      </c>
      <c r="D94" s="128"/>
      <c r="E94" s="128"/>
      <c r="F94" s="128"/>
      <c r="G94" s="128"/>
      <c r="H94" s="128"/>
      <c r="I94" s="128"/>
      <c r="J94" s="128"/>
      <c r="K94" s="128"/>
      <c r="L94" s="128"/>
      <c r="M94" s="128"/>
      <c r="N94" s="128"/>
      <c r="O94" s="128"/>
      <c r="P94" s="128"/>
      <c r="Q94" s="128"/>
      <c r="R94" s="128"/>
      <c r="S94" s="128"/>
      <c r="T94" s="128"/>
      <c r="U94" s="128"/>
      <c r="V94" s="128"/>
      <c r="W94" s="128"/>
      <c r="X94" s="128"/>
      <c r="Y94" s="128"/>
      <c r="Z94" s="128">
        <v>0.64023015500000002</v>
      </c>
      <c r="AA94" s="128">
        <v>27.556893546000001</v>
      </c>
      <c r="AB94" s="128">
        <v>24.496315332999998</v>
      </c>
      <c r="AC94" s="128">
        <v>22.546549263999999</v>
      </c>
      <c r="AD94" s="128">
        <v>20.041377123</v>
      </c>
      <c r="AE94" s="128">
        <v>0</v>
      </c>
      <c r="AF94" s="128">
        <v>0</v>
      </c>
      <c r="AG94" s="128">
        <v>0</v>
      </c>
      <c r="AH94" s="128">
        <v>0</v>
      </c>
      <c r="AI94" s="128">
        <v>0</v>
      </c>
      <c r="AJ94" s="128">
        <v>0</v>
      </c>
      <c r="AK94" s="128">
        <v>0</v>
      </c>
      <c r="AL94" s="128">
        <v>0</v>
      </c>
      <c r="AM94" s="128">
        <v>0</v>
      </c>
      <c r="AN94" s="128">
        <v>0</v>
      </c>
      <c r="AO94" s="128">
        <v>0</v>
      </c>
      <c r="AP94" s="173">
        <v>0</v>
      </c>
      <c r="AQ94" s="173">
        <v>0</v>
      </c>
      <c r="AR94" s="173">
        <v>0</v>
      </c>
      <c r="AS94" s="288">
        <v>0</v>
      </c>
      <c r="AT94" s="288">
        <v>0</v>
      </c>
      <c r="AU94" s="288">
        <v>0</v>
      </c>
      <c r="AV94" s="288">
        <v>0</v>
      </c>
      <c r="AW94" s="158">
        <v>0</v>
      </c>
      <c r="AX94" s="158">
        <v>0</v>
      </c>
      <c r="AY94" s="158">
        <v>0</v>
      </c>
      <c r="AZ94" s="158">
        <v>0</v>
      </c>
      <c r="BA94" s="158">
        <v>0</v>
      </c>
      <c r="BB94" s="41">
        <v>0</v>
      </c>
      <c r="BC94" s="41">
        <v>0</v>
      </c>
      <c r="BD94" s="158">
        <v>0</v>
      </c>
      <c r="BE94" s="158">
        <v>0</v>
      </c>
      <c r="BF94" s="288">
        <v>0</v>
      </c>
      <c r="BG94" s="289">
        <v>0</v>
      </c>
      <c r="BH94" s="289">
        <v>0</v>
      </c>
      <c r="BI94" s="289">
        <v>0</v>
      </c>
      <c r="BJ94" s="289">
        <v>0</v>
      </c>
      <c r="BK94" s="289">
        <v>0</v>
      </c>
      <c r="BL94" s="289">
        <v>0</v>
      </c>
      <c r="BM94" s="289">
        <v>0</v>
      </c>
      <c r="BN94" s="289">
        <v>0</v>
      </c>
      <c r="BO94" s="289">
        <v>0</v>
      </c>
      <c r="BP94" s="289">
        <v>0</v>
      </c>
      <c r="BQ94" s="289">
        <v>0</v>
      </c>
      <c r="BR94" s="289">
        <v>0</v>
      </c>
      <c r="BS94" s="289">
        <v>0</v>
      </c>
      <c r="BT94" s="289">
        <v>0</v>
      </c>
      <c r="BU94" s="289"/>
      <c r="BV94" s="142"/>
      <c r="BW94" s="142"/>
      <c r="BX94" s="142"/>
      <c r="BY94" s="142"/>
      <c r="BZ94" s="142"/>
      <c r="CA94" s="142"/>
      <c r="CB94" s="142"/>
      <c r="CC94" s="142"/>
      <c r="CD94" s="142"/>
      <c r="CE94" s="142"/>
      <c r="CF94" s="142"/>
      <c r="CG94" s="142"/>
      <c r="CH94" s="142"/>
      <c r="CI94" s="142"/>
      <c r="CJ94" s="142"/>
      <c r="CK94" s="142"/>
      <c r="CL94" s="142"/>
      <c r="CM94" s="142"/>
      <c r="CN94" s="142"/>
      <c r="CO94" s="142"/>
      <c r="CP94" s="142"/>
      <c r="CQ94" s="142"/>
      <c r="CR94" s="142"/>
      <c r="CS94" s="142"/>
      <c r="CT94" s="142"/>
      <c r="CU94" s="142"/>
      <c r="CV94" s="142"/>
      <c r="CW94" s="142"/>
      <c r="CX94" s="142"/>
      <c r="CY94" s="142"/>
      <c r="CZ94" s="142"/>
      <c r="DA94" s="142"/>
      <c r="DB94" s="142"/>
      <c r="DC94" s="142"/>
      <c r="DD94" s="142"/>
      <c r="DE94" s="142"/>
      <c r="DF94" s="142"/>
      <c r="DG94" s="142"/>
      <c r="DH94" s="142"/>
      <c r="DI94" s="142"/>
      <c r="DJ94" s="142"/>
      <c r="DK94" s="142"/>
      <c r="DL94" s="142"/>
      <c r="DM94" s="142"/>
      <c r="DN94" s="142"/>
      <c r="DO94" s="142"/>
      <c r="DP94" s="142"/>
      <c r="DQ94" s="142"/>
      <c r="DR94" s="142"/>
      <c r="DS94" s="133"/>
      <c r="DT94" s="174" t="str">
        <f t="shared" si="79"/>
        <v/>
      </c>
      <c r="DU94" s="174" t="str">
        <f t="shared" si="79"/>
        <v/>
      </c>
      <c r="DV94" s="174" t="str">
        <f t="shared" si="79"/>
        <v/>
      </c>
      <c r="DW94" s="174" t="str">
        <f t="shared" si="79"/>
        <v/>
      </c>
      <c r="DX94" s="174" t="str">
        <f t="shared" si="79"/>
        <v/>
      </c>
      <c r="DY94" s="174" t="str">
        <f t="shared" si="79"/>
        <v/>
      </c>
      <c r="DZ94" s="174" t="str">
        <f t="shared" si="79"/>
        <v/>
      </c>
      <c r="EA94" s="174" t="str">
        <f t="shared" si="79"/>
        <v/>
      </c>
      <c r="EB94" s="174" t="str">
        <f t="shared" si="79"/>
        <v/>
      </c>
      <c r="EC94" s="174" t="str">
        <f t="shared" si="79"/>
        <v/>
      </c>
      <c r="ED94" s="174" t="str">
        <f t="shared" si="79"/>
        <v/>
      </c>
      <c r="EE94" s="174" t="str">
        <f t="shared" si="79"/>
        <v/>
      </c>
      <c r="EF94" s="174" t="str">
        <f t="shared" si="79"/>
        <v/>
      </c>
      <c r="EG94" s="174" t="str">
        <f t="shared" si="79"/>
        <v/>
      </c>
      <c r="EH94" s="174" t="str">
        <f t="shared" si="79"/>
        <v/>
      </c>
      <c r="EI94" s="174" t="str">
        <f t="shared" si="78"/>
        <v/>
      </c>
      <c r="EJ94" s="174" t="str">
        <f t="shared" si="78"/>
        <v/>
      </c>
      <c r="EK94" s="174" t="str">
        <f t="shared" si="78"/>
        <v/>
      </c>
      <c r="EL94" s="174" t="str">
        <f t="shared" si="78"/>
        <v/>
      </c>
      <c r="EM94" s="174" t="str">
        <f t="shared" si="80"/>
        <v/>
      </c>
      <c r="EN94" s="174">
        <f t="shared" si="80"/>
        <v>30.303394515992455</v>
      </c>
      <c r="EO94" s="174">
        <f t="shared" si="80"/>
        <v>-1</v>
      </c>
      <c r="EP94" s="174">
        <f t="shared" si="80"/>
        <v>-1</v>
      </c>
      <c r="EQ94" s="174">
        <f t="shared" si="80"/>
        <v>-1</v>
      </c>
      <c r="ER94" s="174">
        <f t="shared" si="80"/>
        <v>-1</v>
      </c>
      <c r="ES94" s="174" t="str">
        <f t="shared" si="80"/>
        <v/>
      </c>
      <c r="ET94" s="174" t="str">
        <f t="shared" si="80"/>
        <v/>
      </c>
      <c r="EU94" s="174" t="str">
        <f t="shared" si="80"/>
        <v/>
      </c>
      <c r="EV94" s="174" t="str">
        <f t="shared" si="80"/>
        <v/>
      </c>
      <c r="EW94" s="174" t="str">
        <f t="shared" si="80"/>
        <v/>
      </c>
      <c r="EX94" s="174" t="str">
        <f t="shared" si="76"/>
        <v/>
      </c>
      <c r="EY94" s="174" t="str">
        <f t="shared" si="76"/>
        <v/>
      </c>
      <c r="EZ94" s="174" t="str">
        <f t="shared" si="76"/>
        <v/>
      </c>
      <c r="FA94" s="174" t="str">
        <f t="shared" si="76"/>
        <v/>
      </c>
      <c r="FB94" s="174" t="str">
        <f t="shared" si="81"/>
        <v/>
      </c>
      <c r="FC94" s="174" t="str">
        <f t="shared" si="81"/>
        <v/>
      </c>
      <c r="FD94" s="174" t="str">
        <f t="shared" si="81"/>
        <v/>
      </c>
      <c r="FE94" s="174" t="str">
        <f t="shared" si="81"/>
        <v/>
      </c>
      <c r="FF94" s="174" t="str">
        <f t="shared" si="81"/>
        <v/>
      </c>
      <c r="FG94" s="174" t="str">
        <f t="shared" si="74"/>
        <v/>
      </c>
      <c r="FH94" s="174" t="str">
        <f t="shared" si="68"/>
        <v/>
      </c>
      <c r="FI94" s="174" t="str">
        <f t="shared" si="69"/>
        <v/>
      </c>
      <c r="FJ94" s="174" t="str">
        <f t="shared" si="70"/>
        <v/>
      </c>
      <c r="FK94" s="174" t="str">
        <f t="shared" si="70"/>
        <v/>
      </c>
    </row>
    <row r="95" spans="2:167" ht="16">
      <c r="B95" s="140" t="s">
        <v>882</v>
      </c>
      <c r="C95" s="127" t="s">
        <v>883</v>
      </c>
      <c r="D95" s="128"/>
      <c r="E95" s="128"/>
      <c r="F95" s="128"/>
      <c r="G95" s="128"/>
      <c r="H95" s="128"/>
      <c r="I95" s="128"/>
      <c r="J95" s="128"/>
      <c r="K95" s="128"/>
      <c r="L95" s="128"/>
      <c r="M95" s="128"/>
      <c r="N95" s="128"/>
      <c r="O95" s="128"/>
      <c r="P95" s="128"/>
      <c r="Q95" s="128"/>
      <c r="R95" s="128"/>
      <c r="S95" s="128"/>
      <c r="T95" s="128"/>
      <c r="U95" s="128"/>
      <c r="V95" s="128"/>
      <c r="W95" s="128"/>
      <c r="X95" s="128"/>
      <c r="Y95" s="128"/>
      <c r="Z95" s="128">
        <v>50.706777201999998</v>
      </c>
      <c r="AA95" s="128">
        <v>66.456520927</v>
      </c>
      <c r="AB95" s="128">
        <v>92.291757739000005</v>
      </c>
      <c r="AC95" s="128">
        <v>112.547057929</v>
      </c>
      <c r="AD95" s="128">
        <v>25.906574096</v>
      </c>
      <c r="AE95" s="128">
        <v>63.005155324999997</v>
      </c>
      <c r="AF95" s="128">
        <v>69.525617053000005</v>
      </c>
      <c r="AG95" s="128">
        <v>84.864286742000004</v>
      </c>
      <c r="AH95" s="128">
        <v>104.103242415</v>
      </c>
      <c r="AI95" s="128">
        <v>120.32747768599999</v>
      </c>
      <c r="AJ95" s="128">
        <v>133.78284912999999</v>
      </c>
      <c r="AK95" s="128">
        <v>161.973744211</v>
      </c>
      <c r="AL95" s="128">
        <v>184.27537926799999</v>
      </c>
      <c r="AM95" s="128">
        <v>230.81867214600001</v>
      </c>
      <c r="AN95" s="128">
        <v>200.12245031399999</v>
      </c>
      <c r="AO95" s="128">
        <v>218.57153710099999</v>
      </c>
      <c r="AP95" s="173">
        <v>836.26865917299995</v>
      </c>
      <c r="AQ95" s="173">
        <v>813.76923044800003</v>
      </c>
      <c r="AR95" s="173">
        <v>817.71647328500001</v>
      </c>
      <c r="AS95" s="288">
        <v>799.10653530499997</v>
      </c>
      <c r="AT95" s="288">
        <v>754.39567003100001</v>
      </c>
      <c r="AU95" s="288">
        <v>777.77489917499997</v>
      </c>
      <c r="AV95" s="288">
        <v>745.54500588300004</v>
      </c>
      <c r="AW95" s="158">
        <v>773.96313118800003</v>
      </c>
      <c r="AX95" s="158">
        <v>753.02442028300004</v>
      </c>
      <c r="AY95" s="158">
        <v>747.35908211699996</v>
      </c>
      <c r="AZ95" s="158">
        <v>754.23598014699996</v>
      </c>
      <c r="BA95" s="158">
        <v>793.81315555100002</v>
      </c>
      <c r="BB95" s="41">
        <v>738.62068886600002</v>
      </c>
      <c r="BC95" s="41">
        <v>733.79972077599996</v>
      </c>
      <c r="BD95" s="158">
        <v>795.55029159000003</v>
      </c>
      <c r="BE95" s="158">
        <v>810.77995003700005</v>
      </c>
      <c r="BF95" s="288">
        <v>827.36712449000004</v>
      </c>
      <c r="BG95" s="289">
        <v>721.22176796999997</v>
      </c>
      <c r="BH95" s="289">
        <v>744.00273606099995</v>
      </c>
      <c r="BI95" s="289">
        <v>670.59008197900005</v>
      </c>
      <c r="BJ95" s="289">
        <v>683.07232981100003</v>
      </c>
      <c r="BK95" s="289">
        <v>592.18568783700005</v>
      </c>
      <c r="BL95" s="289">
        <v>577.90449682799999</v>
      </c>
      <c r="BM95" s="289">
        <v>452.06753147000001</v>
      </c>
      <c r="BN95" s="289">
        <v>427.38</v>
      </c>
      <c r="BO95" s="289">
        <v>394.56774002899999</v>
      </c>
      <c r="BP95" s="289">
        <v>290.3</v>
      </c>
      <c r="BQ95" s="289">
        <v>201.617281507</v>
      </c>
      <c r="BR95" s="289">
        <v>395.22353286999999</v>
      </c>
      <c r="BS95" s="289">
        <v>379.62702659799999</v>
      </c>
      <c r="BT95" s="289">
        <v>452.80765331999999</v>
      </c>
      <c r="BU95" s="289"/>
      <c r="BV95" s="142"/>
      <c r="BW95" s="142"/>
      <c r="BX95" s="142"/>
      <c r="BY95" s="142"/>
      <c r="BZ95" s="142"/>
      <c r="CA95" s="142"/>
      <c r="CB95" s="142"/>
      <c r="CC95" s="142"/>
      <c r="CD95" s="142"/>
      <c r="CE95" s="142"/>
      <c r="CF95" s="142"/>
      <c r="CG95" s="142"/>
      <c r="CH95" s="142"/>
      <c r="CI95" s="142"/>
      <c r="CJ95" s="142"/>
      <c r="CK95" s="142"/>
      <c r="CL95" s="142"/>
      <c r="CM95" s="142"/>
      <c r="CN95" s="142"/>
      <c r="CO95" s="142"/>
      <c r="CP95" s="142"/>
      <c r="CQ95" s="142"/>
      <c r="CR95" s="142"/>
      <c r="CS95" s="142"/>
      <c r="CT95" s="142"/>
      <c r="CU95" s="142"/>
      <c r="CV95" s="142"/>
      <c r="CW95" s="142"/>
      <c r="CX95" s="142"/>
      <c r="CY95" s="142"/>
      <c r="CZ95" s="142"/>
      <c r="DA95" s="142"/>
      <c r="DB95" s="142"/>
      <c r="DC95" s="142"/>
      <c r="DD95" s="142"/>
      <c r="DE95" s="142"/>
      <c r="DF95" s="142"/>
      <c r="DG95" s="142"/>
      <c r="DH95" s="142"/>
      <c r="DI95" s="142"/>
      <c r="DJ95" s="142"/>
      <c r="DK95" s="142"/>
      <c r="DL95" s="142"/>
      <c r="DM95" s="142"/>
      <c r="DN95" s="142"/>
      <c r="DO95" s="142"/>
      <c r="DP95" s="142"/>
      <c r="DQ95" s="142"/>
      <c r="DR95" s="142"/>
      <c r="DS95" s="133"/>
      <c r="DT95" s="174" t="str">
        <f t="shared" si="79"/>
        <v/>
      </c>
      <c r="DU95" s="174" t="str">
        <f t="shared" si="79"/>
        <v/>
      </c>
      <c r="DV95" s="174" t="str">
        <f t="shared" si="79"/>
        <v/>
      </c>
      <c r="DW95" s="174" t="str">
        <f t="shared" si="79"/>
        <v/>
      </c>
      <c r="DX95" s="174" t="str">
        <f t="shared" si="79"/>
        <v/>
      </c>
      <c r="DY95" s="174" t="str">
        <f t="shared" si="79"/>
        <v/>
      </c>
      <c r="DZ95" s="174" t="str">
        <f t="shared" si="79"/>
        <v/>
      </c>
      <c r="EA95" s="174" t="str">
        <f t="shared" si="79"/>
        <v/>
      </c>
      <c r="EB95" s="174" t="str">
        <f t="shared" si="79"/>
        <v/>
      </c>
      <c r="EC95" s="174" t="str">
        <f t="shared" si="79"/>
        <v/>
      </c>
      <c r="ED95" s="174" t="str">
        <f t="shared" si="79"/>
        <v/>
      </c>
      <c r="EE95" s="174" t="str">
        <f t="shared" si="79"/>
        <v/>
      </c>
      <c r="EF95" s="174" t="str">
        <f t="shared" si="79"/>
        <v/>
      </c>
      <c r="EG95" s="174" t="str">
        <f t="shared" si="79"/>
        <v/>
      </c>
      <c r="EH95" s="174" t="str">
        <f t="shared" si="79"/>
        <v/>
      </c>
      <c r="EI95" s="174" t="str">
        <f t="shared" si="78"/>
        <v/>
      </c>
      <c r="EJ95" s="174" t="str">
        <f t="shared" si="78"/>
        <v/>
      </c>
      <c r="EK95" s="174" t="str">
        <f t="shared" si="78"/>
        <v/>
      </c>
      <c r="EL95" s="174" t="str">
        <f t="shared" si="78"/>
        <v/>
      </c>
      <c r="EM95" s="174" t="str">
        <f t="shared" si="80"/>
        <v/>
      </c>
      <c r="EN95" s="174">
        <f t="shared" si="80"/>
        <v>-0.48909050179236824</v>
      </c>
      <c r="EO95" s="174">
        <f t="shared" si="80"/>
        <v>-5.1934190262400315E-2</v>
      </c>
      <c r="EP95" s="174">
        <f t="shared" si="80"/>
        <v>-0.24667577304554511</v>
      </c>
      <c r="EQ95" s="174">
        <f t="shared" si="80"/>
        <v>-0.24596619135494058</v>
      </c>
      <c r="ER95" s="174">
        <f t="shared" si="80"/>
        <v>3.0184102316745012</v>
      </c>
      <c r="ES95" s="174">
        <f t="shared" si="80"/>
        <v>0.90980368297346148</v>
      </c>
      <c r="ET95" s="174">
        <f t="shared" si="80"/>
        <v>0.92422383001672781</v>
      </c>
      <c r="EU95" s="174">
        <f t="shared" si="80"/>
        <v>0.90862081600266276</v>
      </c>
      <c r="EV95" s="174">
        <f t="shared" si="80"/>
        <v>0.77012141978632731</v>
      </c>
      <c r="EW95" s="174">
        <f t="shared" si="80"/>
        <v>0.91825405622090561</v>
      </c>
      <c r="EX95" s="174">
        <f t="shared" si="76"/>
        <v>0.49587523075948425</v>
      </c>
      <c r="EY95" s="174">
        <f t="shared" si="76"/>
        <v>0.34942572430918917</v>
      </c>
      <c r="EZ95" s="174">
        <f t="shared" si="76"/>
        <v>3.5381464550224946</v>
      </c>
      <c r="FA95" s="174">
        <f t="shared" si="76"/>
        <v>2.5255779910789262</v>
      </c>
      <c r="FB95" s="174">
        <f t="shared" si="81"/>
        <v>3.0860806571275274</v>
      </c>
      <c r="FC95" s="174">
        <f t="shared" si="81"/>
        <v>2.6560411566110727</v>
      </c>
      <c r="FD95" s="174">
        <f t="shared" si="81"/>
        <v>-9.790273525611437E-2</v>
      </c>
      <c r="FE95" s="174">
        <f t="shared" si="81"/>
        <v>-4.4231619882192263E-2</v>
      </c>
      <c r="FF95" s="174">
        <f t="shared" si="81"/>
        <v>-8.8259769443150171E-2</v>
      </c>
      <c r="FG95" s="174">
        <f t="shared" si="74"/>
        <v>-3.1464395554471669E-2</v>
      </c>
      <c r="FH95" s="174">
        <f t="shared" si="68"/>
        <v>-1.8176797700120151E-3</v>
      </c>
      <c r="FI95" s="174">
        <f t="shared" si="69"/>
        <v>-3.9106195237545771E-2</v>
      </c>
      <c r="FJ95" s="174">
        <f t="shared" si="70"/>
        <v>1.165720941783599E-2</v>
      </c>
      <c r="FK95" s="174">
        <f t="shared" si="70"/>
        <v>2.5647247992977462E-2</v>
      </c>
    </row>
    <row r="96" spans="2:167" ht="16">
      <c r="B96" s="140" t="s">
        <v>884</v>
      </c>
      <c r="C96" s="127" t="s">
        <v>885</v>
      </c>
      <c r="D96" s="128"/>
      <c r="E96" s="128"/>
      <c r="F96" s="128"/>
      <c r="G96" s="128"/>
      <c r="H96" s="128"/>
      <c r="I96" s="128"/>
      <c r="J96" s="128"/>
      <c r="K96" s="128"/>
      <c r="L96" s="128"/>
      <c r="M96" s="128"/>
      <c r="N96" s="128"/>
      <c r="O96" s="128"/>
      <c r="P96" s="128"/>
      <c r="Q96" s="128"/>
      <c r="R96" s="128"/>
      <c r="S96" s="128"/>
      <c r="T96" s="128"/>
      <c r="U96" s="128"/>
      <c r="V96" s="128"/>
      <c r="W96" s="128"/>
      <c r="X96" s="128"/>
      <c r="Y96" s="128"/>
      <c r="Z96" s="128">
        <v>6.9130603769999999</v>
      </c>
      <c r="AA96" s="128">
        <v>6.3753107470000003</v>
      </c>
      <c r="AB96" s="128">
        <v>17.274464118000001</v>
      </c>
      <c r="AC96" s="128">
        <v>25.459480409000001</v>
      </c>
      <c r="AD96" s="128">
        <v>14.8560512</v>
      </c>
      <c r="AE96" s="128">
        <v>34.938901317999999</v>
      </c>
      <c r="AF96" s="128">
        <v>38.006519830999999</v>
      </c>
      <c r="AG96" s="128">
        <v>56.933695976000003</v>
      </c>
      <c r="AH96" s="128">
        <v>76.347686474</v>
      </c>
      <c r="AI96" s="128">
        <v>93.501986759999994</v>
      </c>
      <c r="AJ96" s="128">
        <v>106.759573995</v>
      </c>
      <c r="AK96" s="128">
        <v>123.544885549</v>
      </c>
      <c r="AL96" s="128">
        <v>96.756137191999997</v>
      </c>
      <c r="AM96" s="128">
        <v>137.19996448000001</v>
      </c>
      <c r="AN96" s="128">
        <v>104.245445049</v>
      </c>
      <c r="AO96" s="128">
        <v>97.701063493000007</v>
      </c>
      <c r="AP96" s="173">
        <v>107.166953965</v>
      </c>
      <c r="AQ96" s="173">
        <v>89.722320027999999</v>
      </c>
      <c r="AR96" s="173">
        <v>103.328149669</v>
      </c>
      <c r="AS96" s="288">
        <v>97.030958573999996</v>
      </c>
      <c r="AT96" s="288">
        <v>73.486403456000005</v>
      </c>
      <c r="AU96" s="288">
        <v>114.185742086</v>
      </c>
      <c r="AV96" s="288">
        <v>83.203921816999994</v>
      </c>
      <c r="AW96" s="158">
        <v>104.02947390999999</v>
      </c>
      <c r="AX96" s="158">
        <v>86.818269724999993</v>
      </c>
      <c r="AY96" s="158">
        <v>88.085516760000004</v>
      </c>
      <c r="AZ96" s="158">
        <v>86.302729862000007</v>
      </c>
      <c r="BA96" s="158">
        <v>76.720247018999999</v>
      </c>
      <c r="BB96" s="41">
        <v>56.562067169999999</v>
      </c>
      <c r="BC96" s="41">
        <v>60.697945154999999</v>
      </c>
      <c r="BD96" s="158">
        <v>91.206219605000001</v>
      </c>
      <c r="BE96" s="158">
        <v>88.371396962999995</v>
      </c>
      <c r="BF96" s="288">
        <v>128.34020956099999</v>
      </c>
      <c r="BG96" s="289">
        <v>62.301044996000002</v>
      </c>
      <c r="BH96" s="289">
        <v>115.36928181499999</v>
      </c>
      <c r="BI96" s="289">
        <v>175.10443716099999</v>
      </c>
      <c r="BJ96" s="289">
        <v>54.438875564999996</v>
      </c>
      <c r="BK96" s="289">
        <v>137.493454361</v>
      </c>
      <c r="BL96" s="289">
        <v>154.74381711300001</v>
      </c>
      <c r="BM96" s="289">
        <v>105.411103799</v>
      </c>
      <c r="BN96" s="289">
        <v>88.04</v>
      </c>
      <c r="BO96" s="289">
        <v>73.485826588999998</v>
      </c>
      <c r="BP96" s="289">
        <v>65.34</v>
      </c>
      <c r="BQ96" s="289">
        <v>68.471833529999998</v>
      </c>
      <c r="BR96" s="289">
        <v>94.346155483999993</v>
      </c>
      <c r="BS96" s="289">
        <v>79.314425325000002</v>
      </c>
      <c r="BT96" s="289">
        <v>63.890927949999998</v>
      </c>
      <c r="BU96" s="289"/>
      <c r="BV96" s="142"/>
      <c r="BW96" s="142"/>
      <c r="BX96" s="142"/>
      <c r="BY96" s="142"/>
      <c r="BZ96" s="142"/>
      <c r="CA96" s="142"/>
      <c r="CB96" s="142"/>
      <c r="CC96" s="142"/>
      <c r="CD96" s="142"/>
      <c r="CE96" s="142"/>
      <c r="CF96" s="142"/>
      <c r="CG96" s="142"/>
      <c r="CH96" s="142"/>
      <c r="CI96" s="142"/>
      <c r="CJ96" s="142"/>
      <c r="CK96" s="142"/>
      <c r="CL96" s="142"/>
      <c r="CM96" s="142"/>
      <c r="CN96" s="142"/>
      <c r="CO96" s="142"/>
      <c r="CP96" s="142"/>
      <c r="CQ96" s="142"/>
      <c r="CR96" s="142"/>
      <c r="CS96" s="142"/>
      <c r="CT96" s="142"/>
      <c r="CU96" s="142"/>
      <c r="CV96" s="142"/>
      <c r="CW96" s="142"/>
      <c r="CX96" s="142"/>
      <c r="CY96" s="142"/>
      <c r="CZ96" s="142"/>
      <c r="DA96" s="142"/>
      <c r="DB96" s="142"/>
      <c r="DC96" s="142"/>
      <c r="DD96" s="142"/>
      <c r="DE96" s="142"/>
      <c r="DF96" s="142"/>
      <c r="DG96" s="142"/>
      <c r="DH96" s="142"/>
      <c r="DI96" s="142"/>
      <c r="DJ96" s="142"/>
      <c r="DK96" s="142"/>
      <c r="DL96" s="142"/>
      <c r="DM96" s="142"/>
      <c r="DN96" s="142"/>
      <c r="DO96" s="142"/>
      <c r="DP96" s="142"/>
      <c r="DQ96" s="142"/>
      <c r="DR96" s="142"/>
      <c r="DS96" s="133"/>
      <c r="DT96" s="174" t="str">
        <f t="shared" si="79"/>
        <v/>
      </c>
      <c r="DU96" s="174" t="str">
        <f t="shared" si="79"/>
        <v/>
      </c>
      <c r="DV96" s="174" t="str">
        <f t="shared" si="79"/>
        <v/>
      </c>
      <c r="DW96" s="174" t="str">
        <f t="shared" si="79"/>
        <v/>
      </c>
      <c r="DX96" s="174" t="str">
        <f t="shared" si="79"/>
        <v/>
      </c>
      <c r="DY96" s="174" t="str">
        <f t="shared" si="79"/>
        <v/>
      </c>
      <c r="DZ96" s="174" t="str">
        <f t="shared" si="79"/>
        <v/>
      </c>
      <c r="EA96" s="174" t="str">
        <f t="shared" si="79"/>
        <v/>
      </c>
      <c r="EB96" s="174" t="str">
        <f t="shared" si="79"/>
        <v/>
      </c>
      <c r="EC96" s="174" t="str">
        <f t="shared" si="79"/>
        <v/>
      </c>
      <c r="ED96" s="174" t="str">
        <f t="shared" si="79"/>
        <v/>
      </c>
      <c r="EE96" s="174" t="str">
        <f t="shared" si="79"/>
        <v/>
      </c>
      <c r="EF96" s="174" t="str">
        <f t="shared" si="79"/>
        <v/>
      </c>
      <c r="EG96" s="174" t="str">
        <f t="shared" si="79"/>
        <v/>
      </c>
      <c r="EH96" s="174" t="str">
        <f t="shared" si="79"/>
        <v/>
      </c>
      <c r="EI96" s="174" t="str">
        <f t="shared" si="78"/>
        <v/>
      </c>
      <c r="EJ96" s="174" t="str">
        <f t="shared" si="78"/>
        <v/>
      </c>
      <c r="EK96" s="174" t="str">
        <f t="shared" si="78"/>
        <v/>
      </c>
      <c r="EL96" s="174" t="str">
        <f t="shared" si="78"/>
        <v/>
      </c>
      <c r="EM96" s="174" t="str">
        <f t="shared" si="80"/>
        <v/>
      </c>
      <c r="EN96" s="174">
        <f t="shared" si="80"/>
        <v>1.1489832852359592</v>
      </c>
      <c r="EO96" s="174">
        <f t="shared" si="80"/>
        <v>4.4803448340837395</v>
      </c>
      <c r="EP96" s="174">
        <f t="shared" si="80"/>
        <v>1.2001562289505228</v>
      </c>
      <c r="EQ96" s="174">
        <f t="shared" si="80"/>
        <v>1.2362473648862755</v>
      </c>
      <c r="ER96" s="174">
        <f t="shared" si="80"/>
        <v>4.1391641995687252</v>
      </c>
      <c r="ES96" s="174">
        <f t="shared" si="80"/>
        <v>1.6761570408005122</v>
      </c>
      <c r="ET96" s="174">
        <f t="shared" si="80"/>
        <v>1.8089805241236951</v>
      </c>
      <c r="EU96" s="174">
        <f t="shared" si="80"/>
        <v>1.1699783130376686</v>
      </c>
      <c r="EV96" s="174">
        <f t="shared" si="80"/>
        <v>0.26730935357091723</v>
      </c>
      <c r="EW96" s="174">
        <f t="shared" si="80"/>
        <v>0.46734811990854874</v>
      </c>
      <c r="EX96" s="174">
        <f t="shared" si="76"/>
        <v>-2.3549447154198488E-2</v>
      </c>
      <c r="EY96" s="174">
        <f t="shared" si="76"/>
        <v>-0.20918568940476212</v>
      </c>
      <c r="EZ96" s="174">
        <f t="shared" si="76"/>
        <v>0.10759851597156156</v>
      </c>
      <c r="FA96" s="174">
        <f t="shared" si="76"/>
        <v>-0.3460470608133499</v>
      </c>
      <c r="FB96" s="174">
        <f t="shared" si="81"/>
        <v>-8.79938091845478E-3</v>
      </c>
      <c r="FC96" s="174">
        <f t="shared" si="81"/>
        <v>-6.8587269681872343E-3</v>
      </c>
      <c r="FD96" s="174">
        <f t="shared" si="81"/>
        <v>-0.3142811217719208</v>
      </c>
      <c r="FE96" s="174">
        <f t="shared" si="81"/>
        <v>0.27265703840878852</v>
      </c>
      <c r="FF96" s="174">
        <f t="shared" si="81"/>
        <v>-0.19476036217106074</v>
      </c>
      <c r="FG96" s="174">
        <f t="shared" si="74"/>
        <v>7.2126622666132123E-2</v>
      </c>
      <c r="FH96" s="174">
        <f t="shared" si="68"/>
        <v>0.18141949587970307</v>
      </c>
      <c r="FI96" s="174">
        <f t="shared" si="69"/>
        <v>-0.2285769208062981</v>
      </c>
      <c r="FJ96" s="174">
        <f t="shared" si="70"/>
        <v>3.7243533445641797E-2</v>
      </c>
      <c r="FK96" s="174">
        <f t="shared" si="70"/>
        <v>-0.26251432276420317</v>
      </c>
    </row>
    <row r="97" spans="2:167" ht="16">
      <c r="B97" s="140" t="s">
        <v>886</v>
      </c>
      <c r="C97" s="127" t="s">
        <v>887</v>
      </c>
      <c r="D97" s="128"/>
      <c r="E97" s="128"/>
      <c r="F97" s="128"/>
      <c r="G97" s="128"/>
      <c r="H97" s="128"/>
      <c r="I97" s="128"/>
      <c r="J97" s="128"/>
      <c r="K97" s="128"/>
      <c r="L97" s="128"/>
      <c r="M97" s="128"/>
      <c r="N97" s="128"/>
      <c r="O97" s="128"/>
      <c r="P97" s="128"/>
      <c r="Q97" s="128"/>
      <c r="R97" s="128"/>
      <c r="S97" s="128"/>
      <c r="T97" s="128"/>
      <c r="U97" s="128"/>
      <c r="V97" s="128"/>
      <c r="W97" s="128"/>
      <c r="X97" s="128"/>
      <c r="Y97" s="128"/>
      <c r="Z97" s="128">
        <v>3.049814225</v>
      </c>
      <c r="AA97" s="128">
        <v>11.105781944</v>
      </c>
      <c r="AB97" s="128">
        <v>10.596895385</v>
      </c>
      <c r="AC97" s="128">
        <v>12.806327995</v>
      </c>
      <c r="AD97" s="128">
        <v>11.050522896</v>
      </c>
      <c r="AE97" s="128">
        <v>10.530049025</v>
      </c>
      <c r="AF97" s="128">
        <v>16.488064381000001</v>
      </c>
      <c r="AG97" s="128">
        <v>15.404730066000001</v>
      </c>
      <c r="AH97" s="128">
        <v>17.734867382000001</v>
      </c>
      <c r="AI97" s="128">
        <v>19.309974508</v>
      </c>
      <c r="AJ97" s="128">
        <v>22.012930858000001</v>
      </c>
      <c r="AK97" s="128">
        <v>35.923686525999997</v>
      </c>
      <c r="AL97" s="128">
        <v>87.519242075999998</v>
      </c>
      <c r="AM97" s="128">
        <v>93.618707666000006</v>
      </c>
      <c r="AN97" s="128">
        <v>95.877005264999994</v>
      </c>
      <c r="AO97" s="128">
        <v>120.870473608</v>
      </c>
      <c r="AP97" s="173">
        <v>126.653206125</v>
      </c>
      <c r="AQ97" s="173">
        <v>137.04580874999999</v>
      </c>
      <c r="AR97" s="173">
        <v>142.834619358</v>
      </c>
      <c r="AS97" s="288">
        <v>149.548727665</v>
      </c>
      <c r="AT97" s="288">
        <v>143.730385539</v>
      </c>
      <c r="AU97" s="288">
        <v>141.758244082</v>
      </c>
      <c r="AV97" s="288">
        <v>155.85813908899999</v>
      </c>
      <c r="AW97" s="158">
        <v>178.79868033100001</v>
      </c>
      <c r="AX97" s="158">
        <v>190.41914164100001</v>
      </c>
      <c r="AY97" s="158">
        <v>198.834524469</v>
      </c>
      <c r="AZ97" s="158">
        <v>222.842177427</v>
      </c>
      <c r="BA97" s="158">
        <v>287.34980370400001</v>
      </c>
      <c r="BB97" s="41">
        <v>267.66348489799998</v>
      </c>
      <c r="BC97" s="41">
        <v>274.05460685200001</v>
      </c>
      <c r="BD97" s="158">
        <v>320.64487124599998</v>
      </c>
      <c r="BE97" s="158">
        <v>354.05732036500001</v>
      </c>
      <c r="BF97" s="288">
        <v>346.02365025</v>
      </c>
      <c r="BG97" s="289">
        <v>321.26542632399998</v>
      </c>
      <c r="BH97" s="289">
        <v>306.32612562600002</v>
      </c>
      <c r="BI97" s="289">
        <v>188.52628422800001</v>
      </c>
      <c r="BJ97" s="289">
        <v>306.32612562600002</v>
      </c>
      <c r="BK97" s="289">
        <v>178.42880894499999</v>
      </c>
      <c r="BL97" s="289">
        <v>162.24522321399999</v>
      </c>
      <c r="BM97" s="289">
        <v>101.0889392</v>
      </c>
      <c r="BN97" s="289">
        <v>109.12</v>
      </c>
      <c r="BO97" s="289">
        <v>106.21036102799999</v>
      </c>
      <c r="BP97" s="289">
        <v>117.52</v>
      </c>
      <c r="BQ97" s="289">
        <v>133.145447977</v>
      </c>
      <c r="BR97" s="289">
        <v>300.87737738599998</v>
      </c>
      <c r="BS97" s="289">
        <v>300.31260127299998</v>
      </c>
      <c r="BT97" s="289">
        <v>388.91672536999999</v>
      </c>
      <c r="BU97" s="289"/>
      <c r="BV97" s="142"/>
      <c r="BW97" s="142"/>
      <c r="BX97" s="142"/>
      <c r="BY97" s="142"/>
      <c r="BZ97" s="142"/>
      <c r="CA97" s="142"/>
      <c r="CB97" s="142"/>
      <c r="CC97" s="142"/>
      <c r="CD97" s="142"/>
      <c r="CE97" s="142"/>
      <c r="CF97" s="142"/>
      <c r="CG97" s="142"/>
      <c r="CH97" s="142"/>
      <c r="CI97" s="142"/>
      <c r="CJ97" s="142"/>
      <c r="CK97" s="142"/>
      <c r="CL97" s="142"/>
      <c r="CM97" s="142"/>
      <c r="CN97" s="142"/>
      <c r="CO97" s="142"/>
      <c r="CP97" s="142"/>
      <c r="CQ97" s="142"/>
      <c r="CR97" s="142"/>
      <c r="CS97" s="142"/>
      <c r="CT97" s="142"/>
      <c r="CU97" s="142"/>
      <c r="CV97" s="142"/>
      <c r="CW97" s="142"/>
      <c r="CX97" s="142"/>
      <c r="CY97" s="142"/>
      <c r="CZ97" s="142"/>
      <c r="DA97" s="142"/>
      <c r="DB97" s="142"/>
      <c r="DC97" s="142"/>
      <c r="DD97" s="142"/>
      <c r="DE97" s="142"/>
      <c r="DF97" s="142"/>
      <c r="DG97" s="142"/>
      <c r="DH97" s="142"/>
      <c r="DI97" s="142"/>
      <c r="DJ97" s="142"/>
      <c r="DK97" s="142"/>
      <c r="DL97" s="142"/>
      <c r="DM97" s="142"/>
      <c r="DN97" s="142"/>
      <c r="DO97" s="142"/>
      <c r="DP97" s="142"/>
      <c r="DQ97" s="142"/>
      <c r="DR97" s="142"/>
      <c r="DS97" s="133"/>
      <c r="DT97" s="174" t="str">
        <f t="shared" si="79"/>
        <v/>
      </c>
      <c r="DU97" s="174" t="str">
        <f t="shared" si="79"/>
        <v/>
      </c>
      <c r="DV97" s="174" t="str">
        <f t="shared" si="79"/>
        <v/>
      </c>
      <c r="DW97" s="174" t="str">
        <f t="shared" si="79"/>
        <v/>
      </c>
      <c r="DX97" s="174" t="str">
        <f t="shared" si="79"/>
        <v/>
      </c>
      <c r="DY97" s="174" t="str">
        <f t="shared" si="79"/>
        <v/>
      </c>
      <c r="DZ97" s="174" t="str">
        <f t="shared" si="79"/>
        <v/>
      </c>
      <c r="EA97" s="174" t="str">
        <f t="shared" si="79"/>
        <v/>
      </c>
      <c r="EB97" s="174" t="str">
        <f t="shared" si="79"/>
        <v/>
      </c>
      <c r="EC97" s="174" t="str">
        <f t="shared" si="79"/>
        <v/>
      </c>
      <c r="ED97" s="174" t="str">
        <f t="shared" si="79"/>
        <v/>
      </c>
      <c r="EE97" s="174" t="str">
        <f t="shared" si="79"/>
        <v/>
      </c>
      <c r="EF97" s="174" t="str">
        <f t="shared" si="79"/>
        <v/>
      </c>
      <c r="EG97" s="174" t="str">
        <f t="shared" si="79"/>
        <v/>
      </c>
      <c r="EH97" s="174" t="str">
        <f t="shared" si="79"/>
        <v/>
      </c>
      <c r="EI97" s="174" t="str">
        <f t="shared" si="78"/>
        <v/>
      </c>
      <c r="EJ97" s="174" t="str">
        <f t="shared" si="78"/>
        <v/>
      </c>
      <c r="EK97" s="174" t="str">
        <f t="shared" si="78"/>
        <v/>
      </c>
      <c r="EL97" s="174" t="str">
        <f t="shared" si="78"/>
        <v/>
      </c>
      <c r="EM97" s="174" t="str">
        <f t="shared" si="80"/>
        <v/>
      </c>
      <c r="EN97" s="174">
        <f t="shared" si="80"/>
        <v>2.6233429582092005</v>
      </c>
      <c r="EO97" s="174">
        <f t="shared" si="80"/>
        <v>-5.1840826868660539E-2</v>
      </c>
      <c r="EP97" s="174">
        <f t="shared" si="80"/>
        <v>0.55593348636233619</v>
      </c>
      <c r="EQ97" s="174">
        <f t="shared" si="80"/>
        <v>0.20289985326117677</v>
      </c>
      <c r="ER97" s="174">
        <f t="shared" si="80"/>
        <v>0.60488942911647725</v>
      </c>
      <c r="ES97" s="174">
        <f t="shared" si="80"/>
        <v>0.83379720855573125</v>
      </c>
      <c r="ET97" s="174">
        <f t="shared" si="80"/>
        <v>0.3350827816615376</v>
      </c>
      <c r="EU97" s="174">
        <f t="shared" si="80"/>
        <v>1.3319906530064864</v>
      </c>
      <c r="EV97" s="174">
        <f t="shared" si="80"/>
        <v>3.9348687075510718</v>
      </c>
      <c r="EW97" s="174">
        <f t="shared" si="80"/>
        <v>3.8482046222906385</v>
      </c>
      <c r="EX97" s="174">
        <f t="shared" si="76"/>
        <v>3.3554856862758964</v>
      </c>
      <c r="EY97" s="174">
        <f t="shared" si="76"/>
        <v>2.364645594502647</v>
      </c>
      <c r="EZ97" s="174">
        <f t="shared" si="76"/>
        <v>0.44714697157702576</v>
      </c>
      <c r="FA97" s="174">
        <f t="shared" si="76"/>
        <v>0.46387204188860687</v>
      </c>
      <c r="FB97" s="174">
        <f t="shared" si="81"/>
        <v>0.48976930352811032</v>
      </c>
      <c r="FC97" s="174">
        <f t="shared" si="81"/>
        <v>0.23726434753625303</v>
      </c>
      <c r="FD97" s="174">
        <f t="shared" si="81"/>
        <v>0.13483416595980779</v>
      </c>
      <c r="FE97" s="174">
        <f t="shared" si="81"/>
        <v>3.4385840581206528E-2</v>
      </c>
      <c r="FF97" s="174">
        <f t="shared" si="81"/>
        <v>9.1179013810075649E-2</v>
      </c>
      <c r="FG97" s="174">
        <f t="shared" si="74"/>
        <v>0.1955881077873296</v>
      </c>
      <c r="FH97" s="174">
        <f t="shared" si="68"/>
        <v>0.32483567011188064</v>
      </c>
      <c r="FI97" s="174">
        <f t="shared" si="69"/>
        <v>0.40263111861052847</v>
      </c>
      <c r="FJ97" s="174">
        <f t="shared" si="70"/>
        <v>0.42977568402603583</v>
      </c>
      <c r="FK97" s="174">
        <f t="shared" si="70"/>
        <v>0.607113672047497</v>
      </c>
    </row>
    <row r="98" spans="2:167" ht="16">
      <c r="B98" s="140" t="s">
        <v>888</v>
      </c>
      <c r="C98" s="127" t="s">
        <v>889</v>
      </c>
      <c r="D98" s="128"/>
      <c r="E98" s="128"/>
      <c r="F98" s="128"/>
      <c r="G98" s="128"/>
      <c r="H98" s="128"/>
      <c r="I98" s="128"/>
      <c r="J98" s="128"/>
      <c r="K98" s="128"/>
      <c r="L98" s="128"/>
      <c r="M98" s="128"/>
      <c r="N98" s="128"/>
      <c r="O98" s="128"/>
      <c r="P98" s="128"/>
      <c r="Q98" s="128"/>
      <c r="R98" s="128"/>
      <c r="S98" s="128"/>
      <c r="T98" s="128"/>
      <c r="U98" s="128"/>
      <c r="V98" s="128"/>
      <c r="W98" s="128"/>
      <c r="X98" s="128"/>
      <c r="Y98" s="128"/>
      <c r="Z98" s="128">
        <v>0</v>
      </c>
      <c r="AA98" s="128">
        <v>0</v>
      </c>
      <c r="AB98" s="128">
        <v>0</v>
      </c>
      <c r="AC98" s="128">
        <v>0</v>
      </c>
      <c r="AD98" s="128">
        <v>0</v>
      </c>
      <c r="AE98" s="128">
        <v>0</v>
      </c>
      <c r="AF98" s="128">
        <v>0</v>
      </c>
      <c r="AG98" s="128">
        <v>0</v>
      </c>
      <c r="AH98" s="128">
        <v>0</v>
      </c>
      <c r="AI98" s="128">
        <v>0</v>
      </c>
      <c r="AJ98" s="128">
        <v>5.0103442769999997</v>
      </c>
      <c r="AK98" s="128">
        <v>2.5051721360000001</v>
      </c>
      <c r="AL98" s="128">
        <v>0</v>
      </c>
      <c r="AM98" s="128">
        <v>0</v>
      </c>
      <c r="AN98" s="128">
        <v>0</v>
      </c>
      <c r="AO98" s="128">
        <v>0</v>
      </c>
      <c r="AP98" s="173">
        <v>0</v>
      </c>
      <c r="AQ98" s="173">
        <v>0</v>
      </c>
      <c r="AR98" s="173">
        <v>0</v>
      </c>
      <c r="AS98" s="288">
        <v>0</v>
      </c>
      <c r="AT98" s="288">
        <v>0</v>
      </c>
      <c r="AU98" s="288">
        <v>0</v>
      </c>
      <c r="AV98" s="288">
        <v>0</v>
      </c>
      <c r="AW98" s="158">
        <v>0</v>
      </c>
      <c r="AX98" s="158">
        <v>0</v>
      </c>
      <c r="AY98" s="158">
        <v>0</v>
      </c>
      <c r="AZ98" s="158">
        <v>0</v>
      </c>
      <c r="BA98" s="158">
        <v>0</v>
      </c>
      <c r="BB98" s="41">
        <v>0</v>
      </c>
      <c r="BC98" s="41">
        <v>0</v>
      </c>
      <c r="BD98" s="158">
        <v>0</v>
      </c>
      <c r="BE98" s="158">
        <v>0</v>
      </c>
      <c r="BF98" s="288">
        <v>0</v>
      </c>
      <c r="BG98" s="289">
        <v>0</v>
      </c>
      <c r="BH98" s="289">
        <v>0</v>
      </c>
      <c r="BI98" s="289">
        <v>0</v>
      </c>
      <c r="BJ98" s="289">
        <v>0</v>
      </c>
      <c r="BK98" s="289">
        <v>0</v>
      </c>
      <c r="BL98" s="289">
        <v>0</v>
      </c>
      <c r="BM98" s="289">
        <v>0</v>
      </c>
      <c r="BN98" s="289">
        <v>0</v>
      </c>
      <c r="BO98" s="289">
        <v>0</v>
      </c>
      <c r="BP98" s="289">
        <v>0</v>
      </c>
      <c r="BQ98" s="289">
        <v>0</v>
      </c>
      <c r="BR98" s="289">
        <v>0</v>
      </c>
      <c r="BS98" s="289">
        <v>0</v>
      </c>
      <c r="BT98" s="289">
        <v>0</v>
      </c>
      <c r="BU98" s="289"/>
      <c r="BV98" s="142"/>
      <c r="BW98" s="142"/>
      <c r="BX98" s="142"/>
      <c r="BY98" s="142"/>
      <c r="BZ98" s="142"/>
      <c r="CA98" s="142"/>
      <c r="CB98" s="142"/>
      <c r="CC98" s="142"/>
      <c r="CD98" s="142"/>
      <c r="CE98" s="142"/>
      <c r="CF98" s="142"/>
      <c r="CG98" s="142"/>
      <c r="CH98" s="142"/>
      <c r="CI98" s="142"/>
      <c r="CJ98" s="142"/>
      <c r="CK98" s="142"/>
      <c r="CL98" s="142"/>
      <c r="CM98" s="142"/>
      <c r="CN98" s="142"/>
      <c r="CO98" s="142"/>
      <c r="CP98" s="142"/>
      <c r="CQ98" s="142"/>
      <c r="CR98" s="142"/>
      <c r="CS98" s="142"/>
      <c r="CT98" s="142"/>
      <c r="CU98" s="142"/>
      <c r="CV98" s="142"/>
      <c r="CW98" s="142"/>
      <c r="CX98" s="142"/>
      <c r="CY98" s="142"/>
      <c r="CZ98" s="142"/>
      <c r="DA98" s="142"/>
      <c r="DB98" s="142"/>
      <c r="DC98" s="142"/>
      <c r="DD98" s="142"/>
      <c r="DE98" s="142"/>
      <c r="DF98" s="142"/>
      <c r="DG98" s="142"/>
      <c r="DH98" s="142"/>
      <c r="DI98" s="142"/>
      <c r="DJ98" s="142"/>
      <c r="DK98" s="142"/>
      <c r="DL98" s="142"/>
      <c r="DM98" s="142"/>
      <c r="DN98" s="142"/>
      <c r="DO98" s="142"/>
      <c r="DP98" s="142"/>
      <c r="DQ98" s="142"/>
      <c r="DR98" s="142"/>
      <c r="DS98" s="133"/>
      <c r="DT98" s="174" t="str">
        <f t="shared" si="79"/>
        <v/>
      </c>
      <c r="DU98" s="174" t="str">
        <f t="shared" si="79"/>
        <v/>
      </c>
      <c r="DV98" s="174" t="str">
        <f t="shared" si="79"/>
        <v/>
      </c>
      <c r="DW98" s="174" t="str">
        <f t="shared" si="79"/>
        <v/>
      </c>
      <c r="DX98" s="174" t="str">
        <f t="shared" si="79"/>
        <v/>
      </c>
      <c r="DY98" s="174" t="str">
        <f t="shared" si="79"/>
        <v/>
      </c>
      <c r="DZ98" s="174" t="str">
        <f t="shared" si="79"/>
        <v/>
      </c>
      <c r="EA98" s="174" t="str">
        <f t="shared" si="79"/>
        <v/>
      </c>
      <c r="EB98" s="174" t="str">
        <f t="shared" si="79"/>
        <v/>
      </c>
      <c r="EC98" s="174" t="str">
        <f t="shared" si="79"/>
        <v/>
      </c>
      <c r="ED98" s="174" t="str">
        <f t="shared" si="79"/>
        <v/>
      </c>
      <c r="EE98" s="174" t="str">
        <f t="shared" si="79"/>
        <v/>
      </c>
      <c r="EF98" s="174" t="str">
        <f t="shared" si="79"/>
        <v/>
      </c>
      <c r="EG98" s="174" t="str">
        <f t="shared" si="79"/>
        <v/>
      </c>
      <c r="EH98" s="174" t="str">
        <f t="shared" si="79"/>
        <v/>
      </c>
      <c r="EI98" s="174" t="str">
        <f t="shared" si="78"/>
        <v/>
      </c>
      <c r="EJ98" s="174" t="str">
        <f t="shared" si="78"/>
        <v/>
      </c>
      <c r="EK98" s="174" t="str">
        <f t="shared" si="78"/>
        <v/>
      </c>
      <c r="EL98" s="174" t="str">
        <f t="shared" si="78"/>
        <v/>
      </c>
      <c r="EM98" s="174" t="str">
        <f t="shared" si="80"/>
        <v/>
      </c>
      <c r="EN98" s="174" t="str">
        <f t="shared" si="80"/>
        <v/>
      </c>
      <c r="EO98" s="174" t="str">
        <f t="shared" si="80"/>
        <v/>
      </c>
      <c r="EP98" s="174" t="str">
        <f t="shared" si="80"/>
        <v/>
      </c>
      <c r="EQ98" s="174" t="str">
        <f t="shared" si="80"/>
        <v/>
      </c>
      <c r="ER98" s="174" t="str">
        <f t="shared" si="80"/>
        <v/>
      </c>
      <c r="ES98" s="174" t="str">
        <f t="shared" si="80"/>
        <v/>
      </c>
      <c r="ET98" s="174" t="str">
        <f t="shared" si="80"/>
        <v/>
      </c>
      <c r="EU98" s="174" t="str">
        <f t="shared" si="80"/>
        <v/>
      </c>
      <c r="EV98" s="174" t="str">
        <f t="shared" si="80"/>
        <v/>
      </c>
      <c r="EW98" s="174" t="str">
        <f t="shared" si="80"/>
        <v/>
      </c>
      <c r="EX98" s="174">
        <f t="shared" si="76"/>
        <v>-1</v>
      </c>
      <c r="EY98" s="174">
        <f t="shared" si="76"/>
        <v>-1</v>
      </c>
      <c r="EZ98" s="174" t="str">
        <f t="shared" si="76"/>
        <v/>
      </c>
      <c r="FA98" s="174" t="str">
        <f t="shared" si="76"/>
        <v/>
      </c>
      <c r="FB98" s="174" t="str">
        <f t="shared" si="81"/>
        <v/>
      </c>
      <c r="FC98" s="174" t="str">
        <f t="shared" si="81"/>
        <v/>
      </c>
      <c r="FD98" s="174" t="str">
        <f t="shared" si="81"/>
        <v/>
      </c>
      <c r="FE98" s="174" t="str">
        <f t="shared" si="81"/>
        <v/>
      </c>
      <c r="FF98" s="174" t="str">
        <f t="shared" si="81"/>
        <v/>
      </c>
      <c r="FG98" s="174" t="str">
        <f t="shared" si="74"/>
        <v/>
      </c>
      <c r="FH98" s="174" t="str">
        <f t="shared" si="68"/>
        <v/>
      </c>
      <c r="FI98" s="174" t="str">
        <f t="shared" si="69"/>
        <v/>
      </c>
      <c r="FJ98" s="174" t="str">
        <f t="shared" si="70"/>
        <v/>
      </c>
      <c r="FK98" s="174" t="str">
        <f t="shared" si="70"/>
        <v/>
      </c>
    </row>
    <row r="99" spans="2:167" ht="16">
      <c r="B99" s="140" t="s">
        <v>882</v>
      </c>
      <c r="C99" s="127" t="s">
        <v>890</v>
      </c>
      <c r="D99" s="128"/>
      <c r="E99" s="128"/>
      <c r="F99" s="128"/>
      <c r="G99" s="128"/>
      <c r="H99" s="128"/>
      <c r="I99" s="128"/>
      <c r="J99" s="128"/>
      <c r="K99" s="128"/>
      <c r="L99" s="128"/>
      <c r="M99" s="128"/>
      <c r="N99" s="128"/>
      <c r="O99" s="128"/>
      <c r="P99" s="128"/>
      <c r="Q99" s="128"/>
      <c r="R99" s="128"/>
      <c r="S99" s="128"/>
      <c r="T99" s="128"/>
      <c r="U99" s="128"/>
      <c r="V99" s="128"/>
      <c r="W99" s="128"/>
      <c r="X99" s="128"/>
      <c r="Y99" s="128"/>
      <c r="Z99" s="128">
        <v>40.743902599999998</v>
      </c>
      <c r="AA99" s="128">
        <v>48.975428235999999</v>
      </c>
      <c r="AB99" s="128">
        <v>64.420398235999997</v>
      </c>
      <c r="AC99" s="128">
        <v>74.281249525000007</v>
      </c>
      <c r="AD99" s="128">
        <v>0</v>
      </c>
      <c r="AE99" s="128">
        <v>0</v>
      </c>
      <c r="AF99" s="128">
        <v>0</v>
      </c>
      <c r="AG99" s="128">
        <v>0</v>
      </c>
      <c r="AH99" s="128">
        <v>0</v>
      </c>
      <c r="AI99" s="128">
        <v>0</v>
      </c>
      <c r="AJ99" s="128">
        <v>0</v>
      </c>
      <c r="AK99" s="128">
        <v>0</v>
      </c>
      <c r="AL99" s="128">
        <v>0</v>
      </c>
      <c r="AM99" s="128">
        <v>0</v>
      </c>
      <c r="AN99" s="128">
        <v>0</v>
      </c>
      <c r="AO99" s="128">
        <v>0</v>
      </c>
      <c r="AP99" s="173">
        <v>0</v>
      </c>
      <c r="AQ99" s="173">
        <v>0</v>
      </c>
      <c r="AR99" s="173">
        <v>0</v>
      </c>
      <c r="AS99" s="288">
        <v>0</v>
      </c>
      <c r="AT99" s="288">
        <v>0</v>
      </c>
      <c r="AU99" s="288">
        <v>0</v>
      </c>
      <c r="AV99" s="288">
        <v>0</v>
      </c>
      <c r="AW99" s="158">
        <v>0</v>
      </c>
      <c r="AX99" s="158">
        <v>0</v>
      </c>
      <c r="AY99" s="158">
        <v>0</v>
      </c>
      <c r="AZ99" s="158">
        <v>0</v>
      </c>
      <c r="BA99" s="158">
        <v>0</v>
      </c>
      <c r="BB99" s="41">
        <v>0</v>
      </c>
      <c r="BC99" s="41">
        <v>0</v>
      </c>
      <c r="BD99" s="158">
        <v>0</v>
      </c>
      <c r="BE99" s="158">
        <v>0</v>
      </c>
      <c r="BF99" s="288">
        <v>0</v>
      </c>
      <c r="BG99" s="289">
        <v>0</v>
      </c>
      <c r="BH99" s="289">
        <v>0</v>
      </c>
      <c r="BI99" s="289">
        <v>0</v>
      </c>
      <c r="BJ99" s="289">
        <v>0</v>
      </c>
      <c r="BK99" s="289">
        <v>0</v>
      </c>
      <c r="BL99" s="289">
        <v>0</v>
      </c>
      <c r="BM99" s="289">
        <v>0</v>
      </c>
      <c r="BN99" s="289">
        <v>0</v>
      </c>
      <c r="BO99" s="289">
        <v>0</v>
      </c>
      <c r="BP99" s="289">
        <v>0</v>
      </c>
      <c r="BQ99" s="289">
        <v>0</v>
      </c>
      <c r="BR99" s="289">
        <v>0</v>
      </c>
      <c r="BS99" s="289">
        <v>0</v>
      </c>
      <c r="BT99" s="289">
        <v>0</v>
      </c>
      <c r="BU99" s="289"/>
      <c r="BV99" s="142"/>
      <c r="BW99" s="142"/>
      <c r="BX99" s="142"/>
      <c r="BY99" s="142"/>
      <c r="BZ99" s="142"/>
      <c r="CA99" s="142"/>
      <c r="CB99" s="142"/>
      <c r="CC99" s="142"/>
      <c r="CD99" s="142"/>
      <c r="CE99" s="142"/>
      <c r="CF99" s="142"/>
      <c r="CG99" s="142"/>
      <c r="CH99" s="142"/>
      <c r="CI99" s="142"/>
      <c r="CJ99" s="142"/>
      <c r="CK99" s="142"/>
      <c r="CL99" s="142"/>
      <c r="CM99" s="142"/>
      <c r="CN99" s="142"/>
      <c r="CO99" s="142"/>
      <c r="CP99" s="142"/>
      <c r="CQ99" s="142"/>
      <c r="CR99" s="142"/>
      <c r="CS99" s="142"/>
      <c r="CT99" s="142"/>
      <c r="CU99" s="142"/>
      <c r="CV99" s="142"/>
      <c r="CW99" s="142"/>
      <c r="CX99" s="142"/>
      <c r="CY99" s="142"/>
      <c r="CZ99" s="142"/>
      <c r="DA99" s="142"/>
      <c r="DB99" s="142"/>
      <c r="DC99" s="142"/>
      <c r="DD99" s="142"/>
      <c r="DE99" s="142"/>
      <c r="DF99" s="142"/>
      <c r="DG99" s="142"/>
      <c r="DH99" s="142"/>
      <c r="DI99" s="142"/>
      <c r="DJ99" s="142"/>
      <c r="DK99" s="142"/>
      <c r="DL99" s="142"/>
      <c r="DM99" s="142"/>
      <c r="DN99" s="142"/>
      <c r="DO99" s="142"/>
      <c r="DP99" s="142"/>
      <c r="DQ99" s="142"/>
      <c r="DR99" s="142"/>
      <c r="DS99" s="133"/>
      <c r="DT99" s="174" t="str">
        <f t="shared" si="79"/>
        <v/>
      </c>
      <c r="DU99" s="174" t="str">
        <f t="shared" si="79"/>
        <v/>
      </c>
      <c r="DV99" s="174" t="str">
        <f t="shared" si="79"/>
        <v/>
      </c>
      <c r="DW99" s="174" t="str">
        <f t="shared" si="79"/>
        <v/>
      </c>
      <c r="DX99" s="174" t="str">
        <f t="shared" si="79"/>
        <v/>
      </c>
      <c r="DY99" s="174" t="str">
        <f t="shared" si="79"/>
        <v/>
      </c>
      <c r="DZ99" s="174" t="str">
        <f t="shared" si="79"/>
        <v/>
      </c>
      <c r="EA99" s="174" t="str">
        <f t="shared" si="79"/>
        <v/>
      </c>
      <c r="EB99" s="174" t="str">
        <f t="shared" si="79"/>
        <v/>
      </c>
      <c r="EC99" s="174" t="str">
        <f t="shared" si="79"/>
        <v/>
      </c>
      <c r="ED99" s="174" t="str">
        <f t="shared" si="79"/>
        <v/>
      </c>
      <c r="EE99" s="174" t="str">
        <f t="shared" si="79"/>
        <v/>
      </c>
      <c r="EF99" s="174" t="str">
        <f t="shared" si="79"/>
        <v/>
      </c>
      <c r="EG99" s="174" t="str">
        <f t="shared" si="79"/>
        <v/>
      </c>
      <c r="EH99" s="174" t="str">
        <f t="shared" si="79"/>
        <v/>
      </c>
      <c r="EI99" s="174" t="str">
        <f t="shared" si="78"/>
        <v/>
      </c>
      <c r="EJ99" s="174" t="str">
        <f t="shared" si="78"/>
        <v/>
      </c>
      <c r="EK99" s="174" t="str">
        <f t="shared" si="78"/>
        <v/>
      </c>
      <c r="EL99" s="174" t="str">
        <f t="shared" si="78"/>
        <v/>
      </c>
      <c r="EM99" s="174" t="str">
        <f t="shared" si="80"/>
        <v/>
      </c>
      <c r="EN99" s="174">
        <f t="shared" si="80"/>
        <v>-1</v>
      </c>
      <c r="EO99" s="174">
        <f t="shared" si="80"/>
        <v>-1</v>
      </c>
      <c r="EP99" s="174">
        <f t="shared" si="80"/>
        <v>-1</v>
      </c>
      <c r="EQ99" s="174">
        <f t="shared" si="80"/>
        <v>-1</v>
      </c>
      <c r="ER99" s="174" t="str">
        <f t="shared" si="80"/>
        <v/>
      </c>
      <c r="ES99" s="174" t="str">
        <f t="shared" si="80"/>
        <v/>
      </c>
      <c r="ET99" s="174" t="str">
        <f t="shared" si="80"/>
        <v/>
      </c>
      <c r="EU99" s="174" t="str">
        <f t="shared" si="80"/>
        <v/>
      </c>
      <c r="EV99" s="174" t="str">
        <f t="shared" si="80"/>
        <v/>
      </c>
      <c r="EW99" s="174" t="str">
        <f t="shared" si="80"/>
        <v/>
      </c>
      <c r="EX99" s="174" t="str">
        <f t="shared" si="76"/>
        <v/>
      </c>
      <c r="EY99" s="174" t="str">
        <f t="shared" si="76"/>
        <v/>
      </c>
      <c r="EZ99" s="174" t="str">
        <f t="shared" si="76"/>
        <v/>
      </c>
      <c r="FA99" s="174" t="str">
        <f t="shared" si="76"/>
        <v/>
      </c>
      <c r="FB99" s="174" t="str">
        <f t="shared" si="81"/>
        <v/>
      </c>
      <c r="FC99" s="174" t="str">
        <f t="shared" si="81"/>
        <v/>
      </c>
      <c r="FD99" s="174" t="str">
        <f t="shared" si="81"/>
        <v/>
      </c>
      <c r="FE99" s="174" t="str">
        <f t="shared" si="81"/>
        <v/>
      </c>
      <c r="FF99" s="174" t="str">
        <f t="shared" si="81"/>
        <v/>
      </c>
      <c r="FG99" s="174" t="str">
        <f t="shared" si="74"/>
        <v/>
      </c>
      <c r="FH99" s="174" t="str">
        <f t="shared" si="68"/>
        <v/>
      </c>
      <c r="FI99" s="174" t="str">
        <f t="shared" si="69"/>
        <v/>
      </c>
      <c r="FJ99" s="174" t="str">
        <f t="shared" si="70"/>
        <v/>
      </c>
      <c r="FK99" s="174" t="str">
        <f t="shared" si="70"/>
        <v/>
      </c>
    </row>
    <row r="100" spans="2:167" ht="16">
      <c r="B100" s="140" t="s">
        <v>891</v>
      </c>
      <c r="C100" s="127" t="s">
        <v>892</v>
      </c>
      <c r="D100" s="128"/>
      <c r="E100" s="128"/>
      <c r="F100" s="128"/>
      <c r="G100" s="128"/>
      <c r="H100" s="128"/>
      <c r="I100" s="128"/>
      <c r="J100" s="128"/>
      <c r="K100" s="128"/>
      <c r="L100" s="128"/>
      <c r="M100" s="128"/>
      <c r="N100" s="128"/>
      <c r="O100" s="128"/>
      <c r="P100" s="128"/>
      <c r="Q100" s="128"/>
      <c r="R100" s="128"/>
      <c r="S100" s="128"/>
      <c r="T100" s="128"/>
      <c r="U100" s="128"/>
      <c r="V100" s="128"/>
      <c r="W100" s="128"/>
      <c r="X100" s="128"/>
      <c r="Y100" s="128"/>
      <c r="Z100" s="128">
        <v>0</v>
      </c>
      <c r="AA100" s="128">
        <v>0</v>
      </c>
      <c r="AB100" s="128">
        <v>0</v>
      </c>
      <c r="AC100" s="128">
        <v>0</v>
      </c>
      <c r="AD100" s="128">
        <v>0</v>
      </c>
      <c r="AE100" s="128">
        <v>17.536204982000001</v>
      </c>
      <c r="AF100" s="128">
        <v>15.031032841</v>
      </c>
      <c r="AG100" s="128">
        <v>12.525860700000001</v>
      </c>
      <c r="AH100" s="128">
        <v>10.020688559</v>
      </c>
      <c r="AI100" s="128">
        <v>7.5155164179999998</v>
      </c>
      <c r="AJ100" s="128">
        <v>0</v>
      </c>
      <c r="AK100" s="128">
        <v>0</v>
      </c>
      <c r="AL100" s="128">
        <v>0</v>
      </c>
      <c r="AM100" s="128">
        <v>0</v>
      </c>
      <c r="AN100" s="128">
        <v>0</v>
      </c>
      <c r="AO100" s="128">
        <v>0</v>
      </c>
      <c r="AP100" s="173">
        <v>602.448499083</v>
      </c>
      <c r="AQ100" s="173">
        <v>587.00110167000003</v>
      </c>
      <c r="AR100" s="173">
        <v>571.55370425800004</v>
      </c>
      <c r="AS100" s="288">
        <v>552.52684906599995</v>
      </c>
      <c r="AT100" s="288">
        <v>537.17888103600001</v>
      </c>
      <c r="AU100" s="288">
        <v>521.83091300700005</v>
      </c>
      <c r="AV100" s="288">
        <v>506.48294497699999</v>
      </c>
      <c r="AW100" s="158">
        <v>491.13497694699998</v>
      </c>
      <c r="AX100" s="158">
        <v>475.78700891699998</v>
      </c>
      <c r="AY100" s="158">
        <v>460.43904088800002</v>
      </c>
      <c r="AZ100" s="158">
        <v>445.09107285800002</v>
      </c>
      <c r="BA100" s="158">
        <v>429.74310482800001</v>
      </c>
      <c r="BB100" s="41">
        <v>414.39513679800001</v>
      </c>
      <c r="BC100" s="41">
        <v>399.047168769</v>
      </c>
      <c r="BD100" s="158">
        <v>383.69920073899999</v>
      </c>
      <c r="BE100" s="158">
        <v>368.35123270899999</v>
      </c>
      <c r="BF100" s="288">
        <v>353.00326467899998</v>
      </c>
      <c r="BG100" s="289">
        <v>337.65529665000003</v>
      </c>
      <c r="BH100" s="289">
        <v>322.30732862000002</v>
      </c>
      <c r="BI100" s="289">
        <v>306.95936059000002</v>
      </c>
      <c r="BJ100" s="289">
        <v>322.30732862000002</v>
      </c>
      <c r="BK100" s="289">
        <v>276.263424531</v>
      </c>
      <c r="BL100" s="289">
        <v>260.91545650099999</v>
      </c>
      <c r="BM100" s="289">
        <v>245.56748847099999</v>
      </c>
      <c r="BN100" s="289">
        <v>230.22</v>
      </c>
      <c r="BO100" s="289">
        <v>214.871552412</v>
      </c>
      <c r="BP100" s="289">
        <v>107.44</v>
      </c>
      <c r="BQ100" s="289">
        <v>0</v>
      </c>
      <c r="BR100" s="289">
        <v>0</v>
      </c>
      <c r="BS100" s="289">
        <v>0</v>
      </c>
      <c r="BT100" s="289">
        <v>0</v>
      </c>
      <c r="BU100" s="289"/>
      <c r="BV100" s="142"/>
      <c r="BW100" s="142"/>
      <c r="BX100" s="142"/>
      <c r="BY100" s="142"/>
      <c r="BZ100" s="142"/>
      <c r="CA100" s="142"/>
      <c r="CB100" s="142"/>
      <c r="CC100" s="142"/>
      <c r="CD100" s="142"/>
      <c r="CE100" s="142"/>
      <c r="CF100" s="142"/>
      <c r="CG100" s="142"/>
      <c r="CH100" s="142"/>
      <c r="CI100" s="142"/>
      <c r="CJ100" s="142"/>
      <c r="CK100" s="142"/>
      <c r="CL100" s="142"/>
      <c r="CM100" s="142"/>
      <c r="CN100" s="142"/>
      <c r="CO100" s="142"/>
      <c r="CP100" s="142"/>
      <c r="CQ100" s="142"/>
      <c r="CR100" s="142"/>
      <c r="CS100" s="142"/>
      <c r="CT100" s="142"/>
      <c r="CU100" s="142"/>
      <c r="CV100" s="142"/>
      <c r="CW100" s="142"/>
      <c r="CX100" s="142"/>
      <c r="CY100" s="142"/>
      <c r="CZ100" s="142"/>
      <c r="DA100" s="142"/>
      <c r="DB100" s="142"/>
      <c r="DC100" s="142"/>
      <c r="DD100" s="142"/>
      <c r="DE100" s="142"/>
      <c r="DF100" s="142"/>
      <c r="DG100" s="142"/>
      <c r="DH100" s="142"/>
      <c r="DI100" s="142"/>
      <c r="DJ100" s="142"/>
      <c r="DK100" s="142"/>
      <c r="DL100" s="142"/>
      <c r="DM100" s="142"/>
      <c r="DN100" s="142"/>
      <c r="DO100" s="142"/>
      <c r="DP100" s="142"/>
      <c r="DQ100" s="142"/>
      <c r="DR100" s="142"/>
      <c r="DS100" s="133"/>
      <c r="DT100" s="174" t="str">
        <f t="shared" ref="DT100:EH116" si="82">IFERROR(J100/F100-1,"")</f>
        <v/>
      </c>
      <c r="DU100" s="174" t="str">
        <f t="shared" si="82"/>
        <v/>
      </c>
      <c r="DV100" s="174" t="str">
        <f t="shared" si="82"/>
        <v/>
      </c>
      <c r="DW100" s="174" t="str">
        <f t="shared" si="82"/>
        <v/>
      </c>
      <c r="DX100" s="174" t="str">
        <f t="shared" si="82"/>
        <v/>
      </c>
      <c r="DY100" s="174" t="str">
        <f t="shared" si="82"/>
        <v/>
      </c>
      <c r="DZ100" s="174" t="str">
        <f t="shared" si="82"/>
        <v/>
      </c>
      <c r="EA100" s="174" t="str">
        <f t="shared" si="82"/>
        <v/>
      </c>
      <c r="EB100" s="174" t="str">
        <f t="shared" si="82"/>
        <v/>
      </c>
      <c r="EC100" s="174" t="str">
        <f t="shared" si="82"/>
        <v/>
      </c>
      <c r="ED100" s="174" t="str">
        <f t="shared" si="82"/>
        <v/>
      </c>
      <c r="EE100" s="174" t="str">
        <f t="shared" si="82"/>
        <v/>
      </c>
      <c r="EF100" s="174" t="str">
        <f t="shared" si="82"/>
        <v/>
      </c>
      <c r="EG100" s="174" t="str">
        <f t="shared" si="82"/>
        <v/>
      </c>
      <c r="EH100" s="174" t="str">
        <f t="shared" si="82"/>
        <v/>
      </c>
      <c r="EI100" s="174" t="str">
        <f t="shared" si="78"/>
        <v/>
      </c>
      <c r="EJ100" s="174" t="str">
        <f t="shared" si="78"/>
        <v/>
      </c>
      <c r="EK100" s="174" t="str">
        <f t="shared" si="78"/>
        <v/>
      </c>
      <c r="EL100" s="174" t="str">
        <f t="shared" si="78"/>
        <v/>
      </c>
      <c r="EM100" s="174" t="str">
        <f t="shared" si="80"/>
        <v/>
      </c>
      <c r="EN100" s="174" t="str">
        <f t="shared" si="80"/>
        <v/>
      </c>
      <c r="EO100" s="174" t="str">
        <f t="shared" si="80"/>
        <v/>
      </c>
      <c r="EP100" s="174" t="str">
        <f t="shared" si="80"/>
        <v/>
      </c>
      <c r="EQ100" s="174" t="str">
        <f t="shared" si="80"/>
        <v/>
      </c>
      <c r="ER100" s="174" t="str">
        <f t="shared" si="80"/>
        <v/>
      </c>
      <c r="ES100" s="174">
        <f t="shared" si="80"/>
        <v>-0.57142857159149973</v>
      </c>
      <c r="ET100" s="174">
        <f t="shared" si="80"/>
        <v>-1</v>
      </c>
      <c r="EU100" s="174">
        <f t="shared" si="80"/>
        <v>-1</v>
      </c>
      <c r="EV100" s="174">
        <f t="shared" si="80"/>
        <v>-1</v>
      </c>
      <c r="EW100" s="174">
        <f t="shared" si="80"/>
        <v>-1</v>
      </c>
      <c r="EX100" s="174" t="str">
        <f t="shared" si="76"/>
        <v/>
      </c>
      <c r="EY100" s="174" t="str">
        <f t="shared" si="76"/>
        <v/>
      </c>
      <c r="EZ100" s="174" t="str">
        <f t="shared" si="76"/>
        <v/>
      </c>
      <c r="FA100" s="174" t="str">
        <f t="shared" si="76"/>
        <v/>
      </c>
      <c r="FB100" s="174" t="str">
        <f t="shared" si="81"/>
        <v/>
      </c>
      <c r="FC100" s="174" t="str">
        <f t="shared" si="81"/>
        <v/>
      </c>
      <c r="FD100" s="174">
        <f t="shared" si="81"/>
        <v>-0.10834057707231126</v>
      </c>
      <c r="FE100" s="174">
        <f t="shared" si="81"/>
        <v>-0.11102225954532763</v>
      </c>
      <c r="FF100" s="174">
        <f t="shared" si="81"/>
        <v>-0.11384889783100249</v>
      </c>
      <c r="FG100" s="174">
        <f t="shared" si="74"/>
        <v>-0.11111111111211658</v>
      </c>
      <c r="FH100" s="174">
        <f t="shared" ref="FH100:FH157" si="83">IFERROR(AX100/AT100-1,"")</f>
        <v>-0.11428571428683132</v>
      </c>
      <c r="FI100" s="174">
        <f t="shared" ref="FI100:FI157" si="84">IFERROR(AY100/AU100-1,"")</f>
        <v>-0.11764705882454396</v>
      </c>
      <c r="FJ100" s="174">
        <f t="shared" ref="FJ100:FK157" si="85">IFERROR(AZ100/AV100-1,"")</f>
        <v>-0.12121212121325797</v>
      </c>
      <c r="FK100" s="174">
        <f t="shared" si="85"/>
        <v>-0.12500000000127254</v>
      </c>
    </row>
    <row r="101" spans="2:167" s="136" customFormat="1" ht="16">
      <c r="B101" s="185" t="s">
        <v>470</v>
      </c>
      <c r="C101" s="134" t="s">
        <v>893</v>
      </c>
      <c r="D101" s="135"/>
      <c r="E101" s="135"/>
      <c r="F101" s="135"/>
      <c r="G101" s="135"/>
      <c r="H101" s="135"/>
      <c r="I101" s="135"/>
      <c r="J101" s="135"/>
      <c r="K101" s="135"/>
      <c r="L101" s="135"/>
      <c r="M101" s="135"/>
      <c r="N101" s="135"/>
      <c r="O101" s="135"/>
      <c r="P101" s="135"/>
      <c r="Q101" s="135"/>
      <c r="R101" s="135"/>
      <c r="S101" s="135"/>
      <c r="T101" s="135"/>
      <c r="U101" s="135"/>
      <c r="V101" s="135"/>
      <c r="W101" s="135"/>
      <c r="X101" s="135"/>
      <c r="Y101" s="135"/>
      <c r="Z101" s="135">
        <v>2087.378579015</v>
      </c>
      <c r="AA101" s="135">
        <v>2234.464122285</v>
      </c>
      <c r="AB101" s="135">
        <v>2848.188241977</v>
      </c>
      <c r="AC101" s="135">
        <v>3407.1994911840002</v>
      </c>
      <c r="AD101" s="135">
        <v>3665.7538108449999</v>
      </c>
      <c r="AE101" s="135">
        <v>4022.2119031890002</v>
      </c>
      <c r="AF101" s="135">
        <v>4813.877448192</v>
      </c>
      <c r="AG101" s="135">
        <v>7265.7622338740002</v>
      </c>
      <c r="AH101" s="135">
        <v>7964.9033399199998</v>
      </c>
      <c r="AI101" s="135">
        <v>7994.6143421930001</v>
      </c>
      <c r="AJ101" s="135">
        <v>10176.330564524</v>
      </c>
      <c r="AK101" s="135">
        <v>14806.486673846999</v>
      </c>
      <c r="AL101" s="135">
        <v>14107.380544096</v>
      </c>
      <c r="AM101" s="135">
        <v>14651.010884874</v>
      </c>
      <c r="AN101" s="135">
        <v>16632.493312301998</v>
      </c>
      <c r="AO101" s="135">
        <v>22813.427395014998</v>
      </c>
      <c r="AP101" s="170">
        <v>23658.886280180999</v>
      </c>
      <c r="AQ101" s="170">
        <v>24342.688854797001</v>
      </c>
      <c r="AR101" s="170">
        <v>25546.431535682001</v>
      </c>
      <c r="AS101" s="155">
        <v>28140.106400856999</v>
      </c>
      <c r="AT101" s="155">
        <v>30405.180719853</v>
      </c>
      <c r="AU101" s="155">
        <v>32766.826097118999</v>
      </c>
      <c r="AV101" s="155">
        <v>32353.399506605001</v>
      </c>
      <c r="AW101" s="155">
        <v>41708.095544882999</v>
      </c>
      <c r="AX101" s="155">
        <v>36869.932776601003</v>
      </c>
      <c r="AY101" s="155">
        <v>38346.340885655001</v>
      </c>
      <c r="AZ101" s="155">
        <v>40727.511889136003</v>
      </c>
      <c r="BA101" s="155">
        <v>46139.193604622997</v>
      </c>
      <c r="BB101" s="40">
        <v>49885.507918980999</v>
      </c>
      <c r="BC101" s="40">
        <v>53935.883987442998</v>
      </c>
      <c r="BD101" s="155">
        <v>50127.293605808998</v>
      </c>
      <c r="BE101" s="155">
        <v>62983.196653787003</v>
      </c>
      <c r="BF101" s="155">
        <v>62370.640318250997</v>
      </c>
      <c r="BG101" s="287">
        <v>59216.899648623999</v>
      </c>
      <c r="BH101" s="287">
        <v>61281.996808126001</v>
      </c>
      <c r="BI101" s="287">
        <v>55834.209834075002</v>
      </c>
      <c r="BJ101" s="287">
        <v>61281.996808126001</v>
      </c>
      <c r="BK101" s="287">
        <v>59368.502034167999</v>
      </c>
      <c r="BL101" s="287">
        <v>58644.797853365002</v>
      </c>
      <c r="BM101" s="287">
        <v>60107.878446294999</v>
      </c>
      <c r="BN101" s="287">
        <v>63543.53</v>
      </c>
      <c r="BO101" s="287">
        <v>65869.825037150003</v>
      </c>
      <c r="BP101" s="287">
        <v>66900.039999999994</v>
      </c>
      <c r="BQ101" s="287">
        <v>70218.709730061993</v>
      </c>
      <c r="BR101" s="287">
        <v>72679.224714947006</v>
      </c>
      <c r="BS101" s="287">
        <v>81001.399247768</v>
      </c>
      <c r="BT101" s="287">
        <v>80288.497892066007</v>
      </c>
      <c r="BU101" s="287"/>
      <c r="BV101" s="139"/>
      <c r="BW101" s="139"/>
      <c r="BX101" s="139"/>
      <c r="BY101" s="139"/>
      <c r="BZ101" s="139"/>
      <c r="CA101" s="139"/>
      <c r="CB101" s="139"/>
      <c r="CC101" s="139"/>
      <c r="CD101" s="139"/>
      <c r="CE101" s="139"/>
      <c r="CF101" s="139"/>
      <c r="CG101" s="139"/>
      <c r="CH101" s="139"/>
      <c r="CI101" s="139"/>
      <c r="CJ101" s="139"/>
      <c r="CK101" s="139"/>
      <c r="CL101" s="139"/>
      <c r="CM101" s="139"/>
      <c r="CN101" s="139"/>
      <c r="CO101" s="139"/>
      <c r="CP101" s="139"/>
      <c r="CQ101" s="139"/>
      <c r="CR101" s="139"/>
      <c r="CS101" s="139"/>
      <c r="CT101" s="139"/>
      <c r="CU101" s="139"/>
      <c r="CV101" s="139"/>
      <c r="CW101" s="139"/>
      <c r="CX101" s="139"/>
      <c r="CY101" s="139"/>
      <c r="CZ101" s="139"/>
      <c r="DA101" s="139"/>
      <c r="DB101" s="139"/>
      <c r="DC101" s="139"/>
      <c r="DD101" s="139"/>
      <c r="DE101" s="139"/>
      <c r="DF101" s="139"/>
      <c r="DG101" s="139"/>
      <c r="DH101" s="139"/>
      <c r="DI101" s="139"/>
      <c r="DJ101" s="139"/>
      <c r="DK101" s="139"/>
      <c r="DL101" s="139"/>
      <c r="DM101" s="139"/>
      <c r="DN101" s="139"/>
      <c r="DO101" s="139"/>
      <c r="DP101" s="139"/>
      <c r="DQ101" s="139"/>
      <c r="DR101" s="139"/>
      <c r="DS101" s="146"/>
      <c r="DT101" s="171" t="str">
        <f t="shared" si="82"/>
        <v/>
      </c>
      <c r="DU101" s="171" t="str">
        <f t="shared" si="82"/>
        <v/>
      </c>
      <c r="DV101" s="171" t="str">
        <f t="shared" si="82"/>
        <v/>
      </c>
      <c r="DW101" s="171" t="str">
        <f t="shared" si="82"/>
        <v/>
      </c>
      <c r="DX101" s="171" t="str">
        <f t="shared" si="82"/>
        <v/>
      </c>
      <c r="DY101" s="171" t="str">
        <f t="shared" si="82"/>
        <v/>
      </c>
      <c r="DZ101" s="171" t="str">
        <f t="shared" si="82"/>
        <v/>
      </c>
      <c r="EA101" s="171" t="str">
        <f t="shared" si="82"/>
        <v/>
      </c>
      <c r="EB101" s="171" t="str">
        <f t="shared" si="82"/>
        <v/>
      </c>
      <c r="EC101" s="171" t="str">
        <f t="shared" si="82"/>
        <v/>
      </c>
      <c r="ED101" s="171" t="str">
        <f t="shared" si="82"/>
        <v/>
      </c>
      <c r="EE101" s="171" t="str">
        <f t="shared" si="82"/>
        <v/>
      </c>
      <c r="EF101" s="171" t="str">
        <f t="shared" si="82"/>
        <v/>
      </c>
      <c r="EG101" s="171" t="str">
        <f t="shared" si="82"/>
        <v/>
      </c>
      <c r="EH101" s="171" t="str">
        <f t="shared" si="82"/>
        <v/>
      </c>
      <c r="EI101" s="171" t="str">
        <f t="shared" si="78"/>
        <v/>
      </c>
      <c r="EJ101" s="171" t="str">
        <f t="shared" si="78"/>
        <v/>
      </c>
      <c r="EK101" s="171" t="str">
        <f t="shared" si="78"/>
        <v/>
      </c>
      <c r="EL101" s="171" t="str">
        <f t="shared" si="78"/>
        <v/>
      </c>
      <c r="EM101" s="171" t="str">
        <f t="shared" si="80"/>
        <v/>
      </c>
      <c r="EN101" s="171">
        <f t="shared" si="80"/>
        <v>0.75615187762193536</v>
      </c>
      <c r="EO101" s="171">
        <f t="shared" si="80"/>
        <v>0.80007898228225738</v>
      </c>
      <c r="EP101" s="171">
        <f t="shared" si="80"/>
        <v>0.69015424515992141</v>
      </c>
      <c r="EQ101" s="171">
        <f t="shared" si="80"/>
        <v>1.1324733854515667</v>
      </c>
      <c r="ER101" s="171">
        <f t="shared" si="80"/>
        <v>1.1727873040344723</v>
      </c>
      <c r="ES101" s="171">
        <f t="shared" si="80"/>
        <v>0.987616399786021</v>
      </c>
      <c r="ET101" s="171">
        <f t="shared" si="80"/>
        <v>1.1139571320715764</v>
      </c>
      <c r="EU101" s="171">
        <f t="shared" si="80"/>
        <v>1.0378435458315836</v>
      </c>
      <c r="EV101" s="171">
        <f t="shared" si="80"/>
        <v>0.77119293757024998</v>
      </c>
      <c r="EW101" s="171">
        <f t="shared" si="80"/>
        <v>0.83261008696200434</v>
      </c>
      <c r="EX101" s="171">
        <f t="shared" si="76"/>
        <v>0.63442934629944259</v>
      </c>
      <c r="EY101" s="171">
        <f t="shared" si="76"/>
        <v>0.54077249367406122</v>
      </c>
      <c r="EZ101" s="171">
        <f t="shared" si="76"/>
        <v>0.67705735350581042</v>
      </c>
      <c r="FA101" s="171">
        <f t="shared" si="76"/>
        <v>0.66150233905899869</v>
      </c>
      <c r="FB101" s="171">
        <f t="shared" si="81"/>
        <v>0.53593517556306058</v>
      </c>
      <c r="FC101" s="171">
        <f t="shared" si="81"/>
        <v>0.23348876578737765</v>
      </c>
      <c r="FD101" s="171">
        <f t="shared" si="81"/>
        <v>0.28514843681899582</v>
      </c>
      <c r="FE101" s="171">
        <f t="shared" si="81"/>
        <v>0.34606436834367726</v>
      </c>
      <c r="FF101" s="171">
        <f t="shared" si="81"/>
        <v>0.26645474775666278</v>
      </c>
      <c r="FG101" s="171">
        <f t="shared" si="74"/>
        <v>0.48215841655853842</v>
      </c>
      <c r="FH101" s="171">
        <f t="shared" si="83"/>
        <v>0.21262008327833604</v>
      </c>
      <c r="FI101" s="171">
        <f t="shared" si="84"/>
        <v>0.17027937866177933</v>
      </c>
      <c r="FJ101" s="171">
        <f t="shared" si="85"/>
        <v>0.2588325341459532</v>
      </c>
      <c r="FK101" s="171">
        <f t="shared" si="85"/>
        <v>0.10624071902232024</v>
      </c>
    </row>
    <row r="102" spans="2:167" ht="16">
      <c r="B102" s="140" t="s">
        <v>894</v>
      </c>
      <c r="C102" s="127" t="s">
        <v>895</v>
      </c>
      <c r="D102" s="128"/>
      <c r="E102" s="128"/>
      <c r="F102" s="128"/>
      <c r="G102" s="128"/>
      <c r="H102" s="128"/>
      <c r="I102" s="128"/>
      <c r="J102" s="128"/>
      <c r="K102" s="128"/>
      <c r="L102" s="128"/>
      <c r="M102" s="128"/>
      <c r="N102" s="128"/>
      <c r="O102" s="128"/>
      <c r="P102" s="128"/>
      <c r="Q102" s="128"/>
      <c r="R102" s="128"/>
      <c r="S102" s="128"/>
      <c r="T102" s="128"/>
      <c r="U102" s="128"/>
      <c r="V102" s="128"/>
      <c r="W102" s="128"/>
      <c r="X102" s="128"/>
      <c r="Y102" s="128"/>
      <c r="Z102" s="128">
        <v>1085.1895769929999</v>
      </c>
      <c r="AA102" s="128">
        <v>1109.368288746</v>
      </c>
      <c r="AB102" s="128">
        <v>1547.641965436</v>
      </c>
      <c r="AC102" s="128">
        <v>1923.1903266730001</v>
      </c>
      <c r="AD102" s="128">
        <v>1949.913865558</v>
      </c>
      <c r="AE102" s="128">
        <v>2086.2173685990001</v>
      </c>
      <c r="AF102" s="128">
        <v>2662.2147483949998</v>
      </c>
      <c r="AG102" s="128">
        <v>4782.2095455480003</v>
      </c>
      <c r="AH102" s="128">
        <v>5063.4793392310003</v>
      </c>
      <c r="AI102" s="128">
        <v>4896.3902692749998</v>
      </c>
      <c r="AJ102" s="128">
        <v>6690.6898483000004</v>
      </c>
      <c r="AK102" s="128">
        <v>10965.132547484</v>
      </c>
      <c r="AL102" s="128">
        <v>9708.8957680620006</v>
      </c>
      <c r="AM102" s="128">
        <v>9971.6168255060002</v>
      </c>
      <c r="AN102" s="128">
        <v>11388.021069120001</v>
      </c>
      <c r="AO102" s="128">
        <v>16904.511059799999</v>
      </c>
      <c r="AP102" s="173">
        <v>16390.889686056002</v>
      </c>
      <c r="AQ102" s="173">
        <v>16827.321443923</v>
      </c>
      <c r="AR102" s="173">
        <v>17383.663873866</v>
      </c>
      <c r="AS102" s="288">
        <v>19157.071069515001</v>
      </c>
      <c r="AT102" s="288">
        <v>20388.071534768998</v>
      </c>
      <c r="AU102" s="288">
        <v>22335.864295905001</v>
      </c>
      <c r="AV102" s="288">
        <v>21063.673273216998</v>
      </c>
      <c r="AW102" s="158">
        <v>29564.503350530002</v>
      </c>
      <c r="AX102" s="158">
        <v>23491.161842287998</v>
      </c>
      <c r="AY102" s="158">
        <v>24073.43110315</v>
      </c>
      <c r="AZ102" s="158">
        <v>25507.281824974001</v>
      </c>
      <c r="BA102" s="158">
        <v>30657.503758191</v>
      </c>
      <c r="BB102" s="41">
        <v>32931.983663801999</v>
      </c>
      <c r="BC102" s="41">
        <v>35676.966018298997</v>
      </c>
      <c r="BD102" s="158">
        <v>31320.026379774001</v>
      </c>
      <c r="BE102" s="158">
        <v>42604.837712706998</v>
      </c>
      <c r="BF102" s="288">
        <v>40560.349716566998</v>
      </c>
      <c r="BG102" s="289">
        <v>36812.511448571997</v>
      </c>
      <c r="BH102" s="289">
        <v>37968.545196712003</v>
      </c>
      <c r="BI102" s="289">
        <v>31901.628316499002</v>
      </c>
      <c r="BJ102" s="289">
        <v>37968.545196712003</v>
      </c>
      <c r="BK102" s="289">
        <v>35404.828059722</v>
      </c>
      <c r="BL102" s="289">
        <v>35374.645192263997</v>
      </c>
      <c r="BM102" s="289">
        <v>36748.320478957001</v>
      </c>
      <c r="BN102" s="289">
        <v>37509.370000000003</v>
      </c>
      <c r="BO102" s="289">
        <v>39393.065032134</v>
      </c>
      <c r="BP102" s="289">
        <v>39624.480000000003</v>
      </c>
      <c r="BQ102" s="289">
        <v>42097.132906207</v>
      </c>
      <c r="BR102" s="289">
        <v>43010.091137156</v>
      </c>
      <c r="BS102" s="289">
        <v>50985.234350915998</v>
      </c>
      <c r="BT102" s="289">
        <v>48491.298270189</v>
      </c>
      <c r="BU102" s="289"/>
      <c r="BV102" s="142"/>
      <c r="BW102" s="142"/>
      <c r="BX102" s="142"/>
      <c r="BY102" s="142"/>
      <c r="BZ102" s="142"/>
      <c r="CA102" s="142"/>
      <c r="CB102" s="142"/>
      <c r="CC102" s="142"/>
      <c r="CD102" s="142"/>
      <c r="CE102" s="142"/>
      <c r="CF102" s="142"/>
      <c r="CG102" s="142"/>
      <c r="CH102" s="142"/>
      <c r="CI102" s="142"/>
      <c r="CJ102" s="142"/>
      <c r="CK102" s="142"/>
      <c r="CL102" s="142"/>
      <c r="CM102" s="142"/>
      <c r="CN102" s="142"/>
      <c r="CO102" s="142"/>
      <c r="CP102" s="142"/>
      <c r="CQ102" s="142"/>
      <c r="CR102" s="142"/>
      <c r="CS102" s="142"/>
      <c r="CT102" s="142"/>
      <c r="CU102" s="142"/>
      <c r="CV102" s="142"/>
      <c r="CW102" s="142"/>
      <c r="CX102" s="142"/>
      <c r="CY102" s="142"/>
      <c r="CZ102" s="142"/>
      <c r="DA102" s="142"/>
      <c r="DB102" s="142"/>
      <c r="DC102" s="142"/>
      <c r="DD102" s="142"/>
      <c r="DE102" s="142"/>
      <c r="DF102" s="142"/>
      <c r="DG102" s="142"/>
      <c r="DH102" s="142"/>
      <c r="DI102" s="142"/>
      <c r="DJ102" s="142"/>
      <c r="DK102" s="142"/>
      <c r="DL102" s="142"/>
      <c r="DM102" s="142"/>
      <c r="DN102" s="142"/>
      <c r="DO102" s="142"/>
      <c r="DP102" s="142"/>
      <c r="DQ102" s="142"/>
      <c r="DR102" s="142"/>
      <c r="DS102" s="133"/>
      <c r="DT102" s="174" t="str">
        <f t="shared" si="82"/>
        <v/>
      </c>
      <c r="DU102" s="174" t="str">
        <f t="shared" si="82"/>
        <v/>
      </c>
      <c r="DV102" s="174" t="str">
        <f t="shared" si="82"/>
        <v/>
      </c>
      <c r="DW102" s="174" t="str">
        <f t="shared" si="82"/>
        <v/>
      </c>
      <c r="DX102" s="174" t="str">
        <f t="shared" si="82"/>
        <v/>
      </c>
      <c r="DY102" s="174" t="str">
        <f t="shared" si="82"/>
        <v/>
      </c>
      <c r="DZ102" s="174" t="str">
        <f t="shared" si="82"/>
        <v/>
      </c>
      <c r="EA102" s="174" t="str">
        <f t="shared" si="82"/>
        <v/>
      </c>
      <c r="EB102" s="174" t="str">
        <f t="shared" si="82"/>
        <v/>
      </c>
      <c r="EC102" s="174" t="str">
        <f t="shared" si="82"/>
        <v/>
      </c>
      <c r="ED102" s="174" t="str">
        <f t="shared" si="82"/>
        <v/>
      </c>
      <c r="EE102" s="174" t="str">
        <f t="shared" si="82"/>
        <v/>
      </c>
      <c r="EF102" s="174" t="str">
        <f t="shared" si="82"/>
        <v/>
      </c>
      <c r="EG102" s="174" t="str">
        <f t="shared" si="82"/>
        <v/>
      </c>
      <c r="EH102" s="174" t="str">
        <f t="shared" si="82"/>
        <v/>
      </c>
      <c r="EI102" s="174" t="str">
        <f t="shared" si="78"/>
        <v/>
      </c>
      <c r="EJ102" s="174" t="str">
        <f t="shared" si="78"/>
        <v/>
      </c>
      <c r="EK102" s="174" t="str">
        <f t="shared" si="78"/>
        <v/>
      </c>
      <c r="EL102" s="174" t="str">
        <f t="shared" si="78"/>
        <v/>
      </c>
      <c r="EM102" s="174" t="str">
        <f t="shared" si="80"/>
        <v/>
      </c>
      <c r="EN102" s="174">
        <f t="shared" si="80"/>
        <v>0.79684168268654321</v>
      </c>
      <c r="EO102" s="174">
        <f t="shared" si="80"/>
        <v>0.88054534257257711</v>
      </c>
      <c r="EP102" s="174">
        <f t="shared" si="80"/>
        <v>0.72017482586484638</v>
      </c>
      <c r="EQ102" s="174">
        <f t="shared" si="80"/>
        <v>1.4866023290689725</v>
      </c>
      <c r="ER102" s="174">
        <f t="shared" si="80"/>
        <v>1.5967707746834252</v>
      </c>
      <c r="ES102" s="174">
        <f t="shared" si="80"/>
        <v>1.3470182651979226</v>
      </c>
      <c r="ET102" s="174">
        <f t="shared" si="80"/>
        <v>1.5132044108514138</v>
      </c>
      <c r="EU102" s="174">
        <f t="shared" si="80"/>
        <v>1.2929008950877097</v>
      </c>
      <c r="EV102" s="174">
        <f t="shared" si="80"/>
        <v>0.91743564407167266</v>
      </c>
      <c r="EW102" s="174">
        <f t="shared" si="80"/>
        <v>1.0365241079899623</v>
      </c>
      <c r="EX102" s="174">
        <f t="shared" si="76"/>
        <v>0.70206979060814168</v>
      </c>
      <c r="EY102" s="174">
        <f t="shared" si="76"/>
        <v>0.54166043926927432</v>
      </c>
      <c r="EZ102" s="174">
        <f t="shared" si="76"/>
        <v>0.68823418003670644</v>
      </c>
      <c r="FA102" s="174">
        <f t="shared" si="76"/>
        <v>0.68752186715408747</v>
      </c>
      <c r="FB102" s="174">
        <f t="shared" si="81"/>
        <v>0.52648680296209771</v>
      </c>
      <c r="FC102" s="174">
        <f t="shared" si="81"/>
        <v>0.13325200603238585</v>
      </c>
      <c r="FD102" s="174">
        <f t="shared" si="81"/>
        <v>0.24386606982740333</v>
      </c>
      <c r="FE102" s="174">
        <f t="shared" si="81"/>
        <v>0.32735708236983552</v>
      </c>
      <c r="FF102" s="174">
        <f t="shared" si="81"/>
        <v>0.21169354320543432</v>
      </c>
      <c r="FG102" s="174">
        <f t="shared" si="74"/>
        <v>0.54326844867097335</v>
      </c>
      <c r="FH102" s="174">
        <f t="shared" si="83"/>
        <v>0.15220126642321774</v>
      </c>
      <c r="FI102" s="174">
        <f t="shared" si="84"/>
        <v>7.7792682845210459E-2</v>
      </c>
      <c r="FJ102" s="174">
        <f t="shared" si="85"/>
        <v>0.21096076140751596</v>
      </c>
      <c r="FK102" s="174">
        <f t="shared" si="85"/>
        <v>3.6970024312666272E-2</v>
      </c>
    </row>
    <row r="103" spans="2:167" ht="16">
      <c r="B103" s="140" t="s">
        <v>477</v>
      </c>
      <c r="C103" s="127" t="s">
        <v>896</v>
      </c>
      <c r="D103" s="128"/>
      <c r="E103" s="128"/>
      <c r="F103" s="128"/>
      <c r="G103" s="128"/>
      <c r="H103" s="128"/>
      <c r="I103" s="128"/>
      <c r="J103" s="128"/>
      <c r="K103" s="128"/>
      <c r="L103" s="128"/>
      <c r="M103" s="128"/>
      <c r="N103" s="128"/>
      <c r="O103" s="128"/>
      <c r="P103" s="128"/>
      <c r="Q103" s="128"/>
      <c r="R103" s="128"/>
      <c r="S103" s="128"/>
      <c r="T103" s="128"/>
      <c r="U103" s="128"/>
      <c r="V103" s="128"/>
      <c r="W103" s="128"/>
      <c r="X103" s="128"/>
      <c r="Y103" s="128"/>
      <c r="Z103" s="128">
        <v>1085.1895769929999</v>
      </c>
      <c r="AA103" s="128">
        <v>1109.368288746</v>
      </c>
      <c r="AB103" s="128">
        <v>1547.641965436</v>
      </c>
      <c r="AC103" s="128">
        <v>1923.1903266730001</v>
      </c>
      <c r="AD103" s="128">
        <v>1949.913865558</v>
      </c>
      <c r="AE103" s="128">
        <v>2086.2173685990001</v>
      </c>
      <c r="AF103" s="128">
        <v>2662.2147483949998</v>
      </c>
      <c r="AG103" s="128">
        <v>4782.2095455480003</v>
      </c>
      <c r="AH103" s="128">
        <v>5063.4793392310003</v>
      </c>
      <c r="AI103" s="128">
        <v>4896.3902692749998</v>
      </c>
      <c r="AJ103" s="128">
        <v>6690.6898483000004</v>
      </c>
      <c r="AK103" s="128">
        <v>10965.132547484</v>
      </c>
      <c r="AL103" s="128">
        <v>9708.8957680620006</v>
      </c>
      <c r="AM103" s="128">
        <v>9971.6168255060002</v>
      </c>
      <c r="AN103" s="128">
        <v>11328.720809625</v>
      </c>
      <c r="AO103" s="128">
        <v>15712.215993053</v>
      </c>
      <c r="AP103" s="173">
        <v>15028.843299392</v>
      </c>
      <c r="AQ103" s="173">
        <v>15487.730196729</v>
      </c>
      <c r="AR103" s="173">
        <v>16087.062723614999</v>
      </c>
      <c r="AS103" s="288">
        <v>17906.980221525999</v>
      </c>
      <c r="AT103" s="288">
        <v>19212.733322011001</v>
      </c>
      <c r="AU103" s="288">
        <v>21215.997629246001</v>
      </c>
      <c r="AV103" s="288">
        <v>19942.671606559001</v>
      </c>
      <c r="AW103" s="158">
        <v>28442.366683872999</v>
      </c>
      <c r="AX103" s="158">
        <v>22367.890175632001</v>
      </c>
      <c r="AY103" s="158">
        <v>22949.024436495001</v>
      </c>
      <c r="AZ103" s="158">
        <v>24381.740158320001</v>
      </c>
      <c r="BA103" s="158">
        <v>29530.827091538002</v>
      </c>
      <c r="BB103" s="41">
        <v>31804.171997149999</v>
      </c>
      <c r="BC103" s="41">
        <v>34548.019351647999</v>
      </c>
      <c r="BD103" s="158">
        <v>27421.544713124</v>
      </c>
      <c r="BE103" s="158">
        <v>39836.437712706997</v>
      </c>
      <c r="BF103" s="288">
        <v>40560.349716566998</v>
      </c>
      <c r="BG103" s="289">
        <v>36812.511448571997</v>
      </c>
      <c r="BH103" s="289">
        <v>32001.045196711999</v>
      </c>
      <c r="BI103" s="289">
        <v>26000.378316499002</v>
      </c>
      <c r="BJ103" s="289">
        <v>32001.045196711999</v>
      </c>
      <c r="BK103" s="289">
        <v>29505.453059722</v>
      </c>
      <c r="BL103" s="289">
        <v>29475.270192264001</v>
      </c>
      <c r="BM103" s="289">
        <v>30761.901787543</v>
      </c>
      <c r="BN103" s="289">
        <v>31420.95</v>
      </c>
      <c r="BO103" s="289">
        <v>33260.021340719999</v>
      </c>
      <c r="BP103" s="289">
        <v>33471.43</v>
      </c>
      <c r="BQ103" s="289">
        <v>42097.132906207</v>
      </c>
      <c r="BR103" s="289">
        <v>43010.091137156</v>
      </c>
      <c r="BS103" s="289">
        <v>50985.234350915998</v>
      </c>
      <c r="BT103" s="289">
        <v>48491.298270189</v>
      </c>
      <c r="BU103" s="289"/>
      <c r="BV103" s="142"/>
      <c r="BW103" s="142"/>
      <c r="BX103" s="142"/>
      <c r="BY103" s="142"/>
      <c r="BZ103" s="142"/>
      <c r="CA103" s="142"/>
      <c r="CB103" s="142"/>
      <c r="CC103" s="142"/>
      <c r="CD103" s="142"/>
      <c r="CE103" s="142"/>
      <c r="CF103" s="142"/>
      <c r="CG103" s="142"/>
      <c r="CH103" s="142"/>
      <c r="CI103" s="142"/>
      <c r="CJ103" s="142"/>
      <c r="CK103" s="142"/>
      <c r="CL103" s="142"/>
      <c r="CM103" s="142"/>
      <c r="CN103" s="142"/>
      <c r="CO103" s="142"/>
      <c r="CP103" s="142"/>
      <c r="CQ103" s="142"/>
      <c r="CR103" s="142"/>
      <c r="CS103" s="142"/>
      <c r="CT103" s="142"/>
      <c r="CU103" s="142"/>
      <c r="CV103" s="142"/>
      <c r="CW103" s="142"/>
      <c r="CX103" s="142"/>
      <c r="CY103" s="142"/>
      <c r="CZ103" s="142"/>
      <c r="DA103" s="142"/>
      <c r="DB103" s="142"/>
      <c r="DC103" s="142"/>
      <c r="DD103" s="142"/>
      <c r="DE103" s="142"/>
      <c r="DF103" s="142"/>
      <c r="DG103" s="142"/>
      <c r="DH103" s="142"/>
      <c r="DI103" s="142"/>
      <c r="DJ103" s="142"/>
      <c r="DK103" s="142"/>
      <c r="DL103" s="142"/>
      <c r="DM103" s="142"/>
      <c r="DN103" s="142"/>
      <c r="DO103" s="142"/>
      <c r="DP103" s="142"/>
      <c r="DQ103" s="142"/>
      <c r="DR103" s="142"/>
      <c r="DS103" s="133"/>
      <c r="DT103" s="174" t="str">
        <f t="shared" si="82"/>
        <v/>
      </c>
      <c r="DU103" s="174" t="str">
        <f t="shared" si="82"/>
        <v/>
      </c>
      <c r="DV103" s="174" t="str">
        <f t="shared" si="82"/>
        <v/>
      </c>
      <c r="DW103" s="174" t="str">
        <f t="shared" si="82"/>
        <v/>
      </c>
      <c r="DX103" s="174" t="str">
        <f t="shared" si="82"/>
        <v/>
      </c>
      <c r="DY103" s="174" t="str">
        <f t="shared" si="82"/>
        <v/>
      </c>
      <c r="DZ103" s="174" t="str">
        <f t="shared" si="82"/>
        <v/>
      </c>
      <c r="EA103" s="174" t="str">
        <f t="shared" si="82"/>
        <v/>
      </c>
      <c r="EB103" s="174" t="str">
        <f t="shared" si="82"/>
        <v/>
      </c>
      <c r="EC103" s="174" t="str">
        <f t="shared" si="82"/>
        <v/>
      </c>
      <c r="ED103" s="174" t="str">
        <f t="shared" si="82"/>
        <v/>
      </c>
      <c r="EE103" s="174" t="str">
        <f t="shared" si="82"/>
        <v/>
      </c>
      <c r="EF103" s="174" t="str">
        <f t="shared" si="82"/>
        <v/>
      </c>
      <c r="EG103" s="174" t="str">
        <f t="shared" si="82"/>
        <v/>
      </c>
      <c r="EH103" s="174" t="str">
        <f t="shared" si="82"/>
        <v/>
      </c>
      <c r="EI103" s="174" t="str">
        <f t="shared" si="78"/>
        <v/>
      </c>
      <c r="EJ103" s="174" t="str">
        <f t="shared" si="78"/>
        <v/>
      </c>
      <c r="EK103" s="174" t="str">
        <f t="shared" si="78"/>
        <v/>
      </c>
      <c r="EL103" s="174" t="str">
        <f t="shared" si="78"/>
        <v/>
      </c>
      <c r="EM103" s="174" t="str">
        <f t="shared" si="80"/>
        <v/>
      </c>
      <c r="EN103" s="174">
        <f t="shared" si="80"/>
        <v>0.79684168268654321</v>
      </c>
      <c r="EO103" s="174">
        <f t="shared" si="80"/>
        <v>0.88054534257257711</v>
      </c>
      <c r="EP103" s="174">
        <f t="shared" si="80"/>
        <v>0.72017482586484638</v>
      </c>
      <c r="EQ103" s="174">
        <f t="shared" si="80"/>
        <v>1.4866023290689725</v>
      </c>
      <c r="ER103" s="174">
        <f t="shared" si="80"/>
        <v>1.5967707746834252</v>
      </c>
      <c r="ES103" s="174">
        <f t="shared" si="80"/>
        <v>1.3470182651979226</v>
      </c>
      <c r="ET103" s="174">
        <f t="shared" si="80"/>
        <v>1.5132044108514138</v>
      </c>
      <c r="EU103" s="174">
        <f t="shared" si="80"/>
        <v>1.2929008950877097</v>
      </c>
      <c r="EV103" s="174">
        <f t="shared" si="80"/>
        <v>0.91743564407167266</v>
      </c>
      <c r="EW103" s="174">
        <f t="shared" si="80"/>
        <v>1.0365241079899623</v>
      </c>
      <c r="EX103" s="174">
        <f t="shared" si="76"/>
        <v>0.69320668966645504</v>
      </c>
      <c r="EY103" s="174">
        <f t="shared" si="76"/>
        <v>0.43292531348909602</v>
      </c>
      <c r="EZ103" s="174">
        <f t="shared" si="76"/>
        <v>0.54794568387790177</v>
      </c>
      <c r="FA103" s="174">
        <f t="shared" si="76"/>
        <v>0.55318144166085026</v>
      </c>
      <c r="FB103" s="174">
        <f t="shared" si="81"/>
        <v>0.42002464302476783</v>
      </c>
      <c r="FC103" s="174">
        <f t="shared" si="81"/>
        <v>0.13968521241328347</v>
      </c>
      <c r="FD103" s="174">
        <f t="shared" si="81"/>
        <v>0.27839068777756593</v>
      </c>
      <c r="FE103" s="174">
        <f t="shared" si="81"/>
        <v>0.36985842081151499</v>
      </c>
      <c r="FF103" s="174">
        <f t="shared" si="81"/>
        <v>0.23967140236757833</v>
      </c>
      <c r="FG103" s="174">
        <f t="shared" si="74"/>
        <v>0.58833964923256032</v>
      </c>
      <c r="FH103" s="174">
        <f t="shared" si="83"/>
        <v>0.16422217498882907</v>
      </c>
      <c r="FI103" s="174">
        <f t="shared" si="84"/>
        <v>8.1684907659493877E-2</v>
      </c>
      <c r="FJ103" s="174">
        <f t="shared" si="85"/>
        <v>0.22259146815118913</v>
      </c>
      <c r="FK103" s="174">
        <f t="shared" si="85"/>
        <v>3.8268981613339692E-2</v>
      </c>
    </row>
    <row r="104" spans="2:167" ht="16">
      <c r="B104" s="140" t="s">
        <v>479</v>
      </c>
      <c r="C104" s="127" t="s">
        <v>897</v>
      </c>
      <c r="D104" s="128"/>
      <c r="E104" s="128"/>
      <c r="F104" s="128"/>
      <c r="G104" s="128"/>
      <c r="H104" s="128"/>
      <c r="I104" s="128"/>
      <c r="J104" s="128"/>
      <c r="K104" s="128"/>
      <c r="L104" s="128"/>
      <c r="M104" s="128"/>
      <c r="N104" s="128"/>
      <c r="O104" s="128"/>
      <c r="P104" s="128"/>
      <c r="Q104" s="128"/>
      <c r="R104" s="128"/>
      <c r="S104" s="128"/>
      <c r="T104" s="128"/>
      <c r="U104" s="128"/>
      <c r="V104" s="128"/>
      <c r="W104" s="128"/>
      <c r="X104" s="128"/>
      <c r="Y104" s="128"/>
      <c r="Z104" s="128">
        <v>475.909068365</v>
      </c>
      <c r="AA104" s="128">
        <v>646.472357601</v>
      </c>
      <c r="AB104" s="128">
        <v>847.086528864</v>
      </c>
      <c r="AC104" s="128">
        <v>981.794284232</v>
      </c>
      <c r="AD104" s="128">
        <v>937.82996545900005</v>
      </c>
      <c r="AE104" s="128">
        <v>1108.722528883</v>
      </c>
      <c r="AF104" s="128">
        <v>1247.618913</v>
      </c>
      <c r="AG104" s="128">
        <v>1971.2716368179999</v>
      </c>
      <c r="AH104" s="128">
        <v>2156.0725497610001</v>
      </c>
      <c r="AI104" s="128">
        <v>2009.40729126</v>
      </c>
      <c r="AJ104" s="128">
        <v>2670.2912103570002</v>
      </c>
      <c r="AK104" s="128">
        <v>4683.3305440699996</v>
      </c>
      <c r="AL104" s="128">
        <v>2989.8348180540002</v>
      </c>
      <c r="AM104" s="128">
        <v>4171.0932633499997</v>
      </c>
      <c r="AN104" s="128">
        <v>5007.6746970900003</v>
      </c>
      <c r="AO104" s="128">
        <v>7371.801291019</v>
      </c>
      <c r="AP104" s="173">
        <v>5612.366630468</v>
      </c>
      <c r="AQ104" s="173">
        <v>5814.7963239780001</v>
      </c>
      <c r="AR104" s="173">
        <v>5197.7219134369998</v>
      </c>
      <c r="AS104" s="288">
        <v>8252.6722732489998</v>
      </c>
      <c r="AT104" s="288">
        <v>7554.0184875619998</v>
      </c>
      <c r="AU104" s="288">
        <v>8278.2886980340008</v>
      </c>
      <c r="AV104" s="288">
        <v>6859.3624375079999</v>
      </c>
      <c r="AW104" s="158">
        <v>12055.385483995</v>
      </c>
      <c r="AX104" s="158">
        <v>7701.4241306719996</v>
      </c>
      <c r="AY104" s="158">
        <v>7639.559540186</v>
      </c>
      <c r="AZ104" s="158">
        <v>6975.3542957669997</v>
      </c>
      <c r="BA104" s="158">
        <v>8659.0486023409994</v>
      </c>
      <c r="BB104" s="41">
        <v>9616.3680699960005</v>
      </c>
      <c r="BC104" s="41">
        <v>9126.1812868750003</v>
      </c>
      <c r="BD104" s="158">
        <v>7353.2879201080004</v>
      </c>
      <c r="BE104" s="158">
        <v>12179.774771734001</v>
      </c>
      <c r="BF104" s="288">
        <v>10708.242799518999</v>
      </c>
      <c r="BG104" s="289">
        <v>9387.2541640390009</v>
      </c>
      <c r="BH104" s="289">
        <v>9879.3912545319999</v>
      </c>
      <c r="BI104" s="289">
        <v>8745.9822615800003</v>
      </c>
      <c r="BJ104" s="289">
        <v>9879.3912545319999</v>
      </c>
      <c r="BK104" s="289">
        <v>9334.7630865270003</v>
      </c>
      <c r="BL104" s="289">
        <v>9161.5511824179994</v>
      </c>
      <c r="BM104" s="289">
        <v>7927.0697279349997</v>
      </c>
      <c r="BN104" s="289">
        <v>9209.4500000000007</v>
      </c>
      <c r="BO104" s="289">
        <v>9801.6218303549995</v>
      </c>
      <c r="BP104" s="289">
        <v>10181.780000000001</v>
      </c>
      <c r="BQ104" s="289">
        <v>9137.5180277330001</v>
      </c>
      <c r="BR104" s="289">
        <v>11308.95882661</v>
      </c>
      <c r="BS104" s="289">
        <v>11117.854372886</v>
      </c>
      <c r="BT104" s="289">
        <v>12679.647730746001</v>
      </c>
      <c r="BU104" s="289"/>
      <c r="BV104" s="142"/>
      <c r="BW104" s="142"/>
      <c r="BX104" s="142"/>
      <c r="BY104" s="142"/>
      <c r="BZ104" s="142"/>
      <c r="CA104" s="142"/>
      <c r="CB104" s="142"/>
      <c r="CC104" s="142"/>
      <c r="CD104" s="142"/>
      <c r="CE104" s="142"/>
      <c r="CF104" s="142"/>
      <c r="CG104" s="142"/>
      <c r="CH104" s="142"/>
      <c r="CI104" s="142"/>
      <c r="CJ104" s="142"/>
      <c r="CK104" s="142"/>
      <c r="CL104" s="142"/>
      <c r="CM104" s="142"/>
      <c r="CN104" s="142"/>
      <c r="CO104" s="142"/>
      <c r="CP104" s="142"/>
      <c r="CQ104" s="142"/>
      <c r="CR104" s="142"/>
      <c r="CS104" s="142"/>
      <c r="CT104" s="142"/>
      <c r="CU104" s="142"/>
      <c r="CV104" s="142"/>
      <c r="CW104" s="142"/>
      <c r="CX104" s="142"/>
      <c r="CY104" s="142"/>
      <c r="CZ104" s="142"/>
      <c r="DA104" s="142"/>
      <c r="DB104" s="142"/>
      <c r="DC104" s="142"/>
      <c r="DD104" s="142"/>
      <c r="DE104" s="142"/>
      <c r="DF104" s="142"/>
      <c r="DG104" s="142"/>
      <c r="DH104" s="142"/>
      <c r="DI104" s="142"/>
      <c r="DJ104" s="142"/>
      <c r="DK104" s="142"/>
      <c r="DL104" s="142"/>
      <c r="DM104" s="142"/>
      <c r="DN104" s="142"/>
      <c r="DO104" s="142"/>
      <c r="DP104" s="142"/>
      <c r="DQ104" s="142"/>
      <c r="DR104" s="142"/>
      <c r="DS104" s="133"/>
      <c r="DT104" s="174" t="str">
        <f t="shared" si="82"/>
        <v/>
      </c>
      <c r="DU104" s="174" t="str">
        <f t="shared" si="82"/>
        <v/>
      </c>
      <c r="DV104" s="174" t="str">
        <f t="shared" si="82"/>
        <v/>
      </c>
      <c r="DW104" s="174" t="str">
        <f t="shared" si="82"/>
        <v/>
      </c>
      <c r="DX104" s="174" t="str">
        <f t="shared" si="82"/>
        <v/>
      </c>
      <c r="DY104" s="174" t="str">
        <f t="shared" si="82"/>
        <v/>
      </c>
      <c r="DZ104" s="174" t="str">
        <f t="shared" si="82"/>
        <v/>
      </c>
      <c r="EA104" s="174" t="str">
        <f t="shared" si="82"/>
        <v/>
      </c>
      <c r="EB104" s="174" t="str">
        <f t="shared" si="82"/>
        <v/>
      </c>
      <c r="EC104" s="174" t="str">
        <f t="shared" si="82"/>
        <v/>
      </c>
      <c r="ED104" s="174" t="str">
        <f t="shared" si="82"/>
        <v/>
      </c>
      <c r="EE104" s="174" t="str">
        <f t="shared" si="82"/>
        <v/>
      </c>
      <c r="EF104" s="174" t="str">
        <f t="shared" si="82"/>
        <v/>
      </c>
      <c r="EG104" s="174" t="str">
        <f t="shared" si="82"/>
        <v/>
      </c>
      <c r="EH104" s="174" t="str">
        <f t="shared" si="82"/>
        <v/>
      </c>
      <c r="EI104" s="174" t="str">
        <f t="shared" si="78"/>
        <v/>
      </c>
      <c r="EJ104" s="174" t="str">
        <f t="shared" si="78"/>
        <v/>
      </c>
      <c r="EK104" s="174" t="str">
        <f t="shared" si="78"/>
        <v/>
      </c>
      <c r="EL104" s="174" t="str">
        <f t="shared" si="78"/>
        <v/>
      </c>
      <c r="EM104" s="174" t="str">
        <f t="shared" si="80"/>
        <v/>
      </c>
      <c r="EN104" s="174">
        <f t="shared" si="80"/>
        <v>0.97060747062657016</v>
      </c>
      <c r="EO104" s="174">
        <f t="shared" si="80"/>
        <v>0.71503470465058738</v>
      </c>
      <c r="EP104" s="174">
        <f t="shared" si="80"/>
        <v>0.47283526592394387</v>
      </c>
      <c r="EQ104" s="174">
        <f t="shared" si="80"/>
        <v>1.0078255378722334</v>
      </c>
      <c r="ER104" s="174">
        <f t="shared" si="80"/>
        <v>1.2990015559011896</v>
      </c>
      <c r="ES104" s="174">
        <f t="shared" si="80"/>
        <v>0.81236264161097993</v>
      </c>
      <c r="ET104" s="174">
        <f t="shared" si="80"/>
        <v>1.1403099797005081</v>
      </c>
      <c r="EU104" s="174">
        <f t="shared" si="80"/>
        <v>1.3757915736208575</v>
      </c>
      <c r="EV104" s="174">
        <f t="shared" si="80"/>
        <v>0.38670418042538612</v>
      </c>
      <c r="EW104" s="174">
        <f t="shared" si="80"/>
        <v>1.0757828845811113</v>
      </c>
      <c r="EX104" s="174">
        <f t="shared" si="76"/>
        <v>0.87532905687110718</v>
      </c>
      <c r="EY104" s="174">
        <f t="shared" si="76"/>
        <v>0.57405103518758094</v>
      </c>
      <c r="EZ104" s="174">
        <f t="shared" si="76"/>
        <v>0.87714939854802165</v>
      </c>
      <c r="FA104" s="174">
        <f t="shared" si="76"/>
        <v>0.39407008111534436</v>
      </c>
      <c r="FB104" s="174">
        <f t="shared" si="81"/>
        <v>3.7951190491154918E-2</v>
      </c>
      <c r="FC104" s="174">
        <f t="shared" si="81"/>
        <v>0.11949195962500458</v>
      </c>
      <c r="FD104" s="174">
        <f t="shared" si="81"/>
        <v>0.34595955413057022</v>
      </c>
      <c r="FE104" s="174">
        <f t="shared" si="81"/>
        <v>0.42365927141721182</v>
      </c>
      <c r="FF104" s="174">
        <f t="shared" si="81"/>
        <v>0.31968630714455415</v>
      </c>
      <c r="FG104" s="174">
        <f t="shared" si="74"/>
        <v>0.46078568066642833</v>
      </c>
      <c r="FH104" s="174">
        <f t="shared" si="83"/>
        <v>1.9513540157825915E-2</v>
      </c>
      <c r="FI104" s="174">
        <f t="shared" si="84"/>
        <v>-7.7157149399693203E-2</v>
      </c>
      <c r="FJ104" s="174">
        <f t="shared" si="85"/>
        <v>1.6910005749913415E-2</v>
      </c>
      <c r="FK104" s="174">
        <f t="shared" si="85"/>
        <v>-0.28172777105825886</v>
      </c>
    </row>
    <row r="105" spans="2:167" ht="16">
      <c r="B105" s="140" t="s">
        <v>898</v>
      </c>
      <c r="C105" s="127" t="s">
        <v>899</v>
      </c>
      <c r="D105" s="128"/>
      <c r="E105" s="128"/>
      <c r="F105" s="128"/>
      <c r="G105" s="128"/>
      <c r="H105" s="128"/>
      <c r="I105" s="128"/>
      <c r="J105" s="128"/>
      <c r="K105" s="128"/>
      <c r="L105" s="128"/>
      <c r="M105" s="128"/>
      <c r="N105" s="128"/>
      <c r="O105" s="128"/>
      <c r="P105" s="128"/>
      <c r="Q105" s="128"/>
      <c r="R105" s="128"/>
      <c r="S105" s="128"/>
      <c r="T105" s="128"/>
      <c r="U105" s="128"/>
      <c r="V105" s="128"/>
      <c r="W105" s="128"/>
      <c r="X105" s="128"/>
      <c r="Y105" s="128"/>
      <c r="Z105" s="128">
        <v>1.368303375</v>
      </c>
      <c r="AA105" s="128">
        <v>0.73320391900000004</v>
      </c>
      <c r="AB105" s="128">
        <v>5.3545353010000003</v>
      </c>
      <c r="AC105" s="128">
        <v>8.3537920680000006</v>
      </c>
      <c r="AD105" s="128">
        <v>6.9873652819999998</v>
      </c>
      <c r="AE105" s="128">
        <v>14.470099284</v>
      </c>
      <c r="AF105" s="128">
        <v>12.227630634</v>
      </c>
      <c r="AG105" s="128">
        <v>19.29758584</v>
      </c>
      <c r="AH105" s="128">
        <v>23.589037429000001</v>
      </c>
      <c r="AI105" s="128">
        <v>21.954565607999999</v>
      </c>
      <c r="AJ105" s="128">
        <v>22.167361604</v>
      </c>
      <c r="AK105" s="128">
        <v>28.752778956</v>
      </c>
      <c r="AL105" s="128">
        <v>17.199111823999999</v>
      </c>
      <c r="AM105" s="128">
        <v>19.727117765999999</v>
      </c>
      <c r="AN105" s="128">
        <v>19.835542897</v>
      </c>
      <c r="AO105" s="128">
        <v>22.475498438999999</v>
      </c>
      <c r="AP105" s="173">
        <v>19.996284651</v>
      </c>
      <c r="AQ105" s="173">
        <v>30.568199409999998</v>
      </c>
      <c r="AR105" s="173">
        <v>26.522024097999999</v>
      </c>
      <c r="AS105" s="288">
        <v>38.061594053</v>
      </c>
      <c r="AT105" s="288">
        <v>29.567085861999999</v>
      </c>
      <c r="AU105" s="288">
        <v>41.098207215999999</v>
      </c>
      <c r="AV105" s="288">
        <v>57.036875615</v>
      </c>
      <c r="AW105" s="158">
        <v>81.194129528999994</v>
      </c>
      <c r="AX105" s="158">
        <v>59.441460157999998</v>
      </c>
      <c r="AY105" s="158">
        <v>76.644693986999997</v>
      </c>
      <c r="AZ105" s="158">
        <v>71.419840626999999</v>
      </c>
      <c r="BA105" s="158">
        <v>86.907353149000002</v>
      </c>
      <c r="BB105" s="41">
        <v>70.870082625999999</v>
      </c>
      <c r="BC105" s="41">
        <v>70.937590924999995</v>
      </c>
      <c r="BD105" s="158">
        <v>94.495498354000006</v>
      </c>
      <c r="BE105" s="158">
        <v>98.379250626000001</v>
      </c>
      <c r="BF105" s="288">
        <v>94.640545309999993</v>
      </c>
      <c r="BG105" s="289">
        <v>129.61032912900001</v>
      </c>
      <c r="BH105" s="289">
        <v>91.220708251000005</v>
      </c>
      <c r="BI105" s="289">
        <v>97.659957856000005</v>
      </c>
      <c r="BJ105" s="289">
        <v>91.220708251000005</v>
      </c>
      <c r="BK105" s="289">
        <v>70.529398737999998</v>
      </c>
      <c r="BL105" s="289">
        <v>100.423104927</v>
      </c>
      <c r="BM105" s="289">
        <v>88.995836420000003</v>
      </c>
      <c r="BN105" s="289">
        <v>73.650000000000006</v>
      </c>
      <c r="BO105" s="289">
        <v>66.936043455000004</v>
      </c>
      <c r="BP105" s="289">
        <v>105.1</v>
      </c>
      <c r="BQ105" s="289">
        <v>90.966314914999998</v>
      </c>
      <c r="BR105" s="289">
        <v>74.354490257999998</v>
      </c>
      <c r="BS105" s="289">
        <v>91.483894773000003</v>
      </c>
      <c r="BT105" s="289">
        <v>178.07437403099999</v>
      </c>
      <c r="BU105" s="289"/>
      <c r="BV105" s="142"/>
      <c r="BW105" s="142"/>
      <c r="BX105" s="142"/>
      <c r="BY105" s="142"/>
      <c r="BZ105" s="142"/>
      <c r="CA105" s="142"/>
      <c r="CB105" s="142"/>
      <c r="CC105" s="142"/>
      <c r="CD105" s="142"/>
      <c r="CE105" s="142"/>
      <c r="CF105" s="142"/>
      <c r="CG105" s="142"/>
      <c r="CH105" s="142"/>
      <c r="CI105" s="142"/>
      <c r="CJ105" s="142"/>
      <c r="CK105" s="142"/>
      <c r="CL105" s="142"/>
      <c r="CM105" s="142"/>
      <c r="CN105" s="142"/>
      <c r="CO105" s="142"/>
      <c r="CP105" s="142"/>
      <c r="CQ105" s="142"/>
      <c r="CR105" s="142"/>
      <c r="CS105" s="142"/>
      <c r="CT105" s="142"/>
      <c r="CU105" s="142"/>
      <c r="CV105" s="142"/>
      <c r="CW105" s="142"/>
      <c r="CX105" s="142"/>
      <c r="CY105" s="142"/>
      <c r="CZ105" s="142"/>
      <c r="DA105" s="142"/>
      <c r="DB105" s="142"/>
      <c r="DC105" s="142"/>
      <c r="DD105" s="142"/>
      <c r="DE105" s="142"/>
      <c r="DF105" s="142"/>
      <c r="DG105" s="142"/>
      <c r="DH105" s="142"/>
      <c r="DI105" s="142"/>
      <c r="DJ105" s="142"/>
      <c r="DK105" s="142"/>
      <c r="DL105" s="142"/>
      <c r="DM105" s="142"/>
      <c r="DN105" s="142"/>
      <c r="DO105" s="142"/>
      <c r="DP105" s="142"/>
      <c r="DQ105" s="142"/>
      <c r="DR105" s="142"/>
      <c r="DS105" s="133"/>
      <c r="DT105" s="174" t="str">
        <f t="shared" si="82"/>
        <v/>
      </c>
      <c r="DU105" s="174" t="str">
        <f t="shared" si="82"/>
        <v/>
      </c>
      <c r="DV105" s="174" t="str">
        <f t="shared" si="82"/>
        <v/>
      </c>
      <c r="DW105" s="174" t="str">
        <f t="shared" si="82"/>
        <v/>
      </c>
      <c r="DX105" s="174" t="str">
        <f t="shared" si="82"/>
        <v/>
      </c>
      <c r="DY105" s="174" t="str">
        <f t="shared" si="82"/>
        <v/>
      </c>
      <c r="DZ105" s="174" t="str">
        <f t="shared" si="82"/>
        <v/>
      </c>
      <c r="EA105" s="174" t="str">
        <f t="shared" si="82"/>
        <v/>
      </c>
      <c r="EB105" s="174" t="str">
        <f t="shared" si="82"/>
        <v/>
      </c>
      <c r="EC105" s="174" t="str">
        <f t="shared" si="82"/>
        <v/>
      </c>
      <c r="ED105" s="174" t="str">
        <f t="shared" si="82"/>
        <v/>
      </c>
      <c r="EE105" s="174" t="str">
        <f t="shared" si="82"/>
        <v/>
      </c>
      <c r="EF105" s="174" t="str">
        <f t="shared" si="82"/>
        <v/>
      </c>
      <c r="EG105" s="174" t="str">
        <f t="shared" si="82"/>
        <v/>
      </c>
      <c r="EH105" s="174" t="str">
        <f t="shared" si="82"/>
        <v/>
      </c>
      <c r="EI105" s="174" t="str">
        <f t="shared" si="78"/>
        <v/>
      </c>
      <c r="EJ105" s="174" t="str">
        <f t="shared" si="78"/>
        <v/>
      </c>
      <c r="EK105" s="174" t="str">
        <f t="shared" si="78"/>
        <v/>
      </c>
      <c r="EL105" s="174" t="str">
        <f t="shared" si="78"/>
        <v/>
      </c>
      <c r="EM105" s="174" t="str">
        <f t="shared" si="80"/>
        <v/>
      </c>
      <c r="EN105" s="174">
        <f t="shared" si="80"/>
        <v>4.1065906944795776</v>
      </c>
      <c r="EO105" s="174">
        <f t="shared" si="80"/>
        <v>18.735436362281636</v>
      </c>
      <c r="EP105" s="174">
        <f t="shared" si="80"/>
        <v>1.2836025811084664</v>
      </c>
      <c r="EQ105" s="174">
        <f t="shared" si="80"/>
        <v>1.310039043696245</v>
      </c>
      <c r="ER105" s="174">
        <f t="shared" si="80"/>
        <v>2.3759559543519515</v>
      </c>
      <c r="ES105" s="174">
        <f t="shared" si="80"/>
        <v>0.51723669458687027</v>
      </c>
      <c r="ET105" s="174">
        <f t="shared" si="80"/>
        <v>0.81289100623972921</v>
      </c>
      <c r="EU105" s="174">
        <f t="shared" si="80"/>
        <v>0.4899676671680504</v>
      </c>
      <c r="EV105" s="174">
        <f t="shared" si="80"/>
        <v>-0.27088539005598955</v>
      </c>
      <c r="EW105" s="174">
        <f t="shared" si="80"/>
        <v>-0.10145715846859404</v>
      </c>
      <c r="EX105" s="174">
        <f t="shared" si="76"/>
        <v>-0.10519153107419121</v>
      </c>
      <c r="EY105" s="174">
        <f t="shared" si="76"/>
        <v>-0.21831908931675925</v>
      </c>
      <c r="EZ105" s="174">
        <f t="shared" si="76"/>
        <v>0.16263472530580136</v>
      </c>
      <c r="FA105" s="174">
        <f t="shared" si="76"/>
        <v>0.54955223426935573</v>
      </c>
      <c r="FB105" s="174">
        <f t="shared" si="81"/>
        <v>0.33709595122860425</v>
      </c>
      <c r="FC105" s="174">
        <f t="shared" si="81"/>
        <v>0.69347052107884077</v>
      </c>
      <c r="FD105" s="174">
        <f t="shared" si="81"/>
        <v>0.47862897423403949</v>
      </c>
      <c r="FE105" s="174">
        <f t="shared" si="81"/>
        <v>0.34447589355083963</v>
      </c>
      <c r="FF105" s="174">
        <f t="shared" si="81"/>
        <v>1.1505476129667302</v>
      </c>
      <c r="FG105" s="174">
        <f t="shared" si="74"/>
        <v>1.1332298751318404</v>
      </c>
      <c r="FH105" s="174">
        <f t="shared" si="83"/>
        <v>1.0103929225705306</v>
      </c>
      <c r="FI105" s="174">
        <f t="shared" si="84"/>
        <v>0.8649157512924639</v>
      </c>
      <c r="FJ105" s="174">
        <f t="shared" si="85"/>
        <v>0.25216958076535056</v>
      </c>
      <c r="FK105" s="174">
        <f t="shared" si="85"/>
        <v>7.0364983935931269E-2</v>
      </c>
    </row>
    <row r="106" spans="2:167" ht="16">
      <c r="B106" s="140" t="s">
        <v>900</v>
      </c>
      <c r="C106" s="127" t="s">
        <v>901</v>
      </c>
      <c r="D106" s="128"/>
      <c r="E106" s="128"/>
      <c r="F106" s="128"/>
      <c r="G106" s="128"/>
      <c r="H106" s="128"/>
      <c r="I106" s="128"/>
      <c r="J106" s="128"/>
      <c r="K106" s="128"/>
      <c r="L106" s="128"/>
      <c r="M106" s="128"/>
      <c r="N106" s="128"/>
      <c r="O106" s="128"/>
      <c r="P106" s="128"/>
      <c r="Q106" s="128"/>
      <c r="R106" s="128"/>
      <c r="S106" s="128"/>
      <c r="T106" s="128"/>
      <c r="U106" s="128"/>
      <c r="V106" s="128"/>
      <c r="W106" s="128"/>
      <c r="X106" s="128"/>
      <c r="Y106" s="128"/>
      <c r="Z106" s="128">
        <v>60.187948208999998</v>
      </c>
      <c r="AA106" s="128">
        <v>71.672519434999998</v>
      </c>
      <c r="AB106" s="128">
        <v>72.759238214999996</v>
      </c>
      <c r="AC106" s="128">
        <v>57.948259321000002</v>
      </c>
      <c r="AD106" s="128">
        <v>71.112413506999999</v>
      </c>
      <c r="AE106" s="128">
        <v>68.152899489999996</v>
      </c>
      <c r="AF106" s="128">
        <v>93.409217683999998</v>
      </c>
      <c r="AG106" s="128">
        <v>174.477742839</v>
      </c>
      <c r="AH106" s="128">
        <v>114.86101957</v>
      </c>
      <c r="AI106" s="128">
        <v>136.107845844</v>
      </c>
      <c r="AJ106" s="128">
        <v>118.40653087299999</v>
      </c>
      <c r="AK106" s="128">
        <v>105.53234764699999</v>
      </c>
      <c r="AL106" s="128">
        <v>174.348294049</v>
      </c>
      <c r="AM106" s="128">
        <v>206.76195586200001</v>
      </c>
      <c r="AN106" s="128">
        <v>213.89994620600001</v>
      </c>
      <c r="AO106" s="128">
        <v>137.42161228500001</v>
      </c>
      <c r="AP106" s="173">
        <v>291.26531068100002</v>
      </c>
      <c r="AQ106" s="173">
        <v>341.01107040599999</v>
      </c>
      <c r="AR106" s="173">
        <v>385.29569132300003</v>
      </c>
      <c r="AS106" s="288">
        <v>217.69964388299999</v>
      </c>
      <c r="AT106" s="288">
        <v>408.33877304499998</v>
      </c>
      <c r="AU106" s="288">
        <v>475.173653253</v>
      </c>
      <c r="AV106" s="288">
        <v>459.77199703500003</v>
      </c>
      <c r="AW106" s="158">
        <v>374.62326911000002</v>
      </c>
      <c r="AX106" s="158">
        <v>959.338033086</v>
      </c>
      <c r="AY106" s="158">
        <v>921.41847250599994</v>
      </c>
      <c r="AZ106" s="158">
        <v>835.71650247299999</v>
      </c>
      <c r="BA106" s="158">
        <v>634.91786817599996</v>
      </c>
      <c r="BB106" s="41">
        <v>704.90977154899997</v>
      </c>
      <c r="BC106" s="41">
        <v>781.81407611700001</v>
      </c>
      <c r="BD106" s="158">
        <v>896.22792383599995</v>
      </c>
      <c r="BE106" s="158">
        <v>700.447931165</v>
      </c>
      <c r="BF106" s="288">
        <v>867.93842115799998</v>
      </c>
      <c r="BG106" s="289">
        <v>909.24003128300001</v>
      </c>
      <c r="BH106" s="289">
        <v>893.94644252000001</v>
      </c>
      <c r="BI106" s="289">
        <v>764.244077963</v>
      </c>
      <c r="BJ106" s="289">
        <v>893.94644252000001</v>
      </c>
      <c r="BK106" s="289">
        <v>302.37024144499998</v>
      </c>
      <c r="BL106" s="289">
        <v>363.54606865199997</v>
      </c>
      <c r="BM106" s="289">
        <v>418.17325159500001</v>
      </c>
      <c r="BN106" s="289">
        <v>599.64</v>
      </c>
      <c r="BO106" s="289">
        <v>645.29298321600004</v>
      </c>
      <c r="BP106" s="289">
        <v>603.77</v>
      </c>
      <c r="BQ106" s="289">
        <v>534.22242872699996</v>
      </c>
      <c r="BR106" s="289">
        <v>532.077002204</v>
      </c>
      <c r="BS106" s="289">
        <v>660.30694675500001</v>
      </c>
      <c r="BT106" s="289">
        <v>572.13832506200004</v>
      </c>
      <c r="BU106" s="289"/>
      <c r="BV106" s="142"/>
      <c r="BW106" s="142"/>
      <c r="BX106" s="142"/>
      <c r="BY106" s="142"/>
      <c r="BZ106" s="142"/>
      <c r="CA106" s="142"/>
      <c r="CB106" s="142"/>
      <c r="CC106" s="142"/>
      <c r="CD106" s="142"/>
      <c r="CE106" s="142"/>
      <c r="CF106" s="142"/>
      <c r="CG106" s="142"/>
      <c r="CH106" s="142"/>
      <c r="CI106" s="142"/>
      <c r="CJ106" s="142"/>
      <c r="CK106" s="142"/>
      <c r="CL106" s="142"/>
      <c r="CM106" s="142"/>
      <c r="CN106" s="142"/>
      <c r="CO106" s="142"/>
      <c r="CP106" s="142"/>
      <c r="CQ106" s="142"/>
      <c r="CR106" s="142"/>
      <c r="CS106" s="142"/>
      <c r="CT106" s="142"/>
      <c r="CU106" s="142"/>
      <c r="CV106" s="142"/>
      <c r="CW106" s="142"/>
      <c r="CX106" s="142"/>
      <c r="CY106" s="142"/>
      <c r="CZ106" s="142"/>
      <c r="DA106" s="142"/>
      <c r="DB106" s="142"/>
      <c r="DC106" s="142"/>
      <c r="DD106" s="142"/>
      <c r="DE106" s="142"/>
      <c r="DF106" s="142"/>
      <c r="DG106" s="142"/>
      <c r="DH106" s="142"/>
      <c r="DI106" s="142"/>
      <c r="DJ106" s="142"/>
      <c r="DK106" s="142"/>
      <c r="DL106" s="142"/>
      <c r="DM106" s="142"/>
      <c r="DN106" s="142"/>
      <c r="DO106" s="142"/>
      <c r="DP106" s="142"/>
      <c r="DQ106" s="142"/>
      <c r="DR106" s="142"/>
      <c r="DS106" s="133"/>
      <c r="DT106" s="174" t="str">
        <f t="shared" si="82"/>
        <v/>
      </c>
      <c r="DU106" s="174" t="str">
        <f t="shared" si="82"/>
        <v/>
      </c>
      <c r="DV106" s="174" t="str">
        <f t="shared" si="82"/>
        <v/>
      </c>
      <c r="DW106" s="174" t="str">
        <f t="shared" si="82"/>
        <v/>
      </c>
      <c r="DX106" s="174" t="str">
        <f t="shared" si="82"/>
        <v/>
      </c>
      <c r="DY106" s="174" t="str">
        <f t="shared" si="82"/>
        <v/>
      </c>
      <c r="DZ106" s="174" t="str">
        <f t="shared" si="82"/>
        <v/>
      </c>
      <c r="EA106" s="174" t="str">
        <f t="shared" si="82"/>
        <v/>
      </c>
      <c r="EB106" s="174" t="str">
        <f t="shared" si="82"/>
        <v/>
      </c>
      <c r="EC106" s="174" t="str">
        <f t="shared" si="82"/>
        <v/>
      </c>
      <c r="ED106" s="174" t="str">
        <f t="shared" si="82"/>
        <v/>
      </c>
      <c r="EE106" s="174" t="str">
        <f t="shared" si="82"/>
        <v/>
      </c>
      <c r="EF106" s="174" t="str">
        <f t="shared" si="82"/>
        <v/>
      </c>
      <c r="EG106" s="174" t="str">
        <f t="shared" si="82"/>
        <v/>
      </c>
      <c r="EH106" s="174" t="str">
        <f t="shared" si="82"/>
        <v/>
      </c>
      <c r="EI106" s="174" t="str">
        <f t="shared" si="78"/>
        <v/>
      </c>
      <c r="EJ106" s="174" t="str">
        <f t="shared" si="78"/>
        <v/>
      </c>
      <c r="EK106" s="174" t="str">
        <f t="shared" si="78"/>
        <v/>
      </c>
      <c r="EL106" s="174" t="str">
        <f t="shared" si="78"/>
        <v/>
      </c>
      <c r="EM106" s="174" t="str">
        <f t="shared" si="80"/>
        <v/>
      </c>
      <c r="EN106" s="174">
        <f t="shared" si="80"/>
        <v>0.18150585994500545</v>
      </c>
      <c r="EO106" s="174">
        <f t="shared" si="80"/>
        <v>-4.9106965581026563E-2</v>
      </c>
      <c r="EP106" s="174">
        <f t="shared" si="80"/>
        <v>0.28381247489123407</v>
      </c>
      <c r="EQ106" s="174">
        <f t="shared" si="80"/>
        <v>2.0109229316534556</v>
      </c>
      <c r="ER106" s="174">
        <f t="shared" si="80"/>
        <v>0.61520350534430346</v>
      </c>
      <c r="ES106" s="174">
        <f t="shared" si="80"/>
        <v>0.9970954554027589</v>
      </c>
      <c r="ET106" s="174">
        <f t="shared" si="80"/>
        <v>0.26761077556141188</v>
      </c>
      <c r="EU106" s="174">
        <f t="shared" si="80"/>
        <v>-0.39515295229156899</v>
      </c>
      <c r="EV106" s="174">
        <f t="shared" si="80"/>
        <v>0.517906550905606</v>
      </c>
      <c r="EW106" s="174">
        <f t="shared" si="80"/>
        <v>0.51910387369571787</v>
      </c>
      <c r="EX106" s="174">
        <f t="shared" si="76"/>
        <v>0.80648773871623658</v>
      </c>
      <c r="EY106" s="174">
        <f t="shared" si="76"/>
        <v>0.30217526046769927</v>
      </c>
      <c r="EZ106" s="174">
        <f t="shared" si="76"/>
        <v>0.67059455482335184</v>
      </c>
      <c r="FA106" s="174">
        <f t="shared" si="76"/>
        <v>0.64929311576836901</v>
      </c>
      <c r="FB106" s="174">
        <f t="shared" si="81"/>
        <v>0.80128933249910417</v>
      </c>
      <c r="FC106" s="174">
        <f t="shared" si="81"/>
        <v>0.58417326258340352</v>
      </c>
      <c r="FD106" s="174">
        <f t="shared" si="81"/>
        <v>0.40194783954969959</v>
      </c>
      <c r="FE106" s="174">
        <f t="shared" si="81"/>
        <v>0.39342588698739056</v>
      </c>
      <c r="FF106" s="174">
        <f t="shared" si="81"/>
        <v>0.19329649251012571</v>
      </c>
      <c r="FG106" s="174">
        <f t="shared" si="74"/>
        <v>0.7208262835346515</v>
      </c>
      <c r="FH106" s="174">
        <f t="shared" si="83"/>
        <v>1.3493679670244747</v>
      </c>
      <c r="FI106" s="174">
        <f t="shared" si="84"/>
        <v>0.93911944864376284</v>
      </c>
      <c r="FJ106" s="174">
        <f t="shared" si="85"/>
        <v>0.81767595212933619</v>
      </c>
      <c r="FK106" s="174">
        <f t="shared" si="85"/>
        <v>0.69481695486878592</v>
      </c>
    </row>
    <row r="107" spans="2:167" ht="16">
      <c r="B107" s="140" t="s">
        <v>902</v>
      </c>
      <c r="C107" s="127" t="s">
        <v>903</v>
      </c>
      <c r="D107" s="128"/>
      <c r="E107" s="128"/>
      <c r="F107" s="128"/>
      <c r="G107" s="128"/>
      <c r="H107" s="128"/>
      <c r="I107" s="128"/>
      <c r="J107" s="128"/>
      <c r="K107" s="128"/>
      <c r="L107" s="128"/>
      <c r="M107" s="128"/>
      <c r="N107" s="128"/>
      <c r="O107" s="128"/>
      <c r="P107" s="128"/>
      <c r="Q107" s="128"/>
      <c r="R107" s="128"/>
      <c r="S107" s="128"/>
      <c r="T107" s="128"/>
      <c r="U107" s="128"/>
      <c r="V107" s="128"/>
      <c r="W107" s="128"/>
      <c r="X107" s="128"/>
      <c r="Y107" s="128"/>
      <c r="Z107" s="128">
        <v>0.99348065200000002</v>
      </c>
      <c r="AA107" s="128">
        <v>0</v>
      </c>
      <c r="AB107" s="128">
        <v>0.510610122</v>
      </c>
      <c r="AC107" s="128">
        <v>0.34450208399999999</v>
      </c>
      <c r="AD107" s="128">
        <v>0.56015108400000002</v>
      </c>
      <c r="AE107" s="128">
        <v>30.664548013000001</v>
      </c>
      <c r="AF107" s="128">
        <v>47.613907685000001</v>
      </c>
      <c r="AG107" s="128">
        <v>52.487558084</v>
      </c>
      <c r="AH107" s="128">
        <v>55.286790105000001</v>
      </c>
      <c r="AI107" s="128">
        <v>66.402521336999996</v>
      </c>
      <c r="AJ107" s="128">
        <v>74.779548031999994</v>
      </c>
      <c r="AK107" s="128">
        <v>91.329782828999996</v>
      </c>
      <c r="AL107" s="128">
        <v>86.335490234999995</v>
      </c>
      <c r="AM107" s="128">
        <v>96.758055025999994</v>
      </c>
      <c r="AN107" s="128">
        <v>126.852836517</v>
      </c>
      <c r="AO107" s="128">
        <v>133.72511131799999</v>
      </c>
      <c r="AP107" s="173">
        <v>115.633323041</v>
      </c>
      <c r="AQ107" s="173">
        <v>132.77154843599999</v>
      </c>
      <c r="AR107" s="173">
        <v>154.50645413199999</v>
      </c>
      <c r="AS107" s="288">
        <v>149.77499180199999</v>
      </c>
      <c r="AT107" s="288">
        <v>161.66640722700001</v>
      </c>
      <c r="AU107" s="288">
        <v>185.85270830900001</v>
      </c>
      <c r="AV107" s="288">
        <v>259.53370573799998</v>
      </c>
      <c r="AW107" s="158">
        <v>258.242266298</v>
      </c>
      <c r="AX107" s="158">
        <v>195.04317403499999</v>
      </c>
      <c r="AY107" s="158">
        <v>369.10575014400001</v>
      </c>
      <c r="AZ107" s="158">
        <v>484.98556238999998</v>
      </c>
      <c r="BA107" s="158">
        <v>533.57231976699995</v>
      </c>
      <c r="BB107" s="41">
        <v>356.52982166599998</v>
      </c>
      <c r="BC107" s="41">
        <v>464.38435645499999</v>
      </c>
      <c r="BD107" s="158">
        <v>480.69532631999999</v>
      </c>
      <c r="BE107" s="158">
        <v>531.98743233899995</v>
      </c>
      <c r="BF107" s="288">
        <v>282.77518601899999</v>
      </c>
      <c r="BG107" s="289">
        <v>475.92185853400002</v>
      </c>
      <c r="BH107" s="289">
        <v>549.91203869499998</v>
      </c>
      <c r="BI107" s="289">
        <v>475.43193959000001</v>
      </c>
      <c r="BJ107" s="289">
        <v>549.91203869499998</v>
      </c>
      <c r="BK107" s="289">
        <v>313.34806263000002</v>
      </c>
      <c r="BL107" s="289">
        <v>316.261143925</v>
      </c>
      <c r="BM107" s="289">
        <v>438.40432341399998</v>
      </c>
      <c r="BN107" s="289">
        <v>402.34</v>
      </c>
      <c r="BO107" s="289">
        <v>517.45586864200004</v>
      </c>
      <c r="BP107" s="289">
        <v>614.38</v>
      </c>
      <c r="BQ107" s="289">
        <v>649.99968513900001</v>
      </c>
      <c r="BR107" s="289">
        <v>344.95537072100001</v>
      </c>
      <c r="BS107" s="289">
        <v>254.49832263100001</v>
      </c>
      <c r="BT107" s="289">
        <v>344.30455752</v>
      </c>
      <c r="BU107" s="289"/>
      <c r="BV107" s="142"/>
      <c r="BW107" s="142"/>
      <c r="BX107" s="142"/>
      <c r="BY107" s="142"/>
      <c r="BZ107" s="142"/>
      <c r="CA107" s="142"/>
      <c r="CB107" s="142"/>
      <c r="CC107" s="142"/>
      <c r="CD107" s="142"/>
      <c r="CE107" s="142"/>
      <c r="CF107" s="142"/>
      <c r="CG107" s="142"/>
      <c r="CH107" s="142"/>
      <c r="CI107" s="142"/>
      <c r="CJ107" s="142"/>
      <c r="CK107" s="142"/>
      <c r="CL107" s="142"/>
      <c r="CM107" s="142"/>
      <c r="CN107" s="142"/>
      <c r="CO107" s="142"/>
      <c r="CP107" s="142"/>
      <c r="CQ107" s="142"/>
      <c r="CR107" s="142"/>
      <c r="CS107" s="142"/>
      <c r="CT107" s="142"/>
      <c r="CU107" s="142"/>
      <c r="CV107" s="142"/>
      <c r="CW107" s="142"/>
      <c r="CX107" s="142"/>
      <c r="CY107" s="142"/>
      <c r="CZ107" s="142"/>
      <c r="DA107" s="142"/>
      <c r="DB107" s="142"/>
      <c r="DC107" s="142"/>
      <c r="DD107" s="142"/>
      <c r="DE107" s="142"/>
      <c r="DF107" s="142"/>
      <c r="DG107" s="142"/>
      <c r="DH107" s="142"/>
      <c r="DI107" s="142"/>
      <c r="DJ107" s="142"/>
      <c r="DK107" s="142"/>
      <c r="DL107" s="142"/>
      <c r="DM107" s="142"/>
      <c r="DN107" s="142"/>
      <c r="DO107" s="142"/>
      <c r="DP107" s="142"/>
      <c r="DQ107" s="142"/>
      <c r="DR107" s="142"/>
      <c r="DS107" s="133"/>
      <c r="DT107" s="174" t="str">
        <f t="shared" si="82"/>
        <v/>
      </c>
      <c r="DU107" s="174" t="str">
        <f t="shared" si="82"/>
        <v/>
      </c>
      <c r="DV107" s="174" t="str">
        <f t="shared" si="82"/>
        <v/>
      </c>
      <c r="DW107" s="174" t="str">
        <f t="shared" si="82"/>
        <v/>
      </c>
      <c r="DX107" s="174" t="str">
        <f t="shared" si="82"/>
        <v/>
      </c>
      <c r="DY107" s="174" t="str">
        <f t="shared" si="82"/>
        <v/>
      </c>
      <c r="DZ107" s="174" t="str">
        <f t="shared" si="82"/>
        <v/>
      </c>
      <c r="EA107" s="174" t="str">
        <f t="shared" si="82"/>
        <v/>
      </c>
      <c r="EB107" s="174" t="str">
        <f t="shared" si="82"/>
        <v/>
      </c>
      <c r="EC107" s="174" t="str">
        <f t="shared" si="82"/>
        <v/>
      </c>
      <c r="ED107" s="174" t="str">
        <f t="shared" si="82"/>
        <v/>
      </c>
      <c r="EE107" s="174" t="str">
        <f t="shared" si="82"/>
        <v/>
      </c>
      <c r="EF107" s="174" t="str">
        <f t="shared" si="82"/>
        <v/>
      </c>
      <c r="EG107" s="174" t="str">
        <f t="shared" si="82"/>
        <v/>
      </c>
      <c r="EH107" s="174" t="str">
        <f t="shared" si="82"/>
        <v/>
      </c>
      <c r="EI107" s="174" t="str">
        <f t="shared" si="78"/>
        <v/>
      </c>
      <c r="EJ107" s="174" t="str">
        <f t="shared" si="78"/>
        <v/>
      </c>
      <c r="EK107" s="174" t="str">
        <f t="shared" si="78"/>
        <v/>
      </c>
      <c r="EL107" s="174" t="str">
        <f t="shared" si="78"/>
        <v/>
      </c>
      <c r="EM107" s="174" t="str">
        <f t="shared" si="80"/>
        <v/>
      </c>
      <c r="EN107" s="174">
        <f t="shared" si="80"/>
        <v>-0.43617313243861744</v>
      </c>
      <c r="EO107" s="174" t="str">
        <f t="shared" si="80"/>
        <v/>
      </c>
      <c r="EP107" s="174">
        <f t="shared" si="80"/>
        <v>92.249047822440147</v>
      </c>
      <c r="EQ107" s="174">
        <f t="shared" si="80"/>
        <v>151.35773750500738</v>
      </c>
      <c r="ER107" s="174">
        <f t="shared" si="80"/>
        <v>97.699782405491163</v>
      </c>
      <c r="ES107" s="174">
        <f t="shared" si="80"/>
        <v>1.1654492121928279</v>
      </c>
      <c r="ET107" s="174">
        <f t="shared" si="80"/>
        <v>0.57054003058770353</v>
      </c>
      <c r="EU107" s="174">
        <f t="shared" si="80"/>
        <v>0.74002727813775793</v>
      </c>
      <c r="EV107" s="174">
        <f t="shared" si="80"/>
        <v>0.56159346692098921</v>
      </c>
      <c r="EW107" s="174">
        <f t="shared" si="80"/>
        <v>0.45714429328582828</v>
      </c>
      <c r="EX107" s="174">
        <f t="shared" si="76"/>
        <v>0.69635735779944241</v>
      </c>
      <c r="EY107" s="174">
        <f t="shared" si="76"/>
        <v>0.464200474103593</v>
      </c>
      <c r="EZ107" s="174">
        <f t="shared" si="76"/>
        <v>0.33934865865999098</v>
      </c>
      <c r="FA107" s="174">
        <f t="shared" si="76"/>
        <v>0.3722015019868139</v>
      </c>
      <c r="FB107" s="174">
        <f t="shared" si="81"/>
        <v>0.21799762917634102</v>
      </c>
      <c r="FC107" s="174">
        <f t="shared" si="81"/>
        <v>0.12002144044459362</v>
      </c>
      <c r="FD107" s="174">
        <f t="shared" si="81"/>
        <v>0.39809531522049313</v>
      </c>
      <c r="FE107" s="174">
        <f t="shared" si="81"/>
        <v>0.39979318233670202</v>
      </c>
      <c r="FF107" s="174">
        <f t="shared" si="81"/>
        <v>0.67975963979000986</v>
      </c>
      <c r="FG107" s="174">
        <f t="shared" si="74"/>
        <v>0.72420150514440973</v>
      </c>
      <c r="FH107" s="174">
        <f t="shared" si="83"/>
        <v>0.20645455899279552</v>
      </c>
      <c r="FI107" s="174">
        <f t="shared" si="84"/>
        <v>0.98601222173379477</v>
      </c>
      <c r="FJ107" s="174">
        <f t="shared" si="85"/>
        <v>0.86868045139229166</v>
      </c>
      <c r="FK107" s="174">
        <f t="shared" si="85"/>
        <v>1.0661695988652817</v>
      </c>
    </row>
    <row r="108" spans="2:167" ht="16">
      <c r="B108" s="140" t="s">
        <v>904</v>
      </c>
      <c r="C108" s="127" t="s">
        <v>905</v>
      </c>
      <c r="D108" s="128"/>
      <c r="E108" s="128"/>
      <c r="F108" s="128"/>
      <c r="G108" s="128"/>
      <c r="H108" s="128"/>
      <c r="I108" s="128"/>
      <c r="J108" s="128"/>
      <c r="K108" s="128"/>
      <c r="L108" s="128"/>
      <c r="M108" s="128"/>
      <c r="N108" s="128"/>
      <c r="O108" s="128"/>
      <c r="P108" s="128"/>
      <c r="Q108" s="128"/>
      <c r="R108" s="128"/>
      <c r="S108" s="128"/>
      <c r="T108" s="128"/>
      <c r="U108" s="128"/>
      <c r="V108" s="128"/>
      <c r="W108" s="128"/>
      <c r="X108" s="128"/>
      <c r="Y108" s="128"/>
      <c r="Z108" s="128">
        <v>81.111000567000005</v>
      </c>
      <c r="AA108" s="128">
        <v>129.01079094299999</v>
      </c>
      <c r="AB108" s="128">
        <v>162.03548827500001</v>
      </c>
      <c r="AC108" s="128">
        <v>191.807973852</v>
      </c>
      <c r="AD108" s="128">
        <v>69.120278983999995</v>
      </c>
      <c r="AE108" s="128">
        <v>104.04604516000001</v>
      </c>
      <c r="AF108" s="128">
        <v>215.67398878700001</v>
      </c>
      <c r="AG108" s="128">
        <v>307.223642031</v>
      </c>
      <c r="AH108" s="128">
        <v>356.59836613599998</v>
      </c>
      <c r="AI108" s="128">
        <v>529.022153237</v>
      </c>
      <c r="AJ108" s="128">
        <v>726.48956863399997</v>
      </c>
      <c r="AK108" s="128">
        <v>903.45811712299997</v>
      </c>
      <c r="AL108" s="128">
        <v>834.41303718999995</v>
      </c>
      <c r="AM108" s="128">
        <v>1141.4274293210001</v>
      </c>
      <c r="AN108" s="128">
        <v>1480.750211197</v>
      </c>
      <c r="AO108" s="128">
        <v>1585.372350657</v>
      </c>
      <c r="AP108" s="173">
        <v>1349.0687008939999</v>
      </c>
      <c r="AQ108" s="173">
        <v>1668.1484829630001</v>
      </c>
      <c r="AR108" s="173">
        <v>1903.227959926</v>
      </c>
      <c r="AS108" s="288">
        <v>2173.0648794140002</v>
      </c>
      <c r="AT108" s="288">
        <v>1387.3151475750001</v>
      </c>
      <c r="AU108" s="288">
        <v>1855.1680319479999</v>
      </c>
      <c r="AV108" s="288">
        <v>2219.2592037170002</v>
      </c>
      <c r="AW108" s="158">
        <v>1851.9669586550001</v>
      </c>
      <c r="AX108" s="158">
        <v>1901.979448525</v>
      </c>
      <c r="AY108" s="158">
        <v>2595.4933792890001</v>
      </c>
      <c r="AZ108" s="158">
        <v>3040.9496187780001</v>
      </c>
      <c r="BA108" s="158">
        <v>3191.0053945139998</v>
      </c>
      <c r="BB108" s="41">
        <v>2547.64232279</v>
      </c>
      <c r="BC108" s="41">
        <v>3241.0145522590001</v>
      </c>
      <c r="BD108" s="158">
        <v>3676.52935209</v>
      </c>
      <c r="BE108" s="158">
        <v>3885.3563812329999</v>
      </c>
      <c r="BF108" s="288">
        <v>2959.9047998729998</v>
      </c>
      <c r="BG108" s="289">
        <v>2906.591839619</v>
      </c>
      <c r="BH108" s="289">
        <v>2829.6399393269999</v>
      </c>
      <c r="BI108" s="289">
        <v>2180.365916409</v>
      </c>
      <c r="BJ108" s="289">
        <v>2829.6399393269999</v>
      </c>
      <c r="BK108" s="289">
        <v>1325.3327967610001</v>
      </c>
      <c r="BL108" s="289">
        <v>1534.556589694</v>
      </c>
      <c r="BM108" s="289">
        <v>1372.8082658139999</v>
      </c>
      <c r="BN108" s="289">
        <v>1492.86</v>
      </c>
      <c r="BO108" s="289">
        <v>2285.3142658040001</v>
      </c>
      <c r="BP108" s="289">
        <v>2768.81</v>
      </c>
      <c r="BQ108" s="289">
        <v>3356.9402247759999</v>
      </c>
      <c r="BR108" s="289">
        <v>3376.9949116349999</v>
      </c>
      <c r="BS108" s="289">
        <v>4373.1975564189997</v>
      </c>
      <c r="BT108" s="289">
        <v>4670.78842437</v>
      </c>
      <c r="BU108" s="289"/>
      <c r="BV108" s="142"/>
      <c r="BW108" s="142"/>
      <c r="BX108" s="142"/>
      <c r="BY108" s="142"/>
      <c r="BZ108" s="142"/>
      <c r="CA108" s="142"/>
      <c r="CB108" s="142"/>
      <c r="CC108" s="142"/>
      <c r="CD108" s="142"/>
      <c r="CE108" s="142"/>
      <c r="CF108" s="142"/>
      <c r="CG108" s="142"/>
      <c r="CH108" s="142"/>
      <c r="CI108" s="142"/>
      <c r="CJ108" s="142"/>
      <c r="CK108" s="142"/>
      <c r="CL108" s="142"/>
      <c r="CM108" s="142"/>
      <c r="CN108" s="142"/>
      <c r="CO108" s="142"/>
      <c r="CP108" s="142"/>
      <c r="CQ108" s="142"/>
      <c r="CR108" s="142"/>
      <c r="CS108" s="142"/>
      <c r="CT108" s="142"/>
      <c r="CU108" s="142"/>
      <c r="CV108" s="142"/>
      <c r="CW108" s="142"/>
      <c r="CX108" s="142"/>
      <c r="CY108" s="142"/>
      <c r="CZ108" s="142"/>
      <c r="DA108" s="142"/>
      <c r="DB108" s="142"/>
      <c r="DC108" s="142"/>
      <c r="DD108" s="142"/>
      <c r="DE108" s="142"/>
      <c r="DF108" s="142"/>
      <c r="DG108" s="142"/>
      <c r="DH108" s="142"/>
      <c r="DI108" s="142"/>
      <c r="DJ108" s="142"/>
      <c r="DK108" s="142"/>
      <c r="DL108" s="142"/>
      <c r="DM108" s="142"/>
      <c r="DN108" s="142"/>
      <c r="DO108" s="142"/>
      <c r="DP108" s="142"/>
      <c r="DQ108" s="142"/>
      <c r="DR108" s="142"/>
      <c r="DS108" s="133"/>
      <c r="DT108" s="174" t="str">
        <f t="shared" si="82"/>
        <v/>
      </c>
      <c r="DU108" s="174" t="str">
        <f t="shared" si="82"/>
        <v/>
      </c>
      <c r="DV108" s="174" t="str">
        <f t="shared" si="82"/>
        <v/>
      </c>
      <c r="DW108" s="174" t="str">
        <f t="shared" si="82"/>
        <v/>
      </c>
      <c r="DX108" s="174" t="str">
        <f t="shared" si="82"/>
        <v/>
      </c>
      <c r="DY108" s="174" t="str">
        <f t="shared" si="82"/>
        <v/>
      </c>
      <c r="DZ108" s="174" t="str">
        <f t="shared" si="82"/>
        <v/>
      </c>
      <c r="EA108" s="174" t="str">
        <f t="shared" si="82"/>
        <v/>
      </c>
      <c r="EB108" s="174" t="str">
        <f t="shared" si="82"/>
        <v/>
      </c>
      <c r="EC108" s="174" t="str">
        <f t="shared" si="82"/>
        <v/>
      </c>
      <c r="ED108" s="174" t="str">
        <f t="shared" si="82"/>
        <v/>
      </c>
      <c r="EE108" s="174" t="str">
        <f t="shared" si="82"/>
        <v/>
      </c>
      <c r="EF108" s="174" t="str">
        <f t="shared" si="82"/>
        <v/>
      </c>
      <c r="EG108" s="174" t="str">
        <f t="shared" si="82"/>
        <v/>
      </c>
      <c r="EH108" s="174" t="str">
        <f t="shared" si="82"/>
        <v/>
      </c>
      <c r="EI108" s="174" t="str">
        <f t="shared" si="78"/>
        <v/>
      </c>
      <c r="EJ108" s="174" t="str">
        <f t="shared" si="78"/>
        <v/>
      </c>
      <c r="EK108" s="174" t="str">
        <f t="shared" si="78"/>
        <v/>
      </c>
      <c r="EL108" s="174" t="str">
        <f t="shared" si="78"/>
        <v/>
      </c>
      <c r="EM108" s="174" t="str">
        <f t="shared" si="80"/>
        <v/>
      </c>
      <c r="EN108" s="174">
        <f t="shared" si="80"/>
        <v>-0.14783101551182731</v>
      </c>
      <c r="EO108" s="174">
        <f t="shared" si="80"/>
        <v>-0.1935089739433502</v>
      </c>
      <c r="EP108" s="174">
        <f t="shared" si="80"/>
        <v>0.33102933859135186</v>
      </c>
      <c r="EQ108" s="174">
        <f t="shared" si="80"/>
        <v>0.60172507879185089</v>
      </c>
      <c r="ER108" s="174">
        <f t="shared" si="80"/>
        <v>4.159099057145669</v>
      </c>
      <c r="ES108" s="174">
        <f t="shared" si="80"/>
        <v>4.084500351968976</v>
      </c>
      <c r="ET108" s="174">
        <f t="shared" si="80"/>
        <v>2.3684616894227437</v>
      </c>
      <c r="EU108" s="174">
        <f t="shared" si="80"/>
        <v>1.9407180747887809</v>
      </c>
      <c r="EV108" s="174">
        <f t="shared" si="80"/>
        <v>1.3399238931783843</v>
      </c>
      <c r="EW108" s="174">
        <f t="shared" si="80"/>
        <v>1.1576174501139365</v>
      </c>
      <c r="EX108" s="174">
        <f t="shared" si="76"/>
        <v>1.0382263904782794</v>
      </c>
      <c r="EY108" s="174">
        <f t="shared" si="76"/>
        <v>0.75478234199224281</v>
      </c>
      <c r="EZ108" s="174">
        <f t="shared" si="76"/>
        <v>0.61678765882802278</v>
      </c>
      <c r="FA108" s="174">
        <f t="shared" si="76"/>
        <v>0.46145820584960884</v>
      </c>
      <c r="FB108" s="174">
        <f t="shared" si="81"/>
        <v>0.28531331316676289</v>
      </c>
      <c r="FC108" s="174">
        <f t="shared" si="81"/>
        <v>0.37069684513764378</v>
      </c>
      <c r="FD108" s="174">
        <f t="shared" si="81"/>
        <v>2.8350258704879172E-2</v>
      </c>
      <c r="FE108" s="174">
        <f t="shared" si="81"/>
        <v>0.11211205171185479</v>
      </c>
      <c r="FF108" s="174">
        <f t="shared" si="81"/>
        <v>0.16605012665077057</v>
      </c>
      <c r="FG108" s="174">
        <f t="shared" si="74"/>
        <v>-0.14776269397239028</v>
      </c>
      <c r="FH108" s="174">
        <f t="shared" si="83"/>
        <v>0.37097865027252319</v>
      </c>
      <c r="FI108" s="174">
        <f t="shared" si="84"/>
        <v>0.399061074033078</v>
      </c>
      <c r="FJ108" s="174">
        <f t="shared" si="85"/>
        <v>0.37025436852295779</v>
      </c>
      <c r="FK108" s="174">
        <f t="shared" si="85"/>
        <v>0.72303581313971321</v>
      </c>
    </row>
    <row r="109" spans="2:167" ht="16">
      <c r="B109" s="140" t="s">
        <v>906</v>
      </c>
      <c r="C109" s="127" t="s">
        <v>907</v>
      </c>
      <c r="D109" s="128"/>
      <c r="E109" s="128"/>
      <c r="F109" s="128"/>
      <c r="G109" s="128"/>
      <c r="H109" s="128"/>
      <c r="I109" s="128"/>
      <c r="J109" s="128"/>
      <c r="K109" s="128"/>
      <c r="L109" s="128"/>
      <c r="M109" s="128"/>
      <c r="N109" s="128"/>
      <c r="O109" s="128"/>
      <c r="P109" s="128"/>
      <c r="Q109" s="128"/>
      <c r="R109" s="128"/>
      <c r="S109" s="128"/>
      <c r="T109" s="128"/>
      <c r="U109" s="128"/>
      <c r="V109" s="128"/>
      <c r="W109" s="128"/>
      <c r="X109" s="128"/>
      <c r="Y109" s="128"/>
      <c r="Z109" s="128">
        <v>0</v>
      </c>
      <c r="AA109" s="128">
        <v>0</v>
      </c>
      <c r="AB109" s="128">
        <v>0</v>
      </c>
      <c r="AC109" s="128">
        <v>0</v>
      </c>
      <c r="AD109" s="128">
        <v>0</v>
      </c>
      <c r="AE109" s="128">
        <v>0</v>
      </c>
      <c r="AF109" s="128">
        <v>0</v>
      </c>
      <c r="AG109" s="128">
        <v>0</v>
      </c>
      <c r="AH109" s="128">
        <v>0</v>
      </c>
      <c r="AI109" s="128">
        <v>0</v>
      </c>
      <c r="AJ109" s="128">
        <v>0</v>
      </c>
      <c r="AK109" s="128">
        <v>0</v>
      </c>
      <c r="AL109" s="128">
        <v>0</v>
      </c>
      <c r="AM109" s="128">
        <v>0</v>
      </c>
      <c r="AN109" s="128">
        <v>0</v>
      </c>
      <c r="AO109" s="128">
        <v>0</v>
      </c>
      <c r="AP109" s="173">
        <v>0</v>
      </c>
      <c r="AQ109" s="173">
        <v>0</v>
      </c>
      <c r="AR109" s="173">
        <v>0</v>
      </c>
      <c r="AS109" s="288">
        <v>0</v>
      </c>
      <c r="AT109" s="288">
        <v>0</v>
      </c>
      <c r="AU109" s="288">
        <v>0</v>
      </c>
      <c r="AV109" s="288">
        <v>0</v>
      </c>
      <c r="AW109" s="158">
        <v>0</v>
      </c>
      <c r="AX109" s="158">
        <v>0</v>
      </c>
      <c r="AY109" s="158">
        <v>0</v>
      </c>
      <c r="AZ109" s="158">
        <v>0</v>
      </c>
      <c r="BA109" s="158">
        <v>0</v>
      </c>
      <c r="BB109" s="41">
        <v>0</v>
      </c>
      <c r="BC109" s="41">
        <v>0</v>
      </c>
      <c r="BD109" s="158">
        <v>0</v>
      </c>
      <c r="BE109" s="158">
        <v>0</v>
      </c>
      <c r="BF109" s="288">
        <v>0</v>
      </c>
      <c r="BG109" s="289">
        <v>0</v>
      </c>
      <c r="BH109" s="289">
        <v>0</v>
      </c>
      <c r="BI109" s="289">
        <v>0</v>
      </c>
      <c r="BJ109" s="289">
        <v>0</v>
      </c>
      <c r="BK109" s="289">
        <v>0</v>
      </c>
      <c r="BL109" s="289">
        <v>0</v>
      </c>
      <c r="BM109" s="289">
        <v>0</v>
      </c>
      <c r="BN109" s="289">
        <v>0</v>
      </c>
      <c r="BO109" s="289">
        <v>0</v>
      </c>
      <c r="BP109" s="289">
        <v>0</v>
      </c>
      <c r="BQ109" s="289">
        <v>0</v>
      </c>
      <c r="BR109" s="289">
        <v>0</v>
      </c>
      <c r="BS109" s="289">
        <v>0</v>
      </c>
      <c r="BT109" s="289">
        <v>0</v>
      </c>
      <c r="BU109" s="289"/>
      <c r="BV109" s="142"/>
      <c r="BW109" s="142"/>
      <c r="BX109" s="142"/>
      <c r="BY109" s="142"/>
      <c r="BZ109" s="142"/>
      <c r="CA109" s="142"/>
      <c r="CB109" s="142"/>
      <c r="CC109" s="142"/>
      <c r="CD109" s="142"/>
      <c r="CE109" s="142"/>
      <c r="CF109" s="142"/>
      <c r="CG109" s="142"/>
      <c r="CH109" s="142"/>
      <c r="CI109" s="142"/>
      <c r="CJ109" s="142"/>
      <c r="CK109" s="142"/>
      <c r="CL109" s="142"/>
      <c r="CM109" s="142"/>
      <c r="CN109" s="142"/>
      <c r="CO109" s="142"/>
      <c r="CP109" s="142"/>
      <c r="CQ109" s="142"/>
      <c r="CR109" s="142"/>
      <c r="CS109" s="142"/>
      <c r="CT109" s="142"/>
      <c r="CU109" s="142"/>
      <c r="CV109" s="142"/>
      <c r="CW109" s="142"/>
      <c r="CX109" s="142"/>
      <c r="CY109" s="142"/>
      <c r="CZ109" s="142"/>
      <c r="DA109" s="142"/>
      <c r="DB109" s="142"/>
      <c r="DC109" s="142"/>
      <c r="DD109" s="142"/>
      <c r="DE109" s="142"/>
      <c r="DF109" s="142"/>
      <c r="DG109" s="142"/>
      <c r="DH109" s="142"/>
      <c r="DI109" s="142"/>
      <c r="DJ109" s="142"/>
      <c r="DK109" s="142"/>
      <c r="DL109" s="142"/>
      <c r="DM109" s="142"/>
      <c r="DN109" s="142"/>
      <c r="DO109" s="142"/>
      <c r="DP109" s="142"/>
      <c r="DQ109" s="142"/>
      <c r="DR109" s="142"/>
      <c r="DS109" s="133"/>
      <c r="DT109" s="174" t="str">
        <f t="shared" si="82"/>
        <v/>
      </c>
      <c r="DU109" s="174" t="str">
        <f t="shared" si="82"/>
        <v/>
      </c>
      <c r="DV109" s="174" t="str">
        <f t="shared" si="82"/>
        <v/>
      </c>
      <c r="DW109" s="174" t="str">
        <f t="shared" si="82"/>
        <v/>
      </c>
      <c r="DX109" s="174" t="str">
        <f t="shared" si="82"/>
        <v/>
      </c>
      <c r="DY109" s="174" t="str">
        <f t="shared" si="82"/>
        <v/>
      </c>
      <c r="DZ109" s="174" t="str">
        <f t="shared" si="82"/>
        <v/>
      </c>
      <c r="EA109" s="174" t="str">
        <f t="shared" si="82"/>
        <v/>
      </c>
      <c r="EB109" s="174" t="str">
        <f t="shared" si="82"/>
        <v/>
      </c>
      <c r="EC109" s="174" t="str">
        <f t="shared" si="82"/>
        <v/>
      </c>
      <c r="ED109" s="174" t="str">
        <f t="shared" si="82"/>
        <v/>
      </c>
      <c r="EE109" s="174" t="str">
        <f t="shared" si="82"/>
        <v/>
      </c>
      <c r="EF109" s="174" t="str">
        <f t="shared" si="82"/>
        <v/>
      </c>
      <c r="EG109" s="174" t="str">
        <f t="shared" si="82"/>
        <v/>
      </c>
      <c r="EH109" s="174" t="str">
        <f t="shared" si="82"/>
        <v/>
      </c>
      <c r="EI109" s="174" t="str">
        <f t="shared" si="78"/>
        <v/>
      </c>
      <c r="EJ109" s="174" t="str">
        <f t="shared" si="78"/>
        <v/>
      </c>
      <c r="EK109" s="174" t="str">
        <f t="shared" si="78"/>
        <v/>
      </c>
      <c r="EL109" s="174" t="str">
        <f t="shared" si="78"/>
        <v/>
      </c>
      <c r="EM109" s="174" t="str">
        <f t="shared" si="80"/>
        <v/>
      </c>
      <c r="EN109" s="174" t="str">
        <f t="shared" si="80"/>
        <v/>
      </c>
      <c r="EO109" s="174" t="str">
        <f t="shared" ref="EO109:FA135" si="86">IFERROR(AE109/AA109-1,"")</f>
        <v/>
      </c>
      <c r="EP109" s="174" t="str">
        <f t="shared" si="86"/>
        <v/>
      </c>
      <c r="EQ109" s="174" t="str">
        <f t="shared" si="86"/>
        <v/>
      </c>
      <c r="ER109" s="174" t="str">
        <f t="shared" si="86"/>
        <v/>
      </c>
      <c r="ES109" s="174" t="str">
        <f t="shared" si="86"/>
        <v/>
      </c>
      <c r="ET109" s="174" t="str">
        <f t="shared" si="86"/>
        <v/>
      </c>
      <c r="EU109" s="174" t="str">
        <f t="shared" si="86"/>
        <v/>
      </c>
      <c r="EV109" s="174" t="str">
        <f t="shared" si="86"/>
        <v/>
      </c>
      <c r="EW109" s="174" t="str">
        <f t="shared" si="86"/>
        <v/>
      </c>
      <c r="EX109" s="174" t="str">
        <f t="shared" si="76"/>
        <v/>
      </c>
      <c r="EY109" s="174" t="str">
        <f t="shared" si="76"/>
        <v/>
      </c>
      <c r="EZ109" s="174" t="str">
        <f t="shared" si="76"/>
        <v/>
      </c>
      <c r="FA109" s="174" t="str">
        <f t="shared" si="76"/>
        <v/>
      </c>
      <c r="FB109" s="174" t="str">
        <f t="shared" si="81"/>
        <v/>
      </c>
      <c r="FC109" s="174" t="str">
        <f t="shared" si="81"/>
        <v/>
      </c>
      <c r="FD109" s="174" t="str">
        <f t="shared" si="81"/>
        <v/>
      </c>
      <c r="FE109" s="174" t="str">
        <f t="shared" si="81"/>
        <v/>
      </c>
      <c r="FF109" s="174" t="str">
        <f t="shared" si="81"/>
        <v/>
      </c>
      <c r="FG109" s="174" t="str">
        <f t="shared" si="74"/>
        <v/>
      </c>
      <c r="FH109" s="174" t="str">
        <f t="shared" si="83"/>
        <v/>
      </c>
      <c r="FI109" s="174" t="str">
        <f t="shared" si="84"/>
        <v/>
      </c>
      <c r="FJ109" s="174" t="str">
        <f t="shared" si="85"/>
        <v/>
      </c>
      <c r="FK109" s="174" t="str">
        <f t="shared" si="85"/>
        <v/>
      </c>
    </row>
    <row r="110" spans="2:167" ht="16">
      <c r="B110" s="140" t="s">
        <v>908</v>
      </c>
      <c r="C110" s="127" t="s">
        <v>909</v>
      </c>
      <c r="D110" s="128"/>
      <c r="E110" s="128"/>
      <c r="F110" s="128"/>
      <c r="G110" s="128"/>
      <c r="H110" s="128"/>
      <c r="I110" s="128"/>
      <c r="J110" s="128"/>
      <c r="K110" s="128"/>
      <c r="L110" s="128"/>
      <c r="M110" s="128"/>
      <c r="N110" s="128"/>
      <c r="O110" s="128"/>
      <c r="P110" s="128"/>
      <c r="Q110" s="128"/>
      <c r="R110" s="128"/>
      <c r="S110" s="128"/>
      <c r="T110" s="128"/>
      <c r="U110" s="128"/>
      <c r="V110" s="128"/>
      <c r="W110" s="128"/>
      <c r="X110" s="128"/>
      <c r="Y110" s="128"/>
      <c r="Z110" s="128">
        <v>0</v>
      </c>
      <c r="AA110" s="128">
        <v>0</v>
      </c>
      <c r="AB110" s="128">
        <v>0</v>
      </c>
      <c r="AC110" s="128">
        <v>0</v>
      </c>
      <c r="AD110" s="128">
        <v>0</v>
      </c>
      <c r="AE110" s="128">
        <v>0</v>
      </c>
      <c r="AF110" s="128">
        <v>0</v>
      </c>
      <c r="AG110" s="128">
        <v>0</v>
      </c>
      <c r="AH110" s="128">
        <v>0</v>
      </c>
      <c r="AI110" s="128">
        <v>0</v>
      </c>
      <c r="AJ110" s="128">
        <v>0</v>
      </c>
      <c r="AK110" s="128">
        <v>0</v>
      </c>
      <c r="AL110" s="128">
        <v>0</v>
      </c>
      <c r="AM110" s="128">
        <v>0</v>
      </c>
      <c r="AN110" s="128">
        <v>0</v>
      </c>
      <c r="AO110" s="128">
        <v>0</v>
      </c>
      <c r="AP110" s="173">
        <v>0</v>
      </c>
      <c r="AQ110" s="173">
        <v>0</v>
      </c>
      <c r="AR110" s="173">
        <v>0</v>
      </c>
      <c r="AS110" s="288">
        <v>0</v>
      </c>
      <c r="AT110" s="288">
        <v>0</v>
      </c>
      <c r="AU110" s="288">
        <v>0</v>
      </c>
      <c r="AV110" s="288">
        <v>0</v>
      </c>
      <c r="AW110" s="158">
        <v>0</v>
      </c>
      <c r="AX110" s="158">
        <v>0</v>
      </c>
      <c r="AY110" s="158">
        <v>0</v>
      </c>
      <c r="AZ110" s="158">
        <v>0</v>
      </c>
      <c r="BA110" s="158">
        <v>0</v>
      </c>
      <c r="BB110" s="41">
        <v>0</v>
      </c>
      <c r="BC110" s="41">
        <v>0</v>
      </c>
      <c r="BD110" s="158">
        <v>0</v>
      </c>
      <c r="BE110" s="158">
        <v>0</v>
      </c>
      <c r="BF110" s="288">
        <v>0</v>
      </c>
      <c r="BG110" s="289">
        <v>0</v>
      </c>
      <c r="BH110" s="289">
        <v>0</v>
      </c>
      <c r="BI110" s="289">
        <v>0</v>
      </c>
      <c r="BJ110" s="289">
        <v>0</v>
      </c>
      <c r="BK110" s="289">
        <v>0</v>
      </c>
      <c r="BL110" s="289">
        <v>0</v>
      </c>
      <c r="BM110" s="289">
        <v>0</v>
      </c>
      <c r="BN110" s="289">
        <v>0</v>
      </c>
      <c r="BO110" s="289">
        <v>0</v>
      </c>
      <c r="BP110" s="289">
        <v>0</v>
      </c>
      <c r="BQ110" s="289">
        <v>0</v>
      </c>
      <c r="BR110" s="289">
        <v>0</v>
      </c>
      <c r="BS110" s="289">
        <v>0</v>
      </c>
      <c r="BT110" s="289">
        <v>0</v>
      </c>
      <c r="BU110" s="289"/>
      <c r="BV110" s="142"/>
      <c r="BW110" s="142"/>
      <c r="BX110" s="142"/>
      <c r="BY110" s="142"/>
      <c r="BZ110" s="142"/>
      <c r="CA110" s="142"/>
      <c r="CB110" s="142"/>
      <c r="CC110" s="142"/>
      <c r="CD110" s="142"/>
      <c r="CE110" s="142"/>
      <c r="CF110" s="142"/>
      <c r="CG110" s="142"/>
      <c r="CH110" s="142"/>
      <c r="CI110" s="142"/>
      <c r="CJ110" s="142"/>
      <c r="CK110" s="142"/>
      <c r="CL110" s="142"/>
      <c r="CM110" s="142"/>
      <c r="CN110" s="142"/>
      <c r="CO110" s="142"/>
      <c r="CP110" s="142"/>
      <c r="CQ110" s="142"/>
      <c r="CR110" s="142"/>
      <c r="CS110" s="142"/>
      <c r="CT110" s="142"/>
      <c r="CU110" s="142"/>
      <c r="CV110" s="142"/>
      <c r="CW110" s="142"/>
      <c r="CX110" s="142"/>
      <c r="CY110" s="142"/>
      <c r="CZ110" s="142"/>
      <c r="DA110" s="142"/>
      <c r="DB110" s="142"/>
      <c r="DC110" s="142"/>
      <c r="DD110" s="142"/>
      <c r="DE110" s="142"/>
      <c r="DF110" s="142"/>
      <c r="DG110" s="142"/>
      <c r="DH110" s="142"/>
      <c r="DI110" s="142"/>
      <c r="DJ110" s="142"/>
      <c r="DK110" s="142"/>
      <c r="DL110" s="142"/>
      <c r="DM110" s="142"/>
      <c r="DN110" s="142"/>
      <c r="DO110" s="142"/>
      <c r="DP110" s="142"/>
      <c r="DQ110" s="142"/>
      <c r="DR110" s="142"/>
      <c r="DS110" s="133"/>
      <c r="DT110" s="174" t="str">
        <f t="shared" si="82"/>
        <v/>
      </c>
      <c r="DU110" s="174" t="str">
        <f t="shared" si="82"/>
        <v/>
      </c>
      <c r="DV110" s="174" t="str">
        <f t="shared" si="82"/>
        <v/>
      </c>
      <c r="DW110" s="174" t="str">
        <f t="shared" si="82"/>
        <v/>
      </c>
      <c r="DX110" s="174" t="str">
        <f t="shared" si="82"/>
        <v/>
      </c>
      <c r="DY110" s="174" t="str">
        <f t="shared" si="82"/>
        <v/>
      </c>
      <c r="DZ110" s="174" t="str">
        <f t="shared" si="82"/>
        <v/>
      </c>
      <c r="EA110" s="174" t="str">
        <f t="shared" si="82"/>
        <v/>
      </c>
      <c r="EB110" s="174" t="str">
        <f t="shared" si="82"/>
        <v/>
      </c>
      <c r="EC110" s="174" t="str">
        <f t="shared" si="82"/>
        <v/>
      </c>
      <c r="ED110" s="174" t="str">
        <f t="shared" si="82"/>
        <v/>
      </c>
      <c r="EE110" s="174" t="str">
        <f t="shared" si="82"/>
        <v/>
      </c>
      <c r="EF110" s="174" t="str">
        <f t="shared" si="82"/>
        <v/>
      </c>
      <c r="EG110" s="174" t="str">
        <f t="shared" si="82"/>
        <v/>
      </c>
      <c r="EH110" s="174" t="str">
        <f t="shared" si="82"/>
        <v/>
      </c>
      <c r="EI110" s="174" t="str">
        <f t="shared" si="78"/>
        <v/>
      </c>
      <c r="EJ110" s="174" t="str">
        <f t="shared" si="78"/>
        <v/>
      </c>
      <c r="EK110" s="174" t="str">
        <f t="shared" si="78"/>
        <v/>
      </c>
      <c r="EL110" s="174" t="str">
        <f t="shared" si="78"/>
        <v/>
      </c>
      <c r="EM110" s="174" t="str">
        <f t="shared" si="78"/>
        <v/>
      </c>
      <c r="EN110" s="174" t="str">
        <f t="shared" si="78"/>
        <v/>
      </c>
      <c r="EO110" s="174" t="str">
        <f t="shared" si="86"/>
        <v/>
      </c>
      <c r="EP110" s="174" t="str">
        <f t="shared" si="86"/>
        <v/>
      </c>
      <c r="EQ110" s="174" t="str">
        <f t="shared" si="86"/>
        <v/>
      </c>
      <c r="ER110" s="174" t="str">
        <f t="shared" si="86"/>
        <v/>
      </c>
      <c r="ES110" s="174" t="str">
        <f t="shared" si="86"/>
        <v/>
      </c>
      <c r="ET110" s="174" t="str">
        <f t="shared" si="86"/>
        <v/>
      </c>
      <c r="EU110" s="174" t="str">
        <f t="shared" si="86"/>
        <v/>
      </c>
      <c r="EV110" s="174" t="str">
        <f t="shared" si="86"/>
        <v/>
      </c>
      <c r="EW110" s="174" t="str">
        <f t="shared" si="86"/>
        <v/>
      </c>
      <c r="EX110" s="174" t="str">
        <f t="shared" si="76"/>
        <v/>
      </c>
      <c r="EY110" s="174" t="str">
        <f t="shared" si="76"/>
        <v/>
      </c>
      <c r="EZ110" s="174" t="str">
        <f t="shared" si="76"/>
        <v/>
      </c>
      <c r="FA110" s="174" t="str">
        <f t="shared" si="76"/>
        <v/>
      </c>
      <c r="FB110" s="174" t="str">
        <f t="shared" si="81"/>
        <v/>
      </c>
      <c r="FC110" s="174" t="str">
        <f t="shared" si="81"/>
        <v/>
      </c>
      <c r="FD110" s="174" t="str">
        <f t="shared" si="81"/>
        <v/>
      </c>
      <c r="FE110" s="174" t="str">
        <f t="shared" si="81"/>
        <v/>
      </c>
      <c r="FF110" s="174" t="str">
        <f t="shared" si="81"/>
        <v/>
      </c>
      <c r="FG110" s="174" t="str">
        <f t="shared" si="74"/>
        <v/>
      </c>
      <c r="FH110" s="174" t="str">
        <f t="shared" si="83"/>
        <v/>
      </c>
      <c r="FI110" s="174" t="str">
        <f t="shared" si="84"/>
        <v/>
      </c>
      <c r="FJ110" s="174" t="str">
        <f t="shared" si="85"/>
        <v/>
      </c>
      <c r="FK110" s="174" t="str">
        <f t="shared" si="85"/>
        <v/>
      </c>
    </row>
    <row r="111" spans="2:167" ht="16">
      <c r="B111" s="140" t="s">
        <v>910</v>
      </c>
      <c r="C111" s="127" t="s">
        <v>911</v>
      </c>
      <c r="D111" s="128"/>
      <c r="E111" s="128"/>
      <c r="F111" s="128"/>
      <c r="G111" s="128"/>
      <c r="H111" s="128"/>
      <c r="I111" s="128"/>
      <c r="J111" s="128"/>
      <c r="K111" s="128"/>
      <c r="L111" s="128"/>
      <c r="M111" s="128"/>
      <c r="N111" s="128"/>
      <c r="O111" s="128"/>
      <c r="P111" s="128"/>
      <c r="Q111" s="128"/>
      <c r="R111" s="128"/>
      <c r="S111" s="128"/>
      <c r="T111" s="128"/>
      <c r="U111" s="128"/>
      <c r="V111" s="128"/>
      <c r="W111" s="128"/>
      <c r="X111" s="128"/>
      <c r="Y111" s="128"/>
      <c r="Z111" s="128">
        <v>0</v>
      </c>
      <c r="AA111" s="128">
        <v>0</v>
      </c>
      <c r="AB111" s="128">
        <v>0</v>
      </c>
      <c r="AC111" s="128">
        <v>0</v>
      </c>
      <c r="AD111" s="128">
        <v>0</v>
      </c>
      <c r="AE111" s="128">
        <v>0</v>
      </c>
      <c r="AF111" s="128">
        <v>0</v>
      </c>
      <c r="AG111" s="128">
        <v>0</v>
      </c>
      <c r="AH111" s="128">
        <v>0</v>
      </c>
      <c r="AI111" s="128">
        <v>0</v>
      </c>
      <c r="AJ111" s="128">
        <v>0</v>
      </c>
      <c r="AK111" s="128">
        <v>0</v>
      </c>
      <c r="AL111" s="128">
        <v>0</v>
      </c>
      <c r="AM111" s="128">
        <v>0</v>
      </c>
      <c r="AN111" s="128">
        <v>0</v>
      </c>
      <c r="AO111" s="128">
        <v>0</v>
      </c>
      <c r="AP111" s="173">
        <v>0</v>
      </c>
      <c r="AQ111" s="173">
        <v>0</v>
      </c>
      <c r="AR111" s="173">
        <v>0</v>
      </c>
      <c r="AS111" s="288">
        <v>0</v>
      </c>
      <c r="AT111" s="288">
        <v>1.7188861820000001</v>
      </c>
      <c r="AU111" s="288">
        <v>17.495520665000001</v>
      </c>
      <c r="AV111" s="288">
        <v>1.29888618</v>
      </c>
      <c r="AW111" s="158">
        <v>0.33358517900000001</v>
      </c>
      <c r="AX111" s="158">
        <v>0.988179378</v>
      </c>
      <c r="AY111" s="158">
        <v>0.30840847700000001</v>
      </c>
      <c r="AZ111" s="158">
        <v>0.30840847599999999</v>
      </c>
      <c r="BA111" s="158">
        <v>0.30840847500000002</v>
      </c>
      <c r="BB111" s="41">
        <v>0.33358517399999998</v>
      </c>
      <c r="BC111" s="41">
        <v>0.34176699199999999</v>
      </c>
      <c r="BD111" s="158">
        <v>0</v>
      </c>
      <c r="BE111" s="158">
        <v>7.7899999920000003</v>
      </c>
      <c r="BF111" s="288">
        <v>0.755300992</v>
      </c>
      <c r="BG111" s="289">
        <v>0</v>
      </c>
      <c r="BH111" s="289">
        <v>1.2177747919999999</v>
      </c>
      <c r="BI111" s="289">
        <v>0.38694369200000001</v>
      </c>
      <c r="BJ111" s="289">
        <v>1.2177747919999999</v>
      </c>
      <c r="BK111" s="289">
        <v>24.214399038</v>
      </c>
      <c r="BL111" s="289">
        <v>12.43516251</v>
      </c>
      <c r="BM111" s="289">
        <v>3.4057932310000001</v>
      </c>
      <c r="BN111" s="289">
        <v>0.12</v>
      </c>
      <c r="BO111" s="289">
        <v>35.617696895000002</v>
      </c>
      <c r="BP111" s="289">
        <v>13.73</v>
      </c>
      <c r="BQ111" s="289">
        <v>51.807612124999999</v>
      </c>
      <c r="BR111" s="289">
        <v>45.792857820000002</v>
      </c>
      <c r="BS111" s="289">
        <v>33.327027696999998</v>
      </c>
      <c r="BT111" s="289">
        <v>16.157007362000002</v>
      </c>
      <c r="BU111" s="289"/>
      <c r="BV111" s="142"/>
      <c r="BW111" s="142"/>
      <c r="BX111" s="142"/>
      <c r="BY111" s="142"/>
      <c r="BZ111" s="142"/>
      <c r="CA111" s="142"/>
      <c r="CB111" s="142"/>
      <c r="CC111" s="142"/>
      <c r="CD111" s="142"/>
      <c r="CE111" s="142"/>
      <c r="CF111" s="142"/>
      <c r="CG111" s="142"/>
      <c r="CH111" s="142"/>
      <c r="CI111" s="142"/>
      <c r="CJ111" s="142"/>
      <c r="CK111" s="142"/>
      <c r="CL111" s="142"/>
      <c r="CM111" s="142"/>
      <c r="CN111" s="142"/>
      <c r="CO111" s="142"/>
      <c r="CP111" s="142"/>
      <c r="CQ111" s="142"/>
      <c r="CR111" s="142"/>
      <c r="CS111" s="142"/>
      <c r="CT111" s="142"/>
      <c r="CU111" s="142"/>
      <c r="CV111" s="142"/>
      <c r="CW111" s="142"/>
      <c r="CX111" s="142"/>
      <c r="CY111" s="142"/>
      <c r="CZ111" s="142"/>
      <c r="DA111" s="142"/>
      <c r="DB111" s="142"/>
      <c r="DC111" s="142"/>
      <c r="DD111" s="142"/>
      <c r="DE111" s="142"/>
      <c r="DF111" s="142"/>
      <c r="DG111" s="142"/>
      <c r="DH111" s="142"/>
      <c r="DI111" s="142"/>
      <c r="DJ111" s="142"/>
      <c r="DK111" s="142"/>
      <c r="DL111" s="142"/>
      <c r="DM111" s="142"/>
      <c r="DN111" s="142"/>
      <c r="DO111" s="142"/>
      <c r="DP111" s="142"/>
      <c r="DQ111" s="142"/>
      <c r="DR111" s="142"/>
      <c r="DS111" s="133"/>
      <c r="DT111" s="174" t="str">
        <f t="shared" si="82"/>
        <v/>
      </c>
      <c r="DU111" s="174" t="str">
        <f t="shared" si="82"/>
        <v/>
      </c>
      <c r="DV111" s="174" t="str">
        <f t="shared" si="82"/>
        <v/>
      </c>
      <c r="DW111" s="174" t="str">
        <f t="shared" si="82"/>
        <v/>
      </c>
      <c r="DX111" s="174" t="str">
        <f t="shared" si="82"/>
        <v/>
      </c>
      <c r="DY111" s="174" t="str">
        <f t="shared" si="82"/>
        <v/>
      </c>
      <c r="DZ111" s="174" t="str">
        <f t="shared" si="82"/>
        <v/>
      </c>
      <c r="EA111" s="174" t="str">
        <f t="shared" si="82"/>
        <v/>
      </c>
      <c r="EB111" s="174" t="str">
        <f t="shared" si="82"/>
        <v/>
      </c>
      <c r="EC111" s="174" t="str">
        <f t="shared" si="82"/>
        <v/>
      </c>
      <c r="ED111" s="174" t="str">
        <f t="shared" si="82"/>
        <v/>
      </c>
      <c r="EE111" s="174" t="str">
        <f t="shared" si="82"/>
        <v/>
      </c>
      <c r="EF111" s="174" t="str">
        <f t="shared" si="82"/>
        <v/>
      </c>
      <c r="EG111" s="174" t="str">
        <f t="shared" si="82"/>
        <v/>
      </c>
      <c r="EH111" s="174" t="str">
        <f t="shared" si="82"/>
        <v/>
      </c>
      <c r="EI111" s="174" t="str">
        <f t="shared" si="78"/>
        <v/>
      </c>
      <c r="EJ111" s="174" t="str">
        <f t="shared" si="78"/>
        <v/>
      </c>
      <c r="EK111" s="174" t="str">
        <f t="shared" si="78"/>
        <v/>
      </c>
      <c r="EL111" s="174" t="str">
        <f t="shared" si="78"/>
        <v/>
      </c>
      <c r="EM111" s="174" t="str">
        <f t="shared" si="78"/>
        <v/>
      </c>
      <c r="EN111" s="174" t="str">
        <f t="shared" si="78"/>
        <v/>
      </c>
      <c r="EO111" s="174" t="str">
        <f t="shared" si="86"/>
        <v/>
      </c>
      <c r="EP111" s="174" t="str">
        <f t="shared" si="86"/>
        <v/>
      </c>
      <c r="EQ111" s="174" t="str">
        <f t="shared" si="86"/>
        <v/>
      </c>
      <c r="ER111" s="174" t="str">
        <f t="shared" si="86"/>
        <v/>
      </c>
      <c r="ES111" s="174" t="str">
        <f t="shared" si="86"/>
        <v/>
      </c>
      <c r="ET111" s="174" t="str">
        <f t="shared" si="86"/>
        <v/>
      </c>
      <c r="EU111" s="174" t="str">
        <f t="shared" si="86"/>
        <v/>
      </c>
      <c r="EV111" s="174" t="str">
        <f t="shared" si="86"/>
        <v/>
      </c>
      <c r="EW111" s="174" t="str">
        <f t="shared" si="86"/>
        <v/>
      </c>
      <c r="EX111" s="174" t="str">
        <f t="shared" si="76"/>
        <v/>
      </c>
      <c r="EY111" s="174" t="str">
        <f t="shared" si="76"/>
        <v/>
      </c>
      <c r="EZ111" s="174" t="str">
        <f t="shared" si="76"/>
        <v/>
      </c>
      <c r="FA111" s="174" t="str">
        <f t="shared" si="76"/>
        <v/>
      </c>
      <c r="FB111" s="174" t="str">
        <f t="shared" si="81"/>
        <v/>
      </c>
      <c r="FC111" s="174" t="str">
        <f t="shared" si="81"/>
        <v/>
      </c>
      <c r="FD111" s="174" t="str">
        <f t="shared" si="81"/>
        <v/>
      </c>
      <c r="FE111" s="174" t="str">
        <f t="shared" si="81"/>
        <v/>
      </c>
      <c r="FF111" s="174" t="str">
        <f t="shared" si="81"/>
        <v/>
      </c>
      <c r="FG111" s="174" t="str">
        <f t="shared" si="74"/>
        <v/>
      </c>
      <c r="FH111" s="174">
        <f t="shared" si="83"/>
        <v>-0.42510482174555064</v>
      </c>
      <c r="FI111" s="174">
        <f t="shared" si="84"/>
        <v>-0.98237214639647874</v>
      </c>
      <c r="FJ111" s="174">
        <f t="shared" si="85"/>
        <v>-0.76255927520916422</v>
      </c>
      <c r="FK111" s="174">
        <f t="shared" si="85"/>
        <v>-7.5473089288538131E-2</v>
      </c>
    </row>
    <row r="112" spans="2:167" ht="16">
      <c r="B112" s="140" t="s">
        <v>912</v>
      </c>
      <c r="C112" s="127" t="s">
        <v>913</v>
      </c>
      <c r="D112" s="128"/>
      <c r="E112" s="128"/>
      <c r="F112" s="128"/>
      <c r="G112" s="128"/>
      <c r="H112" s="128"/>
      <c r="I112" s="128"/>
      <c r="J112" s="128"/>
      <c r="K112" s="128"/>
      <c r="L112" s="128"/>
      <c r="M112" s="128"/>
      <c r="N112" s="128"/>
      <c r="O112" s="128"/>
      <c r="P112" s="128"/>
      <c r="Q112" s="128"/>
      <c r="R112" s="128"/>
      <c r="S112" s="128"/>
      <c r="T112" s="128"/>
      <c r="U112" s="128"/>
      <c r="V112" s="128"/>
      <c r="W112" s="128"/>
      <c r="X112" s="128"/>
      <c r="Y112" s="128"/>
      <c r="Z112" s="128">
        <v>16.969736394000002</v>
      </c>
      <c r="AA112" s="128">
        <v>19.567792098000002</v>
      </c>
      <c r="AB112" s="128">
        <v>35.941634903999997</v>
      </c>
      <c r="AC112" s="128">
        <v>48.482430641999997</v>
      </c>
      <c r="AD112" s="128">
        <v>65.41312207</v>
      </c>
      <c r="AE112" s="128">
        <v>71.702484853000001</v>
      </c>
      <c r="AF112" s="128">
        <v>138.38729237499999</v>
      </c>
      <c r="AG112" s="128">
        <v>175.36224076400001</v>
      </c>
      <c r="AH112" s="128">
        <v>327.18587297099998</v>
      </c>
      <c r="AI112" s="128">
        <v>309.39912984900002</v>
      </c>
      <c r="AJ112" s="128">
        <v>249.68509367799999</v>
      </c>
      <c r="AK112" s="128">
        <v>322.06474207399998</v>
      </c>
      <c r="AL112" s="128">
        <v>256.74189813499999</v>
      </c>
      <c r="AM112" s="128">
        <v>313.58897166700001</v>
      </c>
      <c r="AN112" s="128">
        <v>533.408596805</v>
      </c>
      <c r="AO112" s="128">
        <v>807.13959907900005</v>
      </c>
      <c r="AP112" s="173">
        <v>692.48858761600002</v>
      </c>
      <c r="AQ112" s="173">
        <v>696.70102860400004</v>
      </c>
      <c r="AR112" s="173">
        <v>981.55196960199999</v>
      </c>
      <c r="AS112" s="288">
        <v>1217.5323084189999</v>
      </c>
      <c r="AT112" s="288">
        <v>989.44715805199996</v>
      </c>
      <c r="AU112" s="288">
        <v>1196.3277179869999</v>
      </c>
      <c r="AV112" s="288">
        <v>1107.432989252</v>
      </c>
      <c r="AW112" s="158">
        <v>717.88473075599995</v>
      </c>
      <c r="AX112" s="158">
        <v>978.938992719</v>
      </c>
      <c r="AY112" s="158">
        <v>684.24541949399998</v>
      </c>
      <c r="AZ112" s="158">
        <v>1025.5468142120001</v>
      </c>
      <c r="BA112" s="158">
        <v>723.47933603399997</v>
      </c>
      <c r="BB112" s="41">
        <v>973.23915041400005</v>
      </c>
      <c r="BC112" s="41">
        <v>814.38098772299998</v>
      </c>
      <c r="BD112" s="158">
        <v>686.16946165599995</v>
      </c>
      <c r="BE112" s="158">
        <v>476.31993660199998</v>
      </c>
      <c r="BF112" s="288">
        <v>1079.904333622</v>
      </c>
      <c r="BG112" s="289">
        <v>575.84297623099997</v>
      </c>
      <c r="BH112" s="289">
        <v>815.86411243299995</v>
      </c>
      <c r="BI112" s="289">
        <v>2971.9074799670002</v>
      </c>
      <c r="BJ112" s="289">
        <v>815.86411243299995</v>
      </c>
      <c r="BK112" s="289">
        <v>1731.015049763</v>
      </c>
      <c r="BL112" s="289">
        <v>893.28166587099997</v>
      </c>
      <c r="BM112" s="289">
        <v>1316.566967015</v>
      </c>
      <c r="BN112" s="289">
        <v>2001.7</v>
      </c>
      <c r="BO112" s="289">
        <v>2943.77723818</v>
      </c>
      <c r="BP112" s="289">
        <v>1300.98</v>
      </c>
      <c r="BQ112" s="289">
        <v>905.19222410199995</v>
      </c>
      <c r="BR112" s="289">
        <v>1034.53198133</v>
      </c>
      <c r="BS112" s="289">
        <v>2838.4676126710001</v>
      </c>
      <c r="BT112" s="289">
        <v>1246.432324264</v>
      </c>
      <c r="BU112" s="289"/>
      <c r="BV112" s="142"/>
      <c r="BW112" s="142"/>
      <c r="BX112" s="142"/>
      <c r="BY112" s="142"/>
      <c r="BZ112" s="142"/>
      <c r="CA112" s="142"/>
      <c r="CB112" s="142"/>
      <c r="CC112" s="142"/>
      <c r="CD112" s="142"/>
      <c r="CE112" s="142"/>
      <c r="CF112" s="142"/>
      <c r="CG112" s="142"/>
      <c r="CH112" s="142"/>
      <c r="CI112" s="142"/>
      <c r="CJ112" s="142"/>
      <c r="CK112" s="142"/>
      <c r="CL112" s="142"/>
      <c r="CM112" s="142"/>
      <c r="CN112" s="142"/>
      <c r="CO112" s="142"/>
      <c r="CP112" s="142"/>
      <c r="CQ112" s="142"/>
      <c r="CR112" s="142"/>
      <c r="CS112" s="142"/>
      <c r="CT112" s="142"/>
      <c r="CU112" s="142"/>
      <c r="CV112" s="142"/>
      <c r="CW112" s="142"/>
      <c r="CX112" s="142"/>
      <c r="CY112" s="142"/>
      <c r="CZ112" s="142"/>
      <c r="DA112" s="142"/>
      <c r="DB112" s="142"/>
      <c r="DC112" s="142"/>
      <c r="DD112" s="142"/>
      <c r="DE112" s="142"/>
      <c r="DF112" s="142"/>
      <c r="DG112" s="142"/>
      <c r="DH112" s="142"/>
      <c r="DI112" s="142"/>
      <c r="DJ112" s="142"/>
      <c r="DK112" s="142"/>
      <c r="DL112" s="142"/>
      <c r="DM112" s="142"/>
      <c r="DN112" s="142"/>
      <c r="DO112" s="142"/>
      <c r="DP112" s="142"/>
      <c r="DQ112" s="142"/>
      <c r="DR112" s="142"/>
      <c r="DS112" s="133"/>
      <c r="DT112" s="174" t="str">
        <f t="shared" si="82"/>
        <v/>
      </c>
      <c r="DU112" s="174" t="str">
        <f t="shared" si="82"/>
        <v/>
      </c>
      <c r="DV112" s="174" t="str">
        <f t="shared" si="82"/>
        <v/>
      </c>
      <c r="DW112" s="174" t="str">
        <f t="shared" si="82"/>
        <v/>
      </c>
      <c r="DX112" s="174" t="str">
        <f t="shared" si="82"/>
        <v/>
      </c>
      <c r="DY112" s="174" t="str">
        <f t="shared" si="82"/>
        <v/>
      </c>
      <c r="DZ112" s="174" t="str">
        <f t="shared" si="82"/>
        <v/>
      </c>
      <c r="EA112" s="174" t="str">
        <f t="shared" si="82"/>
        <v/>
      </c>
      <c r="EB112" s="174" t="str">
        <f t="shared" si="82"/>
        <v/>
      </c>
      <c r="EC112" s="174" t="str">
        <f t="shared" si="82"/>
        <v/>
      </c>
      <c r="ED112" s="174" t="str">
        <f t="shared" si="82"/>
        <v/>
      </c>
      <c r="EE112" s="174" t="str">
        <f t="shared" si="82"/>
        <v/>
      </c>
      <c r="EF112" s="174" t="str">
        <f t="shared" si="82"/>
        <v/>
      </c>
      <c r="EG112" s="174" t="str">
        <f t="shared" si="82"/>
        <v/>
      </c>
      <c r="EH112" s="174" t="str">
        <f t="shared" si="82"/>
        <v/>
      </c>
      <c r="EI112" s="174" t="str">
        <f t="shared" si="78"/>
        <v/>
      </c>
      <c r="EJ112" s="174" t="str">
        <f t="shared" si="78"/>
        <v/>
      </c>
      <c r="EK112" s="174" t="str">
        <f t="shared" si="78"/>
        <v/>
      </c>
      <c r="EL112" s="174" t="str">
        <f t="shared" si="78"/>
        <v/>
      </c>
      <c r="EM112" s="174" t="str">
        <f t="shared" si="78"/>
        <v/>
      </c>
      <c r="EN112" s="174">
        <f t="shared" si="78"/>
        <v>2.854692880976522</v>
      </c>
      <c r="EO112" s="174">
        <f t="shared" si="86"/>
        <v>2.6643114610936927</v>
      </c>
      <c r="EP112" s="174">
        <f t="shared" si="86"/>
        <v>2.8503338188324499</v>
      </c>
      <c r="EQ112" s="174">
        <f t="shared" si="86"/>
        <v>2.6170265896711231</v>
      </c>
      <c r="ER112" s="174">
        <f t="shared" si="86"/>
        <v>4.0018385091124573</v>
      </c>
      <c r="ES112" s="174">
        <f t="shared" si="86"/>
        <v>3.3150405524063915</v>
      </c>
      <c r="ET112" s="174">
        <f t="shared" si="86"/>
        <v>0.8042487094942703</v>
      </c>
      <c r="EU112" s="174">
        <f t="shared" si="86"/>
        <v>0.83656835514225714</v>
      </c>
      <c r="EV112" s="174">
        <f t="shared" si="86"/>
        <v>-0.21530261742762891</v>
      </c>
      <c r="EW112" s="174">
        <f t="shared" si="86"/>
        <v>1.3541866843790995E-2</v>
      </c>
      <c r="EX112" s="174">
        <f t="shared" si="76"/>
        <v>1.1363253566626481</v>
      </c>
      <c r="EY112" s="174">
        <f t="shared" si="76"/>
        <v>1.5061408270935339</v>
      </c>
      <c r="EZ112" s="174">
        <f t="shared" si="76"/>
        <v>1.6972169040047986</v>
      </c>
      <c r="FA112" s="174">
        <f t="shared" si="76"/>
        <v>1.2217013082457076</v>
      </c>
      <c r="FB112" s="174">
        <f t="shared" si="81"/>
        <v>0.84015026282155936</v>
      </c>
      <c r="FC112" s="174">
        <f t="shared" si="81"/>
        <v>0.50845319670635081</v>
      </c>
      <c r="FD112" s="174">
        <f t="shared" si="81"/>
        <v>0.4288281074180964</v>
      </c>
      <c r="FE112" s="174">
        <f t="shared" si="81"/>
        <v>0.71713212535959125</v>
      </c>
      <c r="FF112" s="174">
        <f t="shared" si="81"/>
        <v>0.12824692277989347</v>
      </c>
      <c r="FG112" s="174">
        <f t="shared" si="74"/>
        <v>-0.41037726408411002</v>
      </c>
      <c r="FH112" s="174">
        <f t="shared" si="83"/>
        <v>-1.0620239037007484E-2</v>
      </c>
      <c r="FI112" s="174">
        <f t="shared" si="84"/>
        <v>-0.42804516755212774</v>
      </c>
      <c r="FJ112" s="174">
        <f t="shared" si="85"/>
        <v>-7.3942329544750884E-2</v>
      </c>
      <c r="FK112" s="174">
        <f t="shared" si="85"/>
        <v>7.7931804902833246E-3</v>
      </c>
    </row>
    <row r="113" spans="2:167" s="136" customFormat="1" ht="16">
      <c r="B113" s="154" t="s">
        <v>480</v>
      </c>
      <c r="C113" s="134" t="s">
        <v>914</v>
      </c>
      <c r="D113" s="135"/>
      <c r="E113" s="135"/>
      <c r="F113" s="135"/>
      <c r="G113" s="135"/>
      <c r="H113" s="135"/>
      <c r="I113" s="135"/>
      <c r="J113" s="135"/>
      <c r="K113" s="135"/>
      <c r="L113" s="135"/>
      <c r="M113" s="135"/>
      <c r="N113" s="135"/>
      <c r="O113" s="135"/>
      <c r="P113" s="135"/>
      <c r="Q113" s="135"/>
      <c r="R113" s="135"/>
      <c r="S113" s="135"/>
      <c r="T113" s="135"/>
      <c r="U113" s="135"/>
      <c r="V113" s="135"/>
      <c r="W113" s="135"/>
      <c r="X113" s="135"/>
      <c r="Y113" s="135"/>
      <c r="Z113" s="135">
        <v>448.65003943099998</v>
      </c>
      <c r="AA113" s="135">
        <v>241.91162474999999</v>
      </c>
      <c r="AB113" s="135">
        <v>414.32506400699998</v>
      </c>
      <c r="AC113" s="135">
        <v>618.69030527300004</v>
      </c>
      <c r="AD113" s="135">
        <v>780.88315687399995</v>
      </c>
      <c r="AE113" s="135">
        <v>667.29388802200003</v>
      </c>
      <c r="AF113" s="135">
        <v>883.31895582799996</v>
      </c>
      <c r="AG113" s="135">
        <v>2052.9459726810001</v>
      </c>
      <c r="AH113" s="135">
        <v>1998.828634726</v>
      </c>
      <c r="AI113" s="135">
        <v>1791.414070369</v>
      </c>
      <c r="AJ113" s="135">
        <v>2794.1839176670001</v>
      </c>
      <c r="AK113" s="135">
        <v>4788.9917467570003</v>
      </c>
      <c r="AL113" s="135">
        <v>5308.039355078</v>
      </c>
      <c r="AM113" s="135">
        <v>3978.0569347549999</v>
      </c>
      <c r="AN113" s="135">
        <v>3900.7244250990002</v>
      </c>
      <c r="AO113" s="135">
        <v>5603.505990527</v>
      </c>
      <c r="AP113" s="170">
        <v>6893.5439998519996</v>
      </c>
      <c r="AQ113" s="170">
        <v>6743.5269897520002</v>
      </c>
      <c r="AR113" s="170">
        <v>7380.3906074739998</v>
      </c>
      <c r="AS113" s="155">
        <v>5796.6257802210002</v>
      </c>
      <c r="AT113" s="155">
        <v>8617.6429018769995</v>
      </c>
      <c r="AU113" s="155">
        <v>9090.4837574800003</v>
      </c>
      <c r="AV113" s="155">
        <v>8912.5370665240007</v>
      </c>
      <c r="AW113" s="155">
        <v>13031.015620192</v>
      </c>
      <c r="AX113" s="155">
        <v>10494.639443168</v>
      </c>
      <c r="AY113" s="155">
        <v>10589.788254076</v>
      </c>
      <c r="AZ113" s="155">
        <v>11880.596453867</v>
      </c>
      <c r="BA113" s="155">
        <v>15625.180321923999</v>
      </c>
      <c r="BB113" s="40">
        <v>17460.247836731</v>
      </c>
      <c r="BC113" s="40">
        <v>19966.291619420001</v>
      </c>
      <c r="BD113" s="155">
        <v>14165.406127888</v>
      </c>
      <c r="BE113" s="155">
        <v>21879.074278786</v>
      </c>
      <c r="BF113" s="155">
        <v>24485.558678312998</v>
      </c>
      <c r="BG113" s="287">
        <v>22345.204155750002</v>
      </c>
      <c r="BH113" s="287">
        <v>16857.380163190999</v>
      </c>
      <c r="BI113" s="287">
        <v>10688.138631456</v>
      </c>
      <c r="BJ113" s="287">
        <v>16857.380163190999</v>
      </c>
      <c r="BK113" s="287">
        <v>16337.283059017</v>
      </c>
      <c r="BL113" s="287">
        <v>17026.618308464</v>
      </c>
      <c r="BM113" s="287">
        <v>19128.541817780999</v>
      </c>
      <c r="BN113" s="287">
        <v>17573.259999999998</v>
      </c>
      <c r="BO113" s="287">
        <v>16896.538090308</v>
      </c>
      <c r="BP113" s="287">
        <v>17815.810000000001</v>
      </c>
      <c r="BQ113" s="287">
        <v>27300.246721779</v>
      </c>
      <c r="BR113" s="287">
        <v>26222.186029666998</v>
      </c>
      <c r="BS113" s="287">
        <v>31537.973205989001</v>
      </c>
      <c r="BT113" s="287">
        <v>28705.630115739001</v>
      </c>
      <c r="BU113" s="287"/>
      <c r="BV113" s="139"/>
      <c r="BW113" s="139"/>
      <c r="BX113" s="139"/>
      <c r="BY113" s="139"/>
      <c r="BZ113" s="139"/>
      <c r="CA113" s="139"/>
      <c r="CB113" s="139"/>
      <c r="CC113" s="139"/>
      <c r="CD113" s="139"/>
      <c r="CE113" s="139"/>
      <c r="CF113" s="139"/>
      <c r="CG113" s="139"/>
      <c r="CH113" s="139"/>
      <c r="CI113" s="139"/>
      <c r="CJ113" s="139"/>
      <c r="CK113" s="139"/>
      <c r="CL113" s="139"/>
      <c r="CM113" s="139"/>
      <c r="CN113" s="139"/>
      <c r="CO113" s="139"/>
      <c r="CP113" s="139"/>
      <c r="CQ113" s="139"/>
      <c r="CR113" s="139"/>
      <c r="CS113" s="139"/>
      <c r="CT113" s="139"/>
      <c r="CU113" s="139"/>
      <c r="CV113" s="139"/>
      <c r="CW113" s="139"/>
      <c r="CX113" s="139"/>
      <c r="CY113" s="139"/>
      <c r="CZ113" s="139"/>
      <c r="DA113" s="139"/>
      <c r="DB113" s="139"/>
      <c r="DC113" s="139"/>
      <c r="DD113" s="139"/>
      <c r="DE113" s="139"/>
      <c r="DF113" s="139"/>
      <c r="DG113" s="139"/>
      <c r="DH113" s="139"/>
      <c r="DI113" s="139"/>
      <c r="DJ113" s="139"/>
      <c r="DK113" s="139"/>
      <c r="DL113" s="139"/>
      <c r="DM113" s="139"/>
      <c r="DN113" s="139"/>
      <c r="DO113" s="139"/>
      <c r="DP113" s="139"/>
      <c r="DQ113" s="139"/>
      <c r="DR113" s="139"/>
      <c r="DS113" s="146"/>
      <c r="DT113" s="171" t="str">
        <f t="shared" si="82"/>
        <v/>
      </c>
      <c r="DU113" s="171" t="str">
        <f t="shared" si="82"/>
        <v/>
      </c>
      <c r="DV113" s="171" t="str">
        <f t="shared" si="82"/>
        <v/>
      </c>
      <c r="DW113" s="171" t="str">
        <f t="shared" si="82"/>
        <v/>
      </c>
      <c r="DX113" s="171" t="str">
        <f t="shared" si="82"/>
        <v/>
      </c>
      <c r="DY113" s="171" t="str">
        <f t="shared" si="82"/>
        <v/>
      </c>
      <c r="DZ113" s="171" t="str">
        <f t="shared" si="82"/>
        <v/>
      </c>
      <c r="EA113" s="171" t="str">
        <f t="shared" si="82"/>
        <v/>
      </c>
      <c r="EB113" s="171" t="str">
        <f t="shared" si="82"/>
        <v/>
      </c>
      <c r="EC113" s="171" t="str">
        <f t="shared" si="82"/>
        <v/>
      </c>
      <c r="ED113" s="171" t="str">
        <f t="shared" si="82"/>
        <v/>
      </c>
      <c r="EE113" s="171" t="str">
        <f t="shared" si="82"/>
        <v/>
      </c>
      <c r="EF113" s="171" t="str">
        <f t="shared" si="82"/>
        <v/>
      </c>
      <c r="EG113" s="171" t="str">
        <f t="shared" si="82"/>
        <v/>
      </c>
      <c r="EH113" s="171" t="str">
        <f t="shared" si="82"/>
        <v/>
      </c>
      <c r="EI113" s="171" t="str">
        <f t="shared" si="78"/>
        <v/>
      </c>
      <c r="EJ113" s="171" t="str">
        <f t="shared" si="78"/>
        <v/>
      </c>
      <c r="EK113" s="171" t="str">
        <f t="shared" si="78"/>
        <v/>
      </c>
      <c r="EL113" s="171" t="str">
        <f t="shared" si="78"/>
        <v/>
      </c>
      <c r="EM113" s="171" t="str">
        <f t="shared" si="78"/>
        <v/>
      </c>
      <c r="EN113" s="171">
        <f t="shared" si="78"/>
        <v>0.74051730356327239</v>
      </c>
      <c r="EO113" s="171">
        <f t="shared" si="86"/>
        <v>1.7584200995367838</v>
      </c>
      <c r="EP113" s="171">
        <f t="shared" si="86"/>
        <v>1.1319467069775833</v>
      </c>
      <c r="EQ113" s="171">
        <f t="shared" si="86"/>
        <v>2.3182126100636538</v>
      </c>
      <c r="ER113" s="171">
        <f t="shared" si="86"/>
        <v>1.5597025843503021</v>
      </c>
      <c r="ES113" s="171">
        <f t="shared" si="86"/>
        <v>1.6845953522504598</v>
      </c>
      <c r="ET113" s="171">
        <f t="shared" si="86"/>
        <v>2.1632785634582081</v>
      </c>
      <c r="EU113" s="171">
        <f t="shared" si="86"/>
        <v>1.332741246231103</v>
      </c>
      <c r="EV113" s="171">
        <f t="shared" si="86"/>
        <v>1.655575001708752</v>
      </c>
      <c r="EW113" s="171">
        <f t="shared" si="86"/>
        <v>1.220623919703606</v>
      </c>
      <c r="EX113" s="171">
        <f t="shared" si="76"/>
        <v>0.39601563105262749</v>
      </c>
      <c r="EY113" s="171">
        <f t="shared" si="76"/>
        <v>0.17008052776903848</v>
      </c>
      <c r="EZ113" s="171">
        <f t="shared" si="76"/>
        <v>0.2986987357690194</v>
      </c>
      <c r="FA113" s="171">
        <f t="shared" si="76"/>
        <v>0.69518111488952816</v>
      </c>
      <c r="FB113" s="171">
        <f t="shared" si="81"/>
        <v>0.89205639854619712</v>
      </c>
      <c r="FC113" s="171">
        <f t="shared" si="81"/>
        <v>3.4464099801174264E-2</v>
      </c>
      <c r="FD113" s="171">
        <f t="shared" si="81"/>
        <v>0.25010341590073493</v>
      </c>
      <c r="FE113" s="171">
        <f t="shared" si="81"/>
        <v>0.34803104833637089</v>
      </c>
      <c r="FF113" s="171">
        <f t="shared" si="81"/>
        <v>0.20759693362278431</v>
      </c>
      <c r="FG113" s="171">
        <f t="shared" si="74"/>
        <v>1.2480346522723402</v>
      </c>
      <c r="FH113" s="171">
        <f t="shared" si="83"/>
        <v>0.21780857743387982</v>
      </c>
      <c r="FI113" s="171">
        <f t="shared" si="84"/>
        <v>0.16493121120889898</v>
      </c>
      <c r="FJ113" s="171">
        <f t="shared" si="85"/>
        <v>0.33302070613441814</v>
      </c>
      <c r="FK113" s="171">
        <f t="shared" si="85"/>
        <v>0.19907617160033575</v>
      </c>
    </row>
    <row r="114" spans="2:167" ht="16">
      <c r="B114" s="140" t="s">
        <v>915</v>
      </c>
      <c r="C114" s="127" t="s">
        <v>916</v>
      </c>
      <c r="D114" s="128"/>
      <c r="E114" s="128"/>
      <c r="F114" s="128"/>
      <c r="G114" s="128"/>
      <c r="H114" s="128"/>
      <c r="I114" s="128"/>
      <c r="J114" s="128"/>
      <c r="K114" s="128"/>
      <c r="L114" s="128"/>
      <c r="M114" s="128"/>
      <c r="N114" s="128"/>
      <c r="O114" s="128"/>
      <c r="P114" s="128"/>
      <c r="Q114" s="128"/>
      <c r="R114" s="128"/>
      <c r="S114" s="128"/>
      <c r="T114" s="128"/>
      <c r="U114" s="128"/>
      <c r="V114" s="128"/>
      <c r="W114" s="128"/>
      <c r="X114" s="128"/>
      <c r="Y114" s="128"/>
      <c r="Z114" s="128">
        <v>0</v>
      </c>
      <c r="AA114" s="128">
        <v>0</v>
      </c>
      <c r="AB114" s="128">
        <v>0</v>
      </c>
      <c r="AC114" s="128">
        <v>10.818779201</v>
      </c>
      <c r="AD114" s="128">
        <v>13.057412297999999</v>
      </c>
      <c r="AE114" s="128">
        <v>16.214874894000001</v>
      </c>
      <c r="AF114" s="128">
        <v>19.014842401999999</v>
      </c>
      <c r="AG114" s="128">
        <v>24.193166490999999</v>
      </c>
      <c r="AH114" s="128">
        <v>26.107068533</v>
      </c>
      <c r="AI114" s="128">
        <v>27.732691770999999</v>
      </c>
      <c r="AJ114" s="128">
        <v>29.736617455000001</v>
      </c>
      <c r="AK114" s="128">
        <v>36.722488028000001</v>
      </c>
      <c r="AL114" s="128">
        <v>37.033763497000002</v>
      </c>
      <c r="AM114" s="128">
        <v>39.253097758999999</v>
      </c>
      <c r="AN114" s="128">
        <v>40.624553814000002</v>
      </c>
      <c r="AO114" s="128">
        <v>45.824539729000001</v>
      </c>
      <c r="AP114" s="173">
        <v>49.500344435999999</v>
      </c>
      <c r="AQ114" s="173">
        <v>55.226435426999998</v>
      </c>
      <c r="AR114" s="173">
        <v>52.865985870000003</v>
      </c>
      <c r="AS114" s="288">
        <v>56.568632731999998</v>
      </c>
      <c r="AT114" s="288">
        <v>62.988356875999997</v>
      </c>
      <c r="AU114" s="288">
        <v>76.079216600999999</v>
      </c>
      <c r="AV114" s="288">
        <v>66.408327236999995</v>
      </c>
      <c r="AW114" s="158">
        <v>71.690522405999999</v>
      </c>
      <c r="AX114" s="158">
        <v>76.067196138</v>
      </c>
      <c r="AY114" s="158">
        <v>72.430400582999994</v>
      </c>
      <c r="AZ114" s="158">
        <v>66.832543977</v>
      </c>
      <c r="BA114" s="158">
        <v>76.377369404999996</v>
      </c>
      <c r="BB114" s="41">
        <v>74.001238451000006</v>
      </c>
      <c r="BC114" s="41">
        <v>82.642997128999994</v>
      </c>
      <c r="BD114" s="158">
        <v>68.702985119000004</v>
      </c>
      <c r="BE114" s="158">
        <v>77.277612477000005</v>
      </c>
      <c r="BF114" s="288">
        <v>80.599534008000006</v>
      </c>
      <c r="BG114" s="289">
        <v>82.815976234000004</v>
      </c>
      <c r="BH114" s="289">
        <v>82.472762970999995</v>
      </c>
      <c r="BI114" s="289">
        <v>76.261107985999999</v>
      </c>
      <c r="BJ114" s="289">
        <v>82.472762970999995</v>
      </c>
      <c r="BK114" s="289">
        <v>66.596965803000003</v>
      </c>
      <c r="BL114" s="289">
        <v>66.596965803000003</v>
      </c>
      <c r="BM114" s="289">
        <v>67.935804337999997</v>
      </c>
      <c r="BN114" s="289">
        <v>67.94</v>
      </c>
      <c r="BO114" s="289">
        <v>67.467323864999997</v>
      </c>
      <c r="BP114" s="289">
        <v>67.069999999999993</v>
      </c>
      <c r="BQ114" s="289">
        <v>70.239666911</v>
      </c>
      <c r="BR114" s="289">
        <v>70.239666911</v>
      </c>
      <c r="BS114" s="289">
        <v>78.125411095000004</v>
      </c>
      <c r="BT114" s="289">
        <v>78.125411095000004</v>
      </c>
      <c r="BU114" s="289"/>
      <c r="BV114" s="142"/>
      <c r="BW114" s="142"/>
      <c r="BX114" s="142"/>
      <c r="BY114" s="142"/>
      <c r="BZ114" s="142"/>
      <c r="CA114" s="142"/>
      <c r="CB114" s="142"/>
      <c r="CC114" s="142"/>
      <c r="CD114" s="142"/>
      <c r="CE114" s="142"/>
      <c r="CF114" s="142"/>
      <c r="CG114" s="142"/>
      <c r="CH114" s="142"/>
      <c r="CI114" s="142"/>
      <c r="CJ114" s="142"/>
      <c r="CK114" s="142"/>
      <c r="CL114" s="142"/>
      <c r="CM114" s="142"/>
      <c r="CN114" s="142"/>
      <c r="CO114" s="142"/>
      <c r="CP114" s="142"/>
      <c r="CQ114" s="142"/>
      <c r="CR114" s="142"/>
      <c r="CS114" s="142"/>
      <c r="CT114" s="142"/>
      <c r="CU114" s="142"/>
      <c r="CV114" s="142"/>
      <c r="CW114" s="142"/>
      <c r="CX114" s="142"/>
      <c r="CY114" s="142"/>
      <c r="CZ114" s="142"/>
      <c r="DA114" s="142"/>
      <c r="DB114" s="142"/>
      <c r="DC114" s="142"/>
      <c r="DD114" s="142"/>
      <c r="DE114" s="142"/>
      <c r="DF114" s="142"/>
      <c r="DG114" s="142"/>
      <c r="DH114" s="142"/>
      <c r="DI114" s="142"/>
      <c r="DJ114" s="142"/>
      <c r="DK114" s="142"/>
      <c r="DL114" s="142"/>
      <c r="DM114" s="142"/>
      <c r="DN114" s="142"/>
      <c r="DO114" s="142"/>
      <c r="DP114" s="142"/>
      <c r="DQ114" s="142"/>
      <c r="DR114" s="142"/>
      <c r="DS114" s="133"/>
      <c r="DT114" s="174" t="str">
        <f t="shared" si="82"/>
        <v/>
      </c>
      <c r="DU114" s="174" t="str">
        <f t="shared" si="82"/>
        <v/>
      </c>
      <c r="DV114" s="174" t="str">
        <f t="shared" si="82"/>
        <v/>
      </c>
      <c r="DW114" s="174" t="str">
        <f t="shared" si="82"/>
        <v/>
      </c>
      <c r="DX114" s="174" t="str">
        <f t="shared" si="82"/>
        <v/>
      </c>
      <c r="DY114" s="174" t="str">
        <f t="shared" si="82"/>
        <v/>
      </c>
      <c r="DZ114" s="174" t="str">
        <f t="shared" si="82"/>
        <v/>
      </c>
      <c r="EA114" s="174" t="str">
        <f t="shared" si="82"/>
        <v/>
      </c>
      <c r="EB114" s="174" t="str">
        <f t="shared" si="82"/>
        <v/>
      </c>
      <c r="EC114" s="174" t="str">
        <f t="shared" si="82"/>
        <v/>
      </c>
      <c r="ED114" s="174" t="str">
        <f t="shared" si="82"/>
        <v/>
      </c>
      <c r="EE114" s="174" t="str">
        <f t="shared" si="82"/>
        <v/>
      </c>
      <c r="EF114" s="174" t="str">
        <f t="shared" si="82"/>
        <v/>
      </c>
      <c r="EG114" s="174" t="str">
        <f t="shared" si="82"/>
        <v/>
      </c>
      <c r="EH114" s="174" t="str">
        <f t="shared" si="82"/>
        <v/>
      </c>
      <c r="EI114" s="174" t="str">
        <f t="shared" si="78"/>
        <v/>
      </c>
      <c r="EJ114" s="174" t="str">
        <f t="shared" si="78"/>
        <v/>
      </c>
      <c r="EK114" s="174" t="str">
        <f t="shared" si="78"/>
        <v/>
      </c>
      <c r="EL114" s="174" t="str">
        <f t="shared" si="78"/>
        <v/>
      </c>
      <c r="EM114" s="174" t="str">
        <f t="shared" si="78"/>
        <v/>
      </c>
      <c r="EN114" s="174" t="str">
        <f t="shared" si="78"/>
        <v/>
      </c>
      <c r="EO114" s="174" t="str">
        <f t="shared" si="86"/>
        <v/>
      </c>
      <c r="EP114" s="174" t="str">
        <f t="shared" si="86"/>
        <v/>
      </c>
      <c r="EQ114" s="174">
        <f t="shared" si="86"/>
        <v>1.236219636385941</v>
      </c>
      <c r="ER114" s="174">
        <f t="shared" si="86"/>
        <v>0.9994060030561196</v>
      </c>
      <c r="ES114" s="174">
        <f t="shared" si="86"/>
        <v>0.71032412844960913</v>
      </c>
      <c r="ET114" s="174">
        <f t="shared" si="86"/>
        <v>0.56386347182516094</v>
      </c>
      <c r="EU114" s="174">
        <f t="shared" si="86"/>
        <v>0.51788679839247087</v>
      </c>
      <c r="EV114" s="174">
        <f t="shared" si="86"/>
        <v>0.41853396715867897</v>
      </c>
      <c r="EW114" s="174">
        <f t="shared" si="86"/>
        <v>0.41540886413510192</v>
      </c>
      <c r="EX114" s="174">
        <f t="shared" si="76"/>
        <v>0.3661457586921768</v>
      </c>
      <c r="EY114" s="174">
        <f t="shared" si="76"/>
        <v>0.24786043075458042</v>
      </c>
      <c r="EZ114" s="174">
        <f t="shared" si="76"/>
        <v>0.33662743836472031</v>
      </c>
      <c r="FA114" s="174">
        <f t="shared" si="76"/>
        <v>0.40693190040874194</v>
      </c>
      <c r="FB114" s="174">
        <f t="shared" si="81"/>
        <v>0.3013308678305131</v>
      </c>
      <c r="FC114" s="174">
        <f t="shared" si="81"/>
        <v>0.23446155851295125</v>
      </c>
      <c r="FD114" s="174">
        <f t="shared" si="81"/>
        <v>0.27248320377727731</v>
      </c>
      <c r="FE114" s="174">
        <f t="shared" si="81"/>
        <v>0.37758694749661781</v>
      </c>
      <c r="FF114" s="174">
        <f t="shared" si="81"/>
        <v>0.25616360206165933</v>
      </c>
      <c r="FG114" s="174">
        <f t="shared" si="74"/>
        <v>0.26731934189821382</v>
      </c>
      <c r="FH114" s="174">
        <f t="shared" si="83"/>
        <v>0.20763899727924695</v>
      </c>
      <c r="FI114" s="174">
        <f t="shared" si="84"/>
        <v>-4.7960746456372494E-2</v>
      </c>
      <c r="FJ114" s="174">
        <f t="shared" si="85"/>
        <v>6.3880052043179258E-3</v>
      </c>
      <c r="FK114" s="174">
        <f t="shared" si="85"/>
        <v>6.5376103307732913E-2</v>
      </c>
    </row>
    <row r="115" spans="2:167" ht="16">
      <c r="B115" s="140" t="s">
        <v>483</v>
      </c>
      <c r="C115" s="127" t="s">
        <v>917</v>
      </c>
      <c r="D115" s="128"/>
      <c r="E115" s="128"/>
      <c r="F115" s="128"/>
      <c r="G115" s="128"/>
      <c r="H115" s="128"/>
      <c r="I115" s="128"/>
      <c r="J115" s="128"/>
      <c r="K115" s="128"/>
      <c r="L115" s="128"/>
      <c r="M115" s="128"/>
      <c r="N115" s="128"/>
      <c r="O115" s="128"/>
      <c r="P115" s="128"/>
      <c r="Q115" s="128"/>
      <c r="R115" s="128"/>
      <c r="S115" s="128"/>
      <c r="T115" s="128"/>
      <c r="U115" s="128"/>
      <c r="V115" s="128"/>
      <c r="W115" s="128"/>
      <c r="X115" s="128"/>
      <c r="Y115" s="128"/>
      <c r="Z115" s="128">
        <v>0</v>
      </c>
      <c r="AA115" s="128">
        <v>0</v>
      </c>
      <c r="AB115" s="128">
        <v>9.6288657480000008</v>
      </c>
      <c r="AC115" s="128">
        <v>4.95</v>
      </c>
      <c r="AD115" s="128">
        <v>4.95</v>
      </c>
      <c r="AE115" s="128">
        <v>4.95</v>
      </c>
      <c r="AF115" s="128">
        <v>4.95</v>
      </c>
      <c r="AG115" s="128">
        <v>4.95</v>
      </c>
      <c r="AH115" s="128">
        <v>4.95</v>
      </c>
      <c r="AI115" s="128">
        <v>4.95</v>
      </c>
      <c r="AJ115" s="128">
        <v>4.95</v>
      </c>
      <c r="AK115" s="128">
        <v>4.95</v>
      </c>
      <c r="AL115" s="128">
        <v>4.95</v>
      </c>
      <c r="AM115" s="128">
        <v>4.95</v>
      </c>
      <c r="AN115" s="128">
        <v>4.95</v>
      </c>
      <c r="AO115" s="128">
        <v>4.95</v>
      </c>
      <c r="AP115" s="173">
        <v>4.980117753</v>
      </c>
      <c r="AQ115" s="173">
        <v>4.980117753</v>
      </c>
      <c r="AR115" s="173">
        <v>4.980117753</v>
      </c>
      <c r="AS115" s="288">
        <v>4.980117753</v>
      </c>
      <c r="AT115" s="288">
        <v>3.0117753000000001E-2</v>
      </c>
      <c r="AU115" s="288">
        <v>3.0117753000000001E-2</v>
      </c>
      <c r="AV115" s="288">
        <v>3.0117753000000001E-2</v>
      </c>
      <c r="AW115" s="158">
        <v>3.0117753000000001E-2</v>
      </c>
      <c r="AX115" s="158">
        <v>3.0117753000000001E-2</v>
      </c>
      <c r="AY115" s="158">
        <v>3.0117753000000001E-2</v>
      </c>
      <c r="AZ115" s="158">
        <v>3.0117753000000001E-2</v>
      </c>
      <c r="BA115" s="158">
        <v>3.0117753000000001E-2</v>
      </c>
      <c r="BB115" s="41">
        <v>3.0117753000000001E-2</v>
      </c>
      <c r="BC115" s="41">
        <v>3.0117753000000001E-2</v>
      </c>
      <c r="BD115" s="158">
        <v>3.0117753000000001E-2</v>
      </c>
      <c r="BE115" s="158">
        <v>3.0117753000000001E-2</v>
      </c>
      <c r="BF115" s="288">
        <v>3.0117753000000001E-2</v>
      </c>
      <c r="BG115" s="289">
        <v>3.0117753000000001E-2</v>
      </c>
      <c r="BH115" s="289">
        <v>0</v>
      </c>
      <c r="BI115" s="289">
        <v>0</v>
      </c>
      <c r="BJ115" s="289">
        <v>0</v>
      </c>
      <c r="BK115" s="289">
        <v>0</v>
      </c>
      <c r="BL115" s="289">
        <v>0</v>
      </c>
      <c r="BM115" s="289">
        <v>0</v>
      </c>
      <c r="BN115" s="289">
        <v>0</v>
      </c>
      <c r="BO115" s="289">
        <v>0</v>
      </c>
      <c r="BP115" s="289">
        <v>0</v>
      </c>
      <c r="BQ115" s="289">
        <v>0</v>
      </c>
      <c r="BR115" s="289">
        <v>0</v>
      </c>
      <c r="BS115" s="289">
        <v>0</v>
      </c>
      <c r="BT115" s="289">
        <v>0</v>
      </c>
      <c r="BU115" s="289"/>
      <c r="BV115" s="142"/>
      <c r="BW115" s="142"/>
      <c r="BX115" s="142"/>
      <c r="BY115" s="142"/>
      <c r="BZ115" s="142"/>
      <c r="CA115" s="142"/>
      <c r="CB115" s="142"/>
      <c r="CC115" s="142"/>
      <c r="CD115" s="142"/>
      <c r="CE115" s="142"/>
      <c r="CF115" s="142"/>
      <c r="CG115" s="142"/>
      <c r="CH115" s="142"/>
      <c r="CI115" s="142"/>
      <c r="CJ115" s="142"/>
      <c r="CK115" s="142"/>
      <c r="CL115" s="142"/>
      <c r="CM115" s="142"/>
      <c r="CN115" s="142"/>
      <c r="CO115" s="142"/>
      <c r="CP115" s="142"/>
      <c r="CQ115" s="142"/>
      <c r="CR115" s="142"/>
      <c r="CS115" s="142"/>
      <c r="CT115" s="142"/>
      <c r="CU115" s="142"/>
      <c r="CV115" s="142"/>
      <c r="CW115" s="142"/>
      <c r="CX115" s="142"/>
      <c r="CY115" s="142"/>
      <c r="CZ115" s="142"/>
      <c r="DA115" s="142"/>
      <c r="DB115" s="142"/>
      <c r="DC115" s="142"/>
      <c r="DD115" s="142"/>
      <c r="DE115" s="142"/>
      <c r="DF115" s="142"/>
      <c r="DG115" s="142"/>
      <c r="DH115" s="142"/>
      <c r="DI115" s="142"/>
      <c r="DJ115" s="142"/>
      <c r="DK115" s="142"/>
      <c r="DL115" s="142"/>
      <c r="DM115" s="142"/>
      <c r="DN115" s="142"/>
      <c r="DO115" s="142"/>
      <c r="DP115" s="142"/>
      <c r="DQ115" s="142"/>
      <c r="DR115" s="142"/>
      <c r="DS115" s="133"/>
      <c r="DT115" s="174" t="str">
        <f t="shared" si="82"/>
        <v/>
      </c>
      <c r="DU115" s="174" t="str">
        <f t="shared" si="82"/>
        <v/>
      </c>
      <c r="DV115" s="174" t="str">
        <f t="shared" si="82"/>
        <v/>
      </c>
      <c r="DW115" s="174" t="str">
        <f t="shared" si="82"/>
        <v/>
      </c>
      <c r="DX115" s="174" t="str">
        <f t="shared" si="82"/>
        <v/>
      </c>
      <c r="DY115" s="174" t="str">
        <f t="shared" si="82"/>
        <v/>
      </c>
      <c r="DZ115" s="174" t="str">
        <f t="shared" si="82"/>
        <v/>
      </c>
      <c r="EA115" s="174" t="str">
        <f t="shared" si="82"/>
        <v/>
      </c>
      <c r="EB115" s="174" t="str">
        <f t="shared" si="82"/>
        <v/>
      </c>
      <c r="EC115" s="174" t="str">
        <f t="shared" si="82"/>
        <v/>
      </c>
      <c r="ED115" s="174" t="str">
        <f t="shared" si="82"/>
        <v/>
      </c>
      <c r="EE115" s="174" t="str">
        <f t="shared" si="82"/>
        <v/>
      </c>
      <c r="EF115" s="174" t="str">
        <f t="shared" si="82"/>
        <v/>
      </c>
      <c r="EG115" s="174" t="str">
        <f t="shared" si="82"/>
        <v/>
      </c>
      <c r="EH115" s="174" t="str">
        <f t="shared" si="82"/>
        <v/>
      </c>
      <c r="EI115" s="174" t="str">
        <f t="shared" si="78"/>
        <v/>
      </c>
      <c r="EJ115" s="174" t="str">
        <f t="shared" si="78"/>
        <v/>
      </c>
      <c r="EK115" s="174" t="str">
        <f t="shared" si="78"/>
        <v/>
      </c>
      <c r="EL115" s="174" t="str">
        <f t="shared" si="78"/>
        <v/>
      </c>
      <c r="EM115" s="174" t="str">
        <f t="shared" si="78"/>
        <v/>
      </c>
      <c r="EN115" s="174" t="str">
        <f t="shared" si="78"/>
        <v/>
      </c>
      <c r="EO115" s="174" t="str">
        <f t="shared" si="86"/>
        <v/>
      </c>
      <c r="EP115" s="174">
        <f t="shared" si="86"/>
        <v>-0.48592075852463124</v>
      </c>
      <c r="EQ115" s="174">
        <f t="shared" si="86"/>
        <v>0</v>
      </c>
      <c r="ER115" s="174">
        <f t="shared" si="86"/>
        <v>0</v>
      </c>
      <c r="ES115" s="174">
        <f t="shared" si="86"/>
        <v>0</v>
      </c>
      <c r="ET115" s="174">
        <f t="shared" si="86"/>
        <v>0</v>
      </c>
      <c r="EU115" s="174">
        <f t="shared" si="86"/>
        <v>0</v>
      </c>
      <c r="EV115" s="174">
        <f t="shared" si="86"/>
        <v>0</v>
      </c>
      <c r="EW115" s="174">
        <f t="shared" si="86"/>
        <v>0</v>
      </c>
      <c r="EX115" s="174">
        <f t="shared" si="76"/>
        <v>0</v>
      </c>
      <c r="EY115" s="174">
        <f t="shared" si="76"/>
        <v>0</v>
      </c>
      <c r="EZ115" s="174">
        <f t="shared" si="76"/>
        <v>6.0843945454545079E-3</v>
      </c>
      <c r="FA115" s="174">
        <f t="shared" si="76"/>
        <v>6.0843945454545079E-3</v>
      </c>
      <c r="FB115" s="174">
        <f t="shared" si="81"/>
        <v>6.0843945454545079E-3</v>
      </c>
      <c r="FC115" s="174">
        <f t="shared" si="81"/>
        <v>6.0843945454545079E-3</v>
      </c>
      <c r="FD115" s="174">
        <f t="shared" si="81"/>
        <v>-0.99395240143029606</v>
      </c>
      <c r="FE115" s="174">
        <f t="shared" si="81"/>
        <v>-0.99395240143029606</v>
      </c>
      <c r="FF115" s="174">
        <f t="shared" si="81"/>
        <v>-0.99395240143029606</v>
      </c>
      <c r="FG115" s="174">
        <f t="shared" si="74"/>
        <v>-0.99395240143029606</v>
      </c>
      <c r="FH115" s="174">
        <f t="shared" si="83"/>
        <v>0</v>
      </c>
      <c r="FI115" s="174">
        <f t="shared" si="84"/>
        <v>0</v>
      </c>
      <c r="FJ115" s="174">
        <f t="shared" si="85"/>
        <v>0</v>
      </c>
      <c r="FK115" s="174">
        <f t="shared" si="85"/>
        <v>0</v>
      </c>
    </row>
    <row r="116" spans="2:167" ht="16">
      <c r="B116" s="140" t="s">
        <v>918</v>
      </c>
      <c r="C116" s="127" t="s">
        <v>919</v>
      </c>
      <c r="D116" s="128"/>
      <c r="E116" s="128"/>
      <c r="F116" s="128"/>
      <c r="G116" s="128"/>
      <c r="H116" s="128"/>
      <c r="I116" s="128"/>
      <c r="J116" s="128"/>
      <c r="K116" s="128"/>
      <c r="L116" s="128"/>
      <c r="M116" s="128"/>
      <c r="N116" s="128"/>
      <c r="O116" s="128"/>
      <c r="P116" s="128"/>
      <c r="Q116" s="128"/>
      <c r="R116" s="128"/>
      <c r="S116" s="128"/>
      <c r="T116" s="128"/>
      <c r="U116" s="128"/>
      <c r="V116" s="128"/>
      <c r="W116" s="128"/>
      <c r="X116" s="128"/>
      <c r="Y116" s="128"/>
      <c r="Z116" s="128">
        <v>0</v>
      </c>
      <c r="AA116" s="128">
        <v>0</v>
      </c>
      <c r="AB116" s="128">
        <v>0</v>
      </c>
      <c r="AC116" s="128">
        <v>0</v>
      </c>
      <c r="AD116" s="128">
        <v>0</v>
      </c>
      <c r="AE116" s="128">
        <v>0</v>
      </c>
      <c r="AF116" s="128">
        <v>0</v>
      </c>
      <c r="AG116" s="128">
        <v>0</v>
      </c>
      <c r="AH116" s="128">
        <v>0</v>
      </c>
      <c r="AI116" s="128">
        <v>0</v>
      </c>
      <c r="AJ116" s="128">
        <v>0</v>
      </c>
      <c r="AK116" s="128">
        <v>0</v>
      </c>
      <c r="AL116" s="128">
        <v>0</v>
      </c>
      <c r="AM116" s="128">
        <v>0</v>
      </c>
      <c r="AN116" s="128">
        <v>0</v>
      </c>
      <c r="AO116" s="128">
        <v>0</v>
      </c>
      <c r="AP116" s="173">
        <v>0</v>
      </c>
      <c r="AQ116" s="173">
        <v>0</v>
      </c>
      <c r="AR116" s="173">
        <v>0</v>
      </c>
      <c r="AS116" s="288">
        <v>0</v>
      </c>
      <c r="AT116" s="288">
        <v>0</v>
      </c>
      <c r="AU116" s="288">
        <v>0</v>
      </c>
      <c r="AV116" s="288">
        <v>0</v>
      </c>
      <c r="AW116" s="158">
        <v>0</v>
      </c>
      <c r="AX116" s="158">
        <v>0</v>
      </c>
      <c r="AY116" s="158">
        <v>0</v>
      </c>
      <c r="AZ116" s="158">
        <v>0</v>
      </c>
      <c r="BA116" s="158">
        <v>0</v>
      </c>
      <c r="BB116" s="41">
        <v>0</v>
      </c>
      <c r="BC116" s="41">
        <v>0</v>
      </c>
      <c r="BD116" s="158">
        <v>0</v>
      </c>
      <c r="BE116" s="158">
        <v>0</v>
      </c>
      <c r="BF116" s="288">
        <v>0</v>
      </c>
      <c r="BG116" s="289">
        <v>0</v>
      </c>
      <c r="BH116" s="289">
        <v>0</v>
      </c>
      <c r="BI116" s="289">
        <v>0</v>
      </c>
      <c r="BJ116" s="289">
        <v>0</v>
      </c>
      <c r="BK116" s="289">
        <v>0</v>
      </c>
      <c r="BL116" s="289">
        <v>0</v>
      </c>
      <c r="BM116" s="289">
        <v>0</v>
      </c>
      <c r="BN116" s="289">
        <v>0</v>
      </c>
      <c r="BO116" s="289">
        <v>0</v>
      </c>
      <c r="BP116" s="289">
        <v>0</v>
      </c>
      <c r="BQ116" s="289">
        <v>0</v>
      </c>
      <c r="BR116" s="289">
        <v>0</v>
      </c>
      <c r="BS116" s="289">
        <v>0</v>
      </c>
      <c r="BT116" s="289">
        <v>0</v>
      </c>
      <c r="BU116" s="289"/>
      <c r="BV116" s="142"/>
      <c r="BW116" s="142"/>
      <c r="BX116" s="142"/>
      <c r="BY116" s="142"/>
      <c r="BZ116" s="142"/>
      <c r="CA116" s="142"/>
      <c r="CB116" s="142"/>
      <c r="CC116" s="142"/>
      <c r="CD116" s="142"/>
      <c r="CE116" s="142"/>
      <c r="CF116" s="142"/>
      <c r="CG116" s="142"/>
      <c r="CH116" s="142"/>
      <c r="CI116" s="142"/>
      <c r="CJ116" s="142"/>
      <c r="CK116" s="142"/>
      <c r="CL116" s="142"/>
      <c r="CM116" s="142"/>
      <c r="CN116" s="142"/>
      <c r="CO116" s="142"/>
      <c r="CP116" s="142"/>
      <c r="CQ116" s="142"/>
      <c r="CR116" s="142"/>
      <c r="CS116" s="142"/>
      <c r="CT116" s="142"/>
      <c r="CU116" s="142"/>
      <c r="CV116" s="142"/>
      <c r="CW116" s="142"/>
      <c r="CX116" s="142"/>
      <c r="CY116" s="142"/>
      <c r="CZ116" s="142"/>
      <c r="DA116" s="142"/>
      <c r="DB116" s="142"/>
      <c r="DC116" s="142"/>
      <c r="DD116" s="142"/>
      <c r="DE116" s="142"/>
      <c r="DF116" s="142"/>
      <c r="DG116" s="142"/>
      <c r="DH116" s="142"/>
      <c r="DI116" s="142"/>
      <c r="DJ116" s="142"/>
      <c r="DK116" s="142"/>
      <c r="DL116" s="142"/>
      <c r="DM116" s="142"/>
      <c r="DN116" s="142"/>
      <c r="DO116" s="142"/>
      <c r="DP116" s="142"/>
      <c r="DQ116" s="142"/>
      <c r="DR116" s="142"/>
      <c r="DS116" s="133"/>
      <c r="DT116" s="174" t="str">
        <f t="shared" si="82"/>
        <v/>
      </c>
      <c r="DU116" s="174" t="str">
        <f t="shared" si="82"/>
        <v/>
      </c>
      <c r="DV116" s="174" t="str">
        <f t="shared" si="82"/>
        <v/>
      </c>
      <c r="DW116" s="174" t="str">
        <f t="shared" si="82"/>
        <v/>
      </c>
      <c r="DX116" s="174" t="str">
        <f t="shared" si="82"/>
        <v/>
      </c>
      <c r="DY116" s="174" t="str">
        <f t="shared" si="82"/>
        <v/>
      </c>
      <c r="DZ116" s="174" t="str">
        <f t="shared" si="82"/>
        <v/>
      </c>
      <c r="EA116" s="174" t="str">
        <f t="shared" si="82"/>
        <v/>
      </c>
      <c r="EB116" s="174" t="str">
        <f t="shared" si="82"/>
        <v/>
      </c>
      <c r="EC116" s="174" t="str">
        <f t="shared" si="82"/>
        <v/>
      </c>
      <c r="ED116" s="174" t="str">
        <f t="shared" si="82"/>
        <v/>
      </c>
      <c r="EE116" s="174" t="str">
        <f t="shared" si="82"/>
        <v/>
      </c>
      <c r="EF116" s="174" t="str">
        <f t="shared" si="82"/>
        <v/>
      </c>
      <c r="EG116" s="174" t="str">
        <f t="shared" si="82"/>
        <v/>
      </c>
      <c r="EH116" s="174" t="str">
        <f t="shared" si="82"/>
        <v/>
      </c>
      <c r="EI116" s="174" t="str">
        <f t="shared" si="78"/>
        <v/>
      </c>
      <c r="EJ116" s="174" t="str">
        <f t="shared" si="78"/>
        <v/>
      </c>
      <c r="EK116" s="174" t="str">
        <f t="shared" si="78"/>
        <v/>
      </c>
      <c r="EL116" s="174" t="str">
        <f t="shared" si="78"/>
        <v/>
      </c>
      <c r="EM116" s="174" t="str">
        <f t="shared" si="78"/>
        <v/>
      </c>
      <c r="EN116" s="174" t="str">
        <f t="shared" si="78"/>
        <v/>
      </c>
      <c r="EO116" s="174" t="str">
        <f t="shared" si="86"/>
        <v/>
      </c>
      <c r="EP116" s="174" t="str">
        <f t="shared" si="86"/>
        <v/>
      </c>
      <c r="EQ116" s="174" t="str">
        <f t="shared" si="86"/>
        <v/>
      </c>
      <c r="ER116" s="174" t="str">
        <f t="shared" si="86"/>
        <v/>
      </c>
      <c r="ES116" s="174" t="str">
        <f t="shared" si="86"/>
        <v/>
      </c>
      <c r="ET116" s="174" t="str">
        <f t="shared" si="86"/>
        <v/>
      </c>
      <c r="EU116" s="174" t="str">
        <f t="shared" si="86"/>
        <v/>
      </c>
      <c r="EV116" s="174" t="str">
        <f t="shared" si="86"/>
        <v/>
      </c>
      <c r="EW116" s="174" t="str">
        <f t="shared" si="86"/>
        <v/>
      </c>
      <c r="EX116" s="174" t="str">
        <f t="shared" si="76"/>
        <v/>
      </c>
      <c r="EY116" s="174" t="str">
        <f t="shared" si="76"/>
        <v/>
      </c>
      <c r="EZ116" s="174" t="str">
        <f t="shared" si="76"/>
        <v/>
      </c>
      <c r="FA116" s="174" t="str">
        <f t="shared" si="76"/>
        <v/>
      </c>
      <c r="FB116" s="174" t="str">
        <f t="shared" si="81"/>
        <v/>
      </c>
      <c r="FC116" s="174" t="str">
        <f t="shared" si="81"/>
        <v/>
      </c>
      <c r="FD116" s="174" t="str">
        <f t="shared" si="81"/>
        <v/>
      </c>
      <c r="FE116" s="174" t="str">
        <f t="shared" si="81"/>
        <v/>
      </c>
      <c r="FF116" s="174" t="str">
        <f t="shared" si="81"/>
        <v/>
      </c>
      <c r="FG116" s="174" t="str">
        <f t="shared" ref="FG116:FG155" si="87">IFERROR(AW116/AS116-1,"")</f>
        <v/>
      </c>
      <c r="FH116" s="174" t="str">
        <f t="shared" si="83"/>
        <v/>
      </c>
      <c r="FI116" s="174" t="str">
        <f t="shared" si="84"/>
        <v/>
      </c>
      <c r="FJ116" s="174" t="str">
        <f t="shared" si="85"/>
        <v/>
      </c>
      <c r="FK116" s="174" t="str">
        <f t="shared" si="85"/>
        <v/>
      </c>
    </row>
    <row r="117" spans="2:167" ht="16">
      <c r="B117" s="140" t="s">
        <v>821</v>
      </c>
      <c r="C117" s="127" t="s">
        <v>822</v>
      </c>
      <c r="D117" s="128"/>
      <c r="E117" s="128"/>
      <c r="F117" s="128"/>
      <c r="G117" s="128"/>
      <c r="H117" s="128"/>
      <c r="I117" s="128"/>
      <c r="J117" s="128"/>
      <c r="K117" s="128"/>
      <c r="L117" s="128"/>
      <c r="M117" s="128"/>
      <c r="N117" s="128"/>
      <c r="O117" s="128"/>
      <c r="P117" s="128"/>
      <c r="Q117" s="128"/>
      <c r="R117" s="128"/>
      <c r="S117" s="128"/>
      <c r="T117" s="128"/>
      <c r="U117" s="128"/>
      <c r="V117" s="128"/>
      <c r="W117" s="128"/>
      <c r="X117" s="128"/>
      <c r="Y117" s="128"/>
      <c r="Z117" s="128">
        <v>0</v>
      </c>
      <c r="AA117" s="128">
        <v>0</v>
      </c>
      <c r="AB117" s="128">
        <v>0</v>
      </c>
      <c r="AC117" s="128">
        <v>0</v>
      </c>
      <c r="AD117" s="128">
        <v>0</v>
      </c>
      <c r="AE117" s="128">
        <v>0</v>
      </c>
      <c r="AF117" s="128">
        <v>0</v>
      </c>
      <c r="AG117" s="128">
        <v>0</v>
      </c>
      <c r="AH117" s="128">
        <v>0</v>
      </c>
      <c r="AI117" s="128">
        <v>0</v>
      </c>
      <c r="AJ117" s="128">
        <v>0</v>
      </c>
      <c r="AK117" s="128">
        <v>0</v>
      </c>
      <c r="AL117" s="128">
        <v>0</v>
      </c>
      <c r="AM117" s="128">
        <v>0</v>
      </c>
      <c r="AN117" s="128">
        <v>0</v>
      </c>
      <c r="AO117" s="128">
        <v>0</v>
      </c>
      <c r="AP117" s="173">
        <v>0</v>
      </c>
      <c r="AQ117" s="173">
        <v>0</v>
      </c>
      <c r="AR117" s="173">
        <v>0</v>
      </c>
      <c r="AS117" s="288">
        <v>0</v>
      </c>
      <c r="AT117" s="288">
        <v>0</v>
      </c>
      <c r="AU117" s="288">
        <v>0</v>
      </c>
      <c r="AV117" s="288">
        <v>0</v>
      </c>
      <c r="AW117" s="158">
        <v>0</v>
      </c>
      <c r="AX117" s="158">
        <v>0</v>
      </c>
      <c r="AY117" s="158">
        <v>0</v>
      </c>
      <c r="AZ117" s="158">
        <v>0</v>
      </c>
      <c r="BA117" s="158">
        <v>0</v>
      </c>
      <c r="BB117" s="41">
        <v>0</v>
      </c>
      <c r="BC117" s="41">
        <v>0</v>
      </c>
      <c r="BD117" s="158">
        <v>0</v>
      </c>
      <c r="BE117" s="158">
        <v>0</v>
      </c>
      <c r="BF117" s="288">
        <v>0</v>
      </c>
      <c r="BG117" s="289">
        <v>0</v>
      </c>
      <c r="BH117" s="289">
        <v>0</v>
      </c>
      <c r="BI117" s="289">
        <v>0</v>
      </c>
      <c r="BJ117" s="289">
        <v>0</v>
      </c>
      <c r="BK117" s="289">
        <v>0</v>
      </c>
      <c r="BL117" s="289">
        <v>0</v>
      </c>
      <c r="BM117" s="289">
        <v>0</v>
      </c>
      <c r="BN117" s="289">
        <v>0</v>
      </c>
      <c r="BO117" s="289">
        <v>0</v>
      </c>
      <c r="BP117" s="289">
        <v>0</v>
      </c>
      <c r="BQ117" s="289">
        <v>0</v>
      </c>
      <c r="BR117" s="289">
        <v>0</v>
      </c>
      <c r="BS117" s="289">
        <v>0</v>
      </c>
      <c r="BT117" s="289">
        <v>0</v>
      </c>
      <c r="BU117" s="289"/>
      <c r="BV117" s="142"/>
      <c r="BW117" s="142"/>
      <c r="BX117" s="142"/>
      <c r="BY117" s="142"/>
      <c r="BZ117" s="142"/>
      <c r="CA117" s="142"/>
      <c r="CB117" s="142"/>
      <c r="CC117" s="142"/>
      <c r="CD117" s="142"/>
      <c r="CE117" s="142"/>
      <c r="CF117" s="142"/>
      <c r="CG117" s="142"/>
      <c r="CH117" s="142"/>
      <c r="CI117" s="142"/>
      <c r="CJ117" s="142"/>
      <c r="CK117" s="142"/>
      <c r="CL117" s="142"/>
      <c r="CM117" s="142"/>
      <c r="CN117" s="142"/>
      <c r="CO117" s="142"/>
      <c r="CP117" s="142"/>
      <c r="CQ117" s="142"/>
      <c r="CR117" s="142"/>
      <c r="CS117" s="142"/>
      <c r="CT117" s="142"/>
      <c r="CU117" s="142"/>
      <c r="CV117" s="142"/>
      <c r="CW117" s="142"/>
      <c r="CX117" s="142"/>
      <c r="CY117" s="142"/>
      <c r="CZ117" s="142"/>
      <c r="DA117" s="142"/>
      <c r="DB117" s="142"/>
      <c r="DC117" s="142"/>
      <c r="DD117" s="142"/>
      <c r="DE117" s="142"/>
      <c r="DF117" s="142"/>
      <c r="DG117" s="142"/>
      <c r="DH117" s="142"/>
      <c r="DI117" s="142"/>
      <c r="DJ117" s="142"/>
      <c r="DK117" s="142"/>
      <c r="DL117" s="142"/>
      <c r="DM117" s="142"/>
      <c r="DN117" s="142"/>
      <c r="DO117" s="142"/>
      <c r="DP117" s="142"/>
      <c r="DQ117" s="142"/>
      <c r="DR117" s="142"/>
      <c r="DS117" s="133"/>
      <c r="DT117" s="174" t="str">
        <f t="shared" ref="DT117:EH133" si="88">IFERROR(J117/F117-1,"")</f>
        <v/>
      </c>
      <c r="DU117" s="174" t="str">
        <f t="shared" si="88"/>
        <v/>
      </c>
      <c r="DV117" s="174" t="str">
        <f t="shared" si="88"/>
        <v/>
      </c>
      <c r="DW117" s="174" t="str">
        <f t="shared" si="88"/>
        <v/>
      </c>
      <c r="DX117" s="174" t="str">
        <f t="shared" si="88"/>
        <v/>
      </c>
      <c r="DY117" s="174" t="str">
        <f t="shared" si="88"/>
        <v/>
      </c>
      <c r="DZ117" s="174" t="str">
        <f t="shared" si="88"/>
        <v/>
      </c>
      <c r="EA117" s="174" t="str">
        <f t="shared" si="88"/>
        <v/>
      </c>
      <c r="EB117" s="174" t="str">
        <f t="shared" si="88"/>
        <v/>
      </c>
      <c r="EC117" s="174" t="str">
        <f t="shared" si="88"/>
        <v/>
      </c>
      <c r="ED117" s="174" t="str">
        <f t="shared" si="88"/>
        <v/>
      </c>
      <c r="EE117" s="174" t="str">
        <f t="shared" si="88"/>
        <v/>
      </c>
      <c r="EF117" s="174" t="str">
        <f t="shared" si="88"/>
        <v/>
      </c>
      <c r="EG117" s="174" t="str">
        <f t="shared" si="88"/>
        <v/>
      </c>
      <c r="EH117" s="174" t="str">
        <f t="shared" si="88"/>
        <v/>
      </c>
      <c r="EI117" s="174" t="str">
        <f t="shared" si="78"/>
        <v/>
      </c>
      <c r="EJ117" s="174" t="str">
        <f t="shared" si="78"/>
        <v/>
      </c>
      <c r="EK117" s="174" t="str">
        <f t="shared" si="78"/>
        <v/>
      </c>
      <c r="EL117" s="174" t="str">
        <f t="shared" si="78"/>
        <v/>
      </c>
      <c r="EM117" s="174" t="str">
        <f t="shared" si="78"/>
        <v/>
      </c>
      <c r="EN117" s="174" t="str">
        <f t="shared" si="78"/>
        <v/>
      </c>
      <c r="EO117" s="174" t="str">
        <f t="shared" si="86"/>
        <v/>
      </c>
      <c r="EP117" s="174" t="str">
        <f t="shared" si="86"/>
        <v/>
      </c>
      <c r="EQ117" s="174" t="str">
        <f t="shared" si="86"/>
        <v/>
      </c>
      <c r="ER117" s="174" t="str">
        <f t="shared" si="86"/>
        <v/>
      </c>
      <c r="ES117" s="174" t="str">
        <f t="shared" si="86"/>
        <v/>
      </c>
      <c r="ET117" s="174" t="str">
        <f t="shared" si="86"/>
        <v/>
      </c>
      <c r="EU117" s="174" t="str">
        <f t="shared" si="86"/>
        <v/>
      </c>
      <c r="EV117" s="174" t="str">
        <f t="shared" si="86"/>
        <v/>
      </c>
      <c r="EW117" s="174" t="str">
        <f t="shared" si="86"/>
        <v/>
      </c>
      <c r="EX117" s="174" t="str">
        <f t="shared" si="76"/>
        <v/>
      </c>
      <c r="EY117" s="174" t="str">
        <f t="shared" si="76"/>
        <v/>
      </c>
      <c r="EZ117" s="174" t="str">
        <f t="shared" si="76"/>
        <v/>
      </c>
      <c r="FA117" s="174" t="str">
        <f t="shared" si="76"/>
        <v/>
      </c>
      <c r="FB117" s="174" t="str">
        <f t="shared" si="81"/>
        <v/>
      </c>
      <c r="FC117" s="174" t="str">
        <f t="shared" si="81"/>
        <v/>
      </c>
      <c r="FD117" s="174" t="str">
        <f t="shared" si="81"/>
        <v/>
      </c>
      <c r="FE117" s="174" t="str">
        <f t="shared" si="81"/>
        <v/>
      </c>
      <c r="FF117" s="174" t="str">
        <f t="shared" si="81"/>
        <v/>
      </c>
      <c r="FG117" s="174" t="str">
        <f t="shared" si="87"/>
        <v/>
      </c>
      <c r="FH117" s="174" t="str">
        <f t="shared" si="83"/>
        <v/>
      </c>
      <c r="FI117" s="174" t="str">
        <f t="shared" si="84"/>
        <v/>
      </c>
      <c r="FJ117" s="174" t="str">
        <f t="shared" si="85"/>
        <v/>
      </c>
      <c r="FK117" s="174" t="str">
        <f t="shared" si="85"/>
        <v/>
      </c>
    </row>
    <row r="118" spans="2:167" ht="16">
      <c r="B118" s="140" t="s">
        <v>920</v>
      </c>
      <c r="C118" s="127" t="s">
        <v>921</v>
      </c>
      <c r="D118" s="128"/>
      <c r="E118" s="128"/>
      <c r="F118" s="128"/>
      <c r="G118" s="128"/>
      <c r="H118" s="128"/>
      <c r="I118" s="128"/>
      <c r="J118" s="128"/>
      <c r="K118" s="128"/>
      <c r="L118" s="128"/>
      <c r="M118" s="128"/>
      <c r="N118" s="128"/>
      <c r="O118" s="128"/>
      <c r="P118" s="128"/>
      <c r="Q118" s="128"/>
      <c r="R118" s="128"/>
      <c r="S118" s="128"/>
      <c r="T118" s="128"/>
      <c r="U118" s="128"/>
      <c r="V118" s="128"/>
      <c r="W118" s="128"/>
      <c r="X118" s="128"/>
      <c r="Y118" s="128"/>
      <c r="Z118" s="128">
        <v>0</v>
      </c>
      <c r="AA118" s="128">
        <v>0</v>
      </c>
      <c r="AB118" s="128">
        <v>0</v>
      </c>
      <c r="AC118" s="128">
        <v>0</v>
      </c>
      <c r="AD118" s="128">
        <v>0</v>
      </c>
      <c r="AE118" s="128">
        <v>0</v>
      </c>
      <c r="AF118" s="128">
        <v>0</v>
      </c>
      <c r="AG118" s="128">
        <v>0</v>
      </c>
      <c r="AH118" s="128">
        <v>0</v>
      </c>
      <c r="AI118" s="128">
        <v>0</v>
      </c>
      <c r="AJ118" s="128">
        <v>0</v>
      </c>
      <c r="AK118" s="128">
        <v>0</v>
      </c>
      <c r="AL118" s="128">
        <v>0</v>
      </c>
      <c r="AM118" s="128">
        <v>0</v>
      </c>
      <c r="AN118" s="128">
        <v>59.300259494999999</v>
      </c>
      <c r="AO118" s="128">
        <v>1192.295066747</v>
      </c>
      <c r="AP118" s="173">
        <v>1362.046386664</v>
      </c>
      <c r="AQ118" s="173">
        <v>1339.5912471940001</v>
      </c>
      <c r="AR118" s="173">
        <v>1296.601150251</v>
      </c>
      <c r="AS118" s="288">
        <v>1250.0908479889999</v>
      </c>
      <c r="AT118" s="288">
        <v>1175.3382127580001</v>
      </c>
      <c r="AU118" s="288">
        <v>1119.866666659</v>
      </c>
      <c r="AV118" s="288">
        <v>1121.001666658</v>
      </c>
      <c r="AW118" s="158">
        <v>1122.136666657</v>
      </c>
      <c r="AX118" s="158">
        <v>1123.271666656</v>
      </c>
      <c r="AY118" s="158">
        <v>1124.406666655</v>
      </c>
      <c r="AZ118" s="158">
        <v>1125.541666654</v>
      </c>
      <c r="BA118" s="158">
        <v>1126.676666653</v>
      </c>
      <c r="BB118" s="41">
        <v>1127.811666652</v>
      </c>
      <c r="BC118" s="41">
        <v>1128.946666651</v>
      </c>
      <c r="BD118" s="158">
        <v>3898.4816666500001</v>
      </c>
      <c r="BE118" s="158">
        <v>2768.4</v>
      </c>
      <c r="BF118" s="288">
        <v>0</v>
      </c>
      <c r="BG118" s="289">
        <v>0</v>
      </c>
      <c r="BH118" s="289">
        <v>5967.5</v>
      </c>
      <c r="BI118" s="289">
        <v>5901.25</v>
      </c>
      <c r="BJ118" s="289">
        <v>5967.5</v>
      </c>
      <c r="BK118" s="289">
        <v>5899.375</v>
      </c>
      <c r="BL118" s="289">
        <v>5899.375</v>
      </c>
      <c r="BM118" s="289">
        <v>5986.418691414</v>
      </c>
      <c r="BN118" s="289">
        <v>6088.42</v>
      </c>
      <c r="BO118" s="289">
        <v>6133.043691414</v>
      </c>
      <c r="BP118" s="289">
        <v>6153.04</v>
      </c>
      <c r="BQ118" s="289">
        <v>0</v>
      </c>
      <c r="BR118" s="289">
        <v>0</v>
      </c>
      <c r="BS118" s="289">
        <v>0</v>
      </c>
      <c r="BT118" s="289">
        <v>0</v>
      </c>
      <c r="BU118" s="289"/>
      <c r="BV118" s="142"/>
      <c r="BW118" s="142"/>
      <c r="BX118" s="142"/>
      <c r="BY118" s="142"/>
      <c r="BZ118" s="142"/>
      <c r="CA118" s="142"/>
      <c r="CB118" s="142"/>
      <c r="CC118" s="142"/>
      <c r="CD118" s="142"/>
      <c r="CE118" s="142"/>
      <c r="CF118" s="142"/>
      <c r="CG118" s="142"/>
      <c r="CH118" s="142"/>
      <c r="CI118" s="142"/>
      <c r="CJ118" s="142"/>
      <c r="CK118" s="142"/>
      <c r="CL118" s="142"/>
      <c r="CM118" s="142"/>
      <c r="CN118" s="142"/>
      <c r="CO118" s="142"/>
      <c r="CP118" s="142"/>
      <c r="CQ118" s="142"/>
      <c r="CR118" s="142"/>
      <c r="CS118" s="142"/>
      <c r="CT118" s="142"/>
      <c r="CU118" s="142"/>
      <c r="CV118" s="142"/>
      <c r="CW118" s="142"/>
      <c r="CX118" s="142"/>
      <c r="CY118" s="142"/>
      <c r="CZ118" s="142"/>
      <c r="DA118" s="142"/>
      <c r="DB118" s="142"/>
      <c r="DC118" s="142"/>
      <c r="DD118" s="142"/>
      <c r="DE118" s="142"/>
      <c r="DF118" s="142"/>
      <c r="DG118" s="142"/>
      <c r="DH118" s="142"/>
      <c r="DI118" s="142"/>
      <c r="DJ118" s="142"/>
      <c r="DK118" s="142"/>
      <c r="DL118" s="142"/>
      <c r="DM118" s="142"/>
      <c r="DN118" s="142"/>
      <c r="DO118" s="142"/>
      <c r="DP118" s="142"/>
      <c r="DQ118" s="142"/>
      <c r="DR118" s="142"/>
      <c r="DS118" s="133"/>
      <c r="DT118" s="174" t="str">
        <f t="shared" si="88"/>
        <v/>
      </c>
      <c r="DU118" s="174" t="str">
        <f t="shared" si="88"/>
        <v/>
      </c>
      <c r="DV118" s="174" t="str">
        <f t="shared" si="88"/>
        <v/>
      </c>
      <c r="DW118" s="174" t="str">
        <f t="shared" si="88"/>
        <v/>
      </c>
      <c r="DX118" s="174" t="str">
        <f t="shared" si="88"/>
        <v/>
      </c>
      <c r="DY118" s="174" t="str">
        <f t="shared" si="88"/>
        <v/>
      </c>
      <c r="DZ118" s="174" t="str">
        <f t="shared" si="88"/>
        <v/>
      </c>
      <c r="EA118" s="174" t="str">
        <f t="shared" si="88"/>
        <v/>
      </c>
      <c r="EB118" s="174" t="str">
        <f t="shared" si="88"/>
        <v/>
      </c>
      <c r="EC118" s="174" t="str">
        <f t="shared" si="88"/>
        <v/>
      </c>
      <c r="ED118" s="174" t="str">
        <f t="shared" si="88"/>
        <v/>
      </c>
      <c r="EE118" s="174" t="str">
        <f t="shared" si="88"/>
        <v/>
      </c>
      <c r="EF118" s="174" t="str">
        <f t="shared" si="88"/>
        <v/>
      </c>
      <c r="EG118" s="174" t="str">
        <f t="shared" si="88"/>
        <v/>
      </c>
      <c r="EH118" s="174" t="str">
        <f t="shared" si="88"/>
        <v/>
      </c>
      <c r="EI118" s="174" t="str">
        <f t="shared" si="78"/>
        <v/>
      </c>
      <c r="EJ118" s="174" t="str">
        <f t="shared" si="78"/>
        <v/>
      </c>
      <c r="EK118" s="174" t="str">
        <f t="shared" si="78"/>
        <v/>
      </c>
      <c r="EL118" s="174" t="str">
        <f t="shared" si="78"/>
        <v/>
      </c>
      <c r="EM118" s="174" t="str">
        <f t="shared" si="78"/>
        <v/>
      </c>
      <c r="EN118" s="174" t="str">
        <f t="shared" si="78"/>
        <v/>
      </c>
      <c r="EO118" s="174" t="str">
        <f t="shared" si="86"/>
        <v/>
      </c>
      <c r="EP118" s="174" t="str">
        <f t="shared" si="86"/>
        <v/>
      </c>
      <c r="EQ118" s="174" t="str">
        <f t="shared" si="86"/>
        <v/>
      </c>
      <c r="ER118" s="174" t="str">
        <f t="shared" si="86"/>
        <v/>
      </c>
      <c r="ES118" s="174" t="str">
        <f t="shared" si="86"/>
        <v/>
      </c>
      <c r="ET118" s="174" t="str">
        <f t="shared" si="86"/>
        <v/>
      </c>
      <c r="EU118" s="174" t="str">
        <f t="shared" si="86"/>
        <v/>
      </c>
      <c r="EV118" s="174" t="str">
        <f t="shared" si="86"/>
        <v/>
      </c>
      <c r="EW118" s="174" t="str">
        <f t="shared" si="86"/>
        <v/>
      </c>
      <c r="EX118" s="174" t="str">
        <f t="shared" si="76"/>
        <v/>
      </c>
      <c r="EY118" s="174" t="str">
        <f t="shared" si="76"/>
        <v/>
      </c>
      <c r="EZ118" s="174" t="str">
        <f t="shared" si="76"/>
        <v/>
      </c>
      <c r="FA118" s="174" t="str">
        <f t="shared" si="76"/>
        <v/>
      </c>
      <c r="FB118" s="174">
        <f t="shared" si="81"/>
        <v>20.865016465236973</v>
      </c>
      <c r="FC118" s="174">
        <f t="shared" si="81"/>
        <v>4.8474394345761285E-2</v>
      </c>
      <c r="FD118" s="174">
        <f t="shared" si="81"/>
        <v>-0.13707915951621596</v>
      </c>
      <c r="FE118" s="174">
        <f t="shared" si="81"/>
        <v>-0.16402360122556059</v>
      </c>
      <c r="FF118" s="174">
        <f t="shared" si="81"/>
        <v>-0.13543060914222305</v>
      </c>
      <c r="FG118" s="174">
        <f t="shared" si="87"/>
        <v>-0.1023559060030218</v>
      </c>
      <c r="FH118" s="174">
        <f t="shared" si="83"/>
        <v>-4.429920301818735E-2</v>
      </c>
      <c r="FI118" s="174">
        <f t="shared" si="84"/>
        <v>4.0540540505100697E-3</v>
      </c>
      <c r="FJ118" s="174">
        <f t="shared" si="85"/>
        <v>4.0499493720957958E-3</v>
      </c>
      <c r="FK118" s="174">
        <f t="shared" si="85"/>
        <v>4.04585299714455E-3</v>
      </c>
    </row>
    <row r="119" spans="2:167" ht="16">
      <c r="B119" s="140" t="s">
        <v>922</v>
      </c>
      <c r="C119" s="127" t="s">
        <v>923</v>
      </c>
      <c r="D119" s="128"/>
      <c r="E119" s="128"/>
      <c r="F119" s="128"/>
      <c r="G119" s="128"/>
      <c r="H119" s="128"/>
      <c r="I119" s="128"/>
      <c r="J119" s="128"/>
      <c r="K119" s="128"/>
      <c r="L119" s="128"/>
      <c r="M119" s="128"/>
      <c r="N119" s="128"/>
      <c r="O119" s="128"/>
      <c r="P119" s="128"/>
      <c r="Q119" s="128"/>
      <c r="R119" s="128"/>
      <c r="S119" s="128"/>
      <c r="T119" s="128"/>
      <c r="U119" s="128"/>
      <c r="V119" s="128"/>
      <c r="W119" s="128"/>
      <c r="X119" s="128"/>
      <c r="Y119" s="128"/>
      <c r="Z119" s="128">
        <v>0</v>
      </c>
      <c r="AA119" s="128">
        <v>0</v>
      </c>
      <c r="AB119" s="128">
        <v>0</v>
      </c>
      <c r="AC119" s="128">
        <v>0</v>
      </c>
      <c r="AD119" s="128">
        <v>0</v>
      </c>
      <c r="AE119" s="128">
        <v>0</v>
      </c>
      <c r="AF119" s="128">
        <v>0</v>
      </c>
      <c r="AG119" s="128">
        <v>0</v>
      </c>
      <c r="AH119" s="128">
        <v>0</v>
      </c>
      <c r="AI119" s="128">
        <v>0</v>
      </c>
      <c r="AJ119" s="128">
        <v>0</v>
      </c>
      <c r="AK119" s="128">
        <v>0</v>
      </c>
      <c r="AL119" s="128">
        <v>0</v>
      </c>
      <c r="AM119" s="128">
        <v>0</v>
      </c>
      <c r="AN119" s="128">
        <v>0</v>
      </c>
      <c r="AO119" s="128">
        <v>0</v>
      </c>
      <c r="AP119" s="173">
        <v>0</v>
      </c>
      <c r="AQ119" s="173">
        <v>0</v>
      </c>
      <c r="AR119" s="173">
        <v>0</v>
      </c>
      <c r="AS119" s="288">
        <v>0</v>
      </c>
      <c r="AT119" s="288">
        <v>0</v>
      </c>
      <c r="AU119" s="288">
        <v>0</v>
      </c>
      <c r="AV119" s="288">
        <v>0</v>
      </c>
      <c r="AW119" s="158">
        <v>0</v>
      </c>
      <c r="AX119" s="158">
        <v>0</v>
      </c>
      <c r="AY119" s="158">
        <v>0</v>
      </c>
      <c r="AZ119" s="158">
        <v>0</v>
      </c>
      <c r="BA119" s="158">
        <v>0</v>
      </c>
      <c r="BB119" s="41">
        <v>0</v>
      </c>
      <c r="BC119" s="41">
        <v>0</v>
      </c>
      <c r="BD119" s="158">
        <v>0</v>
      </c>
      <c r="BE119" s="158">
        <v>0</v>
      </c>
      <c r="BF119" s="288">
        <v>0</v>
      </c>
      <c r="BG119" s="289">
        <v>0</v>
      </c>
      <c r="BH119" s="289">
        <v>0</v>
      </c>
      <c r="BI119" s="289">
        <v>0</v>
      </c>
      <c r="BJ119" s="289">
        <v>0</v>
      </c>
      <c r="BK119" s="289">
        <v>0</v>
      </c>
      <c r="BL119" s="289">
        <v>0</v>
      </c>
      <c r="BM119" s="289">
        <v>0</v>
      </c>
      <c r="BN119" s="289">
        <v>0</v>
      </c>
      <c r="BO119" s="289">
        <v>0</v>
      </c>
      <c r="BP119" s="289">
        <v>0</v>
      </c>
      <c r="BQ119" s="289">
        <v>0</v>
      </c>
      <c r="BR119" s="289">
        <v>0</v>
      </c>
      <c r="BS119" s="289">
        <v>0</v>
      </c>
      <c r="BT119" s="289">
        <v>0</v>
      </c>
      <c r="BU119" s="289"/>
      <c r="BV119" s="142"/>
      <c r="BW119" s="142"/>
      <c r="BX119" s="142"/>
      <c r="BY119" s="142"/>
      <c r="BZ119" s="142"/>
      <c r="CA119" s="142"/>
      <c r="CB119" s="142"/>
      <c r="CC119" s="142"/>
      <c r="CD119" s="142"/>
      <c r="CE119" s="142"/>
      <c r="CF119" s="142"/>
      <c r="CG119" s="142"/>
      <c r="CH119" s="142"/>
      <c r="CI119" s="142"/>
      <c r="CJ119" s="142"/>
      <c r="CK119" s="142"/>
      <c r="CL119" s="142"/>
      <c r="CM119" s="142"/>
      <c r="CN119" s="142"/>
      <c r="CO119" s="142"/>
      <c r="CP119" s="142"/>
      <c r="CQ119" s="142"/>
      <c r="CR119" s="142"/>
      <c r="CS119" s="142"/>
      <c r="CT119" s="142"/>
      <c r="CU119" s="142"/>
      <c r="CV119" s="142"/>
      <c r="CW119" s="142"/>
      <c r="CX119" s="142"/>
      <c r="CY119" s="142"/>
      <c r="CZ119" s="142"/>
      <c r="DA119" s="142"/>
      <c r="DB119" s="142"/>
      <c r="DC119" s="142"/>
      <c r="DD119" s="142"/>
      <c r="DE119" s="142"/>
      <c r="DF119" s="142"/>
      <c r="DG119" s="142"/>
      <c r="DH119" s="142"/>
      <c r="DI119" s="142"/>
      <c r="DJ119" s="142"/>
      <c r="DK119" s="142"/>
      <c r="DL119" s="142"/>
      <c r="DM119" s="142"/>
      <c r="DN119" s="142"/>
      <c r="DO119" s="142"/>
      <c r="DP119" s="142"/>
      <c r="DQ119" s="142"/>
      <c r="DR119" s="142"/>
      <c r="DS119" s="133"/>
      <c r="DT119" s="174" t="str">
        <f t="shared" si="88"/>
        <v/>
      </c>
      <c r="DU119" s="174" t="str">
        <f t="shared" si="88"/>
        <v/>
      </c>
      <c r="DV119" s="174" t="str">
        <f t="shared" si="88"/>
        <v/>
      </c>
      <c r="DW119" s="174" t="str">
        <f t="shared" si="88"/>
        <v/>
      </c>
      <c r="DX119" s="174" t="str">
        <f t="shared" si="88"/>
        <v/>
      </c>
      <c r="DY119" s="174" t="str">
        <f t="shared" si="88"/>
        <v/>
      </c>
      <c r="DZ119" s="174" t="str">
        <f t="shared" si="88"/>
        <v/>
      </c>
      <c r="EA119" s="174" t="str">
        <f t="shared" si="88"/>
        <v/>
      </c>
      <c r="EB119" s="174" t="str">
        <f t="shared" si="88"/>
        <v/>
      </c>
      <c r="EC119" s="174" t="str">
        <f t="shared" si="88"/>
        <v/>
      </c>
      <c r="ED119" s="174" t="str">
        <f t="shared" si="88"/>
        <v/>
      </c>
      <c r="EE119" s="174" t="str">
        <f t="shared" si="88"/>
        <v/>
      </c>
      <c r="EF119" s="174" t="str">
        <f t="shared" si="88"/>
        <v/>
      </c>
      <c r="EG119" s="174" t="str">
        <f t="shared" si="88"/>
        <v/>
      </c>
      <c r="EH119" s="174" t="str">
        <f t="shared" si="88"/>
        <v/>
      </c>
      <c r="EI119" s="174" t="str">
        <f t="shared" si="78"/>
        <v/>
      </c>
      <c r="EJ119" s="174" t="str">
        <f t="shared" si="78"/>
        <v/>
      </c>
      <c r="EK119" s="174" t="str">
        <f t="shared" si="78"/>
        <v/>
      </c>
      <c r="EL119" s="174" t="str">
        <f t="shared" si="78"/>
        <v/>
      </c>
      <c r="EM119" s="174" t="str">
        <f t="shared" si="78"/>
        <v/>
      </c>
      <c r="EN119" s="174" t="str">
        <f t="shared" si="78"/>
        <v/>
      </c>
      <c r="EO119" s="174" t="str">
        <f t="shared" si="86"/>
        <v/>
      </c>
      <c r="EP119" s="174" t="str">
        <f t="shared" si="86"/>
        <v/>
      </c>
      <c r="EQ119" s="174" t="str">
        <f t="shared" si="86"/>
        <v/>
      </c>
      <c r="ER119" s="174" t="str">
        <f t="shared" si="86"/>
        <v/>
      </c>
      <c r="ES119" s="174" t="str">
        <f t="shared" si="86"/>
        <v/>
      </c>
      <c r="ET119" s="174" t="str">
        <f t="shared" si="86"/>
        <v/>
      </c>
      <c r="EU119" s="174" t="str">
        <f t="shared" si="86"/>
        <v/>
      </c>
      <c r="EV119" s="174" t="str">
        <f t="shared" si="86"/>
        <v/>
      </c>
      <c r="EW119" s="174" t="str">
        <f t="shared" si="86"/>
        <v/>
      </c>
      <c r="EX119" s="174" t="str">
        <f t="shared" si="76"/>
        <v/>
      </c>
      <c r="EY119" s="174" t="str">
        <f t="shared" si="76"/>
        <v/>
      </c>
      <c r="EZ119" s="174" t="str">
        <f t="shared" si="76"/>
        <v/>
      </c>
      <c r="FA119" s="174" t="str">
        <f t="shared" si="76"/>
        <v/>
      </c>
      <c r="FB119" s="174" t="str">
        <f t="shared" si="81"/>
        <v/>
      </c>
      <c r="FC119" s="174" t="str">
        <f t="shared" si="81"/>
        <v/>
      </c>
      <c r="FD119" s="174" t="str">
        <f t="shared" si="81"/>
        <v/>
      </c>
      <c r="FE119" s="174" t="str">
        <f t="shared" si="81"/>
        <v/>
      </c>
      <c r="FF119" s="174" t="str">
        <f t="shared" si="81"/>
        <v/>
      </c>
      <c r="FG119" s="174" t="str">
        <f t="shared" si="87"/>
        <v/>
      </c>
      <c r="FH119" s="174" t="str">
        <f t="shared" si="83"/>
        <v/>
      </c>
      <c r="FI119" s="174" t="str">
        <f t="shared" si="84"/>
        <v/>
      </c>
      <c r="FJ119" s="174" t="str">
        <f t="shared" si="85"/>
        <v/>
      </c>
      <c r="FK119" s="174" t="str">
        <f t="shared" si="85"/>
        <v/>
      </c>
    </row>
    <row r="120" spans="2:167" ht="16">
      <c r="B120" s="140" t="s">
        <v>924</v>
      </c>
      <c r="C120" s="127" t="s">
        <v>925</v>
      </c>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v>0</v>
      </c>
      <c r="AA120" s="128">
        <v>0</v>
      </c>
      <c r="AB120" s="128">
        <v>0</v>
      </c>
      <c r="AC120" s="128">
        <v>0</v>
      </c>
      <c r="AD120" s="128">
        <v>0</v>
      </c>
      <c r="AE120" s="128">
        <v>0</v>
      </c>
      <c r="AF120" s="128">
        <v>0</v>
      </c>
      <c r="AG120" s="128">
        <v>0</v>
      </c>
      <c r="AH120" s="128">
        <v>0</v>
      </c>
      <c r="AI120" s="128">
        <v>0</v>
      </c>
      <c r="AJ120" s="128">
        <v>0</v>
      </c>
      <c r="AK120" s="128">
        <v>0</v>
      </c>
      <c r="AL120" s="128">
        <v>0</v>
      </c>
      <c r="AM120" s="128">
        <v>0</v>
      </c>
      <c r="AN120" s="128">
        <v>0</v>
      </c>
      <c r="AO120" s="128">
        <v>0</v>
      </c>
      <c r="AP120" s="173">
        <v>0</v>
      </c>
      <c r="AQ120" s="173">
        <v>0</v>
      </c>
      <c r="AR120" s="173">
        <v>0</v>
      </c>
      <c r="AS120" s="288">
        <v>0</v>
      </c>
      <c r="AT120" s="288">
        <v>0</v>
      </c>
      <c r="AU120" s="288">
        <v>0</v>
      </c>
      <c r="AV120" s="288">
        <v>0</v>
      </c>
      <c r="AW120" s="158">
        <v>0</v>
      </c>
      <c r="AX120" s="158">
        <v>0</v>
      </c>
      <c r="AY120" s="158">
        <v>0</v>
      </c>
      <c r="AZ120" s="158">
        <v>0</v>
      </c>
      <c r="BA120" s="158">
        <v>0</v>
      </c>
      <c r="BB120" s="41">
        <v>0</v>
      </c>
      <c r="BC120" s="41">
        <v>0</v>
      </c>
      <c r="BD120" s="158">
        <v>0</v>
      </c>
      <c r="BE120" s="158">
        <v>0</v>
      </c>
      <c r="BF120" s="288">
        <v>0</v>
      </c>
      <c r="BG120" s="289">
        <v>0</v>
      </c>
      <c r="BH120" s="289">
        <v>0</v>
      </c>
      <c r="BI120" s="289">
        <v>0</v>
      </c>
      <c r="BJ120" s="289">
        <v>0</v>
      </c>
      <c r="BK120" s="289">
        <v>0</v>
      </c>
      <c r="BL120" s="289">
        <v>0</v>
      </c>
      <c r="BM120" s="289">
        <v>0</v>
      </c>
      <c r="BN120" s="289">
        <v>0</v>
      </c>
      <c r="BO120" s="289">
        <v>0</v>
      </c>
      <c r="BP120" s="289">
        <v>0</v>
      </c>
      <c r="BQ120" s="289">
        <v>0</v>
      </c>
      <c r="BR120" s="289">
        <v>0</v>
      </c>
      <c r="BS120" s="289">
        <v>0</v>
      </c>
      <c r="BT120" s="289">
        <v>0</v>
      </c>
      <c r="BU120" s="289"/>
      <c r="BV120" s="142"/>
      <c r="BW120" s="142"/>
      <c r="BX120" s="142"/>
      <c r="BY120" s="142"/>
      <c r="BZ120" s="142"/>
      <c r="CA120" s="142"/>
      <c r="CB120" s="142"/>
      <c r="CC120" s="142"/>
      <c r="CD120" s="142"/>
      <c r="CE120" s="142"/>
      <c r="CF120" s="142"/>
      <c r="CG120" s="142"/>
      <c r="CH120" s="142"/>
      <c r="CI120" s="142"/>
      <c r="CJ120" s="142"/>
      <c r="CK120" s="142"/>
      <c r="CL120" s="142"/>
      <c r="CM120" s="142"/>
      <c r="CN120" s="142"/>
      <c r="CO120" s="142"/>
      <c r="CP120" s="142"/>
      <c r="CQ120" s="142"/>
      <c r="CR120" s="142"/>
      <c r="CS120" s="142"/>
      <c r="CT120" s="142"/>
      <c r="CU120" s="142"/>
      <c r="CV120" s="142"/>
      <c r="CW120" s="142"/>
      <c r="CX120" s="142"/>
      <c r="CY120" s="142"/>
      <c r="CZ120" s="142"/>
      <c r="DA120" s="142"/>
      <c r="DB120" s="142"/>
      <c r="DC120" s="142"/>
      <c r="DD120" s="142"/>
      <c r="DE120" s="142"/>
      <c r="DF120" s="142"/>
      <c r="DG120" s="142"/>
      <c r="DH120" s="142"/>
      <c r="DI120" s="142"/>
      <c r="DJ120" s="142"/>
      <c r="DK120" s="142"/>
      <c r="DL120" s="142"/>
      <c r="DM120" s="142"/>
      <c r="DN120" s="142"/>
      <c r="DO120" s="142"/>
      <c r="DP120" s="142"/>
      <c r="DQ120" s="142"/>
      <c r="DR120" s="142"/>
      <c r="DS120" s="133"/>
      <c r="DT120" s="174" t="str">
        <f t="shared" si="88"/>
        <v/>
      </c>
      <c r="DU120" s="174" t="str">
        <f t="shared" si="88"/>
        <v/>
      </c>
      <c r="DV120" s="174" t="str">
        <f t="shared" si="88"/>
        <v/>
      </c>
      <c r="DW120" s="174" t="str">
        <f t="shared" si="88"/>
        <v/>
      </c>
      <c r="DX120" s="174" t="str">
        <f t="shared" si="88"/>
        <v/>
      </c>
      <c r="DY120" s="174" t="str">
        <f t="shared" si="88"/>
        <v/>
      </c>
      <c r="DZ120" s="174" t="str">
        <f t="shared" si="88"/>
        <v/>
      </c>
      <c r="EA120" s="174" t="str">
        <f t="shared" si="88"/>
        <v/>
      </c>
      <c r="EB120" s="174" t="str">
        <f t="shared" si="88"/>
        <v/>
      </c>
      <c r="EC120" s="174" t="str">
        <f t="shared" si="88"/>
        <v/>
      </c>
      <c r="ED120" s="174" t="str">
        <f t="shared" si="88"/>
        <v/>
      </c>
      <c r="EE120" s="174" t="str">
        <f t="shared" si="88"/>
        <v/>
      </c>
      <c r="EF120" s="174" t="str">
        <f t="shared" si="88"/>
        <v/>
      </c>
      <c r="EG120" s="174" t="str">
        <f t="shared" si="88"/>
        <v/>
      </c>
      <c r="EH120" s="174" t="str">
        <f t="shared" si="88"/>
        <v/>
      </c>
      <c r="EI120" s="174" t="str">
        <f t="shared" si="78"/>
        <v/>
      </c>
      <c r="EJ120" s="174" t="str">
        <f t="shared" si="78"/>
        <v/>
      </c>
      <c r="EK120" s="174" t="str">
        <f t="shared" si="78"/>
        <v/>
      </c>
      <c r="EL120" s="174" t="str">
        <f t="shared" si="78"/>
        <v/>
      </c>
      <c r="EM120" s="174" t="str">
        <f t="shared" si="78"/>
        <v/>
      </c>
      <c r="EN120" s="174" t="str">
        <f t="shared" si="78"/>
        <v/>
      </c>
      <c r="EO120" s="174" t="str">
        <f t="shared" si="86"/>
        <v/>
      </c>
      <c r="EP120" s="174" t="str">
        <f t="shared" si="86"/>
        <v/>
      </c>
      <c r="EQ120" s="174" t="str">
        <f t="shared" si="86"/>
        <v/>
      </c>
      <c r="ER120" s="174" t="str">
        <f t="shared" si="86"/>
        <v/>
      </c>
      <c r="ES120" s="174" t="str">
        <f t="shared" si="86"/>
        <v/>
      </c>
      <c r="ET120" s="174" t="str">
        <f t="shared" si="86"/>
        <v/>
      </c>
      <c r="EU120" s="174" t="str">
        <f t="shared" si="86"/>
        <v/>
      </c>
      <c r="EV120" s="174" t="str">
        <f t="shared" si="86"/>
        <v/>
      </c>
      <c r="EW120" s="174" t="str">
        <f t="shared" si="86"/>
        <v/>
      </c>
      <c r="EX120" s="174" t="str">
        <f t="shared" si="76"/>
        <v/>
      </c>
      <c r="EY120" s="174" t="str">
        <f t="shared" si="76"/>
        <v/>
      </c>
      <c r="EZ120" s="174" t="str">
        <f t="shared" si="76"/>
        <v/>
      </c>
      <c r="FA120" s="174" t="str">
        <f t="shared" si="76"/>
        <v/>
      </c>
      <c r="FB120" s="174" t="str">
        <f t="shared" si="81"/>
        <v/>
      </c>
      <c r="FC120" s="174" t="str">
        <f t="shared" si="81"/>
        <v/>
      </c>
      <c r="FD120" s="174" t="str">
        <f t="shared" si="81"/>
        <v/>
      </c>
      <c r="FE120" s="174" t="str">
        <f t="shared" si="81"/>
        <v/>
      </c>
      <c r="FF120" s="174" t="str">
        <f t="shared" si="81"/>
        <v/>
      </c>
      <c r="FG120" s="174" t="str">
        <f t="shared" si="87"/>
        <v/>
      </c>
      <c r="FH120" s="174" t="str">
        <f t="shared" si="83"/>
        <v/>
      </c>
      <c r="FI120" s="174" t="str">
        <f t="shared" si="84"/>
        <v/>
      </c>
      <c r="FJ120" s="174" t="str">
        <f t="shared" si="85"/>
        <v/>
      </c>
      <c r="FK120" s="174" t="str">
        <f t="shared" si="85"/>
        <v/>
      </c>
    </row>
    <row r="121" spans="2:167" ht="16">
      <c r="B121" s="140" t="s">
        <v>926</v>
      </c>
      <c r="C121" s="127" t="s">
        <v>927</v>
      </c>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v>0</v>
      </c>
      <c r="AA121" s="128">
        <v>0</v>
      </c>
      <c r="AB121" s="128">
        <v>0</v>
      </c>
      <c r="AC121" s="128">
        <v>0</v>
      </c>
      <c r="AD121" s="128">
        <v>0</v>
      </c>
      <c r="AE121" s="128">
        <v>0</v>
      </c>
      <c r="AF121" s="128">
        <v>0</v>
      </c>
      <c r="AG121" s="128">
        <v>0</v>
      </c>
      <c r="AH121" s="128">
        <v>0</v>
      </c>
      <c r="AI121" s="128">
        <v>0</v>
      </c>
      <c r="AJ121" s="128">
        <v>0</v>
      </c>
      <c r="AK121" s="128">
        <v>0</v>
      </c>
      <c r="AL121" s="128">
        <v>0</v>
      </c>
      <c r="AM121" s="128">
        <v>0</v>
      </c>
      <c r="AN121" s="128">
        <v>0</v>
      </c>
      <c r="AO121" s="128">
        <v>0</v>
      </c>
      <c r="AP121" s="173">
        <v>0</v>
      </c>
      <c r="AQ121" s="173">
        <v>0</v>
      </c>
      <c r="AR121" s="173">
        <v>0</v>
      </c>
      <c r="AS121" s="288">
        <v>0</v>
      </c>
      <c r="AT121" s="288">
        <v>0</v>
      </c>
      <c r="AU121" s="288">
        <v>0</v>
      </c>
      <c r="AV121" s="288">
        <v>0</v>
      </c>
      <c r="AW121" s="158">
        <v>0</v>
      </c>
      <c r="AX121" s="158">
        <v>0</v>
      </c>
      <c r="AY121" s="158">
        <v>0</v>
      </c>
      <c r="AZ121" s="158">
        <v>0</v>
      </c>
      <c r="BA121" s="158">
        <v>0</v>
      </c>
      <c r="BB121" s="41">
        <v>0</v>
      </c>
      <c r="BC121" s="41">
        <v>0</v>
      </c>
      <c r="BD121" s="158">
        <v>0</v>
      </c>
      <c r="BE121" s="158">
        <v>0</v>
      </c>
      <c r="BF121" s="288">
        <v>0</v>
      </c>
      <c r="BG121" s="289">
        <v>0</v>
      </c>
      <c r="BH121" s="289">
        <v>0</v>
      </c>
      <c r="BI121" s="289">
        <v>0</v>
      </c>
      <c r="BJ121" s="289">
        <v>0</v>
      </c>
      <c r="BK121" s="289">
        <v>0</v>
      </c>
      <c r="BL121" s="289">
        <v>0</v>
      </c>
      <c r="BM121" s="289">
        <v>0</v>
      </c>
      <c r="BN121" s="289">
        <v>0</v>
      </c>
      <c r="BO121" s="289">
        <v>0</v>
      </c>
      <c r="BP121" s="289">
        <v>0</v>
      </c>
      <c r="BQ121" s="289">
        <v>0</v>
      </c>
      <c r="BR121" s="289">
        <v>0</v>
      </c>
      <c r="BS121" s="289">
        <v>0</v>
      </c>
      <c r="BT121" s="289">
        <v>0</v>
      </c>
      <c r="BU121" s="289"/>
      <c r="BV121" s="142"/>
      <c r="BW121" s="142"/>
      <c r="BX121" s="142"/>
      <c r="BY121" s="142"/>
      <c r="BZ121" s="142"/>
      <c r="CA121" s="142"/>
      <c r="CB121" s="142"/>
      <c r="CC121" s="142"/>
      <c r="CD121" s="142"/>
      <c r="CE121" s="142"/>
      <c r="CF121" s="142"/>
      <c r="CG121" s="142"/>
      <c r="CH121" s="142"/>
      <c r="CI121" s="142"/>
      <c r="CJ121" s="142"/>
      <c r="CK121" s="142"/>
      <c r="CL121" s="142"/>
      <c r="CM121" s="142"/>
      <c r="CN121" s="142"/>
      <c r="CO121" s="142"/>
      <c r="CP121" s="142"/>
      <c r="CQ121" s="142"/>
      <c r="CR121" s="142"/>
      <c r="CS121" s="142"/>
      <c r="CT121" s="142"/>
      <c r="CU121" s="142"/>
      <c r="CV121" s="142"/>
      <c r="CW121" s="142"/>
      <c r="CX121" s="142"/>
      <c r="CY121" s="142"/>
      <c r="CZ121" s="142"/>
      <c r="DA121" s="142"/>
      <c r="DB121" s="142"/>
      <c r="DC121" s="142"/>
      <c r="DD121" s="142"/>
      <c r="DE121" s="142"/>
      <c r="DF121" s="142"/>
      <c r="DG121" s="142"/>
      <c r="DH121" s="142"/>
      <c r="DI121" s="142"/>
      <c r="DJ121" s="142"/>
      <c r="DK121" s="142"/>
      <c r="DL121" s="142"/>
      <c r="DM121" s="142"/>
      <c r="DN121" s="142"/>
      <c r="DO121" s="142"/>
      <c r="DP121" s="142"/>
      <c r="DQ121" s="142"/>
      <c r="DR121" s="142"/>
      <c r="DS121" s="133"/>
      <c r="DT121" s="174" t="str">
        <f t="shared" si="88"/>
        <v/>
      </c>
      <c r="DU121" s="174" t="str">
        <f t="shared" si="88"/>
        <v/>
      </c>
      <c r="DV121" s="174" t="str">
        <f t="shared" si="88"/>
        <v/>
      </c>
      <c r="DW121" s="174" t="str">
        <f t="shared" si="88"/>
        <v/>
      </c>
      <c r="DX121" s="174" t="str">
        <f t="shared" si="88"/>
        <v/>
      </c>
      <c r="DY121" s="174" t="str">
        <f t="shared" si="88"/>
        <v/>
      </c>
      <c r="DZ121" s="174" t="str">
        <f t="shared" si="88"/>
        <v/>
      </c>
      <c r="EA121" s="174" t="str">
        <f t="shared" si="88"/>
        <v/>
      </c>
      <c r="EB121" s="174" t="str">
        <f t="shared" si="88"/>
        <v/>
      </c>
      <c r="EC121" s="174" t="str">
        <f t="shared" si="88"/>
        <v/>
      </c>
      <c r="ED121" s="174" t="str">
        <f t="shared" si="88"/>
        <v/>
      </c>
      <c r="EE121" s="174" t="str">
        <f t="shared" si="88"/>
        <v/>
      </c>
      <c r="EF121" s="174" t="str">
        <f t="shared" si="88"/>
        <v/>
      </c>
      <c r="EG121" s="174" t="str">
        <f t="shared" si="88"/>
        <v/>
      </c>
      <c r="EH121" s="174" t="str">
        <f t="shared" si="88"/>
        <v/>
      </c>
      <c r="EI121" s="174" t="str">
        <f t="shared" si="78"/>
        <v/>
      </c>
      <c r="EJ121" s="174" t="str">
        <f t="shared" si="78"/>
        <v/>
      </c>
      <c r="EK121" s="174" t="str">
        <f t="shared" si="78"/>
        <v/>
      </c>
      <c r="EL121" s="174" t="str">
        <f t="shared" si="78"/>
        <v/>
      </c>
      <c r="EM121" s="174" t="str">
        <f t="shared" si="78"/>
        <v/>
      </c>
      <c r="EN121" s="174" t="str">
        <f t="shared" si="78"/>
        <v/>
      </c>
      <c r="EO121" s="174" t="str">
        <f t="shared" si="86"/>
        <v/>
      </c>
      <c r="EP121" s="174" t="str">
        <f t="shared" si="86"/>
        <v/>
      </c>
      <c r="EQ121" s="174" t="str">
        <f t="shared" si="86"/>
        <v/>
      </c>
      <c r="ER121" s="174" t="str">
        <f t="shared" si="86"/>
        <v/>
      </c>
      <c r="ES121" s="174" t="str">
        <f t="shared" si="86"/>
        <v/>
      </c>
      <c r="ET121" s="174" t="str">
        <f t="shared" si="86"/>
        <v/>
      </c>
      <c r="EU121" s="174" t="str">
        <f t="shared" si="86"/>
        <v/>
      </c>
      <c r="EV121" s="174" t="str">
        <f t="shared" si="86"/>
        <v/>
      </c>
      <c r="EW121" s="174" t="str">
        <f t="shared" si="86"/>
        <v/>
      </c>
      <c r="EX121" s="174" t="str">
        <f t="shared" si="76"/>
        <v/>
      </c>
      <c r="EY121" s="174" t="str">
        <f t="shared" si="76"/>
        <v/>
      </c>
      <c r="EZ121" s="174" t="str">
        <f t="shared" si="76"/>
        <v/>
      </c>
      <c r="FA121" s="174" t="str">
        <f t="shared" si="76"/>
        <v/>
      </c>
      <c r="FB121" s="174" t="str">
        <f t="shared" si="81"/>
        <v/>
      </c>
      <c r="FC121" s="174" t="str">
        <f t="shared" si="81"/>
        <v/>
      </c>
      <c r="FD121" s="174" t="str">
        <f t="shared" si="81"/>
        <v/>
      </c>
      <c r="FE121" s="174" t="str">
        <f t="shared" si="81"/>
        <v/>
      </c>
      <c r="FF121" s="174" t="str">
        <f t="shared" si="81"/>
        <v/>
      </c>
      <c r="FG121" s="174" t="str">
        <f t="shared" si="87"/>
        <v/>
      </c>
      <c r="FH121" s="174" t="str">
        <f t="shared" si="83"/>
        <v/>
      </c>
      <c r="FI121" s="174" t="str">
        <f t="shared" si="84"/>
        <v/>
      </c>
      <c r="FJ121" s="174" t="str">
        <f t="shared" si="85"/>
        <v/>
      </c>
      <c r="FK121" s="174" t="str">
        <f t="shared" si="85"/>
        <v/>
      </c>
    </row>
    <row r="122" spans="2:167" ht="16">
      <c r="B122" s="140" t="s">
        <v>928</v>
      </c>
      <c r="C122" s="127" t="s">
        <v>929</v>
      </c>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v>0</v>
      </c>
      <c r="AA122" s="128">
        <v>0</v>
      </c>
      <c r="AB122" s="128">
        <v>0</v>
      </c>
      <c r="AC122" s="128">
        <v>0</v>
      </c>
      <c r="AD122" s="128">
        <v>0</v>
      </c>
      <c r="AE122" s="128">
        <v>0</v>
      </c>
      <c r="AF122" s="128">
        <v>0</v>
      </c>
      <c r="AG122" s="128">
        <v>0</v>
      </c>
      <c r="AH122" s="128">
        <v>0</v>
      </c>
      <c r="AI122" s="128">
        <v>0</v>
      </c>
      <c r="AJ122" s="128">
        <v>0</v>
      </c>
      <c r="AK122" s="128">
        <v>0</v>
      </c>
      <c r="AL122" s="128">
        <v>0</v>
      </c>
      <c r="AM122" s="128">
        <v>0</v>
      </c>
      <c r="AN122" s="128">
        <v>0</v>
      </c>
      <c r="AO122" s="128">
        <v>0</v>
      </c>
      <c r="AP122" s="173">
        <v>0</v>
      </c>
      <c r="AQ122" s="173">
        <v>0</v>
      </c>
      <c r="AR122" s="173">
        <v>0</v>
      </c>
      <c r="AS122" s="288">
        <v>0</v>
      </c>
      <c r="AT122" s="288">
        <v>0</v>
      </c>
      <c r="AU122" s="288">
        <v>0</v>
      </c>
      <c r="AV122" s="288">
        <v>0</v>
      </c>
      <c r="AW122" s="158">
        <v>0</v>
      </c>
      <c r="AX122" s="158">
        <v>0</v>
      </c>
      <c r="AY122" s="158">
        <v>0</v>
      </c>
      <c r="AZ122" s="158">
        <v>0</v>
      </c>
      <c r="BA122" s="158">
        <v>0</v>
      </c>
      <c r="BB122" s="41">
        <v>0</v>
      </c>
      <c r="BC122" s="41">
        <v>0</v>
      </c>
      <c r="BD122" s="158">
        <v>0</v>
      </c>
      <c r="BE122" s="158">
        <v>0</v>
      </c>
      <c r="BF122" s="288">
        <v>0</v>
      </c>
      <c r="BG122" s="289">
        <v>0</v>
      </c>
      <c r="BH122" s="289">
        <v>0</v>
      </c>
      <c r="BI122" s="289">
        <v>0</v>
      </c>
      <c r="BJ122" s="289">
        <v>0</v>
      </c>
      <c r="BK122" s="289">
        <v>0</v>
      </c>
      <c r="BL122" s="289">
        <v>0</v>
      </c>
      <c r="BM122" s="289">
        <v>0</v>
      </c>
      <c r="BN122" s="289">
        <v>0</v>
      </c>
      <c r="BO122" s="289">
        <v>0</v>
      </c>
      <c r="BP122" s="289">
        <v>0</v>
      </c>
      <c r="BQ122" s="289">
        <v>0</v>
      </c>
      <c r="BR122" s="289">
        <v>0</v>
      </c>
      <c r="BS122" s="289">
        <v>0</v>
      </c>
      <c r="BT122" s="289">
        <v>0</v>
      </c>
      <c r="BU122" s="289"/>
      <c r="BV122" s="142"/>
      <c r="BW122" s="142"/>
      <c r="BX122" s="142"/>
      <c r="BY122" s="142"/>
      <c r="BZ122" s="142"/>
      <c r="CA122" s="142"/>
      <c r="CB122" s="142"/>
      <c r="CC122" s="142"/>
      <c r="CD122" s="142"/>
      <c r="CE122" s="142"/>
      <c r="CF122" s="142"/>
      <c r="CG122" s="142"/>
      <c r="CH122" s="142"/>
      <c r="CI122" s="142"/>
      <c r="CJ122" s="142"/>
      <c r="CK122" s="142"/>
      <c r="CL122" s="142"/>
      <c r="CM122" s="142"/>
      <c r="CN122" s="142"/>
      <c r="CO122" s="142"/>
      <c r="CP122" s="142"/>
      <c r="CQ122" s="142"/>
      <c r="CR122" s="142"/>
      <c r="CS122" s="142"/>
      <c r="CT122" s="142"/>
      <c r="CU122" s="142"/>
      <c r="CV122" s="142"/>
      <c r="CW122" s="142"/>
      <c r="CX122" s="142"/>
      <c r="CY122" s="142"/>
      <c r="CZ122" s="142"/>
      <c r="DA122" s="142"/>
      <c r="DB122" s="142"/>
      <c r="DC122" s="142"/>
      <c r="DD122" s="142"/>
      <c r="DE122" s="142"/>
      <c r="DF122" s="142"/>
      <c r="DG122" s="142"/>
      <c r="DH122" s="142"/>
      <c r="DI122" s="142"/>
      <c r="DJ122" s="142"/>
      <c r="DK122" s="142"/>
      <c r="DL122" s="142"/>
      <c r="DM122" s="142"/>
      <c r="DN122" s="142"/>
      <c r="DO122" s="142"/>
      <c r="DP122" s="142"/>
      <c r="DQ122" s="142"/>
      <c r="DR122" s="142"/>
      <c r="DS122" s="133"/>
      <c r="DT122" s="174" t="str">
        <f t="shared" si="88"/>
        <v/>
      </c>
      <c r="DU122" s="174" t="str">
        <f t="shared" si="88"/>
        <v/>
      </c>
      <c r="DV122" s="174" t="str">
        <f t="shared" si="88"/>
        <v/>
      </c>
      <c r="DW122" s="174" t="str">
        <f t="shared" si="88"/>
        <v/>
      </c>
      <c r="DX122" s="174" t="str">
        <f t="shared" si="88"/>
        <v/>
      </c>
      <c r="DY122" s="174" t="str">
        <f t="shared" si="88"/>
        <v/>
      </c>
      <c r="DZ122" s="174" t="str">
        <f t="shared" si="88"/>
        <v/>
      </c>
      <c r="EA122" s="174" t="str">
        <f t="shared" si="88"/>
        <v/>
      </c>
      <c r="EB122" s="174" t="str">
        <f t="shared" si="88"/>
        <v/>
      </c>
      <c r="EC122" s="174" t="str">
        <f t="shared" si="88"/>
        <v/>
      </c>
      <c r="ED122" s="174" t="str">
        <f t="shared" si="88"/>
        <v/>
      </c>
      <c r="EE122" s="174" t="str">
        <f t="shared" si="88"/>
        <v/>
      </c>
      <c r="EF122" s="174" t="str">
        <f t="shared" si="88"/>
        <v/>
      </c>
      <c r="EG122" s="174" t="str">
        <f t="shared" si="88"/>
        <v/>
      </c>
      <c r="EH122" s="174" t="str">
        <f t="shared" si="88"/>
        <v/>
      </c>
      <c r="EI122" s="174" t="str">
        <f t="shared" si="78"/>
        <v/>
      </c>
      <c r="EJ122" s="174" t="str">
        <f t="shared" si="78"/>
        <v/>
      </c>
      <c r="EK122" s="174" t="str">
        <f t="shared" si="78"/>
        <v/>
      </c>
      <c r="EL122" s="174" t="str">
        <f t="shared" si="78"/>
        <v/>
      </c>
      <c r="EM122" s="174" t="str">
        <f t="shared" si="78"/>
        <v/>
      </c>
      <c r="EN122" s="174" t="str">
        <f t="shared" si="78"/>
        <v/>
      </c>
      <c r="EO122" s="174" t="str">
        <f t="shared" si="86"/>
        <v/>
      </c>
      <c r="EP122" s="174" t="str">
        <f t="shared" si="86"/>
        <v/>
      </c>
      <c r="EQ122" s="174" t="str">
        <f t="shared" si="86"/>
        <v/>
      </c>
      <c r="ER122" s="174" t="str">
        <f t="shared" si="86"/>
        <v/>
      </c>
      <c r="ES122" s="174" t="str">
        <f t="shared" si="86"/>
        <v/>
      </c>
      <c r="ET122" s="174" t="str">
        <f t="shared" si="86"/>
        <v/>
      </c>
      <c r="EU122" s="174" t="str">
        <f t="shared" si="86"/>
        <v/>
      </c>
      <c r="EV122" s="174" t="str">
        <f t="shared" si="86"/>
        <v/>
      </c>
      <c r="EW122" s="174" t="str">
        <f t="shared" si="86"/>
        <v/>
      </c>
      <c r="EX122" s="174" t="str">
        <f t="shared" si="76"/>
        <v/>
      </c>
      <c r="EY122" s="174" t="str">
        <f t="shared" si="76"/>
        <v/>
      </c>
      <c r="EZ122" s="174" t="str">
        <f t="shared" si="76"/>
        <v/>
      </c>
      <c r="FA122" s="174" t="str">
        <f t="shared" si="76"/>
        <v/>
      </c>
      <c r="FB122" s="174" t="str">
        <f t="shared" si="81"/>
        <v/>
      </c>
      <c r="FC122" s="174" t="str">
        <f t="shared" si="81"/>
        <v/>
      </c>
      <c r="FD122" s="174" t="str">
        <f t="shared" si="81"/>
        <v/>
      </c>
      <c r="FE122" s="174" t="str">
        <f t="shared" si="81"/>
        <v/>
      </c>
      <c r="FF122" s="174" t="str">
        <f t="shared" si="81"/>
        <v/>
      </c>
      <c r="FG122" s="174" t="str">
        <f t="shared" si="87"/>
        <v/>
      </c>
      <c r="FH122" s="174" t="str">
        <f t="shared" si="83"/>
        <v/>
      </c>
      <c r="FI122" s="174" t="str">
        <f t="shared" si="84"/>
        <v/>
      </c>
      <c r="FJ122" s="174" t="str">
        <f t="shared" si="85"/>
        <v/>
      </c>
      <c r="FK122" s="174" t="str">
        <f t="shared" si="85"/>
        <v/>
      </c>
    </row>
    <row r="123" spans="2:167" ht="16">
      <c r="B123" s="140" t="s">
        <v>930</v>
      </c>
      <c r="C123" s="127" t="s">
        <v>931</v>
      </c>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v>0</v>
      </c>
      <c r="AA123" s="128">
        <v>0</v>
      </c>
      <c r="AB123" s="128">
        <v>0</v>
      </c>
      <c r="AC123" s="128">
        <v>0</v>
      </c>
      <c r="AD123" s="128">
        <v>0</v>
      </c>
      <c r="AE123" s="128">
        <v>0</v>
      </c>
      <c r="AF123" s="128">
        <v>0</v>
      </c>
      <c r="AG123" s="128">
        <v>0</v>
      </c>
      <c r="AH123" s="128">
        <v>0</v>
      </c>
      <c r="AI123" s="128">
        <v>0</v>
      </c>
      <c r="AJ123" s="128">
        <v>0</v>
      </c>
      <c r="AK123" s="128">
        <v>0</v>
      </c>
      <c r="AL123" s="128">
        <v>0</v>
      </c>
      <c r="AM123" s="128">
        <v>0</v>
      </c>
      <c r="AN123" s="128">
        <v>0</v>
      </c>
      <c r="AO123" s="128">
        <v>0</v>
      </c>
      <c r="AP123" s="173">
        <v>0</v>
      </c>
      <c r="AQ123" s="173">
        <v>0</v>
      </c>
      <c r="AR123" s="173">
        <v>0</v>
      </c>
      <c r="AS123" s="288">
        <v>0</v>
      </c>
      <c r="AT123" s="288">
        <v>0</v>
      </c>
      <c r="AU123" s="288">
        <v>0</v>
      </c>
      <c r="AV123" s="288">
        <v>0</v>
      </c>
      <c r="AW123" s="158">
        <v>0</v>
      </c>
      <c r="AX123" s="158">
        <v>0</v>
      </c>
      <c r="AY123" s="158">
        <v>0</v>
      </c>
      <c r="AZ123" s="158">
        <v>0</v>
      </c>
      <c r="BA123" s="158">
        <v>0</v>
      </c>
      <c r="BB123" s="41">
        <v>0</v>
      </c>
      <c r="BC123" s="41">
        <v>0</v>
      </c>
      <c r="BD123" s="158">
        <v>0</v>
      </c>
      <c r="BE123" s="158">
        <v>0</v>
      </c>
      <c r="BF123" s="288">
        <v>0</v>
      </c>
      <c r="BG123" s="289">
        <v>0</v>
      </c>
      <c r="BH123" s="289">
        <v>0</v>
      </c>
      <c r="BI123" s="289">
        <v>0</v>
      </c>
      <c r="BJ123" s="289">
        <v>0</v>
      </c>
      <c r="BK123" s="289">
        <v>0</v>
      </c>
      <c r="BL123" s="289">
        <v>0</v>
      </c>
      <c r="BM123" s="289">
        <v>0</v>
      </c>
      <c r="BN123" s="289">
        <v>0</v>
      </c>
      <c r="BO123" s="289">
        <v>0</v>
      </c>
      <c r="BP123" s="289">
        <v>0</v>
      </c>
      <c r="BQ123" s="289">
        <v>0</v>
      </c>
      <c r="BR123" s="289">
        <v>0</v>
      </c>
      <c r="BS123" s="289">
        <v>0</v>
      </c>
      <c r="BT123" s="289">
        <v>0</v>
      </c>
      <c r="BU123" s="289"/>
      <c r="BV123" s="142"/>
      <c r="BW123" s="142"/>
      <c r="BX123" s="142"/>
      <c r="BY123" s="142"/>
      <c r="BZ123" s="142"/>
      <c r="CA123" s="142"/>
      <c r="CB123" s="142"/>
      <c r="CC123" s="142"/>
      <c r="CD123" s="142"/>
      <c r="CE123" s="142"/>
      <c r="CF123" s="142"/>
      <c r="CG123" s="142"/>
      <c r="CH123" s="142"/>
      <c r="CI123" s="142"/>
      <c r="CJ123" s="142"/>
      <c r="CK123" s="142"/>
      <c r="CL123" s="142"/>
      <c r="CM123" s="142"/>
      <c r="CN123" s="142"/>
      <c r="CO123" s="142"/>
      <c r="CP123" s="142"/>
      <c r="CQ123" s="142"/>
      <c r="CR123" s="142"/>
      <c r="CS123" s="142"/>
      <c r="CT123" s="142"/>
      <c r="CU123" s="142"/>
      <c r="CV123" s="142"/>
      <c r="CW123" s="142"/>
      <c r="CX123" s="142"/>
      <c r="CY123" s="142"/>
      <c r="CZ123" s="142"/>
      <c r="DA123" s="142"/>
      <c r="DB123" s="142"/>
      <c r="DC123" s="142"/>
      <c r="DD123" s="142"/>
      <c r="DE123" s="142"/>
      <c r="DF123" s="142"/>
      <c r="DG123" s="142"/>
      <c r="DH123" s="142"/>
      <c r="DI123" s="142"/>
      <c r="DJ123" s="142"/>
      <c r="DK123" s="142"/>
      <c r="DL123" s="142"/>
      <c r="DM123" s="142"/>
      <c r="DN123" s="142"/>
      <c r="DO123" s="142"/>
      <c r="DP123" s="142"/>
      <c r="DQ123" s="142"/>
      <c r="DR123" s="142"/>
      <c r="DS123" s="133"/>
      <c r="DT123" s="174" t="str">
        <f t="shared" si="88"/>
        <v/>
      </c>
      <c r="DU123" s="174" t="str">
        <f t="shared" si="88"/>
        <v/>
      </c>
      <c r="DV123" s="174" t="str">
        <f t="shared" si="88"/>
        <v/>
      </c>
      <c r="DW123" s="174" t="str">
        <f t="shared" si="88"/>
        <v/>
      </c>
      <c r="DX123" s="174" t="str">
        <f t="shared" si="88"/>
        <v/>
      </c>
      <c r="DY123" s="174" t="str">
        <f t="shared" si="88"/>
        <v/>
      </c>
      <c r="DZ123" s="174" t="str">
        <f t="shared" si="88"/>
        <v/>
      </c>
      <c r="EA123" s="174" t="str">
        <f t="shared" si="88"/>
        <v/>
      </c>
      <c r="EB123" s="174" t="str">
        <f t="shared" si="88"/>
        <v/>
      </c>
      <c r="EC123" s="174" t="str">
        <f t="shared" si="88"/>
        <v/>
      </c>
      <c r="ED123" s="174" t="str">
        <f t="shared" si="88"/>
        <v/>
      </c>
      <c r="EE123" s="174" t="str">
        <f t="shared" si="88"/>
        <v/>
      </c>
      <c r="EF123" s="174" t="str">
        <f t="shared" si="88"/>
        <v/>
      </c>
      <c r="EG123" s="174" t="str">
        <f t="shared" si="88"/>
        <v/>
      </c>
      <c r="EH123" s="174" t="str">
        <f t="shared" si="88"/>
        <v/>
      </c>
      <c r="EI123" s="174" t="str">
        <f t="shared" si="78"/>
        <v/>
      </c>
      <c r="EJ123" s="174" t="str">
        <f t="shared" si="78"/>
        <v/>
      </c>
      <c r="EK123" s="174" t="str">
        <f t="shared" si="78"/>
        <v/>
      </c>
      <c r="EL123" s="174" t="str">
        <f t="shared" si="78"/>
        <v/>
      </c>
      <c r="EM123" s="174" t="str">
        <f t="shared" si="78"/>
        <v/>
      </c>
      <c r="EN123" s="174" t="str">
        <f t="shared" si="78"/>
        <v/>
      </c>
      <c r="EO123" s="174" t="str">
        <f t="shared" si="86"/>
        <v/>
      </c>
      <c r="EP123" s="174" t="str">
        <f t="shared" si="86"/>
        <v/>
      </c>
      <c r="EQ123" s="174" t="str">
        <f t="shared" si="86"/>
        <v/>
      </c>
      <c r="ER123" s="174" t="str">
        <f t="shared" si="86"/>
        <v/>
      </c>
      <c r="ES123" s="174" t="str">
        <f t="shared" si="86"/>
        <v/>
      </c>
      <c r="ET123" s="174" t="str">
        <f t="shared" si="86"/>
        <v/>
      </c>
      <c r="EU123" s="174" t="str">
        <f t="shared" si="86"/>
        <v/>
      </c>
      <c r="EV123" s="174" t="str">
        <f t="shared" si="86"/>
        <v/>
      </c>
      <c r="EW123" s="174" t="str">
        <f t="shared" si="86"/>
        <v/>
      </c>
      <c r="EX123" s="174" t="str">
        <f t="shared" si="76"/>
        <v/>
      </c>
      <c r="EY123" s="174" t="str">
        <f t="shared" si="76"/>
        <v/>
      </c>
      <c r="EZ123" s="174" t="str">
        <f t="shared" si="76"/>
        <v/>
      </c>
      <c r="FA123" s="174" t="str">
        <f t="shared" si="76"/>
        <v/>
      </c>
      <c r="FB123" s="174" t="str">
        <f t="shared" si="81"/>
        <v/>
      </c>
      <c r="FC123" s="174" t="str">
        <f t="shared" si="81"/>
        <v/>
      </c>
      <c r="FD123" s="174" t="str">
        <f t="shared" si="81"/>
        <v/>
      </c>
      <c r="FE123" s="174" t="str">
        <f t="shared" si="81"/>
        <v/>
      </c>
      <c r="FF123" s="174" t="str">
        <f t="shared" si="81"/>
        <v/>
      </c>
      <c r="FG123" s="174" t="str">
        <f t="shared" si="87"/>
        <v/>
      </c>
      <c r="FH123" s="174" t="str">
        <f t="shared" si="83"/>
        <v/>
      </c>
      <c r="FI123" s="174" t="str">
        <f t="shared" si="84"/>
        <v/>
      </c>
      <c r="FJ123" s="174" t="str">
        <f t="shared" si="85"/>
        <v/>
      </c>
      <c r="FK123" s="174" t="str">
        <f t="shared" si="85"/>
        <v/>
      </c>
    </row>
    <row r="124" spans="2:167" ht="16">
      <c r="B124" s="140" t="s">
        <v>932</v>
      </c>
      <c r="C124" s="127" t="s">
        <v>933</v>
      </c>
      <c r="D124" s="128"/>
      <c r="E124" s="128"/>
      <c r="F124" s="128"/>
      <c r="G124" s="128"/>
      <c r="H124" s="128"/>
      <c r="I124" s="128"/>
      <c r="J124" s="128"/>
      <c r="K124" s="128"/>
      <c r="L124" s="128"/>
      <c r="M124" s="128"/>
      <c r="N124" s="128"/>
      <c r="O124" s="128"/>
      <c r="P124" s="128"/>
      <c r="Q124" s="128"/>
      <c r="R124" s="128"/>
      <c r="S124" s="128"/>
      <c r="T124" s="128"/>
      <c r="U124" s="128"/>
      <c r="V124" s="128"/>
      <c r="W124" s="128"/>
      <c r="X124" s="128"/>
      <c r="Y124" s="128"/>
      <c r="Z124" s="128">
        <v>0</v>
      </c>
      <c r="AA124" s="128">
        <v>0</v>
      </c>
      <c r="AB124" s="128">
        <v>0</v>
      </c>
      <c r="AC124" s="128">
        <v>0</v>
      </c>
      <c r="AD124" s="128">
        <v>0</v>
      </c>
      <c r="AE124" s="128">
        <v>0</v>
      </c>
      <c r="AF124" s="128">
        <v>0</v>
      </c>
      <c r="AG124" s="128">
        <v>0</v>
      </c>
      <c r="AH124" s="128">
        <v>0</v>
      </c>
      <c r="AI124" s="128">
        <v>0</v>
      </c>
      <c r="AJ124" s="128">
        <v>0</v>
      </c>
      <c r="AK124" s="128">
        <v>0</v>
      </c>
      <c r="AL124" s="128">
        <v>0</v>
      </c>
      <c r="AM124" s="128">
        <v>0</v>
      </c>
      <c r="AN124" s="128">
        <v>0</v>
      </c>
      <c r="AO124" s="128">
        <v>0</v>
      </c>
      <c r="AP124" s="173">
        <v>0</v>
      </c>
      <c r="AQ124" s="173">
        <v>0</v>
      </c>
      <c r="AR124" s="173">
        <v>0</v>
      </c>
      <c r="AS124" s="288">
        <v>0</v>
      </c>
      <c r="AT124" s="288">
        <v>0</v>
      </c>
      <c r="AU124" s="288">
        <v>0</v>
      </c>
      <c r="AV124" s="288">
        <v>0</v>
      </c>
      <c r="AW124" s="158">
        <v>0</v>
      </c>
      <c r="AX124" s="158">
        <v>0</v>
      </c>
      <c r="AY124" s="158">
        <v>0</v>
      </c>
      <c r="AZ124" s="158">
        <v>0</v>
      </c>
      <c r="BA124" s="158">
        <v>0</v>
      </c>
      <c r="BB124" s="41">
        <v>0</v>
      </c>
      <c r="BC124" s="41">
        <v>0</v>
      </c>
      <c r="BD124" s="158">
        <v>0</v>
      </c>
      <c r="BE124" s="158">
        <v>0</v>
      </c>
      <c r="BF124" s="288">
        <v>0</v>
      </c>
      <c r="BG124" s="289">
        <v>0</v>
      </c>
      <c r="BH124" s="289">
        <v>0</v>
      </c>
      <c r="BI124" s="289">
        <v>0</v>
      </c>
      <c r="BJ124" s="289">
        <v>0</v>
      </c>
      <c r="BK124" s="289">
        <v>0</v>
      </c>
      <c r="BL124" s="289">
        <v>0</v>
      </c>
      <c r="BM124" s="289">
        <v>0</v>
      </c>
      <c r="BN124" s="289">
        <v>0</v>
      </c>
      <c r="BO124" s="289">
        <v>0</v>
      </c>
      <c r="BP124" s="289">
        <v>0</v>
      </c>
      <c r="BQ124" s="289">
        <v>0</v>
      </c>
      <c r="BR124" s="289">
        <v>0</v>
      </c>
      <c r="BS124" s="289">
        <v>0</v>
      </c>
      <c r="BT124" s="289">
        <v>0</v>
      </c>
      <c r="BU124" s="289"/>
      <c r="BV124" s="142"/>
      <c r="BW124" s="142"/>
      <c r="BX124" s="142"/>
      <c r="BY124" s="142"/>
      <c r="BZ124" s="142"/>
      <c r="CA124" s="142"/>
      <c r="CB124" s="142"/>
      <c r="CC124" s="142"/>
      <c r="CD124" s="142"/>
      <c r="CE124" s="142"/>
      <c r="CF124" s="142"/>
      <c r="CG124" s="142"/>
      <c r="CH124" s="142"/>
      <c r="CI124" s="142"/>
      <c r="CJ124" s="142"/>
      <c r="CK124" s="142"/>
      <c r="CL124" s="142"/>
      <c r="CM124" s="142"/>
      <c r="CN124" s="142"/>
      <c r="CO124" s="142"/>
      <c r="CP124" s="142"/>
      <c r="CQ124" s="142"/>
      <c r="CR124" s="142"/>
      <c r="CS124" s="142"/>
      <c r="CT124" s="142"/>
      <c r="CU124" s="142"/>
      <c r="CV124" s="142"/>
      <c r="CW124" s="142"/>
      <c r="CX124" s="142"/>
      <c r="CY124" s="142"/>
      <c r="CZ124" s="142"/>
      <c r="DA124" s="142"/>
      <c r="DB124" s="142"/>
      <c r="DC124" s="142"/>
      <c r="DD124" s="142"/>
      <c r="DE124" s="142"/>
      <c r="DF124" s="142"/>
      <c r="DG124" s="142"/>
      <c r="DH124" s="142"/>
      <c r="DI124" s="142"/>
      <c r="DJ124" s="142"/>
      <c r="DK124" s="142"/>
      <c r="DL124" s="142"/>
      <c r="DM124" s="142"/>
      <c r="DN124" s="142"/>
      <c r="DO124" s="142"/>
      <c r="DP124" s="142"/>
      <c r="DQ124" s="142"/>
      <c r="DR124" s="142"/>
      <c r="DS124" s="133"/>
      <c r="DT124" s="174" t="str">
        <f t="shared" si="88"/>
        <v/>
      </c>
      <c r="DU124" s="174" t="str">
        <f t="shared" si="88"/>
        <v/>
      </c>
      <c r="DV124" s="174" t="str">
        <f t="shared" si="88"/>
        <v/>
      </c>
      <c r="DW124" s="174" t="str">
        <f t="shared" si="88"/>
        <v/>
      </c>
      <c r="DX124" s="174" t="str">
        <f t="shared" si="88"/>
        <v/>
      </c>
      <c r="DY124" s="174" t="str">
        <f t="shared" si="88"/>
        <v/>
      </c>
      <c r="DZ124" s="174" t="str">
        <f t="shared" si="88"/>
        <v/>
      </c>
      <c r="EA124" s="174" t="str">
        <f t="shared" si="88"/>
        <v/>
      </c>
      <c r="EB124" s="174" t="str">
        <f t="shared" si="88"/>
        <v/>
      </c>
      <c r="EC124" s="174" t="str">
        <f t="shared" si="88"/>
        <v/>
      </c>
      <c r="ED124" s="174" t="str">
        <f t="shared" si="88"/>
        <v/>
      </c>
      <c r="EE124" s="174" t="str">
        <f t="shared" si="88"/>
        <v/>
      </c>
      <c r="EF124" s="174" t="str">
        <f t="shared" si="88"/>
        <v/>
      </c>
      <c r="EG124" s="174" t="str">
        <f t="shared" si="88"/>
        <v/>
      </c>
      <c r="EH124" s="174" t="str">
        <f t="shared" si="88"/>
        <v/>
      </c>
      <c r="EI124" s="174" t="str">
        <f t="shared" si="78"/>
        <v/>
      </c>
      <c r="EJ124" s="174" t="str">
        <f t="shared" si="78"/>
        <v/>
      </c>
      <c r="EK124" s="174" t="str">
        <f t="shared" si="78"/>
        <v/>
      </c>
      <c r="EL124" s="174" t="str">
        <f t="shared" si="78"/>
        <v/>
      </c>
      <c r="EM124" s="174" t="str">
        <f t="shared" si="78"/>
        <v/>
      </c>
      <c r="EN124" s="174" t="str">
        <f t="shared" si="78"/>
        <v/>
      </c>
      <c r="EO124" s="174" t="str">
        <f t="shared" si="86"/>
        <v/>
      </c>
      <c r="EP124" s="174" t="str">
        <f t="shared" si="86"/>
        <v/>
      </c>
      <c r="EQ124" s="174" t="str">
        <f t="shared" si="86"/>
        <v/>
      </c>
      <c r="ER124" s="174" t="str">
        <f t="shared" si="86"/>
        <v/>
      </c>
      <c r="ES124" s="174" t="str">
        <f t="shared" si="86"/>
        <v/>
      </c>
      <c r="ET124" s="174" t="str">
        <f t="shared" si="86"/>
        <v/>
      </c>
      <c r="EU124" s="174" t="str">
        <f t="shared" si="86"/>
        <v/>
      </c>
      <c r="EV124" s="174" t="str">
        <f t="shared" si="86"/>
        <v/>
      </c>
      <c r="EW124" s="174" t="str">
        <f t="shared" si="86"/>
        <v/>
      </c>
      <c r="EX124" s="174" t="str">
        <f t="shared" si="76"/>
        <v/>
      </c>
      <c r="EY124" s="174" t="str">
        <f t="shared" si="76"/>
        <v/>
      </c>
      <c r="EZ124" s="174" t="str">
        <f t="shared" si="76"/>
        <v/>
      </c>
      <c r="FA124" s="174" t="str">
        <f t="shared" si="76"/>
        <v/>
      </c>
      <c r="FB124" s="174" t="str">
        <f t="shared" si="81"/>
        <v/>
      </c>
      <c r="FC124" s="174" t="str">
        <f t="shared" si="81"/>
        <v/>
      </c>
      <c r="FD124" s="174" t="str">
        <f t="shared" si="81"/>
        <v/>
      </c>
      <c r="FE124" s="174" t="str">
        <f t="shared" si="81"/>
        <v/>
      </c>
      <c r="FF124" s="174" t="str">
        <f t="shared" si="81"/>
        <v/>
      </c>
      <c r="FG124" s="174" t="str">
        <f t="shared" si="87"/>
        <v/>
      </c>
      <c r="FH124" s="174" t="str">
        <f t="shared" si="83"/>
        <v/>
      </c>
      <c r="FI124" s="174" t="str">
        <f t="shared" si="84"/>
        <v/>
      </c>
      <c r="FJ124" s="174" t="str">
        <f t="shared" si="85"/>
        <v/>
      </c>
      <c r="FK124" s="174" t="str">
        <f t="shared" si="85"/>
        <v/>
      </c>
    </row>
    <row r="125" spans="2:167" ht="16">
      <c r="B125" s="140" t="s">
        <v>934</v>
      </c>
      <c r="C125" s="127" t="s">
        <v>935</v>
      </c>
      <c r="D125" s="128"/>
      <c r="E125" s="128"/>
      <c r="F125" s="128"/>
      <c r="G125" s="128"/>
      <c r="H125" s="128"/>
      <c r="I125" s="128"/>
      <c r="J125" s="128"/>
      <c r="K125" s="128"/>
      <c r="L125" s="128"/>
      <c r="M125" s="128"/>
      <c r="N125" s="128"/>
      <c r="O125" s="128"/>
      <c r="P125" s="128"/>
      <c r="Q125" s="128"/>
      <c r="R125" s="128"/>
      <c r="S125" s="128"/>
      <c r="T125" s="128"/>
      <c r="U125" s="128"/>
      <c r="V125" s="128"/>
      <c r="W125" s="128"/>
      <c r="X125" s="128"/>
      <c r="Y125" s="128"/>
      <c r="Z125" s="128">
        <v>0</v>
      </c>
      <c r="AA125" s="128">
        <v>0</v>
      </c>
      <c r="AB125" s="128">
        <v>0</v>
      </c>
      <c r="AC125" s="128">
        <v>0</v>
      </c>
      <c r="AD125" s="128">
        <v>0</v>
      </c>
      <c r="AE125" s="128">
        <v>0</v>
      </c>
      <c r="AF125" s="128">
        <v>0</v>
      </c>
      <c r="AG125" s="128">
        <v>0</v>
      </c>
      <c r="AH125" s="128">
        <v>0</v>
      </c>
      <c r="AI125" s="128">
        <v>0</v>
      </c>
      <c r="AJ125" s="128">
        <v>0</v>
      </c>
      <c r="AK125" s="128">
        <v>0</v>
      </c>
      <c r="AL125" s="128">
        <v>0</v>
      </c>
      <c r="AM125" s="128">
        <v>0</v>
      </c>
      <c r="AN125" s="128">
        <v>0</v>
      </c>
      <c r="AO125" s="128">
        <v>0</v>
      </c>
      <c r="AP125" s="173">
        <v>0</v>
      </c>
      <c r="AQ125" s="173">
        <v>0.12</v>
      </c>
      <c r="AR125" s="173">
        <v>0.23499999999999999</v>
      </c>
      <c r="AS125" s="288">
        <v>0.198839233</v>
      </c>
      <c r="AT125" s="288">
        <v>0</v>
      </c>
      <c r="AU125" s="288">
        <v>0</v>
      </c>
      <c r="AV125" s="288">
        <v>0</v>
      </c>
      <c r="AW125" s="158">
        <v>0</v>
      </c>
      <c r="AX125" s="158">
        <v>0</v>
      </c>
      <c r="AY125" s="158">
        <v>0</v>
      </c>
      <c r="AZ125" s="158">
        <v>0</v>
      </c>
      <c r="BA125" s="158">
        <v>0</v>
      </c>
      <c r="BB125" s="41">
        <v>0</v>
      </c>
      <c r="BC125" s="41">
        <v>0</v>
      </c>
      <c r="BD125" s="158">
        <v>0</v>
      </c>
      <c r="BE125" s="158">
        <v>0</v>
      </c>
      <c r="BF125" s="288">
        <v>0</v>
      </c>
      <c r="BG125" s="289">
        <v>0</v>
      </c>
      <c r="BH125" s="289">
        <v>0</v>
      </c>
      <c r="BI125" s="289">
        <v>0</v>
      </c>
      <c r="BJ125" s="289">
        <v>0</v>
      </c>
      <c r="BK125" s="289">
        <v>0</v>
      </c>
      <c r="BL125" s="289">
        <v>0</v>
      </c>
      <c r="BM125" s="289">
        <v>0</v>
      </c>
      <c r="BN125" s="289">
        <v>0</v>
      </c>
      <c r="BO125" s="289">
        <v>0</v>
      </c>
      <c r="BP125" s="289">
        <v>0</v>
      </c>
      <c r="BQ125" s="289">
        <v>0</v>
      </c>
      <c r="BR125" s="289">
        <v>0</v>
      </c>
      <c r="BS125" s="289">
        <v>0</v>
      </c>
      <c r="BT125" s="289">
        <v>0</v>
      </c>
      <c r="BU125" s="289"/>
      <c r="BV125" s="142"/>
      <c r="BW125" s="142"/>
      <c r="BX125" s="142"/>
      <c r="BY125" s="142"/>
      <c r="BZ125" s="142"/>
      <c r="CA125" s="142"/>
      <c r="CB125" s="142"/>
      <c r="CC125" s="142"/>
      <c r="CD125" s="142"/>
      <c r="CE125" s="142"/>
      <c r="CF125" s="142"/>
      <c r="CG125" s="142"/>
      <c r="CH125" s="142"/>
      <c r="CI125" s="142"/>
      <c r="CJ125" s="142"/>
      <c r="CK125" s="142"/>
      <c r="CL125" s="142"/>
      <c r="CM125" s="142"/>
      <c r="CN125" s="142"/>
      <c r="CO125" s="142"/>
      <c r="CP125" s="142"/>
      <c r="CQ125" s="142"/>
      <c r="CR125" s="142"/>
      <c r="CS125" s="142"/>
      <c r="CT125" s="142"/>
      <c r="CU125" s="142"/>
      <c r="CV125" s="142"/>
      <c r="CW125" s="142"/>
      <c r="CX125" s="142"/>
      <c r="CY125" s="142"/>
      <c r="CZ125" s="142"/>
      <c r="DA125" s="142"/>
      <c r="DB125" s="142"/>
      <c r="DC125" s="142"/>
      <c r="DD125" s="142"/>
      <c r="DE125" s="142"/>
      <c r="DF125" s="142"/>
      <c r="DG125" s="142"/>
      <c r="DH125" s="142"/>
      <c r="DI125" s="142"/>
      <c r="DJ125" s="142"/>
      <c r="DK125" s="142"/>
      <c r="DL125" s="142"/>
      <c r="DM125" s="142"/>
      <c r="DN125" s="142"/>
      <c r="DO125" s="142"/>
      <c r="DP125" s="142"/>
      <c r="DQ125" s="142"/>
      <c r="DR125" s="142"/>
      <c r="DS125" s="133"/>
      <c r="DT125" s="174" t="str">
        <f t="shared" si="88"/>
        <v/>
      </c>
      <c r="DU125" s="174" t="str">
        <f t="shared" si="88"/>
        <v/>
      </c>
      <c r="DV125" s="174" t="str">
        <f t="shared" si="88"/>
        <v/>
      </c>
      <c r="DW125" s="174" t="str">
        <f t="shared" si="88"/>
        <v/>
      </c>
      <c r="DX125" s="174" t="str">
        <f t="shared" si="88"/>
        <v/>
      </c>
      <c r="DY125" s="174" t="str">
        <f t="shared" si="88"/>
        <v/>
      </c>
      <c r="DZ125" s="174" t="str">
        <f t="shared" si="88"/>
        <v/>
      </c>
      <c r="EA125" s="174" t="str">
        <f t="shared" si="88"/>
        <v/>
      </c>
      <c r="EB125" s="174" t="str">
        <f t="shared" si="88"/>
        <v/>
      </c>
      <c r="EC125" s="174" t="str">
        <f t="shared" si="88"/>
        <v/>
      </c>
      <c r="ED125" s="174" t="str">
        <f t="shared" si="88"/>
        <v/>
      </c>
      <c r="EE125" s="174" t="str">
        <f t="shared" si="88"/>
        <v/>
      </c>
      <c r="EF125" s="174" t="str">
        <f t="shared" si="88"/>
        <v/>
      </c>
      <c r="EG125" s="174" t="str">
        <f t="shared" si="88"/>
        <v/>
      </c>
      <c r="EH125" s="174" t="str">
        <f t="shared" si="88"/>
        <v/>
      </c>
      <c r="EI125" s="174" t="str">
        <f t="shared" si="78"/>
        <v/>
      </c>
      <c r="EJ125" s="174" t="str">
        <f t="shared" si="78"/>
        <v/>
      </c>
      <c r="EK125" s="174" t="str">
        <f t="shared" si="78"/>
        <v/>
      </c>
      <c r="EL125" s="174" t="str">
        <f t="shared" si="78"/>
        <v/>
      </c>
      <c r="EM125" s="174" t="str">
        <f t="shared" si="78"/>
        <v/>
      </c>
      <c r="EN125" s="174" t="str">
        <f t="shared" si="78"/>
        <v/>
      </c>
      <c r="EO125" s="174" t="str">
        <f t="shared" si="86"/>
        <v/>
      </c>
      <c r="EP125" s="174" t="str">
        <f t="shared" si="86"/>
        <v/>
      </c>
      <c r="EQ125" s="174" t="str">
        <f t="shared" si="86"/>
        <v/>
      </c>
      <c r="ER125" s="174" t="str">
        <f t="shared" si="86"/>
        <v/>
      </c>
      <c r="ES125" s="174" t="str">
        <f t="shared" si="86"/>
        <v/>
      </c>
      <c r="ET125" s="174" t="str">
        <f t="shared" si="86"/>
        <v/>
      </c>
      <c r="EU125" s="174" t="str">
        <f t="shared" si="86"/>
        <v/>
      </c>
      <c r="EV125" s="174" t="str">
        <f t="shared" si="86"/>
        <v/>
      </c>
      <c r="EW125" s="174" t="str">
        <f t="shared" si="86"/>
        <v/>
      </c>
      <c r="EX125" s="174" t="str">
        <f t="shared" si="76"/>
        <v/>
      </c>
      <c r="EY125" s="174" t="str">
        <f t="shared" si="76"/>
        <v/>
      </c>
      <c r="EZ125" s="174" t="str">
        <f t="shared" si="76"/>
        <v/>
      </c>
      <c r="FA125" s="174" t="str">
        <f t="shared" si="76"/>
        <v/>
      </c>
      <c r="FB125" s="174" t="str">
        <f t="shared" si="81"/>
        <v/>
      </c>
      <c r="FC125" s="174" t="str">
        <f t="shared" si="81"/>
        <v/>
      </c>
      <c r="FD125" s="174" t="str">
        <f t="shared" si="81"/>
        <v/>
      </c>
      <c r="FE125" s="174">
        <f t="shared" si="81"/>
        <v>-1</v>
      </c>
      <c r="FF125" s="174">
        <f t="shared" si="81"/>
        <v>-1</v>
      </c>
      <c r="FG125" s="174">
        <f t="shared" si="87"/>
        <v>-1</v>
      </c>
      <c r="FH125" s="174" t="str">
        <f t="shared" si="83"/>
        <v/>
      </c>
      <c r="FI125" s="174" t="str">
        <f t="shared" si="84"/>
        <v/>
      </c>
      <c r="FJ125" s="174" t="str">
        <f t="shared" si="85"/>
        <v/>
      </c>
      <c r="FK125" s="174" t="str">
        <f t="shared" si="85"/>
        <v/>
      </c>
    </row>
    <row r="126" spans="2:167" ht="16">
      <c r="B126" s="140" t="s">
        <v>486</v>
      </c>
      <c r="C126" s="127" t="s">
        <v>936</v>
      </c>
      <c r="D126" s="128"/>
      <c r="E126" s="128"/>
      <c r="F126" s="128"/>
      <c r="G126" s="128"/>
      <c r="H126" s="128"/>
      <c r="I126" s="128"/>
      <c r="J126" s="128"/>
      <c r="K126" s="128"/>
      <c r="L126" s="128"/>
      <c r="M126" s="128"/>
      <c r="N126" s="128"/>
      <c r="O126" s="128"/>
      <c r="P126" s="128"/>
      <c r="Q126" s="128"/>
      <c r="R126" s="128"/>
      <c r="S126" s="128"/>
      <c r="T126" s="128"/>
      <c r="U126" s="128"/>
      <c r="V126" s="128"/>
      <c r="W126" s="128"/>
      <c r="X126" s="128"/>
      <c r="Y126" s="128"/>
      <c r="Z126" s="128">
        <v>0</v>
      </c>
      <c r="AA126" s="128">
        <v>0</v>
      </c>
      <c r="AB126" s="128">
        <v>0</v>
      </c>
      <c r="AC126" s="128">
        <v>0</v>
      </c>
      <c r="AD126" s="128">
        <v>0</v>
      </c>
      <c r="AE126" s="128">
        <v>0</v>
      </c>
      <c r="AF126" s="128">
        <v>0</v>
      </c>
      <c r="AG126" s="128">
        <v>0</v>
      </c>
      <c r="AH126" s="128">
        <v>0</v>
      </c>
      <c r="AI126" s="128">
        <v>0</v>
      </c>
      <c r="AJ126" s="128">
        <v>0</v>
      </c>
      <c r="AK126" s="128">
        <v>0</v>
      </c>
      <c r="AL126" s="128">
        <v>0</v>
      </c>
      <c r="AM126" s="128">
        <v>0</v>
      </c>
      <c r="AN126" s="128">
        <v>59.300259494999999</v>
      </c>
      <c r="AO126" s="128">
        <v>1192.295066747</v>
      </c>
      <c r="AP126" s="173">
        <v>1362.046386664</v>
      </c>
      <c r="AQ126" s="173">
        <v>1339.4712471939999</v>
      </c>
      <c r="AR126" s="173">
        <v>1296.3661502509999</v>
      </c>
      <c r="AS126" s="288">
        <v>1247.995997257</v>
      </c>
      <c r="AT126" s="288">
        <v>1175.3382127580001</v>
      </c>
      <c r="AU126" s="288">
        <v>1119.866666659</v>
      </c>
      <c r="AV126" s="288">
        <v>1121.001666658</v>
      </c>
      <c r="AW126" s="158">
        <v>1122.136666657</v>
      </c>
      <c r="AX126" s="158">
        <v>1123.271666656</v>
      </c>
      <c r="AY126" s="158">
        <v>1124.406666655</v>
      </c>
      <c r="AZ126" s="158">
        <v>1125.541666654</v>
      </c>
      <c r="BA126" s="158">
        <v>1126.676666653</v>
      </c>
      <c r="BB126" s="41">
        <v>1127.811666652</v>
      </c>
      <c r="BC126" s="41">
        <v>1128.946666651</v>
      </c>
      <c r="BD126" s="158">
        <v>3898.4816666500001</v>
      </c>
      <c r="BE126" s="158">
        <v>2768.4</v>
      </c>
      <c r="BF126" s="288">
        <v>0</v>
      </c>
      <c r="BG126" s="289">
        <v>0</v>
      </c>
      <c r="BH126" s="289">
        <v>5967.5</v>
      </c>
      <c r="BI126" s="289">
        <v>5901.25</v>
      </c>
      <c r="BJ126" s="289">
        <v>5967.5</v>
      </c>
      <c r="BK126" s="289">
        <v>5899.375</v>
      </c>
      <c r="BL126" s="289">
        <v>5899.375</v>
      </c>
      <c r="BM126" s="289">
        <v>5985.25</v>
      </c>
      <c r="BN126" s="289">
        <v>6087.25</v>
      </c>
      <c r="BO126" s="289">
        <v>6131.875</v>
      </c>
      <c r="BP126" s="289">
        <v>6151.88</v>
      </c>
      <c r="BQ126" s="289">
        <v>0</v>
      </c>
      <c r="BR126" s="289">
        <v>0</v>
      </c>
      <c r="BS126" s="289">
        <v>0</v>
      </c>
      <c r="BT126" s="289">
        <v>0</v>
      </c>
      <c r="BU126" s="289"/>
      <c r="BV126" s="142"/>
      <c r="BW126" s="142"/>
      <c r="BX126" s="142"/>
      <c r="BY126" s="142"/>
      <c r="BZ126" s="142"/>
      <c r="CA126" s="142"/>
      <c r="CB126" s="142"/>
      <c r="CC126" s="142"/>
      <c r="CD126" s="142"/>
      <c r="CE126" s="142"/>
      <c r="CF126" s="142"/>
      <c r="CG126" s="142"/>
      <c r="CH126" s="142"/>
      <c r="CI126" s="142"/>
      <c r="CJ126" s="142"/>
      <c r="CK126" s="142"/>
      <c r="CL126" s="142"/>
      <c r="CM126" s="142"/>
      <c r="CN126" s="142"/>
      <c r="CO126" s="142"/>
      <c r="CP126" s="142"/>
      <c r="CQ126" s="142"/>
      <c r="CR126" s="142"/>
      <c r="CS126" s="142"/>
      <c r="CT126" s="142"/>
      <c r="CU126" s="142"/>
      <c r="CV126" s="142"/>
      <c r="CW126" s="142"/>
      <c r="CX126" s="142"/>
      <c r="CY126" s="142"/>
      <c r="CZ126" s="142"/>
      <c r="DA126" s="142"/>
      <c r="DB126" s="142"/>
      <c r="DC126" s="142"/>
      <c r="DD126" s="142"/>
      <c r="DE126" s="142"/>
      <c r="DF126" s="142"/>
      <c r="DG126" s="142"/>
      <c r="DH126" s="142"/>
      <c r="DI126" s="142"/>
      <c r="DJ126" s="142"/>
      <c r="DK126" s="142"/>
      <c r="DL126" s="142"/>
      <c r="DM126" s="142"/>
      <c r="DN126" s="142"/>
      <c r="DO126" s="142"/>
      <c r="DP126" s="142"/>
      <c r="DQ126" s="142"/>
      <c r="DR126" s="142"/>
      <c r="DS126" s="133"/>
      <c r="DT126" s="174" t="str">
        <f t="shared" si="88"/>
        <v/>
      </c>
      <c r="DU126" s="174" t="str">
        <f t="shared" si="88"/>
        <v/>
      </c>
      <c r="DV126" s="174" t="str">
        <f t="shared" si="88"/>
        <v/>
      </c>
      <c r="DW126" s="174" t="str">
        <f t="shared" si="88"/>
        <v/>
      </c>
      <c r="DX126" s="174" t="str">
        <f t="shared" si="88"/>
        <v/>
      </c>
      <c r="DY126" s="174" t="str">
        <f t="shared" si="88"/>
        <v/>
      </c>
      <c r="DZ126" s="174" t="str">
        <f t="shared" si="88"/>
        <v/>
      </c>
      <c r="EA126" s="174" t="str">
        <f t="shared" si="88"/>
        <v/>
      </c>
      <c r="EB126" s="174" t="str">
        <f t="shared" si="88"/>
        <v/>
      </c>
      <c r="EC126" s="174" t="str">
        <f t="shared" si="88"/>
        <v/>
      </c>
      <c r="ED126" s="174" t="str">
        <f t="shared" si="88"/>
        <v/>
      </c>
      <c r="EE126" s="174" t="str">
        <f t="shared" si="88"/>
        <v/>
      </c>
      <c r="EF126" s="174" t="str">
        <f t="shared" si="88"/>
        <v/>
      </c>
      <c r="EG126" s="174" t="str">
        <f t="shared" si="88"/>
        <v/>
      </c>
      <c r="EH126" s="174" t="str">
        <f t="shared" si="88"/>
        <v/>
      </c>
      <c r="EI126" s="174" t="str">
        <f t="shared" si="78"/>
        <v/>
      </c>
      <c r="EJ126" s="174" t="str">
        <f t="shared" si="78"/>
        <v/>
      </c>
      <c r="EK126" s="174" t="str">
        <f t="shared" si="78"/>
        <v/>
      </c>
      <c r="EL126" s="174" t="str">
        <f t="shared" si="78"/>
        <v/>
      </c>
      <c r="EM126" s="174" t="str">
        <f t="shared" si="78"/>
        <v/>
      </c>
      <c r="EN126" s="174" t="str">
        <f t="shared" si="78"/>
        <v/>
      </c>
      <c r="EO126" s="174" t="str">
        <f t="shared" si="86"/>
        <v/>
      </c>
      <c r="EP126" s="174" t="str">
        <f t="shared" si="86"/>
        <v/>
      </c>
      <c r="EQ126" s="174" t="str">
        <f t="shared" si="86"/>
        <v/>
      </c>
      <c r="ER126" s="174" t="str">
        <f t="shared" si="86"/>
        <v/>
      </c>
      <c r="ES126" s="174" t="str">
        <f t="shared" si="86"/>
        <v/>
      </c>
      <c r="ET126" s="174" t="str">
        <f t="shared" si="86"/>
        <v/>
      </c>
      <c r="EU126" s="174" t="str">
        <f t="shared" si="86"/>
        <v/>
      </c>
      <c r="EV126" s="174" t="str">
        <f t="shared" si="86"/>
        <v/>
      </c>
      <c r="EW126" s="174" t="str">
        <f t="shared" si="86"/>
        <v/>
      </c>
      <c r="EX126" s="174" t="str">
        <f t="shared" si="76"/>
        <v/>
      </c>
      <c r="EY126" s="174" t="str">
        <f t="shared" si="76"/>
        <v/>
      </c>
      <c r="EZ126" s="174" t="str">
        <f t="shared" si="76"/>
        <v/>
      </c>
      <c r="FA126" s="174" t="str">
        <f t="shared" si="76"/>
        <v/>
      </c>
      <c r="FB126" s="174">
        <f t="shared" si="81"/>
        <v>20.861053582072525</v>
      </c>
      <c r="FC126" s="174">
        <f t="shared" si="81"/>
        <v>4.6717404158998832E-2</v>
      </c>
      <c r="FD126" s="174">
        <f t="shared" si="81"/>
        <v>-0.13707915951621596</v>
      </c>
      <c r="FE126" s="174">
        <f t="shared" si="81"/>
        <v>-0.16394870811526563</v>
      </c>
      <c r="FF126" s="174">
        <f t="shared" si="81"/>
        <v>-0.13527388350817882</v>
      </c>
      <c r="FG126" s="174">
        <f t="shared" si="87"/>
        <v>-0.10084914605225437</v>
      </c>
      <c r="FH126" s="174">
        <f t="shared" si="83"/>
        <v>-4.429920301818735E-2</v>
      </c>
      <c r="FI126" s="174">
        <f t="shared" si="84"/>
        <v>4.0540540505100697E-3</v>
      </c>
      <c r="FJ126" s="174">
        <f t="shared" si="85"/>
        <v>4.0499493720957958E-3</v>
      </c>
      <c r="FK126" s="174">
        <f t="shared" si="85"/>
        <v>4.04585299714455E-3</v>
      </c>
    </row>
    <row r="127" spans="2:167" ht="16">
      <c r="B127" s="140" t="s">
        <v>937</v>
      </c>
      <c r="C127" s="127" t="s">
        <v>938</v>
      </c>
      <c r="D127" s="128"/>
      <c r="E127" s="128"/>
      <c r="F127" s="128"/>
      <c r="G127" s="128"/>
      <c r="H127" s="128"/>
      <c r="I127" s="128"/>
      <c r="J127" s="128"/>
      <c r="K127" s="128"/>
      <c r="L127" s="128"/>
      <c r="M127" s="128"/>
      <c r="N127" s="128"/>
      <c r="O127" s="128"/>
      <c r="P127" s="128"/>
      <c r="Q127" s="128"/>
      <c r="R127" s="128"/>
      <c r="S127" s="128"/>
      <c r="T127" s="128"/>
      <c r="U127" s="128"/>
      <c r="V127" s="128"/>
      <c r="W127" s="128"/>
      <c r="X127" s="128"/>
      <c r="Y127" s="128"/>
      <c r="Z127" s="128">
        <v>0</v>
      </c>
      <c r="AA127" s="128">
        <v>0</v>
      </c>
      <c r="AB127" s="128">
        <v>0</v>
      </c>
      <c r="AC127" s="128">
        <v>0</v>
      </c>
      <c r="AD127" s="128">
        <v>0</v>
      </c>
      <c r="AE127" s="128">
        <v>0</v>
      </c>
      <c r="AF127" s="128">
        <v>0</v>
      </c>
      <c r="AG127" s="128">
        <v>0</v>
      </c>
      <c r="AH127" s="128">
        <v>0</v>
      </c>
      <c r="AI127" s="128">
        <v>0</v>
      </c>
      <c r="AJ127" s="128">
        <v>0</v>
      </c>
      <c r="AK127" s="128">
        <v>0</v>
      </c>
      <c r="AL127" s="128">
        <v>0</v>
      </c>
      <c r="AM127" s="128">
        <v>0</v>
      </c>
      <c r="AN127" s="128">
        <v>0</v>
      </c>
      <c r="AO127" s="128">
        <v>0</v>
      </c>
      <c r="AP127" s="173">
        <v>0</v>
      </c>
      <c r="AQ127" s="173">
        <v>0</v>
      </c>
      <c r="AR127" s="173">
        <v>0</v>
      </c>
      <c r="AS127" s="288">
        <v>0</v>
      </c>
      <c r="AT127" s="288">
        <v>0</v>
      </c>
      <c r="AU127" s="288">
        <v>0</v>
      </c>
      <c r="AV127" s="288">
        <v>0</v>
      </c>
      <c r="AW127" s="158">
        <v>0</v>
      </c>
      <c r="AX127" s="158">
        <v>0</v>
      </c>
      <c r="AY127" s="158">
        <v>0</v>
      </c>
      <c r="AZ127" s="158">
        <v>0</v>
      </c>
      <c r="BA127" s="158">
        <v>0</v>
      </c>
      <c r="BB127" s="41">
        <v>0</v>
      </c>
      <c r="BC127" s="41">
        <v>0</v>
      </c>
      <c r="BD127" s="158">
        <v>0</v>
      </c>
      <c r="BE127" s="158">
        <v>0</v>
      </c>
      <c r="BF127" s="288">
        <v>0</v>
      </c>
      <c r="BG127" s="289">
        <v>0</v>
      </c>
      <c r="BH127" s="289">
        <v>0</v>
      </c>
      <c r="BI127" s="289">
        <v>0</v>
      </c>
      <c r="BJ127" s="289">
        <v>0</v>
      </c>
      <c r="BK127" s="289">
        <v>0</v>
      </c>
      <c r="BL127" s="289">
        <v>0</v>
      </c>
      <c r="BM127" s="289">
        <v>0</v>
      </c>
      <c r="BN127" s="289">
        <v>0</v>
      </c>
      <c r="BO127" s="289">
        <v>0</v>
      </c>
      <c r="BP127" s="289">
        <v>0</v>
      </c>
      <c r="BQ127" s="289">
        <v>0</v>
      </c>
      <c r="BR127" s="289">
        <v>0</v>
      </c>
      <c r="BS127" s="289">
        <v>0</v>
      </c>
      <c r="BT127" s="289">
        <v>0</v>
      </c>
      <c r="BU127" s="289"/>
      <c r="BV127" s="142"/>
      <c r="BW127" s="142"/>
      <c r="BX127" s="142"/>
      <c r="BY127" s="142"/>
      <c r="BZ127" s="142"/>
      <c r="CA127" s="142"/>
      <c r="CB127" s="142"/>
      <c r="CC127" s="142"/>
      <c r="CD127" s="142"/>
      <c r="CE127" s="142"/>
      <c r="CF127" s="142"/>
      <c r="CG127" s="142"/>
      <c r="CH127" s="142"/>
      <c r="CI127" s="142"/>
      <c r="CJ127" s="142"/>
      <c r="CK127" s="142"/>
      <c r="CL127" s="142"/>
      <c r="CM127" s="142"/>
      <c r="CN127" s="142"/>
      <c r="CO127" s="142"/>
      <c r="CP127" s="142"/>
      <c r="CQ127" s="142"/>
      <c r="CR127" s="142"/>
      <c r="CS127" s="142"/>
      <c r="CT127" s="142"/>
      <c r="CU127" s="142"/>
      <c r="CV127" s="142"/>
      <c r="CW127" s="142"/>
      <c r="CX127" s="142"/>
      <c r="CY127" s="142"/>
      <c r="CZ127" s="142"/>
      <c r="DA127" s="142"/>
      <c r="DB127" s="142"/>
      <c r="DC127" s="142"/>
      <c r="DD127" s="142"/>
      <c r="DE127" s="142"/>
      <c r="DF127" s="142"/>
      <c r="DG127" s="142"/>
      <c r="DH127" s="142"/>
      <c r="DI127" s="142"/>
      <c r="DJ127" s="142"/>
      <c r="DK127" s="142"/>
      <c r="DL127" s="142"/>
      <c r="DM127" s="142"/>
      <c r="DN127" s="142"/>
      <c r="DO127" s="142"/>
      <c r="DP127" s="142"/>
      <c r="DQ127" s="142"/>
      <c r="DR127" s="142"/>
      <c r="DS127" s="133"/>
      <c r="DT127" s="174" t="str">
        <f t="shared" si="88"/>
        <v/>
      </c>
      <c r="DU127" s="174" t="str">
        <f t="shared" si="88"/>
        <v/>
      </c>
      <c r="DV127" s="174" t="str">
        <f t="shared" si="88"/>
        <v/>
      </c>
      <c r="DW127" s="174" t="str">
        <f t="shared" si="88"/>
        <v/>
      </c>
      <c r="DX127" s="174" t="str">
        <f t="shared" si="88"/>
        <v/>
      </c>
      <c r="DY127" s="174" t="str">
        <f t="shared" si="88"/>
        <v/>
      </c>
      <c r="DZ127" s="174" t="str">
        <f t="shared" si="88"/>
        <v/>
      </c>
      <c r="EA127" s="174" t="str">
        <f t="shared" si="88"/>
        <v/>
      </c>
      <c r="EB127" s="174" t="str">
        <f t="shared" si="88"/>
        <v/>
      </c>
      <c r="EC127" s="174" t="str">
        <f t="shared" si="88"/>
        <v/>
      </c>
      <c r="ED127" s="174" t="str">
        <f t="shared" si="88"/>
        <v/>
      </c>
      <c r="EE127" s="174" t="str">
        <f t="shared" si="88"/>
        <v/>
      </c>
      <c r="EF127" s="174" t="str">
        <f t="shared" si="88"/>
        <v/>
      </c>
      <c r="EG127" s="174" t="str">
        <f t="shared" si="88"/>
        <v/>
      </c>
      <c r="EH127" s="174" t="str">
        <f t="shared" si="88"/>
        <v/>
      </c>
      <c r="EI127" s="174" t="str">
        <f t="shared" si="78"/>
        <v/>
      </c>
      <c r="EJ127" s="174" t="str">
        <f t="shared" si="78"/>
        <v/>
      </c>
      <c r="EK127" s="174" t="str">
        <f t="shared" si="78"/>
        <v/>
      </c>
      <c r="EL127" s="174" t="str">
        <f t="shared" si="78"/>
        <v/>
      </c>
      <c r="EM127" s="174" t="str">
        <f t="shared" si="78"/>
        <v/>
      </c>
      <c r="EN127" s="174" t="str">
        <f t="shared" si="78"/>
        <v/>
      </c>
      <c r="EO127" s="174" t="str">
        <f t="shared" si="86"/>
        <v/>
      </c>
      <c r="EP127" s="174" t="str">
        <f t="shared" si="86"/>
        <v/>
      </c>
      <c r="EQ127" s="174" t="str">
        <f t="shared" si="86"/>
        <v/>
      </c>
      <c r="ER127" s="174" t="str">
        <f t="shared" si="86"/>
        <v/>
      </c>
      <c r="ES127" s="174" t="str">
        <f t="shared" si="86"/>
        <v/>
      </c>
      <c r="ET127" s="174" t="str">
        <f t="shared" si="86"/>
        <v/>
      </c>
      <c r="EU127" s="174" t="str">
        <f t="shared" si="86"/>
        <v/>
      </c>
      <c r="EV127" s="174" t="str">
        <f t="shared" si="86"/>
        <v/>
      </c>
      <c r="EW127" s="174" t="str">
        <f t="shared" si="86"/>
        <v/>
      </c>
      <c r="EX127" s="174" t="str">
        <f t="shared" si="76"/>
        <v/>
      </c>
      <c r="EY127" s="174" t="str">
        <f t="shared" si="76"/>
        <v/>
      </c>
      <c r="EZ127" s="174" t="str">
        <f t="shared" si="76"/>
        <v/>
      </c>
      <c r="FA127" s="174" t="str">
        <f t="shared" si="76"/>
        <v/>
      </c>
      <c r="FB127" s="174" t="str">
        <f t="shared" si="81"/>
        <v/>
      </c>
      <c r="FC127" s="174" t="str">
        <f t="shared" si="81"/>
        <v/>
      </c>
      <c r="FD127" s="174" t="str">
        <f t="shared" si="81"/>
        <v/>
      </c>
      <c r="FE127" s="174" t="str">
        <f t="shared" si="81"/>
        <v/>
      </c>
      <c r="FF127" s="174" t="str">
        <f t="shared" si="81"/>
        <v/>
      </c>
      <c r="FG127" s="174" t="str">
        <f t="shared" si="87"/>
        <v/>
      </c>
      <c r="FH127" s="174" t="str">
        <f t="shared" si="83"/>
        <v/>
      </c>
      <c r="FI127" s="174" t="str">
        <f t="shared" si="84"/>
        <v/>
      </c>
      <c r="FJ127" s="174" t="str">
        <f t="shared" si="85"/>
        <v/>
      </c>
      <c r="FK127" s="174" t="str">
        <f t="shared" si="85"/>
        <v/>
      </c>
    </row>
    <row r="128" spans="2:167" ht="16">
      <c r="B128" s="140" t="s">
        <v>939</v>
      </c>
      <c r="C128" s="127" t="s">
        <v>940</v>
      </c>
      <c r="D128" s="128"/>
      <c r="E128" s="128"/>
      <c r="F128" s="128"/>
      <c r="G128" s="128"/>
      <c r="H128" s="128"/>
      <c r="I128" s="128"/>
      <c r="J128" s="128"/>
      <c r="K128" s="128"/>
      <c r="L128" s="128"/>
      <c r="M128" s="128"/>
      <c r="N128" s="128"/>
      <c r="O128" s="128"/>
      <c r="P128" s="128"/>
      <c r="Q128" s="128"/>
      <c r="R128" s="128"/>
      <c r="S128" s="128"/>
      <c r="T128" s="128"/>
      <c r="U128" s="128"/>
      <c r="V128" s="128"/>
      <c r="W128" s="128"/>
      <c r="X128" s="128"/>
      <c r="Y128" s="128"/>
      <c r="Z128" s="128">
        <v>0</v>
      </c>
      <c r="AA128" s="128">
        <v>0</v>
      </c>
      <c r="AB128" s="128">
        <v>0</v>
      </c>
      <c r="AC128" s="128">
        <v>0</v>
      </c>
      <c r="AD128" s="128">
        <v>0</v>
      </c>
      <c r="AE128" s="128">
        <v>0</v>
      </c>
      <c r="AF128" s="128">
        <v>0</v>
      </c>
      <c r="AG128" s="128">
        <v>0</v>
      </c>
      <c r="AH128" s="128">
        <v>0</v>
      </c>
      <c r="AI128" s="128">
        <v>0</v>
      </c>
      <c r="AJ128" s="128">
        <v>0</v>
      </c>
      <c r="AK128" s="128">
        <v>0</v>
      </c>
      <c r="AL128" s="128">
        <v>0</v>
      </c>
      <c r="AM128" s="128">
        <v>0</v>
      </c>
      <c r="AN128" s="128">
        <v>0</v>
      </c>
      <c r="AO128" s="128">
        <v>0</v>
      </c>
      <c r="AP128" s="173">
        <v>0</v>
      </c>
      <c r="AQ128" s="173">
        <v>0</v>
      </c>
      <c r="AR128" s="173">
        <v>0</v>
      </c>
      <c r="AS128" s="288">
        <v>0</v>
      </c>
      <c r="AT128" s="288">
        <v>0</v>
      </c>
      <c r="AU128" s="288">
        <v>0</v>
      </c>
      <c r="AV128" s="288">
        <v>0</v>
      </c>
      <c r="AW128" s="158">
        <v>0</v>
      </c>
      <c r="AX128" s="158">
        <v>0</v>
      </c>
      <c r="AY128" s="158">
        <v>0</v>
      </c>
      <c r="AZ128" s="158">
        <v>0</v>
      </c>
      <c r="BA128" s="158">
        <v>0</v>
      </c>
      <c r="BB128" s="41">
        <v>0</v>
      </c>
      <c r="BC128" s="41">
        <v>0</v>
      </c>
      <c r="BD128" s="158">
        <v>0</v>
      </c>
      <c r="BE128" s="158">
        <v>0</v>
      </c>
      <c r="BF128" s="288">
        <v>0</v>
      </c>
      <c r="BG128" s="289">
        <v>0</v>
      </c>
      <c r="BH128" s="289">
        <v>0</v>
      </c>
      <c r="BI128" s="289">
        <v>0</v>
      </c>
      <c r="BJ128" s="289">
        <v>0</v>
      </c>
      <c r="BK128" s="289">
        <v>0</v>
      </c>
      <c r="BL128" s="289">
        <v>0</v>
      </c>
      <c r="BM128" s="289">
        <v>0</v>
      </c>
      <c r="BN128" s="289">
        <v>0</v>
      </c>
      <c r="BO128" s="289">
        <v>0</v>
      </c>
      <c r="BP128" s="289">
        <v>0</v>
      </c>
      <c r="BQ128" s="289">
        <v>0</v>
      </c>
      <c r="BR128" s="289">
        <v>0</v>
      </c>
      <c r="BS128" s="289">
        <v>0</v>
      </c>
      <c r="BT128" s="289">
        <v>0</v>
      </c>
      <c r="BU128" s="289"/>
      <c r="BV128" s="142"/>
      <c r="BW128" s="142"/>
      <c r="BX128" s="142"/>
      <c r="BY128" s="142"/>
      <c r="BZ128" s="142"/>
      <c r="CA128" s="142"/>
      <c r="CB128" s="142"/>
      <c r="CC128" s="142"/>
      <c r="CD128" s="142"/>
      <c r="CE128" s="142"/>
      <c r="CF128" s="142"/>
      <c r="CG128" s="142"/>
      <c r="CH128" s="142"/>
      <c r="CI128" s="142"/>
      <c r="CJ128" s="142"/>
      <c r="CK128" s="142"/>
      <c r="CL128" s="142"/>
      <c r="CM128" s="142"/>
      <c r="CN128" s="142"/>
      <c r="CO128" s="142"/>
      <c r="CP128" s="142"/>
      <c r="CQ128" s="142"/>
      <c r="CR128" s="142"/>
      <c r="CS128" s="142"/>
      <c r="CT128" s="142"/>
      <c r="CU128" s="142"/>
      <c r="CV128" s="142"/>
      <c r="CW128" s="142"/>
      <c r="CX128" s="142"/>
      <c r="CY128" s="142"/>
      <c r="CZ128" s="142"/>
      <c r="DA128" s="142"/>
      <c r="DB128" s="142"/>
      <c r="DC128" s="142"/>
      <c r="DD128" s="142"/>
      <c r="DE128" s="142"/>
      <c r="DF128" s="142"/>
      <c r="DG128" s="142"/>
      <c r="DH128" s="142"/>
      <c r="DI128" s="142"/>
      <c r="DJ128" s="142"/>
      <c r="DK128" s="142"/>
      <c r="DL128" s="142"/>
      <c r="DM128" s="142"/>
      <c r="DN128" s="142"/>
      <c r="DO128" s="142"/>
      <c r="DP128" s="142"/>
      <c r="DQ128" s="142"/>
      <c r="DR128" s="142"/>
      <c r="DS128" s="133"/>
      <c r="DT128" s="174" t="str">
        <f t="shared" si="88"/>
        <v/>
      </c>
      <c r="DU128" s="174" t="str">
        <f t="shared" si="88"/>
        <v/>
      </c>
      <c r="DV128" s="174" t="str">
        <f t="shared" si="88"/>
        <v/>
      </c>
      <c r="DW128" s="174" t="str">
        <f t="shared" si="88"/>
        <v/>
      </c>
      <c r="DX128" s="174" t="str">
        <f t="shared" si="88"/>
        <v/>
      </c>
      <c r="DY128" s="174" t="str">
        <f t="shared" si="88"/>
        <v/>
      </c>
      <c r="DZ128" s="174" t="str">
        <f t="shared" si="88"/>
        <v/>
      </c>
      <c r="EA128" s="174" t="str">
        <f t="shared" si="88"/>
        <v/>
      </c>
      <c r="EB128" s="174" t="str">
        <f t="shared" si="88"/>
        <v/>
      </c>
      <c r="EC128" s="174" t="str">
        <f t="shared" si="88"/>
        <v/>
      </c>
      <c r="ED128" s="174" t="str">
        <f t="shared" si="88"/>
        <v/>
      </c>
      <c r="EE128" s="174" t="str">
        <f t="shared" si="88"/>
        <v/>
      </c>
      <c r="EF128" s="174" t="str">
        <f t="shared" si="88"/>
        <v/>
      </c>
      <c r="EG128" s="174" t="str">
        <f t="shared" si="88"/>
        <v/>
      </c>
      <c r="EH128" s="174" t="str">
        <f t="shared" si="88"/>
        <v/>
      </c>
      <c r="EI128" s="174" t="str">
        <f t="shared" si="78"/>
        <v/>
      </c>
      <c r="EJ128" s="174" t="str">
        <f t="shared" si="78"/>
        <v/>
      </c>
      <c r="EK128" s="174" t="str">
        <f t="shared" si="78"/>
        <v/>
      </c>
      <c r="EL128" s="174" t="str">
        <f t="shared" si="78"/>
        <v/>
      </c>
      <c r="EM128" s="174" t="str">
        <f t="shared" si="78"/>
        <v/>
      </c>
      <c r="EN128" s="174" t="str">
        <f t="shared" si="78"/>
        <v/>
      </c>
      <c r="EO128" s="174" t="str">
        <f t="shared" si="86"/>
        <v/>
      </c>
      <c r="EP128" s="174" t="str">
        <f t="shared" si="86"/>
        <v/>
      </c>
      <c r="EQ128" s="174" t="str">
        <f t="shared" si="86"/>
        <v/>
      </c>
      <c r="ER128" s="174" t="str">
        <f t="shared" si="86"/>
        <v/>
      </c>
      <c r="ES128" s="174" t="str">
        <f t="shared" si="86"/>
        <v/>
      </c>
      <c r="ET128" s="174" t="str">
        <f t="shared" si="86"/>
        <v/>
      </c>
      <c r="EU128" s="174" t="str">
        <f t="shared" si="86"/>
        <v/>
      </c>
      <c r="EV128" s="174" t="str">
        <f t="shared" si="86"/>
        <v/>
      </c>
      <c r="EW128" s="174" t="str">
        <f t="shared" si="86"/>
        <v/>
      </c>
      <c r="EX128" s="174" t="str">
        <f t="shared" si="76"/>
        <v/>
      </c>
      <c r="EY128" s="174" t="str">
        <f t="shared" si="76"/>
        <v/>
      </c>
      <c r="EZ128" s="174" t="str">
        <f t="shared" si="76"/>
        <v/>
      </c>
      <c r="FA128" s="174" t="str">
        <f t="shared" si="76"/>
        <v/>
      </c>
      <c r="FB128" s="174" t="str">
        <f t="shared" si="81"/>
        <v/>
      </c>
      <c r="FC128" s="174" t="str">
        <f t="shared" si="81"/>
        <v/>
      </c>
      <c r="FD128" s="174" t="str">
        <f t="shared" si="81"/>
        <v/>
      </c>
      <c r="FE128" s="174" t="str">
        <f t="shared" si="81"/>
        <v/>
      </c>
      <c r="FF128" s="174" t="str">
        <f t="shared" si="81"/>
        <v/>
      </c>
      <c r="FG128" s="174" t="str">
        <f t="shared" si="87"/>
        <v/>
      </c>
      <c r="FH128" s="174" t="str">
        <f t="shared" si="83"/>
        <v/>
      </c>
      <c r="FI128" s="174" t="str">
        <f t="shared" si="84"/>
        <v/>
      </c>
      <c r="FJ128" s="174" t="str">
        <f t="shared" si="85"/>
        <v/>
      </c>
      <c r="FK128" s="174" t="str">
        <f t="shared" si="85"/>
        <v/>
      </c>
    </row>
    <row r="129" spans="2:167" ht="16">
      <c r="B129" s="140" t="s">
        <v>941</v>
      </c>
      <c r="C129" s="127" t="s">
        <v>942</v>
      </c>
      <c r="D129" s="128"/>
      <c r="E129" s="128"/>
      <c r="F129" s="128"/>
      <c r="G129" s="128"/>
      <c r="H129" s="128"/>
      <c r="I129" s="128"/>
      <c r="J129" s="128"/>
      <c r="K129" s="128"/>
      <c r="L129" s="128"/>
      <c r="M129" s="128"/>
      <c r="N129" s="128"/>
      <c r="O129" s="128"/>
      <c r="P129" s="128"/>
      <c r="Q129" s="128"/>
      <c r="R129" s="128"/>
      <c r="S129" s="128"/>
      <c r="T129" s="128"/>
      <c r="U129" s="128"/>
      <c r="V129" s="128"/>
      <c r="W129" s="128"/>
      <c r="X129" s="128"/>
      <c r="Y129" s="128"/>
      <c r="Z129" s="128">
        <v>0</v>
      </c>
      <c r="AA129" s="128">
        <v>0</v>
      </c>
      <c r="AB129" s="128">
        <v>0</v>
      </c>
      <c r="AC129" s="128">
        <v>0</v>
      </c>
      <c r="AD129" s="128">
        <v>0</v>
      </c>
      <c r="AE129" s="128">
        <v>0</v>
      </c>
      <c r="AF129" s="128">
        <v>0</v>
      </c>
      <c r="AG129" s="128">
        <v>0</v>
      </c>
      <c r="AH129" s="128">
        <v>0</v>
      </c>
      <c r="AI129" s="128">
        <v>0</v>
      </c>
      <c r="AJ129" s="128">
        <v>0</v>
      </c>
      <c r="AK129" s="128">
        <v>0</v>
      </c>
      <c r="AL129" s="128">
        <v>0</v>
      </c>
      <c r="AM129" s="128">
        <v>0</v>
      </c>
      <c r="AN129" s="128">
        <v>0</v>
      </c>
      <c r="AO129" s="128">
        <v>0</v>
      </c>
      <c r="AP129" s="173">
        <v>0</v>
      </c>
      <c r="AQ129" s="173">
        <v>0</v>
      </c>
      <c r="AR129" s="173">
        <v>0</v>
      </c>
      <c r="AS129" s="288">
        <v>1.8960114990000001</v>
      </c>
      <c r="AT129" s="288">
        <v>0</v>
      </c>
      <c r="AU129" s="288">
        <v>0</v>
      </c>
      <c r="AV129" s="288">
        <v>0</v>
      </c>
      <c r="AW129" s="158">
        <v>0</v>
      </c>
      <c r="AX129" s="158">
        <v>0</v>
      </c>
      <c r="AY129" s="158">
        <v>0</v>
      </c>
      <c r="AZ129" s="158">
        <v>0</v>
      </c>
      <c r="BA129" s="158">
        <v>0</v>
      </c>
      <c r="BB129" s="41">
        <v>0</v>
      </c>
      <c r="BC129" s="41">
        <v>0</v>
      </c>
      <c r="BD129" s="158">
        <v>0</v>
      </c>
      <c r="BE129" s="158">
        <v>0</v>
      </c>
      <c r="BF129" s="288">
        <v>0</v>
      </c>
      <c r="BG129" s="289">
        <v>0</v>
      </c>
      <c r="BH129" s="289">
        <v>0</v>
      </c>
      <c r="BI129" s="289">
        <v>0</v>
      </c>
      <c r="BJ129" s="289">
        <v>0</v>
      </c>
      <c r="BK129" s="289">
        <v>0</v>
      </c>
      <c r="BL129" s="289">
        <v>0</v>
      </c>
      <c r="BM129" s="289">
        <v>1.168691414</v>
      </c>
      <c r="BN129" s="289">
        <v>1.17</v>
      </c>
      <c r="BO129" s="289">
        <v>1.168691414</v>
      </c>
      <c r="BP129" s="289">
        <v>1.17</v>
      </c>
      <c r="BQ129" s="289">
        <v>0</v>
      </c>
      <c r="BR129" s="289">
        <v>0</v>
      </c>
      <c r="BS129" s="289">
        <v>0</v>
      </c>
      <c r="BT129" s="289">
        <v>0</v>
      </c>
      <c r="BU129" s="289"/>
      <c r="BV129" s="142"/>
      <c r="BW129" s="142"/>
      <c r="BX129" s="142"/>
      <c r="BY129" s="142"/>
      <c r="BZ129" s="142"/>
      <c r="CA129" s="142"/>
      <c r="CB129" s="142"/>
      <c r="CC129" s="142"/>
      <c r="CD129" s="142"/>
      <c r="CE129" s="142"/>
      <c r="CF129" s="142"/>
      <c r="CG129" s="142"/>
      <c r="CH129" s="142"/>
      <c r="CI129" s="142"/>
      <c r="CJ129" s="142"/>
      <c r="CK129" s="142"/>
      <c r="CL129" s="142"/>
      <c r="CM129" s="142"/>
      <c r="CN129" s="142"/>
      <c r="CO129" s="142"/>
      <c r="CP129" s="142"/>
      <c r="CQ129" s="142"/>
      <c r="CR129" s="142"/>
      <c r="CS129" s="142"/>
      <c r="CT129" s="142"/>
      <c r="CU129" s="142"/>
      <c r="CV129" s="142"/>
      <c r="CW129" s="142"/>
      <c r="CX129" s="142"/>
      <c r="CY129" s="142"/>
      <c r="CZ129" s="142"/>
      <c r="DA129" s="142"/>
      <c r="DB129" s="142"/>
      <c r="DC129" s="142"/>
      <c r="DD129" s="142"/>
      <c r="DE129" s="142"/>
      <c r="DF129" s="142"/>
      <c r="DG129" s="142"/>
      <c r="DH129" s="142"/>
      <c r="DI129" s="142"/>
      <c r="DJ129" s="142"/>
      <c r="DK129" s="142"/>
      <c r="DL129" s="142"/>
      <c r="DM129" s="142"/>
      <c r="DN129" s="142"/>
      <c r="DO129" s="142"/>
      <c r="DP129" s="142"/>
      <c r="DQ129" s="142"/>
      <c r="DR129" s="142"/>
      <c r="DS129" s="133"/>
      <c r="DT129" s="174" t="str">
        <f t="shared" si="88"/>
        <v/>
      </c>
      <c r="DU129" s="174" t="str">
        <f t="shared" si="88"/>
        <v/>
      </c>
      <c r="DV129" s="174" t="str">
        <f t="shared" si="88"/>
        <v/>
      </c>
      <c r="DW129" s="174" t="str">
        <f t="shared" si="88"/>
        <v/>
      </c>
      <c r="DX129" s="174" t="str">
        <f t="shared" si="88"/>
        <v/>
      </c>
      <c r="DY129" s="174" t="str">
        <f t="shared" si="88"/>
        <v/>
      </c>
      <c r="DZ129" s="174" t="str">
        <f t="shared" si="88"/>
        <v/>
      </c>
      <c r="EA129" s="174" t="str">
        <f t="shared" si="88"/>
        <v/>
      </c>
      <c r="EB129" s="174" t="str">
        <f t="shared" si="88"/>
        <v/>
      </c>
      <c r="EC129" s="174" t="str">
        <f t="shared" si="88"/>
        <v/>
      </c>
      <c r="ED129" s="174" t="str">
        <f t="shared" si="88"/>
        <v/>
      </c>
      <c r="EE129" s="174" t="str">
        <f t="shared" si="88"/>
        <v/>
      </c>
      <c r="EF129" s="174" t="str">
        <f t="shared" si="88"/>
        <v/>
      </c>
      <c r="EG129" s="174" t="str">
        <f t="shared" si="88"/>
        <v/>
      </c>
      <c r="EH129" s="174" t="str">
        <f t="shared" si="88"/>
        <v/>
      </c>
      <c r="EI129" s="174" t="str">
        <f t="shared" si="78"/>
        <v/>
      </c>
      <c r="EJ129" s="174" t="str">
        <f t="shared" si="78"/>
        <v/>
      </c>
      <c r="EK129" s="174" t="str">
        <f t="shared" si="78"/>
        <v/>
      </c>
      <c r="EL129" s="174" t="str">
        <f t="shared" si="78"/>
        <v/>
      </c>
      <c r="EM129" s="174" t="str">
        <f t="shared" si="78"/>
        <v/>
      </c>
      <c r="EN129" s="174" t="str">
        <f t="shared" si="78"/>
        <v/>
      </c>
      <c r="EO129" s="174" t="str">
        <f t="shared" si="86"/>
        <v/>
      </c>
      <c r="EP129" s="174" t="str">
        <f t="shared" si="86"/>
        <v/>
      </c>
      <c r="EQ129" s="174" t="str">
        <f t="shared" si="86"/>
        <v/>
      </c>
      <c r="ER129" s="174" t="str">
        <f t="shared" si="86"/>
        <v/>
      </c>
      <c r="ES129" s="174" t="str">
        <f t="shared" si="86"/>
        <v/>
      </c>
      <c r="ET129" s="174" t="str">
        <f t="shared" si="86"/>
        <v/>
      </c>
      <c r="EU129" s="174" t="str">
        <f t="shared" si="86"/>
        <v/>
      </c>
      <c r="EV129" s="174" t="str">
        <f t="shared" si="86"/>
        <v/>
      </c>
      <c r="EW129" s="174" t="str">
        <f t="shared" si="86"/>
        <v/>
      </c>
      <c r="EX129" s="174" t="str">
        <f t="shared" si="76"/>
        <v/>
      </c>
      <c r="EY129" s="174" t="str">
        <f t="shared" si="76"/>
        <v/>
      </c>
      <c r="EZ129" s="174" t="str">
        <f t="shared" si="76"/>
        <v/>
      </c>
      <c r="FA129" s="174" t="str">
        <f t="shared" si="76"/>
        <v/>
      </c>
      <c r="FB129" s="174" t="str">
        <f t="shared" si="81"/>
        <v/>
      </c>
      <c r="FC129" s="174" t="str">
        <f t="shared" si="81"/>
        <v/>
      </c>
      <c r="FD129" s="174" t="str">
        <f t="shared" si="81"/>
        <v/>
      </c>
      <c r="FE129" s="174" t="str">
        <f t="shared" si="81"/>
        <v/>
      </c>
      <c r="FF129" s="174" t="str">
        <f t="shared" si="81"/>
        <v/>
      </c>
      <c r="FG129" s="174">
        <f t="shared" si="87"/>
        <v>-1</v>
      </c>
      <c r="FH129" s="174" t="str">
        <f t="shared" si="83"/>
        <v/>
      </c>
      <c r="FI129" s="174" t="str">
        <f t="shared" si="84"/>
        <v/>
      </c>
      <c r="FJ129" s="174" t="str">
        <f t="shared" si="85"/>
        <v/>
      </c>
      <c r="FK129" s="174" t="str">
        <f t="shared" si="85"/>
        <v/>
      </c>
    </row>
    <row r="130" spans="2:167" ht="16">
      <c r="B130" s="140" t="s">
        <v>943</v>
      </c>
      <c r="C130" s="127" t="s">
        <v>944</v>
      </c>
      <c r="D130" s="128"/>
      <c r="E130" s="128"/>
      <c r="F130" s="128"/>
      <c r="G130" s="128"/>
      <c r="H130" s="128"/>
      <c r="I130" s="128"/>
      <c r="J130" s="128"/>
      <c r="K130" s="128"/>
      <c r="L130" s="128"/>
      <c r="M130" s="128"/>
      <c r="N130" s="128"/>
      <c r="O130" s="128"/>
      <c r="P130" s="128"/>
      <c r="Q130" s="128"/>
      <c r="R130" s="128"/>
      <c r="S130" s="128"/>
      <c r="T130" s="128"/>
      <c r="U130" s="128"/>
      <c r="V130" s="128"/>
      <c r="W130" s="128"/>
      <c r="X130" s="128"/>
      <c r="Y130" s="128"/>
      <c r="Z130" s="128">
        <v>0</v>
      </c>
      <c r="AA130" s="128">
        <v>0</v>
      </c>
      <c r="AB130" s="128">
        <v>0</v>
      </c>
      <c r="AC130" s="128">
        <v>0</v>
      </c>
      <c r="AD130" s="128">
        <v>0</v>
      </c>
      <c r="AE130" s="128">
        <v>0</v>
      </c>
      <c r="AF130" s="128">
        <v>0</v>
      </c>
      <c r="AG130" s="128">
        <v>0</v>
      </c>
      <c r="AH130" s="128">
        <v>0</v>
      </c>
      <c r="AI130" s="128">
        <v>0</v>
      </c>
      <c r="AJ130" s="128">
        <v>0</v>
      </c>
      <c r="AK130" s="128">
        <v>0</v>
      </c>
      <c r="AL130" s="128">
        <v>0</v>
      </c>
      <c r="AM130" s="128">
        <v>0</v>
      </c>
      <c r="AN130" s="128">
        <v>0</v>
      </c>
      <c r="AO130" s="128">
        <v>0</v>
      </c>
      <c r="AP130" s="173">
        <v>0</v>
      </c>
      <c r="AQ130" s="173">
        <v>0</v>
      </c>
      <c r="AR130" s="173">
        <v>0</v>
      </c>
      <c r="AS130" s="288">
        <v>0</v>
      </c>
      <c r="AT130" s="288">
        <v>0</v>
      </c>
      <c r="AU130" s="288">
        <v>0</v>
      </c>
      <c r="AV130" s="288">
        <v>0</v>
      </c>
      <c r="AW130" s="158">
        <v>0</v>
      </c>
      <c r="AX130" s="158">
        <v>0</v>
      </c>
      <c r="AY130" s="158">
        <v>0</v>
      </c>
      <c r="AZ130" s="158">
        <v>0</v>
      </c>
      <c r="BA130" s="158">
        <v>0</v>
      </c>
      <c r="BB130" s="41">
        <v>0</v>
      </c>
      <c r="BC130" s="41">
        <v>0</v>
      </c>
      <c r="BD130" s="158">
        <v>0</v>
      </c>
      <c r="BE130" s="158">
        <v>0</v>
      </c>
      <c r="BF130" s="288">
        <v>0</v>
      </c>
      <c r="BG130" s="289">
        <v>0</v>
      </c>
      <c r="BH130" s="289">
        <v>0</v>
      </c>
      <c r="BI130" s="289">
        <v>0</v>
      </c>
      <c r="BJ130" s="289">
        <v>0</v>
      </c>
      <c r="BK130" s="289">
        <v>0</v>
      </c>
      <c r="BL130" s="289"/>
      <c r="BM130" s="289"/>
      <c r="BN130" s="289"/>
      <c r="BO130" s="289"/>
      <c r="BP130" s="289"/>
      <c r="BQ130" s="289"/>
      <c r="BR130" s="289"/>
      <c r="BS130" s="289"/>
      <c r="BT130" s="289"/>
      <c r="BU130" s="289"/>
      <c r="BV130" s="142"/>
      <c r="BW130" s="142"/>
      <c r="BX130" s="142"/>
      <c r="BY130" s="142"/>
      <c r="BZ130" s="142"/>
      <c r="CA130" s="142"/>
      <c r="CB130" s="142"/>
      <c r="CC130" s="142"/>
      <c r="CD130" s="142"/>
      <c r="CE130" s="142"/>
      <c r="CF130" s="142"/>
      <c r="CG130" s="142"/>
      <c r="CH130" s="142"/>
      <c r="CI130" s="142"/>
      <c r="CJ130" s="142"/>
      <c r="CK130" s="142"/>
      <c r="CL130" s="142"/>
      <c r="CM130" s="142"/>
      <c r="CN130" s="142"/>
      <c r="CO130" s="142"/>
      <c r="CP130" s="142"/>
      <c r="CQ130" s="142"/>
      <c r="CR130" s="142"/>
      <c r="CS130" s="142"/>
      <c r="CT130" s="142"/>
      <c r="CU130" s="142"/>
      <c r="CV130" s="142"/>
      <c r="CW130" s="142"/>
      <c r="CX130" s="142"/>
      <c r="CY130" s="142"/>
      <c r="CZ130" s="142"/>
      <c r="DA130" s="142"/>
      <c r="DB130" s="142"/>
      <c r="DC130" s="142"/>
      <c r="DD130" s="142"/>
      <c r="DE130" s="142"/>
      <c r="DF130" s="142"/>
      <c r="DG130" s="142"/>
      <c r="DH130" s="142"/>
      <c r="DI130" s="142"/>
      <c r="DJ130" s="142"/>
      <c r="DK130" s="142"/>
      <c r="DL130" s="142"/>
      <c r="DM130" s="142"/>
      <c r="DN130" s="142"/>
      <c r="DO130" s="142"/>
      <c r="DP130" s="142"/>
      <c r="DQ130" s="142"/>
      <c r="DR130" s="142"/>
      <c r="DS130" s="133"/>
      <c r="DT130" s="174" t="str">
        <f t="shared" si="88"/>
        <v/>
      </c>
      <c r="DU130" s="174" t="str">
        <f t="shared" si="88"/>
        <v/>
      </c>
      <c r="DV130" s="174" t="str">
        <f t="shared" si="88"/>
        <v/>
      </c>
      <c r="DW130" s="174" t="str">
        <f t="shared" si="88"/>
        <v/>
      </c>
      <c r="DX130" s="174" t="str">
        <f t="shared" si="88"/>
        <v/>
      </c>
      <c r="DY130" s="174" t="str">
        <f t="shared" si="88"/>
        <v/>
      </c>
      <c r="DZ130" s="174" t="str">
        <f t="shared" si="88"/>
        <v/>
      </c>
      <c r="EA130" s="174" t="str">
        <f t="shared" si="88"/>
        <v/>
      </c>
      <c r="EB130" s="174" t="str">
        <f t="shared" si="88"/>
        <v/>
      </c>
      <c r="EC130" s="174" t="str">
        <f t="shared" si="88"/>
        <v/>
      </c>
      <c r="ED130" s="174" t="str">
        <f t="shared" si="88"/>
        <v/>
      </c>
      <c r="EE130" s="174" t="str">
        <f t="shared" si="88"/>
        <v/>
      </c>
      <c r="EF130" s="174" t="str">
        <f t="shared" si="88"/>
        <v/>
      </c>
      <c r="EG130" s="174" t="str">
        <f t="shared" si="88"/>
        <v/>
      </c>
      <c r="EH130" s="174" t="str">
        <f t="shared" si="88"/>
        <v/>
      </c>
      <c r="EI130" s="174" t="str">
        <f t="shared" si="78"/>
        <v/>
      </c>
      <c r="EJ130" s="174" t="str">
        <f t="shared" si="78"/>
        <v/>
      </c>
      <c r="EK130" s="174" t="str">
        <f t="shared" si="78"/>
        <v/>
      </c>
      <c r="EL130" s="174" t="str">
        <f t="shared" si="78"/>
        <v/>
      </c>
      <c r="EM130" s="174" t="str">
        <f t="shared" si="78"/>
        <v/>
      </c>
      <c r="EN130" s="174" t="str">
        <f t="shared" si="78"/>
        <v/>
      </c>
      <c r="EO130" s="174" t="str">
        <f t="shared" si="86"/>
        <v/>
      </c>
      <c r="EP130" s="174" t="str">
        <f t="shared" si="86"/>
        <v/>
      </c>
      <c r="EQ130" s="174" t="str">
        <f t="shared" si="86"/>
        <v/>
      </c>
      <c r="ER130" s="174" t="str">
        <f t="shared" si="86"/>
        <v/>
      </c>
      <c r="ES130" s="174" t="str">
        <f t="shared" si="86"/>
        <v/>
      </c>
      <c r="ET130" s="174" t="str">
        <f t="shared" si="86"/>
        <v/>
      </c>
      <c r="EU130" s="174" t="str">
        <f t="shared" si="86"/>
        <v/>
      </c>
      <c r="EV130" s="174" t="str">
        <f t="shared" si="86"/>
        <v/>
      </c>
      <c r="EW130" s="174" t="str">
        <f t="shared" si="86"/>
        <v/>
      </c>
      <c r="EX130" s="174" t="str">
        <f t="shared" si="76"/>
        <v/>
      </c>
      <c r="EY130" s="174" t="str">
        <f t="shared" si="76"/>
        <v/>
      </c>
      <c r="EZ130" s="174" t="str">
        <f t="shared" si="76"/>
        <v/>
      </c>
      <c r="FA130" s="174" t="str">
        <f t="shared" si="76"/>
        <v/>
      </c>
      <c r="FB130" s="174" t="str">
        <f t="shared" si="81"/>
        <v/>
      </c>
      <c r="FC130" s="174" t="str">
        <f t="shared" si="81"/>
        <v/>
      </c>
      <c r="FD130" s="174" t="str">
        <f t="shared" si="81"/>
        <v/>
      </c>
      <c r="FE130" s="174" t="str">
        <f t="shared" si="81"/>
        <v/>
      </c>
      <c r="FF130" s="174" t="str">
        <f t="shared" si="81"/>
        <v/>
      </c>
      <c r="FG130" s="174" t="str">
        <f t="shared" si="87"/>
        <v/>
      </c>
      <c r="FH130" s="174" t="str">
        <f t="shared" si="83"/>
        <v/>
      </c>
      <c r="FI130" s="174" t="str">
        <f t="shared" si="84"/>
        <v/>
      </c>
      <c r="FJ130" s="174" t="str">
        <f t="shared" si="85"/>
        <v/>
      </c>
      <c r="FK130" s="174" t="str">
        <f t="shared" si="85"/>
        <v/>
      </c>
    </row>
    <row r="131" spans="2:167" ht="16">
      <c r="B131" s="140" t="s">
        <v>945</v>
      </c>
      <c r="C131" s="127" t="s">
        <v>946</v>
      </c>
      <c r="D131" s="128"/>
      <c r="E131" s="128"/>
      <c r="F131" s="128"/>
      <c r="G131" s="128"/>
      <c r="H131" s="128"/>
      <c r="I131" s="128"/>
      <c r="J131" s="128"/>
      <c r="K131" s="128"/>
      <c r="L131" s="128"/>
      <c r="M131" s="128"/>
      <c r="N131" s="128"/>
      <c r="O131" s="128"/>
      <c r="P131" s="128"/>
      <c r="Q131" s="128"/>
      <c r="R131" s="128"/>
      <c r="S131" s="128"/>
      <c r="T131" s="128"/>
      <c r="U131" s="128"/>
      <c r="V131" s="128"/>
      <c r="W131" s="128"/>
      <c r="X131" s="128"/>
      <c r="Y131" s="128"/>
      <c r="Z131" s="128">
        <v>0</v>
      </c>
      <c r="AA131" s="128">
        <v>0</v>
      </c>
      <c r="AB131" s="128">
        <v>0</v>
      </c>
      <c r="AC131" s="128">
        <v>0</v>
      </c>
      <c r="AD131" s="128">
        <v>0</v>
      </c>
      <c r="AE131" s="128">
        <v>0</v>
      </c>
      <c r="AF131" s="128">
        <v>0</v>
      </c>
      <c r="AG131" s="128">
        <v>0</v>
      </c>
      <c r="AH131" s="128">
        <v>0</v>
      </c>
      <c r="AI131" s="128">
        <v>0</v>
      </c>
      <c r="AJ131" s="128">
        <v>0</v>
      </c>
      <c r="AK131" s="128">
        <v>0</v>
      </c>
      <c r="AL131" s="128">
        <v>0</v>
      </c>
      <c r="AM131" s="128">
        <v>0</v>
      </c>
      <c r="AN131" s="128">
        <v>0</v>
      </c>
      <c r="AO131" s="128">
        <v>0</v>
      </c>
      <c r="AP131" s="173">
        <v>0</v>
      </c>
      <c r="AQ131" s="173">
        <v>0</v>
      </c>
      <c r="AR131" s="173">
        <v>0</v>
      </c>
      <c r="AS131" s="288">
        <v>0</v>
      </c>
      <c r="AT131" s="288">
        <v>0</v>
      </c>
      <c r="AU131" s="288">
        <v>0</v>
      </c>
      <c r="AV131" s="288">
        <v>0</v>
      </c>
      <c r="AW131" s="158">
        <v>0</v>
      </c>
      <c r="AX131" s="158">
        <v>0</v>
      </c>
      <c r="AY131" s="158">
        <v>0</v>
      </c>
      <c r="AZ131" s="158">
        <v>0</v>
      </c>
      <c r="BA131" s="158">
        <v>0</v>
      </c>
      <c r="BB131" s="41">
        <v>0</v>
      </c>
      <c r="BC131" s="41">
        <v>0</v>
      </c>
      <c r="BD131" s="158">
        <v>0</v>
      </c>
      <c r="BE131" s="158">
        <v>0</v>
      </c>
      <c r="BF131" s="288">
        <v>0</v>
      </c>
      <c r="BG131" s="289">
        <v>0</v>
      </c>
      <c r="BH131" s="289">
        <v>0</v>
      </c>
      <c r="BI131" s="289">
        <v>0</v>
      </c>
      <c r="BJ131" s="289">
        <v>0</v>
      </c>
      <c r="BK131" s="289">
        <v>0</v>
      </c>
      <c r="BL131" s="289">
        <v>0</v>
      </c>
      <c r="BM131" s="289">
        <v>0</v>
      </c>
      <c r="BN131" s="289">
        <v>0</v>
      </c>
      <c r="BO131" s="289">
        <v>0</v>
      </c>
      <c r="BP131" s="289">
        <v>0</v>
      </c>
      <c r="BQ131" s="289">
        <v>0</v>
      </c>
      <c r="BR131" s="289">
        <v>0</v>
      </c>
      <c r="BS131" s="289">
        <v>0</v>
      </c>
      <c r="BT131" s="289">
        <v>0</v>
      </c>
      <c r="BU131" s="289"/>
      <c r="BV131" s="142"/>
      <c r="BW131" s="142"/>
      <c r="BX131" s="142"/>
      <c r="BY131" s="142"/>
      <c r="BZ131" s="142"/>
      <c r="CA131" s="142"/>
      <c r="CB131" s="142"/>
      <c r="CC131" s="142"/>
      <c r="CD131" s="142"/>
      <c r="CE131" s="142"/>
      <c r="CF131" s="142"/>
      <c r="CG131" s="142"/>
      <c r="CH131" s="142"/>
      <c r="CI131" s="142"/>
      <c r="CJ131" s="142"/>
      <c r="CK131" s="142"/>
      <c r="CL131" s="142"/>
      <c r="CM131" s="142"/>
      <c r="CN131" s="142"/>
      <c r="CO131" s="142"/>
      <c r="CP131" s="142"/>
      <c r="CQ131" s="142"/>
      <c r="CR131" s="142"/>
      <c r="CS131" s="142"/>
      <c r="CT131" s="142"/>
      <c r="CU131" s="142"/>
      <c r="CV131" s="142"/>
      <c r="CW131" s="142"/>
      <c r="CX131" s="142"/>
      <c r="CY131" s="142"/>
      <c r="CZ131" s="142"/>
      <c r="DA131" s="142"/>
      <c r="DB131" s="142"/>
      <c r="DC131" s="142"/>
      <c r="DD131" s="142"/>
      <c r="DE131" s="142"/>
      <c r="DF131" s="142"/>
      <c r="DG131" s="142"/>
      <c r="DH131" s="142"/>
      <c r="DI131" s="142"/>
      <c r="DJ131" s="142"/>
      <c r="DK131" s="142"/>
      <c r="DL131" s="142"/>
      <c r="DM131" s="142"/>
      <c r="DN131" s="142"/>
      <c r="DO131" s="142"/>
      <c r="DP131" s="142"/>
      <c r="DQ131" s="142"/>
      <c r="DR131" s="142"/>
      <c r="DS131" s="133"/>
      <c r="DT131" s="174" t="str">
        <f t="shared" si="88"/>
        <v/>
      </c>
      <c r="DU131" s="174" t="str">
        <f t="shared" si="88"/>
        <v/>
      </c>
      <c r="DV131" s="174" t="str">
        <f t="shared" si="88"/>
        <v/>
      </c>
      <c r="DW131" s="174" t="str">
        <f t="shared" si="88"/>
        <v/>
      </c>
      <c r="DX131" s="174" t="str">
        <f t="shared" si="88"/>
        <v/>
      </c>
      <c r="DY131" s="174" t="str">
        <f t="shared" si="88"/>
        <v/>
      </c>
      <c r="DZ131" s="174" t="str">
        <f t="shared" si="88"/>
        <v/>
      </c>
      <c r="EA131" s="174" t="str">
        <f t="shared" si="88"/>
        <v/>
      </c>
      <c r="EB131" s="174" t="str">
        <f t="shared" si="88"/>
        <v/>
      </c>
      <c r="EC131" s="174" t="str">
        <f t="shared" si="88"/>
        <v/>
      </c>
      <c r="ED131" s="174" t="str">
        <f t="shared" si="88"/>
        <v/>
      </c>
      <c r="EE131" s="174" t="str">
        <f t="shared" si="88"/>
        <v/>
      </c>
      <c r="EF131" s="174" t="str">
        <f t="shared" si="88"/>
        <v/>
      </c>
      <c r="EG131" s="174" t="str">
        <f t="shared" si="88"/>
        <v/>
      </c>
      <c r="EH131" s="174" t="str">
        <f t="shared" si="88"/>
        <v/>
      </c>
      <c r="EI131" s="174" t="str">
        <f t="shared" si="78"/>
        <v/>
      </c>
      <c r="EJ131" s="174" t="str">
        <f t="shared" si="78"/>
        <v/>
      </c>
      <c r="EK131" s="174" t="str">
        <f t="shared" si="78"/>
        <v/>
      </c>
      <c r="EL131" s="174" t="str">
        <f t="shared" si="78"/>
        <v/>
      </c>
      <c r="EM131" s="174" t="str">
        <f t="shared" si="78"/>
        <v/>
      </c>
      <c r="EN131" s="174" t="str">
        <f t="shared" si="78"/>
        <v/>
      </c>
      <c r="EO131" s="174" t="str">
        <f t="shared" si="86"/>
        <v/>
      </c>
      <c r="EP131" s="174" t="str">
        <f t="shared" si="86"/>
        <v/>
      </c>
      <c r="EQ131" s="174" t="str">
        <f t="shared" si="86"/>
        <v/>
      </c>
      <c r="ER131" s="174" t="str">
        <f t="shared" si="86"/>
        <v/>
      </c>
      <c r="ES131" s="174" t="str">
        <f t="shared" si="86"/>
        <v/>
      </c>
      <c r="ET131" s="174" t="str">
        <f t="shared" si="86"/>
        <v/>
      </c>
      <c r="EU131" s="174" t="str">
        <f t="shared" si="86"/>
        <v/>
      </c>
      <c r="EV131" s="174" t="str">
        <f t="shared" si="86"/>
        <v/>
      </c>
      <c r="EW131" s="174" t="str">
        <f t="shared" si="86"/>
        <v/>
      </c>
      <c r="EX131" s="174" t="str">
        <f t="shared" si="86"/>
        <v/>
      </c>
      <c r="EY131" s="174" t="str">
        <f t="shared" si="86"/>
        <v/>
      </c>
      <c r="EZ131" s="174" t="str">
        <f t="shared" si="86"/>
        <v/>
      </c>
      <c r="FA131" s="174" t="str">
        <f t="shared" si="86"/>
        <v/>
      </c>
      <c r="FB131" s="174" t="str">
        <f t="shared" si="81"/>
        <v/>
      </c>
      <c r="FC131" s="174" t="str">
        <f t="shared" si="81"/>
        <v/>
      </c>
      <c r="FD131" s="174" t="str">
        <f t="shared" si="81"/>
        <v/>
      </c>
      <c r="FE131" s="174" t="str">
        <f t="shared" si="81"/>
        <v/>
      </c>
      <c r="FF131" s="174" t="str">
        <f t="shared" si="81"/>
        <v/>
      </c>
      <c r="FG131" s="174" t="str">
        <f t="shared" si="87"/>
        <v/>
      </c>
      <c r="FH131" s="174" t="str">
        <f t="shared" si="83"/>
        <v/>
      </c>
      <c r="FI131" s="174" t="str">
        <f t="shared" si="84"/>
        <v/>
      </c>
      <c r="FJ131" s="174" t="str">
        <f t="shared" si="85"/>
        <v/>
      </c>
      <c r="FK131" s="174" t="str">
        <f t="shared" si="85"/>
        <v/>
      </c>
    </row>
    <row r="132" spans="2:167" ht="16">
      <c r="B132" s="140" t="s">
        <v>947</v>
      </c>
      <c r="C132" s="127" t="s">
        <v>948</v>
      </c>
      <c r="D132" s="128"/>
      <c r="E132" s="128"/>
      <c r="F132" s="128"/>
      <c r="G132" s="128"/>
      <c r="H132" s="128"/>
      <c r="I132" s="128"/>
      <c r="J132" s="128"/>
      <c r="K132" s="128"/>
      <c r="L132" s="128"/>
      <c r="M132" s="128"/>
      <c r="N132" s="128"/>
      <c r="O132" s="128"/>
      <c r="P132" s="128"/>
      <c r="Q132" s="128"/>
      <c r="R132" s="128"/>
      <c r="S132" s="128"/>
      <c r="T132" s="128"/>
      <c r="U132" s="128"/>
      <c r="V132" s="128"/>
      <c r="W132" s="128"/>
      <c r="X132" s="128"/>
      <c r="Y132" s="128"/>
      <c r="Z132" s="128">
        <v>0</v>
      </c>
      <c r="AA132" s="128">
        <v>0</v>
      </c>
      <c r="AB132" s="128">
        <v>0</v>
      </c>
      <c r="AC132" s="128">
        <v>0</v>
      </c>
      <c r="AD132" s="128">
        <v>0</v>
      </c>
      <c r="AE132" s="128">
        <v>0</v>
      </c>
      <c r="AF132" s="128">
        <v>0</v>
      </c>
      <c r="AG132" s="128">
        <v>0</v>
      </c>
      <c r="AH132" s="128">
        <v>0</v>
      </c>
      <c r="AI132" s="128">
        <v>0</v>
      </c>
      <c r="AJ132" s="128">
        <v>0</v>
      </c>
      <c r="AK132" s="128">
        <v>0</v>
      </c>
      <c r="AL132" s="128">
        <v>0</v>
      </c>
      <c r="AM132" s="128">
        <v>0</v>
      </c>
      <c r="AN132" s="128">
        <v>0</v>
      </c>
      <c r="AO132" s="128">
        <v>0</v>
      </c>
      <c r="AP132" s="173">
        <v>0</v>
      </c>
      <c r="AQ132" s="173">
        <v>0</v>
      </c>
      <c r="AR132" s="173">
        <v>0</v>
      </c>
      <c r="AS132" s="288">
        <v>0</v>
      </c>
      <c r="AT132" s="288">
        <v>0</v>
      </c>
      <c r="AU132" s="288">
        <v>0</v>
      </c>
      <c r="AV132" s="288">
        <v>0</v>
      </c>
      <c r="AW132" s="158">
        <v>0</v>
      </c>
      <c r="AX132" s="158">
        <v>0</v>
      </c>
      <c r="AY132" s="158">
        <v>0</v>
      </c>
      <c r="AZ132" s="158">
        <v>0</v>
      </c>
      <c r="BA132" s="158">
        <v>0</v>
      </c>
      <c r="BB132" s="41">
        <v>0</v>
      </c>
      <c r="BC132" s="41">
        <v>0</v>
      </c>
      <c r="BD132" s="158">
        <v>0</v>
      </c>
      <c r="BE132" s="158">
        <v>0</v>
      </c>
      <c r="BF132" s="288">
        <v>0</v>
      </c>
      <c r="BG132" s="289">
        <v>0</v>
      </c>
      <c r="BH132" s="289">
        <v>0</v>
      </c>
      <c r="BI132" s="289">
        <v>0</v>
      </c>
      <c r="BJ132" s="289">
        <v>0</v>
      </c>
      <c r="BK132" s="289">
        <v>0</v>
      </c>
      <c r="BL132" s="289">
        <v>0</v>
      </c>
      <c r="BM132" s="289">
        <v>0</v>
      </c>
      <c r="BN132" s="289">
        <v>0</v>
      </c>
      <c r="BO132" s="289">
        <v>0</v>
      </c>
      <c r="BP132" s="289">
        <v>0</v>
      </c>
      <c r="BQ132" s="289">
        <v>0</v>
      </c>
      <c r="BR132" s="289">
        <v>0</v>
      </c>
      <c r="BS132" s="289">
        <v>0</v>
      </c>
      <c r="BT132" s="289">
        <v>0</v>
      </c>
      <c r="BU132" s="289"/>
      <c r="BV132" s="142"/>
      <c r="BW132" s="142"/>
      <c r="BX132" s="142"/>
      <c r="BY132" s="142"/>
      <c r="BZ132" s="142"/>
      <c r="CA132" s="142"/>
      <c r="CB132" s="142"/>
      <c r="CC132" s="142"/>
      <c r="CD132" s="142"/>
      <c r="CE132" s="142"/>
      <c r="CF132" s="142"/>
      <c r="CG132" s="142"/>
      <c r="CH132" s="142"/>
      <c r="CI132" s="142"/>
      <c r="CJ132" s="142"/>
      <c r="CK132" s="142"/>
      <c r="CL132" s="142"/>
      <c r="CM132" s="142"/>
      <c r="CN132" s="142"/>
      <c r="CO132" s="142"/>
      <c r="CP132" s="142"/>
      <c r="CQ132" s="142"/>
      <c r="CR132" s="142"/>
      <c r="CS132" s="142"/>
      <c r="CT132" s="142"/>
      <c r="CU132" s="142"/>
      <c r="CV132" s="142"/>
      <c r="CW132" s="142"/>
      <c r="CX132" s="142"/>
      <c r="CY132" s="142"/>
      <c r="CZ132" s="142"/>
      <c r="DA132" s="142"/>
      <c r="DB132" s="142"/>
      <c r="DC132" s="142"/>
      <c r="DD132" s="142"/>
      <c r="DE132" s="142"/>
      <c r="DF132" s="142"/>
      <c r="DG132" s="142"/>
      <c r="DH132" s="142"/>
      <c r="DI132" s="142"/>
      <c r="DJ132" s="142"/>
      <c r="DK132" s="142"/>
      <c r="DL132" s="142"/>
      <c r="DM132" s="142"/>
      <c r="DN132" s="142"/>
      <c r="DO132" s="142"/>
      <c r="DP132" s="142"/>
      <c r="DQ132" s="142"/>
      <c r="DR132" s="142"/>
      <c r="DS132" s="133"/>
      <c r="DT132" s="174" t="str">
        <f t="shared" si="88"/>
        <v/>
      </c>
      <c r="DU132" s="174" t="str">
        <f t="shared" si="88"/>
        <v/>
      </c>
      <c r="DV132" s="174" t="str">
        <f t="shared" si="88"/>
        <v/>
      </c>
      <c r="DW132" s="174" t="str">
        <f t="shared" si="88"/>
        <v/>
      </c>
      <c r="DX132" s="174" t="str">
        <f t="shared" si="88"/>
        <v/>
      </c>
      <c r="DY132" s="174" t="str">
        <f t="shared" si="88"/>
        <v/>
      </c>
      <c r="DZ132" s="174" t="str">
        <f t="shared" si="88"/>
        <v/>
      </c>
      <c r="EA132" s="174" t="str">
        <f t="shared" si="88"/>
        <v/>
      </c>
      <c r="EB132" s="174" t="str">
        <f t="shared" si="88"/>
        <v/>
      </c>
      <c r="EC132" s="174" t="str">
        <f t="shared" si="88"/>
        <v/>
      </c>
      <c r="ED132" s="174" t="str">
        <f t="shared" si="88"/>
        <v/>
      </c>
      <c r="EE132" s="174" t="str">
        <f t="shared" si="88"/>
        <v/>
      </c>
      <c r="EF132" s="174" t="str">
        <f t="shared" si="88"/>
        <v/>
      </c>
      <c r="EG132" s="174" t="str">
        <f t="shared" si="88"/>
        <v/>
      </c>
      <c r="EH132" s="174" t="str">
        <f t="shared" si="88"/>
        <v/>
      </c>
      <c r="EI132" s="174" t="str">
        <f t="shared" si="78"/>
        <v/>
      </c>
      <c r="EJ132" s="174" t="str">
        <f t="shared" si="78"/>
        <v/>
      </c>
      <c r="EK132" s="174" t="str">
        <f t="shared" si="78"/>
        <v/>
      </c>
      <c r="EL132" s="174" t="str">
        <f t="shared" si="78"/>
        <v/>
      </c>
      <c r="EM132" s="174" t="str">
        <f t="shared" si="78"/>
        <v/>
      </c>
      <c r="EN132" s="174" t="str">
        <f t="shared" si="78"/>
        <v/>
      </c>
      <c r="EO132" s="174" t="str">
        <f t="shared" si="86"/>
        <v/>
      </c>
      <c r="EP132" s="174" t="str">
        <f t="shared" si="86"/>
        <v/>
      </c>
      <c r="EQ132" s="174" t="str">
        <f t="shared" si="86"/>
        <v/>
      </c>
      <c r="ER132" s="174" t="str">
        <f t="shared" si="86"/>
        <v/>
      </c>
      <c r="ES132" s="174" t="str">
        <f t="shared" si="86"/>
        <v/>
      </c>
      <c r="ET132" s="174" t="str">
        <f t="shared" si="86"/>
        <v/>
      </c>
      <c r="EU132" s="174" t="str">
        <f t="shared" si="86"/>
        <v/>
      </c>
      <c r="EV132" s="174" t="str">
        <f t="shared" si="86"/>
        <v/>
      </c>
      <c r="EW132" s="174" t="str">
        <f t="shared" si="86"/>
        <v/>
      </c>
      <c r="EX132" s="174" t="str">
        <f t="shared" si="86"/>
        <v/>
      </c>
      <c r="EY132" s="174" t="str">
        <f t="shared" si="86"/>
        <v/>
      </c>
      <c r="EZ132" s="174" t="str">
        <f t="shared" si="86"/>
        <v/>
      </c>
      <c r="FA132" s="174" t="str">
        <f t="shared" si="86"/>
        <v/>
      </c>
      <c r="FB132" s="174" t="str">
        <f t="shared" si="81"/>
        <v/>
      </c>
      <c r="FC132" s="174" t="str">
        <f t="shared" si="81"/>
        <v/>
      </c>
      <c r="FD132" s="174" t="str">
        <f t="shared" si="81"/>
        <v/>
      </c>
      <c r="FE132" s="174" t="str">
        <f t="shared" si="81"/>
        <v/>
      </c>
      <c r="FF132" s="174" t="str">
        <f t="shared" si="81"/>
        <v/>
      </c>
      <c r="FG132" s="174" t="str">
        <f t="shared" si="87"/>
        <v/>
      </c>
      <c r="FH132" s="174" t="str">
        <f t="shared" si="83"/>
        <v/>
      </c>
      <c r="FI132" s="174" t="str">
        <f t="shared" si="84"/>
        <v/>
      </c>
      <c r="FJ132" s="174" t="str">
        <f t="shared" si="85"/>
        <v/>
      </c>
      <c r="FK132" s="174" t="str">
        <f t="shared" si="85"/>
        <v/>
      </c>
    </row>
    <row r="133" spans="2:167" s="302" customFormat="1" ht="16">
      <c r="B133" s="297" t="s">
        <v>949</v>
      </c>
      <c r="C133" s="298" t="s">
        <v>950</v>
      </c>
      <c r="D133" s="299"/>
      <c r="E133" s="299"/>
      <c r="F133" s="299"/>
      <c r="G133" s="299"/>
      <c r="H133" s="299"/>
      <c r="I133" s="299"/>
      <c r="J133" s="299"/>
      <c r="K133" s="299"/>
      <c r="L133" s="299"/>
      <c r="M133" s="299"/>
      <c r="N133" s="299"/>
      <c r="O133" s="299"/>
      <c r="P133" s="299"/>
      <c r="Q133" s="299"/>
      <c r="R133" s="299"/>
      <c r="S133" s="299"/>
      <c r="T133" s="299"/>
      <c r="U133" s="299"/>
      <c r="V133" s="299"/>
      <c r="W133" s="299"/>
      <c r="X133" s="299"/>
      <c r="Y133" s="299"/>
      <c r="Z133" s="299">
        <v>975.16772552600003</v>
      </c>
      <c r="AA133" s="299">
        <v>1120.246898078</v>
      </c>
      <c r="AB133" s="299">
        <v>1295.4782795609999</v>
      </c>
      <c r="AC133" s="299">
        <v>1474.956147637</v>
      </c>
      <c r="AD133" s="299">
        <v>1705.256597847</v>
      </c>
      <c r="AE133" s="299">
        <v>1935.9945345900001</v>
      </c>
      <c r="AF133" s="299">
        <v>2151.6626997970002</v>
      </c>
      <c r="AG133" s="299">
        <v>2483.552688326</v>
      </c>
      <c r="AH133" s="299">
        <v>2901.424000689</v>
      </c>
      <c r="AI133" s="299">
        <v>3098.2240729179998</v>
      </c>
      <c r="AJ133" s="299">
        <v>3485.6407162239998</v>
      </c>
      <c r="AK133" s="299">
        <v>3841.354126363</v>
      </c>
      <c r="AL133" s="299">
        <v>4398.4847760339999</v>
      </c>
      <c r="AM133" s="299">
        <v>4679.3940593679999</v>
      </c>
      <c r="AN133" s="299">
        <v>5244.4722431820001</v>
      </c>
      <c r="AO133" s="299">
        <v>5908.9163352149999</v>
      </c>
      <c r="AP133" s="492">
        <v>7267.9965941250002</v>
      </c>
      <c r="AQ133" s="492">
        <v>7515.3674108739997</v>
      </c>
      <c r="AR133" s="492">
        <v>8162.7676618160003</v>
      </c>
      <c r="AS133" s="300">
        <v>8983.0353313420001</v>
      </c>
      <c r="AT133" s="300">
        <v>10017.109185084</v>
      </c>
      <c r="AU133" s="300">
        <v>10430.961801214</v>
      </c>
      <c r="AV133" s="300">
        <v>11289.726233388001</v>
      </c>
      <c r="AW133" s="301">
        <v>12143.592194352999</v>
      </c>
      <c r="AX133" s="301">
        <v>13378.770934313001</v>
      </c>
      <c r="AY133" s="301">
        <v>14272.909782504999</v>
      </c>
      <c r="AZ133" s="301">
        <v>15220.230064162</v>
      </c>
      <c r="BA133" s="301">
        <v>15481.689846432</v>
      </c>
      <c r="BB133" s="342">
        <v>16953.524255179</v>
      </c>
      <c r="BC133" s="342">
        <v>18258.917969144</v>
      </c>
      <c r="BD133" s="301">
        <v>18807.267226035001</v>
      </c>
      <c r="BE133" s="301">
        <v>20378.358941080001</v>
      </c>
      <c r="BF133" s="300">
        <v>21810.290601683999</v>
      </c>
      <c r="BG133" s="493">
        <v>22404.388200051999</v>
      </c>
      <c r="BH133" s="493">
        <v>23313.451611413999</v>
      </c>
      <c r="BI133" s="493">
        <v>23932.581517576</v>
      </c>
      <c r="BJ133" s="493">
        <v>23313.451611413999</v>
      </c>
      <c r="BK133" s="493">
        <v>23963.673974445999</v>
      </c>
      <c r="BL133" s="493">
        <v>23270.152661101001</v>
      </c>
      <c r="BM133" s="493">
        <v>23359.557967338002</v>
      </c>
      <c r="BN133" s="493">
        <v>26034.16</v>
      </c>
      <c r="BO133" s="493">
        <v>26476.760005016</v>
      </c>
      <c r="BP133" s="493">
        <v>27275.56</v>
      </c>
      <c r="BQ133" s="493">
        <v>28121.576823855001</v>
      </c>
      <c r="BR133" s="493">
        <v>29669.133577790999</v>
      </c>
      <c r="BS133" s="493">
        <v>30016.164896851998</v>
      </c>
      <c r="BT133" s="493">
        <v>31797.199621877</v>
      </c>
      <c r="BU133" s="493"/>
      <c r="BV133" s="494"/>
      <c r="BW133" s="494"/>
      <c r="BX133" s="494"/>
      <c r="BY133" s="494"/>
      <c r="BZ133" s="494"/>
      <c r="CA133" s="494"/>
      <c r="CB133" s="494"/>
      <c r="CC133" s="494"/>
      <c r="CD133" s="494"/>
      <c r="CE133" s="494"/>
      <c r="CF133" s="494"/>
      <c r="CG133" s="494"/>
      <c r="CH133" s="494"/>
      <c r="CI133" s="494"/>
      <c r="CJ133" s="494"/>
      <c r="CK133" s="494"/>
      <c r="CL133" s="494"/>
      <c r="CM133" s="494"/>
      <c r="CN133" s="494"/>
      <c r="CO133" s="494"/>
      <c r="CP133" s="494"/>
      <c r="CQ133" s="494"/>
      <c r="CR133" s="494"/>
      <c r="CS133" s="494"/>
      <c r="CT133" s="494"/>
      <c r="CU133" s="494"/>
      <c r="CV133" s="494"/>
      <c r="CW133" s="494"/>
      <c r="CX133" s="494"/>
      <c r="CY133" s="494"/>
      <c r="CZ133" s="494"/>
      <c r="DA133" s="494"/>
      <c r="DB133" s="494"/>
      <c r="DC133" s="494"/>
      <c r="DD133" s="494"/>
      <c r="DE133" s="494"/>
      <c r="DF133" s="494"/>
      <c r="DG133" s="494"/>
      <c r="DH133" s="494"/>
      <c r="DI133" s="494"/>
      <c r="DJ133" s="494"/>
      <c r="DK133" s="494"/>
      <c r="DL133" s="494"/>
      <c r="DM133" s="494"/>
      <c r="DN133" s="494"/>
      <c r="DO133" s="494"/>
      <c r="DP133" s="494"/>
      <c r="DQ133" s="494"/>
      <c r="DR133" s="494"/>
      <c r="DS133" s="495"/>
      <c r="DT133" s="496" t="str">
        <f t="shared" si="88"/>
        <v/>
      </c>
      <c r="DU133" s="496" t="str">
        <f t="shared" si="88"/>
        <v/>
      </c>
      <c r="DV133" s="496" t="str">
        <f t="shared" si="88"/>
        <v/>
      </c>
      <c r="DW133" s="496" t="str">
        <f t="shared" si="88"/>
        <v/>
      </c>
      <c r="DX133" s="496" t="str">
        <f t="shared" si="88"/>
        <v/>
      </c>
      <c r="DY133" s="496" t="str">
        <f t="shared" si="88"/>
        <v/>
      </c>
      <c r="DZ133" s="496" t="str">
        <f t="shared" si="88"/>
        <v/>
      </c>
      <c r="EA133" s="496" t="str">
        <f t="shared" si="88"/>
        <v/>
      </c>
      <c r="EB133" s="496" t="str">
        <f t="shared" si="88"/>
        <v/>
      </c>
      <c r="EC133" s="496" t="str">
        <f t="shared" si="88"/>
        <v/>
      </c>
      <c r="ED133" s="496" t="str">
        <f t="shared" si="88"/>
        <v/>
      </c>
      <c r="EE133" s="496" t="str">
        <f t="shared" si="88"/>
        <v/>
      </c>
      <c r="EF133" s="496" t="str">
        <f t="shared" si="88"/>
        <v/>
      </c>
      <c r="EG133" s="496" t="str">
        <f t="shared" si="88"/>
        <v/>
      </c>
      <c r="EH133" s="496" t="str">
        <f t="shared" si="88"/>
        <v/>
      </c>
      <c r="EI133" s="496" t="str">
        <f t="shared" si="78"/>
        <v/>
      </c>
      <c r="EJ133" s="496" t="str">
        <f t="shared" si="78"/>
        <v/>
      </c>
      <c r="EK133" s="496" t="str">
        <f t="shared" si="78"/>
        <v/>
      </c>
      <c r="EL133" s="496" t="str">
        <f t="shared" si="78"/>
        <v/>
      </c>
      <c r="EM133" s="496" t="str">
        <f t="shared" si="78"/>
        <v/>
      </c>
      <c r="EN133" s="496">
        <f t="shared" si="78"/>
        <v>0.74868030720273682</v>
      </c>
      <c r="EO133" s="496">
        <f t="shared" si="86"/>
        <v>0.72818557936788109</v>
      </c>
      <c r="EP133" s="496">
        <f t="shared" si="86"/>
        <v>0.66090218087341168</v>
      </c>
      <c r="EQ133" s="496">
        <f t="shared" si="86"/>
        <v>0.68381459496599528</v>
      </c>
      <c r="ER133" s="496">
        <f t="shared" si="86"/>
        <v>0.70145889149600182</v>
      </c>
      <c r="ES133" s="496">
        <f t="shared" si="86"/>
        <v>0.60032686950437797</v>
      </c>
      <c r="ET133" s="496">
        <f t="shared" si="86"/>
        <v>0.61997543413884282</v>
      </c>
      <c r="EU133" s="496">
        <f t="shared" si="86"/>
        <v>0.54671738772419798</v>
      </c>
      <c r="EV133" s="496">
        <f t="shared" si="86"/>
        <v>0.51597449217677016</v>
      </c>
      <c r="EW133" s="496">
        <f t="shared" si="86"/>
        <v>0.51034720189260141</v>
      </c>
      <c r="EX133" s="496">
        <f t="shared" si="86"/>
        <v>0.50459346506123715</v>
      </c>
      <c r="EY133" s="496">
        <f t="shared" si="86"/>
        <v>0.53823785593273876</v>
      </c>
      <c r="EZ133" s="496">
        <f t="shared" si="86"/>
        <v>0.65238643855859046</v>
      </c>
      <c r="FA133" s="496">
        <f t="shared" si="86"/>
        <v>0.60605568061284987</v>
      </c>
      <c r="FB133" s="496">
        <f t="shared" si="81"/>
        <v>0.55645168537747303</v>
      </c>
      <c r="FC133" s="496">
        <f t="shared" si="81"/>
        <v>0.52025089233475263</v>
      </c>
      <c r="FD133" s="496">
        <f t="shared" si="81"/>
        <v>0.3782490202570008</v>
      </c>
      <c r="FE133" s="496">
        <f t="shared" si="81"/>
        <v>0.3879510116992313</v>
      </c>
      <c r="FF133" s="496">
        <f t="shared" si="81"/>
        <v>0.38307577786384472</v>
      </c>
      <c r="FG133" s="496">
        <f t="shared" si="87"/>
        <v>0.35183618303089048</v>
      </c>
      <c r="FH133" s="496">
        <f t="shared" si="83"/>
        <v>0.33559200435138425</v>
      </c>
      <c r="FI133" s="496">
        <f t="shared" si="84"/>
        <v>0.36832154642190873</v>
      </c>
      <c r="FJ133" s="496">
        <f t="shared" si="85"/>
        <v>0.34814872827916843</v>
      </c>
      <c r="FK133" s="496">
        <f t="shared" si="85"/>
        <v>0.27488551975841879</v>
      </c>
    </row>
    <row r="134" spans="2:167" ht="16">
      <c r="B134" s="140" t="s">
        <v>951</v>
      </c>
      <c r="C134" s="127" t="s">
        <v>952</v>
      </c>
      <c r="D134" s="128"/>
      <c r="E134" s="128"/>
      <c r="F134" s="128"/>
      <c r="G134" s="128"/>
      <c r="H134" s="128"/>
      <c r="I134" s="128"/>
      <c r="J134" s="128"/>
      <c r="K134" s="128"/>
      <c r="L134" s="128"/>
      <c r="M134" s="128"/>
      <c r="N134" s="128"/>
      <c r="O134" s="128"/>
      <c r="P134" s="128"/>
      <c r="Q134" s="128"/>
      <c r="R134" s="128"/>
      <c r="S134" s="128"/>
      <c r="T134" s="128"/>
      <c r="U134" s="128"/>
      <c r="V134" s="128"/>
      <c r="W134" s="128"/>
      <c r="X134" s="128"/>
      <c r="Y134" s="128"/>
      <c r="Z134" s="128">
        <v>975.16772552600003</v>
      </c>
      <c r="AA134" s="128">
        <v>1120.246898078</v>
      </c>
      <c r="AB134" s="128">
        <v>1295.4782795609999</v>
      </c>
      <c r="AC134" s="128">
        <v>1474.956147637</v>
      </c>
      <c r="AD134" s="128">
        <v>1705.256597847</v>
      </c>
      <c r="AE134" s="128">
        <v>1935.9945345900001</v>
      </c>
      <c r="AF134" s="128">
        <v>2151.6626997970002</v>
      </c>
      <c r="AG134" s="128">
        <v>2483.552688326</v>
      </c>
      <c r="AH134" s="128">
        <v>2901.424000689</v>
      </c>
      <c r="AI134" s="128">
        <v>3098.2240729179998</v>
      </c>
      <c r="AJ134" s="128">
        <v>3485.6407162239998</v>
      </c>
      <c r="AK134" s="128">
        <v>3841.354126363</v>
      </c>
      <c r="AL134" s="128">
        <v>4398.4847760339999</v>
      </c>
      <c r="AM134" s="128">
        <v>4679.3940593679999</v>
      </c>
      <c r="AN134" s="128">
        <v>5244.4722431820001</v>
      </c>
      <c r="AO134" s="128">
        <v>5908.9163352149999</v>
      </c>
      <c r="AP134" s="173">
        <v>7267.9965941250002</v>
      </c>
      <c r="AQ134" s="173">
        <v>7515.3674108739997</v>
      </c>
      <c r="AR134" s="173">
        <v>8162.7676618160003</v>
      </c>
      <c r="AS134" s="288">
        <v>8983.0353313420001</v>
      </c>
      <c r="AT134" s="288">
        <v>10017.109185084</v>
      </c>
      <c r="AU134" s="288">
        <v>10430.961801214</v>
      </c>
      <c r="AV134" s="288">
        <v>11289.726233388001</v>
      </c>
      <c r="AW134" s="158">
        <v>12143.592194352999</v>
      </c>
      <c r="AX134" s="158">
        <v>13378.770934313001</v>
      </c>
      <c r="AY134" s="158">
        <v>14272.909782504999</v>
      </c>
      <c r="AZ134" s="158">
        <v>15220.230064162</v>
      </c>
      <c r="BA134" s="158">
        <v>15481.689846432</v>
      </c>
      <c r="BB134" s="41">
        <v>16953.524255179</v>
      </c>
      <c r="BC134" s="41">
        <v>18258.917969144</v>
      </c>
      <c r="BD134" s="158">
        <v>18807.267226035001</v>
      </c>
      <c r="BE134" s="158">
        <v>20378.358941080001</v>
      </c>
      <c r="BF134" s="288">
        <v>21810.290601683999</v>
      </c>
      <c r="BG134" s="289">
        <v>22404.388200051999</v>
      </c>
      <c r="BH134" s="289">
        <v>23313.451611413999</v>
      </c>
      <c r="BI134" s="289">
        <v>23932.581517576</v>
      </c>
      <c r="BJ134" s="289">
        <v>23313.451611413999</v>
      </c>
      <c r="BK134" s="289">
        <v>23963.673974445999</v>
      </c>
      <c r="BL134" s="289">
        <v>23270.152661101001</v>
      </c>
      <c r="BM134" s="289">
        <v>23359.557967338002</v>
      </c>
      <c r="BN134" s="289">
        <v>26034.16</v>
      </c>
      <c r="BO134" s="289">
        <v>26476.760005016</v>
      </c>
      <c r="BP134" s="289">
        <v>27275.56</v>
      </c>
      <c r="BQ134" s="289">
        <v>28121.576823855001</v>
      </c>
      <c r="BR134" s="289">
        <v>29669.133577790999</v>
      </c>
      <c r="BS134" s="289">
        <v>30016.164896851998</v>
      </c>
      <c r="BT134" s="289">
        <v>31797.199621877</v>
      </c>
      <c r="BU134" s="289"/>
      <c r="BV134" s="142"/>
      <c r="BW134" s="142"/>
      <c r="BX134" s="142"/>
      <c r="BY134" s="142"/>
      <c r="BZ134" s="142"/>
      <c r="CA134" s="142"/>
      <c r="CB134" s="142"/>
      <c r="CC134" s="142"/>
      <c r="CD134" s="142"/>
      <c r="CE134" s="142"/>
      <c r="CF134" s="142"/>
      <c r="CG134" s="142"/>
      <c r="CH134" s="142"/>
      <c r="CI134" s="142"/>
      <c r="CJ134" s="142"/>
      <c r="CK134" s="142"/>
      <c r="CL134" s="142"/>
      <c r="CM134" s="142"/>
      <c r="CN134" s="142"/>
      <c r="CO134" s="142"/>
      <c r="CP134" s="142"/>
      <c r="CQ134" s="142"/>
      <c r="CR134" s="142"/>
      <c r="CS134" s="142"/>
      <c r="CT134" s="142"/>
      <c r="CU134" s="142"/>
      <c r="CV134" s="142"/>
      <c r="CW134" s="142"/>
      <c r="CX134" s="142"/>
      <c r="CY134" s="142"/>
      <c r="CZ134" s="142"/>
      <c r="DA134" s="142"/>
      <c r="DB134" s="142"/>
      <c r="DC134" s="142"/>
      <c r="DD134" s="142"/>
      <c r="DE134" s="142"/>
      <c r="DF134" s="142"/>
      <c r="DG134" s="142"/>
      <c r="DH134" s="142"/>
      <c r="DI134" s="142"/>
      <c r="DJ134" s="142"/>
      <c r="DK134" s="142"/>
      <c r="DL134" s="142"/>
      <c r="DM134" s="142"/>
      <c r="DN134" s="142"/>
      <c r="DO134" s="142"/>
      <c r="DP134" s="142"/>
      <c r="DQ134" s="142"/>
      <c r="DR134" s="142"/>
      <c r="DS134" s="133"/>
      <c r="DT134" s="174" t="str">
        <f t="shared" ref="DT134:EI150" si="89">IFERROR(J134/F134-1,"")</f>
        <v/>
      </c>
      <c r="DU134" s="174" t="str">
        <f t="shared" si="89"/>
        <v/>
      </c>
      <c r="DV134" s="174" t="str">
        <f t="shared" si="89"/>
        <v/>
      </c>
      <c r="DW134" s="174" t="str">
        <f t="shared" si="89"/>
        <v/>
      </c>
      <c r="DX134" s="174" t="str">
        <f t="shared" si="89"/>
        <v/>
      </c>
      <c r="DY134" s="174" t="str">
        <f t="shared" si="89"/>
        <v/>
      </c>
      <c r="DZ134" s="174" t="str">
        <f t="shared" si="89"/>
        <v/>
      </c>
      <c r="EA134" s="174" t="str">
        <f t="shared" si="89"/>
        <v/>
      </c>
      <c r="EB134" s="174" t="str">
        <f t="shared" si="89"/>
        <v/>
      </c>
      <c r="EC134" s="174" t="str">
        <f t="shared" si="89"/>
        <v/>
      </c>
      <c r="ED134" s="174" t="str">
        <f t="shared" si="89"/>
        <v/>
      </c>
      <c r="EE134" s="174" t="str">
        <f t="shared" si="89"/>
        <v/>
      </c>
      <c r="EF134" s="174" t="str">
        <f t="shared" si="89"/>
        <v/>
      </c>
      <c r="EG134" s="174" t="str">
        <f t="shared" si="89"/>
        <v/>
      </c>
      <c r="EH134" s="174" t="str">
        <f t="shared" si="89"/>
        <v/>
      </c>
      <c r="EI134" s="174" t="str">
        <f t="shared" si="78"/>
        <v/>
      </c>
      <c r="EJ134" s="174" t="str">
        <f t="shared" si="78"/>
        <v/>
      </c>
      <c r="EK134" s="174" t="str">
        <f t="shared" si="78"/>
        <v/>
      </c>
      <c r="EL134" s="174" t="str">
        <f t="shared" si="78"/>
        <v/>
      </c>
      <c r="EM134" s="174" t="str">
        <f t="shared" si="78"/>
        <v/>
      </c>
      <c r="EN134" s="174">
        <f t="shared" si="78"/>
        <v>0.74868030720273682</v>
      </c>
      <c r="EO134" s="174">
        <f t="shared" si="86"/>
        <v>0.72818557936788109</v>
      </c>
      <c r="EP134" s="174">
        <f t="shared" si="86"/>
        <v>0.66090218087341168</v>
      </c>
      <c r="EQ134" s="174">
        <f t="shared" si="86"/>
        <v>0.68381459496599528</v>
      </c>
      <c r="ER134" s="174">
        <f t="shared" si="86"/>
        <v>0.70145889149600182</v>
      </c>
      <c r="ES134" s="174">
        <f t="shared" si="86"/>
        <v>0.60032686950437797</v>
      </c>
      <c r="ET134" s="174">
        <f t="shared" si="86"/>
        <v>0.61997543413884282</v>
      </c>
      <c r="EU134" s="174">
        <f t="shared" si="86"/>
        <v>0.54671738772419798</v>
      </c>
      <c r="EV134" s="174">
        <f t="shared" si="86"/>
        <v>0.51597449217677016</v>
      </c>
      <c r="EW134" s="174">
        <f t="shared" si="86"/>
        <v>0.51034720189260141</v>
      </c>
      <c r="EX134" s="174">
        <f t="shared" si="86"/>
        <v>0.50459346506123715</v>
      </c>
      <c r="EY134" s="174">
        <f t="shared" si="86"/>
        <v>0.53823785593273876</v>
      </c>
      <c r="EZ134" s="174">
        <f t="shared" si="86"/>
        <v>0.65238643855859046</v>
      </c>
      <c r="FA134" s="174">
        <f t="shared" si="86"/>
        <v>0.60605568061284987</v>
      </c>
      <c r="FB134" s="174">
        <f t="shared" si="81"/>
        <v>0.55645168537747303</v>
      </c>
      <c r="FC134" s="174">
        <f t="shared" si="81"/>
        <v>0.52025089233475263</v>
      </c>
      <c r="FD134" s="174">
        <f t="shared" si="81"/>
        <v>0.3782490202570008</v>
      </c>
      <c r="FE134" s="174">
        <f t="shared" si="81"/>
        <v>0.3879510116992313</v>
      </c>
      <c r="FF134" s="174">
        <f t="shared" si="81"/>
        <v>0.38307577786384472</v>
      </c>
      <c r="FG134" s="174">
        <f t="shared" si="87"/>
        <v>0.35183618303089048</v>
      </c>
      <c r="FH134" s="174">
        <f t="shared" si="83"/>
        <v>0.33559200435138425</v>
      </c>
      <c r="FI134" s="174">
        <f t="shared" si="84"/>
        <v>0.36832154642190873</v>
      </c>
      <c r="FJ134" s="174">
        <f t="shared" si="85"/>
        <v>0.34814872827916843</v>
      </c>
      <c r="FK134" s="174">
        <f t="shared" si="85"/>
        <v>0.27488551975841879</v>
      </c>
    </row>
    <row r="135" spans="2:167" s="302" customFormat="1" ht="16">
      <c r="B135" s="297" t="s">
        <v>953</v>
      </c>
      <c r="C135" s="298" t="s">
        <v>954</v>
      </c>
      <c r="D135" s="299"/>
      <c r="E135" s="299"/>
      <c r="F135" s="299"/>
      <c r="G135" s="299"/>
      <c r="H135" s="299"/>
      <c r="I135" s="299"/>
      <c r="J135" s="299"/>
      <c r="K135" s="299"/>
      <c r="L135" s="299"/>
      <c r="M135" s="299"/>
      <c r="N135" s="299"/>
      <c r="O135" s="299"/>
      <c r="P135" s="299"/>
      <c r="Q135" s="299"/>
      <c r="R135" s="299"/>
      <c r="S135" s="299"/>
      <c r="T135" s="299"/>
      <c r="U135" s="299"/>
      <c r="V135" s="299"/>
      <c r="W135" s="299"/>
      <c r="X135" s="299"/>
      <c r="Y135" s="299"/>
      <c r="Z135" s="299">
        <v>116.41816</v>
      </c>
      <c r="AA135" s="299">
        <v>627.23171000000002</v>
      </c>
      <c r="AB135" s="299">
        <v>627.23171000000002</v>
      </c>
      <c r="AC135" s="299">
        <v>1119.5677900000001</v>
      </c>
      <c r="AD135" s="299">
        <v>1119.5677900000001</v>
      </c>
      <c r="AE135" s="299">
        <v>1399.0397599999999</v>
      </c>
      <c r="AF135" s="299">
        <v>1399.0397599999999</v>
      </c>
      <c r="AG135" s="299">
        <v>1468.8897400000001</v>
      </c>
      <c r="AH135" s="299">
        <v>1468.8897400000001</v>
      </c>
      <c r="AI135" s="299">
        <v>1468.8897400000001</v>
      </c>
      <c r="AJ135" s="299">
        <v>1468.8897400000001</v>
      </c>
      <c r="AK135" s="299">
        <v>1539.50927</v>
      </c>
      <c r="AL135" s="299">
        <v>1539.50927</v>
      </c>
      <c r="AM135" s="299">
        <v>3077.65789</v>
      </c>
      <c r="AN135" s="299">
        <v>3077.65789</v>
      </c>
      <c r="AO135" s="299">
        <v>3169.8843700000002</v>
      </c>
      <c r="AP135" s="492">
        <v>3231.6952099999999</v>
      </c>
      <c r="AQ135" s="492">
        <v>3231.6952099999999</v>
      </c>
      <c r="AR135" s="492">
        <v>3231.6952099999999</v>
      </c>
      <c r="AS135" s="300">
        <v>4434.9617799999996</v>
      </c>
      <c r="AT135" s="300">
        <v>4434.9617799999996</v>
      </c>
      <c r="AU135" s="300">
        <v>4434.9617799999996</v>
      </c>
      <c r="AV135" s="300">
        <v>4435.4617799999996</v>
      </c>
      <c r="AW135" s="301">
        <v>4435.4617799999996</v>
      </c>
      <c r="AX135" s="301">
        <v>4532.09987</v>
      </c>
      <c r="AY135" s="301">
        <v>4532.09987</v>
      </c>
      <c r="AZ135" s="301">
        <v>4532.09987</v>
      </c>
      <c r="BA135" s="301">
        <v>4532.09987</v>
      </c>
      <c r="BB135" s="342">
        <v>4661.2422699999997</v>
      </c>
      <c r="BC135" s="342">
        <v>4754.3119699999997</v>
      </c>
      <c r="BD135" s="301">
        <v>7130.6549500000001</v>
      </c>
      <c r="BE135" s="301">
        <v>7130.6549500000001</v>
      </c>
      <c r="BF135" s="300">
        <v>7130.6549500000001</v>
      </c>
      <c r="BG135" s="493">
        <v>14638.792799999999</v>
      </c>
      <c r="BH135" s="493">
        <v>14638.792799999999</v>
      </c>
      <c r="BI135" s="493">
        <v>14638.792799999999</v>
      </c>
      <c r="BJ135" s="493">
        <v>14638.792799999999</v>
      </c>
      <c r="BK135" s="493">
        <v>14633.767159999999</v>
      </c>
      <c r="BL135" s="493">
        <v>14633.767159999999</v>
      </c>
      <c r="BM135" s="493">
        <v>14633.767159999999</v>
      </c>
      <c r="BN135" s="493">
        <v>14633.77</v>
      </c>
      <c r="BO135" s="493">
        <v>14622.441769999999</v>
      </c>
      <c r="BP135" s="493">
        <v>14622.44</v>
      </c>
      <c r="BQ135" s="493">
        <v>14622.441769999999</v>
      </c>
      <c r="BR135" s="493">
        <v>14622.441769999999</v>
      </c>
      <c r="BS135" s="493">
        <v>14796.931769999999</v>
      </c>
      <c r="BT135" s="493">
        <v>14796.931769999999</v>
      </c>
      <c r="BU135" s="493"/>
      <c r="BV135" s="494"/>
      <c r="BW135" s="494"/>
      <c r="BX135" s="494"/>
      <c r="BY135" s="494"/>
      <c r="BZ135" s="494"/>
      <c r="CA135" s="494"/>
      <c r="CB135" s="494"/>
      <c r="CC135" s="494"/>
      <c r="CD135" s="494"/>
      <c r="CE135" s="494"/>
      <c r="CF135" s="494"/>
      <c r="CG135" s="494"/>
      <c r="CH135" s="494"/>
      <c r="CI135" s="494"/>
      <c r="CJ135" s="494"/>
      <c r="CK135" s="494"/>
      <c r="CL135" s="494"/>
      <c r="CM135" s="494"/>
      <c r="CN135" s="494"/>
      <c r="CO135" s="494"/>
      <c r="CP135" s="494"/>
      <c r="CQ135" s="494"/>
      <c r="CR135" s="494"/>
      <c r="CS135" s="494"/>
      <c r="CT135" s="494"/>
      <c r="CU135" s="494"/>
      <c r="CV135" s="494"/>
      <c r="CW135" s="494"/>
      <c r="CX135" s="494"/>
      <c r="CY135" s="494"/>
      <c r="CZ135" s="494"/>
      <c r="DA135" s="494"/>
      <c r="DB135" s="494"/>
      <c r="DC135" s="494"/>
      <c r="DD135" s="494"/>
      <c r="DE135" s="494"/>
      <c r="DF135" s="494"/>
      <c r="DG135" s="494"/>
      <c r="DH135" s="494"/>
      <c r="DI135" s="494"/>
      <c r="DJ135" s="494"/>
      <c r="DK135" s="494"/>
      <c r="DL135" s="494"/>
      <c r="DM135" s="494"/>
      <c r="DN135" s="494"/>
      <c r="DO135" s="494"/>
      <c r="DP135" s="494"/>
      <c r="DQ135" s="494"/>
      <c r="DR135" s="494"/>
      <c r="DS135" s="495"/>
      <c r="DT135" s="496" t="str">
        <f t="shared" si="89"/>
        <v/>
      </c>
      <c r="DU135" s="496" t="str">
        <f t="shared" si="89"/>
        <v/>
      </c>
      <c r="DV135" s="496" t="str">
        <f t="shared" si="89"/>
        <v/>
      </c>
      <c r="DW135" s="496" t="str">
        <f t="shared" si="89"/>
        <v/>
      </c>
      <c r="DX135" s="496" t="str">
        <f t="shared" si="89"/>
        <v/>
      </c>
      <c r="DY135" s="496" t="str">
        <f t="shared" si="89"/>
        <v/>
      </c>
      <c r="DZ135" s="496" t="str">
        <f t="shared" si="89"/>
        <v/>
      </c>
      <c r="EA135" s="496" t="str">
        <f t="shared" si="89"/>
        <v/>
      </c>
      <c r="EB135" s="496" t="str">
        <f t="shared" si="89"/>
        <v/>
      </c>
      <c r="EC135" s="496" t="str">
        <f t="shared" si="89"/>
        <v/>
      </c>
      <c r="ED135" s="496" t="str">
        <f t="shared" si="89"/>
        <v/>
      </c>
      <c r="EE135" s="496" t="str">
        <f t="shared" si="89"/>
        <v/>
      </c>
      <c r="EF135" s="496" t="str">
        <f t="shared" si="89"/>
        <v/>
      </c>
      <c r="EG135" s="496" t="str">
        <f t="shared" si="89"/>
        <v/>
      </c>
      <c r="EH135" s="496" t="str">
        <f t="shared" si="89"/>
        <v/>
      </c>
      <c r="EI135" s="496" t="str">
        <f t="shared" si="78"/>
        <v/>
      </c>
      <c r="EJ135" s="496" t="str">
        <f t="shared" si="78"/>
        <v/>
      </c>
      <c r="EK135" s="496" t="str">
        <f t="shared" si="78"/>
        <v/>
      </c>
      <c r="EL135" s="496" t="str">
        <f t="shared" si="78"/>
        <v/>
      </c>
      <c r="EM135" s="496" t="str">
        <f t="shared" si="78"/>
        <v/>
      </c>
      <c r="EN135" s="496">
        <f t="shared" si="78"/>
        <v>8.6167796330057094</v>
      </c>
      <c r="EO135" s="496">
        <f t="shared" si="86"/>
        <v>1.2304990925921135</v>
      </c>
      <c r="EP135" s="496">
        <f t="shared" si="86"/>
        <v>1.2304990925921135</v>
      </c>
      <c r="EQ135" s="496">
        <f t="shared" si="86"/>
        <v>0.31201500536202453</v>
      </c>
      <c r="ER135" s="496">
        <f t="shared" si="86"/>
        <v>0.31201500536202453</v>
      </c>
      <c r="ES135" s="496">
        <f t="shared" si="86"/>
        <v>4.9927087132963344E-2</v>
      </c>
      <c r="ET135" s="496">
        <f t="shared" ref="ET135:FF156" si="90">IFERROR(AJ135/AF135-1,"")</f>
        <v>4.9927087132963344E-2</v>
      </c>
      <c r="EU135" s="496">
        <f t="shared" si="90"/>
        <v>4.807680799785552E-2</v>
      </c>
      <c r="EV135" s="496">
        <f t="shared" si="90"/>
        <v>4.807680799785552E-2</v>
      </c>
      <c r="EW135" s="496">
        <f t="shared" si="90"/>
        <v>1.0952273041269929</v>
      </c>
      <c r="EX135" s="496">
        <f t="shared" si="90"/>
        <v>1.0952273041269929</v>
      </c>
      <c r="EY135" s="496">
        <f t="shared" si="90"/>
        <v>1.0590225936086766</v>
      </c>
      <c r="EZ135" s="496">
        <f t="shared" si="90"/>
        <v>1.0991722966370965</v>
      </c>
      <c r="FA135" s="496">
        <f t="shared" si="90"/>
        <v>5.0050176304683447E-2</v>
      </c>
      <c r="FB135" s="496">
        <f t="shared" si="81"/>
        <v>5.0050176304683447E-2</v>
      </c>
      <c r="FC135" s="496">
        <f t="shared" si="81"/>
        <v>0.39909260475643138</v>
      </c>
      <c r="FD135" s="496">
        <f t="shared" si="81"/>
        <v>0.37233293730073003</v>
      </c>
      <c r="FE135" s="496">
        <f t="shared" si="81"/>
        <v>0.37233293730073003</v>
      </c>
      <c r="FF135" s="496">
        <f t="shared" si="81"/>
        <v>0.37248765486148661</v>
      </c>
      <c r="FG135" s="496">
        <f t="shared" si="87"/>
        <v>1.1274054316645632E-4</v>
      </c>
      <c r="FH135" s="496">
        <f t="shared" si="83"/>
        <v>2.1902802057518711E-2</v>
      </c>
      <c r="FI135" s="496">
        <f t="shared" si="84"/>
        <v>2.1902802057518711E-2</v>
      </c>
      <c r="FJ135" s="496">
        <f t="shared" si="85"/>
        <v>2.1787605167911117E-2</v>
      </c>
      <c r="FK135" s="496">
        <f t="shared" si="85"/>
        <v>2.1787605167911117E-2</v>
      </c>
    </row>
    <row r="136" spans="2:167" ht="16">
      <c r="B136" s="140" t="s">
        <v>955</v>
      </c>
      <c r="C136" s="127" t="s">
        <v>956</v>
      </c>
      <c r="D136" s="128"/>
      <c r="E136" s="128"/>
      <c r="F136" s="128"/>
      <c r="G136" s="128"/>
      <c r="H136" s="128"/>
      <c r="I136" s="128"/>
      <c r="J136" s="128"/>
      <c r="K136" s="128"/>
      <c r="L136" s="128"/>
      <c r="M136" s="128"/>
      <c r="N136" s="128"/>
      <c r="O136" s="128"/>
      <c r="P136" s="128"/>
      <c r="Q136" s="128"/>
      <c r="R136" s="128"/>
      <c r="S136" s="128"/>
      <c r="T136" s="128"/>
      <c r="U136" s="128"/>
      <c r="V136" s="128"/>
      <c r="W136" s="128"/>
      <c r="X136" s="128"/>
      <c r="Y136" s="128"/>
      <c r="Z136" s="128">
        <v>116.41816</v>
      </c>
      <c r="AA136" s="128">
        <v>627.23171000000002</v>
      </c>
      <c r="AB136" s="128">
        <v>627.23171000000002</v>
      </c>
      <c r="AC136" s="128">
        <v>1119.5677900000001</v>
      </c>
      <c r="AD136" s="128">
        <v>1119.5677900000001</v>
      </c>
      <c r="AE136" s="128">
        <v>1399.0397599999999</v>
      </c>
      <c r="AF136" s="128">
        <v>1399.0397599999999</v>
      </c>
      <c r="AG136" s="128">
        <v>1468.8897400000001</v>
      </c>
      <c r="AH136" s="128">
        <v>1468.8897400000001</v>
      </c>
      <c r="AI136" s="128">
        <v>1468.8897400000001</v>
      </c>
      <c r="AJ136" s="128">
        <v>1468.8897400000001</v>
      </c>
      <c r="AK136" s="128">
        <v>1539.50927</v>
      </c>
      <c r="AL136" s="128">
        <v>1539.50927</v>
      </c>
      <c r="AM136" s="128">
        <v>3077.65789</v>
      </c>
      <c r="AN136" s="128">
        <v>3077.65789</v>
      </c>
      <c r="AO136" s="128">
        <v>3169.8843700000002</v>
      </c>
      <c r="AP136" s="173">
        <v>3231.6952099999999</v>
      </c>
      <c r="AQ136" s="173">
        <v>3231.6952099999999</v>
      </c>
      <c r="AR136" s="173">
        <v>3231.6952099999999</v>
      </c>
      <c r="AS136" s="288">
        <v>4434.9617799999996</v>
      </c>
      <c r="AT136" s="288">
        <v>4434.9617799999996</v>
      </c>
      <c r="AU136" s="288">
        <v>4434.9617799999996</v>
      </c>
      <c r="AV136" s="288">
        <v>4435.4617799999996</v>
      </c>
      <c r="AW136" s="158">
        <v>4435.4617799999996</v>
      </c>
      <c r="AX136" s="158">
        <v>4532.09987</v>
      </c>
      <c r="AY136" s="158">
        <v>4532.09987</v>
      </c>
      <c r="AZ136" s="158">
        <v>4532.09987</v>
      </c>
      <c r="BA136" s="158">
        <v>4532.09987</v>
      </c>
      <c r="BB136" s="41">
        <v>4661.2422699999997</v>
      </c>
      <c r="BC136" s="41">
        <v>4754.3119699999997</v>
      </c>
      <c r="BD136" s="158">
        <v>7130.6549500000001</v>
      </c>
      <c r="BE136" s="158">
        <v>7130.6549500000001</v>
      </c>
      <c r="BF136" s="288">
        <v>7130.6549500000001</v>
      </c>
      <c r="BG136" s="289">
        <v>14638.792799999999</v>
      </c>
      <c r="BH136" s="289">
        <v>14638.792799999999</v>
      </c>
      <c r="BI136" s="289">
        <v>14638.792799999999</v>
      </c>
      <c r="BJ136" s="289">
        <v>14638.792799999999</v>
      </c>
      <c r="BK136" s="289">
        <v>14633.767159999999</v>
      </c>
      <c r="BL136" s="289">
        <v>14633.767159999999</v>
      </c>
      <c r="BM136" s="289">
        <v>14633.767159999999</v>
      </c>
      <c r="BN136" s="289">
        <v>14633.77</v>
      </c>
      <c r="BO136" s="289">
        <v>14622.441769999999</v>
      </c>
      <c r="BP136" s="289">
        <v>14622.44</v>
      </c>
      <c r="BQ136" s="289">
        <v>14622.441769999999</v>
      </c>
      <c r="BR136" s="289">
        <v>14622.441769999999</v>
      </c>
      <c r="BS136" s="289">
        <v>14796.931769999999</v>
      </c>
      <c r="BT136" s="289">
        <v>14796.931769999999</v>
      </c>
      <c r="BU136" s="289"/>
      <c r="BV136" s="142"/>
      <c r="BW136" s="142"/>
      <c r="BX136" s="142"/>
      <c r="BY136" s="142"/>
      <c r="BZ136" s="142"/>
      <c r="CA136" s="142"/>
      <c r="CB136" s="142"/>
      <c r="CC136" s="142"/>
      <c r="CD136" s="142"/>
      <c r="CE136" s="142"/>
      <c r="CF136" s="142"/>
      <c r="CG136" s="142"/>
      <c r="CH136" s="142"/>
      <c r="CI136" s="142"/>
      <c r="CJ136" s="142"/>
      <c r="CK136" s="142"/>
      <c r="CL136" s="142"/>
      <c r="CM136" s="142"/>
      <c r="CN136" s="142"/>
      <c r="CO136" s="142"/>
      <c r="CP136" s="142"/>
      <c r="CQ136" s="142"/>
      <c r="CR136" s="142"/>
      <c r="CS136" s="142"/>
      <c r="CT136" s="142"/>
      <c r="CU136" s="142"/>
      <c r="CV136" s="142"/>
      <c r="CW136" s="142"/>
      <c r="CX136" s="142"/>
      <c r="CY136" s="142"/>
      <c r="CZ136" s="142"/>
      <c r="DA136" s="142"/>
      <c r="DB136" s="142"/>
      <c r="DC136" s="142"/>
      <c r="DD136" s="142"/>
      <c r="DE136" s="142"/>
      <c r="DF136" s="142"/>
      <c r="DG136" s="142"/>
      <c r="DH136" s="142"/>
      <c r="DI136" s="142"/>
      <c r="DJ136" s="142"/>
      <c r="DK136" s="142"/>
      <c r="DL136" s="142"/>
      <c r="DM136" s="142"/>
      <c r="DN136" s="142"/>
      <c r="DO136" s="142"/>
      <c r="DP136" s="142"/>
      <c r="DQ136" s="142"/>
      <c r="DR136" s="142"/>
      <c r="DS136" s="133"/>
      <c r="DT136" s="174" t="str">
        <f t="shared" si="89"/>
        <v/>
      </c>
      <c r="DU136" s="174" t="str">
        <f t="shared" si="89"/>
        <v/>
      </c>
      <c r="DV136" s="174" t="str">
        <f t="shared" si="89"/>
        <v/>
      </c>
      <c r="DW136" s="174" t="str">
        <f t="shared" si="89"/>
        <v/>
      </c>
      <c r="DX136" s="174" t="str">
        <f t="shared" si="89"/>
        <v/>
      </c>
      <c r="DY136" s="174" t="str">
        <f t="shared" si="89"/>
        <v/>
      </c>
      <c r="DZ136" s="174" t="str">
        <f t="shared" si="89"/>
        <v/>
      </c>
      <c r="EA136" s="174" t="str">
        <f t="shared" si="89"/>
        <v/>
      </c>
      <c r="EB136" s="174" t="str">
        <f t="shared" si="89"/>
        <v/>
      </c>
      <c r="EC136" s="174" t="str">
        <f t="shared" si="89"/>
        <v/>
      </c>
      <c r="ED136" s="174" t="str">
        <f t="shared" si="89"/>
        <v/>
      </c>
      <c r="EE136" s="174" t="str">
        <f t="shared" si="89"/>
        <v/>
      </c>
      <c r="EF136" s="174" t="str">
        <f t="shared" si="89"/>
        <v/>
      </c>
      <c r="EG136" s="174" t="str">
        <f t="shared" si="89"/>
        <v/>
      </c>
      <c r="EH136" s="174" t="str">
        <f t="shared" si="89"/>
        <v/>
      </c>
      <c r="EI136" s="174" t="str">
        <f t="shared" si="78"/>
        <v/>
      </c>
      <c r="EJ136" s="174" t="str">
        <f t="shared" si="78"/>
        <v/>
      </c>
      <c r="EK136" s="174" t="str">
        <f t="shared" ref="EK136:EU157" si="91">IFERROR(AA136/W136-1,"")</f>
        <v/>
      </c>
      <c r="EL136" s="174" t="str">
        <f t="shared" si="91"/>
        <v/>
      </c>
      <c r="EM136" s="174" t="str">
        <f t="shared" si="91"/>
        <v/>
      </c>
      <c r="EN136" s="174">
        <f t="shared" si="91"/>
        <v>8.6167796330057094</v>
      </c>
      <c r="EO136" s="174">
        <f t="shared" si="91"/>
        <v>1.2304990925921135</v>
      </c>
      <c r="EP136" s="174">
        <f t="shared" si="91"/>
        <v>1.2304990925921135</v>
      </c>
      <c r="EQ136" s="174">
        <f t="shared" si="91"/>
        <v>0.31201500536202453</v>
      </c>
      <c r="ER136" s="174">
        <f t="shared" si="91"/>
        <v>0.31201500536202453</v>
      </c>
      <c r="ES136" s="174">
        <f t="shared" si="91"/>
        <v>4.9927087132963344E-2</v>
      </c>
      <c r="ET136" s="174">
        <f t="shared" si="90"/>
        <v>4.9927087132963344E-2</v>
      </c>
      <c r="EU136" s="174">
        <f t="shared" si="90"/>
        <v>4.807680799785552E-2</v>
      </c>
      <c r="EV136" s="174">
        <f t="shared" si="90"/>
        <v>4.807680799785552E-2</v>
      </c>
      <c r="EW136" s="174">
        <f t="shared" si="90"/>
        <v>1.0952273041269929</v>
      </c>
      <c r="EX136" s="174">
        <f t="shared" si="90"/>
        <v>1.0952273041269929</v>
      </c>
      <c r="EY136" s="174">
        <f t="shared" si="90"/>
        <v>1.0590225936086766</v>
      </c>
      <c r="EZ136" s="174">
        <f t="shared" si="90"/>
        <v>1.0991722966370965</v>
      </c>
      <c r="FA136" s="174">
        <f t="shared" si="90"/>
        <v>5.0050176304683447E-2</v>
      </c>
      <c r="FB136" s="174">
        <f t="shared" si="81"/>
        <v>5.0050176304683447E-2</v>
      </c>
      <c r="FC136" s="174">
        <f t="shared" si="81"/>
        <v>0.39909260475643138</v>
      </c>
      <c r="FD136" s="174">
        <f t="shared" si="81"/>
        <v>0.37233293730073003</v>
      </c>
      <c r="FE136" s="174">
        <f t="shared" si="81"/>
        <v>0.37233293730073003</v>
      </c>
      <c r="FF136" s="174">
        <f t="shared" si="81"/>
        <v>0.37248765486148661</v>
      </c>
      <c r="FG136" s="174">
        <f t="shared" si="87"/>
        <v>1.1274054316645632E-4</v>
      </c>
      <c r="FH136" s="174">
        <f t="shared" si="83"/>
        <v>2.1902802057518711E-2</v>
      </c>
      <c r="FI136" s="174">
        <f t="shared" si="84"/>
        <v>2.1902802057518711E-2</v>
      </c>
      <c r="FJ136" s="174">
        <f t="shared" si="85"/>
        <v>2.1787605167911117E-2</v>
      </c>
      <c r="FK136" s="174">
        <f t="shared" si="85"/>
        <v>2.1787605167911117E-2</v>
      </c>
    </row>
    <row r="137" spans="2:167" ht="16">
      <c r="B137" s="140" t="s">
        <v>939</v>
      </c>
      <c r="C137" s="127" t="s">
        <v>957</v>
      </c>
      <c r="D137" s="128"/>
      <c r="E137" s="128"/>
      <c r="F137" s="128"/>
      <c r="G137" s="128"/>
      <c r="H137" s="128"/>
      <c r="I137" s="128"/>
      <c r="J137" s="128"/>
      <c r="K137" s="128"/>
      <c r="L137" s="128"/>
      <c r="M137" s="128"/>
      <c r="N137" s="128"/>
      <c r="O137" s="128"/>
      <c r="P137" s="128"/>
      <c r="Q137" s="128"/>
      <c r="R137" s="128"/>
      <c r="S137" s="128"/>
      <c r="T137" s="128"/>
      <c r="U137" s="128"/>
      <c r="V137" s="128"/>
      <c r="W137" s="128"/>
      <c r="X137" s="128"/>
      <c r="Y137" s="128"/>
      <c r="Z137" s="128">
        <v>0</v>
      </c>
      <c r="AA137" s="128">
        <v>0</v>
      </c>
      <c r="AB137" s="128">
        <v>0</v>
      </c>
      <c r="AC137" s="128">
        <v>0</v>
      </c>
      <c r="AD137" s="128">
        <v>0</v>
      </c>
      <c r="AE137" s="128">
        <v>0</v>
      </c>
      <c r="AF137" s="128">
        <v>0</v>
      </c>
      <c r="AG137" s="128">
        <v>0</v>
      </c>
      <c r="AH137" s="128">
        <v>0</v>
      </c>
      <c r="AI137" s="128">
        <v>0</v>
      </c>
      <c r="AJ137" s="128">
        <v>0</v>
      </c>
      <c r="AK137" s="128">
        <v>0</v>
      </c>
      <c r="AL137" s="128">
        <v>0</v>
      </c>
      <c r="AM137" s="128">
        <v>0</v>
      </c>
      <c r="AN137" s="128">
        <v>0</v>
      </c>
      <c r="AO137" s="128">
        <v>0</v>
      </c>
      <c r="AP137" s="173">
        <v>0</v>
      </c>
      <c r="AQ137" s="173">
        <v>0</v>
      </c>
      <c r="AR137" s="173">
        <v>0</v>
      </c>
      <c r="AS137" s="288">
        <v>0</v>
      </c>
      <c r="AT137" s="288">
        <v>0</v>
      </c>
      <c r="AU137" s="288">
        <v>0</v>
      </c>
      <c r="AV137" s="288">
        <v>0</v>
      </c>
      <c r="AW137" s="158">
        <v>0</v>
      </c>
      <c r="AX137" s="158">
        <v>0</v>
      </c>
      <c r="AY137" s="158">
        <v>0</v>
      </c>
      <c r="AZ137" s="158">
        <v>0</v>
      </c>
      <c r="BA137" s="158">
        <v>0</v>
      </c>
      <c r="BB137" s="41">
        <v>0</v>
      </c>
      <c r="BC137" s="41">
        <v>0</v>
      </c>
      <c r="BD137" s="158">
        <v>0</v>
      </c>
      <c r="BE137" s="158">
        <v>0</v>
      </c>
      <c r="BF137" s="288">
        <v>0</v>
      </c>
      <c r="BG137" s="289">
        <v>0</v>
      </c>
      <c r="BH137" s="289">
        <v>0</v>
      </c>
      <c r="BI137" s="289">
        <v>0</v>
      </c>
      <c r="BJ137" s="289">
        <v>0</v>
      </c>
      <c r="BK137" s="289">
        <v>0</v>
      </c>
      <c r="BL137" s="289">
        <v>0</v>
      </c>
      <c r="BM137" s="289">
        <v>0</v>
      </c>
      <c r="BN137" s="289">
        <v>0</v>
      </c>
      <c r="BO137" s="289">
        <v>0</v>
      </c>
      <c r="BP137" s="289">
        <v>0</v>
      </c>
      <c r="BQ137" s="289">
        <v>0</v>
      </c>
      <c r="BR137" s="289">
        <v>0</v>
      </c>
      <c r="BS137" s="289">
        <v>0</v>
      </c>
      <c r="BT137" s="289">
        <v>0</v>
      </c>
      <c r="BU137" s="289"/>
      <c r="BV137" s="142"/>
      <c r="BW137" s="142"/>
      <c r="BX137" s="142"/>
      <c r="BY137" s="142"/>
      <c r="BZ137" s="142"/>
      <c r="CA137" s="142"/>
      <c r="CB137" s="142"/>
      <c r="CC137" s="142"/>
      <c r="CD137" s="142"/>
      <c r="CE137" s="142"/>
      <c r="CF137" s="142"/>
      <c r="CG137" s="142"/>
      <c r="CH137" s="142"/>
      <c r="CI137" s="142"/>
      <c r="CJ137" s="142"/>
      <c r="CK137" s="142"/>
      <c r="CL137" s="142"/>
      <c r="CM137" s="142"/>
      <c r="CN137" s="142"/>
      <c r="CO137" s="142"/>
      <c r="CP137" s="142"/>
      <c r="CQ137" s="142"/>
      <c r="CR137" s="142"/>
      <c r="CS137" s="142"/>
      <c r="CT137" s="142"/>
      <c r="CU137" s="142"/>
      <c r="CV137" s="142"/>
      <c r="CW137" s="142"/>
      <c r="CX137" s="142"/>
      <c r="CY137" s="142"/>
      <c r="CZ137" s="142"/>
      <c r="DA137" s="142"/>
      <c r="DB137" s="142"/>
      <c r="DC137" s="142"/>
      <c r="DD137" s="142"/>
      <c r="DE137" s="142"/>
      <c r="DF137" s="142"/>
      <c r="DG137" s="142"/>
      <c r="DH137" s="142"/>
      <c r="DI137" s="142"/>
      <c r="DJ137" s="142"/>
      <c r="DK137" s="142"/>
      <c r="DL137" s="142"/>
      <c r="DM137" s="142"/>
      <c r="DN137" s="142"/>
      <c r="DO137" s="142"/>
      <c r="DP137" s="142"/>
      <c r="DQ137" s="142"/>
      <c r="DR137" s="142"/>
      <c r="DS137" s="133"/>
      <c r="DT137" s="174" t="str">
        <f t="shared" si="89"/>
        <v/>
      </c>
      <c r="DU137" s="174" t="str">
        <f t="shared" si="89"/>
        <v/>
      </c>
      <c r="DV137" s="174" t="str">
        <f t="shared" si="89"/>
        <v/>
      </c>
      <c r="DW137" s="174" t="str">
        <f t="shared" si="89"/>
        <v/>
      </c>
      <c r="DX137" s="174" t="str">
        <f t="shared" si="89"/>
        <v/>
      </c>
      <c r="DY137" s="174" t="str">
        <f t="shared" si="89"/>
        <v/>
      </c>
      <c r="DZ137" s="174" t="str">
        <f t="shared" si="89"/>
        <v/>
      </c>
      <c r="EA137" s="174" t="str">
        <f t="shared" si="89"/>
        <v/>
      </c>
      <c r="EB137" s="174" t="str">
        <f t="shared" si="89"/>
        <v/>
      </c>
      <c r="EC137" s="174" t="str">
        <f t="shared" si="89"/>
        <v/>
      </c>
      <c r="ED137" s="174" t="str">
        <f t="shared" si="89"/>
        <v/>
      </c>
      <c r="EE137" s="174" t="str">
        <f t="shared" si="89"/>
        <v/>
      </c>
      <c r="EF137" s="174" t="str">
        <f t="shared" si="89"/>
        <v/>
      </c>
      <c r="EG137" s="174" t="str">
        <f t="shared" si="89"/>
        <v/>
      </c>
      <c r="EH137" s="174" t="str">
        <f t="shared" si="89"/>
        <v/>
      </c>
      <c r="EI137" s="174" t="str">
        <f t="shared" si="89"/>
        <v/>
      </c>
      <c r="EJ137" s="174" t="str">
        <f t="shared" ref="EJ137:EJ157" si="92">IFERROR(Z137/V137-1,"")</f>
        <v/>
      </c>
      <c r="EK137" s="174" t="str">
        <f t="shared" si="91"/>
        <v/>
      </c>
      <c r="EL137" s="174" t="str">
        <f t="shared" si="91"/>
        <v/>
      </c>
      <c r="EM137" s="174" t="str">
        <f t="shared" si="91"/>
        <v/>
      </c>
      <c r="EN137" s="174" t="str">
        <f t="shared" si="91"/>
        <v/>
      </c>
      <c r="EO137" s="174" t="str">
        <f t="shared" si="91"/>
        <v/>
      </c>
      <c r="EP137" s="174" t="str">
        <f t="shared" si="91"/>
        <v/>
      </c>
      <c r="EQ137" s="174" t="str">
        <f t="shared" si="91"/>
        <v/>
      </c>
      <c r="ER137" s="174" t="str">
        <f t="shared" si="91"/>
        <v/>
      </c>
      <c r="ES137" s="174" t="str">
        <f t="shared" si="91"/>
        <v/>
      </c>
      <c r="ET137" s="174" t="str">
        <f t="shared" si="90"/>
        <v/>
      </c>
      <c r="EU137" s="174" t="str">
        <f t="shared" si="90"/>
        <v/>
      </c>
      <c r="EV137" s="174" t="str">
        <f t="shared" si="90"/>
        <v/>
      </c>
      <c r="EW137" s="174" t="str">
        <f t="shared" si="90"/>
        <v/>
      </c>
      <c r="EX137" s="174" t="str">
        <f t="shared" si="90"/>
        <v/>
      </c>
      <c r="EY137" s="174" t="str">
        <f t="shared" si="90"/>
        <v/>
      </c>
      <c r="EZ137" s="174" t="str">
        <f t="shared" si="90"/>
        <v/>
      </c>
      <c r="FA137" s="174" t="str">
        <f t="shared" si="90"/>
        <v/>
      </c>
      <c r="FB137" s="174" t="str">
        <f t="shared" si="81"/>
        <v/>
      </c>
      <c r="FC137" s="174" t="str">
        <f t="shared" si="81"/>
        <v/>
      </c>
      <c r="FD137" s="174" t="str">
        <f t="shared" si="81"/>
        <v/>
      </c>
      <c r="FE137" s="174" t="str">
        <f t="shared" si="81"/>
        <v/>
      </c>
      <c r="FF137" s="174" t="str">
        <f t="shared" si="81"/>
        <v/>
      </c>
      <c r="FG137" s="174" t="str">
        <f t="shared" si="87"/>
        <v/>
      </c>
      <c r="FH137" s="174" t="str">
        <f t="shared" si="83"/>
        <v/>
      </c>
      <c r="FI137" s="174" t="str">
        <f t="shared" si="84"/>
        <v/>
      </c>
      <c r="FJ137" s="174" t="str">
        <f t="shared" si="85"/>
        <v/>
      </c>
      <c r="FK137" s="174" t="str">
        <f t="shared" si="85"/>
        <v/>
      </c>
    </row>
    <row r="138" spans="2:167" ht="16">
      <c r="B138" s="140" t="s">
        <v>500</v>
      </c>
      <c r="C138" s="127" t="s">
        <v>958</v>
      </c>
      <c r="D138" s="128"/>
      <c r="E138" s="128"/>
      <c r="F138" s="128"/>
      <c r="G138" s="128"/>
      <c r="H138" s="128"/>
      <c r="I138" s="128"/>
      <c r="J138" s="128"/>
      <c r="K138" s="128"/>
      <c r="L138" s="128"/>
      <c r="M138" s="128"/>
      <c r="N138" s="128"/>
      <c r="O138" s="128"/>
      <c r="P138" s="128"/>
      <c r="Q138" s="128"/>
      <c r="R138" s="128"/>
      <c r="S138" s="128"/>
      <c r="T138" s="128"/>
      <c r="U138" s="128"/>
      <c r="V138" s="128"/>
      <c r="W138" s="128"/>
      <c r="X138" s="128"/>
      <c r="Y138" s="128"/>
      <c r="Z138" s="128">
        <v>156.59387828600001</v>
      </c>
      <c r="AA138" s="128">
        <v>78.733108286000004</v>
      </c>
      <c r="AB138" s="128">
        <v>78.733108286000004</v>
      </c>
      <c r="AC138" s="128">
        <v>36.717698286000001</v>
      </c>
      <c r="AD138" s="128">
        <v>36.717698286000001</v>
      </c>
      <c r="AE138" s="128">
        <v>36.717698286000001</v>
      </c>
      <c r="AF138" s="128">
        <v>36.717698286000001</v>
      </c>
      <c r="AG138" s="128">
        <v>36.717698286000001</v>
      </c>
      <c r="AH138" s="128">
        <v>36.717698286000001</v>
      </c>
      <c r="AI138" s="128">
        <v>36.717698286000001</v>
      </c>
      <c r="AJ138" s="128">
        <v>36.717698286000001</v>
      </c>
      <c r="AK138" s="128">
        <v>36.717698286000001</v>
      </c>
      <c r="AL138" s="128">
        <v>36.717698286000001</v>
      </c>
      <c r="AM138" s="128">
        <v>36.717698286000001</v>
      </c>
      <c r="AN138" s="128">
        <v>36.717698286000001</v>
      </c>
      <c r="AO138" s="128">
        <v>36.717698286000001</v>
      </c>
      <c r="AP138" s="173">
        <v>551.45199548599999</v>
      </c>
      <c r="AQ138" s="173">
        <v>551.45199548599999</v>
      </c>
      <c r="AR138" s="173">
        <v>551.45199548599999</v>
      </c>
      <c r="AS138" s="288">
        <v>551.45199548599999</v>
      </c>
      <c r="AT138" s="288">
        <v>551.45199548599999</v>
      </c>
      <c r="AU138" s="288">
        <v>551.45199548599999</v>
      </c>
      <c r="AV138" s="288">
        <v>555.20699548599998</v>
      </c>
      <c r="AW138" s="158">
        <v>555.20699548599998</v>
      </c>
      <c r="AX138" s="158">
        <v>558.11043098599998</v>
      </c>
      <c r="AY138" s="158">
        <v>558.11043098599998</v>
      </c>
      <c r="AZ138" s="158">
        <v>558.11043098599998</v>
      </c>
      <c r="BA138" s="158">
        <v>558.11043098599998</v>
      </c>
      <c r="BB138" s="41">
        <v>558.11043098599998</v>
      </c>
      <c r="BC138" s="41">
        <v>558.11043098599998</v>
      </c>
      <c r="BD138" s="158">
        <v>558.11043098599998</v>
      </c>
      <c r="BE138" s="158">
        <v>558.11043098599998</v>
      </c>
      <c r="BF138" s="288">
        <v>558.11043098599998</v>
      </c>
      <c r="BG138" s="289">
        <v>558.11043098599998</v>
      </c>
      <c r="BH138" s="289">
        <v>558.11043098599998</v>
      </c>
      <c r="BI138" s="289">
        <v>558.11043098599998</v>
      </c>
      <c r="BJ138" s="289">
        <v>558.11043098599998</v>
      </c>
      <c r="BK138" s="289">
        <v>558.11043098599998</v>
      </c>
      <c r="BL138" s="289">
        <v>558.11043098599998</v>
      </c>
      <c r="BM138" s="289">
        <v>558.11043098599998</v>
      </c>
      <c r="BN138" s="289">
        <v>1592</v>
      </c>
      <c r="BO138" s="289">
        <v>558.11043098599998</v>
      </c>
      <c r="BP138" s="289">
        <v>558.11</v>
      </c>
      <c r="BQ138" s="289">
        <v>558.11043098599998</v>
      </c>
      <c r="BR138" s="289">
        <v>558.11043098599998</v>
      </c>
      <c r="BS138" s="289">
        <v>558.11043098599998</v>
      </c>
      <c r="BT138" s="289">
        <v>558.11043098599998</v>
      </c>
      <c r="BU138" s="289"/>
      <c r="BV138" s="142"/>
      <c r="BW138" s="142"/>
      <c r="BX138" s="142"/>
      <c r="BY138" s="142"/>
      <c r="BZ138" s="142"/>
      <c r="CA138" s="142"/>
      <c r="CB138" s="142"/>
      <c r="CC138" s="142"/>
      <c r="CD138" s="142"/>
      <c r="CE138" s="142"/>
      <c r="CF138" s="142"/>
      <c r="CG138" s="142"/>
      <c r="CH138" s="142"/>
      <c r="CI138" s="142"/>
      <c r="CJ138" s="142"/>
      <c r="CK138" s="142"/>
      <c r="CL138" s="142"/>
      <c r="CM138" s="142"/>
      <c r="CN138" s="142"/>
      <c r="CO138" s="142"/>
      <c r="CP138" s="142"/>
      <c r="CQ138" s="142"/>
      <c r="CR138" s="142"/>
      <c r="CS138" s="142"/>
      <c r="CT138" s="142"/>
      <c r="CU138" s="142"/>
      <c r="CV138" s="142"/>
      <c r="CW138" s="142"/>
      <c r="CX138" s="142"/>
      <c r="CY138" s="142"/>
      <c r="CZ138" s="142"/>
      <c r="DA138" s="142"/>
      <c r="DB138" s="142"/>
      <c r="DC138" s="142"/>
      <c r="DD138" s="142"/>
      <c r="DE138" s="142"/>
      <c r="DF138" s="142"/>
      <c r="DG138" s="142"/>
      <c r="DH138" s="142"/>
      <c r="DI138" s="142"/>
      <c r="DJ138" s="142"/>
      <c r="DK138" s="142"/>
      <c r="DL138" s="142"/>
      <c r="DM138" s="142"/>
      <c r="DN138" s="142"/>
      <c r="DO138" s="142"/>
      <c r="DP138" s="142"/>
      <c r="DQ138" s="142"/>
      <c r="DR138" s="142"/>
      <c r="DS138" s="133"/>
      <c r="DT138" s="174" t="str">
        <f t="shared" si="89"/>
        <v/>
      </c>
      <c r="DU138" s="174" t="str">
        <f t="shared" si="89"/>
        <v/>
      </c>
      <c r="DV138" s="174" t="str">
        <f t="shared" si="89"/>
        <v/>
      </c>
      <c r="DW138" s="174" t="str">
        <f t="shared" si="89"/>
        <v/>
      </c>
      <c r="DX138" s="174" t="str">
        <f t="shared" si="89"/>
        <v/>
      </c>
      <c r="DY138" s="174" t="str">
        <f t="shared" si="89"/>
        <v/>
      </c>
      <c r="DZ138" s="174" t="str">
        <f t="shared" si="89"/>
        <v/>
      </c>
      <c r="EA138" s="174" t="str">
        <f t="shared" si="89"/>
        <v/>
      </c>
      <c r="EB138" s="174" t="str">
        <f t="shared" si="89"/>
        <v/>
      </c>
      <c r="EC138" s="174" t="str">
        <f t="shared" si="89"/>
        <v/>
      </c>
      <c r="ED138" s="174" t="str">
        <f t="shared" si="89"/>
        <v/>
      </c>
      <c r="EE138" s="174" t="str">
        <f t="shared" si="89"/>
        <v/>
      </c>
      <c r="EF138" s="174" t="str">
        <f t="shared" si="89"/>
        <v/>
      </c>
      <c r="EG138" s="174" t="str">
        <f t="shared" si="89"/>
        <v/>
      </c>
      <c r="EH138" s="174" t="str">
        <f t="shared" si="89"/>
        <v/>
      </c>
      <c r="EI138" s="174" t="str">
        <f t="shared" si="89"/>
        <v/>
      </c>
      <c r="EJ138" s="174" t="str">
        <f t="shared" si="92"/>
        <v/>
      </c>
      <c r="EK138" s="174" t="str">
        <f t="shared" si="91"/>
        <v/>
      </c>
      <c r="EL138" s="174" t="str">
        <f t="shared" si="91"/>
        <v/>
      </c>
      <c r="EM138" s="174" t="str">
        <f t="shared" si="91"/>
        <v/>
      </c>
      <c r="EN138" s="174">
        <f t="shared" si="91"/>
        <v>-0.76552277338109276</v>
      </c>
      <c r="EO138" s="174">
        <f t="shared" si="91"/>
        <v>-0.53364348130875217</v>
      </c>
      <c r="EP138" s="174">
        <f t="shared" si="91"/>
        <v>-0.53364348130875217</v>
      </c>
      <c r="EQ138" s="174">
        <f t="shared" si="91"/>
        <v>0</v>
      </c>
      <c r="ER138" s="174">
        <f t="shared" si="91"/>
        <v>0</v>
      </c>
      <c r="ES138" s="174">
        <f t="shared" si="91"/>
        <v>0</v>
      </c>
      <c r="ET138" s="174">
        <f t="shared" si="90"/>
        <v>0</v>
      </c>
      <c r="EU138" s="174">
        <f t="shared" si="90"/>
        <v>0</v>
      </c>
      <c r="EV138" s="174">
        <f t="shared" si="90"/>
        <v>0</v>
      </c>
      <c r="EW138" s="174">
        <f t="shared" si="90"/>
        <v>0</v>
      </c>
      <c r="EX138" s="174">
        <f t="shared" si="90"/>
        <v>0</v>
      </c>
      <c r="EY138" s="174">
        <f t="shared" si="90"/>
        <v>0</v>
      </c>
      <c r="EZ138" s="174">
        <f t="shared" si="90"/>
        <v>14.018697283001035</v>
      </c>
      <c r="FA138" s="174">
        <f t="shared" si="90"/>
        <v>14.018697283001035</v>
      </c>
      <c r="FB138" s="174">
        <f t="shared" si="81"/>
        <v>14.018697283001035</v>
      </c>
      <c r="FC138" s="174">
        <f t="shared" si="81"/>
        <v>14.018697283001035</v>
      </c>
      <c r="FD138" s="174">
        <f t="shared" si="81"/>
        <v>0</v>
      </c>
      <c r="FE138" s="174">
        <f t="shared" si="81"/>
        <v>0</v>
      </c>
      <c r="FF138" s="174">
        <f t="shared" si="81"/>
        <v>6.8092962410819524E-3</v>
      </c>
      <c r="FG138" s="174">
        <f t="shared" si="87"/>
        <v>6.8092962410819524E-3</v>
      </c>
      <c r="FH138" s="174">
        <f t="shared" si="83"/>
        <v>1.2074370125602307E-2</v>
      </c>
      <c r="FI138" s="174">
        <f t="shared" si="84"/>
        <v>1.2074370125602307E-2</v>
      </c>
      <c r="FJ138" s="174">
        <f t="shared" si="85"/>
        <v>5.229464908774295E-3</v>
      </c>
      <c r="FK138" s="174">
        <f t="shared" si="85"/>
        <v>5.229464908774295E-3</v>
      </c>
    </row>
    <row r="139" spans="2:167" ht="16">
      <c r="B139" s="140" t="s">
        <v>504</v>
      </c>
      <c r="C139" s="127" t="s">
        <v>959</v>
      </c>
      <c r="D139" s="128"/>
      <c r="E139" s="128"/>
      <c r="F139" s="128"/>
      <c r="G139" s="128"/>
      <c r="H139" s="128"/>
      <c r="I139" s="128"/>
      <c r="J139" s="128"/>
      <c r="K139" s="128"/>
      <c r="L139" s="128"/>
      <c r="M139" s="128"/>
      <c r="N139" s="128"/>
      <c r="O139" s="128"/>
      <c r="P139" s="128"/>
      <c r="Q139" s="128"/>
      <c r="R139" s="128"/>
      <c r="S139" s="128"/>
      <c r="T139" s="128"/>
      <c r="U139" s="128"/>
      <c r="V139" s="128"/>
      <c r="W139" s="128"/>
      <c r="X139" s="128"/>
      <c r="Y139" s="128"/>
      <c r="Z139" s="128">
        <v>0</v>
      </c>
      <c r="AA139" s="128">
        <v>0</v>
      </c>
      <c r="AB139" s="128">
        <v>0</v>
      </c>
      <c r="AC139" s="128">
        <v>0</v>
      </c>
      <c r="AD139" s="128">
        <v>0</v>
      </c>
      <c r="AE139" s="128">
        <v>0</v>
      </c>
      <c r="AF139" s="128">
        <v>0</v>
      </c>
      <c r="AG139" s="128">
        <v>0</v>
      </c>
      <c r="AH139" s="128">
        <v>0</v>
      </c>
      <c r="AI139" s="128">
        <v>0</v>
      </c>
      <c r="AJ139" s="128">
        <v>0</v>
      </c>
      <c r="AK139" s="128">
        <v>0</v>
      </c>
      <c r="AL139" s="128">
        <v>0</v>
      </c>
      <c r="AM139" s="128">
        <v>0</v>
      </c>
      <c r="AN139" s="128">
        <v>0</v>
      </c>
      <c r="AO139" s="128">
        <v>0</v>
      </c>
      <c r="AP139" s="173">
        <v>0</v>
      </c>
      <c r="AQ139" s="173">
        <v>0</v>
      </c>
      <c r="AR139" s="173">
        <v>0</v>
      </c>
      <c r="AS139" s="288">
        <v>0</v>
      </c>
      <c r="AT139" s="288">
        <v>0</v>
      </c>
      <c r="AU139" s="288">
        <v>0</v>
      </c>
      <c r="AV139" s="288">
        <v>0</v>
      </c>
      <c r="AW139" s="158">
        <v>0</v>
      </c>
      <c r="AX139" s="158">
        <v>0</v>
      </c>
      <c r="AY139" s="158">
        <v>0</v>
      </c>
      <c r="AZ139" s="158">
        <v>0</v>
      </c>
      <c r="BA139" s="158">
        <v>0</v>
      </c>
      <c r="BB139" s="41">
        <v>0</v>
      </c>
      <c r="BC139" s="41">
        <v>0</v>
      </c>
      <c r="BD139" s="158">
        <v>0</v>
      </c>
      <c r="BE139" s="158">
        <v>0</v>
      </c>
      <c r="BF139" s="288">
        <v>0</v>
      </c>
      <c r="BG139" s="289">
        <v>0</v>
      </c>
      <c r="BH139" s="289">
        <v>0</v>
      </c>
      <c r="BI139" s="289">
        <v>0</v>
      </c>
      <c r="BJ139" s="289">
        <v>0</v>
      </c>
      <c r="BK139" s="289">
        <v>0</v>
      </c>
      <c r="BL139" s="289">
        <v>0</v>
      </c>
      <c r="BM139" s="289">
        <v>0</v>
      </c>
      <c r="BN139" s="289">
        <v>0</v>
      </c>
      <c r="BO139" s="289">
        <v>0</v>
      </c>
      <c r="BP139" s="289">
        <v>0</v>
      </c>
      <c r="BQ139" s="289">
        <v>0</v>
      </c>
      <c r="BR139" s="289">
        <v>0</v>
      </c>
      <c r="BS139" s="289">
        <v>0</v>
      </c>
      <c r="BT139" s="289">
        <v>0</v>
      </c>
      <c r="BU139" s="289"/>
      <c r="BV139" s="142"/>
      <c r="BW139" s="142"/>
      <c r="BX139" s="142"/>
      <c r="BY139" s="142"/>
      <c r="BZ139" s="142"/>
      <c r="CA139" s="142"/>
      <c r="CB139" s="142"/>
      <c r="CC139" s="142"/>
      <c r="CD139" s="142"/>
      <c r="CE139" s="142"/>
      <c r="CF139" s="142"/>
      <c r="CG139" s="142"/>
      <c r="CH139" s="142"/>
      <c r="CI139" s="142"/>
      <c r="CJ139" s="142"/>
      <c r="CK139" s="142"/>
      <c r="CL139" s="142"/>
      <c r="CM139" s="142"/>
      <c r="CN139" s="142"/>
      <c r="CO139" s="142"/>
      <c r="CP139" s="142"/>
      <c r="CQ139" s="142"/>
      <c r="CR139" s="142"/>
      <c r="CS139" s="142"/>
      <c r="CT139" s="142"/>
      <c r="CU139" s="142"/>
      <c r="CV139" s="142"/>
      <c r="CW139" s="142"/>
      <c r="CX139" s="142"/>
      <c r="CY139" s="142"/>
      <c r="CZ139" s="142"/>
      <c r="DA139" s="142"/>
      <c r="DB139" s="142"/>
      <c r="DC139" s="142"/>
      <c r="DD139" s="142"/>
      <c r="DE139" s="142"/>
      <c r="DF139" s="142"/>
      <c r="DG139" s="142"/>
      <c r="DH139" s="142"/>
      <c r="DI139" s="142"/>
      <c r="DJ139" s="142"/>
      <c r="DK139" s="142"/>
      <c r="DL139" s="142"/>
      <c r="DM139" s="142"/>
      <c r="DN139" s="142"/>
      <c r="DO139" s="142"/>
      <c r="DP139" s="142"/>
      <c r="DQ139" s="142"/>
      <c r="DR139" s="142"/>
      <c r="DS139" s="133"/>
      <c r="DT139" s="174" t="str">
        <f t="shared" si="89"/>
        <v/>
      </c>
      <c r="DU139" s="174" t="str">
        <f t="shared" si="89"/>
        <v/>
      </c>
      <c r="DV139" s="174" t="str">
        <f t="shared" si="89"/>
        <v/>
      </c>
      <c r="DW139" s="174" t="str">
        <f t="shared" si="89"/>
        <v/>
      </c>
      <c r="DX139" s="174" t="str">
        <f t="shared" si="89"/>
        <v/>
      </c>
      <c r="DY139" s="174" t="str">
        <f t="shared" si="89"/>
        <v/>
      </c>
      <c r="DZ139" s="174" t="str">
        <f t="shared" si="89"/>
        <v/>
      </c>
      <c r="EA139" s="174" t="str">
        <f t="shared" si="89"/>
        <v/>
      </c>
      <c r="EB139" s="174" t="str">
        <f t="shared" si="89"/>
        <v/>
      </c>
      <c r="EC139" s="174" t="str">
        <f t="shared" si="89"/>
        <v/>
      </c>
      <c r="ED139" s="174" t="str">
        <f t="shared" si="89"/>
        <v/>
      </c>
      <c r="EE139" s="174" t="str">
        <f t="shared" si="89"/>
        <v/>
      </c>
      <c r="EF139" s="174" t="str">
        <f t="shared" si="89"/>
        <v/>
      </c>
      <c r="EG139" s="174" t="str">
        <f t="shared" si="89"/>
        <v/>
      </c>
      <c r="EH139" s="174" t="str">
        <f t="shared" si="89"/>
        <v/>
      </c>
      <c r="EI139" s="174" t="str">
        <f t="shared" si="89"/>
        <v/>
      </c>
      <c r="EJ139" s="174" t="str">
        <f t="shared" si="92"/>
        <v/>
      </c>
      <c r="EK139" s="174" t="str">
        <f t="shared" si="91"/>
        <v/>
      </c>
      <c r="EL139" s="174" t="str">
        <f t="shared" si="91"/>
        <v/>
      </c>
      <c r="EM139" s="174" t="str">
        <f t="shared" si="91"/>
        <v/>
      </c>
      <c r="EN139" s="174" t="str">
        <f t="shared" si="91"/>
        <v/>
      </c>
      <c r="EO139" s="174" t="str">
        <f t="shared" si="91"/>
        <v/>
      </c>
      <c r="EP139" s="174" t="str">
        <f t="shared" si="91"/>
        <v/>
      </c>
      <c r="EQ139" s="174" t="str">
        <f t="shared" si="91"/>
        <v/>
      </c>
      <c r="ER139" s="174" t="str">
        <f t="shared" si="91"/>
        <v/>
      </c>
      <c r="ES139" s="174" t="str">
        <f t="shared" si="91"/>
        <v/>
      </c>
      <c r="ET139" s="174" t="str">
        <f t="shared" si="90"/>
        <v/>
      </c>
      <c r="EU139" s="174" t="str">
        <f t="shared" si="90"/>
        <v/>
      </c>
      <c r="EV139" s="174" t="str">
        <f t="shared" si="90"/>
        <v/>
      </c>
      <c r="EW139" s="174" t="str">
        <f t="shared" si="90"/>
        <v/>
      </c>
      <c r="EX139" s="174" t="str">
        <f t="shared" si="90"/>
        <v/>
      </c>
      <c r="EY139" s="174" t="str">
        <f t="shared" si="90"/>
        <v/>
      </c>
      <c r="EZ139" s="174" t="str">
        <f t="shared" si="90"/>
        <v/>
      </c>
      <c r="FA139" s="174" t="str">
        <f t="shared" si="90"/>
        <v/>
      </c>
      <c r="FB139" s="174" t="str">
        <f t="shared" si="90"/>
        <v/>
      </c>
      <c r="FC139" s="174" t="str">
        <f t="shared" si="90"/>
        <v/>
      </c>
      <c r="FD139" s="174" t="str">
        <f t="shared" si="90"/>
        <v/>
      </c>
      <c r="FE139" s="174" t="str">
        <f t="shared" si="90"/>
        <v/>
      </c>
      <c r="FF139" s="174" t="str">
        <f t="shared" si="90"/>
        <v/>
      </c>
      <c r="FG139" s="174" t="str">
        <f t="shared" si="87"/>
        <v/>
      </c>
      <c r="FH139" s="174" t="str">
        <f t="shared" si="83"/>
        <v/>
      </c>
      <c r="FI139" s="174" t="str">
        <f t="shared" si="84"/>
        <v/>
      </c>
      <c r="FJ139" s="174" t="str">
        <f t="shared" si="85"/>
        <v/>
      </c>
      <c r="FK139" s="174" t="str">
        <f t="shared" si="85"/>
        <v/>
      </c>
    </row>
    <row r="140" spans="2:167" ht="16">
      <c r="B140" s="140" t="s">
        <v>502</v>
      </c>
      <c r="C140" s="127" t="s">
        <v>960</v>
      </c>
      <c r="D140" s="128"/>
      <c r="E140" s="128"/>
      <c r="F140" s="128"/>
      <c r="G140" s="128"/>
      <c r="H140" s="128"/>
      <c r="I140" s="128"/>
      <c r="J140" s="128"/>
      <c r="K140" s="128"/>
      <c r="L140" s="128"/>
      <c r="M140" s="128"/>
      <c r="N140" s="128"/>
      <c r="O140" s="128"/>
      <c r="P140" s="128"/>
      <c r="Q140" s="128"/>
      <c r="R140" s="128"/>
      <c r="S140" s="128"/>
      <c r="T140" s="128"/>
      <c r="U140" s="128"/>
      <c r="V140" s="128"/>
      <c r="W140" s="128"/>
      <c r="X140" s="128"/>
      <c r="Y140" s="128"/>
      <c r="Z140" s="128">
        <v>1.130494084</v>
      </c>
      <c r="AA140" s="128">
        <v>1.130494084</v>
      </c>
      <c r="AB140" s="128">
        <v>1.130494084</v>
      </c>
      <c r="AC140" s="128">
        <v>1.130494084</v>
      </c>
      <c r="AD140" s="128">
        <v>1.130494084</v>
      </c>
      <c r="AE140" s="128">
        <v>1.130494084</v>
      </c>
      <c r="AF140" s="128">
        <v>1.130494084</v>
      </c>
      <c r="AG140" s="128">
        <v>1.130494084</v>
      </c>
      <c r="AH140" s="128">
        <v>1.130494084</v>
      </c>
      <c r="AI140" s="128">
        <v>1.130494084</v>
      </c>
      <c r="AJ140" s="128">
        <v>1.130494084</v>
      </c>
      <c r="AK140" s="128">
        <v>1.130494084</v>
      </c>
      <c r="AL140" s="128">
        <v>1.130494084</v>
      </c>
      <c r="AM140" s="128">
        <v>1.130494084</v>
      </c>
      <c r="AN140" s="128">
        <v>1.130494084</v>
      </c>
      <c r="AO140" s="128">
        <v>1.130494084</v>
      </c>
      <c r="AP140" s="173">
        <v>1.130494084</v>
      </c>
      <c r="AQ140" s="173">
        <v>1.130494084</v>
      </c>
      <c r="AR140" s="173">
        <v>1.130494084</v>
      </c>
      <c r="AS140" s="288">
        <v>1.130494084</v>
      </c>
      <c r="AT140" s="288">
        <v>1.130494084</v>
      </c>
      <c r="AU140" s="288">
        <v>1.130494084</v>
      </c>
      <c r="AV140" s="288">
        <v>1.130494084</v>
      </c>
      <c r="AW140" s="158">
        <v>1.130494084</v>
      </c>
      <c r="AX140" s="158">
        <v>1.130494084</v>
      </c>
      <c r="AY140" s="158">
        <v>0</v>
      </c>
      <c r="AZ140" s="158">
        <v>0</v>
      </c>
      <c r="BA140" s="158">
        <v>0</v>
      </c>
      <c r="BB140" s="41">
        <v>0</v>
      </c>
      <c r="BC140" s="41">
        <v>0</v>
      </c>
      <c r="BD140" s="158">
        <v>0</v>
      </c>
      <c r="BE140" s="158">
        <v>0</v>
      </c>
      <c r="BF140" s="288">
        <v>0</v>
      </c>
      <c r="BG140" s="289">
        <v>0</v>
      </c>
      <c r="BH140" s="289">
        <v>0</v>
      </c>
      <c r="BI140" s="289">
        <v>0</v>
      </c>
      <c r="BJ140" s="289">
        <v>0</v>
      </c>
      <c r="BK140" s="289">
        <v>0</v>
      </c>
      <c r="BL140" s="289">
        <v>0</v>
      </c>
      <c r="BM140" s="289">
        <v>0</v>
      </c>
      <c r="BN140" s="289">
        <v>0</v>
      </c>
      <c r="BO140" s="289">
        <v>0</v>
      </c>
      <c r="BP140" s="289">
        <v>0</v>
      </c>
      <c r="BQ140" s="289">
        <v>0</v>
      </c>
      <c r="BR140" s="289">
        <v>0</v>
      </c>
      <c r="BS140" s="289">
        <v>0</v>
      </c>
      <c r="BT140" s="289">
        <v>0</v>
      </c>
      <c r="BU140" s="289"/>
      <c r="BV140" s="142"/>
      <c r="BW140" s="142"/>
      <c r="BX140" s="142"/>
      <c r="BY140" s="142"/>
      <c r="BZ140" s="142"/>
      <c r="CA140" s="142"/>
      <c r="CB140" s="142"/>
      <c r="CC140" s="142"/>
      <c r="CD140" s="142"/>
      <c r="CE140" s="142"/>
      <c r="CF140" s="142"/>
      <c r="CG140" s="142"/>
      <c r="CH140" s="142"/>
      <c r="CI140" s="142"/>
      <c r="CJ140" s="142"/>
      <c r="CK140" s="142"/>
      <c r="CL140" s="142"/>
      <c r="CM140" s="142"/>
      <c r="CN140" s="142"/>
      <c r="CO140" s="142"/>
      <c r="CP140" s="142"/>
      <c r="CQ140" s="142"/>
      <c r="CR140" s="142"/>
      <c r="CS140" s="142"/>
      <c r="CT140" s="142"/>
      <c r="CU140" s="142"/>
      <c r="CV140" s="142"/>
      <c r="CW140" s="142"/>
      <c r="CX140" s="142"/>
      <c r="CY140" s="142"/>
      <c r="CZ140" s="142"/>
      <c r="DA140" s="142"/>
      <c r="DB140" s="142"/>
      <c r="DC140" s="142"/>
      <c r="DD140" s="142"/>
      <c r="DE140" s="142"/>
      <c r="DF140" s="142"/>
      <c r="DG140" s="142"/>
      <c r="DH140" s="142"/>
      <c r="DI140" s="142"/>
      <c r="DJ140" s="142"/>
      <c r="DK140" s="142"/>
      <c r="DL140" s="142"/>
      <c r="DM140" s="142"/>
      <c r="DN140" s="142"/>
      <c r="DO140" s="142"/>
      <c r="DP140" s="142"/>
      <c r="DQ140" s="142"/>
      <c r="DR140" s="142"/>
      <c r="DS140" s="133"/>
      <c r="DT140" s="174" t="str">
        <f t="shared" si="89"/>
        <v/>
      </c>
      <c r="DU140" s="174" t="str">
        <f t="shared" si="89"/>
        <v/>
      </c>
      <c r="DV140" s="174" t="str">
        <f t="shared" si="89"/>
        <v/>
      </c>
      <c r="DW140" s="174" t="str">
        <f t="shared" si="89"/>
        <v/>
      </c>
      <c r="DX140" s="174" t="str">
        <f t="shared" si="89"/>
        <v/>
      </c>
      <c r="DY140" s="174" t="str">
        <f t="shared" si="89"/>
        <v/>
      </c>
      <c r="DZ140" s="174" t="str">
        <f t="shared" si="89"/>
        <v/>
      </c>
      <c r="EA140" s="174" t="str">
        <f t="shared" si="89"/>
        <v/>
      </c>
      <c r="EB140" s="174" t="str">
        <f t="shared" si="89"/>
        <v/>
      </c>
      <c r="EC140" s="174" t="str">
        <f t="shared" si="89"/>
        <v/>
      </c>
      <c r="ED140" s="174" t="str">
        <f t="shared" si="89"/>
        <v/>
      </c>
      <c r="EE140" s="174" t="str">
        <f t="shared" si="89"/>
        <v/>
      </c>
      <c r="EF140" s="174" t="str">
        <f t="shared" si="89"/>
        <v/>
      </c>
      <c r="EG140" s="174" t="str">
        <f t="shared" si="89"/>
        <v/>
      </c>
      <c r="EH140" s="174" t="str">
        <f t="shared" si="89"/>
        <v/>
      </c>
      <c r="EI140" s="174" t="str">
        <f t="shared" si="89"/>
        <v/>
      </c>
      <c r="EJ140" s="174" t="str">
        <f t="shared" si="92"/>
        <v/>
      </c>
      <c r="EK140" s="174" t="str">
        <f t="shared" si="91"/>
        <v/>
      </c>
      <c r="EL140" s="174" t="str">
        <f t="shared" si="91"/>
        <v/>
      </c>
      <c r="EM140" s="174" t="str">
        <f t="shared" si="91"/>
        <v/>
      </c>
      <c r="EN140" s="174">
        <f t="shared" si="91"/>
        <v>0</v>
      </c>
      <c r="EO140" s="174">
        <f t="shared" si="91"/>
        <v>0</v>
      </c>
      <c r="EP140" s="174">
        <f t="shared" si="91"/>
        <v>0</v>
      </c>
      <c r="EQ140" s="174">
        <f t="shared" si="91"/>
        <v>0</v>
      </c>
      <c r="ER140" s="174">
        <f t="shared" si="91"/>
        <v>0</v>
      </c>
      <c r="ES140" s="174">
        <f t="shared" si="91"/>
        <v>0</v>
      </c>
      <c r="ET140" s="174">
        <f t="shared" si="90"/>
        <v>0</v>
      </c>
      <c r="EU140" s="174">
        <f t="shared" si="90"/>
        <v>0</v>
      </c>
      <c r="EV140" s="174">
        <f t="shared" si="90"/>
        <v>0</v>
      </c>
      <c r="EW140" s="174">
        <f t="shared" si="90"/>
        <v>0</v>
      </c>
      <c r="EX140" s="174">
        <f t="shared" si="90"/>
        <v>0</v>
      </c>
      <c r="EY140" s="174">
        <f t="shared" si="90"/>
        <v>0</v>
      </c>
      <c r="EZ140" s="174">
        <f t="shared" si="90"/>
        <v>0</v>
      </c>
      <c r="FA140" s="174">
        <f t="shared" si="90"/>
        <v>0</v>
      </c>
      <c r="FB140" s="174">
        <f t="shared" si="90"/>
        <v>0</v>
      </c>
      <c r="FC140" s="174">
        <f t="shared" si="90"/>
        <v>0</v>
      </c>
      <c r="FD140" s="174">
        <f t="shared" si="90"/>
        <v>0</v>
      </c>
      <c r="FE140" s="174">
        <f t="shared" si="90"/>
        <v>0</v>
      </c>
      <c r="FF140" s="174">
        <f t="shared" si="90"/>
        <v>0</v>
      </c>
      <c r="FG140" s="174">
        <f t="shared" si="87"/>
        <v>0</v>
      </c>
      <c r="FH140" s="174">
        <f t="shared" si="83"/>
        <v>0</v>
      </c>
      <c r="FI140" s="174">
        <f t="shared" si="84"/>
        <v>-1</v>
      </c>
      <c r="FJ140" s="174">
        <f t="shared" si="85"/>
        <v>-1</v>
      </c>
      <c r="FK140" s="174">
        <f t="shared" si="85"/>
        <v>-1</v>
      </c>
    </row>
    <row r="141" spans="2:167" ht="16">
      <c r="B141" s="140" t="s">
        <v>505</v>
      </c>
      <c r="C141" s="127" t="s">
        <v>961</v>
      </c>
      <c r="D141" s="128"/>
      <c r="E141" s="128"/>
      <c r="F141" s="128"/>
      <c r="G141" s="128"/>
      <c r="H141" s="128"/>
      <c r="I141" s="128"/>
      <c r="J141" s="128"/>
      <c r="K141" s="128"/>
      <c r="L141" s="128"/>
      <c r="M141" s="128"/>
      <c r="N141" s="128"/>
      <c r="O141" s="128"/>
      <c r="P141" s="128"/>
      <c r="Q141" s="128"/>
      <c r="R141" s="128"/>
      <c r="S141" s="128"/>
      <c r="T141" s="128"/>
      <c r="U141" s="128"/>
      <c r="V141" s="128"/>
      <c r="W141" s="128"/>
      <c r="X141" s="128"/>
      <c r="Y141" s="128"/>
      <c r="Z141" s="128">
        <v>-0.30039450000000001</v>
      </c>
      <c r="AA141" s="128">
        <v>-0.30039450000000001</v>
      </c>
      <c r="AB141" s="128">
        <v>-0.30039450000000001</v>
      </c>
      <c r="AC141" s="128">
        <v>-0.30039450000000001</v>
      </c>
      <c r="AD141" s="128">
        <v>-1.5602944999999999</v>
      </c>
      <c r="AE141" s="128">
        <v>-2.2075944999999999</v>
      </c>
      <c r="AF141" s="128">
        <v>-2.3076945000000002</v>
      </c>
      <c r="AG141" s="128">
        <v>-2.4542945</v>
      </c>
      <c r="AH141" s="128">
        <v>-2.6080945</v>
      </c>
      <c r="AI141" s="128">
        <v>-2.6080945</v>
      </c>
      <c r="AJ141" s="128">
        <v>-2.7140445</v>
      </c>
      <c r="AK141" s="128">
        <v>-7.9164499999999999E-2</v>
      </c>
      <c r="AL141" s="128">
        <v>-7.9164499999999999E-2</v>
      </c>
      <c r="AM141" s="128">
        <v>-7.9164499999999999E-2</v>
      </c>
      <c r="AN141" s="128">
        <v>-7.9164499999999999E-2</v>
      </c>
      <c r="AO141" s="128">
        <v>-7.9164499999999999E-2</v>
      </c>
      <c r="AP141" s="173">
        <v>-0.34356449999999999</v>
      </c>
      <c r="AQ141" s="173">
        <v>-0.42776449999999999</v>
      </c>
      <c r="AR141" s="173">
        <v>-0.50626450000000001</v>
      </c>
      <c r="AS141" s="288">
        <v>-0.80886449999999999</v>
      </c>
      <c r="AT141" s="288">
        <v>-2.6684844999999999</v>
      </c>
      <c r="AU141" s="288">
        <v>-4.1963745000000001</v>
      </c>
      <c r="AV141" s="288">
        <v>-5.1979844999999996</v>
      </c>
      <c r="AW141" s="158">
        <v>-5.6589245000000004</v>
      </c>
      <c r="AX141" s="158">
        <v>-3.9256099999999998</v>
      </c>
      <c r="AY141" s="158">
        <v>-3.9256099999999998</v>
      </c>
      <c r="AZ141" s="158">
        <v>-5.3022999999999998</v>
      </c>
      <c r="BA141" s="158">
        <v>-6.0409300000000004</v>
      </c>
      <c r="BB141" s="41">
        <v>-0.36841000000000002</v>
      </c>
      <c r="BC141" s="41">
        <v>-1.2069799999999999</v>
      </c>
      <c r="BD141" s="158">
        <v>-1.5973299999999999</v>
      </c>
      <c r="BE141" s="158">
        <v>-2.3199999999999998</v>
      </c>
      <c r="BF141" s="288">
        <v>-2.3199999999999998</v>
      </c>
      <c r="BG141" s="289">
        <v>-1.6964999999999999</v>
      </c>
      <c r="BH141" s="289">
        <v>-3.2742100000000001</v>
      </c>
      <c r="BI141" s="289">
        <v>-5.0256400000000001</v>
      </c>
      <c r="BJ141" s="289">
        <v>-3.2742100000000001</v>
      </c>
      <c r="BK141" s="289">
        <v>-7.6640600000000001</v>
      </c>
      <c r="BL141" s="289">
        <v>-8.1666899999999991</v>
      </c>
      <c r="BM141" s="289">
        <v>-9.7832799999999995</v>
      </c>
      <c r="BN141" s="289">
        <v>-11.33</v>
      </c>
      <c r="BO141" s="289">
        <v>-3.28789</v>
      </c>
      <c r="BP141" s="289">
        <v>-3.29</v>
      </c>
      <c r="BQ141" s="289">
        <v>-7.5996800000000002</v>
      </c>
      <c r="BR141" s="289">
        <v>-7.5996800000000002</v>
      </c>
      <c r="BS141" s="289">
        <v>-10.841290000000001</v>
      </c>
      <c r="BT141" s="289">
        <v>-12.364140000000001</v>
      </c>
      <c r="BU141" s="289"/>
      <c r="BV141" s="142"/>
      <c r="BW141" s="142"/>
      <c r="BX141" s="142"/>
      <c r="BY141" s="142"/>
      <c r="BZ141" s="142"/>
      <c r="CA141" s="142"/>
      <c r="CB141" s="142"/>
      <c r="CC141" s="142"/>
      <c r="CD141" s="142"/>
      <c r="CE141" s="142"/>
      <c r="CF141" s="142"/>
      <c r="CG141" s="142"/>
      <c r="CH141" s="142"/>
      <c r="CI141" s="142"/>
      <c r="CJ141" s="142"/>
      <c r="CK141" s="142"/>
      <c r="CL141" s="142"/>
      <c r="CM141" s="142"/>
      <c r="CN141" s="142"/>
      <c r="CO141" s="142"/>
      <c r="CP141" s="142"/>
      <c r="CQ141" s="142"/>
      <c r="CR141" s="142"/>
      <c r="CS141" s="142"/>
      <c r="CT141" s="142"/>
      <c r="CU141" s="142"/>
      <c r="CV141" s="142"/>
      <c r="CW141" s="142"/>
      <c r="CX141" s="142"/>
      <c r="CY141" s="142"/>
      <c r="CZ141" s="142"/>
      <c r="DA141" s="142"/>
      <c r="DB141" s="142"/>
      <c r="DC141" s="142"/>
      <c r="DD141" s="142"/>
      <c r="DE141" s="142"/>
      <c r="DF141" s="142"/>
      <c r="DG141" s="142"/>
      <c r="DH141" s="142"/>
      <c r="DI141" s="142"/>
      <c r="DJ141" s="142"/>
      <c r="DK141" s="142"/>
      <c r="DL141" s="142"/>
      <c r="DM141" s="142"/>
      <c r="DN141" s="142"/>
      <c r="DO141" s="142"/>
      <c r="DP141" s="142"/>
      <c r="DQ141" s="142"/>
      <c r="DR141" s="142"/>
      <c r="DS141" s="133"/>
      <c r="DT141" s="174" t="str">
        <f t="shared" si="89"/>
        <v/>
      </c>
      <c r="DU141" s="174" t="str">
        <f t="shared" si="89"/>
        <v/>
      </c>
      <c r="DV141" s="174" t="str">
        <f t="shared" si="89"/>
        <v/>
      </c>
      <c r="DW141" s="174" t="str">
        <f t="shared" si="89"/>
        <v/>
      </c>
      <c r="DX141" s="174" t="str">
        <f t="shared" si="89"/>
        <v/>
      </c>
      <c r="DY141" s="174" t="str">
        <f t="shared" si="89"/>
        <v/>
      </c>
      <c r="DZ141" s="174" t="str">
        <f t="shared" si="89"/>
        <v/>
      </c>
      <c r="EA141" s="174" t="str">
        <f t="shared" si="89"/>
        <v/>
      </c>
      <c r="EB141" s="174" t="str">
        <f t="shared" si="89"/>
        <v/>
      </c>
      <c r="EC141" s="174" t="str">
        <f t="shared" si="89"/>
        <v/>
      </c>
      <c r="ED141" s="174" t="str">
        <f t="shared" si="89"/>
        <v/>
      </c>
      <c r="EE141" s="174" t="str">
        <f t="shared" si="89"/>
        <v/>
      </c>
      <c r="EF141" s="174" t="str">
        <f t="shared" si="89"/>
        <v/>
      </c>
      <c r="EG141" s="174" t="str">
        <f t="shared" si="89"/>
        <v/>
      </c>
      <c r="EH141" s="174" t="str">
        <f t="shared" si="89"/>
        <v/>
      </c>
      <c r="EI141" s="174" t="str">
        <f t="shared" si="89"/>
        <v/>
      </c>
      <c r="EJ141" s="174" t="str">
        <f t="shared" si="92"/>
        <v/>
      </c>
      <c r="EK141" s="174" t="str">
        <f t="shared" si="91"/>
        <v/>
      </c>
      <c r="EL141" s="174" t="str">
        <f t="shared" si="91"/>
        <v/>
      </c>
      <c r="EM141" s="174" t="str">
        <f t="shared" si="91"/>
        <v/>
      </c>
      <c r="EN141" s="174">
        <f t="shared" si="91"/>
        <v>4.1941513576313811</v>
      </c>
      <c r="EO141" s="174">
        <f t="shared" si="91"/>
        <v>6.3489844188225808</v>
      </c>
      <c r="EP141" s="174">
        <f t="shared" si="91"/>
        <v>6.682212890049585</v>
      </c>
      <c r="EQ141" s="174">
        <f t="shared" si="91"/>
        <v>7.1702378039544659</v>
      </c>
      <c r="ER141" s="174">
        <f t="shared" si="91"/>
        <v>0.67153989198833952</v>
      </c>
      <c r="ES141" s="174">
        <f t="shared" si="91"/>
        <v>0.1814191872646902</v>
      </c>
      <c r="ET141" s="174">
        <f t="shared" si="90"/>
        <v>0.17608483271940889</v>
      </c>
      <c r="EU141" s="174">
        <f t="shared" si="90"/>
        <v>-0.96774449846992694</v>
      </c>
      <c r="EV141" s="174">
        <f t="shared" si="90"/>
        <v>-0.96964661364839344</v>
      </c>
      <c r="EW141" s="174">
        <f t="shared" si="90"/>
        <v>-0.96964661364839344</v>
      </c>
      <c r="EX141" s="174">
        <f t="shared" si="90"/>
        <v>-0.97083153942391143</v>
      </c>
      <c r="EY141" s="174">
        <f t="shared" si="90"/>
        <v>0</v>
      </c>
      <c r="EZ141" s="174">
        <f t="shared" si="90"/>
        <v>3.3398808809504263</v>
      </c>
      <c r="FA141" s="174">
        <f t="shared" si="90"/>
        <v>4.4034889375919759</v>
      </c>
      <c r="FB141" s="174">
        <f t="shared" si="90"/>
        <v>5.3950950236532789</v>
      </c>
      <c r="FC141" s="174">
        <f t="shared" si="90"/>
        <v>9.2175154267379948</v>
      </c>
      <c r="FD141" s="174">
        <f t="shared" si="90"/>
        <v>6.7670553855244062</v>
      </c>
      <c r="FE141" s="174">
        <f t="shared" si="90"/>
        <v>8.8100111159294432</v>
      </c>
      <c r="FF141" s="174">
        <f t="shared" si="90"/>
        <v>9.267329627102038</v>
      </c>
      <c r="FG141" s="174">
        <f t="shared" si="87"/>
        <v>5.9961340867351707</v>
      </c>
      <c r="FH141" s="174">
        <f t="shared" si="83"/>
        <v>0.4711009188923525</v>
      </c>
      <c r="FI141" s="174">
        <f t="shared" si="84"/>
        <v>-6.452343564665175E-2</v>
      </c>
      <c r="FJ141" s="174">
        <f t="shared" si="85"/>
        <v>2.0068451531550346E-2</v>
      </c>
      <c r="FK141" s="174">
        <f t="shared" si="85"/>
        <v>6.7504964945193979E-2</v>
      </c>
    </row>
    <row r="142" spans="2:167" ht="16">
      <c r="B142" s="140" t="s">
        <v>962</v>
      </c>
      <c r="C142" s="127" t="s">
        <v>963</v>
      </c>
      <c r="D142" s="128"/>
      <c r="E142" s="128"/>
      <c r="F142" s="128"/>
      <c r="G142" s="128"/>
      <c r="H142" s="128"/>
      <c r="I142" s="128"/>
      <c r="J142" s="128"/>
      <c r="K142" s="128"/>
      <c r="L142" s="128"/>
      <c r="M142" s="128"/>
      <c r="N142" s="128"/>
      <c r="O142" s="128"/>
      <c r="P142" s="128"/>
      <c r="Q142" s="128"/>
      <c r="R142" s="128"/>
      <c r="S142" s="128"/>
      <c r="T142" s="128"/>
      <c r="U142" s="128"/>
      <c r="V142" s="128"/>
      <c r="W142" s="128"/>
      <c r="X142" s="128"/>
      <c r="Y142" s="128"/>
      <c r="Z142" s="128">
        <v>0</v>
      </c>
      <c r="AA142" s="128">
        <v>0</v>
      </c>
      <c r="AB142" s="128">
        <v>0</v>
      </c>
      <c r="AC142" s="128">
        <v>0</v>
      </c>
      <c r="AD142" s="128">
        <v>0</v>
      </c>
      <c r="AE142" s="128">
        <v>0</v>
      </c>
      <c r="AF142" s="128">
        <v>0</v>
      </c>
      <c r="AG142" s="128">
        <v>0</v>
      </c>
      <c r="AH142" s="128">
        <v>0</v>
      </c>
      <c r="AI142" s="128">
        <v>0</v>
      </c>
      <c r="AJ142" s="128">
        <v>0</v>
      </c>
      <c r="AK142" s="128">
        <v>0</v>
      </c>
      <c r="AL142" s="128">
        <v>0</v>
      </c>
      <c r="AM142" s="128">
        <v>0</v>
      </c>
      <c r="AN142" s="128">
        <v>0</v>
      </c>
      <c r="AO142" s="128">
        <v>0</v>
      </c>
      <c r="AP142" s="173">
        <v>0</v>
      </c>
      <c r="AQ142" s="173">
        <v>0</v>
      </c>
      <c r="AR142" s="173">
        <v>0</v>
      </c>
      <c r="AS142" s="288">
        <v>0</v>
      </c>
      <c r="AT142" s="288">
        <v>0</v>
      </c>
      <c r="AU142" s="288">
        <v>0</v>
      </c>
      <c r="AV142" s="288">
        <v>0</v>
      </c>
      <c r="AW142" s="158">
        <v>0</v>
      </c>
      <c r="AX142" s="158">
        <v>0</v>
      </c>
      <c r="AY142" s="158">
        <v>0</v>
      </c>
      <c r="AZ142" s="158">
        <v>0</v>
      </c>
      <c r="BA142" s="158">
        <v>0</v>
      </c>
      <c r="BB142" s="41">
        <v>0</v>
      </c>
      <c r="BC142" s="41">
        <v>0</v>
      </c>
      <c r="BD142" s="158">
        <v>0</v>
      </c>
      <c r="BE142" s="158">
        <v>0</v>
      </c>
      <c r="BF142" s="288">
        <v>0</v>
      </c>
      <c r="BG142" s="289">
        <v>0</v>
      </c>
      <c r="BH142" s="289">
        <v>0</v>
      </c>
      <c r="BI142" s="289">
        <v>0</v>
      </c>
      <c r="BJ142" s="289">
        <v>0</v>
      </c>
      <c r="BK142" s="289">
        <v>0</v>
      </c>
      <c r="BL142" s="289">
        <v>0</v>
      </c>
      <c r="BM142" s="289">
        <v>0</v>
      </c>
      <c r="BN142" s="289">
        <v>0</v>
      </c>
      <c r="BO142" s="289">
        <v>0</v>
      </c>
      <c r="BP142" s="289">
        <v>0</v>
      </c>
      <c r="BQ142" s="289">
        <v>0</v>
      </c>
      <c r="BR142" s="289">
        <v>0</v>
      </c>
      <c r="BS142" s="289">
        <v>0</v>
      </c>
      <c r="BT142" s="289">
        <v>0</v>
      </c>
      <c r="BU142" s="289"/>
      <c r="BV142" s="142"/>
      <c r="BW142" s="142"/>
      <c r="BX142" s="142"/>
      <c r="BY142" s="142"/>
      <c r="BZ142" s="142"/>
      <c r="CA142" s="142"/>
      <c r="CB142" s="142"/>
      <c r="CC142" s="142"/>
      <c r="CD142" s="142"/>
      <c r="CE142" s="142"/>
      <c r="CF142" s="142"/>
      <c r="CG142" s="142"/>
      <c r="CH142" s="142"/>
      <c r="CI142" s="142"/>
      <c r="CJ142" s="142"/>
      <c r="CK142" s="142"/>
      <c r="CL142" s="142"/>
      <c r="CM142" s="142"/>
      <c r="CN142" s="142"/>
      <c r="CO142" s="142"/>
      <c r="CP142" s="142"/>
      <c r="CQ142" s="142"/>
      <c r="CR142" s="142"/>
      <c r="CS142" s="142"/>
      <c r="CT142" s="142"/>
      <c r="CU142" s="142"/>
      <c r="CV142" s="142"/>
      <c r="CW142" s="142"/>
      <c r="CX142" s="142"/>
      <c r="CY142" s="142"/>
      <c r="CZ142" s="142"/>
      <c r="DA142" s="142"/>
      <c r="DB142" s="142"/>
      <c r="DC142" s="142"/>
      <c r="DD142" s="142"/>
      <c r="DE142" s="142"/>
      <c r="DF142" s="142"/>
      <c r="DG142" s="142"/>
      <c r="DH142" s="142"/>
      <c r="DI142" s="142"/>
      <c r="DJ142" s="142"/>
      <c r="DK142" s="142"/>
      <c r="DL142" s="142"/>
      <c r="DM142" s="142"/>
      <c r="DN142" s="142"/>
      <c r="DO142" s="142"/>
      <c r="DP142" s="142"/>
      <c r="DQ142" s="142"/>
      <c r="DR142" s="142"/>
      <c r="DS142" s="133"/>
      <c r="DT142" s="174" t="str">
        <f t="shared" si="89"/>
        <v/>
      </c>
      <c r="DU142" s="174" t="str">
        <f t="shared" si="89"/>
        <v/>
      </c>
      <c r="DV142" s="174" t="str">
        <f t="shared" si="89"/>
        <v/>
      </c>
      <c r="DW142" s="174" t="str">
        <f t="shared" si="89"/>
        <v/>
      </c>
      <c r="DX142" s="174" t="str">
        <f t="shared" si="89"/>
        <v/>
      </c>
      <c r="DY142" s="174" t="str">
        <f t="shared" si="89"/>
        <v/>
      </c>
      <c r="DZ142" s="174" t="str">
        <f t="shared" si="89"/>
        <v/>
      </c>
      <c r="EA142" s="174" t="str">
        <f t="shared" si="89"/>
        <v/>
      </c>
      <c r="EB142" s="174" t="str">
        <f t="shared" si="89"/>
        <v/>
      </c>
      <c r="EC142" s="174" t="str">
        <f t="shared" si="89"/>
        <v/>
      </c>
      <c r="ED142" s="174" t="str">
        <f t="shared" si="89"/>
        <v/>
      </c>
      <c r="EE142" s="174" t="str">
        <f t="shared" si="89"/>
        <v/>
      </c>
      <c r="EF142" s="174" t="str">
        <f t="shared" si="89"/>
        <v/>
      </c>
      <c r="EG142" s="174" t="str">
        <f t="shared" si="89"/>
        <v/>
      </c>
      <c r="EH142" s="174" t="str">
        <f t="shared" si="89"/>
        <v/>
      </c>
      <c r="EI142" s="174" t="str">
        <f t="shared" si="89"/>
        <v/>
      </c>
      <c r="EJ142" s="174" t="str">
        <f t="shared" si="92"/>
        <v/>
      </c>
      <c r="EK142" s="174" t="str">
        <f t="shared" si="91"/>
        <v/>
      </c>
      <c r="EL142" s="174" t="str">
        <f t="shared" si="91"/>
        <v/>
      </c>
      <c r="EM142" s="174" t="str">
        <f t="shared" si="91"/>
        <v/>
      </c>
      <c r="EN142" s="174" t="str">
        <f t="shared" si="91"/>
        <v/>
      </c>
      <c r="EO142" s="174" t="str">
        <f t="shared" si="91"/>
        <v/>
      </c>
      <c r="EP142" s="174" t="str">
        <f t="shared" si="91"/>
        <v/>
      </c>
      <c r="EQ142" s="174" t="str">
        <f t="shared" si="91"/>
        <v/>
      </c>
      <c r="ER142" s="174" t="str">
        <f t="shared" si="91"/>
        <v/>
      </c>
      <c r="ES142" s="174" t="str">
        <f t="shared" si="91"/>
        <v/>
      </c>
      <c r="ET142" s="174" t="str">
        <f t="shared" si="90"/>
        <v/>
      </c>
      <c r="EU142" s="174" t="str">
        <f t="shared" si="90"/>
        <v/>
      </c>
      <c r="EV142" s="174" t="str">
        <f t="shared" si="90"/>
        <v/>
      </c>
      <c r="EW142" s="174" t="str">
        <f t="shared" si="90"/>
        <v/>
      </c>
      <c r="EX142" s="174" t="str">
        <f t="shared" si="90"/>
        <v/>
      </c>
      <c r="EY142" s="174" t="str">
        <f t="shared" si="90"/>
        <v/>
      </c>
      <c r="EZ142" s="174" t="str">
        <f t="shared" si="90"/>
        <v/>
      </c>
      <c r="FA142" s="174" t="str">
        <f t="shared" si="90"/>
        <v/>
      </c>
      <c r="FB142" s="174" t="str">
        <f t="shared" si="90"/>
        <v/>
      </c>
      <c r="FC142" s="174" t="str">
        <f t="shared" si="90"/>
        <v/>
      </c>
      <c r="FD142" s="174" t="str">
        <f t="shared" si="90"/>
        <v/>
      </c>
      <c r="FE142" s="174" t="str">
        <f t="shared" si="90"/>
        <v/>
      </c>
      <c r="FF142" s="174" t="str">
        <f t="shared" si="90"/>
        <v/>
      </c>
      <c r="FG142" s="174" t="str">
        <f t="shared" si="87"/>
        <v/>
      </c>
      <c r="FH142" s="174" t="str">
        <f t="shared" si="83"/>
        <v/>
      </c>
      <c r="FI142" s="174" t="str">
        <f t="shared" si="84"/>
        <v/>
      </c>
      <c r="FJ142" s="174" t="str">
        <f t="shared" si="85"/>
        <v/>
      </c>
      <c r="FK142" s="174" t="str">
        <f t="shared" si="85"/>
        <v/>
      </c>
    </row>
    <row r="143" spans="2:167" ht="16">
      <c r="B143" s="140" t="s">
        <v>510</v>
      </c>
      <c r="C143" s="127" t="s">
        <v>964</v>
      </c>
      <c r="D143" s="128"/>
      <c r="E143" s="128"/>
      <c r="F143" s="128"/>
      <c r="G143" s="128"/>
      <c r="H143" s="128"/>
      <c r="I143" s="128"/>
      <c r="J143" s="128"/>
      <c r="K143" s="128"/>
      <c r="L143" s="128"/>
      <c r="M143" s="128"/>
      <c r="N143" s="128"/>
      <c r="O143" s="128"/>
      <c r="P143" s="128"/>
      <c r="Q143" s="128"/>
      <c r="R143" s="128"/>
      <c r="S143" s="128"/>
      <c r="T143" s="128"/>
      <c r="U143" s="128"/>
      <c r="V143" s="128"/>
      <c r="W143" s="128"/>
      <c r="X143" s="128"/>
      <c r="Y143" s="128"/>
      <c r="Z143" s="128">
        <v>0</v>
      </c>
      <c r="AA143" s="128">
        <v>0</v>
      </c>
      <c r="AB143" s="128">
        <v>0</v>
      </c>
      <c r="AC143" s="128">
        <v>0</v>
      </c>
      <c r="AD143" s="128">
        <v>0</v>
      </c>
      <c r="AE143" s="128">
        <v>0</v>
      </c>
      <c r="AF143" s="128">
        <v>0</v>
      </c>
      <c r="AG143" s="128">
        <v>0</v>
      </c>
      <c r="AH143" s="128">
        <v>0</v>
      </c>
      <c r="AI143" s="128">
        <v>0</v>
      </c>
      <c r="AJ143" s="128">
        <v>0</v>
      </c>
      <c r="AK143" s="128">
        <v>0</v>
      </c>
      <c r="AL143" s="128">
        <v>0</v>
      </c>
      <c r="AM143" s="128">
        <v>-5.4261182999999998E-2</v>
      </c>
      <c r="AN143" s="128">
        <v>-4.6397078000000001E-2</v>
      </c>
      <c r="AO143" s="128">
        <v>-8.6063365000000003E-2</v>
      </c>
      <c r="AP143" s="173">
        <v>-0.200577213</v>
      </c>
      <c r="AQ143" s="173">
        <v>-1.2787979E-2</v>
      </c>
      <c r="AR143" s="173">
        <v>0.33008213400000003</v>
      </c>
      <c r="AS143" s="288">
        <v>0.446572898</v>
      </c>
      <c r="AT143" s="288">
        <v>0.41652676500000002</v>
      </c>
      <c r="AU143" s="288">
        <v>0.410783595</v>
      </c>
      <c r="AV143" s="288">
        <v>0.38948404399999997</v>
      </c>
      <c r="AW143" s="158">
        <v>-2.8377933000000001E-2</v>
      </c>
      <c r="AX143" s="158">
        <v>1.7558462619999999</v>
      </c>
      <c r="AY143" s="158">
        <v>1.5708738170000001</v>
      </c>
      <c r="AZ143" s="158">
        <v>0.68698767500000002</v>
      </c>
      <c r="BA143" s="158">
        <v>-1.443756225</v>
      </c>
      <c r="BB143" s="41">
        <v>-3.0572508319999998</v>
      </c>
      <c r="BC143" s="41">
        <v>-3.5730692849999999</v>
      </c>
      <c r="BD143" s="158">
        <v>-2.9998892769999999</v>
      </c>
      <c r="BE143" s="158">
        <v>5.3884252989999997</v>
      </c>
      <c r="BF143" s="288">
        <v>-7.8113460290000001</v>
      </c>
      <c r="BG143" s="289">
        <v>-2.7409119280000001</v>
      </c>
      <c r="BH143" s="289">
        <v>0.402370061</v>
      </c>
      <c r="BI143" s="289">
        <v>2.2616030899999999</v>
      </c>
      <c r="BJ143" s="289">
        <v>0.402370061</v>
      </c>
      <c r="BK143" s="289">
        <v>3.4788791350000001</v>
      </c>
      <c r="BL143" s="289">
        <v>2.9243561709999999</v>
      </c>
      <c r="BM143" s="289">
        <v>3.7390303060000001</v>
      </c>
      <c r="BN143" s="289">
        <v>3.68</v>
      </c>
      <c r="BO143" s="289">
        <v>3.4476393760000001</v>
      </c>
      <c r="BP143" s="289">
        <v>3.45</v>
      </c>
      <c r="BQ143" s="289">
        <v>2.4583846290000002</v>
      </c>
      <c r="BR143" s="289">
        <v>2.4583846290000002</v>
      </c>
      <c r="BS143" s="289">
        <v>0</v>
      </c>
      <c r="BT143" s="289">
        <v>0</v>
      </c>
      <c r="BU143" s="289"/>
      <c r="BV143" s="142"/>
      <c r="BW143" s="142"/>
      <c r="BX143" s="142"/>
      <c r="BY143" s="142"/>
      <c r="BZ143" s="142"/>
      <c r="CA143" s="142"/>
      <c r="CB143" s="142"/>
      <c r="CC143" s="142"/>
      <c r="CD143" s="142"/>
      <c r="CE143" s="142"/>
      <c r="CF143" s="142"/>
      <c r="CG143" s="142"/>
      <c r="CH143" s="142"/>
      <c r="CI143" s="142"/>
      <c r="CJ143" s="142"/>
      <c r="CK143" s="142"/>
      <c r="CL143" s="142"/>
      <c r="CM143" s="142"/>
      <c r="CN143" s="142"/>
      <c r="CO143" s="142"/>
      <c r="CP143" s="142"/>
      <c r="CQ143" s="142"/>
      <c r="CR143" s="142"/>
      <c r="CS143" s="142"/>
      <c r="CT143" s="142"/>
      <c r="CU143" s="142"/>
      <c r="CV143" s="142"/>
      <c r="CW143" s="142"/>
      <c r="CX143" s="142"/>
      <c r="CY143" s="142"/>
      <c r="CZ143" s="142"/>
      <c r="DA143" s="142"/>
      <c r="DB143" s="142"/>
      <c r="DC143" s="142"/>
      <c r="DD143" s="142"/>
      <c r="DE143" s="142"/>
      <c r="DF143" s="142"/>
      <c r="DG143" s="142"/>
      <c r="DH143" s="142"/>
      <c r="DI143" s="142"/>
      <c r="DJ143" s="142"/>
      <c r="DK143" s="142"/>
      <c r="DL143" s="142"/>
      <c r="DM143" s="142"/>
      <c r="DN143" s="142"/>
      <c r="DO143" s="142"/>
      <c r="DP143" s="142"/>
      <c r="DQ143" s="142"/>
      <c r="DR143" s="142"/>
      <c r="DS143" s="133"/>
      <c r="DT143" s="174" t="str">
        <f t="shared" si="89"/>
        <v/>
      </c>
      <c r="DU143" s="174" t="str">
        <f t="shared" si="89"/>
        <v/>
      </c>
      <c r="DV143" s="174" t="str">
        <f t="shared" si="89"/>
        <v/>
      </c>
      <c r="DW143" s="174" t="str">
        <f t="shared" si="89"/>
        <v/>
      </c>
      <c r="DX143" s="174" t="str">
        <f t="shared" si="89"/>
        <v/>
      </c>
      <c r="DY143" s="174" t="str">
        <f t="shared" si="89"/>
        <v/>
      </c>
      <c r="DZ143" s="174" t="str">
        <f t="shared" si="89"/>
        <v/>
      </c>
      <c r="EA143" s="174" t="str">
        <f t="shared" si="89"/>
        <v/>
      </c>
      <c r="EB143" s="174" t="str">
        <f t="shared" si="89"/>
        <v/>
      </c>
      <c r="EC143" s="174" t="str">
        <f t="shared" si="89"/>
        <v/>
      </c>
      <c r="ED143" s="174" t="str">
        <f t="shared" si="89"/>
        <v/>
      </c>
      <c r="EE143" s="174" t="str">
        <f t="shared" si="89"/>
        <v/>
      </c>
      <c r="EF143" s="174" t="str">
        <f t="shared" si="89"/>
        <v/>
      </c>
      <c r="EG143" s="174" t="str">
        <f t="shared" si="89"/>
        <v/>
      </c>
      <c r="EH143" s="174" t="str">
        <f t="shared" si="89"/>
        <v/>
      </c>
      <c r="EI143" s="174" t="str">
        <f t="shared" si="89"/>
        <v/>
      </c>
      <c r="EJ143" s="174" t="str">
        <f t="shared" si="92"/>
        <v/>
      </c>
      <c r="EK143" s="174" t="str">
        <f t="shared" si="91"/>
        <v/>
      </c>
      <c r="EL143" s="174" t="str">
        <f t="shared" si="91"/>
        <v/>
      </c>
      <c r="EM143" s="174" t="str">
        <f t="shared" si="91"/>
        <v/>
      </c>
      <c r="EN143" s="174" t="str">
        <f t="shared" si="91"/>
        <v/>
      </c>
      <c r="EO143" s="174" t="str">
        <f t="shared" si="91"/>
        <v/>
      </c>
      <c r="EP143" s="174" t="str">
        <f t="shared" si="91"/>
        <v/>
      </c>
      <c r="EQ143" s="174" t="str">
        <f t="shared" si="91"/>
        <v/>
      </c>
      <c r="ER143" s="174" t="str">
        <f t="shared" si="91"/>
        <v/>
      </c>
      <c r="ES143" s="174" t="str">
        <f t="shared" si="91"/>
        <v/>
      </c>
      <c r="ET143" s="174" t="str">
        <f t="shared" si="90"/>
        <v/>
      </c>
      <c r="EU143" s="174" t="str">
        <f t="shared" si="90"/>
        <v/>
      </c>
      <c r="EV143" s="174" t="str">
        <f t="shared" si="90"/>
        <v/>
      </c>
      <c r="EW143" s="174" t="str">
        <f t="shared" si="90"/>
        <v/>
      </c>
      <c r="EX143" s="174" t="str">
        <f t="shared" si="90"/>
        <v/>
      </c>
      <c r="EY143" s="174" t="str">
        <f t="shared" si="90"/>
        <v/>
      </c>
      <c r="EZ143" s="174" t="str">
        <f t="shared" si="90"/>
        <v/>
      </c>
      <c r="FA143" s="174">
        <f t="shared" si="90"/>
        <v>-0.7643254663282959</v>
      </c>
      <c r="FB143" s="174">
        <f t="shared" si="90"/>
        <v>-8.1142871109253907</v>
      </c>
      <c r="FC143" s="174">
        <f t="shared" si="90"/>
        <v>-6.1888849337926768</v>
      </c>
      <c r="FD143" s="174">
        <f t="shared" si="90"/>
        <v>-3.0766405055194381</v>
      </c>
      <c r="FE143" s="174">
        <f t="shared" si="90"/>
        <v>-33.122636031854604</v>
      </c>
      <c r="FF143" s="174">
        <f t="shared" si="90"/>
        <v>0.17996099722258796</v>
      </c>
      <c r="FG143" s="174">
        <f t="shared" si="87"/>
        <v>-1.0635460260286553</v>
      </c>
      <c r="FH143" s="174">
        <f t="shared" si="83"/>
        <v>3.2154464239530922</v>
      </c>
      <c r="FI143" s="174">
        <f t="shared" si="84"/>
        <v>2.8240909231051452</v>
      </c>
      <c r="FJ143" s="174">
        <f t="shared" si="85"/>
        <v>0.76384035644859449</v>
      </c>
      <c r="FK143" s="174">
        <f t="shared" si="85"/>
        <v>49.876017819902529</v>
      </c>
    </row>
    <row r="144" spans="2:167" ht="16">
      <c r="B144" s="140" t="s">
        <v>965</v>
      </c>
      <c r="C144" s="127" t="s">
        <v>966</v>
      </c>
      <c r="D144" s="128"/>
      <c r="E144" s="128"/>
      <c r="F144" s="128"/>
      <c r="G144" s="128"/>
      <c r="H144" s="128"/>
      <c r="I144" s="128"/>
      <c r="J144" s="128"/>
      <c r="K144" s="128"/>
      <c r="L144" s="128"/>
      <c r="M144" s="128"/>
      <c r="N144" s="128"/>
      <c r="O144" s="128"/>
      <c r="P144" s="128"/>
      <c r="Q144" s="128"/>
      <c r="R144" s="128"/>
      <c r="S144" s="128"/>
      <c r="T144" s="128"/>
      <c r="U144" s="128"/>
      <c r="V144" s="128"/>
      <c r="W144" s="128"/>
      <c r="X144" s="128"/>
      <c r="Y144" s="128"/>
      <c r="Z144" s="128">
        <v>0</v>
      </c>
      <c r="AA144" s="128">
        <v>0</v>
      </c>
      <c r="AB144" s="128">
        <v>0</v>
      </c>
      <c r="AC144" s="128">
        <v>0</v>
      </c>
      <c r="AD144" s="128">
        <v>0</v>
      </c>
      <c r="AE144" s="128">
        <v>0</v>
      </c>
      <c r="AF144" s="128">
        <v>0</v>
      </c>
      <c r="AG144" s="128">
        <v>0</v>
      </c>
      <c r="AH144" s="128">
        <v>0</v>
      </c>
      <c r="AI144" s="128">
        <v>0</v>
      </c>
      <c r="AJ144" s="128">
        <v>0</v>
      </c>
      <c r="AK144" s="128">
        <v>0</v>
      </c>
      <c r="AL144" s="128">
        <v>0</v>
      </c>
      <c r="AM144" s="128">
        <v>0</v>
      </c>
      <c r="AN144" s="128">
        <v>0</v>
      </c>
      <c r="AO144" s="128">
        <v>0</v>
      </c>
      <c r="AP144" s="173">
        <v>0</v>
      </c>
      <c r="AQ144" s="173">
        <v>0</v>
      </c>
      <c r="AR144" s="173">
        <v>0</v>
      </c>
      <c r="AS144" s="288">
        <v>0</v>
      </c>
      <c r="AT144" s="288">
        <v>0</v>
      </c>
      <c r="AU144" s="288">
        <v>0</v>
      </c>
      <c r="AV144" s="288">
        <v>0</v>
      </c>
      <c r="AW144" s="158">
        <v>0</v>
      </c>
      <c r="AX144" s="158">
        <v>0</v>
      </c>
      <c r="AY144" s="158">
        <v>0</v>
      </c>
      <c r="AZ144" s="158">
        <v>0</v>
      </c>
      <c r="BA144" s="158">
        <v>0</v>
      </c>
      <c r="BB144" s="41">
        <v>0</v>
      </c>
      <c r="BC144" s="41">
        <v>0</v>
      </c>
      <c r="BD144" s="158">
        <v>0</v>
      </c>
      <c r="BE144" s="158">
        <v>0</v>
      </c>
      <c r="BF144" s="288">
        <v>0</v>
      </c>
      <c r="BG144" s="289">
        <v>0</v>
      </c>
      <c r="BH144" s="289">
        <v>0</v>
      </c>
      <c r="BI144" s="289">
        <v>0</v>
      </c>
      <c r="BJ144" s="289">
        <v>0</v>
      </c>
      <c r="BK144" s="289">
        <v>0</v>
      </c>
      <c r="BL144" s="289">
        <v>0</v>
      </c>
      <c r="BM144" s="289">
        <v>0</v>
      </c>
      <c r="BN144" s="289">
        <v>0</v>
      </c>
      <c r="BO144" s="289">
        <v>0</v>
      </c>
      <c r="BP144" s="289">
        <v>0</v>
      </c>
      <c r="BQ144" s="289">
        <v>0</v>
      </c>
      <c r="BR144" s="289">
        <v>0</v>
      </c>
      <c r="BS144" s="289">
        <v>0</v>
      </c>
      <c r="BT144" s="289">
        <v>0</v>
      </c>
      <c r="BU144" s="289"/>
      <c r="BV144" s="142"/>
      <c r="BW144" s="142"/>
      <c r="BX144" s="142"/>
      <c r="BY144" s="142"/>
      <c r="BZ144" s="142"/>
      <c r="CA144" s="142"/>
      <c r="CB144" s="142"/>
      <c r="CC144" s="142"/>
      <c r="CD144" s="142"/>
      <c r="CE144" s="142"/>
      <c r="CF144" s="142"/>
      <c r="CG144" s="142"/>
      <c r="CH144" s="142"/>
      <c r="CI144" s="142"/>
      <c r="CJ144" s="142"/>
      <c r="CK144" s="142"/>
      <c r="CL144" s="142"/>
      <c r="CM144" s="142"/>
      <c r="CN144" s="142"/>
      <c r="CO144" s="142"/>
      <c r="CP144" s="142"/>
      <c r="CQ144" s="142"/>
      <c r="CR144" s="142"/>
      <c r="CS144" s="142"/>
      <c r="CT144" s="142"/>
      <c r="CU144" s="142"/>
      <c r="CV144" s="142"/>
      <c r="CW144" s="142"/>
      <c r="CX144" s="142"/>
      <c r="CY144" s="142"/>
      <c r="CZ144" s="142"/>
      <c r="DA144" s="142"/>
      <c r="DB144" s="142"/>
      <c r="DC144" s="142"/>
      <c r="DD144" s="142"/>
      <c r="DE144" s="142"/>
      <c r="DF144" s="142"/>
      <c r="DG144" s="142"/>
      <c r="DH144" s="142"/>
      <c r="DI144" s="142"/>
      <c r="DJ144" s="142"/>
      <c r="DK144" s="142"/>
      <c r="DL144" s="142"/>
      <c r="DM144" s="142"/>
      <c r="DN144" s="142"/>
      <c r="DO144" s="142"/>
      <c r="DP144" s="142"/>
      <c r="DQ144" s="142"/>
      <c r="DR144" s="142"/>
      <c r="DS144" s="133"/>
      <c r="DT144" s="174" t="str">
        <f t="shared" si="89"/>
        <v/>
      </c>
      <c r="DU144" s="174" t="str">
        <f t="shared" si="89"/>
        <v/>
      </c>
      <c r="DV144" s="174" t="str">
        <f t="shared" si="89"/>
        <v/>
      </c>
      <c r="DW144" s="174" t="str">
        <f t="shared" si="89"/>
        <v/>
      </c>
      <c r="DX144" s="174" t="str">
        <f t="shared" si="89"/>
        <v/>
      </c>
      <c r="DY144" s="174" t="str">
        <f t="shared" si="89"/>
        <v/>
      </c>
      <c r="DZ144" s="174" t="str">
        <f t="shared" si="89"/>
        <v/>
      </c>
      <c r="EA144" s="174" t="str">
        <f t="shared" si="89"/>
        <v/>
      </c>
      <c r="EB144" s="174" t="str">
        <f t="shared" si="89"/>
        <v/>
      </c>
      <c r="EC144" s="174" t="str">
        <f t="shared" si="89"/>
        <v/>
      </c>
      <c r="ED144" s="174" t="str">
        <f t="shared" si="89"/>
        <v/>
      </c>
      <c r="EE144" s="174" t="str">
        <f t="shared" si="89"/>
        <v/>
      </c>
      <c r="EF144" s="174" t="str">
        <f t="shared" si="89"/>
        <v/>
      </c>
      <c r="EG144" s="174" t="str">
        <f t="shared" si="89"/>
        <v/>
      </c>
      <c r="EH144" s="174" t="str">
        <f t="shared" si="89"/>
        <v/>
      </c>
      <c r="EI144" s="174" t="str">
        <f t="shared" si="89"/>
        <v/>
      </c>
      <c r="EJ144" s="174" t="str">
        <f t="shared" si="92"/>
        <v/>
      </c>
      <c r="EK144" s="174" t="str">
        <f t="shared" si="91"/>
        <v/>
      </c>
      <c r="EL144" s="174" t="str">
        <f t="shared" si="91"/>
        <v/>
      </c>
      <c r="EM144" s="174" t="str">
        <f t="shared" si="91"/>
        <v/>
      </c>
      <c r="EN144" s="174" t="str">
        <f t="shared" si="91"/>
        <v/>
      </c>
      <c r="EO144" s="174" t="str">
        <f t="shared" si="91"/>
        <v/>
      </c>
      <c r="EP144" s="174" t="str">
        <f t="shared" si="91"/>
        <v/>
      </c>
      <c r="EQ144" s="174" t="str">
        <f t="shared" si="91"/>
        <v/>
      </c>
      <c r="ER144" s="174" t="str">
        <f t="shared" si="91"/>
        <v/>
      </c>
      <c r="ES144" s="174" t="str">
        <f t="shared" si="91"/>
        <v/>
      </c>
      <c r="ET144" s="174" t="str">
        <f t="shared" si="90"/>
        <v/>
      </c>
      <c r="EU144" s="174" t="str">
        <f t="shared" si="90"/>
        <v/>
      </c>
      <c r="EV144" s="174" t="str">
        <f t="shared" si="90"/>
        <v/>
      </c>
      <c r="EW144" s="174" t="str">
        <f t="shared" si="90"/>
        <v/>
      </c>
      <c r="EX144" s="174" t="str">
        <f t="shared" si="90"/>
        <v/>
      </c>
      <c r="EY144" s="174" t="str">
        <f t="shared" si="90"/>
        <v/>
      </c>
      <c r="EZ144" s="174" t="str">
        <f t="shared" si="90"/>
        <v/>
      </c>
      <c r="FA144" s="174" t="str">
        <f t="shared" si="90"/>
        <v/>
      </c>
      <c r="FB144" s="174" t="str">
        <f t="shared" si="90"/>
        <v/>
      </c>
      <c r="FC144" s="174" t="str">
        <f t="shared" si="90"/>
        <v/>
      </c>
      <c r="FD144" s="174" t="str">
        <f t="shared" si="90"/>
        <v/>
      </c>
      <c r="FE144" s="174" t="str">
        <f t="shared" si="90"/>
        <v/>
      </c>
      <c r="FF144" s="174" t="str">
        <f t="shared" si="90"/>
        <v/>
      </c>
      <c r="FG144" s="174" t="str">
        <f t="shared" si="87"/>
        <v/>
      </c>
      <c r="FH144" s="174" t="str">
        <f t="shared" si="83"/>
        <v/>
      </c>
      <c r="FI144" s="174" t="str">
        <f t="shared" si="84"/>
        <v/>
      </c>
      <c r="FJ144" s="174" t="str">
        <f t="shared" si="85"/>
        <v/>
      </c>
      <c r="FK144" s="174" t="str">
        <f t="shared" si="85"/>
        <v/>
      </c>
    </row>
    <row r="145" spans="1:167" ht="16">
      <c r="B145" s="140" t="s">
        <v>967</v>
      </c>
      <c r="C145" s="127" t="s">
        <v>968</v>
      </c>
      <c r="D145" s="128"/>
      <c r="E145" s="128"/>
      <c r="F145" s="128"/>
      <c r="G145" s="128"/>
      <c r="H145" s="128"/>
      <c r="I145" s="128"/>
      <c r="J145" s="128"/>
      <c r="K145" s="128"/>
      <c r="L145" s="128"/>
      <c r="M145" s="128"/>
      <c r="N145" s="128"/>
      <c r="O145" s="128"/>
      <c r="P145" s="128"/>
      <c r="Q145" s="128"/>
      <c r="R145" s="128"/>
      <c r="S145" s="128"/>
      <c r="T145" s="128"/>
      <c r="U145" s="128"/>
      <c r="V145" s="128"/>
      <c r="W145" s="128"/>
      <c r="X145" s="128"/>
      <c r="Y145" s="128"/>
      <c r="Z145" s="128">
        <v>0</v>
      </c>
      <c r="AA145" s="128">
        <v>0</v>
      </c>
      <c r="AB145" s="128">
        <v>0</v>
      </c>
      <c r="AC145" s="128">
        <v>0</v>
      </c>
      <c r="AD145" s="128">
        <v>0</v>
      </c>
      <c r="AE145" s="128">
        <v>0</v>
      </c>
      <c r="AF145" s="128">
        <v>0</v>
      </c>
      <c r="AG145" s="128">
        <v>0</v>
      </c>
      <c r="AH145" s="128">
        <v>0</v>
      </c>
      <c r="AI145" s="128">
        <v>0</v>
      </c>
      <c r="AJ145" s="128">
        <v>0</v>
      </c>
      <c r="AK145" s="128">
        <v>0</v>
      </c>
      <c r="AL145" s="128">
        <v>0</v>
      </c>
      <c r="AM145" s="128">
        <v>0</v>
      </c>
      <c r="AN145" s="128">
        <v>0</v>
      </c>
      <c r="AO145" s="128">
        <v>0</v>
      </c>
      <c r="AP145" s="173">
        <v>0</v>
      </c>
      <c r="AQ145" s="173">
        <v>0</v>
      </c>
      <c r="AR145" s="173">
        <v>0</v>
      </c>
      <c r="AS145" s="288">
        <v>0</v>
      </c>
      <c r="AT145" s="288">
        <v>0</v>
      </c>
      <c r="AU145" s="288">
        <v>0</v>
      </c>
      <c r="AV145" s="288">
        <v>0</v>
      </c>
      <c r="AW145" s="158">
        <v>0</v>
      </c>
      <c r="AX145" s="158">
        <v>0</v>
      </c>
      <c r="AY145" s="158">
        <v>0</v>
      </c>
      <c r="AZ145" s="158">
        <v>0</v>
      </c>
      <c r="BA145" s="158">
        <v>0</v>
      </c>
      <c r="BB145" s="41">
        <v>0</v>
      </c>
      <c r="BC145" s="41">
        <v>0</v>
      </c>
      <c r="BD145" s="158">
        <v>0</v>
      </c>
      <c r="BE145" s="158">
        <v>0</v>
      </c>
      <c r="BF145" s="288">
        <v>0</v>
      </c>
      <c r="BG145" s="289">
        <v>0</v>
      </c>
      <c r="BH145" s="289">
        <v>0</v>
      </c>
      <c r="BI145" s="289">
        <v>0</v>
      </c>
      <c r="BJ145" s="289">
        <v>0</v>
      </c>
      <c r="BK145" s="289">
        <v>0</v>
      </c>
      <c r="BL145" s="289">
        <v>0</v>
      </c>
      <c r="BM145" s="289">
        <v>0</v>
      </c>
      <c r="BN145" s="289">
        <v>0</v>
      </c>
      <c r="BO145" s="289">
        <v>0</v>
      </c>
      <c r="BP145" s="289">
        <v>0</v>
      </c>
      <c r="BQ145" s="289">
        <v>0</v>
      </c>
      <c r="BR145" s="289">
        <v>0</v>
      </c>
      <c r="BS145" s="289">
        <v>0</v>
      </c>
      <c r="BT145" s="289">
        <v>0</v>
      </c>
      <c r="BU145" s="289"/>
      <c r="BV145" s="142"/>
      <c r="BW145" s="142"/>
      <c r="BX145" s="142"/>
      <c r="BY145" s="142"/>
      <c r="BZ145" s="142"/>
      <c r="CA145" s="142"/>
      <c r="CB145" s="142"/>
      <c r="CC145" s="142"/>
      <c r="CD145" s="142"/>
      <c r="CE145" s="142"/>
      <c r="CF145" s="142"/>
      <c r="CG145" s="142"/>
      <c r="CH145" s="142"/>
      <c r="CI145" s="142"/>
      <c r="CJ145" s="142"/>
      <c r="CK145" s="142"/>
      <c r="CL145" s="142"/>
      <c r="CM145" s="142"/>
      <c r="CN145" s="142"/>
      <c r="CO145" s="142"/>
      <c r="CP145" s="142"/>
      <c r="CQ145" s="142"/>
      <c r="CR145" s="142"/>
      <c r="CS145" s="142"/>
      <c r="CT145" s="142"/>
      <c r="CU145" s="142"/>
      <c r="CV145" s="142"/>
      <c r="CW145" s="142"/>
      <c r="CX145" s="142"/>
      <c r="CY145" s="142"/>
      <c r="CZ145" s="142"/>
      <c r="DA145" s="142"/>
      <c r="DB145" s="142"/>
      <c r="DC145" s="142"/>
      <c r="DD145" s="142"/>
      <c r="DE145" s="142"/>
      <c r="DF145" s="142"/>
      <c r="DG145" s="142"/>
      <c r="DH145" s="142"/>
      <c r="DI145" s="142"/>
      <c r="DJ145" s="142"/>
      <c r="DK145" s="142"/>
      <c r="DL145" s="142"/>
      <c r="DM145" s="142"/>
      <c r="DN145" s="142"/>
      <c r="DO145" s="142"/>
      <c r="DP145" s="142"/>
      <c r="DQ145" s="142"/>
      <c r="DR145" s="142"/>
      <c r="DS145" s="133"/>
      <c r="DT145" s="174" t="str">
        <f t="shared" si="89"/>
        <v/>
      </c>
      <c r="DU145" s="174" t="str">
        <f t="shared" si="89"/>
        <v/>
      </c>
      <c r="DV145" s="174" t="str">
        <f t="shared" si="89"/>
        <v/>
      </c>
      <c r="DW145" s="174" t="str">
        <f t="shared" si="89"/>
        <v/>
      </c>
      <c r="DX145" s="174" t="str">
        <f t="shared" si="89"/>
        <v/>
      </c>
      <c r="DY145" s="174" t="str">
        <f t="shared" si="89"/>
        <v/>
      </c>
      <c r="DZ145" s="174" t="str">
        <f t="shared" si="89"/>
        <v/>
      </c>
      <c r="EA145" s="174" t="str">
        <f t="shared" si="89"/>
        <v/>
      </c>
      <c r="EB145" s="174" t="str">
        <f t="shared" si="89"/>
        <v/>
      </c>
      <c r="EC145" s="174" t="str">
        <f t="shared" si="89"/>
        <v/>
      </c>
      <c r="ED145" s="174" t="str">
        <f t="shared" si="89"/>
        <v/>
      </c>
      <c r="EE145" s="174" t="str">
        <f t="shared" si="89"/>
        <v/>
      </c>
      <c r="EF145" s="174" t="str">
        <f t="shared" si="89"/>
        <v/>
      </c>
      <c r="EG145" s="174" t="str">
        <f t="shared" si="89"/>
        <v/>
      </c>
      <c r="EH145" s="174" t="str">
        <f t="shared" si="89"/>
        <v/>
      </c>
      <c r="EI145" s="174" t="str">
        <f t="shared" si="89"/>
        <v/>
      </c>
      <c r="EJ145" s="174" t="str">
        <f t="shared" si="92"/>
        <v/>
      </c>
      <c r="EK145" s="174" t="str">
        <f t="shared" si="91"/>
        <v/>
      </c>
      <c r="EL145" s="174" t="str">
        <f t="shared" si="91"/>
        <v/>
      </c>
      <c r="EM145" s="174" t="str">
        <f t="shared" si="91"/>
        <v/>
      </c>
      <c r="EN145" s="174" t="str">
        <f t="shared" si="91"/>
        <v/>
      </c>
      <c r="EO145" s="174" t="str">
        <f t="shared" si="91"/>
        <v/>
      </c>
      <c r="EP145" s="174" t="str">
        <f t="shared" si="91"/>
        <v/>
      </c>
      <c r="EQ145" s="174" t="str">
        <f t="shared" si="91"/>
        <v/>
      </c>
      <c r="ER145" s="174" t="str">
        <f t="shared" si="91"/>
        <v/>
      </c>
      <c r="ES145" s="174" t="str">
        <f t="shared" si="91"/>
        <v/>
      </c>
      <c r="ET145" s="174" t="str">
        <f t="shared" si="90"/>
        <v/>
      </c>
      <c r="EU145" s="174" t="str">
        <f t="shared" si="90"/>
        <v/>
      </c>
      <c r="EV145" s="174" t="str">
        <f t="shared" si="90"/>
        <v/>
      </c>
      <c r="EW145" s="174" t="str">
        <f t="shared" si="90"/>
        <v/>
      </c>
      <c r="EX145" s="174" t="str">
        <f t="shared" si="90"/>
        <v/>
      </c>
      <c r="EY145" s="174" t="str">
        <f t="shared" si="90"/>
        <v/>
      </c>
      <c r="EZ145" s="174" t="str">
        <f t="shared" si="90"/>
        <v/>
      </c>
      <c r="FA145" s="174" t="str">
        <f t="shared" si="90"/>
        <v/>
      </c>
      <c r="FB145" s="174" t="str">
        <f t="shared" si="90"/>
        <v/>
      </c>
      <c r="FC145" s="174" t="str">
        <f t="shared" si="90"/>
        <v/>
      </c>
      <c r="FD145" s="174" t="str">
        <f t="shared" si="90"/>
        <v/>
      </c>
      <c r="FE145" s="174" t="str">
        <f t="shared" si="90"/>
        <v/>
      </c>
      <c r="FF145" s="174" t="str">
        <f t="shared" si="90"/>
        <v/>
      </c>
      <c r="FG145" s="174" t="str">
        <f t="shared" si="87"/>
        <v/>
      </c>
      <c r="FH145" s="174" t="str">
        <f t="shared" si="83"/>
        <v/>
      </c>
      <c r="FI145" s="174" t="str">
        <f t="shared" si="84"/>
        <v/>
      </c>
      <c r="FJ145" s="174" t="str">
        <f t="shared" si="85"/>
        <v/>
      </c>
      <c r="FK145" s="174" t="str">
        <f t="shared" si="85"/>
        <v/>
      </c>
    </row>
    <row r="146" spans="1:167" ht="16">
      <c r="B146" s="140" t="s">
        <v>509</v>
      </c>
      <c r="C146" s="127" t="s">
        <v>969</v>
      </c>
      <c r="D146" s="128"/>
      <c r="E146" s="128"/>
      <c r="F146" s="128"/>
      <c r="G146" s="128"/>
      <c r="H146" s="128"/>
      <c r="I146" s="128"/>
      <c r="J146" s="128"/>
      <c r="K146" s="128"/>
      <c r="L146" s="128"/>
      <c r="M146" s="128"/>
      <c r="N146" s="128"/>
      <c r="O146" s="128"/>
      <c r="P146" s="128"/>
      <c r="Q146" s="128"/>
      <c r="R146" s="128"/>
      <c r="S146" s="128"/>
      <c r="T146" s="128"/>
      <c r="U146" s="128"/>
      <c r="V146" s="128"/>
      <c r="W146" s="128"/>
      <c r="X146" s="128"/>
      <c r="Y146" s="128"/>
      <c r="Z146" s="128">
        <v>0</v>
      </c>
      <c r="AA146" s="128">
        <v>0</v>
      </c>
      <c r="AB146" s="128">
        <v>0</v>
      </c>
      <c r="AC146" s="128">
        <v>0</v>
      </c>
      <c r="AD146" s="128">
        <v>0</v>
      </c>
      <c r="AE146" s="128">
        <v>0</v>
      </c>
      <c r="AF146" s="128">
        <v>0</v>
      </c>
      <c r="AG146" s="128">
        <v>0</v>
      </c>
      <c r="AH146" s="128">
        <v>0</v>
      </c>
      <c r="AI146" s="128">
        <v>0</v>
      </c>
      <c r="AJ146" s="128">
        <v>0</v>
      </c>
      <c r="AK146" s="128">
        <v>0</v>
      </c>
      <c r="AL146" s="128">
        <v>0</v>
      </c>
      <c r="AM146" s="128">
        <v>0</v>
      </c>
      <c r="AN146" s="128">
        <v>0</v>
      </c>
      <c r="AO146" s="128">
        <v>0</v>
      </c>
      <c r="AP146" s="173">
        <v>0</v>
      </c>
      <c r="AQ146" s="173">
        <v>0</v>
      </c>
      <c r="AR146" s="173">
        <v>0</v>
      </c>
      <c r="AS146" s="288">
        <v>0</v>
      </c>
      <c r="AT146" s="288">
        <v>0</v>
      </c>
      <c r="AU146" s="288">
        <v>0</v>
      </c>
      <c r="AV146" s="288">
        <v>0</v>
      </c>
      <c r="AW146" s="158">
        <v>0</v>
      </c>
      <c r="AX146" s="158">
        <v>0</v>
      </c>
      <c r="AY146" s="158">
        <v>0</v>
      </c>
      <c r="AZ146" s="158">
        <v>0</v>
      </c>
      <c r="BA146" s="158">
        <v>0</v>
      </c>
      <c r="BB146" s="41">
        <v>0</v>
      </c>
      <c r="BC146" s="41">
        <v>0</v>
      </c>
      <c r="BD146" s="158">
        <v>0</v>
      </c>
      <c r="BE146" s="158">
        <v>0</v>
      </c>
      <c r="BF146" s="288">
        <v>0</v>
      </c>
      <c r="BG146" s="289">
        <v>0</v>
      </c>
      <c r="BH146" s="289">
        <v>0</v>
      </c>
      <c r="BI146" s="289">
        <v>0</v>
      </c>
      <c r="BJ146" s="289">
        <v>0</v>
      </c>
      <c r="BK146" s="289">
        <v>0</v>
      </c>
      <c r="BL146" s="289"/>
      <c r="BM146" s="289"/>
      <c r="BN146" s="289"/>
      <c r="BO146" s="289"/>
      <c r="BP146" s="289"/>
      <c r="BQ146" s="289"/>
      <c r="BR146" s="289"/>
      <c r="BS146" s="289"/>
      <c r="BT146" s="289"/>
      <c r="BU146" s="289"/>
      <c r="BV146" s="142"/>
      <c r="BW146" s="142"/>
      <c r="BX146" s="142"/>
      <c r="BY146" s="142"/>
      <c r="BZ146" s="142"/>
      <c r="CA146" s="142"/>
      <c r="CB146" s="142"/>
      <c r="CC146" s="142"/>
      <c r="CD146" s="142"/>
      <c r="CE146" s="142"/>
      <c r="CF146" s="142"/>
      <c r="CG146" s="142"/>
      <c r="CH146" s="142"/>
      <c r="CI146" s="142"/>
      <c r="CJ146" s="142"/>
      <c r="CK146" s="142"/>
      <c r="CL146" s="142"/>
      <c r="CM146" s="142"/>
      <c r="CN146" s="142"/>
      <c r="CO146" s="142"/>
      <c r="CP146" s="142"/>
      <c r="CQ146" s="142"/>
      <c r="CR146" s="142"/>
      <c r="CS146" s="142"/>
      <c r="CT146" s="142"/>
      <c r="CU146" s="142"/>
      <c r="CV146" s="142"/>
      <c r="CW146" s="142"/>
      <c r="CX146" s="142"/>
      <c r="CY146" s="142"/>
      <c r="CZ146" s="142"/>
      <c r="DA146" s="142"/>
      <c r="DB146" s="142"/>
      <c r="DC146" s="142"/>
      <c r="DD146" s="142"/>
      <c r="DE146" s="142"/>
      <c r="DF146" s="142"/>
      <c r="DG146" s="142"/>
      <c r="DH146" s="142"/>
      <c r="DI146" s="142"/>
      <c r="DJ146" s="142"/>
      <c r="DK146" s="142"/>
      <c r="DL146" s="142"/>
      <c r="DM146" s="142"/>
      <c r="DN146" s="142"/>
      <c r="DO146" s="142"/>
      <c r="DP146" s="142"/>
      <c r="DQ146" s="142"/>
      <c r="DR146" s="142"/>
      <c r="DS146" s="133"/>
      <c r="DT146" s="174" t="str">
        <f t="shared" si="89"/>
        <v/>
      </c>
      <c r="DU146" s="174" t="str">
        <f t="shared" si="89"/>
        <v/>
      </c>
      <c r="DV146" s="174" t="str">
        <f t="shared" si="89"/>
        <v/>
      </c>
      <c r="DW146" s="174" t="str">
        <f t="shared" si="89"/>
        <v/>
      </c>
      <c r="DX146" s="174" t="str">
        <f t="shared" si="89"/>
        <v/>
      </c>
      <c r="DY146" s="174" t="str">
        <f t="shared" si="89"/>
        <v/>
      </c>
      <c r="DZ146" s="174" t="str">
        <f t="shared" si="89"/>
        <v/>
      </c>
      <c r="EA146" s="174" t="str">
        <f t="shared" si="89"/>
        <v/>
      </c>
      <c r="EB146" s="174" t="str">
        <f t="shared" si="89"/>
        <v/>
      </c>
      <c r="EC146" s="174" t="str">
        <f t="shared" si="89"/>
        <v/>
      </c>
      <c r="ED146" s="174" t="str">
        <f t="shared" si="89"/>
        <v/>
      </c>
      <c r="EE146" s="174" t="str">
        <f t="shared" si="89"/>
        <v/>
      </c>
      <c r="EF146" s="174" t="str">
        <f t="shared" si="89"/>
        <v/>
      </c>
      <c r="EG146" s="174" t="str">
        <f t="shared" si="89"/>
        <v/>
      </c>
      <c r="EH146" s="174" t="str">
        <f t="shared" si="89"/>
        <v/>
      </c>
      <c r="EI146" s="174" t="str">
        <f t="shared" si="89"/>
        <v/>
      </c>
      <c r="EJ146" s="174" t="str">
        <f t="shared" si="92"/>
        <v/>
      </c>
      <c r="EK146" s="174" t="str">
        <f t="shared" si="91"/>
        <v/>
      </c>
      <c r="EL146" s="174" t="str">
        <f t="shared" si="91"/>
        <v/>
      </c>
      <c r="EM146" s="174" t="str">
        <f t="shared" si="91"/>
        <v/>
      </c>
      <c r="EN146" s="174" t="str">
        <f t="shared" si="91"/>
        <v/>
      </c>
      <c r="EO146" s="174" t="str">
        <f t="shared" si="91"/>
        <v/>
      </c>
      <c r="EP146" s="174" t="str">
        <f t="shared" si="91"/>
        <v/>
      </c>
      <c r="EQ146" s="174" t="str">
        <f t="shared" si="91"/>
        <v/>
      </c>
      <c r="ER146" s="174" t="str">
        <f t="shared" si="91"/>
        <v/>
      </c>
      <c r="ES146" s="174" t="str">
        <f t="shared" si="91"/>
        <v/>
      </c>
      <c r="ET146" s="174" t="str">
        <f t="shared" si="90"/>
        <v/>
      </c>
      <c r="EU146" s="174" t="str">
        <f t="shared" si="90"/>
        <v/>
      </c>
      <c r="EV146" s="174" t="str">
        <f t="shared" si="90"/>
        <v/>
      </c>
      <c r="EW146" s="174" t="str">
        <f t="shared" si="90"/>
        <v/>
      </c>
      <c r="EX146" s="174" t="str">
        <f t="shared" si="90"/>
        <v/>
      </c>
      <c r="EY146" s="174" t="str">
        <f t="shared" si="90"/>
        <v/>
      </c>
      <c r="EZ146" s="174" t="str">
        <f t="shared" si="90"/>
        <v/>
      </c>
      <c r="FA146" s="174" t="str">
        <f t="shared" si="90"/>
        <v/>
      </c>
      <c r="FB146" s="174" t="str">
        <f t="shared" si="90"/>
        <v/>
      </c>
      <c r="FC146" s="174" t="str">
        <f t="shared" si="90"/>
        <v/>
      </c>
      <c r="FD146" s="174" t="str">
        <f t="shared" si="90"/>
        <v/>
      </c>
      <c r="FE146" s="174" t="str">
        <f t="shared" si="90"/>
        <v/>
      </c>
      <c r="FF146" s="174" t="str">
        <f t="shared" si="90"/>
        <v/>
      </c>
      <c r="FG146" s="174" t="str">
        <f t="shared" si="87"/>
        <v/>
      </c>
      <c r="FH146" s="174" t="str">
        <f t="shared" si="83"/>
        <v/>
      </c>
      <c r="FI146" s="174" t="str">
        <f t="shared" si="84"/>
        <v/>
      </c>
      <c r="FJ146" s="174" t="str">
        <f t="shared" si="85"/>
        <v/>
      </c>
      <c r="FK146" s="174" t="str">
        <f t="shared" si="85"/>
        <v/>
      </c>
    </row>
    <row r="147" spans="1:167" ht="16">
      <c r="B147" s="140" t="s">
        <v>508</v>
      </c>
      <c r="C147" s="127" t="s">
        <v>970</v>
      </c>
      <c r="D147" s="128"/>
      <c r="E147" s="128"/>
      <c r="F147" s="128"/>
      <c r="G147" s="128"/>
      <c r="H147" s="128"/>
      <c r="I147" s="128"/>
      <c r="J147" s="128"/>
      <c r="K147" s="128"/>
      <c r="L147" s="128"/>
      <c r="M147" s="128"/>
      <c r="N147" s="128"/>
      <c r="O147" s="128"/>
      <c r="P147" s="128"/>
      <c r="Q147" s="128"/>
      <c r="R147" s="128"/>
      <c r="S147" s="128"/>
      <c r="T147" s="128"/>
      <c r="U147" s="128"/>
      <c r="V147" s="128"/>
      <c r="W147" s="128"/>
      <c r="X147" s="128"/>
      <c r="Y147" s="128"/>
      <c r="Z147" s="128">
        <v>0</v>
      </c>
      <c r="AA147" s="128">
        <v>0</v>
      </c>
      <c r="AB147" s="128">
        <v>0</v>
      </c>
      <c r="AC147" s="128">
        <v>0</v>
      </c>
      <c r="AD147" s="128">
        <v>0</v>
      </c>
      <c r="AE147" s="128">
        <v>0</v>
      </c>
      <c r="AF147" s="128">
        <v>0</v>
      </c>
      <c r="AG147" s="128">
        <v>0</v>
      </c>
      <c r="AH147" s="128">
        <v>0</v>
      </c>
      <c r="AI147" s="128">
        <v>0</v>
      </c>
      <c r="AJ147" s="128">
        <v>0</v>
      </c>
      <c r="AK147" s="128">
        <v>0</v>
      </c>
      <c r="AL147" s="128">
        <v>0</v>
      </c>
      <c r="AM147" s="128">
        <v>0</v>
      </c>
      <c r="AN147" s="128">
        <v>0</v>
      </c>
      <c r="AO147" s="128">
        <v>0</v>
      </c>
      <c r="AP147" s="173">
        <v>0</v>
      </c>
      <c r="AQ147" s="173">
        <v>0</v>
      </c>
      <c r="AR147" s="173">
        <v>0</v>
      </c>
      <c r="AS147" s="288">
        <v>0</v>
      </c>
      <c r="AT147" s="288">
        <v>0</v>
      </c>
      <c r="AU147" s="288">
        <v>0</v>
      </c>
      <c r="AV147" s="288">
        <v>0</v>
      </c>
      <c r="AW147" s="158">
        <v>0</v>
      </c>
      <c r="AX147" s="158">
        <v>0</v>
      </c>
      <c r="AY147" s="158">
        <v>0</v>
      </c>
      <c r="AZ147" s="158">
        <v>0</v>
      </c>
      <c r="BA147" s="158">
        <v>0</v>
      </c>
      <c r="BB147" s="41">
        <v>0</v>
      </c>
      <c r="BC147" s="41">
        <v>0</v>
      </c>
      <c r="BD147" s="158">
        <v>0</v>
      </c>
      <c r="BE147" s="158">
        <v>0</v>
      </c>
      <c r="BF147" s="288">
        <v>0</v>
      </c>
      <c r="BG147" s="289">
        <v>0</v>
      </c>
      <c r="BH147" s="289">
        <v>0</v>
      </c>
      <c r="BI147" s="289">
        <v>0</v>
      </c>
      <c r="BJ147" s="289">
        <v>0</v>
      </c>
      <c r="BK147" s="289">
        <v>0</v>
      </c>
      <c r="BL147" s="289">
        <v>0</v>
      </c>
      <c r="BM147" s="289">
        <v>0</v>
      </c>
      <c r="BN147" s="289">
        <v>0</v>
      </c>
      <c r="BO147" s="289">
        <v>0</v>
      </c>
      <c r="BP147" s="289">
        <v>0</v>
      </c>
      <c r="BQ147" s="289">
        <v>0</v>
      </c>
      <c r="BR147" s="289">
        <v>0</v>
      </c>
      <c r="BS147" s="289">
        <v>0</v>
      </c>
      <c r="BT147" s="289">
        <v>0</v>
      </c>
      <c r="BU147" s="289"/>
      <c r="BV147" s="142"/>
      <c r="BW147" s="142"/>
      <c r="BX147" s="142"/>
      <c r="BY147" s="142"/>
      <c r="BZ147" s="142"/>
      <c r="CA147" s="142"/>
      <c r="CB147" s="142"/>
      <c r="CC147" s="142"/>
      <c r="CD147" s="142"/>
      <c r="CE147" s="142"/>
      <c r="CF147" s="142"/>
      <c r="CG147" s="142"/>
      <c r="CH147" s="142"/>
      <c r="CI147" s="142"/>
      <c r="CJ147" s="142"/>
      <c r="CK147" s="142"/>
      <c r="CL147" s="142"/>
      <c r="CM147" s="142"/>
      <c r="CN147" s="142"/>
      <c r="CO147" s="142"/>
      <c r="CP147" s="142"/>
      <c r="CQ147" s="142"/>
      <c r="CR147" s="142"/>
      <c r="CS147" s="142"/>
      <c r="CT147" s="142"/>
      <c r="CU147" s="142"/>
      <c r="CV147" s="142"/>
      <c r="CW147" s="142"/>
      <c r="CX147" s="142"/>
      <c r="CY147" s="142"/>
      <c r="CZ147" s="142"/>
      <c r="DA147" s="142"/>
      <c r="DB147" s="142"/>
      <c r="DC147" s="142"/>
      <c r="DD147" s="142"/>
      <c r="DE147" s="142"/>
      <c r="DF147" s="142"/>
      <c r="DG147" s="142"/>
      <c r="DH147" s="142"/>
      <c r="DI147" s="142"/>
      <c r="DJ147" s="142"/>
      <c r="DK147" s="142"/>
      <c r="DL147" s="142"/>
      <c r="DM147" s="142"/>
      <c r="DN147" s="142"/>
      <c r="DO147" s="142"/>
      <c r="DP147" s="142"/>
      <c r="DQ147" s="142"/>
      <c r="DR147" s="142"/>
      <c r="DS147" s="133"/>
      <c r="DT147" s="174" t="str">
        <f t="shared" si="89"/>
        <v/>
      </c>
      <c r="DU147" s="174" t="str">
        <f t="shared" si="89"/>
        <v/>
      </c>
      <c r="DV147" s="174" t="str">
        <f t="shared" si="89"/>
        <v/>
      </c>
      <c r="DW147" s="174" t="str">
        <f t="shared" si="89"/>
        <v/>
      </c>
      <c r="DX147" s="174" t="str">
        <f t="shared" si="89"/>
        <v/>
      </c>
      <c r="DY147" s="174" t="str">
        <f t="shared" si="89"/>
        <v/>
      </c>
      <c r="DZ147" s="174" t="str">
        <f t="shared" si="89"/>
        <v/>
      </c>
      <c r="EA147" s="174" t="str">
        <f t="shared" si="89"/>
        <v/>
      </c>
      <c r="EB147" s="174" t="str">
        <f t="shared" si="89"/>
        <v/>
      </c>
      <c r="EC147" s="174" t="str">
        <f t="shared" si="89"/>
        <v/>
      </c>
      <c r="ED147" s="174" t="str">
        <f t="shared" si="89"/>
        <v/>
      </c>
      <c r="EE147" s="174" t="str">
        <f t="shared" si="89"/>
        <v/>
      </c>
      <c r="EF147" s="174" t="str">
        <f t="shared" si="89"/>
        <v/>
      </c>
      <c r="EG147" s="174" t="str">
        <f t="shared" si="89"/>
        <v/>
      </c>
      <c r="EH147" s="174" t="str">
        <f t="shared" si="89"/>
        <v/>
      </c>
      <c r="EI147" s="174" t="str">
        <f t="shared" si="89"/>
        <v/>
      </c>
      <c r="EJ147" s="174" t="str">
        <f t="shared" si="92"/>
        <v/>
      </c>
      <c r="EK147" s="174" t="str">
        <f t="shared" si="91"/>
        <v/>
      </c>
      <c r="EL147" s="174" t="str">
        <f t="shared" si="91"/>
        <v/>
      </c>
      <c r="EM147" s="174" t="str">
        <f t="shared" si="91"/>
        <v/>
      </c>
      <c r="EN147" s="174" t="str">
        <f t="shared" si="91"/>
        <v/>
      </c>
      <c r="EO147" s="174" t="str">
        <f t="shared" si="91"/>
        <v/>
      </c>
      <c r="EP147" s="174" t="str">
        <f t="shared" si="91"/>
        <v/>
      </c>
      <c r="EQ147" s="174" t="str">
        <f t="shared" si="91"/>
        <v/>
      </c>
      <c r="ER147" s="174" t="str">
        <f t="shared" si="91"/>
        <v/>
      </c>
      <c r="ES147" s="174" t="str">
        <f t="shared" si="91"/>
        <v/>
      </c>
      <c r="ET147" s="174" t="str">
        <f t="shared" si="90"/>
        <v/>
      </c>
      <c r="EU147" s="174" t="str">
        <f t="shared" si="90"/>
        <v/>
      </c>
      <c r="EV147" s="174" t="str">
        <f t="shared" si="90"/>
        <v/>
      </c>
      <c r="EW147" s="174" t="str">
        <f t="shared" si="90"/>
        <v/>
      </c>
      <c r="EX147" s="174" t="str">
        <f t="shared" si="90"/>
        <v/>
      </c>
      <c r="EY147" s="174" t="str">
        <f t="shared" si="90"/>
        <v/>
      </c>
      <c r="EZ147" s="174" t="str">
        <f t="shared" si="90"/>
        <v/>
      </c>
      <c r="FA147" s="174" t="str">
        <f t="shared" si="90"/>
        <v/>
      </c>
      <c r="FB147" s="174" t="str">
        <f t="shared" si="90"/>
        <v/>
      </c>
      <c r="FC147" s="174" t="str">
        <f t="shared" si="90"/>
        <v/>
      </c>
      <c r="FD147" s="174" t="str">
        <f t="shared" si="90"/>
        <v/>
      </c>
      <c r="FE147" s="174" t="str">
        <f t="shared" si="90"/>
        <v/>
      </c>
      <c r="FF147" s="174" t="str">
        <f t="shared" si="90"/>
        <v/>
      </c>
      <c r="FG147" s="174" t="str">
        <f t="shared" si="87"/>
        <v/>
      </c>
      <c r="FH147" s="174" t="str">
        <f t="shared" si="83"/>
        <v/>
      </c>
      <c r="FI147" s="174" t="str">
        <f t="shared" si="84"/>
        <v/>
      </c>
      <c r="FJ147" s="174" t="str">
        <f t="shared" si="85"/>
        <v/>
      </c>
      <c r="FK147" s="174" t="str">
        <f t="shared" si="85"/>
        <v/>
      </c>
    </row>
    <row r="148" spans="1:167" ht="16">
      <c r="B148" s="140" t="s">
        <v>971</v>
      </c>
      <c r="C148" s="127" t="s">
        <v>972</v>
      </c>
      <c r="D148" s="128"/>
      <c r="E148" s="128"/>
      <c r="F148" s="128"/>
      <c r="G148" s="128"/>
      <c r="H148" s="128"/>
      <c r="I148" s="128"/>
      <c r="J148" s="128"/>
      <c r="K148" s="128"/>
      <c r="L148" s="128"/>
      <c r="M148" s="128"/>
      <c r="N148" s="128"/>
      <c r="O148" s="128"/>
      <c r="P148" s="128"/>
      <c r="Q148" s="128"/>
      <c r="R148" s="128"/>
      <c r="S148" s="128"/>
      <c r="T148" s="128"/>
      <c r="U148" s="128"/>
      <c r="V148" s="128"/>
      <c r="W148" s="128"/>
      <c r="X148" s="128"/>
      <c r="Y148" s="128"/>
      <c r="Z148" s="128">
        <v>701.32558765600004</v>
      </c>
      <c r="AA148" s="128">
        <v>413.45198020800001</v>
      </c>
      <c r="AB148" s="128">
        <v>588.68336169099996</v>
      </c>
      <c r="AC148" s="128">
        <v>317.840559767</v>
      </c>
      <c r="AD148" s="128">
        <v>549.40090997699997</v>
      </c>
      <c r="AE148" s="128">
        <v>491.11062554400002</v>
      </c>
      <c r="AF148" s="128">
        <v>715.62788456099997</v>
      </c>
      <c r="AG148" s="128">
        <v>977.63019580000002</v>
      </c>
      <c r="AH148" s="128">
        <v>1395.4209739180001</v>
      </c>
      <c r="AI148" s="128">
        <v>1592.148348555</v>
      </c>
      <c r="AJ148" s="128">
        <v>1979.4552227869999</v>
      </c>
      <c r="AK148" s="128">
        <v>2261.7598001390002</v>
      </c>
      <c r="AL148" s="128">
        <v>2819.577413129</v>
      </c>
      <c r="AM148" s="128">
        <v>1561.874098666</v>
      </c>
      <c r="AN148" s="128">
        <v>2126.6346845359999</v>
      </c>
      <c r="AO148" s="128">
        <v>2698.5727484590002</v>
      </c>
      <c r="AP148" s="173">
        <v>3479.3102442690001</v>
      </c>
      <c r="AQ148" s="173">
        <v>3726.5048031000001</v>
      </c>
      <c r="AR148" s="173">
        <v>4373.5492412590002</v>
      </c>
      <c r="AS148" s="288">
        <v>3989.6072520900002</v>
      </c>
      <c r="AT148" s="288">
        <v>5025.0446817709999</v>
      </c>
      <c r="AU148" s="288">
        <v>5440.0439091469998</v>
      </c>
      <c r="AV148" s="288">
        <v>6295.1248362200004</v>
      </c>
      <c r="AW148" s="158">
        <v>7149.6941616020003</v>
      </c>
      <c r="AX148" s="158">
        <v>8281.2131764320002</v>
      </c>
      <c r="AY148" s="158">
        <v>9176.2553560649994</v>
      </c>
      <c r="AZ148" s="158">
        <v>10126.795213472</v>
      </c>
      <c r="BA148" s="158">
        <v>10389.683597845</v>
      </c>
      <c r="BB148" s="41">
        <v>11727.652205678</v>
      </c>
      <c r="BC148" s="41">
        <v>12940.681890963</v>
      </c>
      <c r="BD148" s="158">
        <v>11112.088580269001</v>
      </c>
      <c r="BE148" s="158">
        <v>12674.574164064999</v>
      </c>
      <c r="BF148" s="288">
        <v>14119.039447466001</v>
      </c>
      <c r="BG148" s="289">
        <v>7198.64747721</v>
      </c>
      <c r="BH148" s="289">
        <v>8104.8934729009998</v>
      </c>
      <c r="BI148" s="289">
        <v>8723.93422637</v>
      </c>
      <c r="BJ148" s="289">
        <v>8104.8934729009998</v>
      </c>
      <c r="BK148" s="289">
        <v>8762.6068355780008</v>
      </c>
      <c r="BL148" s="289">
        <v>8070.0660379829997</v>
      </c>
      <c r="BM148" s="289">
        <v>8160.3235955740001</v>
      </c>
      <c r="BN148" s="289">
        <v>9062.76</v>
      </c>
      <c r="BO148" s="289">
        <v>10941.518177431</v>
      </c>
      <c r="BP148" s="289">
        <v>11735.14</v>
      </c>
      <c r="BQ148" s="289">
        <v>12582.145266842001</v>
      </c>
      <c r="BR148" s="289">
        <v>14128.082357783</v>
      </c>
      <c r="BS148" s="289">
        <v>14297.771841487</v>
      </c>
      <c r="BT148" s="289">
        <v>16068.670758791</v>
      </c>
      <c r="BU148" s="289"/>
      <c r="BV148" s="142"/>
      <c r="BW148" s="142"/>
      <c r="BX148" s="142"/>
      <c r="BY148" s="142"/>
      <c r="BZ148" s="142"/>
      <c r="CA148" s="142"/>
      <c r="CB148" s="142"/>
      <c r="CC148" s="142"/>
      <c r="CD148" s="142"/>
      <c r="CE148" s="142"/>
      <c r="CF148" s="142"/>
      <c r="CG148" s="142"/>
      <c r="CH148" s="142"/>
      <c r="CI148" s="142"/>
      <c r="CJ148" s="142"/>
      <c r="CK148" s="142"/>
      <c r="CL148" s="142"/>
      <c r="CM148" s="142"/>
      <c r="CN148" s="142"/>
      <c r="CO148" s="142"/>
      <c r="CP148" s="142"/>
      <c r="CQ148" s="142"/>
      <c r="CR148" s="142"/>
      <c r="CS148" s="142"/>
      <c r="CT148" s="142"/>
      <c r="CU148" s="142"/>
      <c r="CV148" s="142"/>
      <c r="CW148" s="142"/>
      <c r="CX148" s="142"/>
      <c r="CY148" s="142"/>
      <c r="CZ148" s="142"/>
      <c r="DA148" s="142"/>
      <c r="DB148" s="142"/>
      <c r="DC148" s="142"/>
      <c r="DD148" s="142"/>
      <c r="DE148" s="142"/>
      <c r="DF148" s="142"/>
      <c r="DG148" s="142"/>
      <c r="DH148" s="142"/>
      <c r="DI148" s="142"/>
      <c r="DJ148" s="142"/>
      <c r="DK148" s="142"/>
      <c r="DL148" s="142"/>
      <c r="DM148" s="142"/>
      <c r="DN148" s="142"/>
      <c r="DO148" s="142"/>
      <c r="DP148" s="142"/>
      <c r="DQ148" s="142"/>
      <c r="DR148" s="142"/>
      <c r="DS148" s="133"/>
      <c r="DT148" s="174" t="str">
        <f t="shared" si="89"/>
        <v/>
      </c>
      <c r="DU148" s="174" t="str">
        <f t="shared" si="89"/>
        <v/>
      </c>
      <c r="DV148" s="174" t="str">
        <f t="shared" si="89"/>
        <v/>
      </c>
      <c r="DW148" s="174" t="str">
        <f t="shared" si="89"/>
        <v/>
      </c>
      <c r="DX148" s="174" t="str">
        <f t="shared" si="89"/>
        <v/>
      </c>
      <c r="DY148" s="174" t="str">
        <f t="shared" si="89"/>
        <v/>
      </c>
      <c r="DZ148" s="174" t="str">
        <f t="shared" si="89"/>
        <v/>
      </c>
      <c r="EA148" s="174" t="str">
        <f t="shared" si="89"/>
        <v/>
      </c>
      <c r="EB148" s="174" t="str">
        <f t="shared" si="89"/>
        <v/>
      </c>
      <c r="EC148" s="174" t="str">
        <f t="shared" si="89"/>
        <v/>
      </c>
      <c r="ED148" s="174" t="str">
        <f t="shared" si="89"/>
        <v/>
      </c>
      <c r="EE148" s="174" t="str">
        <f t="shared" si="89"/>
        <v/>
      </c>
      <c r="EF148" s="174" t="str">
        <f t="shared" si="89"/>
        <v/>
      </c>
      <c r="EG148" s="174" t="str">
        <f t="shared" si="89"/>
        <v/>
      </c>
      <c r="EH148" s="174" t="str">
        <f t="shared" si="89"/>
        <v/>
      </c>
      <c r="EI148" s="174" t="str">
        <f t="shared" si="89"/>
        <v/>
      </c>
      <c r="EJ148" s="174" t="str">
        <f t="shared" si="92"/>
        <v/>
      </c>
      <c r="EK148" s="174" t="str">
        <f t="shared" si="91"/>
        <v/>
      </c>
      <c r="EL148" s="174" t="str">
        <f t="shared" si="91"/>
        <v/>
      </c>
      <c r="EM148" s="174" t="str">
        <f t="shared" si="91"/>
        <v/>
      </c>
      <c r="EN148" s="174">
        <f t="shared" si="91"/>
        <v>-0.2166250317299403</v>
      </c>
      <c r="EO148" s="174">
        <f t="shared" si="91"/>
        <v>0.18782990299606594</v>
      </c>
      <c r="EP148" s="174">
        <f t="shared" si="91"/>
        <v>0.21564143159295401</v>
      </c>
      <c r="EQ148" s="174">
        <f t="shared" si="91"/>
        <v>2.0758509754597503</v>
      </c>
      <c r="ER148" s="174">
        <f t="shared" si="91"/>
        <v>1.5398956364604817</v>
      </c>
      <c r="ES148" s="174">
        <f t="shared" si="91"/>
        <v>2.2419342318065052</v>
      </c>
      <c r="ET148" s="174">
        <f t="shared" si="90"/>
        <v>1.7660398169102809</v>
      </c>
      <c r="EU148" s="174">
        <f t="shared" si="90"/>
        <v>1.3135126245647415</v>
      </c>
      <c r="EV148" s="174">
        <f t="shared" si="90"/>
        <v>1.0205926855265171</v>
      </c>
      <c r="EW148" s="174">
        <f t="shared" si="90"/>
        <v>-1.9014716760832107E-2</v>
      </c>
      <c r="EX148" s="174">
        <f t="shared" si="90"/>
        <v>7.4353519117132061E-2</v>
      </c>
      <c r="EY148" s="174">
        <f t="shared" si="90"/>
        <v>0.19312968083222404</v>
      </c>
      <c r="EZ148" s="174">
        <f t="shared" si="90"/>
        <v>0.23398287561392683</v>
      </c>
      <c r="FA148" s="174">
        <f t="shared" si="90"/>
        <v>1.3859188178373762</v>
      </c>
      <c r="FB148" s="174">
        <f t="shared" si="90"/>
        <v>1.056558784196282</v>
      </c>
      <c r="FC148" s="174">
        <f t="shared" si="90"/>
        <v>0.47841382240602393</v>
      </c>
      <c r="FD148" s="174">
        <f t="shared" si="90"/>
        <v>0.44426461826681884</v>
      </c>
      <c r="FE148" s="174">
        <f t="shared" si="90"/>
        <v>0.45982474103388871</v>
      </c>
      <c r="FF148" s="174">
        <f t="shared" si="90"/>
        <v>0.43936297248772771</v>
      </c>
      <c r="FG148" s="174">
        <f t="shared" si="87"/>
        <v>0.79207969853587801</v>
      </c>
      <c r="FH148" s="174">
        <f t="shared" si="83"/>
        <v>0.64798796843999673</v>
      </c>
      <c r="FI148" s="174">
        <f t="shared" si="84"/>
        <v>0.68679803128718464</v>
      </c>
      <c r="FJ148" s="174">
        <f t="shared" si="85"/>
        <v>0.60867265970737794</v>
      </c>
      <c r="FK148" s="174">
        <f t="shared" si="85"/>
        <v>0.45316475964015623</v>
      </c>
    </row>
    <row r="149" spans="1:167" ht="16">
      <c r="B149" s="140" t="s">
        <v>973</v>
      </c>
      <c r="C149" s="127" t="s">
        <v>974</v>
      </c>
      <c r="D149" s="128"/>
      <c r="E149" s="128"/>
      <c r="F149" s="128"/>
      <c r="G149" s="128"/>
      <c r="H149" s="128"/>
      <c r="I149" s="128"/>
      <c r="J149" s="128"/>
      <c r="K149" s="128"/>
      <c r="L149" s="128"/>
      <c r="M149" s="128"/>
      <c r="N149" s="128"/>
      <c r="O149" s="128"/>
      <c r="P149" s="128"/>
      <c r="Q149" s="128"/>
      <c r="R149" s="128"/>
      <c r="S149" s="128"/>
      <c r="T149" s="128"/>
      <c r="U149" s="128"/>
      <c r="V149" s="128"/>
      <c r="W149" s="128"/>
      <c r="X149" s="128"/>
      <c r="Y149" s="128"/>
      <c r="Z149" s="128">
        <v>0</v>
      </c>
      <c r="AA149" s="128">
        <v>0</v>
      </c>
      <c r="AB149" s="128">
        <v>0</v>
      </c>
      <c r="AC149" s="128">
        <v>0</v>
      </c>
      <c r="AD149" s="128">
        <v>0</v>
      </c>
      <c r="AE149" s="128">
        <v>317.840559767</v>
      </c>
      <c r="AF149" s="128">
        <v>38.368589767000003</v>
      </c>
      <c r="AG149" s="128">
        <v>-31.481390232999999</v>
      </c>
      <c r="AH149" s="128">
        <v>977.63019580000002</v>
      </c>
      <c r="AI149" s="128">
        <v>757.70093199999997</v>
      </c>
      <c r="AJ149" s="128">
        <v>757.70093199999997</v>
      </c>
      <c r="AK149" s="128">
        <v>684.39097200000003</v>
      </c>
      <c r="AL149" s="128">
        <v>2261.7633983390001</v>
      </c>
      <c r="AM149" s="128">
        <v>492.893118039</v>
      </c>
      <c r="AN149" s="128">
        <v>492.893118039</v>
      </c>
      <c r="AO149" s="128">
        <v>492.893118039</v>
      </c>
      <c r="AP149" s="173">
        <v>2698.5727484590002</v>
      </c>
      <c r="AQ149" s="173">
        <v>2214.262176709</v>
      </c>
      <c r="AR149" s="173">
        <v>2214.262176709</v>
      </c>
      <c r="AS149" s="288">
        <v>0</v>
      </c>
      <c r="AT149" s="288">
        <v>3984.6039100550001</v>
      </c>
      <c r="AU149" s="288">
        <v>3320.4246145550001</v>
      </c>
      <c r="AV149" s="288">
        <v>3320.4246145550001</v>
      </c>
      <c r="AW149" s="158">
        <v>3315.4246145550001</v>
      </c>
      <c r="AX149" s="158">
        <v>7149.6941616020003</v>
      </c>
      <c r="AY149" s="158">
        <v>7149.6941616020003</v>
      </c>
      <c r="AZ149" s="158">
        <v>7149.6941616020003</v>
      </c>
      <c r="BA149" s="158">
        <v>6470.785320602</v>
      </c>
      <c r="BB149" s="41">
        <v>10389.683597845</v>
      </c>
      <c r="BC149" s="41">
        <v>10389.683597845</v>
      </c>
      <c r="BD149" s="158">
        <v>7775.7048858449998</v>
      </c>
      <c r="BE149" s="158">
        <v>7775.7048858449998</v>
      </c>
      <c r="BF149" s="288">
        <v>12674.574164064999</v>
      </c>
      <c r="BG149" s="289">
        <v>4624.1711990650001</v>
      </c>
      <c r="BH149" s="289">
        <v>4624.1711990650001</v>
      </c>
      <c r="BI149" s="289">
        <v>4624.1711990650001</v>
      </c>
      <c r="BJ149" s="289">
        <v>4624.1711990650001</v>
      </c>
      <c r="BK149" s="289">
        <v>8723.93422637</v>
      </c>
      <c r="BL149" s="289">
        <v>7992.6542028699996</v>
      </c>
      <c r="BM149" s="289">
        <v>7992.6542028699996</v>
      </c>
      <c r="BN149" s="289">
        <v>8160.32</v>
      </c>
      <c r="BO149" s="289">
        <v>8866.804097409</v>
      </c>
      <c r="BP149" s="289">
        <v>8860.2800000000007</v>
      </c>
      <c r="BQ149" s="289">
        <v>8860.2768251809994</v>
      </c>
      <c r="BR149" s="289">
        <v>12582.145266842001</v>
      </c>
      <c r="BS149" s="289">
        <v>11103.688503842001</v>
      </c>
      <c r="BT149" s="289">
        <v>11103.688503842001</v>
      </c>
      <c r="BU149" s="289"/>
      <c r="BV149" s="142"/>
      <c r="BW149" s="142"/>
      <c r="BX149" s="142"/>
      <c r="BY149" s="142"/>
      <c r="BZ149" s="142"/>
      <c r="CA149" s="142"/>
      <c r="CB149" s="142"/>
      <c r="CC149" s="142"/>
      <c r="CD149" s="142"/>
      <c r="CE149" s="142"/>
      <c r="CF149" s="142"/>
      <c r="CG149" s="142"/>
      <c r="CH149" s="142"/>
      <c r="CI149" s="142"/>
      <c r="CJ149" s="142"/>
      <c r="CK149" s="142"/>
      <c r="CL149" s="142"/>
      <c r="CM149" s="142"/>
      <c r="CN149" s="142"/>
      <c r="CO149" s="142"/>
      <c r="CP149" s="142"/>
      <c r="CQ149" s="142"/>
      <c r="CR149" s="142"/>
      <c r="CS149" s="142"/>
      <c r="CT149" s="142"/>
      <c r="CU149" s="142"/>
      <c r="CV149" s="142"/>
      <c r="CW149" s="142"/>
      <c r="CX149" s="142"/>
      <c r="CY149" s="142"/>
      <c r="CZ149" s="142"/>
      <c r="DA149" s="142"/>
      <c r="DB149" s="142"/>
      <c r="DC149" s="142"/>
      <c r="DD149" s="142"/>
      <c r="DE149" s="142"/>
      <c r="DF149" s="142"/>
      <c r="DG149" s="142"/>
      <c r="DH149" s="142"/>
      <c r="DI149" s="142"/>
      <c r="DJ149" s="142"/>
      <c r="DK149" s="142"/>
      <c r="DL149" s="142"/>
      <c r="DM149" s="142"/>
      <c r="DN149" s="142"/>
      <c r="DO149" s="142"/>
      <c r="DP149" s="142"/>
      <c r="DQ149" s="142"/>
      <c r="DR149" s="142"/>
      <c r="DS149" s="133"/>
      <c r="DT149" s="174" t="str">
        <f t="shared" si="89"/>
        <v/>
      </c>
      <c r="DU149" s="174" t="str">
        <f t="shared" si="89"/>
        <v/>
      </c>
      <c r="DV149" s="174" t="str">
        <f t="shared" si="89"/>
        <v/>
      </c>
      <c r="DW149" s="174" t="str">
        <f t="shared" si="89"/>
        <v/>
      </c>
      <c r="DX149" s="174" t="str">
        <f t="shared" si="89"/>
        <v/>
      </c>
      <c r="DY149" s="174" t="str">
        <f t="shared" si="89"/>
        <v/>
      </c>
      <c r="DZ149" s="174" t="str">
        <f t="shared" si="89"/>
        <v/>
      </c>
      <c r="EA149" s="174" t="str">
        <f t="shared" si="89"/>
        <v/>
      </c>
      <c r="EB149" s="174" t="str">
        <f t="shared" si="89"/>
        <v/>
      </c>
      <c r="EC149" s="174" t="str">
        <f t="shared" si="89"/>
        <v/>
      </c>
      <c r="ED149" s="174" t="str">
        <f t="shared" si="89"/>
        <v/>
      </c>
      <c r="EE149" s="174" t="str">
        <f t="shared" si="89"/>
        <v/>
      </c>
      <c r="EF149" s="174" t="str">
        <f t="shared" si="89"/>
        <v/>
      </c>
      <c r="EG149" s="174" t="str">
        <f t="shared" si="89"/>
        <v/>
      </c>
      <c r="EH149" s="174" t="str">
        <f t="shared" si="89"/>
        <v/>
      </c>
      <c r="EI149" s="174" t="str">
        <f t="shared" si="89"/>
        <v/>
      </c>
      <c r="EJ149" s="174" t="str">
        <f t="shared" si="92"/>
        <v/>
      </c>
      <c r="EK149" s="174" t="str">
        <f t="shared" si="91"/>
        <v/>
      </c>
      <c r="EL149" s="174" t="str">
        <f t="shared" si="91"/>
        <v/>
      </c>
      <c r="EM149" s="174" t="str">
        <f t="shared" si="91"/>
        <v/>
      </c>
      <c r="EN149" s="174" t="str">
        <f t="shared" si="91"/>
        <v/>
      </c>
      <c r="EO149" s="174" t="str">
        <f t="shared" si="91"/>
        <v/>
      </c>
      <c r="EP149" s="174" t="str">
        <f t="shared" si="91"/>
        <v/>
      </c>
      <c r="EQ149" s="174" t="str">
        <f t="shared" si="91"/>
        <v/>
      </c>
      <c r="ER149" s="174" t="str">
        <f t="shared" si="91"/>
        <v/>
      </c>
      <c r="ES149" s="174">
        <f t="shared" si="91"/>
        <v>1.3839025848540203</v>
      </c>
      <c r="ET149" s="174">
        <f t="shared" si="90"/>
        <v>18.747948428682729</v>
      </c>
      <c r="EU149" s="174">
        <f t="shared" si="90"/>
        <v>-22.739540945767864</v>
      </c>
      <c r="EV149" s="174">
        <f t="shared" si="90"/>
        <v>1.3135163050975396</v>
      </c>
      <c r="EW149" s="174">
        <f t="shared" si="90"/>
        <v>-0.34948856834849451</v>
      </c>
      <c r="EX149" s="174">
        <f t="shared" si="90"/>
        <v>-0.34948856834849451</v>
      </c>
      <c r="EY149" s="174">
        <f t="shared" si="90"/>
        <v>-0.27980768565865888</v>
      </c>
      <c r="EZ149" s="174">
        <f t="shared" si="90"/>
        <v>0.19312778270299424</v>
      </c>
      <c r="FA149" s="174">
        <f t="shared" si="90"/>
        <v>3.4923779530916423</v>
      </c>
      <c r="FB149" s="174">
        <f t="shared" si="90"/>
        <v>3.4923779530916423</v>
      </c>
      <c r="FC149" s="174">
        <f t="shared" si="90"/>
        <v>-1</v>
      </c>
      <c r="FD149" s="174">
        <f t="shared" si="90"/>
        <v>0.47655975268051542</v>
      </c>
      <c r="FE149" s="174">
        <f t="shared" si="90"/>
        <v>0.49956254028150382</v>
      </c>
      <c r="FF149" s="174">
        <f t="shared" si="90"/>
        <v>0.49956254028150382</v>
      </c>
      <c r="FG149" s="174" t="str">
        <f t="shared" si="87"/>
        <v/>
      </c>
      <c r="FH149" s="174">
        <f t="shared" si="83"/>
        <v>0.79432995675178963</v>
      </c>
      <c r="FI149" s="174">
        <f t="shared" si="84"/>
        <v>1.1532469462675019</v>
      </c>
      <c r="FJ149" s="174">
        <f t="shared" si="85"/>
        <v>1.1532469462675019</v>
      </c>
      <c r="FK149" s="174">
        <f t="shared" si="85"/>
        <v>0.95172144533001712</v>
      </c>
    </row>
    <row r="150" spans="1:167" ht="16">
      <c r="B150" s="140" t="s">
        <v>975</v>
      </c>
      <c r="C150" s="127" t="s">
        <v>976</v>
      </c>
      <c r="D150" s="128"/>
      <c r="E150" s="128"/>
      <c r="F150" s="128"/>
      <c r="G150" s="128"/>
      <c r="H150" s="128"/>
      <c r="I150" s="128"/>
      <c r="J150" s="128"/>
      <c r="K150" s="128"/>
      <c r="L150" s="128"/>
      <c r="M150" s="128"/>
      <c r="N150" s="128"/>
      <c r="O150" s="128"/>
      <c r="P150" s="128"/>
      <c r="Q150" s="128"/>
      <c r="R150" s="128"/>
      <c r="S150" s="128"/>
      <c r="T150" s="128"/>
      <c r="U150" s="128"/>
      <c r="V150" s="128"/>
      <c r="W150" s="128"/>
      <c r="X150" s="128"/>
      <c r="Y150" s="128"/>
      <c r="Z150" s="128">
        <v>701.32558765600004</v>
      </c>
      <c r="AA150" s="128">
        <v>413.45198020800001</v>
      </c>
      <c r="AB150" s="128">
        <v>588.68336169099996</v>
      </c>
      <c r="AC150" s="128">
        <v>317.840559767</v>
      </c>
      <c r="AD150" s="128">
        <v>549.40090997699997</v>
      </c>
      <c r="AE150" s="128">
        <v>173.27006577700001</v>
      </c>
      <c r="AF150" s="128">
        <v>677.25929479399997</v>
      </c>
      <c r="AG150" s="128">
        <v>1009.111586033</v>
      </c>
      <c r="AH150" s="128">
        <v>417.79077811799999</v>
      </c>
      <c r="AI150" s="128">
        <v>834.44741655500002</v>
      </c>
      <c r="AJ150" s="128">
        <v>1221.7542907869999</v>
      </c>
      <c r="AK150" s="128">
        <v>1577.368828139</v>
      </c>
      <c r="AL150" s="128">
        <v>557.81401478999999</v>
      </c>
      <c r="AM150" s="128">
        <v>1068.980980627</v>
      </c>
      <c r="AN150" s="128">
        <v>1633.7415664969999</v>
      </c>
      <c r="AO150" s="128">
        <v>2205.6796304200002</v>
      </c>
      <c r="AP150" s="173">
        <v>780.73749581000004</v>
      </c>
      <c r="AQ150" s="173">
        <v>1512.2426263909999</v>
      </c>
      <c r="AR150" s="173">
        <v>2159.2870645500002</v>
      </c>
      <c r="AS150" s="288">
        <v>3989.6072520900002</v>
      </c>
      <c r="AT150" s="288">
        <v>1040.440771716</v>
      </c>
      <c r="AU150" s="288">
        <v>2119.6192945920002</v>
      </c>
      <c r="AV150" s="288">
        <v>2974.7002216649998</v>
      </c>
      <c r="AW150" s="158">
        <v>3834.2695470469998</v>
      </c>
      <c r="AX150" s="158">
        <v>1131.5190148300001</v>
      </c>
      <c r="AY150" s="158">
        <v>2026.561194463</v>
      </c>
      <c r="AZ150" s="158">
        <v>2977.10105187</v>
      </c>
      <c r="BA150" s="158">
        <v>3918.8982772429999</v>
      </c>
      <c r="BB150" s="41">
        <v>1337.9686078330001</v>
      </c>
      <c r="BC150" s="41">
        <v>2550.9982931180002</v>
      </c>
      <c r="BD150" s="158">
        <v>3336.3836944240002</v>
      </c>
      <c r="BE150" s="158">
        <v>4898.8692782199996</v>
      </c>
      <c r="BF150" s="288">
        <v>1444.4652834010001</v>
      </c>
      <c r="BG150" s="289">
        <v>2574.4762781449999</v>
      </c>
      <c r="BH150" s="289">
        <v>3480.7222738360001</v>
      </c>
      <c r="BI150" s="289">
        <v>4099.7630273049999</v>
      </c>
      <c r="BJ150" s="289">
        <v>3480.7222738360001</v>
      </c>
      <c r="BK150" s="289">
        <v>38.672609207999997</v>
      </c>
      <c r="BL150" s="289">
        <v>77.411835112999995</v>
      </c>
      <c r="BM150" s="289">
        <v>167.66939270399999</v>
      </c>
      <c r="BN150" s="289">
        <v>902.44</v>
      </c>
      <c r="BO150" s="289">
        <v>2074.714080022</v>
      </c>
      <c r="BP150" s="289">
        <v>2874.86</v>
      </c>
      <c r="BQ150" s="289">
        <v>3721.8684416609999</v>
      </c>
      <c r="BR150" s="289">
        <v>1545.937090941</v>
      </c>
      <c r="BS150" s="289">
        <v>3194.083337645</v>
      </c>
      <c r="BT150" s="289">
        <v>4964.982254949</v>
      </c>
      <c r="BU150" s="289"/>
      <c r="BV150" s="142"/>
      <c r="BW150" s="142"/>
      <c r="BX150" s="142"/>
      <c r="BY150" s="142"/>
      <c r="BZ150" s="142"/>
      <c r="CA150" s="142"/>
      <c r="CB150" s="142"/>
      <c r="CC150" s="142"/>
      <c r="CD150" s="142"/>
      <c r="CE150" s="142"/>
      <c r="CF150" s="142"/>
      <c r="CG150" s="142"/>
      <c r="CH150" s="142"/>
      <c r="CI150" s="142"/>
      <c r="CJ150" s="142"/>
      <c r="CK150" s="142"/>
      <c r="CL150" s="142"/>
      <c r="CM150" s="142"/>
      <c r="CN150" s="142"/>
      <c r="CO150" s="142"/>
      <c r="CP150" s="142"/>
      <c r="CQ150" s="142"/>
      <c r="CR150" s="142"/>
      <c r="CS150" s="142"/>
      <c r="CT150" s="142"/>
      <c r="CU150" s="142"/>
      <c r="CV150" s="142"/>
      <c r="CW150" s="142"/>
      <c r="CX150" s="142"/>
      <c r="CY150" s="142"/>
      <c r="CZ150" s="142"/>
      <c r="DA150" s="142"/>
      <c r="DB150" s="142"/>
      <c r="DC150" s="142"/>
      <c r="DD150" s="142"/>
      <c r="DE150" s="142"/>
      <c r="DF150" s="142"/>
      <c r="DG150" s="142"/>
      <c r="DH150" s="142"/>
      <c r="DI150" s="142"/>
      <c r="DJ150" s="142"/>
      <c r="DK150" s="142"/>
      <c r="DL150" s="142"/>
      <c r="DM150" s="142"/>
      <c r="DN150" s="142"/>
      <c r="DO150" s="142"/>
      <c r="DP150" s="142"/>
      <c r="DQ150" s="142"/>
      <c r="DR150" s="142"/>
      <c r="DS150" s="133"/>
      <c r="DT150" s="174" t="str">
        <f t="shared" si="89"/>
        <v/>
      </c>
      <c r="DU150" s="174" t="str">
        <f t="shared" si="89"/>
        <v/>
      </c>
      <c r="DV150" s="174" t="str">
        <f t="shared" ref="DV150:EI157" si="93">IFERROR(L150/H150-1,"")</f>
        <v/>
      </c>
      <c r="DW150" s="174" t="str">
        <f t="shared" si="93"/>
        <v/>
      </c>
      <c r="DX150" s="174" t="str">
        <f t="shared" si="93"/>
        <v/>
      </c>
      <c r="DY150" s="174" t="str">
        <f t="shared" si="93"/>
        <v/>
      </c>
      <c r="DZ150" s="174" t="str">
        <f t="shared" si="93"/>
        <v/>
      </c>
      <c r="EA150" s="174" t="str">
        <f t="shared" si="93"/>
        <v/>
      </c>
      <c r="EB150" s="174" t="str">
        <f t="shared" si="93"/>
        <v/>
      </c>
      <c r="EC150" s="174" t="str">
        <f t="shared" si="93"/>
        <v/>
      </c>
      <c r="ED150" s="174" t="str">
        <f t="shared" si="93"/>
        <v/>
      </c>
      <c r="EE150" s="174" t="str">
        <f t="shared" si="93"/>
        <v/>
      </c>
      <c r="EF150" s="174" t="str">
        <f t="shared" si="93"/>
        <v/>
      </c>
      <c r="EG150" s="174" t="str">
        <f t="shared" si="93"/>
        <v/>
      </c>
      <c r="EH150" s="174" t="str">
        <f t="shared" si="93"/>
        <v/>
      </c>
      <c r="EI150" s="174" t="str">
        <f t="shared" si="93"/>
        <v/>
      </c>
      <c r="EJ150" s="174" t="str">
        <f t="shared" si="92"/>
        <v/>
      </c>
      <c r="EK150" s="174" t="str">
        <f t="shared" si="91"/>
        <v/>
      </c>
      <c r="EL150" s="174" t="str">
        <f t="shared" si="91"/>
        <v/>
      </c>
      <c r="EM150" s="174" t="str">
        <f t="shared" si="91"/>
        <v/>
      </c>
      <c r="EN150" s="174">
        <f t="shared" si="91"/>
        <v>-0.2166250317299403</v>
      </c>
      <c r="EO150" s="174">
        <f t="shared" si="91"/>
        <v>-0.58091852483127293</v>
      </c>
      <c r="EP150" s="174">
        <f t="shared" si="91"/>
        <v>0.150464475246191</v>
      </c>
      <c r="EQ150" s="174">
        <f t="shared" si="91"/>
        <v>2.1748987189449682</v>
      </c>
      <c r="ER150" s="174">
        <f t="shared" si="91"/>
        <v>-0.23955208203879697</v>
      </c>
      <c r="ES150" s="174">
        <f t="shared" si="91"/>
        <v>3.8158775309114308</v>
      </c>
      <c r="ET150" s="174">
        <f t="shared" si="90"/>
        <v>0.80396828833278322</v>
      </c>
      <c r="EU150" s="174">
        <f t="shared" si="90"/>
        <v>0.56312626866164717</v>
      </c>
      <c r="EV150" s="174">
        <f t="shared" si="90"/>
        <v>0.33515157348076285</v>
      </c>
      <c r="EW150" s="174">
        <f t="shared" si="90"/>
        <v>0.28106452176491503</v>
      </c>
      <c r="EX150" s="174">
        <f t="shared" si="90"/>
        <v>0.33720960001263101</v>
      </c>
      <c r="EY150" s="174">
        <f t="shared" si="90"/>
        <v>0.39832840048087514</v>
      </c>
      <c r="EZ150" s="174">
        <f t="shared" si="90"/>
        <v>0.39963764822926495</v>
      </c>
      <c r="FA150" s="174">
        <f t="shared" si="90"/>
        <v>0.41465812189100815</v>
      </c>
      <c r="FB150" s="174">
        <f t="shared" si="90"/>
        <v>0.32168214901935377</v>
      </c>
      <c r="FC150" s="174">
        <f t="shared" si="90"/>
        <v>0.80878818349984427</v>
      </c>
      <c r="FD150" s="174">
        <f t="shared" si="90"/>
        <v>0.3326384057378502</v>
      </c>
      <c r="FE150" s="174">
        <f t="shared" si="90"/>
        <v>0.40163969564230451</v>
      </c>
      <c r="FF150" s="174">
        <f t="shared" si="90"/>
        <v>0.37763073307945438</v>
      </c>
      <c r="FG150" s="174">
        <f t="shared" si="87"/>
        <v>-3.8935588198969917E-2</v>
      </c>
      <c r="FH150" s="174">
        <f t="shared" si="83"/>
        <v>8.7538133442987442E-2</v>
      </c>
      <c r="FI150" s="174">
        <f t="shared" si="84"/>
        <v>-4.390321430194033E-2</v>
      </c>
      <c r="FJ150" s="174">
        <f t="shared" si="85"/>
        <v>8.0708307597343598E-4</v>
      </c>
      <c r="FK150" s="174">
        <f t="shared" si="85"/>
        <v>2.20716694946963E-2</v>
      </c>
    </row>
    <row r="151" spans="1:167" ht="16">
      <c r="B151" s="140" t="s">
        <v>977</v>
      </c>
      <c r="C151" s="127" t="s">
        <v>978</v>
      </c>
      <c r="D151" s="128"/>
      <c r="E151" s="128"/>
      <c r="F151" s="128"/>
      <c r="G151" s="128"/>
      <c r="H151" s="128"/>
      <c r="I151" s="128"/>
      <c r="J151" s="128"/>
      <c r="K151" s="128"/>
      <c r="L151" s="128"/>
      <c r="M151" s="128"/>
      <c r="N151" s="128"/>
      <c r="O151" s="128"/>
      <c r="P151" s="128"/>
      <c r="Q151" s="128"/>
      <c r="R151" s="128"/>
      <c r="S151" s="128"/>
      <c r="T151" s="128"/>
      <c r="U151" s="128"/>
      <c r="V151" s="128"/>
      <c r="W151" s="128"/>
      <c r="X151" s="128"/>
      <c r="Y151" s="128"/>
      <c r="Z151" s="128">
        <v>0</v>
      </c>
      <c r="AA151" s="128">
        <v>0</v>
      </c>
      <c r="AB151" s="128">
        <v>0</v>
      </c>
      <c r="AC151" s="128">
        <v>0</v>
      </c>
      <c r="AD151" s="128">
        <v>0</v>
      </c>
      <c r="AE151" s="128">
        <v>10.203551176</v>
      </c>
      <c r="AF151" s="128">
        <v>1.454557366</v>
      </c>
      <c r="AG151" s="128">
        <v>1.6388546559999999</v>
      </c>
      <c r="AH151" s="128">
        <v>1.873188901</v>
      </c>
      <c r="AI151" s="128">
        <v>1.9458864929999999</v>
      </c>
      <c r="AJ151" s="128">
        <v>2.1616055670000001</v>
      </c>
      <c r="AK151" s="128">
        <v>2.3160283540000002</v>
      </c>
      <c r="AL151" s="128">
        <v>1.629065035</v>
      </c>
      <c r="AM151" s="128">
        <v>2.147304015</v>
      </c>
      <c r="AN151" s="128">
        <v>2.4570378540000002</v>
      </c>
      <c r="AO151" s="128">
        <v>2.7762522509999998</v>
      </c>
      <c r="AP151" s="173">
        <v>4.9527919989999996</v>
      </c>
      <c r="AQ151" s="173">
        <v>5.0254606830000004</v>
      </c>
      <c r="AR151" s="173">
        <v>5.1169033529999997</v>
      </c>
      <c r="AS151" s="288">
        <v>6.2461012839999999</v>
      </c>
      <c r="AT151" s="288">
        <v>6.7721914779999999</v>
      </c>
      <c r="AU151" s="288">
        <v>7.1592134019999998</v>
      </c>
      <c r="AV151" s="288">
        <v>7.6106280540000002</v>
      </c>
      <c r="AW151" s="158">
        <v>7.786065614</v>
      </c>
      <c r="AX151" s="158">
        <v>8.3867265490000005</v>
      </c>
      <c r="AY151" s="158">
        <v>8.7988616369999999</v>
      </c>
      <c r="AZ151" s="158">
        <v>7.8398620289999998</v>
      </c>
      <c r="BA151" s="158">
        <v>9.2806338260000008</v>
      </c>
      <c r="BB151" s="41">
        <v>9.9450093469999992</v>
      </c>
      <c r="BC151" s="41">
        <v>10.593726480000001</v>
      </c>
      <c r="BD151" s="158">
        <v>11.010484056999999</v>
      </c>
      <c r="BE151" s="158">
        <v>11.95097073</v>
      </c>
      <c r="BF151" s="288">
        <v>12.617119260999999</v>
      </c>
      <c r="BG151" s="289">
        <v>13.274903783999999</v>
      </c>
      <c r="BH151" s="289">
        <v>14.526747466</v>
      </c>
      <c r="BI151" s="289">
        <v>14.508097129999999</v>
      </c>
      <c r="BJ151" s="289">
        <v>14.526747466</v>
      </c>
      <c r="BK151" s="289">
        <v>13.374728747000001</v>
      </c>
      <c r="BL151" s="289">
        <v>13.451365961</v>
      </c>
      <c r="BM151" s="289">
        <v>13.401030472</v>
      </c>
      <c r="BN151" s="289">
        <v>753.27</v>
      </c>
      <c r="BO151" s="289">
        <v>354.52987722300003</v>
      </c>
      <c r="BP151" s="289">
        <v>359.71</v>
      </c>
      <c r="BQ151" s="289">
        <v>364.02065139799998</v>
      </c>
      <c r="BR151" s="289">
        <v>365.64031439299998</v>
      </c>
      <c r="BS151" s="289">
        <v>374.19214437900001</v>
      </c>
      <c r="BT151" s="289">
        <v>385.85080210000001</v>
      </c>
      <c r="BU151" s="289"/>
      <c r="BV151" s="142"/>
      <c r="BW151" s="142"/>
      <c r="BX151" s="142"/>
      <c r="BY151" s="142"/>
      <c r="BZ151" s="142"/>
      <c r="CA151" s="142"/>
      <c r="CB151" s="142"/>
      <c r="CC151" s="142"/>
      <c r="CD151" s="142"/>
      <c r="CE151" s="142"/>
      <c r="CF151" s="142"/>
      <c r="CG151" s="142"/>
      <c r="CH151" s="142"/>
      <c r="CI151" s="142"/>
      <c r="CJ151" s="142"/>
      <c r="CK151" s="142"/>
      <c r="CL151" s="142"/>
      <c r="CM151" s="142"/>
      <c r="CN151" s="142"/>
      <c r="CO151" s="142"/>
      <c r="CP151" s="142"/>
      <c r="CQ151" s="142"/>
      <c r="CR151" s="142"/>
      <c r="CS151" s="142"/>
      <c r="CT151" s="142"/>
      <c r="CU151" s="142"/>
      <c r="CV151" s="142"/>
      <c r="CW151" s="142"/>
      <c r="CX151" s="142"/>
      <c r="CY151" s="142"/>
      <c r="CZ151" s="142"/>
      <c r="DA151" s="142"/>
      <c r="DB151" s="142"/>
      <c r="DC151" s="142"/>
      <c r="DD151" s="142"/>
      <c r="DE151" s="142"/>
      <c r="DF151" s="142"/>
      <c r="DG151" s="142"/>
      <c r="DH151" s="142"/>
      <c r="DI151" s="142"/>
      <c r="DJ151" s="142"/>
      <c r="DK151" s="142"/>
      <c r="DL151" s="142"/>
      <c r="DM151" s="142"/>
      <c r="DN151" s="142"/>
      <c r="DO151" s="142"/>
      <c r="DP151" s="142"/>
      <c r="DQ151" s="142"/>
      <c r="DR151" s="142"/>
      <c r="DS151" s="133"/>
      <c r="DT151" s="174" t="str">
        <f t="shared" ref="DT151:DU157" si="94">IFERROR(J151/F151-1,"")</f>
        <v/>
      </c>
      <c r="DU151" s="174" t="str">
        <f t="shared" si="94"/>
        <v/>
      </c>
      <c r="DV151" s="174" t="str">
        <f t="shared" si="93"/>
        <v/>
      </c>
      <c r="DW151" s="174" t="str">
        <f t="shared" si="93"/>
        <v/>
      </c>
      <c r="DX151" s="174" t="str">
        <f t="shared" si="93"/>
        <v/>
      </c>
      <c r="DY151" s="174" t="str">
        <f t="shared" si="93"/>
        <v/>
      </c>
      <c r="DZ151" s="174" t="str">
        <f t="shared" si="93"/>
        <v/>
      </c>
      <c r="EA151" s="174" t="str">
        <f t="shared" si="93"/>
        <v/>
      </c>
      <c r="EB151" s="174" t="str">
        <f t="shared" si="93"/>
        <v/>
      </c>
      <c r="EC151" s="174" t="str">
        <f t="shared" si="93"/>
        <v/>
      </c>
      <c r="ED151" s="174" t="str">
        <f t="shared" si="93"/>
        <v/>
      </c>
      <c r="EE151" s="174" t="str">
        <f t="shared" si="93"/>
        <v/>
      </c>
      <c r="EF151" s="174" t="str">
        <f t="shared" si="93"/>
        <v/>
      </c>
      <c r="EG151" s="174" t="str">
        <f t="shared" si="93"/>
        <v/>
      </c>
      <c r="EH151" s="174" t="str">
        <f t="shared" si="93"/>
        <v/>
      </c>
      <c r="EI151" s="174" t="str">
        <f t="shared" si="93"/>
        <v/>
      </c>
      <c r="EJ151" s="174" t="str">
        <f t="shared" si="92"/>
        <v/>
      </c>
      <c r="EK151" s="174" t="str">
        <f t="shared" si="91"/>
        <v/>
      </c>
      <c r="EL151" s="174" t="str">
        <f t="shared" si="91"/>
        <v/>
      </c>
      <c r="EM151" s="174" t="str">
        <f t="shared" si="91"/>
        <v/>
      </c>
      <c r="EN151" s="174" t="str">
        <f t="shared" si="91"/>
        <v/>
      </c>
      <c r="EO151" s="174" t="str">
        <f t="shared" si="91"/>
        <v/>
      </c>
      <c r="EP151" s="174" t="str">
        <f t="shared" si="91"/>
        <v/>
      </c>
      <c r="EQ151" s="174" t="str">
        <f t="shared" si="91"/>
        <v/>
      </c>
      <c r="ER151" s="174" t="str">
        <f t="shared" si="91"/>
        <v/>
      </c>
      <c r="ES151" s="174">
        <f t="shared" si="91"/>
        <v>-0.80929320984080888</v>
      </c>
      <c r="ET151" s="174">
        <f t="shared" si="90"/>
        <v>0.48609165752215522</v>
      </c>
      <c r="EU151" s="174">
        <f t="shared" si="90"/>
        <v>0.41319936183529404</v>
      </c>
      <c r="EV151" s="174">
        <f t="shared" si="90"/>
        <v>-0.13032527892391133</v>
      </c>
      <c r="EW151" s="174">
        <f t="shared" si="90"/>
        <v>0.10350938902375129</v>
      </c>
      <c r="EX151" s="174">
        <f t="shared" si="90"/>
        <v>0.13667261572147882</v>
      </c>
      <c r="EY151" s="174">
        <f t="shared" si="90"/>
        <v>0.19871254866338295</v>
      </c>
      <c r="EZ151" s="174">
        <f t="shared" si="90"/>
        <v>2.0402665900935006</v>
      </c>
      <c r="FA151" s="174">
        <f t="shared" si="90"/>
        <v>1.3403582575614008</v>
      </c>
      <c r="FB151" s="174">
        <f t="shared" si="90"/>
        <v>1.0825496622568513</v>
      </c>
      <c r="FC151" s="174">
        <f t="shared" si="90"/>
        <v>1.2498320466917834</v>
      </c>
      <c r="FD151" s="174">
        <f t="shared" si="90"/>
        <v>0.36734825112125624</v>
      </c>
      <c r="FE151" s="174">
        <f t="shared" si="90"/>
        <v>0.42458848125466453</v>
      </c>
      <c r="FF151" s="174">
        <f t="shared" si="90"/>
        <v>0.48735036192113146</v>
      </c>
      <c r="FG151" s="174">
        <f t="shared" si="87"/>
        <v>0.24654808815617013</v>
      </c>
      <c r="FH151" s="174">
        <f t="shared" si="83"/>
        <v>0.2384065890996947</v>
      </c>
      <c r="FI151" s="174">
        <f t="shared" si="84"/>
        <v>0.2290263109829842</v>
      </c>
      <c r="FJ151" s="174">
        <f t="shared" si="85"/>
        <v>3.0120244134059115E-2</v>
      </c>
      <c r="FK151" s="174">
        <f t="shared" si="85"/>
        <v>0.19195422773122295</v>
      </c>
    </row>
    <row r="152" spans="1:167" ht="16">
      <c r="B152" s="140" t="s">
        <v>511</v>
      </c>
      <c r="C152" s="127" t="s">
        <v>979</v>
      </c>
      <c r="D152" s="128"/>
      <c r="E152" s="128"/>
      <c r="F152" s="128"/>
      <c r="G152" s="128"/>
      <c r="H152" s="128"/>
      <c r="I152" s="128"/>
      <c r="J152" s="128"/>
      <c r="K152" s="128"/>
      <c r="L152" s="128"/>
      <c r="M152" s="128"/>
      <c r="N152" s="128"/>
      <c r="O152" s="128"/>
      <c r="P152" s="128"/>
      <c r="Q152" s="128"/>
      <c r="R152" s="128"/>
      <c r="S152" s="128"/>
      <c r="T152" s="128"/>
      <c r="U152" s="128"/>
      <c r="V152" s="128"/>
      <c r="W152" s="128"/>
      <c r="X152" s="128"/>
      <c r="Y152" s="128"/>
      <c r="Z152" s="128">
        <v>0</v>
      </c>
      <c r="AA152" s="128">
        <v>0</v>
      </c>
      <c r="AB152" s="128">
        <v>0</v>
      </c>
      <c r="AC152" s="128">
        <v>0</v>
      </c>
      <c r="AD152" s="128">
        <v>0</v>
      </c>
      <c r="AE152" s="128">
        <v>0</v>
      </c>
      <c r="AF152" s="128">
        <v>0</v>
      </c>
      <c r="AG152" s="128">
        <v>0</v>
      </c>
      <c r="AH152" s="128">
        <v>0</v>
      </c>
      <c r="AI152" s="128">
        <v>0</v>
      </c>
      <c r="AJ152" s="128">
        <v>0</v>
      </c>
      <c r="AK152" s="128">
        <v>0</v>
      </c>
      <c r="AL152" s="128">
        <v>0</v>
      </c>
      <c r="AM152" s="128">
        <v>0</v>
      </c>
      <c r="AN152" s="128">
        <v>0</v>
      </c>
      <c r="AO152" s="128">
        <v>0</v>
      </c>
      <c r="AP152" s="173">
        <v>0</v>
      </c>
      <c r="AQ152" s="173">
        <v>0</v>
      </c>
      <c r="AR152" s="173">
        <v>0</v>
      </c>
      <c r="AS152" s="288">
        <v>0</v>
      </c>
      <c r="AT152" s="288">
        <v>0</v>
      </c>
      <c r="AU152" s="288">
        <v>0</v>
      </c>
      <c r="AV152" s="288">
        <v>0</v>
      </c>
      <c r="AW152" s="158">
        <v>0</v>
      </c>
      <c r="AX152" s="158">
        <v>0</v>
      </c>
      <c r="AY152" s="158">
        <v>0</v>
      </c>
      <c r="AZ152" s="158">
        <v>0</v>
      </c>
      <c r="BA152" s="158">
        <v>0</v>
      </c>
      <c r="BB152" s="41">
        <v>0</v>
      </c>
      <c r="BC152" s="41">
        <v>0</v>
      </c>
      <c r="BD152" s="158">
        <v>0</v>
      </c>
      <c r="BE152" s="158">
        <v>0</v>
      </c>
      <c r="BF152" s="288">
        <v>0</v>
      </c>
      <c r="BG152" s="289">
        <v>0</v>
      </c>
      <c r="BH152" s="289">
        <v>0</v>
      </c>
      <c r="BI152" s="289">
        <v>0</v>
      </c>
      <c r="BJ152" s="289">
        <v>0</v>
      </c>
      <c r="BK152" s="289">
        <v>0</v>
      </c>
      <c r="BL152" s="289">
        <v>0</v>
      </c>
      <c r="BM152" s="289">
        <v>0</v>
      </c>
      <c r="BN152" s="289">
        <v>0</v>
      </c>
      <c r="BO152" s="289">
        <v>0</v>
      </c>
      <c r="BP152" s="289">
        <v>0</v>
      </c>
      <c r="BQ152" s="289">
        <v>0</v>
      </c>
      <c r="BR152" s="289">
        <v>0</v>
      </c>
      <c r="BS152" s="289">
        <v>0</v>
      </c>
      <c r="BT152" s="289">
        <v>0</v>
      </c>
      <c r="BU152" s="289"/>
      <c r="BV152" s="142"/>
      <c r="BW152" s="142"/>
      <c r="BX152" s="142"/>
      <c r="BY152" s="142"/>
      <c r="BZ152" s="142"/>
      <c r="CA152" s="142"/>
      <c r="CB152" s="142"/>
      <c r="CC152" s="142"/>
      <c r="CD152" s="142"/>
      <c r="CE152" s="142"/>
      <c r="CF152" s="142"/>
      <c r="CG152" s="142"/>
      <c r="CH152" s="142"/>
      <c r="CI152" s="142"/>
      <c r="CJ152" s="142"/>
      <c r="CK152" s="142"/>
      <c r="CL152" s="142"/>
      <c r="CM152" s="142"/>
      <c r="CN152" s="142"/>
      <c r="CO152" s="142"/>
      <c r="CP152" s="142"/>
      <c r="CQ152" s="142"/>
      <c r="CR152" s="142"/>
      <c r="CS152" s="142"/>
      <c r="CT152" s="142"/>
      <c r="CU152" s="142"/>
      <c r="CV152" s="142"/>
      <c r="CW152" s="142"/>
      <c r="CX152" s="142"/>
      <c r="CY152" s="142"/>
      <c r="CZ152" s="142"/>
      <c r="DA152" s="142"/>
      <c r="DB152" s="142"/>
      <c r="DC152" s="142"/>
      <c r="DD152" s="142"/>
      <c r="DE152" s="142"/>
      <c r="DF152" s="142"/>
      <c r="DG152" s="142"/>
      <c r="DH152" s="142"/>
      <c r="DI152" s="142"/>
      <c r="DJ152" s="142"/>
      <c r="DK152" s="142"/>
      <c r="DL152" s="142"/>
      <c r="DM152" s="142"/>
      <c r="DN152" s="142"/>
      <c r="DO152" s="142"/>
      <c r="DP152" s="142"/>
      <c r="DQ152" s="142"/>
      <c r="DR152" s="142"/>
      <c r="DS152" s="133"/>
      <c r="DT152" s="174" t="str">
        <f t="shared" si="94"/>
        <v/>
      </c>
      <c r="DU152" s="174" t="str">
        <f t="shared" si="94"/>
        <v/>
      </c>
      <c r="DV152" s="174" t="str">
        <f t="shared" si="93"/>
        <v/>
      </c>
      <c r="DW152" s="174" t="str">
        <f t="shared" si="93"/>
        <v/>
      </c>
      <c r="DX152" s="174" t="str">
        <f t="shared" si="93"/>
        <v/>
      </c>
      <c r="DY152" s="174" t="str">
        <f t="shared" si="93"/>
        <v/>
      </c>
      <c r="DZ152" s="174" t="str">
        <f t="shared" si="93"/>
        <v/>
      </c>
      <c r="EA152" s="174" t="str">
        <f t="shared" si="93"/>
        <v/>
      </c>
      <c r="EB152" s="174" t="str">
        <f t="shared" si="93"/>
        <v/>
      </c>
      <c r="EC152" s="174" t="str">
        <f t="shared" si="93"/>
        <v/>
      </c>
      <c r="ED152" s="174" t="str">
        <f t="shared" si="93"/>
        <v/>
      </c>
      <c r="EE152" s="174" t="str">
        <f t="shared" si="93"/>
        <v/>
      </c>
      <c r="EF152" s="174" t="str">
        <f t="shared" si="93"/>
        <v/>
      </c>
      <c r="EG152" s="174" t="str">
        <f t="shared" si="93"/>
        <v/>
      </c>
      <c r="EH152" s="174" t="str">
        <f t="shared" si="93"/>
        <v/>
      </c>
      <c r="EI152" s="174" t="str">
        <f t="shared" si="93"/>
        <v/>
      </c>
      <c r="EJ152" s="174" t="str">
        <f t="shared" si="92"/>
        <v/>
      </c>
      <c r="EK152" s="174" t="str">
        <f t="shared" si="91"/>
        <v/>
      </c>
      <c r="EL152" s="174" t="str">
        <f t="shared" si="91"/>
        <v/>
      </c>
      <c r="EM152" s="174" t="str">
        <f t="shared" si="91"/>
        <v/>
      </c>
      <c r="EN152" s="174" t="str">
        <f t="shared" si="91"/>
        <v/>
      </c>
      <c r="EO152" s="174" t="str">
        <f t="shared" si="91"/>
        <v/>
      </c>
      <c r="EP152" s="174" t="str">
        <f t="shared" si="91"/>
        <v/>
      </c>
      <c r="EQ152" s="174" t="str">
        <f t="shared" si="91"/>
        <v/>
      </c>
      <c r="ER152" s="174" t="str">
        <f t="shared" si="91"/>
        <v/>
      </c>
      <c r="ES152" s="174" t="str">
        <f t="shared" si="91"/>
        <v/>
      </c>
      <c r="ET152" s="174" t="str">
        <f t="shared" si="90"/>
        <v/>
      </c>
      <c r="EU152" s="174" t="str">
        <f t="shared" si="90"/>
        <v/>
      </c>
      <c r="EV152" s="174" t="str">
        <f t="shared" si="90"/>
        <v/>
      </c>
      <c r="EW152" s="174" t="str">
        <f t="shared" si="90"/>
        <v/>
      </c>
      <c r="EX152" s="174" t="str">
        <f t="shared" si="90"/>
        <v/>
      </c>
      <c r="EY152" s="174" t="str">
        <f t="shared" si="90"/>
        <v/>
      </c>
      <c r="EZ152" s="174" t="str">
        <f t="shared" si="90"/>
        <v/>
      </c>
      <c r="FA152" s="174" t="str">
        <f t="shared" si="90"/>
        <v/>
      </c>
      <c r="FB152" s="174" t="str">
        <f t="shared" si="90"/>
        <v/>
      </c>
      <c r="FC152" s="174" t="str">
        <f t="shared" si="90"/>
        <v/>
      </c>
      <c r="FD152" s="174" t="str">
        <f t="shared" si="90"/>
        <v/>
      </c>
      <c r="FE152" s="174" t="str">
        <f t="shared" si="90"/>
        <v/>
      </c>
      <c r="FF152" s="174" t="str">
        <f t="shared" si="90"/>
        <v/>
      </c>
      <c r="FG152" s="174" t="str">
        <f t="shared" si="87"/>
        <v/>
      </c>
      <c r="FH152" s="174" t="str">
        <f t="shared" si="83"/>
        <v/>
      </c>
      <c r="FI152" s="174" t="str">
        <f t="shared" si="84"/>
        <v/>
      </c>
      <c r="FJ152" s="174" t="str">
        <f t="shared" si="85"/>
        <v/>
      </c>
      <c r="FK152" s="174" t="str">
        <f t="shared" si="85"/>
        <v/>
      </c>
    </row>
    <row r="153" spans="1:167" ht="16">
      <c r="B153" s="140" t="s">
        <v>980</v>
      </c>
      <c r="C153" s="127" t="s">
        <v>981</v>
      </c>
      <c r="D153" s="128"/>
      <c r="E153" s="128"/>
      <c r="F153" s="128"/>
      <c r="G153" s="128"/>
      <c r="H153" s="128"/>
      <c r="I153" s="128"/>
      <c r="J153" s="128"/>
      <c r="K153" s="128"/>
      <c r="L153" s="128"/>
      <c r="M153" s="128"/>
      <c r="N153" s="128"/>
      <c r="O153" s="128"/>
      <c r="P153" s="128"/>
      <c r="Q153" s="128"/>
      <c r="R153" s="128"/>
      <c r="S153" s="128"/>
      <c r="T153" s="128"/>
      <c r="U153" s="128"/>
      <c r="V153" s="128"/>
      <c r="W153" s="128"/>
      <c r="X153" s="128"/>
      <c r="Y153" s="128"/>
      <c r="Z153" s="128">
        <v>0</v>
      </c>
      <c r="AA153" s="128">
        <v>0</v>
      </c>
      <c r="AB153" s="128">
        <v>0</v>
      </c>
      <c r="AC153" s="128">
        <v>0</v>
      </c>
      <c r="AD153" s="128">
        <v>0</v>
      </c>
      <c r="AE153" s="128">
        <v>0</v>
      </c>
      <c r="AF153" s="128">
        <v>0</v>
      </c>
      <c r="AG153" s="128">
        <v>0</v>
      </c>
      <c r="AH153" s="128">
        <v>0</v>
      </c>
      <c r="AI153" s="128">
        <v>0</v>
      </c>
      <c r="AJ153" s="128">
        <v>0</v>
      </c>
      <c r="AK153" s="128">
        <v>0</v>
      </c>
      <c r="AL153" s="128">
        <v>0</v>
      </c>
      <c r="AM153" s="128">
        <v>0</v>
      </c>
      <c r="AN153" s="128">
        <v>0</v>
      </c>
      <c r="AO153" s="128">
        <v>0</v>
      </c>
      <c r="AP153" s="173">
        <v>0</v>
      </c>
      <c r="AQ153" s="173">
        <v>0</v>
      </c>
      <c r="AR153" s="173">
        <v>0</v>
      </c>
      <c r="AS153" s="288">
        <v>0</v>
      </c>
      <c r="AT153" s="288">
        <v>0</v>
      </c>
      <c r="AU153" s="288">
        <v>0</v>
      </c>
      <c r="AV153" s="288">
        <v>0</v>
      </c>
      <c r="AW153" s="158">
        <v>0</v>
      </c>
      <c r="AX153" s="158">
        <v>0</v>
      </c>
      <c r="AY153" s="158">
        <v>0</v>
      </c>
      <c r="AZ153" s="158">
        <v>0</v>
      </c>
      <c r="BA153" s="158">
        <v>0</v>
      </c>
      <c r="BB153" s="41">
        <v>0</v>
      </c>
      <c r="BC153" s="41">
        <v>0</v>
      </c>
      <c r="BD153" s="158">
        <v>0</v>
      </c>
      <c r="BE153" s="158">
        <v>0</v>
      </c>
      <c r="BF153" s="288">
        <v>0</v>
      </c>
      <c r="BG153" s="289">
        <v>0</v>
      </c>
      <c r="BH153" s="289">
        <v>0</v>
      </c>
      <c r="BI153" s="289">
        <v>0</v>
      </c>
      <c r="BJ153" s="289">
        <v>0</v>
      </c>
      <c r="BK153" s="289">
        <v>0</v>
      </c>
      <c r="BL153" s="289">
        <v>0</v>
      </c>
      <c r="BM153" s="289">
        <v>0</v>
      </c>
      <c r="BN153" s="289">
        <v>0</v>
      </c>
      <c r="BO153" s="289">
        <v>0</v>
      </c>
      <c r="BP153" s="289">
        <v>0</v>
      </c>
      <c r="BQ153" s="289">
        <v>0</v>
      </c>
      <c r="BR153" s="289">
        <v>0</v>
      </c>
      <c r="BS153" s="289">
        <v>0</v>
      </c>
      <c r="BT153" s="289">
        <v>0</v>
      </c>
      <c r="BU153" s="289"/>
      <c r="BV153" s="142"/>
      <c r="BW153" s="142"/>
      <c r="BX153" s="142"/>
      <c r="BY153" s="142"/>
      <c r="BZ153" s="142"/>
      <c r="CA153" s="142"/>
      <c r="CB153" s="142"/>
      <c r="CC153" s="142"/>
      <c r="CD153" s="142"/>
      <c r="CE153" s="142"/>
      <c r="CF153" s="142"/>
      <c r="CG153" s="142"/>
      <c r="CH153" s="142"/>
      <c r="CI153" s="142"/>
      <c r="CJ153" s="142"/>
      <c r="CK153" s="142"/>
      <c r="CL153" s="142"/>
      <c r="CM153" s="142"/>
      <c r="CN153" s="142"/>
      <c r="CO153" s="142"/>
      <c r="CP153" s="142"/>
      <c r="CQ153" s="142"/>
      <c r="CR153" s="142"/>
      <c r="CS153" s="142"/>
      <c r="CT153" s="142"/>
      <c r="CU153" s="142"/>
      <c r="CV153" s="142"/>
      <c r="CW153" s="142"/>
      <c r="CX153" s="142"/>
      <c r="CY153" s="142"/>
      <c r="CZ153" s="142"/>
      <c r="DA153" s="142"/>
      <c r="DB153" s="142"/>
      <c r="DC153" s="142"/>
      <c r="DD153" s="142"/>
      <c r="DE153" s="142"/>
      <c r="DF153" s="142"/>
      <c r="DG153" s="142"/>
      <c r="DH153" s="142"/>
      <c r="DI153" s="142"/>
      <c r="DJ153" s="142"/>
      <c r="DK153" s="142"/>
      <c r="DL153" s="142"/>
      <c r="DM153" s="142"/>
      <c r="DN153" s="142"/>
      <c r="DO153" s="142"/>
      <c r="DP153" s="142"/>
      <c r="DQ153" s="142"/>
      <c r="DR153" s="142"/>
      <c r="DS153" s="133"/>
      <c r="DT153" s="174" t="str">
        <f t="shared" si="94"/>
        <v/>
      </c>
      <c r="DU153" s="174" t="str">
        <f t="shared" si="94"/>
        <v/>
      </c>
      <c r="DV153" s="174" t="str">
        <f t="shared" si="93"/>
        <v/>
      </c>
      <c r="DW153" s="174" t="str">
        <f t="shared" si="93"/>
        <v/>
      </c>
      <c r="DX153" s="174" t="str">
        <f t="shared" si="93"/>
        <v/>
      </c>
      <c r="DY153" s="174" t="str">
        <f t="shared" si="93"/>
        <v/>
      </c>
      <c r="DZ153" s="174" t="str">
        <f t="shared" si="93"/>
        <v/>
      </c>
      <c r="EA153" s="174" t="str">
        <f t="shared" si="93"/>
        <v/>
      </c>
      <c r="EB153" s="174" t="str">
        <f t="shared" si="93"/>
        <v/>
      </c>
      <c r="EC153" s="174" t="str">
        <f t="shared" si="93"/>
        <v/>
      </c>
      <c r="ED153" s="174" t="str">
        <f t="shared" si="93"/>
        <v/>
      </c>
      <c r="EE153" s="174" t="str">
        <f t="shared" si="93"/>
        <v/>
      </c>
      <c r="EF153" s="174" t="str">
        <f t="shared" si="93"/>
        <v/>
      </c>
      <c r="EG153" s="174" t="str">
        <f t="shared" si="93"/>
        <v/>
      </c>
      <c r="EH153" s="174" t="str">
        <f t="shared" si="93"/>
        <v/>
      </c>
      <c r="EI153" s="174" t="str">
        <f t="shared" si="93"/>
        <v/>
      </c>
      <c r="EJ153" s="174" t="str">
        <f t="shared" si="92"/>
        <v/>
      </c>
      <c r="EK153" s="174" t="str">
        <f t="shared" si="91"/>
        <v/>
      </c>
      <c r="EL153" s="174" t="str">
        <f t="shared" si="91"/>
        <v/>
      </c>
      <c r="EM153" s="174" t="str">
        <f t="shared" si="91"/>
        <v/>
      </c>
      <c r="EN153" s="174" t="str">
        <f t="shared" si="91"/>
        <v/>
      </c>
      <c r="EO153" s="174" t="str">
        <f t="shared" si="91"/>
        <v/>
      </c>
      <c r="EP153" s="174" t="str">
        <f t="shared" si="91"/>
        <v/>
      </c>
      <c r="EQ153" s="174" t="str">
        <f t="shared" si="91"/>
        <v/>
      </c>
      <c r="ER153" s="174" t="str">
        <f t="shared" si="91"/>
        <v/>
      </c>
      <c r="ES153" s="174" t="str">
        <f t="shared" si="91"/>
        <v/>
      </c>
      <c r="ET153" s="174" t="str">
        <f t="shared" si="90"/>
        <v/>
      </c>
      <c r="EU153" s="174" t="str">
        <f t="shared" si="90"/>
        <v/>
      </c>
      <c r="EV153" s="174" t="str">
        <f t="shared" si="90"/>
        <v/>
      </c>
      <c r="EW153" s="174" t="str">
        <f t="shared" si="90"/>
        <v/>
      </c>
      <c r="EX153" s="174" t="str">
        <f t="shared" si="90"/>
        <v/>
      </c>
      <c r="EY153" s="174" t="str">
        <f t="shared" si="90"/>
        <v/>
      </c>
      <c r="EZ153" s="174" t="str">
        <f t="shared" si="90"/>
        <v/>
      </c>
      <c r="FA153" s="174" t="str">
        <f t="shared" si="90"/>
        <v/>
      </c>
      <c r="FB153" s="174" t="str">
        <f t="shared" si="90"/>
        <v/>
      </c>
      <c r="FC153" s="174" t="str">
        <f t="shared" si="90"/>
        <v/>
      </c>
      <c r="FD153" s="174" t="str">
        <f t="shared" si="90"/>
        <v/>
      </c>
      <c r="FE153" s="174" t="str">
        <f t="shared" si="90"/>
        <v/>
      </c>
      <c r="FF153" s="174" t="str">
        <f t="shared" si="90"/>
        <v/>
      </c>
      <c r="FG153" s="174" t="str">
        <f t="shared" si="87"/>
        <v/>
      </c>
      <c r="FH153" s="174" t="str">
        <f t="shared" si="83"/>
        <v/>
      </c>
      <c r="FI153" s="174" t="str">
        <f t="shared" si="84"/>
        <v/>
      </c>
      <c r="FJ153" s="174" t="str">
        <f t="shared" si="85"/>
        <v/>
      </c>
      <c r="FK153" s="174" t="str">
        <f t="shared" si="85"/>
        <v/>
      </c>
    </row>
    <row r="154" spans="1:167" ht="16">
      <c r="B154" s="140" t="s">
        <v>511</v>
      </c>
      <c r="C154" s="127" t="s">
        <v>982</v>
      </c>
      <c r="D154" s="128"/>
      <c r="E154" s="128"/>
      <c r="F154" s="128"/>
      <c r="G154" s="128"/>
      <c r="H154" s="128"/>
      <c r="I154" s="128"/>
      <c r="J154" s="128"/>
      <c r="K154" s="128"/>
      <c r="L154" s="128"/>
      <c r="M154" s="128"/>
      <c r="N154" s="128"/>
      <c r="O154" s="128"/>
      <c r="P154" s="128"/>
      <c r="Q154" s="128"/>
      <c r="R154" s="128"/>
      <c r="S154" s="128"/>
      <c r="T154" s="128"/>
      <c r="U154" s="128"/>
      <c r="V154" s="128"/>
      <c r="W154" s="128"/>
      <c r="X154" s="128"/>
      <c r="Y154" s="128"/>
      <c r="Z154" s="128">
        <v>0</v>
      </c>
      <c r="AA154" s="128">
        <v>0</v>
      </c>
      <c r="AB154" s="128">
        <v>0</v>
      </c>
      <c r="AC154" s="128">
        <v>0</v>
      </c>
      <c r="AD154" s="128">
        <v>0</v>
      </c>
      <c r="AE154" s="128">
        <v>0</v>
      </c>
      <c r="AF154" s="128">
        <v>0</v>
      </c>
      <c r="AG154" s="128">
        <v>0</v>
      </c>
      <c r="AH154" s="128">
        <v>0</v>
      </c>
      <c r="AI154" s="128">
        <v>0</v>
      </c>
      <c r="AJ154" s="128">
        <v>0</v>
      </c>
      <c r="AK154" s="128">
        <v>0</v>
      </c>
      <c r="AL154" s="128">
        <v>0</v>
      </c>
      <c r="AM154" s="128">
        <v>0</v>
      </c>
      <c r="AN154" s="128">
        <v>0</v>
      </c>
      <c r="AO154" s="128">
        <v>0</v>
      </c>
      <c r="AP154" s="173">
        <v>0</v>
      </c>
      <c r="AQ154" s="173">
        <v>0</v>
      </c>
      <c r="AR154" s="173">
        <v>0</v>
      </c>
      <c r="AS154" s="288">
        <v>0</v>
      </c>
      <c r="AT154" s="288">
        <v>0</v>
      </c>
      <c r="AU154" s="288">
        <v>0</v>
      </c>
      <c r="AV154" s="288">
        <v>0</v>
      </c>
      <c r="AW154" s="158">
        <v>0</v>
      </c>
      <c r="AX154" s="158">
        <v>0</v>
      </c>
      <c r="AY154" s="158">
        <v>0</v>
      </c>
      <c r="AZ154" s="158">
        <v>0</v>
      </c>
      <c r="BA154" s="158">
        <v>0</v>
      </c>
      <c r="BB154" s="41">
        <v>0</v>
      </c>
      <c r="BC154" s="41">
        <v>0</v>
      </c>
      <c r="BD154" s="158">
        <v>0</v>
      </c>
      <c r="BE154" s="158">
        <v>0</v>
      </c>
      <c r="BF154" s="288">
        <v>0</v>
      </c>
      <c r="BG154" s="289">
        <v>0</v>
      </c>
      <c r="BH154" s="289">
        <v>0</v>
      </c>
      <c r="BI154" s="289">
        <v>0</v>
      </c>
      <c r="BJ154" s="289">
        <v>0</v>
      </c>
      <c r="BK154" s="289">
        <v>0</v>
      </c>
      <c r="BL154" s="289">
        <v>0</v>
      </c>
      <c r="BM154" s="289">
        <v>0</v>
      </c>
      <c r="BN154" s="289">
        <v>0</v>
      </c>
      <c r="BO154" s="289">
        <v>0</v>
      </c>
      <c r="BP154" s="289">
        <v>0</v>
      </c>
      <c r="BQ154" s="289">
        <v>0</v>
      </c>
      <c r="BR154" s="289">
        <v>0</v>
      </c>
      <c r="BS154" s="289">
        <v>0</v>
      </c>
      <c r="BT154" s="289">
        <v>0</v>
      </c>
      <c r="BU154" s="289"/>
      <c r="BV154" s="142"/>
      <c r="BW154" s="142"/>
      <c r="BX154" s="142"/>
      <c r="BY154" s="142"/>
      <c r="BZ154" s="142"/>
      <c r="CA154" s="142"/>
      <c r="CB154" s="142"/>
      <c r="CC154" s="142"/>
      <c r="CD154" s="142"/>
      <c r="CE154" s="142"/>
      <c r="CF154" s="142"/>
      <c r="CG154" s="142"/>
      <c r="CH154" s="142"/>
      <c r="CI154" s="142"/>
      <c r="CJ154" s="142"/>
      <c r="CK154" s="142"/>
      <c r="CL154" s="142"/>
      <c r="CM154" s="142"/>
      <c r="CN154" s="142"/>
      <c r="CO154" s="142"/>
      <c r="CP154" s="142"/>
      <c r="CQ154" s="142"/>
      <c r="CR154" s="142"/>
      <c r="CS154" s="142"/>
      <c r="CT154" s="142"/>
      <c r="CU154" s="142"/>
      <c r="CV154" s="142"/>
      <c r="CW154" s="142"/>
      <c r="CX154" s="142"/>
      <c r="CY154" s="142"/>
      <c r="CZ154" s="142"/>
      <c r="DA154" s="142"/>
      <c r="DB154" s="142"/>
      <c r="DC154" s="142"/>
      <c r="DD154" s="142"/>
      <c r="DE154" s="142"/>
      <c r="DF154" s="142"/>
      <c r="DG154" s="142"/>
      <c r="DH154" s="142"/>
      <c r="DI154" s="142"/>
      <c r="DJ154" s="142"/>
      <c r="DK154" s="142"/>
      <c r="DL154" s="142"/>
      <c r="DM154" s="142"/>
      <c r="DN154" s="142"/>
      <c r="DO154" s="142"/>
      <c r="DP154" s="142"/>
      <c r="DQ154" s="142"/>
      <c r="DR154" s="142"/>
      <c r="DS154" s="133"/>
      <c r="DT154" s="174" t="str">
        <f t="shared" si="94"/>
        <v/>
      </c>
      <c r="DU154" s="174" t="str">
        <f t="shared" si="94"/>
        <v/>
      </c>
      <c r="DV154" s="174" t="str">
        <f t="shared" si="93"/>
        <v/>
      </c>
      <c r="DW154" s="174" t="str">
        <f t="shared" si="93"/>
        <v/>
      </c>
      <c r="DX154" s="174" t="str">
        <f t="shared" si="93"/>
        <v/>
      </c>
      <c r="DY154" s="174" t="str">
        <f t="shared" si="93"/>
        <v/>
      </c>
      <c r="DZ154" s="174" t="str">
        <f t="shared" si="93"/>
        <v/>
      </c>
      <c r="EA154" s="174" t="str">
        <f t="shared" si="93"/>
        <v/>
      </c>
      <c r="EB154" s="174" t="str">
        <f t="shared" si="93"/>
        <v/>
      </c>
      <c r="EC154" s="174" t="str">
        <f t="shared" si="93"/>
        <v/>
      </c>
      <c r="ED154" s="174" t="str">
        <f t="shared" si="93"/>
        <v/>
      </c>
      <c r="EE154" s="174" t="str">
        <f t="shared" si="93"/>
        <v/>
      </c>
      <c r="EF154" s="174" t="str">
        <f t="shared" si="93"/>
        <v/>
      </c>
      <c r="EG154" s="174" t="str">
        <f t="shared" si="93"/>
        <v/>
      </c>
      <c r="EH154" s="174" t="str">
        <f t="shared" si="93"/>
        <v/>
      </c>
      <c r="EI154" s="174" t="str">
        <f t="shared" si="93"/>
        <v/>
      </c>
      <c r="EJ154" s="174" t="str">
        <f t="shared" si="92"/>
        <v/>
      </c>
      <c r="EK154" s="174" t="str">
        <f t="shared" si="91"/>
        <v/>
      </c>
      <c r="EL154" s="174" t="str">
        <f t="shared" si="91"/>
        <v/>
      </c>
      <c r="EM154" s="174" t="str">
        <f t="shared" si="91"/>
        <v/>
      </c>
      <c r="EN154" s="174" t="str">
        <f t="shared" si="91"/>
        <v/>
      </c>
      <c r="EO154" s="174" t="str">
        <f t="shared" si="91"/>
        <v/>
      </c>
      <c r="EP154" s="174" t="str">
        <f t="shared" si="91"/>
        <v/>
      </c>
      <c r="EQ154" s="174" t="str">
        <f t="shared" si="91"/>
        <v/>
      </c>
      <c r="ER154" s="174" t="str">
        <f t="shared" si="91"/>
        <v/>
      </c>
      <c r="ES154" s="174" t="str">
        <f t="shared" si="91"/>
        <v/>
      </c>
      <c r="ET154" s="174" t="str">
        <f t="shared" si="90"/>
        <v/>
      </c>
      <c r="EU154" s="174" t="str">
        <f t="shared" si="90"/>
        <v/>
      </c>
      <c r="EV154" s="174" t="str">
        <f t="shared" si="90"/>
        <v/>
      </c>
      <c r="EW154" s="174" t="str">
        <f t="shared" si="90"/>
        <v/>
      </c>
      <c r="EX154" s="174" t="str">
        <f t="shared" si="90"/>
        <v/>
      </c>
      <c r="EY154" s="174" t="str">
        <f t="shared" si="90"/>
        <v/>
      </c>
      <c r="EZ154" s="174" t="str">
        <f t="shared" si="90"/>
        <v/>
      </c>
      <c r="FA154" s="174" t="str">
        <f t="shared" si="90"/>
        <v/>
      </c>
      <c r="FB154" s="174" t="str">
        <f t="shared" si="90"/>
        <v/>
      </c>
      <c r="FC154" s="174" t="str">
        <f t="shared" si="90"/>
        <v/>
      </c>
      <c r="FD154" s="174" t="str">
        <f t="shared" si="90"/>
        <v/>
      </c>
      <c r="FE154" s="174" t="str">
        <f t="shared" si="90"/>
        <v/>
      </c>
      <c r="FF154" s="174" t="str">
        <f t="shared" si="90"/>
        <v/>
      </c>
      <c r="FG154" s="174" t="str">
        <f t="shared" si="87"/>
        <v/>
      </c>
      <c r="FH154" s="174" t="str">
        <f t="shared" si="83"/>
        <v/>
      </c>
      <c r="FI154" s="174" t="str">
        <f t="shared" si="84"/>
        <v/>
      </c>
      <c r="FJ154" s="174" t="str">
        <f t="shared" si="85"/>
        <v/>
      </c>
      <c r="FK154" s="174" t="str">
        <f t="shared" si="85"/>
        <v/>
      </c>
    </row>
    <row r="155" spans="1:167" ht="16">
      <c r="B155" s="140" t="s">
        <v>983</v>
      </c>
      <c r="C155" s="127" t="s">
        <v>984</v>
      </c>
      <c r="D155" s="128"/>
      <c r="E155" s="128"/>
      <c r="F155" s="128"/>
      <c r="G155" s="128"/>
      <c r="H155" s="128"/>
      <c r="I155" s="128"/>
      <c r="J155" s="128"/>
      <c r="K155" s="128"/>
      <c r="L155" s="128"/>
      <c r="M155" s="128"/>
      <c r="N155" s="128"/>
      <c r="O155" s="128"/>
      <c r="P155" s="128"/>
      <c r="Q155" s="128"/>
      <c r="R155" s="128"/>
      <c r="S155" s="128"/>
      <c r="T155" s="128"/>
      <c r="U155" s="128"/>
      <c r="V155" s="128"/>
      <c r="W155" s="128"/>
      <c r="X155" s="128"/>
      <c r="Y155" s="128"/>
      <c r="Z155" s="128">
        <v>0</v>
      </c>
      <c r="AA155" s="128">
        <v>0</v>
      </c>
      <c r="AB155" s="128">
        <v>0</v>
      </c>
      <c r="AC155" s="128">
        <v>0</v>
      </c>
      <c r="AD155" s="128">
        <v>0</v>
      </c>
      <c r="AE155" s="128">
        <v>0</v>
      </c>
      <c r="AF155" s="128">
        <v>0</v>
      </c>
      <c r="AG155" s="128">
        <v>0</v>
      </c>
      <c r="AH155" s="128">
        <v>0</v>
      </c>
      <c r="AI155" s="128">
        <v>0</v>
      </c>
      <c r="AJ155" s="128">
        <v>0</v>
      </c>
      <c r="AK155" s="128">
        <v>0</v>
      </c>
      <c r="AL155" s="128">
        <v>0</v>
      </c>
      <c r="AM155" s="128">
        <v>0</v>
      </c>
      <c r="AN155" s="128">
        <v>0</v>
      </c>
      <c r="AO155" s="128">
        <v>0</v>
      </c>
      <c r="AP155" s="173">
        <v>0</v>
      </c>
      <c r="AQ155" s="173">
        <v>0</v>
      </c>
      <c r="AR155" s="173">
        <v>0</v>
      </c>
      <c r="AS155" s="288">
        <v>0</v>
      </c>
      <c r="AT155" s="288">
        <v>0</v>
      </c>
      <c r="AU155" s="288">
        <v>0</v>
      </c>
      <c r="AV155" s="288">
        <v>0</v>
      </c>
      <c r="AW155" s="158">
        <v>0</v>
      </c>
      <c r="AX155" s="158">
        <v>0</v>
      </c>
      <c r="AY155" s="158">
        <v>0</v>
      </c>
      <c r="AZ155" s="158">
        <v>0</v>
      </c>
      <c r="BA155" s="158">
        <v>0</v>
      </c>
      <c r="BB155" s="41">
        <v>0</v>
      </c>
      <c r="BC155" s="41">
        <v>0</v>
      </c>
      <c r="BD155" s="158">
        <v>0</v>
      </c>
      <c r="BE155" s="158">
        <v>0</v>
      </c>
      <c r="BF155" s="288">
        <v>0</v>
      </c>
      <c r="BG155" s="289">
        <v>0</v>
      </c>
      <c r="BH155" s="289">
        <v>0</v>
      </c>
      <c r="BI155" s="289">
        <v>0</v>
      </c>
      <c r="BJ155" s="289">
        <v>0</v>
      </c>
      <c r="BK155" s="289">
        <v>0</v>
      </c>
      <c r="BL155" s="289">
        <v>0</v>
      </c>
      <c r="BM155" s="289">
        <v>0</v>
      </c>
      <c r="BN155" s="289">
        <v>0</v>
      </c>
      <c r="BO155" s="289">
        <v>0</v>
      </c>
      <c r="BP155" s="289">
        <v>0</v>
      </c>
      <c r="BQ155" s="289">
        <v>0</v>
      </c>
      <c r="BR155" s="289">
        <v>0</v>
      </c>
      <c r="BS155" s="289">
        <v>0</v>
      </c>
      <c r="BT155" s="289">
        <v>0</v>
      </c>
      <c r="BU155" s="289"/>
      <c r="BV155" s="142"/>
      <c r="BW155" s="142"/>
      <c r="BX155" s="142"/>
      <c r="BY155" s="142"/>
      <c r="BZ155" s="142"/>
      <c r="CA155" s="142"/>
      <c r="CB155" s="142"/>
      <c r="CC155" s="142"/>
      <c r="CD155" s="142"/>
      <c r="CE155" s="142"/>
      <c r="CF155" s="142"/>
      <c r="CG155" s="142"/>
      <c r="CH155" s="142"/>
      <c r="CI155" s="142"/>
      <c r="CJ155" s="142"/>
      <c r="CK155" s="142"/>
      <c r="CL155" s="142"/>
      <c r="CM155" s="142"/>
      <c r="CN155" s="142"/>
      <c r="CO155" s="142"/>
      <c r="CP155" s="142"/>
      <c r="CQ155" s="142"/>
      <c r="CR155" s="142"/>
      <c r="CS155" s="142"/>
      <c r="CT155" s="142"/>
      <c r="CU155" s="142"/>
      <c r="CV155" s="142"/>
      <c r="CW155" s="142"/>
      <c r="CX155" s="142"/>
      <c r="CY155" s="142"/>
      <c r="CZ155" s="142"/>
      <c r="DA155" s="142"/>
      <c r="DB155" s="142"/>
      <c r="DC155" s="142"/>
      <c r="DD155" s="142"/>
      <c r="DE155" s="142"/>
      <c r="DF155" s="142"/>
      <c r="DG155" s="142"/>
      <c r="DH155" s="142"/>
      <c r="DI155" s="142"/>
      <c r="DJ155" s="142"/>
      <c r="DK155" s="142"/>
      <c r="DL155" s="142"/>
      <c r="DM155" s="142"/>
      <c r="DN155" s="142"/>
      <c r="DO155" s="142"/>
      <c r="DP155" s="142"/>
      <c r="DQ155" s="142"/>
      <c r="DR155" s="142"/>
      <c r="DS155" s="133"/>
      <c r="DT155" s="174" t="str">
        <f t="shared" si="94"/>
        <v/>
      </c>
      <c r="DU155" s="174" t="str">
        <f t="shared" si="94"/>
        <v/>
      </c>
      <c r="DV155" s="174" t="str">
        <f t="shared" si="93"/>
        <v/>
      </c>
      <c r="DW155" s="174" t="str">
        <f t="shared" si="93"/>
        <v/>
      </c>
      <c r="DX155" s="174" t="str">
        <f t="shared" si="93"/>
        <v/>
      </c>
      <c r="DY155" s="174" t="str">
        <f t="shared" si="93"/>
        <v/>
      </c>
      <c r="DZ155" s="174" t="str">
        <f t="shared" si="93"/>
        <v/>
      </c>
      <c r="EA155" s="174" t="str">
        <f t="shared" si="93"/>
        <v/>
      </c>
      <c r="EB155" s="174" t="str">
        <f t="shared" si="93"/>
        <v/>
      </c>
      <c r="EC155" s="174" t="str">
        <f t="shared" si="93"/>
        <v/>
      </c>
      <c r="ED155" s="174" t="str">
        <f t="shared" si="93"/>
        <v/>
      </c>
      <c r="EE155" s="174" t="str">
        <f t="shared" si="93"/>
        <v/>
      </c>
      <c r="EF155" s="174" t="str">
        <f t="shared" si="93"/>
        <v/>
      </c>
      <c r="EG155" s="174" t="str">
        <f t="shared" si="93"/>
        <v/>
      </c>
      <c r="EH155" s="174" t="str">
        <f t="shared" si="93"/>
        <v/>
      </c>
      <c r="EI155" s="174" t="str">
        <f t="shared" si="93"/>
        <v/>
      </c>
      <c r="EJ155" s="174" t="str">
        <f t="shared" si="92"/>
        <v/>
      </c>
      <c r="EK155" s="174" t="str">
        <f t="shared" si="91"/>
        <v/>
      </c>
      <c r="EL155" s="174" t="str">
        <f t="shared" si="91"/>
        <v/>
      </c>
      <c r="EM155" s="174" t="str">
        <f t="shared" si="91"/>
        <v/>
      </c>
      <c r="EN155" s="174" t="str">
        <f t="shared" si="91"/>
        <v/>
      </c>
      <c r="EO155" s="174" t="str">
        <f t="shared" si="91"/>
        <v/>
      </c>
      <c r="EP155" s="174" t="str">
        <f t="shared" si="91"/>
        <v/>
      </c>
      <c r="EQ155" s="174" t="str">
        <f t="shared" si="91"/>
        <v/>
      </c>
      <c r="ER155" s="174" t="str">
        <f t="shared" si="91"/>
        <v/>
      </c>
      <c r="ES155" s="174" t="str">
        <f t="shared" si="91"/>
        <v/>
      </c>
      <c r="ET155" s="174" t="str">
        <f t="shared" si="90"/>
        <v/>
      </c>
      <c r="EU155" s="174" t="str">
        <f t="shared" si="90"/>
        <v/>
      </c>
      <c r="EV155" s="174" t="str">
        <f t="shared" si="90"/>
        <v/>
      </c>
      <c r="EW155" s="174" t="str">
        <f t="shared" si="90"/>
        <v/>
      </c>
      <c r="EX155" s="174" t="str">
        <f t="shared" si="90"/>
        <v/>
      </c>
      <c r="EY155" s="174" t="str">
        <f t="shared" si="90"/>
        <v/>
      </c>
      <c r="EZ155" s="174" t="str">
        <f t="shared" si="90"/>
        <v/>
      </c>
      <c r="FA155" s="174" t="str">
        <f t="shared" si="90"/>
        <v/>
      </c>
      <c r="FB155" s="174" t="str">
        <f t="shared" si="90"/>
        <v/>
      </c>
      <c r="FC155" s="174" t="str">
        <f t="shared" si="90"/>
        <v/>
      </c>
      <c r="FD155" s="174" t="str">
        <f t="shared" si="90"/>
        <v/>
      </c>
      <c r="FE155" s="174" t="str">
        <f t="shared" si="90"/>
        <v/>
      </c>
      <c r="FF155" s="174" t="str">
        <f t="shared" si="90"/>
        <v/>
      </c>
      <c r="FG155" s="174" t="str">
        <f t="shared" si="87"/>
        <v/>
      </c>
      <c r="FH155" s="174" t="str">
        <f t="shared" si="83"/>
        <v/>
      </c>
      <c r="FI155" s="174" t="str">
        <f t="shared" si="84"/>
        <v/>
      </c>
      <c r="FJ155" s="174" t="str">
        <f t="shared" si="85"/>
        <v/>
      </c>
      <c r="FK155" s="174" t="str">
        <f t="shared" si="85"/>
        <v/>
      </c>
    </row>
    <row r="156" spans="1:167" ht="16">
      <c r="B156" s="140" t="s">
        <v>985</v>
      </c>
      <c r="C156" s="127" t="s">
        <v>986</v>
      </c>
      <c r="D156" s="128"/>
      <c r="E156" s="128"/>
      <c r="F156" s="128"/>
      <c r="G156" s="128"/>
      <c r="H156" s="128"/>
      <c r="I156" s="128"/>
      <c r="J156" s="128"/>
      <c r="K156" s="128"/>
      <c r="L156" s="128"/>
      <c r="M156" s="128"/>
      <c r="N156" s="128"/>
      <c r="O156" s="128"/>
      <c r="P156" s="128"/>
      <c r="Q156" s="128"/>
      <c r="R156" s="128"/>
      <c r="S156" s="128"/>
      <c r="T156" s="128"/>
      <c r="U156" s="128"/>
      <c r="V156" s="128"/>
      <c r="W156" s="128"/>
      <c r="X156" s="128"/>
      <c r="Y156" s="128"/>
      <c r="Z156" s="128">
        <v>27.021276495999999</v>
      </c>
      <c r="AA156" s="128">
        <v>4.8489354609999999</v>
      </c>
      <c r="AB156" s="128">
        <v>5.0679969800000002</v>
      </c>
      <c r="AC156" s="128">
        <v>9.0530168740000008</v>
      </c>
      <c r="AD156" s="128">
        <v>10.583347440000001</v>
      </c>
      <c r="AE156" s="128">
        <v>0</v>
      </c>
      <c r="AF156" s="128">
        <v>0</v>
      </c>
      <c r="AG156" s="128">
        <v>0</v>
      </c>
      <c r="AH156" s="128">
        <v>0</v>
      </c>
      <c r="AI156" s="128">
        <v>0</v>
      </c>
      <c r="AJ156" s="128">
        <v>0</v>
      </c>
      <c r="AK156" s="128">
        <v>0</v>
      </c>
      <c r="AL156" s="128">
        <v>0</v>
      </c>
      <c r="AM156" s="128">
        <v>0</v>
      </c>
      <c r="AN156" s="128">
        <v>0</v>
      </c>
      <c r="AO156" s="128">
        <v>0</v>
      </c>
      <c r="AP156" s="173">
        <v>0</v>
      </c>
      <c r="AQ156" s="173">
        <v>0</v>
      </c>
      <c r="AR156" s="173">
        <v>0</v>
      </c>
      <c r="AS156" s="288">
        <v>0</v>
      </c>
      <c r="AT156" s="288">
        <v>0</v>
      </c>
      <c r="AU156" s="288">
        <v>0</v>
      </c>
      <c r="AV156" s="288">
        <v>0</v>
      </c>
      <c r="AW156" s="158">
        <v>0</v>
      </c>
      <c r="AX156" s="158">
        <v>0</v>
      </c>
      <c r="AY156" s="158">
        <v>0</v>
      </c>
      <c r="AZ156" s="158">
        <v>0</v>
      </c>
      <c r="BA156" s="158">
        <v>0</v>
      </c>
      <c r="BB156" s="41">
        <v>0</v>
      </c>
      <c r="BC156" s="41">
        <v>0</v>
      </c>
      <c r="BD156" s="158">
        <v>0</v>
      </c>
      <c r="BE156" s="158">
        <v>0</v>
      </c>
      <c r="BF156" s="288">
        <v>0</v>
      </c>
      <c r="BG156" s="289">
        <v>0</v>
      </c>
      <c r="BH156" s="289">
        <v>0</v>
      </c>
      <c r="BI156" s="289">
        <v>0</v>
      </c>
      <c r="BJ156" s="289">
        <v>0</v>
      </c>
      <c r="BK156" s="289">
        <v>0</v>
      </c>
      <c r="BL156" s="289">
        <v>0</v>
      </c>
      <c r="BM156" s="289">
        <v>0</v>
      </c>
      <c r="BN156" s="289">
        <v>0</v>
      </c>
      <c r="BO156" s="289">
        <v>0</v>
      </c>
      <c r="BP156" s="289">
        <v>0</v>
      </c>
      <c r="BQ156" s="289">
        <v>0</v>
      </c>
      <c r="BR156" s="289">
        <v>0</v>
      </c>
      <c r="BS156" s="289">
        <v>0</v>
      </c>
      <c r="BT156" s="289">
        <v>0</v>
      </c>
      <c r="BU156" s="289"/>
      <c r="BV156" s="142"/>
      <c r="BW156" s="142"/>
      <c r="BX156" s="142"/>
      <c r="BY156" s="142"/>
      <c r="BZ156" s="142"/>
      <c r="CA156" s="142"/>
      <c r="CB156" s="142"/>
      <c r="CC156" s="142"/>
      <c r="CD156" s="142"/>
      <c r="CE156" s="142"/>
      <c r="CF156" s="142"/>
      <c r="CG156" s="142"/>
      <c r="CH156" s="142"/>
      <c r="CI156" s="142"/>
      <c r="CJ156" s="142"/>
      <c r="CK156" s="142"/>
      <c r="CL156" s="142"/>
      <c r="CM156" s="142"/>
      <c r="CN156" s="142"/>
      <c r="CO156" s="142"/>
      <c r="CP156" s="142"/>
      <c r="CQ156" s="142"/>
      <c r="CR156" s="142"/>
      <c r="CS156" s="142"/>
      <c r="CT156" s="142"/>
      <c r="CU156" s="142"/>
      <c r="CV156" s="142"/>
      <c r="CW156" s="142"/>
      <c r="CX156" s="142"/>
      <c r="CY156" s="142"/>
      <c r="CZ156" s="142"/>
      <c r="DA156" s="142"/>
      <c r="DB156" s="142"/>
      <c r="DC156" s="142"/>
      <c r="DD156" s="142"/>
      <c r="DE156" s="142"/>
      <c r="DF156" s="142"/>
      <c r="DG156" s="142"/>
      <c r="DH156" s="142"/>
      <c r="DI156" s="142"/>
      <c r="DJ156" s="142"/>
      <c r="DK156" s="142"/>
      <c r="DL156" s="142"/>
      <c r="DM156" s="142"/>
      <c r="DN156" s="142"/>
      <c r="DO156" s="142"/>
      <c r="DP156" s="142"/>
      <c r="DQ156" s="142"/>
      <c r="DR156" s="142"/>
      <c r="DS156" s="133"/>
      <c r="DT156" s="174" t="str">
        <f t="shared" si="94"/>
        <v/>
      </c>
      <c r="DU156" s="174" t="str">
        <f t="shared" si="94"/>
        <v/>
      </c>
      <c r="DV156" s="174" t="str">
        <f t="shared" si="93"/>
        <v/>
      </c>
      <c r="DW156" s="174" t="str">
        <f t="shared" si="93"/>
        <v/>
      </c>
      <c r="DX156" s="174" t="str">
        <f t="shared" si="93"/>
        <v/>
      </c>
      <c r="DY156" s="174" t="str">
        <f t="shared" si="93"/>
        <v/>
      </c>
      <c r="DZ156" s="174" t="str">
        <f t="shared" si="93"/>
        <v/>
      </c>
      <c r="EA156" s="174" t="str">
        <f t="shared" si="93"/>
        <v/>
      </c>
      <c r="EB156" s="174" t="str">
        <f t="shared" si="93"/>
        <v/>
      </c>
      <c r="EC156" s="174" t="str">
        <f t="shared" si="93"/>
        <v/>
      </c>
      <c r="ED156" s="174" t="str">
        <f t="shared" si="93"/>
        <v/>
      </c>
      <c r="EE156" s="174" t="str">
        <f t="shared" si="93"/>
        <v/>
      </c>
      <c r="EF156" s="174" t="str">
        <f t="shared" si="93"/>
        <v/>
      </c>
      <c r="EG156" s="174" t="str">
        <f t="shared" si="93"/>
        <v/>
      </c>
      <c r="EH156" s="174" t="str">
        <f t="shared" si="93"/>
        <v/>
      </c>
      <c r="EI156" s="174" t="str">
        <f t="shared" si="93"/>
        <v/>
      </c>
      <c r="EJ156" s="174" t="str">
        <f t="shared" si="92"/>
        <v/>
      </c>
      <c r="EK156" s="174" t="str">
        <f t="shared" si="91"/>
        <v/>
      </c>
      <c r="EL156" s="174" t="str">
        <f t="shared" si="91"/>
        <v/>
      </c>
      <c r="EM156" s="174" t="str">
        <f t="shared" si="91"/>
        <v/>
      </c>
      <c r="EN156" s="174">
        <f t="shared" si="91"/>
        <v>-0.6083328098298143</v>
      </c>
      <c r="EO156" s="174">
        <f t="shared" si="91"/>
        <v>-1</v>
      </c>
      <c r="EP156" s="174">
        <f t="shared" si="91"/>
        <v>-1</v>
      </c>
      <c r="EQ156" s="174">
        <f t="shared" si="91"/>
        <v>-1</v>
      </c>
      <c r="ER156" s="174">
        <f t="shared" si="91"/>
        <v>-1</v>
      </c>
      <c r="ES156" s="174" t="str">
        <f t="shared" si="91"/>
        <v/>
      </c>
      <c r="ET156" s="174" t="str">
        <f t="shared" si="90"/>
        <v/>
      </c>
      <c r="EU156" s="174" t="str">
        <f t="shared" si="90"/>
        <v/>
      </c>
      <c r="EV156" s="174" t="str">
        <f t="shared" ref="EV156:FG157" si="95">IFERROR(AL156/AH156-1,"")</f>
        <v/>
      </c>
      <c r="EW156" s="174" t="str">
        <f t="shared" si="95"/>
        <v/>
      </c>
      <c r="EX156" s="174" t="str">
        <f t="shared" si="95"/>
        <v/>
      </c>
      <c r="EY156" s="174" t="str">
        <f t="shared" si="95"/>
        <v/>
      </c>
      <c r="EZ156" s="174" t="str">
        <f t="shared" si="95"/>
        <v/>
      </c>
      <c r="FA156" s="174" t="str">
        <f t="shared" si="95"/>
        <v/>
      </c>
      <c r="FB156" s="174" t="str">
        <f t="shared" si="95"/>
        <v/>
      </c>
      <c r="FC156" s="174" t="str">
        <f t="shared" si="95"/>
        <v/>
      </c>
      <c r="FD156" s="174" t="str">
        <f t="shared" si="95"/>
        <v/>
      </c>
      <c r="FE156" s="174" t="str">
        <f t="shared" si="95"/>
        <v/>
      </c>
      <c r="FF156" s="174" t="str">
        <f t="shared" si="95"/>
        <v/>
      </c>
      <c r="FG156" s="174" t="str">
        <f t="shared" si="95"/>
        <v/>
      </c>
      <c r="FH156" s="174" t="str">
        <f t="shared" si="83"/>
        <v/>
      </c>
      <c r="FI156" s="174" t="str">
        <f t="shared" si="84"/>
        <v/>
      </c>
      <c r="FJ156" s="174" t="str">
        <f t="shared" si="85"/>
        <v/>
      </c>
      <c r="FK156" s="174" t="str">
        <f t="shared" si="85"/>
        <v/>
      </c>
    </row>
    <row r="157" spans="1:167" s="417" customFormat="1" ht="16">
      <c r="B157" s="418" t="s">
        <v>987</v>
      </c>
      <c r="C157" s="419" t="s">
        <v>988</v>
      </c>
      <c r="D157" s="420"/>
      <c r="E157" s="420"/>
      <c r="F157" s="420"/>
      <c r="G157" s="420"/>
      <c r="H157" s="420"/>
      <c r="I157" s="420"/>
      <c r="J157" s="420"/>
      <c r="K157" s="420"/>
      <c r="L157" s="420"/>
      <c r="M157" s="420"/>
      <c r="N157" s="420"/>
      <c r="O157" s="420"/>
      <c r="P157" s="420"/>
      <c r="Q157" s="420"/>
      <c r="R157" s="420"/>
      <c r="S157" s="420"/>
      <c r="T157" s="420"/>
      <c r="U157" s="420"/>
      <c r="V157" s="420"/>
      <c r="W157" s="420"/>
      <c r="X157" s="420"/>
      <c r="Y157" s="420"/>
      <c r="Z157" s="420">
        <v>2087.378579015</v>
      </c>
      <c r="AA157" s="420">
        <v>2234.464122285</v>
      </c>
      <c r="AB157" s="420">
        <v>2848.188241977</v>
      </c>
      <c r="AC157" s="420">
        <v>3407.1994911840002</v>
      </c>
      <c r="AD157" s="420">
        <v>3665.7538108449999</v>
      </c>
      <c r="AE157" s="420">
        <v>4022.2119031890002</v>
      </c>
      <c r="AF157" s="420">
        <v>4813.877448192</v>
      </c>
      <c r="AG157" s="420">
        <v>7265.7622338740002</v>
      </c>
      <c r="AH157" s="420">
        <v>7964.9033399199998</v>
      </c>
      <c r="AI157" s="420">
        <v>7994.6143421930001</v>
      </c>
      <c r="AJ157" s="420">
        <v>10176.330564524</v>
      </c>
      <c r="AK157" s="420">
        <v>14806.486673846999</v>
      </c>
      <c r="AL157" s="420">
        <v>14107.380544096</v>
      </c>
      <c r="AM157" s="420">
        <v>14651.010884874</v>
      </c>
      <c r="AN157" s="420">
        <v>16632.493312301998</v>
      </c>
      <c r="AO157" s="420">
        <v>22813.427395014998</v>
      </c>
      <c r="AP157" s="421">
        <v>23658.886280180999</v>
      </c>
      <c r="AQ157" s="421">
        <v>24342.688854797001</v>
      </c>
      <c r="AR157" s="421">
        <v>25546.431535682001</v>
      </c>
      <c r="AS157" s="188">
        <v>28140.106400856999</v>
      </c>
      <c r="AT157" s="188">
        <v>30405.180719853</v>
      </c>
      <c r="AU157" s="188">
        <v>32766.826097118999</v>
      </c>
      <c r="AV157" s="188">
        <v>32353.399506605001</v>
      </c>
      <c r="AW157" s="188">
        <v>41708.095544882999</v>
      </c>
      <c r="AX157" s="188">
        <v>36869.932776601003</v>
      </c>
      <c r="AY157" s="188">
        <v>38346.340885655001</v>
      </c>
      <c r="AZ157" s="188">
        <v>40727.511889136003</v>
      </c>
      <c r="BA157" s="188">
        <v>46139.193604622997</v>
      </c>
      <c r="BB157" s="189">
        <v>49885.507918980999</v>
      </c>
      <c r="BC157" s="189">
        <v>53935.883987442998</v>
      </c>
      <c r="BD157" s="188">
        <v>50127.293605808998</v>
      </c>
      <c r="BE157" s="188">
        <v>62983.196653787003</v>
      </c>
      <c r="BF157" s="188">
        <v>62370.640318250997</v>
      </c>
      <c r="BG157" s="422">
        <v>59216.899648623999</v>
      </c>
      <c r="BH157" s="422">
        <v>61281.996808126001</v>
      </c>
      <c r="BI157" s="422">
        <v>55834.209834075002</v>
      </c>
      <c r="BJ157" s="422">
        <v>61281.996808126001</v>
      </c>
      <c r="BK157" s="422">
        <v>59368.502034167999</v>
      </c>
      <c r="BL157" s="422">
        <v>58644.797853365002</v>
      </c>
      <c r="BM157" s="422">
        <v>60107.878446294999</v>
      </c>
      <c r="BN157" s="422">
        <v>63543.53</v>
      </c>
      <c r="BO157" s="422">
        <v>65869.825037150003</v>
      </c>
      <c r="BP157" s="422">
        <v>66900.039999999994</v>
      </c>
      <c r="BQ157" s="422">
        <v>70218.709730061993</v>
      </c>
      <c r="BR157" s="422">
        <v>72679.224714947006</v>
      </c>
      <c r="BS157" s="422">
        <v>81001.399247768</v>
      </c>
      <c r="BT157" s="422">
        <v>80288.497892066007</v>
      </c>
      <c r="BU157" s="422"/>
      <c r="BV157" s="424"/>
      <c r="BW157" s="424"/>
      <c r="BX157" s="424"/>
      <c r="BY157" s="424"/>
      <c r="BZ157" s="424"/>
      <c r="CA157" s="424"/>
      <c r="CB157" s="424"/>
      <c r="CC157" s="424"/>
      <c r="CD157" s="424"/>
      <c r="CE157" s="424"/>
      <c r="CF157" s="424"/>
      <c r="CG157" s="424"/>
      <c r="CH157" s="424"/>
      <c r="CI157" s="424"/>
      <c r="CJ157" s="424"/>
      <c r="CK157" s="424"/>
      <c r="CL157" s="424"/>
      <c r="CM157" s="424"/>
      <c r="CN157" s="424"/>
      <c r="CO157" s="424"/>
      <c r="CP157" s="424"/>
      <c r="CQ157" s="424"/>
      <c r="CR157" s="424"/>
      <c r="CS157" s="424"/>
      <c r="CT157" s="424"/>
      <c r="CU157" s="424"/>
      <c r="CV157" s="424"/>
      <c r="CW157" s="424"/>
      <c r="CX157" s="424"/>
      <c r="CY157" s="424"/>
      <c r="CZ157" s="424"/>
      <c r="DA157" s="424"/>
      <c r="DB157" s="424"/>
      <c r="DC157" s="424"/>
      <c r="DD157" s="424"/>
      <c r="DE157" s="424"/>
      <c r="DF157" s="424"/>
      <c r="DG157" s="424"/>
      <c r="DH157" s="424"/>
      <c r="DI157" s="424"/>
      <c r="DJ157" s="424"/>
      <c r="DK157" s="424"/>
      <c r="DL157" s="424"/>
      <c r="DM157" s="424"/>
      <c r="DN157" s="424"/>
      <c r="DO157" s="424"/>
      <c r="DP157" s="424"/>
      <c r="DQ157" s="424"/>
      <c r="DR157" s="424"/>
      <c r="DS157" s="497"/>
      <c r="DT157" s="423" t="str">
        <f t="shared" si="94"/>
        <v/>
      </c>
      <c r="DU157" s="423" t="str">
        <f t="shared" si="94"/>
        <v/>
      </c>
      <c r="DV157" s="423" t="str">
        <f t="shared" si="93"/>
        <v/>
      </c>
      <c r="DW157" s="423" t="str">
        <f t="shared" si="93"/>
        <v/>
      </c>
      <c r="DX157" s="423" t="str">
        <f t="shared" si="93"/>
        <v/>
      </c>
      <c r="DY157" s="423" t="str">
        <f t="shared" si="93"/>
        <v/>
      </c>
      <c r="DZ157" s="423" t="str">
        <f t="shared" si="93"/>
        <v/>
      </c>
      <c r="EA157" s="423" t="str">
        <f t="shared" si="93"/>
        <v/>
      </c>
      <c r="EB157" s="423" t="str">
        <f t="shared" si="93"/>
        <v/>
      </c>
      <c r="EC157" s="423" t="str">
        <f t="shared" si="93"/>
        <v/>
      </c>
      <c r="ED157" s="423" t="str">
        <f t="shared" si="93"/>
        <v/>
      </c>
      <c r="EE157" s="423" t="str">
        <f t="shared" si="93"/>
        <v/>
      </c>
      <c r="EF157" s="423" t="str">
        <f t="shared" si="93"/>
        <v/>
      </c>
      <c r="EG157" s="423" t="str">
        <f t="shared" si="93"/>
        <v/>
      </c>
      <c r="EH157" s="423" t="str">
        <f t="shared" si="93"/>
        <v/>
      </c>
      <c r="EI157" s="423" t="str">
        <f t="shared" si="93"/>
        <v/>
      </c>
      <c r="EJ157" s="423" t="str">
        <f t="shared" si="92"/>
        <v/>
      </c>
      <c r="EK157" s="423" t="str">
        <f t="shared" si="91"/>
        <v/>
      </c>
      <c r="EL157" s="423" t="str">
        <f t="shared" si="91"/>
        <v/>
      </c>
      <c r="EM157" s="423" t="str">
        <f t="shared" si="91"/>
        <v/>
      </c>
      <c r="EN157" s="423">
        <f t="shared" si="91"/>
        <v>0.75615187762193536</v>
      </c>
      <c r="EO157" s="423">
        <f t="shared" si="91"/>
        <v>0.80007898228225738</v>
      </c>
      <c r="EP157" s="423">
        <f t="shared" si="91"/>
        <v>0.69015424515992141</v>
      </c>
      <c r="EQ157" s="423">
        <f t="shared" si="91"/>
        <v>1.1324733854515667</v>
      </c>
      <c r="ER157" s="423">
        <f t="shared" si="91"/>
        <v>1.1727873040344723</v>
      </c>
      <c r="ES157" s="423">
        <f t="shared" si="91"/>
        <v>0.987616399786021</v>
      </c>
      <c r="ET157" s="423">
        <f t="shared" si="91"/>
        <v>1.1139571320715764</v>
      </c>
      <c r="EU157" s="423">
        <f t="shared" si="91"/>
        <v>1.0378435458315836</v>
      </c>
      <c r="EV157" s="423">
        <f t="shared" si="95"/>
        <v>0.77119293757024998</v>
      </c>
      <c r="EW157" s="423">
        <f t="shared" si="95"/>
        <v>0.83261008696200434</v>
      </c>
      <c r="EX157" s="423">
        <f t="shared" si="95"/>
        <v>0.63442934629944259</v>
      </c>
      <c r="EY157" s="423">
        <f t="shared" si="95"/>
        <v>0.54077249367406122</v>
      </c>
      <c r="EZ157" s="423">
        <f t="shared" si="95"/>
        <v>0.67705735350581042</v>
      </c>
      <c r="FA157" s="423">
        <f t="shared" si="95"/>
        <v>0.66150233905899869</v>
      </c>
      <c r="FB157" s="423">
        <f t="shared" si="95"/>
        <v>0.53593517556306058</v>
      </c>
      <c r="FC157" s="423">
        <f t="shared" si="95"/>
        <v>0.23348876578737765</v>
      </c>
      <c r="FD157" s="423">
        <f t="shared" si="95"/>
        <v>0.28514843681899582</v>
      </c>
      <c r="FE157" s="423">
        <f t="shared" si="95"/>
        <v>0.34606436834367726</v>
      </c>
      <c r="FF157" s="423">
        <f t="shared" si="95"/>
        <v>0.26645474775666278</v>
      </c>
      <c r="FG157" s="423">
        <f t="shared" si="95"/>
        <v>0.48215841655853842</v>
      </c>
      <c r="FH157" s="423">
        <f t="shared" si="83"/>
        <v>0.21262008327833604</v>
      </c>
      <c r="FI157" s="423">
        <f t="shared" si="84"/>
        <v>0.17027937866177933</v>
      </c>
      <c r="FJ157" s="423">
        <f t="shared" si="85"/>
        <v>0.2588325341459532</v>
      </c>
      <c r="FK157" s="423">
        <f t="shared" si="85"/>
        <v>0.10624071902232024</v>
      </c>
    </row>
    <row r="158" spans="1:167">
      <c r="B158" s="140"/>
      <c r="AS158" s="288"/>
      <c r="AT158" s="288"/>
      <c r="AU158" s="288"/>
      <c r="AV158" s="288"/>
      <c r="AW158" s="288"/>
      <c r="AX158" s="288"/>
      <c r="AY158" s="288"/>
      <c r="AZ158" s="288"/>
      <c r="BA158" s="288"/>
      <c r="BB158" s="288"/>
      <c r="BC158" s="288"/>
      <c r="BD158" s="288"/>
      <c r="BE158" s="288"/>
      <c r="BF158" s="288"/>
      <c r="BG158" s="288"/>
      <c r="BH158" s="288"/>
      <c r="BI158" s="288"/>
    </row>
    <row r="159" spans="1:167" ht="16">
      <c r="A159" s="178">
        <v>3</v>
      </c>
      <c r="B159" s="130" t="s">
        <v>989</v>
      </c>
      <c r="C159" s="150" t="s">
        <v>990</v>
      </c>
      <c r="D159" s="150"/>
      <c r="E159" s="150"/>
      <c r="F159" s="150"/>
      <c r="G159" s="150"/>
      <c r="H159" s="150"/>
      <c r="I159" s="150"/>
      <c r="J159" s="149" t="s">
        <v>1200</v>
      </c>
      <c r="K159" s="149" t="s">
        <v>1204</v>
      </c>
      <c r="L159" s="149" t="s">
        <v>1205</v>
      </c>
      <c r="M159" s="149" t="s">
        <v>1206</v>
      </c>
      <c r="N159" s="149" t="s">
        <v>1208</v>
      </c>
      <c r="O159" s="149" t="s">
        <v>1209</v>
      </c>
      <c r="P159" s="149" t="s">
        <v>1210</v>
      </c>
      <c r="Q159" s="149" t="s">
        <v>1211</v>
      </c>
      <c r="R159" s="149" t="s">
        <v>1212</v>
      </c>
      <c r="S159" s="149" t="s">
        <v>1213</v>
      </c>
      <c r="T159" s="149" t="s">
        <v>1214</v>
      </c>
      <c r="U159" s="149" t="s">
        <v>1215</v>
      </c>
      <c r="V159" s="149" t="s">
        <v>1216</v>
      </c>
      <c r="W159" s="149" t="s">
        <v>1217</v>
      </c>
      <c r="X159" s="149" t="s">
        <v>1218</v>
      </c>
      <c r="Y159" s="149" t="s">
        <v>1219</v>
      </c>
      <c r="Z159" s="149" t="s">
        <v>1220</v>
      </c>
      <c r="AA159" s="149" t="s">
        <v>1221</v>
      </c>
      <c r="AB159" s="149" t="s">
        <v>1222</v>
      </c>
      <c r="AC159" s="149" t="s">
        <v>1223</v>
      </c>
      <c r="AD159" s="149" t="s">
        <v>1224</v>
      </c>
      <c r="AE159" s="149" t="s">
        <v>1225</v>
      </c>
      <c r="AF159" s="149" t="s">
        <v>1226</v>
      </c>
      <c r="AG159" s="149" t="s">
        <v>1227</v>
      </c>
      <c r="AH159" s="149" t="s">
        <v>1228</v>
      </c>
      <c r="AI159" s="149" t="s">
        <v>1229</v>
      </c>
      <c r="AJ159" s="149" t="s">
        <v>1230</v>
      </c>
      <c r="AK159" s="149" t="s">
        <v>1231</v>
      </c>
      <c r="AL159" s="149" t="s">
        <v>1232</v>
      </c>
      <c r="AM159" s="149" t="s">
        <v>1233</v>
      </c>
      <c r="AN159" s="149" t="s">
        <v>1234</v>
      </c>
      <c r="AO159" s="149" t="s">
        <v>1235</v>
      </c>
      <c r="AP159" s="149" t="s">
        <v>75</v>
      </c>
      <c r="AQ159" s="149" t="s">
        <v>76</v>
      </c>
      <c r="AR159" s="149" t="s">
        <v>77</v>
      </c>
      <c r="AS159" s="291" t="s">
        <v>78</v>
      </c>
      <c r="AT159" s="291" t="s">
        <v>79</v>
      </c>
      <c r="AU159" s="291" t="s">
        <v>80</v>
      </c>
      <c r="AV159" s="291" t="s">
        <v>81</v>
      </c>
      <c r="AW159" s="291" t="str">
        <f>AW1</f>
        <v>Q4/2019</v>
      </c>
      <c r="AX159" s="291" t="str">
        <f>AX1</f>
        <v>Q1/2020</v>
      </c>
      <c r="AY159" s="291" t="str">
        <f>AY1</f>
        <v>Q2/2020</v>
      </c>
      <c r="AZ159" s="291" t="str">
        <f>AZ1</f>
        <v>Q3/2020</v>
      </c>
      <c r="BA159" s="291" t="str">
        <f>BA1</f>
        <v>Q4/2020</v>
      </c>
      <c r="BB159" s="291"/>
      <c r="BC159" s="291"/>
      <c r="BD159" s="291"/>
      <c r="BE159" s="291"/>
      <c r="BF159" s="288"/>
      <c r="BG159" s="288"/>
      <c r="BH159" s="288"/>
      <c r="BI159" s="288"/>
    </row>
    <row r="160" spans="1:167" s="136" customFormat="1">
      <c r="B160" s="154" t="s">
        <v>991</v>
      </c>
      <c r="C160" s="134" t="s">
        <v>992</v>
      </c>
      <c r="D160" s="134"/>
      <c r="E160" s="134"/>
      <c r="F160" s="134"/>
      <c r="G160" s="134"/>
      <c r="H160" s="134"/>
      <c r="I160" s="134"/>
      <c r="J160" s="135"/>
      <c r="K160" s="135"/>
      <c r="L160" s="135"/>
      <c r="M160" s="135"/>
      <c r="N160" s="135"/>
      <c r="O160" s="135"/>
      <c r="P160" s="135"/>
      <c r="Q160" s="135"/>
      <c r="R160" s="135"/>
      <c r="S160" s="135"/>
      <c r="T160" s="135"/>
      <c r="U160" s="135"/>
      <c r="V160" s="135"/>
      <c r="W160" s="135"/>
      <c r="X160" s="135"/>
      <c r="Y160" s="135"/>
      <c r="Z160" s="135">
        <v>215.39538800700001</v>
      </c>
      <c r="AA160" s="135">
        <v>184.86842556900001</v>
      </c>
      <c r="AB160" s="135">
        <v>227.28784418699999</v>
      </c>
      <c r="AC160" s="135">
        <v>240.64578533100001</v>
      </c>
      <c r="AD160" s="135">
        <v>300.12697251200001</v>
      </c>
      <c r="AE160" s="135">
        <v>286.83640138800001</v>
      </c>
      <c r="AF160" s="135">
        <v>371.03433424000002</v>
      </c>
      <c r="AG160" s="135">
        <v>427.78607955400003</v>
      </c>
      <c r="AH160" s="135">
        <v>524.92708988699997</v>
      </c>
      <c r="AI160" s="135">
        <v>525.31273008699998</v>
      </c>
      <c r="AJ160" s="135">
        <v>498.68242204900002</v>
      </c>
      <c r="AK160" s="135">
        <v>456.98827290000003</v>
      </c>
      <c r="AL160" s="135">
        <v>705.60855195199997</v>
      </c>
      <c r="AM160" s="135">
        <v>650.41016213099999</v>
      </c>
      <c r="AN160" s="135">
        <v>719.25070334999998</v>
      </c>
      <c r="AO160" s="135">
        <v>734.04261521299998</v>
      </c>
      <c r="AP160" s="135">
        <v>1042.9850276279999</v>
      </c>
      <c r="AQ160" s="135">
        <v>968.24297201800005</v>
      </c>
      <c r="AR160" s="135">
        <v>856.15248125799997</v>
      </c>
      <c r="AS160" s="155">
        <v>918.93808801499995</v>
      </c>
      <c r="AT160" s="155">
        <v>1341.1581542890001</v>
      </c>
      <c r="AU160" s="155">
        <v>1395.6172777710001</v>
      </c>
      <c r="AV160" s="155">
        <v>1137.1023158850001</v>
      </c>
      <c r="AW160" s="155">
        <v>1179.569456751</v>
      </c>
      <c r="AX160" s="155">
        <v>1544.0613457019999</v>
      </c>
      <c r="AY160" s="155">
        <v>1253.662361959</v>
      </c>
      <c r="AZ160" s="155">
        <v>1278.2799294680001</v>
      </c>
      <c r="BA160" s="155">
        <v>1333.731770224</v>
      </c>
      <c r="BB160" s="155">
        <v>1827.568934141</v>
      </c>
      <c r="BC160" s="155">
        <v>1625.9705259679999</v>
      </c>
      <c r="BD160" s="155">
        <v>968.13116075300002</v>
      </c>
      <c r="BE160" s="155">
        <v>2049.9131296810001</v>
      </c>
      <c r="BF160" s="155">
        <v>2002.993629475</v>
      </c>
      <c r="BG160" s="155">
        <v>1702.1433241530001</v>
      </c>
      <c r="BH160" s="155">
        <v>1417.840145809</v>
      </c>
      <c r="BI160" s="155">
        <v>933.378274121</v>
      </c>
      <c r="BJ160" s="155">
        <v>158.96658166099999</v>
      </c>
      <c r="BK160" s="155">
        <v>129.784475802</v>
      </c>
      <c r="BL160" s="136">
        <v>182.016087121</v>
      </c>
      <c r="BM160" s="136">
        <v>218.92522331200001</v>
      </c>
      <c r="BN160" s="135">
        <v>1206.2</v>
      </c>
      <c r="BO160" s="155">
        <v>1516.0430932920001</v>
      </c>
      <c r="BP160" s="155">
        <v>1068.05</v>
      </c>
      <c r="BQ160" s="155">
        <v>1035.4712539980001</v>
      </c>
      <c r="BR160" s="155">
        <v>1934.6613872200001</v>
      </c>
      <c r="BS160" s="155">
        <v>2028.2047553760001</v>
      </c>
      <c r="BT160" s="155">
        <v>2172.351166079</v>
      </c>
      <c r="BU160" s="155"/>
    </row>
    <row r="161" spans="2:76" s="296" customFormat="1">
      <c r="B161" s="292" t="s">
        <v>993</v>
      </c>
      <c r="C161" s="293" t="s">
        <v>994</v>
      </c>
      <c r="D161" s="293"/>
      <c r="E161" s="293"/>
      <c r="F161" s="293"/>
      <c r="G161" s="293"/>
      <c r="H161" s="293"/>
      <c r="I161" s="293"/>
      <c r="J161" s="294"/>
      <c r="K161" s="294"/>
      <c r="L161" s="294"/>
      <c r="M161" s="294"/>
      <c r="N161" s="294"/>
      <c r="O161" s="294"/>
      <c r="P161" s="294"/>
      <c r="Q161" s="294"/>
      <c r="R161" s="294"/>
      <c r="S161" s="294"/>
      <c r="T161" s="294"/>
      <c r="U161" s="294"/>
      <c r="V161" s="294"/>
      <c r="W161" s="294"/>
      <c r="X161" s="294"/>
      <c r="Y161" s="294"/>
      <c r="Z161" s="294">
        <v>22.434770637</v>
      </c>
      <c r="AA161" s="294">
        <v>28.616983152</v>
      </c>
      <c r="AB161" s="294">
        <v>30.524158805999999</v>
      </c>
      <c r="AC161" s="294">
        <v>34.812537560999999</v>
      </c>
      <c r="AD161" s="294">
        <v>38.889780917000003</v>
      </c>
      <c r="AE161" s="294">
        <v>45.364594791000002</v>
      </c>
      <c r="AF161" s="294">
        <v>51.579539955000001</v>
      </c>
      <c r="AG161" s="294">
        <v>61.222096161000003</v>
      </c>
      <c r="AH161" s="294">
        <v>70.010742956000001</v>
      </c>
      <c r="AI161" s="294">
        <v>82.427538987999995</v>
      </c>
      <c r="AJ161" s="294">
        <v>106.416842786</v>
      </c>
      <c r="AK161" s="294">
        <v>110.69251157799999</v>
      </c>
      <c r="AL161" s="294">
        <v>143.02494904700001</v>
      </c>
      <c r="AM161" s="294">
        <v>158.01873921200001</v>
      </c>
      <c r="AN161" s="294">
        <v>179.416362892</v>
      </c>
      <c r="AO161" s="294">
        <v>209.253657481</v>
      </c>
      <c r="AP161" s="294">
        <v>275.19569600599999</v>
      </c>
      <c r="AQ161" s="294">
        <v>288.37529260100001</v>
      </c>
      <c r="AR161" s="294">
        <v>322.21817756399997</v>
      </c>
      <c r="AS161" s="295">
        <v>337.080211991</v>
      </c>
      <c r="AT161" s="295">
        <v>311.44202938000001</v>
      </c>
      <c r="AU161" s="295">
        <v>327.18293036799997</v>
      </c>
      <c r="AV161" s="295">
        <v>368.93608641700001</v>
      </c>
      <c r="AW161" s="295">
        <v>435.26589278900002</v>
      </c>
      <c r="AX161" s="295">
        <v>470.79241999999999</v>
      </c>
      <c r="AY161" s="295">
        <v>513.38884257999996</v>
      </c>
      <c r="AZ161" s="295">
        <v>602.42694325499997</v>
      </c>
      <c r="BA161" s="295">
        <v>608.97486519999995</v>
      </c>
      <c r="BB161" s="295">
        <v>656.01939727199999</v>
      </c>
      <c r="BC161" s="295">
        <v>719.00372970900003</v>
      </c>
      <c r="BD161" s="295">
        <v>748.163282149</v>
      </c>
      <c r="BE161" s="295">
        <v>797.52719927999999</v>
      </c>
      <c r="BF161" s="295">
        <v>857.82523033300004</v>
      </c>
      <c r="BG161" s="295">
        <v>861.86046780000004</v>
      </c>
      <c r="BH161" s="295">
        <v>866.07677311999998</v>
      </c>
      <c r="BI161" s="295">
        <v>996.662347576</v>
      </c>
      <c r="BJ161" s="295">
        <v>876.11056511899994</v>
      </c>
      <c r="BK161" s="295">
        <v>841.37811462900004</v>
      </c>
      <c r="BL161" s="296">
        <v>1006.840609129</v>
      </c>
      <c r="BM161" s="296">
        <v>701.82929787700004</v>
      </c>
      <c r="BN161" s="296">
        <v>719.23</v>
      </c>
      <c r="BO161" s="295">
        <v>678.48570584699996</v>
      </c>
      <c r="BP161" s="295">
        <v>709.54</v>
      </c>
      <c r="BQ161" s="295">
        <v>806.16394258800005</v>
      </c>
      <c r="BR161" s="295">
        <v>508.91946675000003</v>
      </c>
      <c r="BS161" s="295">
        <v>489.299387395</v>
      </c>
      <c r="BT161" s="295">
        <v>459.32140115999999</v>
      </c>
      <c r="BU161" s="295"/>
      <c r="BW161" s="2036">
        <f>BN161-BR161</f>
        <v>210.31053324999999</v>
      </c>
      <c r="BX161" s="2036">
        <f>BO161-BS161</f>
        <v>189.18631845199997</v>
      </c>
    </row>
    <row r="162" spans="2:76">
      <c r="B162" s="140" t="s">
        <v>995</v>
      </c>
      <c r="C162" s="127" t="s">
        <v>996</v>
      </c>
      <c r="D162" s="127"/>
      <c r="E162" s="127"/>
      <c r="F162" s="127"/>
      <c r="G162" s="127"/>
      <c r="H162" s="127"/>
      <c r="I162" s="127"/>
      <c r="J162" s="128"/>
      <c r="K162" s="128"/>
      <c r="L162" s="128"/>
      <c r="M162" s="128"/>
      <c r="N162" s="128"/>
      <c r="O162" s="128"/>
      <c r="P162" s="128"/>
      <c r="Q162" s="128"/>
      <c r="R162" s="128"/>
      <c r="S162" s="128"/>
      <c r="T162" s="128"/>
      <c r="U162" s="128"/>
      <c r="V162" s="128"/>
      <c r="W162" s="128"/>
      <c r="X162" s="128"/>
      <c r="Y162" s="128"/>
      <c r="Z162" s="128">
        <v>0</v>
      </c>
      <c r="AA162" s="128">
        <v>0</v>
      </c>
      <c r="AB162" s="128">
        <v>0</v>
      </c>
      <c r="AC162" s="128">
        <v>0</v>
      </c>
      <c r="AD162" s="128">
        <v>0</v>
      </c>
      <c r="AE162" s="128">
        <v>0</v>
      </c>
      <c r="AF162" s="128">
        <v>0</v>
      </c>
      <c r="AG162" s="128">
        <v>0</v>
      </c>
      <c r="AH162" s="128">
        <v>0</v>
      </c>
      <c r="AI162" s="128">
        <v>0</v>
      </c>
      <c r="AJ162" s="128">
        <v>0</v>
      </c>
      <c r="AK162" s="128">
        <v>0</v>
      </c>
      <c r="AL162" s="128">
        <v>0</v>
      </c>
      <c r="AM162" s="128">
        <v>0</v>
      </c>
      <c r="AN162" s="128">
        <v>0</v>
      </c>
      <c r="AO162" s="128">
        <v>0</v>
      </c>
      <c r="AP162" s="128">
        <v>0</v>
      </c>
      <c r="AQ162" s="128">
        <v>0</v>
      </c>
      <c r="AR162" s="128">
        <v>0</v>
      </c>
      <c r="AS162" s="288">
        <v>0</v>
      </c>
      <c r="AT162" s="288">
        <v>0</v>
      </c>
      <c r="AU162" s="288">
        <v>0</v>
      </c>
      <c r="AV162" s="288">
        <v>0</v>
      </c>
      <c r="AW162" s="158">
        <v>0</v>
      </c>
      <c r="AX162" s="158">
        <v>0</v>
      </c>
      <c r="AY162" s="158">
        <v>0</v>
      </c>
      <c r="AZ162" s="158">
        <v>0</v>
      </c>
      <c r="BA162" s="158">
        <v>0</v>
      </c>
      <c r="BB162" s="158">
        <v>0</v>
      </c>
      <c r="BC162" s="158">
        <v>0</v>
      </c>
      <c r="BD162" s="158">
        <v>0</v>
      </c>
      <c r="BE162" s="158">
        <v>0</v>
      </c>
      <c r="BF162" s="288">
        <v>0</v>
      </c>
      <c r="BG162" s="288">
        <v>0</v>
      </c>
      <c r="BH162" s="288">
        <v>0</v>
      </c>
      <c r="BI162" s="288">
        <v>0</v>
      </c>
      <c r="BJ162" s="288">
        <v>0</v>
      </c>
      <c r="BK162" s="288">
        <v>0</v>
      </c>
      <c r="BL162" s="129">
        <v>0</v>
      </c>
      <c r="BM162" s="129">
        <v>0</v>
      </c>
      <c r="BN162" s="129">
        <v>0</v>
      </c>
      <c r="BO162" s="288">
        <v>0</v>
      </c>
      <c r="BP162" s="288">
        <v>0</v>
      </c>
      <c r="BQ162" s="288">
        <v>0</v>
      </c>
      <c r="BR162" s="288">
        <v>0</v>
      </c>
      <c r="BS162" s="288">
        <v>0</v>
      </c>
      <c r="BT162" s="288">
        <v>0</v>
      </c>
    </row>
    <row r="163" spans="2:76">
      <c r="B163" s="140" t="s">
        <v>574</v>
      </c>
      <c r="C163" s="127" t="s">
        <v>997</v>
      </c>
      <c r="D163" s="127"/>
      <c r="E163" s="127"/>
      <c r="F163" s="127"/>
      <c r="G163" s="127"/>
      <c r="H163" s="127"/>
      <c r="I163" s="127"/>
      <c r="J163" s="128"/>
      <c r="K163" s="128"/>
      <c r="L163" s="128"/>
      <c r="M163" s="128"/>
      <c r="N163" s="128"/>
      <c r="O163" s="128"/>
      <c r="P163" s="128"/>
      <c r="Q163" s="128"/>
      <c r="R163" s="128"/>
      <c r="S163" s="128"/>
      <c r="T163" s="128"/>
      <c r="U163" s="128"/>
      <c r="V163" s="128"/>
      <c r="W163" s="128"/>
      <c r="X163" s="128"/>
      <c r="Y163" s="128"/>
      <c r="Z163" s="128">
        <v>18.183605591999999</v>
      </c>
      <c r="AA163" s="128">
        <v>16.650817658000001</v>
      </c>
      <c r="AB163" s="128">
        <v>4.252431584</v>
      </c>
      <c r="AC163" s="128">
        <v>11.232788959000001</v>
      </c>
      <c r="AD163" s="128">
        <v>-5.7422991699999999</v>
      </c>
      <c r="AE163" s="128">
        <v>0.79167226800000001</v>
      </c>
      <c r="AF163" s="128">
        <v>29.881855487999999</v>
      </c>
      <c r="AG163" s="128">
        <v>7.2562272329999997</v>
      </c>
      <c r="AH163" s="128">
        <v>13.564588625000001</v>
      </c>
      <c r="AI163" s="128">
        <v>9.5011588650000007</v>
      </c>
      <c r="AJ163" s="128">
        <v>15.518707434</v>
      </c>
      <c r="AK163" s="128">
        <v>39.847036334000002</v>
      </c>
      <c r="AL163" s="128">
        <v>19.861343303000002</v>
      </c>
      <c r="AM163" s="128">
        <v>30.479606314000002</v>
      </c>
      <c r="AN163" s="128">
        <v>11.291372340000001</v>
      </c>
      <c r="AO163" s="128">
        <v>64.336720640999999</v>
      </c>
      <c r="AP163" s="128">
        <v>61.484098224</v>
      </c>
      <c r="AQ163" s="128">
        <v>48.212881818</v>
      </c>
      <c r="AR163" s="128">
        <v>0.22786231400000001</v>
      </c>
      <c r="AS163" s="288">
        <v>16.158784472000001</v>
      </c>
      <c r="AT163" s="288">
        <v>-29.101181144000002</v>
      </c>
      <c r="AU163" s="288">
        <v>-9.8347121120000001</v>
      </c>
      <c r="AV163" s="288">
        <v>70.472606720000002</v>
      </c>
      <c r="AW163" s="158">
        <v>58.959068741999999</v>
      </c>
      <c r="AX163" s="158">
        <v>58.133757746000001</v>
      </c>
      <c r="AY163" s="158">
        <v>42.029188132999998</v>
      </c>
      <c r="AZ163" s="158">
        <v>-57.679001190999998</v>
      </c>
      <c r="BA163" s="158">
        <v>15.882714697999999</v>
      </c>
      <c r="BB163" s="158">
        <v>-51.469404286</v>
      </c>
      <c r="BC163" s="158">
        <v>-20.334657221000001</v>
      </c>
      <c r="BD163" s="158">
        <v>204.47783499499999</v>
      </c>
      <c r="BE163" s="158">
        <v>46.876943689000001</v>
      </c>
      <c r="BF163" s="288">
        <v>-33.144177010999996</v>
      </c>
      <c r="BG163" s="288">
        <v>-146.18915745000001</v>
      </c>
      <c r="BH163" s="288">
        <v>-92.845447931999999</v>
      </c>
      <c r="BI163" s="288">
        <v>-49.620584491000002</v>
      </c>
      <c r="BJ163" s="288">
        <v>-52.001853087999997</v>
      </c>
      <c r="BK163" s="288">
        <v>-37.738373011999997</v>
      </c>
      <c r="BL163" s="129">
        <v>-55.178311258000001</v>
      </c>
      <c r="BM163" s="129">
        <v>-21.011530774000001</v>
      </c>
      <c r="BN163" s="129">
        <v>62.88</v>
      </c>
      <c r="BO163" s="288">
        <v>10.720119997999999</v>
      </c>
      <c r="BP163" s="288">
        <v>80.430000000000007</v>
      </c>
      <c r="BQ163" s="288">
        <v>66.918985372999998</v>
      </c>
      <c r="BR163" s="288">
        <v>11.990839619000001</v>
      </c>
      <c r="BS163" s="288">
        <v>13.861998805000001</v>
      </c>
      <c r="BT163" s="288">
        <v>102.781600012</v>
      </c>
    </row>
    <row r="164" spans="2:76">
      <c r="B164" s="140" t="s">
        <v>998</v>
      </c>
      <c r="C164" s="127" t="s">
        <v>999</v>
      </c>
      <c r="D164" s="127"/>
      <c r="E164" s="127"/>
      <c r="F164" s="127"/>
      <c r="G164" s="127"/>
      <c r="H164" s="127"/>
      <c r="I164" s="127"/>
      <c r="J164" s="128"/>
      <c r="K164" s="128"/>
      <c r="L164" s="128"/>
      <c r="M164" s="128"/>
      <c r="N164" s="128"/>
      <c r="O164" s="128"/>
      <c r="P164" s="128"/>
      <c r="Q164" s="128"/>
      <c r="R164" s="128"/>
      <c r="S164" s="128"/>
      <c r="T164" s="128"/>
      <c r="U164" s="128"/>
      <c r="V164" s="128"/>
      <c r="W164" s="128"/>
      <c r="X164" s="128"/>
      <c r="Y164" s="128"/>
      <c r="Z164" s="128">
        <v>0</v>
      </c>
      <c r="AA164" s="128">
        <v>0</v>
      </c>
      <c r="AB164" s="128">
        <v>0</v>
      </c>
      <c r="AC164" s="128">
        <v>0</v>
      </c>
      <c r="AD164" s="128">
        <v>-0.44533622899999997</v>
      </c>
      <c r="AE164" s="128">
        <v>0.57395002399999995</v>
      </c>
      <c r="AF164" s="128">
        <v>0.118338447</v>
      </c>
      <c r="AG164" s="128">
        <v>-0.38586872900000002</v>
      </c>
      <c r="AH164" s="128">
        <v>-0.91168817800000002</v>
      </c>
      <c r="AI164" s="128">
        <v>0.84311409900000001</v>
      </c>
      <c r="AJ164" s="128">
        <v>5.2608698000000002E-2</v>
      </c>
      <c r="AK164" s="128">
        <v>-7.5417199000000004E-2</v>
      </c>
      <c r="AL164" s="128">
        <v>-3.9194284000000003E-2</v>
      </c>
      <c r="AM164" s="128">
        <v>0</v>
      </c>
      <c r="AN164" s="128">
        <v>0.46082674600000001</v>
      </c>
      <c r="AO164" s="128">
        <v>0.63416890699999995</v>
      </c>
      <c r="AP164" s="128">
        <v>3.1237877959999998</v>
      </c>
      <c r="AQ164" s="128">
        <v>-0.296246332</v>
      </c>
      <c r="AR164" s="128">
        <v>-2.8516092739999999</v>
      </c>
      <c r="AS164" s="288">
        <v>-8.2991495999999998E-2</v>
      </c>
      <c r="AT164" s="288">
        <v>-8.7299999999999997E-4</v>
      </c>
      <c r="AU164" s="288">
        <v>2.7741344000000001E-2</v>
      </c>
      <c r="AV164" s="288">
        <v>-0.12012698199999999</v>
      </c>
      <c r="AW164" s="158">
        <v>6.6098273999999999E-2</v>
      </c>
      <c r="AX164" s="158">
        <v>-5.8611559000000001E-2</v>
      </c>
      <c r="AY164" s="158">
        <v>4.7726029000000003E-2</v>
      </c>
      <c r="AZ164" s="158">
        <v>-4.3016249999999999E-3</v>
      </c>
      <c r="BA164" s="158">
        <v>-2.1687423000000001E-2</v>
      </c>
      <c r="BB164" s="158">
        <v>-5.8647007000000001E-2</v>
      </c>
      <c r="BC164" s="158">
        <v>5.598581E-3</v>
      </c>
      <c r="BD164" s="158">
        <v>-0.87483272999999995</v>
      </c>
      <c r="BE164" s="158">
        <v>0.78122716199999997</v>
      </c>
      <c r="BF164" s="288">
        <v>-1.15783064</v>
      </c>
      <c r="BG164" s="288">
        <v>1.0147868799999999</v>
      </c>
      <c r="BH164" s="288">
        <v>-0.30048555300000002</v>
      </c>
      <c r="BI164" s="288">
        <v>0.72790372699999994</v>
      </c>
      <c r="BJ164" s="288">
        <v>-5.3356364000000003E-2</v>
      </c>
      <c r="BK164" s="288">
        <v>-1.8416895639999999</v>
      </c>
      <c r="BL164" s="129">
        <v>-0.26699669999999998</v>
      </c>
      <c r="BM164" s="129">
        <v>85.79331483</v>
      </c>
      <c r="BN164" s="129">
        <v>101.84</v>
      </c>
      <c r="BO164" s="288">
        <v>44.786364808999998</v>
      </c>
      <c r="BP164" s="288">
        <v>20.09</v>
      </c>
      <c r="BQ164" s="288">
        <v>-140.82937131700001</v>
      </c>
      <c r="BR164" s="288">
        <v>10.00696439</v>
      </c>
      <c r="BS164" s="288">
        <v>20.285050148</v>
      </c>
      <c r="BT164" s="288">
        <v>17.804103606000002</v>
      </c>
    </row>
    <row r="165" spans="2:76">
      <c r="B165" s="140" t="s">
        <v>1000</v>
      </c>
      <c r="C165" s="127" t="s">
        <v>1001</v>
      </c>
      <c r="D165" s="127"/>
      <c r="E165" s="127"/>
      <c r="F165" s="127"/>
      <c r="G165" s="127"/>
      <c r="H165" s="127"/>
      <c r="I165" s="127"/>
      <c r="J165" s="128"/>
      <c r="K165" s="128"/>
      <c r="L165" s="128"/>
      <c r="M165" s="128"/>
      <c r="N165" s="128"/>
      <c r="O165" s="128"/>
      <c r="P165" s="128"/>
      <c r="Q165" s="128"/>
      <c r="R165" s="128"/>
      <c r="S165" s="128"/>
      <c r="T165" s="128"/>
      <c r="U165" s="128"/>
      <c r="V165" s="128"/>
      <c r="W165" s="128"/>
      <c r="X165" s="128"/>
      <c r="Y165" s="128"/>
      <c r="Z165" s="128">
        <v>0</v>
      </c>
      <c r="AA165" s="128">
        <v>0</v>
      </c>
      <c r="AB165" s="128">
        <v>0</v>
      </c>
      <c r="AC165" s="128">
        <v>0</v>
      </c>
      <c r="AD165" s="128">
        <v>0</v>
      </c>
      <c r="AE165" s="128">
        <v>0</v>
      </c>
      <c r="AF165" s="128">
        <v>0</v>
      </c>
      <c r="AG165" s="128">
        <v>0</v>
      </c>
      <c r="AH165" s="128">
        <v>0</v>
      </c>
      <c r="AI165" s="128">
        <v>0</v>
      </c>
      <c r="AJ165" s="128">
        <v>0</v>
      </c>
      <c r="AK165" s="128">
        <v>0</v>
      </c>
      <c r="AL165" s="128">
        <v>0</v>
      </c>
      <c r="AM165" s="128">
        <v>0</v>
      </c>
      <c r="AN165" s="128">
        <v>0</v>
      </c>
      <c r="AO165" s="128">
        <v>0</v>
      </c>
      <c r="AP165" s="128">
        <v>0</v>
      </c>
      <c r="AQ165" s="128">
        <v>0</v>
      </c>
      <c r="AR165" s="128">
        <v>0</v>
      </c>
      <c r="AS165" s="288">
        <v>0</v>
      </c>
      <c r="AT165" s="288">
        <v>0</v>
      </c>
      <c r="AU165" s="288">
        <v>0</v>
      </c>
      <c r="AV165" s="288">
        <v>0</v>
      </c>
      <c r="AW165" s="158">
        <v>0</v>
      </c>
      <c r="AX165" s="158">
        <v>0</v>
      </c>
      <c r="AY165" s="158">
        <v>0</v>
      </c>
      <c r="AZ165" s="158">
        <v>0</v>
      </c>
      <c r="BA165" s="158">
        <v>0</v>
      </c>
      <c r="BB165" s="158">
        <v>0</v>
      </c>
      <c r="BC165" s="158">
        <v>0</v>
      </c>
      <c r="BD165" s="158">
        <v>0</v>
      </c>
      <c r="BE165" s="158">
        <v>0</v>
      </c>
      <c r="BF165" s="288">
        <v>0</v>
      </c>
      <c r="BG165" s="288">
        <v>0</v>
      </c>
      <c r="BH165" s="288">
        <v>0</v>
      </c>
      <c r="BI165" s="288">
        <v>0</v>
      </c>
      <c r="BJ165" s="288">
        <v>0</v>
      </c>
      <c r="BK165" s="288">
        <v>0</v>
      </c>
      <c r="BL165" s="129">
        <v>0</v>
      </c>
      <c r="BM165" s="129">
        <v>0</v>
      </c>
      <c r="BN165" s="129">
        <v>0</v>
      </c>
      <c r="BO165" s="288">
        <v>0</v>
      </c>
      <c r="BP165" s="288">
        <v>0</v>
      </c>
      <c r="BQ165" s="288">
        <v>0</v>
      </c>
      <c r="BR165" s="288">
        <v>0</v>
      </c>
      <c r="BS165" s="288">
        <v>0</v>
      </c>
      <c r="BT165" s="288">
        <v>0</v>
      </c>
    </row>
    <row r="166" spans="2:76">
      <c r="B166" s="140" t="s">
        <v>1002</v>
      </c>
      <c r="C166" s="127" t="s">
        <v>1003</v>
      </c>
      <c r="D166" s="127"/>
      <c r="E166" s="127"/>
      <c r="F166" s="127"/>
      <c r="G166" s="127"/>
      <c r="H166" s="127"/>
      <c r="I166" s="127"/>
      <c r="J166" s="128"/>
      <c r="K166" s="128"/>
      <c r="L166" s="128"/>
      <c r="M166" s="128"/>
      <c r="N166" s="128"/>
      <c r="O166" s="128"/>
      <c r="P166" s="128"/>
      <c r="Q166" s="128"/>
      <c r="R166" s="128"/>
      <c r="S166" s="128"/>
      <c r="T166" s="128"/>
      <c r="U166" s="128"/>
      <c r="V166" s="128"/>
      <c r="W166" s="128"/>
      <c r="X166" s="128"/>
      <c r="Y166" s="128"/>
      <c r="Z166" s="128">
        <v>-1.629362293</v>
      </c>
      <c r="AA166" s="128">
        <v>-0.92112240400000001</v>
      </c>
      <c r="AB166" s="128">
        <v>-2.2084684700000001</v>
      </c>
      <c r="AC166" s="128">
        <v>-0.162604583</v>
      </c>
      <c r="AD166" s="128">
        <v>-7.4164466999999998E-2</v>
      </c>
      <c r="AE166" s="128">
        <v>-0.25846729099999999</v>
      </c>
      <c r="AF166" s="128">
        <v>-0.24316204599999999</v>
      </c>
      <c r="AG166" s="128">
        <v>-0.280621226</v>
      </c>
      <c r="AH166" s="128">
        <v>-0.37458950800000002</v>
      </c>
      <c r="AI166" s="128">
        <v>-0.378620558</v>
      </c>
      <c r="AJ166" s="128">
        <v>0.99098996800000005</v>
      </c>
      <c r="AK166" s="128">
        <v>-0.26981624599999998</v>
      </c>
      <c r="AL166" s="128">
        <v>-0.23512379</v>
      </c>
      <c r="AM166" s="128">
        <v>-0.52010418800000002</v>
      </c>
      <c r="AN166" s="128">
        <v>-8.5763900409999998</v>
      </c>
      <c r="AO166" s="128">
        <v>-26.005123288</v>
      </c>
      <c r="AP166" s="128">
        <v>-4.4005927979999999</v>
      </c>
      <c r="AQ166" s="128">
        <v>-15.137961548</v>
      </c>
      <c r="AR166" s="128">
        <v>-30.111340869999999</v>
      </c>
      <c r="AS166" s="288">
        <v>-35.207384368</v>
      </c>
      <c r="AT166" s="288">
        <v>-33.578435644999999</v>
      </c>
      <c r="AU166" s="288">
        <v>-66.275899197000001</v>
      </c>
      <c r="AV166" s="288">
        <v>-127.469023114</v>
      </c>
      <c r="AW166" s="158">
        <v>-113.48296947599999</v>
      </c>
      <c r="AX166" s="158">
        <v>-67.26647998</v>
      </c>
      <c r="AY166" s="158">
        <v>-116.041223559</v>
      </c>
      <c r="AZ166" s="158">
        <v>-181.10034672200001</v>
      </c>
      <c r="BA166" s="158">
        <v>-193.21909827499999</v>
      </c>
      <c r="BB166" s="158">
        <v>-206.163553318</v>
      </c>
      <c r="BC166" s="158">
        <v>-231.539753959</v>
      </c>
      <c r="BD166" s="158">
        <v>-242.887862149</v>
      </c>
      <c r="BE166" s="158">
        <v>-278.25136953700002</v>
      </c>
      <c r="BF166" s="288">
        <v>-210.295952505</v>
      </c>
      <c r="BG166" s="288">
        <v>14.10250896</v>
      </c>
      <c r="BH166" s="288">
        <v>-49.640153073</v>
      </c>
      <c r="BI166" s="288">
        <v>-142.99880357800001</v>
      </c>
      <c r="BJ166" s="288">
        <v>-311.89046223399998</v>
      </c>
      <c r="BK166" s="288">
        <v>-486.82934694199997</v>
      </c>
      <c r="BL166" s="129">
        <v>-475.01889450599998</v>
      </c>
      <c r="BM166" s="129">
        <v>-303.25775905099999</v>
      </c>
      <c r="BN166" s="129">
        <v>-519.36</v>
      </c>
      <c r="BO166" s="288">
        <v>-273.15591430900002</v>
      </c>
      <c r="BP166" s="288">
        <v>-283.11</v>
      </c>
      <c r="BQ166" s="288">
        <v>-627.23860234400001</v>
      </c>
      <c r="BR166" s="288">
        <v>-637.70736148200001</v>
      </c>
      <c r="BS166" s="288">
        <v>-826.64889643200002</v>
      </c>
      <c r="BT166" s="288">
        <v>-763.71530930599999</v>
      </c>
    </row>
    <row r="167" spans="2:76">
      <c r="B167" s="140" t="s">
        <v>577</v>
      </c>
      <c r="C167" s="127" t="s">
        <v>1004</v>
      </c>
      <c r="D167" s="127"/>
      <c r="E167" s="127"/>
      <c r="F167" s="127"/>
      <c r="G167" s="127"/>
      <c r="H167" s="127"/>
      <c r="I167" s="127"/>
      <c r="J167" s="128"/>
      <c r="K167" s="128"/>
      <c r="L167" s="128"/>
      <c r="M167" s="128"/>
      <c r="N167" s="128"/>
      <c r="O167" s="128"/>
      <c r="P167" s="128"/>
      <c r="Q167" s="128"/>
      <c r="R167" s="128"/>
      <c r="S167" s="128"/>
      <c r="T167" s="128"/>
      <c r="U167" s="128"/>
      <c r="V167" s="128"/>
      <c r="W167" s="128"/>
      <c r="X167" s="128"/>
      <c r="Y167" s="128"/>
      <c r="Z167" s="128">
        <v>10.419429996</v>
      </c>
      <c r="AA167" s="128">
        <v>0.31320294100000001</v>
      </c>
      <c r="AB167" s="128">
        <v>5.0845742359999999</v>
      </c>
      <c r="AC167" s="128">
        <v>5.4442085880000004</v>
      </c>
      <c r="AD167" s="128">
        <v>12.203517911</v>
      </c>
      <c r="AE167" s="128">
        <v>8.7307371610000004</v>
      </c>
      <c r="AF167" s="128">
        <v>6.1376892559999998</v>
      </c>
      <c r="AG167" s="128">
        <v>11.821907685999999</v>
      </c>
      <c r="AH167" s="128">
        <v>29.818588379000001</v>
      </c>
      <c r="AI167" s="128">
        <v>25.660229081000001</v>
      </c>
      <c r="AJ167" s="128">
        <v>25.006812971999999</v>
      </c>
      <c r="AK167" s="128">
        <v>39.160064874</v>
      </c>
      <c r="AL167" s="128">
        <v>65.386590548000001</v>
      </c>
      <c r="AM167" s="128">
        <v>55.706011072999999</v>
      </c>
      <c r="AN167" s="128">
        <v>45.558103727000002</v>
      </c>
      <c r="AO167" s="128">
        <v>60.704492385000002</v>
      </c>
      <c r="AP167" s="128">
        <v>112.795317948</v>
      </c>
      <c r="AQ167" s="128">
        <v>105.346054241</v>
      </c>
      <c r="AR167" s="128">
        <v>107.492002949</v>
      </c>
      <c r="AS167" s="288">
        <v>110.783202536</v>
      </c>
      <c r="AT167" s="288">
        <v>133.354979214</v>
      </c>
      <c r="AU167" s="288">
        <v>133.75618990999999</v>
      </c>
      <c r="AV167" s="288">
        <v>144.68735394999999</v>
      </c>
      <c r="AW167" s="158">
        <v>156.33819406000001</v>
      </c>
      <c r="AX167" s="158">
        <v>178.228120389</v>
      </c>
      <c r="AY167" s="158">
        <v>136.986550722</v>
      </c>
      <c r="AZ167" s="158">
        <v>132.17734065799999</v>
      </c>
      <c r="BA167" s="158">
        <v>146.611809252</v>
      </c>
      <c r="BB167" s="158">
        <v>152.70697401699999</v>
      </c>
      <c r="BC167" s="158">
        <v>169.881589077</v>
      </c>
      <c r="BD167" s="158">
        <v>163.93269429399999</v>
      </c>
      <c r="BE167" s="158">
        <v>187.425447131</v>
      </c>
      <c r="BF167" s="288">
        <v>200.47373672399999</v>
      </c>
      <c r="BG167" s="288">
        <v>365.962737941</v>
      </c>
      <c r="BH167" s="288">
        <v>434.63715038200002</v>
      </c>
      <c r="BI167" s="288">
        <v>361.07028405599999</v>
      </c>
      <c r="BJ167" s="288">
        <v>295.77872670599999</v>
      </c>
      <c r="BK167" s="288">
        <v>384.52097632599998</v>
      </c>
      <c r="BL167" s="129">
        <v>438.38348766199999</v>
      </c>
      <c r="BM167" s="129">
        <v>329.035164103</v>
      </c>
      <c r="BN167" s="129">
        <v>266.98</v>
      </c>
      <c r="BO167" s="288">
        <v>243.089634104</v>
      </c>
      <c r="BP167" s="288">
        <v>303.7</v>
      </c>
      <c r="BQ167" s="288">
        <v>323.470486929</v>
      </c>
      <c r="BR167" s="288">
        <v>322.79285049999999</v>
      </c>
      <c r="BS167" s="288">
        <v>375.17848203800003</v>
      </c>
      <c r="BT167" s="288">
        <v>388.038374707</v>
      </c>
    </row>
    <row r="168" spans="2:76">
      <c r="B168" s="140" t="s">
        <v>1005</v>
      </c>
      <c r="C168" s="127" t="s">
        <v>1006</v>
      </c>
      <c r="D168" s="127"/>
      <c r="E168" s="127"/>
      <c r="F168" s="127"/>
      <c r="G168" s="127"/>
      <c r="H168" s="127"/>
      <c r="I168" s="127"/>
      <c r="J168" s="128"/>
      <c r="K168" s="128"/>
      <c r="L168" s="128"/>
      <c r="M168" s="128"/>
      <c r="N168" s="128"/>
      <c r="O168" s="128"/>
      <c r="P168" s="128"/>
      <c r="Q168" s="128"/>
      <c r="R168" s="128"/>
      <c r="S168" s="128"/>
      <c r="T168" s="128"/>
      <c r="U168" s="128"/>
      <c r="V168" s="128"/>
      <c r="W168" s="128"/>
      <c r="X168" s="128"/>
      <c r="Y168" s="128"/>
      <c r="Z168" s="128">
        <v>0</v>
      </c>
      <c r="AA168" s="128">
        <v>0</v>
      </c>
      <c r="AB168" s="128">
        <v>0</v>
      </c>
      <c r="AC168" s="128">
        <v>0</v>
      </c>
      <c r="AD168" s="128">
        <v>0</v>
      </c>
      <c r="AE168" s="128">
        <v>0</v>
      </c>
      <c r="AF168" s="128">
        <v>0</v>
      </c>
      <c r="AG168" s="128">
        <v>0</v>
      </c>
      <c r="AH168" s="128">
        <v>0</v>
      </c>
      <c r="AI168" s="128">
        <v>0</v>
      </c>
      <c r="AJ168" s="128">
        <v>0</v>
      </c>
      <c r="AK168" s="128">
        <v>0</v>
      </c>
      <c r="AL168" s="128">
        <v>0</v>
      </c>
      <c r="AM168" s="128">
        <v>0</v>
      </c>
      <c r="AN168" s="128">
        <v>0</v>
      </c>
      <c r="AO168" s="128">
        <v>0</v>
      </c>
      <c r="AP168" s="128">
        <v>0</v>
      </c>
      <c r="AQ168" s="128">
        <v>0</v>
      </c>
      <c r="AR168" s="128">
        <v>0</v>
      </c>
      <c r="AS168" s="288">
        <v>0</v>
      </c>
      <c r="AT168" s="288">
        <v>0</v>
      </c>
      <c r="AU168" s="288">
        <v>0</v>
      </c>
      <c r="AV168" s="288">
        <v>0</v>
      </c>
      <c r="AW168" s="158">
        <v>0</v>
      </c>
      <c r="AX168" s="158">
        <v>0</v>
      </c>
      <c r="AY168" s="158">
        <v>0</v>
      </c>
      <c r="AZ168" s="158">
        <v>0</v>
      </c>
      <c r="BA168" s="158">
        <v>0</v>
      </c>
      <c r="BB168" s="158">
        <v>0</v>
      </c>
      <c r="BC168" s="158">
        <v>0</v>
      </c>
      <c r="BD168" s="158">
        <v>0</v>
      </c>
      <c r="BE168" s="158">
        <v>0</v>
      </c>
      <c r="BF168" s="288">
        <v>0</v>
      </c>
      <c r="BG168" s="288">
        <v>0</v>
      </c>
      <c r="BH168" s="288">
        <v>0</v>
      </c>
      <c r="BI168" s="288">
        <v>0</v>
      </c>
      <c r="BJ168" s="288">
        <v>0</v>
      </c>
      <c r="BK168" s="288">
        <v>0</v>
      </c>
      <c r="BL168" s="129">
        <v>0</v>
      </c>
      <c r="BM168" s="129">
        <v>0</v>
      </c>
      <c r="BN168" s="129">
        <v>0</v>
      </c>
      <c r="BO168" s="288">
        <v>0</v>
      </c>
      <c r="BP168" s="288">
        <v>0</v>
      </c>
      <c r="BQ168" s="288">
        <v>0</v>
      </c>
      <c r="BR168" s="288">
        <v>0</v>
      </c>
      <c r="BS168" s="288">
        <v>0</v>
      </c>
      <c r="BT168" s="288">
        <v>0</v>
      </c>
    </row>
    <row r="169" spans="2:76">
      <c r="B169" s="140" t="s">
        <v>1007</v>
      </c>
      <c r="C169" s="127" t="s">
        <v>1008</v>
      </c>
      <c r="D169" s="127"/>
      <c r="E169" s="127"/>
      <c r="F169" s="127"/>
      <c r="G169" s="127"/>
      <c r="H169" s="127"/>
      <c r="I169" s="127"/>
      <c r="J169" s="128"/>
      <c r="K169" s="128"/>
      <c r="L169" s="128"/>
      <c r="M169" s="128"/>
      <c r="N169" s="128"/>
      <c r="O169" s="128"/>
      <c r="P169" s="128"/>
      <c r="Q169" s="128"/>
      <c r="R169" s="128"/>
      <c r="S169" s="128"/>
      <c r="T169" s="128"/>
      <c r="U169" s="128"/>
      <c r="V169" s="128"/>
      <c r="W169" s="128"/>
      <c r="X169" s="128"/>
      <c r="Y169" s="128"/>
      <c r="Z169" s="128">
        <v>0</v>
      </c>
      <c r="AA169" s="128">
        <v>0</v>
      </c>
      <c r="AB169" s="128">
        <v>0</v>
      </c>
      <c r="AC169" s="128">
        <v>0</v>
      </c>
      <c r="AD169" s="128">
        <v>0</v>
      </c>
      <c r="AE169" s="128">
        <v>0</v>
      </c>
      <c r="AF169" s="128">
        <v>0</v>
      </c>
      <c r="AG169" s="128">
        <v>0</v>
      </c>
      <c r="AH169" s="128">
        <v>0</v>
      </c>
      <c r="AI169" s="128">
        <v>0</v>
      </c>
      <c r="AJ169" s="128">
        <v>0</v>
      </c>
      <c r="AK169" s="128">
        <v>0</v>
      </c>
      <c r="AL169" s="128">
        <v>0</v>
      </c>
      <c r="AM169" s="128">
        <v>0</v>
      </c>
      <c r="AN169" s="128">
        <v>0</v>
      </c>
      <c r="AO169" s="128">
        <v>0</v>
      </c>
      <c r="AP169" s="128">
        <v>0</v>
      </c>
      <c r="AQ169" s="128">
        <v>0</v>
      </c>
      <c r="AR169" s="128">
        <v>0</v>
      </c>
      <c r="AS169" s="288">
        <v>0</v>
      </c>
      <c r="AT169" s="288">
        <v>0</v>
      </c>
      <c r="AU169" s="288">
        <v>0</v>
      </c>
      <c r="AV169" s="288">
        <v>0</v>
      </c>
      <c r="AW169" s="158">
        <v>0</v>
      </c>
      <c r="AX169" s="158">
        <v>0</v>
      </c>
      <c r="AY169" s="158">
        <v>0</v>
      </c>
      <c r="AZ169" s="158">
        <v>0</v>
      </c>
      <c r="BA169" s="158">
        <v>0</v>
      </c>
      <c r="BB169" s="158">
        <v>0</v>
      </c>
      <c r="BC169" s="158">
        <v>0</v>
      </c>
      <c r="BD169" s="158">
        <v>0</v>
      </c>
      <c r="BE169" s="158">
        <v>0</v>
      </c>
      <c r="BF169" s="288">
        <v>0</v>
      </c>
      <c r="BG169" s="288">
        <v>0</v>
      </c>
      <c r="BH169" s="288">
        <v>0</v>
      </c>
      <c r="BI169" s="288">
        <v>0</v>
      </c>
      <c r="BJ169" s="288">
        <v>0</v>
      </c>
      <c r="BK169" s="288">
        <v>0</v>
      </c>
      <c r="BL169" s="129">
        <v>0</v>
      </c>
      <c r="BM169" s="129">
        <v>0</v>
      </c>
      <c r="BN169" s="129">
        <v>0</v>
      </c>
      <c r="BO169" s="288">
        <v>0</v>
      </c>
      <c r="BP169" s="288">
        <v>0</v>
      </c>
      <c r="BQ169" s="288">
        <v>0</v>
      </c>
      <c r="BR169" s="288">
        <v>0</v>
      </c>
      <c r="BS169" s="288">
        <v>0</v>
      </c>
      <c r="BT169" s="288">
        <v>0</v>
      </c>
    </row>
    <row r="170" spans="2:76" s="136" customFormat="1">
      <c r="B170" s="154" t="s">
        <v>1009</v>
      </c>
      <c r="C170" s="144" t="s">
        <v>1010</v>
      </c>
      <c r="D170" s="144"/>
      <c r="E170" s="144"/>
      <c r="F170" s="144"/>
      <c r="G170" s="144"/>
      <c r="H170" s="144"/>
      <c r="I170" s="144"/>
      <c r="J170" s="135"/>
      <c r="K170" s="135"/>
      <c r="L170" s="135"/>
      <c r="M170" s="135"/>
      <c r="N170" s="135"/>
      <c r="O170" s="135"/>
      <c r="P170" s="135"/>
      <c r="Q170" s="135"/>
      <c r="R170" s="135"/>
      <c r="S170" s="135"/>
      <c r="T170" s="135"/>
      <c r="U170" s="135"/>
      <c r="V170" s="135"/>
      <c r="W170" s="135"/>
      <c r="X170" s="135"/>
      <c r="Y170" s="135"/>
      <c r="Z170" s="135">
        <v>264.80383193900002</v>
      </c>
      <c r="AA170" s="135">
        <v>229.52830691599999</v>
      </c>
      <c r="AB170" s="135">
        <v>264.94054034300001</v>
      </c>
      <c r="AC170" s="135">
        <v>291.97271585599998</v>
      </c>
      <c r="AD170" s="135">
        <v>344.95847147400002</v>
      </c>
      <c r="AE170" s="135">
        <v>342.03888834100002</v>
      </c>
      <c r="AF170" s="135">
        <v>458.50859534</v>
      </c>
      <c r="AG170" s="135">
        <v>507.419820679</v>
      </c>
      <c r="AH170" s="135">
        <v>637.03473216099997</v>
      </c>
      <c r="AI170" s="135">
        <v>643.36615056200003</v>
      </c>
      <c r="AJ170" s="135">
        <v>646.66838390700002</v>
      </c>
      <c r="AK170" s="135">
        <v>646.342652241</v>
      </c>
      <c r="AL170" s="135">
        <v>933.607116776</v>
      </c>
      <c r="AM170" s="135">
        <v>894.09441454199998</v>
      </c>
      <c r="AN170" s="135">
        <v>947.40097901399997</v>
      </c>
      <c r="AO170" s="135">
        <v>1042.9665313390001</v>
      </c>
      <c r="AP170" s="135">
        <v>1491.183334804</v>
      </c>
      <c r="AQ170" s="135">
        <v>1394.7429927979999</v>
      </c>
      <c r="AR170" s="135">
        <v>1253.127573941</v>
      </c>
      <c r="AS170" s="155">
        <v>1347.66991115</v>
      </c>
      <c r="AT170" s="155">
        <v>1723.274673094</v>
      </c>
      <c r="AU170" s="155">
        <v>1780.473528084</v>
      </c>
      <c r="AV170" s="155">
        <v>1593.6092128759999</v>
      </c>
      <c r="AW170" s="155">
        <v>1716.7157411400001</v>
      </c>
      <c r="AX170" s="155">
        <v>2183.8905522979999</v>
      </c>
      <c r="AY170" s="155">
        <v>1830.073445864</v>
      </c>
      <c r="AZ170" s="155">
        <v>1774.1005638429999</v>
      </c>
      <c r="BA170" s="158">
        <v>1911.960373676</v>
      </c>
      <c r="BB170" s="155">
        <v>2378.6037008190001</v>
      </c>
      <c r="BC170" s="155">
        <v>2262.9870321550002</v>
      </c>
      <c r="BD170" s="155">
        <v>1840.942277312</v>
      </c>
      <c r="BE170" s="155">
        <v>2804.272577406</v>
      </c>
      <c r="BF170" s="155">
        <v>2816.6946363759998</v>
      </c>
      <c r="BG170" s="155">
        <v>2798.8946682840001</v>
      </c>
      <c r="BH170" s="155">
        <v>2575.7679827530001</v>
      </c>
      <c r="BI170" s="155">
        <v>2099.219421411</v>
      </c>
      <c r="BJ170" s="155">
        <v>966.91020179999998</v>
      </c>
      <c r="BK170" s="155">
        <v>829.27415723900003</v>
      </c>
      <c r="BL170" s="136">
        <v>1096.775981448</v>
      </c>
      <c r="BM170" s="136">
        <v>1011.3137102969999</v>
      </c>
      <c r="BN170" s="135">
        <v>1837.78</v>
      </c>
      <c r="BO170" s="155">
        <v>2219.9690037410001</v>
      </c>
      <c r="BP170" s="155">
        <v>1898.69</v>
      </c>
      <c r="BQ170" s="155">
        <v>1463.956695227</v>
      </c>
      <c r="BR170" s="155">
        <v>2150.664146997</v>
      </c>
      <c r="BS170" s="155">
        <v>2100.1807773300002</v>
      </c>
      <c r="BT170" s="155">
        <v>2376.5813362580002</v>
      </c>
      <c r="BU170" s="155"/>
    </row>
    <row r="171" spans="2:76">
      <c r="B171" s="140" t="s">
        <v>1011</v>
      </c>
      <c r="C171" s="127" t="s">
        <v>1012</v>
      </c>
      <c r="D171" s="127"/>
      <c r="E171" s="127"/>
      <c r="F171" s="127"/>
      <c r="G171" s="127"/>
      <c r="H171" s="127"/>
      <c r="I171" s="127"/>
      <c r="J171" s="128"/>
      <c r="K171" s="128"/>
      <c r="L171" s="128"/>
      <c r="M171" s="128"/>
      <c r="N171" s="128"/>
      <c r="O171" s="128"/>
      <c r="P171" s="128"/>
      <c r="Q171" s="128"/>
      <c r="R171" s="128"/>
      <c r="S171" s="128"/>
      <c r="T171" s="128"/>
      <c r="U171" s="128"/>
      <c r="V171" s="128"/>
      <c r="W171" s="128"/>
      <c r="X171" s="128"/>
      <c r="Y171" s="128"/>
      <c r="Z171" s="128">
        <v>-16.154877056</v>
      </c>
      <c r="AA171" s="128">
        <v>7.8330858619999999</v>
      </c>
      <c r="AB171" s="128">
        <v>-54.492949117000002</v>
      </c>
      <c r="AC171" s="128">
        <v>-6.8664787269999996</v>
      </c>
      <c r="AD171" s="128">
        <v>-11.135306481000001</v>
      </c>
      <c r="AE171" s="128">
        <v>-11.292945991</v>
      </c>
      <c r="AF171" s="128">
        <v>-155.96374990499999</v>
      </c>
      <c r="AG171" s="128">
        <v>-298.29330939300002</v>
      </c>
      <c r="AH171" s="128">
        <v>130.628526416</v>
      </c>
      <c r="AI171" s="128">
        <v>-108.914006266</v>
      </c>
      <c r="AJ171" s="128">
        <v>-278.18781798200001</v>
      </c>
      <c r="AK171" s="128">
        <v>-732.88956657999995</v>
      </c>
      <c r="AL171" s="128">
        <v>616.677656093</v>
      </c>
      <c r="AM171" s="128">
        <v>-43.918189922000003</v>
      </c>
      <c r="AN171" s="128">
        <v>-89.626813351999999</v>
      </c>
      <c r="AO171" s="128">
        <v>-1782.292941548</v>
      </c>
      <c r="AP171" s="128">
        <v>1156.72874009</v>
      </c>
      <c r="AQ171" s="128">
        <v>378.96438836700003</v>
      </c>
      <c r="AR171" s="128">
        <v>-24.911405961</v>
      </c>
      <c r="AS171" s="288">
        <v>-281.70974707099998</v>
      </c>
      <c r="AT171" s="288">
        <v>-217.52684427400001</v>
      </c>
      <c r="AU171" s="288">
        <v>712.10806511500004</v>
      </c>
      <c r="AV171" s="288">
        <v>54.752109548999996</v>
      </c>
      <c r="AW171" s="158">
        <v>-1218.023406795</v>
      </c>
      <c r="AX171" s="158">
        <v>872.37654889199996</v>
      </c>
      <c r="AY171" s="158">
        <v>200.826873229</v>
      </c>
      <c r="AZ171" s="158">
        <v>-68.742180689999998</v>
      </c>
      <c r="BA171" s="158">
        <v>-262.18165556399998</v>
      </c>
      <c r="BB171" s="158">
        <v>-199.360289145</v>
      </c>
      <c r="BC171" s="158">
        <v>-342.41913088400003</v>
      </c>
      <c r="BD171" s="158">
        <v>469.67030119100002</v>
      </c>
      <c r="BE171" s="158">
        <v>-894.05906979199995</v>
      </c>
      <c r="BF171" s="288">
        <v>102.890289514</v>
      </c>
      <c r="BG171" s="288">
        <v>-649.79446034399996</v>
      </c>
      <c r="BH171" s="288">
        <v>-733.14808207900001</v>
      </c>
      <c r="BI171" s="288">
        <v>628.81322303100001</v>
      </c>
      <c r="BJ171" s="288">
        <v>1127.422344569</v>
      </c>
      <c r="BK171" s="288">
        <v>-588.64974646600001</v>
      </c>
      <c r="BL171" s="129">
        <v>-90.022700555</v>
      </c>
      <c r="BM171" s="129">
        <v>262.61212913200001</v>
      </c>
      <c r="BN171" s="129">
        <v>33.119999999999997</v>
      </c>
      <c r="BO171" s="288">
        <v>-278.47746586599999</v>
      </c>
      <c r="BP171" s="288">
        <v>325.33</v>
      </c>
      <c r="BQ171" s="288">
        <v>100.69950313</v>
      </c>
      <c r="BR171" s="288">
        <v>-2.0551257999999999E-2</v>
      </c>
      <c r="BS171" s="288">
        <v>-251.63522993800001</v>
      </c>
      <c r="BT171" s="288">
        <v>-83.919351040999999</v>
      </c>
    </row>
    <row r="172" spans="2:76">
      <c r="B172" s="140" t="s">
        <v>1013</v>
      </c>
      <c r="C172" s="127" t="s">
        <v>1014</v>
      </c>
      <c r="D172" s="127"/>
      <c r="E172" s="127"/>
      <c r="F172" s="127"/>
      <c r="G172" s="127"/>
      <c r="H172" s="127"/>
      <c r="I172" s="127"/>
      <c r="J172" s="128"/>
      <c r="K172" s="128"/>
      <c r="L172" s="128"/>
      <c r="M172" s="128"/>
      <c r="N172" s="128"/>
      <c r="O172" s="128"/>
      <c r="P172" s="128"/>
      <c r="Q172" s="128"/>
      <c r="R172" s="128"/>
      <c r="S172" s="128"/>
      <c r="T172" s="128"/>
      <c r="U172" s="128"/>
      <c r="V172" s="128"/>
      <c r="W172" s="128"/>
      <c r="X172" s="128"/>
      <c r="Y172" s="128"/>
      <c r="Z172" s="128">
        <v>-45.811611349000003</v>
      </c>
      <c r="AA172" s="128">
        <v>81.955496961999998</v>
      </c>
      <c r="AB172" s="128">
        <v>-405.05792246700003</v>
      </c>
      <c r="AC172" s="128">
        <v>-579.92455240200002</v>
      </c>
      <c r="AD172" s="128">
        <v>-148.80725679400001</v>
      </c>
      <c r="AE172" s="128">
        <v>-75.283128124000001</v>
      </c>
      <c r="AF172" s="128">
        <v>-508.26669709200002</v>
      </c>
      <c r="AG172" s="128">
        <v>-2023.834480683</v>
      </c>
      <c r="AH172" s="128">
        <v>-657.45822317199998</v>
      </c>
      <c r="AI172" s="128">
        <v>487.31950920899999</v>
      </c>
      <c r="AJ172" s="128">
        <v>-1431.609562357</v>
      </c>
      <c r="AK172" s="128">
        <v>-2902.2008008799999</v>
      </c>
      <c r="AL172" s="128">
        <v>114.323349042</v>
      </c>
      <c r="AM172" s="128">
        <v>457.68210458499999</v>
      </c>
      <c r="AN172" s="128">
        <v>-60.882608240000003</v>
      </c>
      <c r="AO172" s="128">
        <v>-3307.4207374880002</v>
      </c>
      <c r="AP172" s="128">
        <v>-1586.8069991350001</v>
      </c>
      <c r="AQ172" s="128">
        <v>99.728382479000004</v>
      </c>
      <c r="AR172" s="128">
        <v>967.73517681400006</v>
      </c>
      <c r="AS172" s="288">
        <v>-4153.6007546179999</v>
      </c>
      <c r="AT172" s="288">
        <v>868.820167438</v>
      </c>
      <c r="AU172" s="288">
        <v>211.54284987599999</v>
      </c>
      <c r="AV172" s="288">
        <v>-646.02841502199999</v>
      </c>
      <c r="AW172" s="158">
        <v>-8809.1316324229992</v>
      </c>
      <c r="AX172" s="158">
        <v>4732.7425453249998</v>
      </c>
      <c r="AY172" s="158">
        <v>2837.0883147149998</v>
      </c>
      <c r="AZ172" s="158">
        <v>613.46328923600004</v>
      </c>
      <c r="BA172" s="158">
        <v>-1913.7229777570001</v>
      </c>
      <c r="BB172" s="158">
        <v>-3781.705226133</v>
      </c>
      <c r="BC172" s="158">
        <v>867.23820356099998</v>
      </c>
      <c r="BD172" s="158">
        <v>640.21207769700004</v>
      </c>
      <c r="BE172" s="158">
        <v>-7662.5565230279999</v>
      </c>
      <c r="BF172" s="288">
        <v>-3384.1816246809999</v>
      </c>
      <c r="BG172" s="288">
        <v>4482.1943246560004</v>
      </c>
      <c r="BH172" s="288">
        <v>-341.26312896100001</v>
      </c>
      <c r="BI172" s="288">
        <v>3035.1878500190001</v>
      </c>
      <c r="BJ172" s="288">
        <v>4790.6609336840002</v>
      </c>
      <c r="BK172" s="288">
        <v>-888.88913837899997</v>
      </c>
      <c r="BL172" s="129">
        <v>-923.98630050500003</v>
      </c>
      <c r="BM172" s="129">
        <v>1191.19023928</v>
      </c>
      <c r="BN172" s="128">
        <v>1269.07</v>
      </c>
      <c r="BO172" s="288">
        <v>-559.39277670299998</v>
      </c>
      <c r="BP172" s="288">
        <v>-892.28</v>
      </c>
      <c r="BQ172" s="288">
        <v>-454.32105572199998</v>
      </c>
      <c r="BR172" s="288">
        <v>-575.7928349</v>
      </c>
      <c r="BS172" s="288">
        <v>-888.49228075099995</v>
      </c>
      <c r="BT172" s="288">
        <v>-512.33677412199995</v>
      </c>
    </row>
    <row r="173" spans="2:76">
      <c r="B173" s="140" t="s">
        <v>1015</v>
      </c>
      <c r="C173" s="127" t="s">
        <v>1016</v>
      </c>
      <c r="D173" s="127"/>
      <c r="E173" s="127"/>
      <c r="F173" s="127"/>
      <c r="G173" s="127"/>
      <c r="H173" s="127"/>
      <c r="I173" s="127"/>
      <c r="J173" s="128"/>
      <c r="K173" s="128"/>
      <c r="L173" s="128"/>
      <c r="M173" s="128"/>
      <c r="N173" s="128"/>
      <c r="O173" s="128"/>
      <c r="P173" s="128"/>
      <c r="Q173" s="128"/>
      <c r="R173" s="128"/>
      <c r="S173" s="128"/>
      <c r="T173" s="128"/>
      <c r="U173" s="128"/>
      <c r="V173" s="128"/>
      <c r="W173" s="128"/>
      <c r="X173" s="128"/>
      <c r="Y173" s="128"/>
      <c r="Z173" s="128">
        <v>-279.37708284500002</v>
      </c>
      <c r="AA173" s="128">
        <v>275.31536613600002</v>
      </c>
      <c r="AB173" s="128">
        <v>244.19217381799999</v>
      </c>
      <c r="AC173" s="128">
        <v>175.145464495</v>
      </c>
      <c r="AD173" s="128">
        <v>-147.792094908</v>
      </c>
      <c r="AE173" s="128">
        <v>246.791663836</v>
      </c>
      <c r="AF173" s="128">
        <v>379.27534429500002</v>
      </c>
      <c r="AG173" s="128">
        <v>757.08235326500005</v>
      </c>
      <c r="AH173" s="128">
        <v>421.267484884</v>
      </c>
      <c r="AI173" s="128">
        <v>2.1586552800000001</v>
      </c>
      <c r="AJ173" s="128">
        <v>613.049760558</v>
      </c>
      <c r="AK173" s="128">
        <v>2087.534970743</v>
      </c>
      <c r="AL173" s="128">
        <v>-1863.771428987</v>
      </c>
      <c r="AM173" s="128">
        <v>1691.8130089389999</v>
      </c>
      <c r="AN173" s="128">
        <v>1257.9705926250001</v>
      </c>
      <c r="AO173" s="128">
        <v>2882.664189265</v>
      </c>
      <c r="AP173" s="128">
        <v>-2691.31120186</v>
      </c>
      <c r="AQ173" s="128">
        <v>614.01012159499999</v>
      </c>
      <c r="AR173" s="128">
        <v>-77.902747024000007</v>
      </c>
      <c r="AS173" s="288">
        <v>3503.821607071</v>
      </c>
      <c r="AT173" s="288">
        <v>-1637.6648593899999</v>
      </c>
      <c r="AU173" s="288">
        <v>1353.9788850570001</v>
      </c>
      <c r="AV173" s="288">
        <v>-1117.0560866660001</v>
      </c>
      <c r="AW173" s="158">
        <v>4217.8132671009998</v>
      </c>
      <c r="AX173" s="158">
        <v>-3678.5460162690001</v>
      </c>
      <c r="AY173" s="158">
        <v>264.05501054899997</v>
      </c>
      <c r="AZ173" s="158">
        <v>174.28699814300001</v>
      </c>
      <c r="BA173" s="158">
        <v>1437.5897463240001</v>
      </c>
      <c r="BB173" s="158">
        <v>303.73051614299999</v>
      </c>
      <c r="BC173" s="158">
        <v>267.01356168000001</v>
      </c>
      <c r="BD173" s="158">
        <v>-1218.0691539699999</v>
      </c>
      <c r="BE173" s="158">
        <v>4436.7299809400001</v>
      </c>
      <c r="BF173" s="288">
        <v>-2147.7258232119998</v>
      </c>
      <c r="BG173" s="288">
        <v>-1449.498903922</v>
      </c>
      <c r="BH173" s="288">
        <v>294.90879175600003</v>
      </c>
      <c r="BI173" s="288">
        <v>1015.673176217</v>
      </c>
      <c r="BJ173" s="288">
        <v>-2055.4749059010001</v>
      </c>
      <c r="BK173" s="288">
        <v>430.84401900300003</v>
      </c>
      <c r="BL173" s="129">
        <v>-844.62737122600004</v>
      </c>
      <c r="BM173" s="129">
        <v>-669.30475424999997</v>
      </c>
      <c r="BN173" s="128">
        <v>2010.46</v>
      </c>
      <c r="BO173" s="288">
        <v>1703.772577621</v>
      </c>
      <c r="BP173" s="288">
        <v>193.48</v>
      </c>
      <c r="BQ173" s="288">
        <v>-388.335783408</v>
      </c>
      <c r="BR173" s="288">
        <v>1748.3463071589999</v>
      </c>
      <c r="BS173" s="288">
        <v>1134.759809592</v>
      </c>
      <c r="BT173" s="288">
        <v>1930.8424663870001</v>
      </c>
    </row>
    <row r="174" spans="2:76">
      <c r="B174" s="140" t="s">
        <v>1017</v>
      </c>
      <c r="C174" s="127" t="s">
        <v>1018</v>
      </c>
      <c r="D174" s="127"/>
      <c r="E174" s="127"/>
      <c r="F174" s="127"/>
      <c r="G174" s="127"/>
      <c r="H174" s="127"/>
      <c r="I174" s="127"/>
      <c r="J174" s="128"/>
      <c r="K174" s="128"/>
      <c r="L174" s="128"/>
      <c r="M174" s="128"/>
      <c r="N174" s="128"/>
      <c r="O174" s="128"/>
      <c r="P174" s="128"/>
      <c r="Q174" s="128"/>
      <c r="R174" s="128"/>
      <c r="S174" s="128"/>
      <c r="T174" s="128"/>
      <c r="U174" s="128"/>
      <c r="V174" s="128"/>
      <c r="W174" s="128"/>
      <c r="X174" s="128"/>
      <c r="Y174" s="128"/>
      <c r="Z174" s="128">
        <v>-9.1728877299999994</v>
      </c>
      <c r="AA174" s="128">
        <v>-3.3641278909999999</v>
      </c>
      <c r="AB174" s="128">
        <v>-17.888537587999998</v>
      </c>
      <c r="AC174" s="128">
        <v>-39.102187297</v>
      </c>
      <c r="AD174" s="128">
        <v>6.8827641110000002</v>
      </c>
      <c r="AE174" s="128">
        <v>-18.683336321999999</v>
      </c>
      <c r="AF174" s="128">
        <v>-20.383000542000001</v>
      </c>
      <c r="AG174" s="128">
        <v>-31.202992080000001</v>
      </c>
      <c r="AH174" s="128">
        <v>-30.356022033999999</v>
      </c>
      <c r="AI174" s="128">
        <v>-58.854751485999998</v>
      </c>
      <c r="AJ174" s="128">
        <v>-34.801585885999998</v>
      </c>
      <c r="AK174" s="128">
        <v>-41.151907795</v>
      </c>
      <c r="AL174" s="128">
        <v>21.852552263</v>
      </c>
      <c r="AM174" s="128">
        <v>-16.906153975999999</v>
      </c>
      <c r="AN174" s="128">
        <v>-25.775398337999999</v>
      </c>
      <c r="AO174" s="128">
        <v>-75.976747610999993</v>
      </c>
      <c r="AP174" s="128">
        <v>90.945030806000005</v>
      </c>
      <c r="AQ174" s="128">
        <v>29.394208115000001</v>
      </c>
      <c r="AR174" s="128">
        <v>13.152204575000001</v>
      </c>
      <c r="AS174" s="288">
        <v>-19.000999815</v>
      </c>
      <c r="AT174" s="288">
        <v>-7.3062390000000005E-2</v>
      </c>
      <c r="AU174" s="288">
        <v>-89.179849325000006</v>
      </c>
      <c r="AV174" s="288">
        <v>-9.4470187630000009</v>
      </c>
      <c r="AW174" s="158">
        <v>-129.10510398299999</v>
      </c>
      <c r="AX174" s="158">
        <v>30.812301262999998</v>
      </c>
      <c r="AY174" s="158">
        <v>5.5239667189999997</v>
      </c>
      <c r="AZ174" s="158">
        <v>8.2726651619999991</v>
      </c>
      <c r="BA174" s="158">
        <v>-136.44911108100001</v>
      </c>
      <c r="BB174" s="158">
        <v>-12.846458946</v>
      </c>
      <c r="BC174" s="158">
        <v>-28.628925286000001</v>
      </c>
      <c r="BD174" s="158">
        <v>105.873060173</v>
      </c>
      <c r="BE174" s="158">
        <v>-99.678153657999999</v>
      </c>
      <c r="BF174" s="288">
        <v>-10.187588938999999</v>
      </c>
      <c r="BG174" s="288">
        <v>-61.914730658000003</v>
      </c>
      <c r="BH174" s="288">
        <v>-34.183400669000001</v>
      </c>
      <c r="BI174" s="288">
        <v>12.788014601</v>
      </c>
      <c r="BJ174" s="288">
        <v>76.243066094</v>
      </c>
      <c r="BK174" s="288">
        <v>35.199894544999999</v>
      </c>
      <c r="BL174" s="129">
        <v>61.107528211999998</v>
      </c>
      <c r="BM174" s="129">
        <v>-42.518101860999998</v>
      </c>
      <c r="BN174" s="129">
        <v>65.42</v>
      </c>
      <c r="BO174" s="288">
        <v>35.334158152999997</v>
      </c>
      <c r="BP174" s="288">
        <v>33.369999999999997</v>
      </c>
      <c r="BQ174" s="288">
        <v>-6.3326442009999999</v>
      </c>
      <c r="BR174" s="288">
        <v>-51.385677184000002</v>
      </c>
      <c r="BS174" s="288">
        <v>7.3308694970000001</v>
      </c>
      <c r="BT174" s="288">
        <v>14.950225012000001</v>
      </c>
    </row>
    <row r="175" spans="2:76">
      <c r="B175" s="140" t="s">
        <v>1019</v>
      </c>
      <c r="C175" s="127" t="s">
        <v>1020</v>
      </c>
      <c r="D175" s="127"/>
      <c r="E175" s="127"/>
      <c r="F175" s="127"/>
      <c r="G175" s="127"/>
      <c r="H175" s="127"/>
      <c r="I175" s="127"/>
      <c r="J175" s="128"/>
      <c r="K175" s="128"/>
      <c r="L175" s="128"/>
      <c r="M175" s="128"/>
      <c r="N175" s="128"/>
      <c r="O175" s="128"/>
      <c r="P175" s="128"/>
      <c r="Q175" s="128"/>
      <c r="R175" s="128"/>
      <c r="S175" s="128"/>
      <c r="T175" s="128"/>
      <c r="U175" s="128"/>
      <c r="V175" s="128"/>
      <c r="W175" s="128"/>
      <c r="X175" s="128"/>
      <c r="Y175" s="128"/>
      <c r="Z175" s="128">
        <v>0</v>
      </c>
      <c r="AA175" s="128">
        <v>0</v>
      </c>
      <c r="AB175" s="128">
        <v>0</v>
      </c>
      <c r="AC175" s="128">
        <v>0</v>
      </c>
      <c r="AD175" s="128">
        <v>0</v>
      </c>
      <c r="AE175" s="128">
        <v>0</v>
      </c>
      <c r="AF175" s="128">
        <v>0</v>
      </c>
      <c r="AG175" s="128">
        <v>0</v>
      </c>
      <c r="AH175" s="128">
        <v>0</v>
      </c>
      <c r="AI175" s="128">
        <v>0</v>
      </c>
      <c r="AJ175" s="128">
        <v>0</v>
      </c>
      <c r="AK175" s="128">
        <v>0</v>
      </c>
      <c r="AL175" s="128">
        <v>0</v>
      </c>
      <c r="AM175" s="128">
        <v>0</v>
      </c>
      <c r="AN175" s="128">
        <v>0</v>
      </c>
      <c r="AO175" s="128">
        <v>0</v>
      </c>
      <c r="AP175" s="128">
        <v>0</v>
      </c>
      <c r="AQ175" s="128">
        <v>0</v>
      </c>
      <c r="AR175" s="128">
        <v>0</v>
      </c>
      <c r="AS175" s="288">
        <v>0</v>
      </c>
      <c r="AT175" s="288">
        <v>0</v>
      </c>
      <c r="AU175" s="288">
        <v>0</v>
      </c>
      <c r="AV175" s="288">
        <v>0</v>
      </c>
      <c r="AW175" s="158">
        <v>0</v>
      </c>
      <c r="AX175" s="158">
        <v>0</v>
      </c>
      <c r="AY175" s="158">
        <v>0</v>
      </c>
      <c r="AZ175" s="158">
        <v>0</v>
      </c>
      <c r="BA175" s="158">
        <v>0</v>
      </c>
      <c r="BB175" s="158">
        <v>0</v>
      </c>
      <c r="BC175" s="158">
        <v>0</v>
      </c>
      <c r="BD175" s="158">
        <v>0</v>
      </c>
      <c r="BE175" s="158">
        <v>0</v>
      </c>
      <c r="BF175" s="288">
        <v>0</v>
      </c>
      <c r="BG175" s="288">
        <v>0</v>
      </c>
      <c r="BH175" s="288">
        <v>0</v>
      </c>
      <c r="BI175" s="288">
        <v>0</v>
      </c>
      <c r="BJ175" s="288">
        <v>0</v>
      </c>
      <c r="BK175" s="288">
        <v>0</v>
      </c>
      <c r="BL175" s="129">
        <v>0</v>
      </c>
      <c r="BM175" s="129">
        <v>0</v>
      </c>
      <c r="BN175" s="129">
        <v>0</v>
      </c>
      <c r="BO175" s="288">
        <v>0</v>
      </c>
      <c r="BP175" s="288">
        <v>0</v>
      </c>
      <c r="BQ175" s="288">
        <v>0</v>
      </c>
      <c r="BR175" s="288">
        <v>0</v>
      </c>
      <c r="BS175" s="288">
        <v>0</v>
      </c>
      <c r="BT175" s="288">
        <v>0</v>
      </c>
    </row>
    <row r="176" spans="2:76">
      <c r="B176" s="140" t="s">
        <v>581</v>
      </c>
      <c r="C176" s="127" t="s">
        <v>1021</v>
      </c>
      <c r="D176" s="127"/>
      <c r="E176" s="127"/>
      <c r="F176" s="127"/>
      <c r="G176" s="127"/>
      <c r="H176" s="127"/>
      <c r="I176" s="127"/>
      <c r="J176" s="128"/>
      <c r="K176" s="128"/>
      <c r="L176" s="128"/>
      <c r="M176" s="128"/>
      <c r="N176" s="128"/>
      <c r="O176" s="128"/>
      <c r="P176" s="128"/>
      <c r="Q176" s="128"/>
      <c r="R176" s="128"/>
      <c r="S176" s="128"/>
      <c r="T176" s="128"/>
      <c r="U176" s="128"/>
      <c r="V176" s="128"/>
      <c r="W176" s="128"/>
      <c r="X176" s="128"/>
      <c r="Y176" s="128"/>
      <c r="Z176" s="128">
        <v>-10.419429996</v>
      </c>
      <c r="AA176" s="128">
        <v>-0.795140081</v>
      </c>
      <c r="AB176" s="128">
        <v>-4.9640988449999996</v>
      </c>
      <c r="AC176" s="128">
        <v>-4.9433793599999998</v>
      </c>
      <c r="AD176" s="128">
        <v>-11.205300252000001</v>
      </c>
      <c r="AE176" s="128">
        <v>-9.1492570719999993</v>
      </c>
      <c r="AF176" s="128">
        <v>-6.5435572219999996</v>
      </c>
      <c r="AG176" s="128">
        <v>-10.544406833</v>
      </c>
      <c r="AH176" s="128">
        <v>-28.516036530000001</v>
      </c>
      <c r="AI176" s="128">
        <v>-26.401132108999999</v>
      </c>
      <c r="AJ176" s="128">
        <v>-22.545268489000001</v>
      </c>
      <c r="AK176" s="128">
        <v>-34.533354535999997</v>
      </c>
      <c r="AL176" s="128">
        <v>-61.331796377000003</v>
      </c>
      <c r="AM176" s="128">
        <v>-60.747903387999997</v>
      </c>
      <c r="AN176" s="128">
        <v>-43.903234714</v>
      </c>
      <c r="AO176" s="128">
        <v>-47.879648901000003</v>
      </c>
      <c r="AP176" s="128">
        <v>-82.967555418000003</v>
      </c>
      <c r="AQ176" s="128">
        <v>-129.40528178100001</v>
      </c>
      <c r="AR176" s="128">
        <v>-79.240528647000005</v>
      </c>
      <c r="AS176" s="288">
        <v>-135.95101066399999</v>
      </c>
      <c r="AT176" s="288">
        <v>-95.866891480999996</v>
      </c>
      <c r="AU176" s="288">
        <v>-161.12445874900001</v>
      </c>
      <c r="AV176" s="288">
        <v>-148.02887865700001</v>
      </c>
      <c r="AW176" s="158">
        <v>-132.977235159</v>
      </c>
      <c r="AX176" s="158">
        <v>-150.67198872500001</v>
      </c>
      <c r="AY176" s="158">
        <v>-169.77877102599999</v>
      </c>
      <c r="AZ176" s="158">
        <v>-121.844639437</v>
      </c>
      <c r="BA176" s="158">
        <v>-88.011196182999996</v>
      </c>
      <c r="BB176" s="158">
        <v>-100.684597506</v>
      </c>
      <c r="BC176" s="158">
        <v>-161.07845529100001</v>
      </c>
      <c r="BD176" s="158">
        <v>-191.674504122</v>
      </c>
      <c r="BE176" s="158">
        <v>-130.73639496000001</v>
      </c>
      <c r="BF176" s="288">
        <v>-206.99086217300001</v>
      </c>
      <c r="BG176" s="288">
        <v>-344.797078919</v>
      </c>
      <c r="BH176" s="288">
        <v>-312.130317515</v>
      </c>
      <c r="BI176" s="288">
        <v>-458.46285079699999</v>
      </c>
      <c r="BJ176" s="288">
        <v>-270.51857676200001</v>
      </c>
      <c r="BK176" s="288">
        <v>-339.65969785800002</v>
      </c>
      <c r="BL176" s="129">
        <v>-349.43331640100001</v>
      </c>
      <c r="BM176" s="129">
        <v>-476.120279595</v>
      </c>
      <c r="BN176" s="129">
        <v>-275.27</v>
      </c>
      <c r="BO176" s="288">
        <v>-238.66647446299999</v>
      </c>
      <c r="BP176" s="288">
        <v>-320.5</v>
      </c>
      <c r="BQ176" s="288">
        <v>-307.08056832800003</v>
      </c>
      <c r="BR176" s="288">
        <v>-325.48563782000002</v>
      </c>
      <c r="BS176" s="288">
        <v>-295.93225121199998</v>
      </c>
      <c r="BT176" s="288">
        <v>-379.19770807700002</v>
      </c>
    </row>
    <row r="177" spans="2:73">
      <c r="B177" s="140" t="s">
        <v>1022</v>
      </c>
      <c r="C177" s="127" t="s">
        <v>1023</v>
      </c>
      <c r="D177" s="127"/>
      <c r="E177" s="127"/>
      <c r="F177" s="127"/>
      <c r="G177" s="127"/>
      <c r="H177" s="127"/>
      <c r="I177" s="127"/>
      <c r="J177" s="128"/>
      <c r="K177" s="128"/>
      <c r="L177" s="128"/>
      <c r="M177" s="128"/>
      <c r="N177" s="128"/>
      <c r="O177" s="128"/>
      <c r="P177" s="128"/>
      <c r="Q177" s="128"/>
      <c r="R177" s="128"/>
      <c r="S177" s="128"/>
      <c r="T177" s="128"/>
      <c r="U177" s="128"/>
      <c r="V177" s="128"/>
      <c r="W177" s="128"/>
      <c r="X177" s="128"/>
      <c r="Y177" s="128"/>
      <c r="Z177" s="128">
        <v>-69.235729754000005</v>
      </c>
      <c r="AA177" s="128">
        <v>-50.341315080999998</v>
      </c>
      <c r="AB177" s="128">
        <v>-36.980810534</v>
      </c>
      <c r="AC177" s="128">
        <v>-64.995390661000002</v>
      </c>
      <c r="AD177" s="128">
        <v>-56.194555201</v>
      </c>
      <c r="AE177" s="128">
        <v>-65.280486636999996</v>
      </c>
      <c r="AF177" s="128">
        <v>-63.680252586000002</v>
      </c>
      <c r="AG177" s="128">
        <v>-10.893163303</v>
      </c>
      <c r="AH177" s="128">
        <v>-172.757057796</v>
      </c>
      <c r="AI177" s="128">
        <v>-109.23211483999999</v>
      </c>
      <c r="AJ177" s="128">
        <v>-111.22074531</v>
      </c>
      <c r="AK177" s="128">
        <v>-137.644285967</v>
      </c>
      <c r="AL177" s="128">
        <v>-137.70339935499999</v>
      </c>
      <c r="AM177" s="128">
        <v>-151.46169607499999</v>
      </c>
      <c r="AN177" s="128">
        <v>-145.064422904</v>
      </c>
      <c r="AO177" s="128">
        <v>-256.43868123800002</v>
      </c>
      <c r="AP177" s="128">
        <v>-98.571977984</v>
      </c>
      <c r="AQ177" s="128">
        <v>-242.069170136</v>
      </c>
      <c r="AR177" s="128">
        <v>-218.06924005100001</v>
      </c>
      <c r="AS177" s="288">
        <v>-270.81263157900003</v>
      </c>
      <c r="AT177" s="288">
        <v>-191.45953999899999</v>
      </c>
      <c r="AU177" s="288">
        <v>-270.92007971700002</v>
      </c>
      <c r="AV177" s="288">
        <v>-259.59718099399998</v>
      </c>
      <c r="AW177" s="158">
        <v>-370.38693189200001</v>
      </c>
      <c r="AX177" s="158">
        <v>-161.40547916400001</v>
      </c>
      <c r="AY177" s="158">
        <v>-294.809200395</v>
      </c>
      <c r="AZ177" s="158">
        <v>-382.08998846899999</v>
      </c>
      <c r="BA177" s="158">
        <v>-656.28077170400002</v>
      </c>
      <c r="BB177" s="158">
        <v>-447.05618626</v>
      </c>
      <c r="BC177" s="158">
        <v>-365.08872009100003</v>
      </c>
      <c r="BD177" s="158">
        <v>-4.5876014710000002</v>
      </c>
      <c r="BE177" s="158">
        <v>-716.369614985</v>
      </c>
      <c r="BF177" s="288">
        <v>-552.55121219099999</v>
      </c>
      <c r="BG177" s="288">
        <v>-428.21783453500001</v>
      </c>
      <c r="BH177" s="288">
        <v>-423.37936548699997</v>
      </c>
      <c r="BI177" s="288">
        <v>-401.19243212100002</v>
      </c>
      <c r="BJ177" s="288">
        <v>-560.75900869400004</v>
      </c>
      <c r="BK177" s="288">
        <v>-94.302291722000007</v>
      </c>
      <c r="BL177" s="129">
        <v>-96.410133565999999</v>
      </c>
      <c r="BM177" s="129">
        <v>-110.460524384</v>
      </c>
      <c r="BN177" s="129">
        <v>-98.78</v>
      </c>
      <c r="BO177" s="288">
        <v>-263.39332312599998</v>
      </c>
      <c r="BP177" s="288">
        <v>-316.58999999999997</v>
      </c>
      <c r="BQ177" s="288">
        <v>-280.15063976900001</v>
      </c>
      <c r="BR177" s="288">
        <v>-456.800409565</v>
      </c>
      <c r="BS177" s="288">
        <v>-312.74500315799997</v>
      </c>
      <c r="BT177" s="288">
        <v>-571.10334818499996</v>
      </c>
    </row>
    <row r="178" spans="2:73">
      <c r="B178" s="140" t="s">
        <v>1024</v>
      </c>
      <c r="C178" s="127" t="s">
        <v>1025</v>
      </c>
      <c r="D178" s="127"/>
      <c r="E178" s="127"/>
      <c r="F178" s="127"/>
      <c r="G178" s="127"/>
      <c r="H178" s="127"/>
      <c r="I178" s="127"/>
      <c r="J178" s="128"/>
      <c r="K178" s="128"/>
      <c r="L178" s="128"/>
      <c r="M178" s="128"/>
      <c r="N178" s="128"/>
      <c r="O178" s="128"/>
      <c r="P178" s="128"/>
      <c r="Q178" s="128"/>
      <c r="R178" s="128"/>
      <c r="S178" s="128"/>
      <c r="T178" s="128"/>
      <c r="U178" s="128"/>
      <c r="V178" s="128"/>
      <c r="W178" s="128"/>
      <c r="X178" s="128"/>
      <c r="Y178" s="128"/>
      <c r="Z178" s="128">
        <v>0</v>
      </c>
      <c r="AA178" s="128">
        <v>0</v>
      </c>
      <c r="AB178" s="128">
        <v>0</v>
      </c>
      <c r="AC178" s="128">
        <v>0</v>
      </c>
      <c r="AD178" s="128">
        <v>0</v>
      </c>
      <c r="AE178" s="128">
        <v>0</v>
      </c>
      <c r="AF178" s="128">
        <v>0</v>
      </c>
      <c r="AG178" s="128">
        <v>0</v>
      </c>
      <c r="AH178" s="128">
        <v>0</v>
      </c>
      <c r="AI178" s="128">
        <v>0</v>
      </c>
      <c r="AJ178" s="128">
        <v>0</v>
      </c>
      <c r="AK178" s="128">
        <v>0</v>
      </c>
      <c r="AL178" s="128">
        <v>0</v>
      </c>
      <c r="AM178" s="128">
        <v>0</v>
      </c>
      <c r="AN178" s="128">
        <v>0</v>
      </c>
      <c r="AO178" s="128">
        <v>0</v>
      </c>
      <c r="AP178" s="128">
        <v>0</v>
      </c>
      <c r="AQ178" s="128">
        <v>0</v>
      </c>
      <c r="AR178" s="128">
        <v>0</v>
      </c>
      <c r="AS178" s="288">
        <v>0</v>
      </c>
      <c r="AT178" s="288">
        <v>0</v>
      </c>
      <c r="AU178" s="288">
        <v>0</v>
      </c>
      <c r="AV178" s="288">
        <v>0</v>
      </c>
      <c r="AW178" s="158">
        <v>0</v>
      </c>
      <c r="AX178" s="158">
        <v>0</v>
      </c>
      <c r="AY178" s="158">
        <v>0</v>
      </c>
      <c r="AZ178" s="158">
        <v>0</v>
      </c>
      <c r="BA178" s="158">
        <v>0</v>
      </c>
      <c r="BB178" s="158">
        <v>0</v>
      </c>
      <c r="BC178" s="158">
        <v>0</v>
      </c>
      <c r="BD178" s="158">
        <v>0</v>
      </c>
      <c r="BE178" s="158">
        <v>0</v>
      </c>
      <c r="BF178" s="288">
        <v>0</v>
      </c>
      <c r="BG178" s="288">
        <v>0</v>
      </c>
      <c r="BH178" s="288">
        <v>0</v>
      </c>
      <c r="BI178" s="288">
        <v>0</v>
      </c>
      <c r="BJ178" s="288">
        <v>0</v>
      </c>
      <c r="BK178" s="288">
        <v>0</v>
      </c>
      <c r="BL178" s="129">
        <v>0</v>
      </c>
      <c r="BM178" s="129">
        <v>0</v>
      </c>
      <c r="BN178" s="129">
        <v>0</v>
      </c>
      <c r="BO178" s="288">
        <v>0</v>
      </c>
      <c r="BP178" s="288">
        <v>0</v>
      </c>
      <c r="BQ178" s="288">
        <v>0</v>
      </c>
      <c r="BR178" s="288">
        <v>0</v>
      </c>
      <c r="BS178" s="288">
        <v>0</v>
      </c>
      <c r="BT178" s="288">
        <v>0</v>
      </c>
    </row>
    <row r="179" spans="2:73">
      <c r="B179" s="140" t="s">
        <v>1026</v>
      </c>
      <c r="C179" s="127" t="s">
        <v>1027</v>
      </c>
      <c r="D179" s="127"/>
      <c r="E179" s="127"/>
      <c r="F179" s="127"/>
      <c r="G179" s="127"/>
      <c r="H179" s="127"/>
      <c r="I179" s="127"/>
      <c r="J179" s="128"/>
      <c r="K179" s="128"/>
      <c r="L179" s="128"/>
      <c r="M179" s="128"/>
      <c r="N179" s="128"/>
      <c r="O179" s="128"/>
      <c r="P179" s="128"/>
      <c r="Q179" s="128"/>
      <c r="R179" s="128"/>
      <c r="S179" s="128"/>
      <c r="T179" s="128"/>
      <c r="U179" s="128"/>
      <c r="V179" s="128"/>
      <c r="W179" s="128"/>
      <c r="X179" s="128"/>
      <c r="Y179" s="128"/>
      <c r="Z179" s="128">
        <v>0</v>
      </c>
      <c r="AA179" s="128">
        <v>-10.777918748999999</v>
      </c>
      <c r="AB179" s="128">
        <v>-15.44497</v>
      </c>
      <c r="AC179" s="128">
        <v>-9.910851289</v>
      </c>
      <c r="AD179" s="128">
        <v>-9.270616553</v>
      </c>
      <c r="AE179" s="128">
        <v>9.270616553</v>
      </c>
      <c r="AF179" s="128">
        <v>0</v>
      </c>
      <c r="AG179" s="128">
        <v>0</v>
      </c>
      <c r="AH179" s="128">
        <v>0</v>
      </c>
      <c r="AI179" s="128">
        <v>0</v>
      </c>
      <c r="AJ179" s="128">
        <v>0</v>
      </c>
      <c r="AK179" s="128">
        <v>0</v>
      </c>
      <c r="AL179" s="128">
        <v>0</v>
      </c>
      <c r="AM179" s="128">
        <v>0</v>
      </c>
      <c r="AN179" s="128">
        <v>0</v>
      </c>
      <c r="AO179" s="128">
        <v>0</v>
      </c>
      <c r="AP179" s="128">
        <v>0</v>
      </c>
      <c r="AQ179" s="128">
        <v>0</v>
      </c>
      <c r="AR179" s="128">
        <v>0</v>
      </c>
      <c r="AS179" s="288">
        <v>0</v>
      </c>
      <c r="AT179" s="288">
        <v>-10</v>
      </c>
      <c r="AU179" s="288">
        <v>0</v>
      </c>
      <c r="AV179" s="288">
        <v>0</v>
      </c>
      <c r="AW179" s="158">
        <v>-5</v>
      </c>
      <c r="AX179" s="158">
        <v>0</v>
      </c>
      <c r="AY179" s="158">
        <v>0</v>
      </c>
      <c r="AZ179" s="158">
        <v>0</v>
      </c>
      <c r="BA179" s="158">
        <v>0</v>
      </c>
      <c r="BB179" s="158">
        <v>0</v>
      </c>
      <c r="BC179" s="158">
        <v>0</v>
      </c>
      <c r="BD179" s="158">
        <v>0</v>
      </c>
      <c r="BE179" s="158">
        <v>0</v>
      </c>
      <c r="BF179" s="288">
        <v>0</v>
      </c>
      <c r="BG179" s="288">
        <v>0</v>
      </c>
      <c r="BH179" s="288">
        <v>0</v>
      </c>
      <c r="BI179" s="288">
        <v>0</v>
      </c>
      <c r="BJ179" s="288">
        <v>0</v>
      </c>
      <c r="BK179" s="288">
        <v>0</v>
      </c>
      <c r="BL179" s="129">
        <v>0</v>
      </c>
      <c r="BM179" s="129">
        <v>0</v>
      </c>
      <c r="BN179" s="129">
        <v>0</v>
      </c>
      <c r="BO179" s="288">
        <v>0</v>
      </c>
      <c r="BP179" s="288">
        <v>0</v>
      </c>
      <c r="BQ179" s="288">
        <v>0</v>
      </c>
      <c r="BR179" s="288">
        <v>0</v>
      </c>
      <c r="BS179" s="288">
        <v>0</v>
      </c>
      <c r="BT179" s="288">
        <v>0</v>
      </c>
    </row>
    <row r="180" spans="2:73" s="136" customFormat="1">
      <c r="B180" s="154" t="s">
        <v>1028</v>
      </c>
      <c r="C180" s="134" t="s">
        <v>1029</v>
      </c>
      <c r="D180" s="134"/>
      <c r="E180" s="134"/>
      <c r="F180" s="134"/>
      <c r="G180" s="134"/>
      <c r="H180" s="134"/>
      <c r="I180" s="134"/>
      <c r="J180" s="135"/>
      <c r="K180" s="135"/>
      <c r="L180" s="135"/>
      <c r="M180" s="135"/>
      <c r="N180" s="135"/>
      <c r="O180" s="135"/>
      <c r="P180" s="135"/>
      <c r="Q180" s="135"/>
      <c r="R180" s="135"/>
      <c r="S180" s="135"/>
      <c r="T180" s="135"/>
      <c r="U180" s="135"/>
      <c r="V180" s="135"/>
      <c r="W180" s="135"/>
      <c r="X180" s="135"/>
      <c r="Y180" s="135"/>
      <c r="Z180" s="135">
        <v>-165.36778679099999</v>
      </c>
      <c r="AA180" s="135">
        <v>529.35375407399999</v>
      </c>
      <c r="AB180" s="135">
        <v>-25.696574389999999</v>
      </c>
      <c r="AC180" s="135">
        <v>-238.624659385</v>
      </c>
      <c r="AD180" s="135">
        <v>-32.563894603999998</v>
      </c>
      <c r="AE180" s="135">
        <v>418.41201458400002</v>
      </c>
      <c r="AF180" s="135">
        <v>82.946682288000005</v>
      </c>
      <c r="AG180" s="135">
        <v>-1110.266178348</v>
      </c>
      <c r="AH180" s="135">
        <v>299.84340392899998</v>
      </c>
      <c r="AI180" s="135">
        <v>829.44231034999996</v>
      </c>
      <c r="AJ180" s="135">
        <v>-618.64683555900001</v>
      </c>
      <c r="AK180" s="135">
        <v>-1114.5422927740001</v>
      </c>
      <c r="AL180" s="135">
        <v>-376.34595054499999</v>
      </c>
      <c r="AM180" s="135">
        <v>2770.555584705</v>
      </c>
      <c r="AN180" s="135">
        <v>1840.1190940910001</v>
      </c>
      <c r="AO180" s="135">
        <v>-1544.378036182</v>
      </c>
      <c r="AP180" s="135">
        <v>-1720.8006286970001</v>
      </c>
      <c r="AQ180" s="135">
        <v>2145.3656414369998</v>
      </c>
      <c r="AR180" s="135">
        <v>1833.8910336470001</v>
      </c>
      <c r="AS180" s="155">
        <v>-9.5836255260000005</v>
      </c>
      <c r="AT180" s="155">
        <v>439.50364299799998</v>
      </c>
      <c r="AU180" s="155">
        <v>3536.8789403410001</v>
      </c>
      <c r="AV180" s="155">
        <v>-531.79625767699997</v>
      </c>
      <c r="AW180" s="155">
        <v>-4730.0953020110001</v>
      </c>
      <c r="AX180" s="155">
        <v>3829.19846362</v>
      </c>
      <c r="AY180" s="155">
        <v>4672.979639655</v>
      </c>
      <c r="AZ180" s="155">
        <v>1997.4467077879999</v>
      </c>
      <c r="BA180" s="155">
        <v>292.90440771099998</v>
      </c>
      <c r="BB180" s="155">
        <v>-1859.318541028</v>
      </c>
      <c r="BC180" s="155">
        <v>2500.0235658440001</v>
      </c>
      <c r="BD180" s="155">
        <v>1642.36645681</v>
      </c>
      <c r="BE180" s="155">
        <v>-2262.3971980770002</v>
      </c>
      <c r="BF180" s="155">
        <v>-3382.052185306</v>
      </c>
      <c r="BG180" s="155">
        <v>4346.8659845620004</v>
      </c>
      <c r="BH180" s="155">
        <v>1026.5724797979999</v>
      </c>
      <c r="BI180" s="155">
        <v>5932.0264023609998</v>
      </c>
      <c r="BJ180" s="155">
        <v>4074.4840547899998</v>
      </c>
      <c r="BK180" s="155">
        <v>-616.182803638</v>
      </c>
      <c r="BL180" s="136">
        <v>-1146.596312593</v>
      </c>
      <c r="BM180" s="136">
        <v>1166.7124186189999</v>
      </c>
      <c r="BN180" s="135">
        <v>4841.8</v>
      </c>
      <c r="BO180" s="155">
        <v>2619.145699357</v>
      </c>
      <c r="BP180" s="155">
        <v>921.49</v>
      </c>
      <c r="BQ180" s="155">
        <v>128.43550692900001</v>
      </c>
      <c r="BR180" s="155">
        <v>2489.5253434289998</v>
      </c>
      <c r="BS180" s="155">
        <v>1493.4666913599999</v>
      </c>
      <c r="BT180" s="155">
        <v>2775.816846232</v>
      </c>
      <c r="BU180" s="155"/>
    </row>
    <row r="181" spans="2:73" s="302" customFormat="1">
      <c r="B181" s="297" t="s">
        <v>1030</v>
      </c>
      <c r="C181" s="298" t="s">
        <v>1031</v>
      </c>
      <c r="D181" s="298"/>
      <c r="E181" s="298"/>
      <c r="F181" s="298"/>
      <c r="G181" s="298"/>
      <c r="H181" s="298"/>
      <c r="I181" s="298"/>
      <c r="J181" s="299"/>
      <c r="K181" s="299"/>
      <c r="L181" s="299"/>
      <c r="M181" s="299"/>
      <c r="N181" s="299"/>
      <c r="O181" s="299"/>
      <c r="P181" s="299"/>
      <c r="Q181" s="299"/>
      <c r="R181" s="299"/>
      <c r="S181" s="299"/>
      <c r="T181" s="299"/>
      <c r="U181" s="299"/>
      <c r="V181" s="299"/>
      <c r="W181" s="299"/>
      <c r="X181" s="299"/>
      <c r="Y181" s="299"/>
      <c r="Z181" s="299">
        <v>-4.5735934509999998</v>
      </c>
      <c r="AA181" s="299">
        <v>-54.144756546000004</v>
      </c>
      <c r="AB181" s="299">
        <v>-33.481214362999999</v>
      </c>
      <c r="AC181" s="299">
        <v>-174.19696023899999</v>
      </c>
      <c r="AD181" s="299">
        <v>-106.96951814099999</v>
      </c>
      <c r="AE181" s="299">
        <v>-143.414320833</v>
      </c>
      <c r="AF181" s="299">
        <v>-151.948695136</v>
      </c>
      <c r="AG181" s="299">
        <v>-184.185363362</v>
      </c>
      <c r="AH181" s="299">
        <v>-161.389516512</v>
      </c>
      <c r="AI181" s="299">
        <v>-234.68091989199999</v>
      </c>
      <c r="AJ181" s="299">
        <v>-406.85490520799999</v>
      </c>
      <c r="AK181" s="299">
        <v>-457.49020444799999</v>
      </c>
      <c r="AL181" s="299">
        <v>-314.12481818999998</v>
      </c>
      <c r="AM181" s="299">
        <v>-517.24500268099996</v>
      </c>
      <c r="AN181" s="299">
        <v>-415.59342231300002</v>
      </c>
      <c r="AO181" s="299">
        <v>-840.29638833499996</v>
      </c>
      <c r="AP181" s="299">
        <v>-531.75777357200002</v>
      </c>
      <c r="AQ181" s="299">
        <v>-224.064921078</v>
      </c>
      <c r="AR181" s="299">
        <v>-278.49911333199998</v>
      </c>
      <c r="AS181" s="300">
        <v>-449.34793540200002</v>
      </c>
      <c r="AT181" s="300">
        <v>-357.196267154</v>
      </c>
      <c r="AU181" s="300">
        <v>-528.52583998399996</v>
      </c>
      <c r="AV181" s="300">
        <v>-872.29960020700003</v>
      </c>
      <c r="AW181" s="301">
        <v>-1308.8994567950001</v>
      </c>
      <c r="AX181" s="301">
        <v>-667.96818679600005</v>
      </c>
      <c r="AY181" s="301">
        <v>-992.44568620699999</v>
      </c>
      <c r="AZ181" s="301">
        <v>-1007.899391738</v>
      </c>
      <c r="BA181" s="301">
        <v>-1243.044895261</v>
      </c>
      <c r="BB181" s="301">
        <v>-889.59682549000001</v>
      </c>
      <c r="BC181" s="301">
        <v>-1451.652365381</v>
      </c>
      <c r="BD181" s="301">
        <v>-1321.8980671060001</v>
      </c>
      <c r="BE181" s="301">
        <v>-1300.7361207219999</v>
      </c>
      <c r="BF181" s="300">
        <v>-661.85156050099999</v>
      </c>
      <c r="BG181" s="300">
        <v>-1244.8957580419999</v>
      </c>
      <c r="BH181" s="300">
        <v>-885.44252044799998</v>
      </c>
      <c r="BI181" s="300">
        <v>-1619.3698463979999</v>
      </c>
      <c r="BJ181" s="300">
        <v>-309.97669331700001</v>
      </c>
      <c r="BK181" s="300">
        <v>-128.11193515799999</v>
      </c>
      <c r="BL181" s="302">
        <v>-169.71757129900001</v>
      </c>
      <c r="BM181" s="302">
        <v>84.459988182000004</v>
      </c>
      <c r="BN181" s="302">
        <v>-22.51</v>
      </c>
      <c r="BO181" s="300">
        <v>70.487406066999995</v>
      </c>
      <c r="BP181" s="300">
        <v>-192.92</v>
      </c>
      <c r="BQ181" s="300">
        <v>-62.842918607000001</v>
      </c>
      <c r="BR181" s="300">
        <v>-163.05494624900001</v>
      </c>
      <c r="BS181" s="300">
        <v>-411.54801924600002</v>
      </c>
      <c r="BT181" s="300">
        <v>-119.682197534</v>
      </c>
      <c r="BU181" s="300"/>
    </row>
    <row r="182" spans="2:73">
      <c r="B182" s="140" t="s">
        <v>1032</v>
      </c>
      <c r="C182" s="127" t="s">
        <v>1033</v>
      </c>
      <c r="D182" s="127"/>
      <c r="E182" s="127"/>
      <c r="F182" s="127"/>
      <c r="G182" s="127"/>
      <c r="H182" s="127"/>
      <c r="I182" s="127"/>
      <c r="J182" s="128"/>
      <c r="K182" s="128"/>
      <c r="L182" s="128"/>
      <c r="M182" s="128"/>
      <c r="N182" s="128"/>
      <c r="O182" s="128"/>
      <c r="P182" s="128"/>
      <c r="Q182" s="128"/>
      <c r="R182" s="128"/>
      <c r="S182" s="128"/>
      <c r="T182" s="128"/>
      <c r="U182" s="128"/>
      <c r="V182" s="128"/>
      <c r="W182" s="128"/>
      <c r="X182" s="128"/>
      <c r="Y182" s="128"/>
      <c r="Z182" s="128">
        <v>0</v>
      </c>
      <c r="AA182" s="128">
        <v>1.0470198829999999</v>
      </c>
      <c r="AB182" s="128">
        <v>0.400909091</v>
      </c>
      <c r="AC182" s="128">
        <v>0</v>
      </c>
      <c r="AD182" s="128">
        <v>0</v>
      </c>
      <c r="AE182" s="128">
        <v>0</v>
      </c>
      <c r="AF182" s="128">
        <v>0</v>
      </c>
      <c r="AG182" s="128">
        <v>0</v>
      </c>
      <c r="AH182" s="128">
        <v>0</v>
      </c>
      <c r="AI182" s="128">
        <v>0</v>
      </c>
      <c r="AJ182" s="128">
        <v>0</v>
      </c>
      <c r="AK182" s="128">
        <v>0</v>
      </c>
      <c r="AL182" s="128">
        <v>0</v>
      </c>
      <c r="AM182" s="128">
        <v>0</v>
      </c>
      <c r="AN182" s="128">
        <v>0.18</v>
      </c>
      <c r="AO182" s="128">
        <v>0</v>
      </c>
      <c r="AP182" s="128">
        <v>0</v>
      </c>
      <c r="AQ182" s="128">
        <v>0</v>
      </c>
      <c r="AR182" s="128">
        <v>3.402406949</v>
      </c>
      <c r="AS182" s="288">
        <v>-2.0625068689999999</v>
      </c>
      <c r="AT182" s="288">
        <v>6.3731889199999996</v>
      </c>
      <c r="AU182" s="288">
        <v>-5.8116361669999996</v>
      </c>
      <c r="AV182" s="288">
        <v>0.34096819099999998</v>
      </c>
      <c r="AW182" s="158">
        <v>0</v>
      </c>
      <c r="AX182" s="158">
        <v>0.21777096900000001</v>
      </c>
      <c r="AY182" s="158">
        <v>0.131455076</v>
      </c>
      <c r="AZ182" s="158">
        <v>0.68708145899999995</v>
      </c>
      <c r="BA182" s="158">
        <v>0.98176779999999997</v>
      </c>
      <c r="BB182" s="158">
        <v>2.0180753039999999</v>
      </c>
      <c r="BC182" s="158">
        <v>-1.5812402169999999</v>
      </c>
      <c r="BD182" s="158">
        <v>0.44717772300000003</v>
      </c>
      <c r="BE182" s="158">
        <v>0.22300786</v>
      </c>
      <c r="BF182" s="288">
        <v>1.302110694</v>
      </c>
      <c r="BG182" s="288">
        <v>0.81101059399999997</v>
      </c>
      <c r="BH182" s="288">
        <v>1.9172535740000001</v>
      </c>
      <c r="BI182" s="288">
        <v>0.18706677799999999</v>
      </c>
      <c r="BJ182" s="288">
        <v>2.3700998000000002</v>
      </c>
      <c r="BK182" s="288">
        <v>-0.44969704999999999</v>
      </c>
      <c r="BL182" s="129">
        <v>4.4171878380000003</v>
      </c>
      <c r="BM182" s="129">
        <v>17.874623315000001</v>
      </c>
      <c r="BN182" s="129">
        <v>10.5</v>
      </c>
      <c r="BO182" s="288">
        <v>1.1961713650000001</v>
      </c>
      <c r="BP182" s="288">
        <v>13.74</v>
      </c>
      <c r="BQ182" s="288">
        <v>7.320550677</v>
      </c>
      <c r="BR182" s="288">
        <v>0.755077318</v>
      </c>
      <c r="BS182" s="288">
        <v>1.755696465</v>
      </c>
      <c r="BT182" s="288">
        <v>4.7536365690000002</v>
      </c>
    </row>
    <row r="183" spans="2:73">
      <c r="B183" s="140" t="s">
        <v>1034</v>
      </c>
      <c r="C183" s="127" t="s">
        <v>1035</v>
      </c>
      <c r="D183" s="127"/>
      <c r="E183" s="127"/>
      <c r="F183" s="127"/>
      <c r="G183" s="127"/>
      <c r="H183" s="127"/>
      <c r="I183" s="127"/>
      <c r="J183" s="128"/>
      <c r="K183" s="128"/>
      <c r="L183" s="128"/>
      <c r="M183" s="128"/>
      <c r="N183" s="128"/>
      <c r="O183" s="128"/>
      <c r="P183" s="128"/>
      <c r="Q183" s="128"/>
      <c r="R183" s="128"/>
      <c r="S183" s="128"/>
      <c r="T183" s="128"/>
      <c r="U183" s="128"/>
      <c r="V183" s="128"/>
      <c r="W183" s="128"/>
      <c r="X183" s="128"/>
      <c r="Y183" s="128"/>
      <c r="Z183" s="128">
        <v>0</v>
      </c>
      <c r="AA183" s="128">
        <v>0</v>
      </c>
      <c r="AB183" s="128">
        <v>50</v>
      </c>
      <c r="AC183" s="128">
        <v>0</v>
      </c>
      <c r="AD183" s="128">
        <v>0</v>
      </c>
      <c r="AE183" s="128">
        <v>0</v>
      </c>
      <c r="AF183" s="128">
        <v>0</v>
      </c>
      <c r="AG183" s="128">
        <v>0</v>
      </c>
      <c r="AH183" s="128">
        <v>0</v>
      </c>
      <c r="AI183" s="128">
        <v>0</v>
      </c>
      <c r="AJ183" s="128">
        <v>0</v>
      </c>
      <c r="AK183" s="128">
        <v>0</v>
      </c>
      <c r="AL183" s="128">
        <v>0</v>
      </c>
      <c r="AM183" s="128">
        <v>0</v>
      </c>
      <c r="AN183" s="128">
        <v>0</v>
      </c>
      <c r="AO183" s="128">
        <v>-210.28</v>
      </c>
      <c r="AP183" s="128">
        <v>-2.5674999999999999</v>
      </c>
      <c r="AQ183" s="128">
        <v>-695.43465384399997</v>
      </c>
      <c r="AR183" s="128">
        <v>3.1510484120000002</v>
      </c>
      <c r="AS183" s="288">
        <v>608.928653693</v>
      </c>
      <c r="AT183" s="288">
        <v>-3793</v>
      </c>
      <c r="AU183" s="288">
        <v>-2289.4775482609998</v>
      </c>
      <c r="AV183" s="288">
        <v>-1533.832981258</v>
      </c>
      <c r="AW183" s="158">
        <v>-1245.4698630150001</v>
      </c>
      <c r="AX183" s="158">
        <v>-2377</v>
      </c>
      <c r="AY183" s="158">
        <v>-5323.2</v>
      </c>
      <c r="AZ183" s="158">
        <v>-2938.3545479459999</v>
      </c>
      <c r="BA183" s="158">
        <v>-36.4</v>
      </c>
      <c r="BB183" s="158">
        <v>-5884.3117095910002</v>
      </c>
      <c r="BC183" s="158">
        <v>-4733.6511068469999</v>
      </c>
      <c r="BD183" s="158">
        <v>-541.78208047600003</v>
      </c>
      <c r="BE183" s="158">
        <v>-13953.916755013999</v>
      </c>
      <c r="BF183" s="288">
        <v>-8616.0762511350003</v>
      </c>
      <c r="BG183" s="288">
        <v>-3546.4817222199999</v>
      </c>
      <c r="BH183" s="288">
        <v>-2926.2400721479999</v>
      </c>
      <c r="BI183" s="288">
        <v>-5710.3360198279997</v>
      </c>
      <c r="BJ183" s="288">
        <v>-11460.664759521</v>
      </c>
      <c r="BK183" s="288">
        <v>-6669.8242404789999</v>
      </c>
      <c r="BL183" s="129">
        <v>-6816.0462783370003</v>
      </c>
      <c r="BM183" s="129">
        <v>-8000.132052985</v>
      </c>
      <c r="BN183" s="128">
        <v>-12857.09</v>
      </c>
      <c r="BO183" s="288">
        <v>-12886.534558449001</v>
      </c>
      <c r="BP183" s="288">
        <v>-7206.86</v>
      </c>
      <c r="BQ183" s="288">
        <v>-13877.893512375</v>
      </c>
      <c r="BR183" s="288">
        <v>-12842.790158451</v>
      </c>
      <c r="BS183" s="288">
        <v>-13442.045712675001</v>
      </c>
      <c r="BT183" s="288">
        <v>-13513.380882621001</v>
      </c>
    </row>
    <row r="184" spans="2:73">
      <c r="B184" s="140" t="s">
        <v>1036</v>
      </c>
      <c r="C184" s="127" t="s">
        <v>1037</v>
      </c>
      <c r="D184" s="127"/>
      <c r="E184" s="127"/>
      <c r="F184" s="127"/>
      <c r="G184" s="127"/>
      <c r="H184" s="127"/>
      <c r="I184" s="127"/>
      <c r="J184" s="128"/>
      <c r="K184" s="128"/>
      <c r="L184" s="128"/>
      <c r="M184" s="128"/>
      <c r="N184" s="128"/>
      <c r="O184" s="128"/>
      <c r="P184" s="128"/>
      <c r="Q184" s="128"/>
      <c r="R184" s="128"/>
      <c r="S184" s="128"/>
      <c r="T184" s="128"/>
      <c r="U184" s="128"/>
      <c r="V184" s="128"/>
      <c r="W184" s="128"/>
      <c r="X184" s="128"/>
      <c r="Y184" s="128"/>
      <c r="Z184" s="128">
        <v>0</v>
      </c>
      <c r="AA184" s="128">
        <v>0</v>
      </c>
      <c r="AB184" s="128">
        <v>0</v>
      </c>
      <c r="AC184" s="128">
        <v>0</v>
      </c>
      <c r="AD184" s="128">
        <v>0</v>
      </c>
      <c r="AE184" s="128">
        <v>0</v>
      </c>
      <c r="AF184" s="128">
        <v>0</v>
      </c>
      <c r="AG184" s="128">
        <v>0</v>
      </c>
      <c r="AH184" s="128">
        <v>0</v>
      </c>
      <c r="AI184" s="128">
        <v>0</v>
      </c>
      <c r="AJ184" s="128">
        <v>0</v>
      </c>
      <c r="AK184" s="128">
        <v>0</v>
      </c>
      <c r="AL184" s="128">
        <v>0</v>
      </c>
      <c r="AM184" s="128">
        <v>0</v>
      </c>
      <c r="AN184" s="128">
        <v>0</v>
      </c>
      <c r="AO184" s="128">
        <v>125.58</v>
      </c>
      <c r="AP184" s="128">
        <v>0</v>
      </c>
      <c r="AQ184" s="128">
        <v>0</v>
      </c>
      <c r="AR184" s="128">
        <v>0</v>
      </c>
      <c r="AS184" s="288">
        <v>0</v>
      </c>
      <c r="AT184" s="288">
        <v>13.922451739</v>
      </c>
      <c r="AU184" s="288">
        <v>-13.922451739</v>
      </c>
      <c r="AV184" s="288">
        <v>3391.832981258</v>
      </c>
      <c r="AW184" s="158">
        <v>2445.8698630150002</v>
      </c>
      <c r="AX184" s="158">
        <v>1714</v>
      </c>
      <c r="AY184" s="158">
        <v>410.8</v>
      </c>
      <c r="AZ184" s="158">
        <v>1032.4000000000001</v>
      </c>
      <c r="BA184" s="158">
        <v>2517.4357260279999</v>
      </c>
      <c r="BB184" s="158">
        <v>1194.2630575359999</v>
      </c>
      <c r="BC184" s="158">
        <v>3456.5732376750002</v>
      </c>
      <c r="BD184" s="158">
        <v>1817.0975256219999</v>
      </c>
      <c r="BE184" s="158">
        <v>12386.420318306</v>
      </c>
      <c r="BF184" s="288">
        <v>11194.475246487</v>
      </c>
      <c r="BG184" s="288">
        <v>2955.5612564200001</v>
      </c>
      <c r="BH184" s="288">
        <v>6242.6547911799998</v>
      </c>
      <c r="BI184" s="288">
        <v>5459.2747769819998</v>
      </c>
      <c r="BJ184" s="288">
        <v>4501.7614345550001</v>
      </c>
      <c r="BK184" s="288">
        <v>2719.0388930170002</v>
      </c>
      <c r="BL184" s="129">
        <v>6893.1189191829999</v>
      </c>
      <c r="BM184" s="129">
        <v>7486.4893663840003</v>
      </c>
      <c r="BN184" s="128">
        <v>7496.01</v>
      </c>
      <c r="BO184" s="288">
        <v>10309.832935984999</v>
      </c>
      <c r="BP184" s="288">
        <v>9836.2199999999993</v>
      </c>
      <c r="BQ184" s="288">
        <v>6116.3275064600002</v>
      </c>
      <c r="BR184" s="288">
        <v>8842.4314952519999</v>
      </c>
      <c r="BS184" s="288">
        <v>9722.3107885499994</v>
      </c>
      <c r="BT184" s="288">
        <v>14012.658540167</v>
      </c>
    </row>
    <row r="185" spans="2:73">
      <c r="B185" s="140" t="s">
        <v>1038</v>
      </c>
      <c r="C185" s="127" t="s">
        <v>1039</v>
      </c>
      <c r="D185" s="127"/>
      <c r="E185" s="127"/>
      <c r="F185" s="127"/>
      <c r="G185" s="127"/>
      <c r="H185" s="127"/>
      <c r="I185" s="127"/>
      <c r="J185" s="128"/>
      <c r="K185" s="128"/>
      <c r="L185" s="128"/>
      <c r="M185" s="128"/>
      <c r="N185" s="128"/>
      <c r="O185" s="128"/>
      <c r="P185" s="128"/>
      <c r="Q185" s="128"/>
      <c r="R185" s="128"/>
      <c r="S185" s="128"/>
      <c r="T185" s="128"/>
      <c r="U185" s="128"/>
      <c r="V185" s="128"/>
      <c r="W185" s="128"/>
      <c r="X185" s="128"/>
      <c r="Y185" s="128"/>
      <c r="Z185" s="128">
        <v>0</v>
      </c>
      <c r="AA185" s="128">
        <v>-50</v>
      </c>
      <c r="AB185" s="128">
        <v>-50</v>
      </c>
      <c r="AC185" s="128">
        <v>0</v>
      </c>
      <c r="AD185" s="128">
        <v>0</v>
      </c>
      <c r="AE185" s="128">
        <v>0</v>
      </c>
      <c r="AF185" s="128">
        <v>-72.239580000000004</v>
      </c>
      <c r="AG185" s="128">
        <v>0</v>
      </c>
      <c r="AH185" s="128">
        <v>0</v>
      </c>
      <c r="AI185" s="128">
        <v>0</v>
      </c>
      <c r="AJ185" s="128">
        <v>0</v>
      </c>
      <c r="AK185" s="128">
        <v>0</v>
      </c>
      <c r="AL185" s="128">
        <v>0</v>
      </c>
      <c r="AM185" s="128">
        <v>0</v>
      </c>
      <c r="AN185" s="128">
        <v>0</v>
      </c>
      <c r="AO185" s="128">
        <v>0</v>
      </c>
      <c r="AP185" s="128">
        <v>-805.02677223399996</v>
      </c>
      <c r="AQ185" s="128">
        <v>-23.139697906999999</v>
      </c>
      <c r="AR185" s="128">
        <v>0</v>
      </c>
      <c r="AS185" s="288">
        <v>0</v>
      </c>
      <c r="AT185" s="288">
        <v>0</v>
      </c>
      <c r="AU185" s="288">
        <v>0</v>
      </c>
      <c r="AV185" s="288">
        <v>0</v>
      </c>
      <c r="AW185" s="158">
        <v>0</v>
      </c>
      <c r="AX185" s="158">
        <v>0</v>
      </c>
      <c r="AY185" s="158">
        <v>0</v>
      </c>
      <c r="AZ185" s="158">
        <v>0</v>
      </c>
      <c r="BA185" s="158">
        <v>0</v>
      </c>
      <c r="BB185" s="158">
        <v>0</v>
      </c>
      <c r="BC185" s="158">
        <v>0</v>
      </c>
      <c r="BD185" s="158">
        <v>0</v>
      </c>
      <c r="BE185" s="158">
        <v>0</v>
      </c>
      <c r="BF185" s="288">
        <v>0</v>
      </c>
      <c r="BG185" s="288">
        <v>-181.03484</v>
      </c>
      <c r="BH185" s="288">
        <v>0</v>
      </c>
      <c r="BI185" s="288">
        <v>0</v>
      </c>
      <c r="BJ185" s="288">
        <v>0</v>
      </c>
      <c r="BK185" s="288">
        <v>0</v>
      </c>
      <c r="BL185" s="129">
        <v>0</v>
      </c>
      <c r="BM185" s="129">
        <v>-105.597412729</v>
      </c>
      <c r="BN185" s="129">
        <v>0</v>
      </c>
      <c r="BO185" s="288">
        <v>0</v>
      </c>
      <c r="BP185" s="288">
        <v>0</v>
      </c>
      <c r="BQ185" s="288">
        <v>0</v>
      </c>
      <c r="BR185" s="288">
        <v>0</v>
      </c>
      <c r="BS185" s="288">
        <v>0</v>
      </c>
      <c r="BT185" s="288">
        <v>0</v>
      </c>
    </row>
    <row r="186" spans="2:73">
      <c r="B186" s="140" t="s">
        <v>1040</v>
      </c>
      <c r="C186" s="127" t="s">
        <v>1041</v>
      </c>
      <c r="D186" s="127"/>
      <c r="E186" s="127"/>
      <c r="F186" s="127"/>
      <c r="G186" s="127"/>
      <c r="H186" s="127"/>
      <c r="I186" s="127"/>
      <c r="J186" s="128"/>
      <c r="K186" s="128"/>
      <c r="L186" s="128"/>
      <c r="M186" s="128"/>
      <c r="N186" s="128"/>
      <c r="O186" s="128"/>
      <c r="P186" s="128"/>
      <c r="Q186" s="128"/>
      <c r="R186" s="128"/>
      <c r="S186" s="128"/>
      <c r="T186" s="128"/>
      <c r="U186" s="128"/>
      <c r="V186" s="128"/>
      <c r="W186" s="128"/>
      <c r="X186" s="128"/>
      <c r="Y186" s="128"/>
      <c r="Z186" s="128">
        <v>0</v>
      </c>
      <c r="AA186" s="128">
        <v>0</v>
      </c>
      <c r="AB186" s="128">
        <v>0</v>
      </c>
      <c r="AC186" s="128">
        <v>0</v>
      </c>
      <c r="AD186" s="128">
        <v>0</v>
      </c>
      <c r="AE186" s="128">
        <v>0</v>
      </c>
      <c r="AF186" s="128">
        <v>0</v>
      </c>
      <c r="AG186" s="128">
        <v>0</v>
      </c>
      <c r="AH186" s="128">
        <v>0</v>
      </c>
      <c r="AI186" s="128">
        <v>0</v>
      </c>
      <c r="AJ186" s="128">
        <v>0</v>
      </c>
      <c r="AK186" s="128">
        <v>0</v>
      </c>
      <c r="AL186" s="128">
        <v>0</v>
      </c>
      <c r="AM186" s="128">
        <v>0</v>
      </c>
      <c r="AN186" s="128">
        <v>0</v>
      </c>
      <c r="AO186" s="128">
        <v>0</v>
      </c>
      <c r="AP186" s="128">
        <v>0</v>
      </c>
      <c r="AQ186" s="128">
        <v>0</v>
      </c>
      <c r="AR186" s="128">
        <v>0</v>
      </c>
      <c r="AS186" s="288">
        <v>0</v>
      </c>
      <c r="AT186" s="288">
        <v>0</v>
      </c>
      <c r="AU186" s="288">
        <v>0</v>
      </c>
      <c r="AV186" s="288">
        <v>0</v>
      </c>
      <c r="AW186" s="158">
        <v>0</v>
      </c>
      <c r="AX186" s="158">
        <v>0</v>
      </c>
      <c r="AY186" s="158">
        <v>0</v>
      </c>
      <c r="AZ186" s="158">
        <v>0</v>
      </c>
      <c r="BA186" s="158">
        <v>0</v>
      </c>
      <c r="BB186" s="158">
        <v>0</v>
      </c>
      <c r="BC186" s="158">
        <v>0</v>
      </c>
      <c r="BD186" s="158">
        <v>0</v>
      </c>
      <c r="BE186" s="158">
        <v>0</v>
      </c>
      <c r="BF186" s="288">
        <v>0</v>
      </c>
      <c r="BG186" s="288">
        <v>0</v>
      </c>
      <c r="BH186" s="288">
        <v>0</v>
      </c>
      <c r="BI186" s="288">
        <v>0</v>
      </c>
      <c r="BJ186" s="288">
        <v>0</v>
      </c>
      <c r="BK186" s="288">
        <v>0</v>
      </c>
      <c r="BL186" s="129">
        <v>850.17601729800003</v>
      </c>
      <c r="BM186" s="129">
        <v>-850.17601729800003</v>
      </c>
      <c r="BN186" s="129">
        <v>0</v>
      </c>
      <c r="BO186" s="288">
        <v>0</v>
      </c>
      <c r="BP186" s="288">
        <v>1777.39</v>
      </c>
      <c r="BQ186" s="288">
        <v>-1777.3890769560001</v>
      </c>
      <c r="BR186" s="288">
        <v>0</v>
      </c>
      <c r="BS186" s="288">
        <v>0</v>
      </c>
      <c r="BT186" s="288">
        <v>1620.547815145</v>
      </c>
    </row>
    <row r="187" spans="2:73">
      <c r="B187" s="140" t="s">
        <v>1042</v>
      </c>
      <c r="C187" s="127" t="s">
        <v>1043</v>
      </c>
      <c r="D187" s="127"/>
      <c r="E187" s="127"/>
      <c r="F187" s="127"/>
      <c r="G187" s="127"/>
      <c r="H187" s="127"/>
      <c r="I187" s="127"/>
      <c r="J187" s="128"/>
      <c r="K187" s="128"/>
      <c r="L187" s="128"/>
      <c r="M187" s="128"/>
      <c r="N187" s="128"/>
      <c r="O187" s="128"/>
      <c r="P187" s="128"/>
      <c r="Q187" s="128"/>
      <c r="R187" s="128"/>
      <c r="S187" s="128"/>
      <c r="T187" s="128"/>
      <c r="U187" s="128"/>
      <c r="V187" s="128"/>
      <c r="W187" s="128"/>
      <c r="X187" s="128"/>
      <c r="Y187" s="128"/>
      <c r="Z187" s="128">
        <v>1.6293622919999999</v>
      </c>
      <c r="AA187" s="128">
        <v>0.46530719300000001</v>
      </c>
      <c r="AB187" s="128">
        <v>1.807559379</v>
      </c>
      <c r="AC187" s="128">
        <v>2.821415998</v>
      </c>
      <c r="AD187" s="128">
        <v>0.182416411</v>
      </c>
      <c r="AE187" s="128">
        <v>0.20746060299999999</v>
      </c>
      <c r="AF187" s="128">
        <v>0.24316204599999999</v>
      </c>
      <c r="AG187" s="128">
        <v>0.280621226</v>
      </c>
      <c r="AH187" s="128">
        <v>0.37458950800000002</v>
      </c>
      <c r="AI187" s="128">
        <v>0.378620558</v>
      </c>
      <c r="AJ187" s="128">
        <v>0.44688904400000001</v>
      </c>
      <c r="AK187" s="128">
        <v>0.59928758800000004</v>
      </c>
      <c r="AL187" s="128">
        <v>0.36263007000000003</v>
      </c>
      <c r="AM187" s="128">
        <v>0.52689660800000004</v>
      </c>
      <c r="AN187" s="128">
        <v>6.6709309540000001</v>
      </c>
      <c r="AO187" s="128">
        <v>21.814123296000002</v>
      </c>
      <c r="AP187" s="128">
        <v>3.0582180659999998</v>
      </c>
      <c r="AQ187" s="128">
        <v>15.123488975000001</v>
      </c>
      <c r="AR187" s="128">
        <v>7.9149780459999999</v>
      </c>
      <c r="AS187" s="288">
        <v>38.190149974000001</v>
      </c>
      <c r="AT187" s="288">
        <v>34.827988384000001</v>
      </c>
      <c r="AU187" s="288">
        <v>-3.2780078019999999</v>
      </c>
      <c r="AV187" s="288">
        <v>124.86012885700001</v>
      </c>
      <c r="AW187" s="158">
        <v>115.246349569</v>
      </c>
      <c r="AX187" s="158">
        <v>94.733329585999996</v>
      </c>
      <c r="AY187" s="158">
        <v>29.486054802000002</v>
      </c>
      <c r="AZ187" s="158">
        <v>51.021603472999999</v>
      </c>
      <c r="BA187" s="158">
        <v>160.15702612800001</v>
      </c>
      <c r="BB187" s="158">
        <v>321.96467802799998</v>
      </c>
      <c r="BC187" s="158">
        <v>46.987903574999997</v>
      </c>
      <c r="BD187" s="158">
        <v>270.835159788</v>
      </c>
      <c r="BE187" s="158">
        <v>280.060375002</v>
      </c>
      <c r="BF187" s="288">
        <v>551.42203559500001</v>
      </c>
      <c r="BG187" s="288">
        <v>183.806957608</v>
      </c>
      <c r="BH187" s="288">
        <v>229.96910687600001</v>
      </c>
      <c r="BI187" s="288">
        <v>172.34452147799999</v>
      </c>
      <c r="BJ187" s="288">
        <v>288.13571611499998</v>
      </c>
      <c r="BK187" s="288">
        <v>338.43833399099998</v>
      </c>
      <c r="BL187" s="129">
        <v>-663.29279666900004</v>
      </c>
      <c r="BM187" s="129">
        <v>1113.8239971139999</v>
      </c>
      <c r="BN187" s="129">
        <v>519.76</v>
      </c>
      <c r="BO187" s="288">
        <v>766.48764758899995</v>
      </c>
      <c r="BP187" s="288">
        <v>-1354.53</v>
      </c>
      <c r="BQ187" s="288">
        <v>2376.4786112669999</v>
      </c>
      <c r="BR187" s="288">
        <v>464.75723532900003</v>
      </c>
      <c r="BS187" s="288">
        <v>520.80878031199995</v>
      </c>
      <c r="BT187" s="288">
        <v>-987.78213356100002</v>
      </c>
    </row>
    <row r="188" spans="2:73" s="136" customFormat="1">
      <c r="B188" s="154" t="s">
        <v>1044</v>
      </c>
      <c r="C188" s="134" t="s">
        <v>1045</v>
      </c>
      <c r="D188" s="134"/>
      <c r="E188" s="134"/>
      <c r="F188" s="134"/>
      <c r="G188" s="134"/>
      <c r="H188" s="134"/>
      <c r="I188" s="134"/>
      <c r="J188" s="135"/>
      <c r="K188" s="135"/>
      <c r="L188" s="135"/>
      <c r="M188" s="135"/>
      <c r="N188" s="135"/>
      <c r="O188" s="135"/>
      <c r="P188" s="135"/>
      <c r="Q188" s="135"/>
      <c r="R188" s="135"/>
      <c r="S188" s="135"/>
      <c r="T188" s="135"/>
      <c r="U188" s="135"/>
      <c r="V188" s="135"/>
      <c r="W188" s="135"/>
      <c r="X188" s="135"/>
      <c r="Y188" s="135"/>
      <c r="Z188" s="135">
        <v>-2.9442311590000001</v>
      </c>
      <c r="AA188" s="135">
        <v>-102.63242947000001</v>
      </c>
      <c r="AB188" s="135">
        <v>-31.272745893</v>
      </c>
      <c r="AC188" s="135">
        <v>-171.375544241</v>
      </c>
      <c r="AD188" s="135">
        <v>-106.78710173</v>
      </c>
      <c r="AE188" s="135">
        <v>-143.20686022999999</v>
      </c>
      <c r="AF188" s="135">
        <v>-223.94511309000001</v>
      </c>
      <c r="AG188" s="135">
        <v>-183.90474213600001</v>
      </c>
      <c r="AH188" s="135">
        <v>-161.01492700399999</v>
      </c>
      <c r="AI188" s="135">
        <v>-234.302299334</v>
      </c>
      <c r="AJ188" s="135">
        <v>-406.408016164</v>
      </c>
      <c r="AK188" s="135">
        <v>-456.89091686</v>
      </c>
      <c r="AL188" s="135">
        <v>-313.76218812000002</v>
      </c>
      <c r="AM188" s="135">
        <v>-516.71810607299994</v>
      </c>
      <c r="AN188" s="135">
        <v>-408.74249135899998</v>
      </c>
      <c r="AO188" s="135">
        <v>-903.18226503899996</v>
      </c>
      <c r="AP188" s="135">
        <v>-1336.2938277400001</v>
      </c>
      <c r="AQ188" s="135">
        <v>-927.51578385400001</v>
      </c>
      <c r="AR188" s="135">
        <v>-264.03067992500002</v>
      </c>
      <c r="AS188" s="155">
        <v>195.70836139599999</v>
      </c>
      <c r="AT188" s="155">
        <v>-4095.0726381109998</v>
      </c>
      <c r="AU188" s="155">
        <v>-2841.0154839530001</v>
      </c>
      <c r="AV188" s="155">
        <v>1110.9014968409999</v>
      </c>
      <c r="AW188" s="155">
        <v>6.746892774</v>
      </c>
      <c r="AX188" s="155">
        <v>-1236.017086241</v>
      </c>
      <c r="AY188" s="155">
        <v>-5875.2281763290002</v>
      </c>
      <c r="AZ188" s="155">
        <v>-2862.1452547519998</v>
      </c>
      <c r="BA188" s="155">
        <v>1399.1296246950001</v>
      </c>
      <c r="BB188" s="155">
        <v>-5255.6627242129998</v>
      </c>
      <c r="BC188" s="155">
        <v>-2683.3235711950001</v>
      </c>
      <c r="BD188" s="155">
        <v>224.699715551</v>
      </c>
      <c r="BE188" s="155">
        <v>-2587.9491745680002</v>
      </c>
      <c r="BF188" s="155">
        <v>2469.2715811399999</v>
      </c>
      <c r="BG188" s="155">
        <v>-1832.2330956400001</v>
      </c>
      <c r="BH188" s="155">
        <v>2662.8585590339999</v>
      </c>
      <c r="BI188" s="155">
        <v>-1697.899500988</v>
      </c>
      <c r="BJ188" s="155">
        <v>-6978.3742023679997</v>
      </c>
      <c r="BK188" s="155">
        <v>-3740.9086456790001</v>
      </c>
      <c r="BL188" s="136">
        <v>98.655478013999996</v>
      </c>
      <c r="BM188" s="136">
        <v>-253.25750801699999</v>
      </c>
      <c r="BN188" s="135">
        <v>-4853.33</v>
      </c>
      <c r="BO188" s="155">
        <v>-1738.5303974430001</v>
      </c>
      <c r="BP188" s="155">
        <v>2873.03</v>
      </c>
      <c r="BQ188" s="155">
        <v>-7217.9988395339997</v>
      </c>
      <c r="BR188" s="155">
        <v>-3697.9012968010002</v>
      </c>
      <c r="BS188" s="155">
        <v>-3608.7184665939999</v>
      </c>
      <c r="BT188" s="155">
        <v>1017.114778165</v>
      </c>
      <c r="BU188" s="155"/>
    </row>
    <row r="189" spans="2:73">
      <c r="B189" s="140" t="s">
        <v>1046</v>
      </c>
      <c r="C189" s="127" t="s">
        <v>1047</v>
      </c>
      <c r="D189" s="127"/>
      <c r="E189" s="127"/>
      <c r="F189" s="127"/>
      <c r="G189" s="127"/>
      <c r="H189" s="127"/>
      <c r="I189" s="127"/>
      <c r="J189" s="128"/>
      <c r="K189" s="128"/>
      <c r="L189" s="128"/>
      <c r="M189" s="128"/>
      <c r="N189" s="128"/>
      <c r="O189" s="128"/>
      <c r="P189" s="128"/>
      <c r="Q189" s="128"/>
      <c r="R189" s="128"/>
      <c r="S189" s="128"/>
      <c r="T189" s="128"/>
      <c r="U189" s="128"/>
      <c r="V189" s="128"/>
      <c r="W189" s="128"/>
      <c r="X189" s="128"/>
      <c r="Y189" s="128"/>
      <c r="Z189" s="128">
        <v>11.866630000000001</v>
      </c>
      <c r="AA189" s="128">
        <v>2.2970600000000001</v>
      </c>
      <c r="AB189" s="128">
        <v>0</v>
      </c>
      <c r="AC189" s="128">
        <v>-2.6519000000000001E-5</v>
      </c>
      <c r="AD189" s="128">
        <v>0</v>
      </c>
      <c r="AE189" s="128">
        <v>0</v>
      </c>
      <c r="AF189" s="128">
        <v>0</v>
      </c>
      <c r="AG189" s="128">
        <v>0</v>
      </c>
      <c r="AH189" s="128">
        <v>-0.15379999999999999</v>
      </c>
      <c r="AI189" s="128">
        <v>0</v>
      </c>
      <c r="AJ189" s="128">
        <v>0</v>
      </c>
      <c r="AK189" s="128">
        <v>-0.1615</v>
      </c>
      <c r="AL189" s="128">
        <v>0</v>
      </c>
      <c r="AM189" s="128">
        <v>0.24</v>
      </c>
      <c r="AN189" s="128">
        <v>0</v>
      </c>
      <c r="AO189" s="128">
        <v>92.226479999999995</v>
      </c>
      <c r="AP189" s="128">
        <v>576.5451372</v>
      </c>
      <c r="AQ189" s="128">
        <v>0</v>
      </c>
      <c r="AR189" s="128">
        <v>0.91452</v>
      </c>
      <c r="AS189" s="288">
        <v>128.32250999999999</v>
      </c>
      <c r="AT189" s="288">
        <v>0.48024</v>
      </c>
      <c r="AU189" s="288">
        <v>0</v>
      </c>
      <c r="AV189" s="288">
        <v>4.2549999999999999</v>
      </c>
      <c r="AW189" s="158">
        <v>85.719579999999993</v>
      </c>
      <c r="AX189" s="158">
        <v>105.20045</v>
      </c>
      <c r="AY189" s="158">
        <v>0</v>
      </c>
      <c r="AZ189" s="158">
        <v>0</v>
      </c>
      <c r="BA189" s="158">
        <v>0</v>
      </c>
      <c r="BB189" s="158">
        <v>135.18333000000001</v>
      </c>
      <c r="BC189" s="158">
        <v>93.069699999999997</v>
      </c>
      <c r="BD189" s="158">
        <v>0</v>
      </c>
      <c r="BE189" s="158">
        <v>0</v>
      </c>
      <c r="BF189" s="288">
        <v>191.90969999999999</v>
      </c>
      <c r="BG189" s="288">
        <v>0</v>
      </c>
      <c r="BH189" s="288">
        <v>0.71867000000000003</v>
      </c>
      <c r="BI189" s="288">
        <v>0</v>
      </c>
      <c r="BJ189" s="288">
        <v>0</v>
      </c>
      <c r="BK189" s="288">
        <v>0</v>
      </c>
      <c r="BL189" s="129">
        <v>0</v>
      </c>
      <c r="BM189" s="129">
        <v>0.44322</v>
      </c>
      <c r="BN189" s="128">
        <v>1773.37</v>
      </c>
      <c r="BO189" s="288">
        <v>5.1396121880000001</v>
      </c>
      <c r="BP189" s="288">
        <v>-6.87</v>
      </c>
      <c r="BQ189" s="288">
        <v>0</v>
      </c>
      <c r="BR189" s="288">
        <v>0</v>
      </c>
      <c r="BS189" s="288">
        <v>174.49</v>
      </c>
      <c r="BT189" s="288">
        <v>0</v>
      </c>
    </row>
    <row r="190" spans="2:73">
      <c r="B190" s="140" t="s">
        <v>1048</v>
      </c>
      <c r="C190" s="127" t="s">
        <v>1049</v>
      </c>
      <c r="D190" s="127"/>
      <c r="E190" s="127"/>
      <c r="F190" s="127"/>
      <c r="G190" s="127"/>
      <c r="H190" s="127"/>
      <c r="I190" s="127"/>
      <c r="J190" s="128"/>
      <c r="K190" s="128"/>
      <c r="L190" s="128"/>
      <c r="M190" s="128"/>
      <c r="N190" s="128"/>
      <c r="O190" s="128"/>
      <c r="P190" s="128"/>
      <c r="Q190" s="128"/>
      <c r="R190" s="128"/>
      <c r="S190" s="128"/>
      <c r="T190" s="128"/>
      <c r="U190" s="128"/>
      <c r="V190" s="128"/>
      <c r="W190" s="128"/>
      <c r="X190" s="128"/>
      <c r="Y190" s="128"/>
      <c r="Z190" s="128">
        <v>0</v>
      </c>
      <c r="AA190" s="128">
        <v>-0.30039450000000001</v>
      </c>
      <c r="AB190" s="128">
        <v>0</v>
      </c>
      <c r="AC190" s="128">
        <v>0</v>
      </c>
      <c r="AD190" s="128">
        <v>-1.2599</v>
      </c>
      <c r="AE190" s="128">
        <v>-0.64729999999999999</v>
      </c>
      <c r="AF190" s="128">
        <v>-0.10009999999999999</v>
      </c>
      <c r="AG190" s="128">
        <v>-0.14660000000000001</v>
      </c>
      <c r="AH190" s="128">
        <v>0</v>
      </c>
      <c r="AI190" s="128">
        <v>0</v>
      </c>
      <c r="AJ190" s="128">
        <v>-0.10595</v>
      </c>
      <c r="AK190" s="128">
        <v>0.10595</v>
      </c>
      <c r="AL190" s="128">
        <v>0</v>
      </c>
      <c r="AM190" s="128">
        <v>0</v>
      </c>
      <c r="AN190" s="128">
        <v>0</v>
      </c>
      <c r="AO190" s="128">
        <v>0</v>
      </c>
      <c r="AP190" s="128">
        <v>-0.26440000000000002</v>
      </c>
      <c r="AQ190" s="128">
        <v>0.83031999999999995</v>
      </c>
      <c r="AR190" s="128">
        <v>-0.99302000000000001</v>
      </c>
      <c r="AS190" s="288">
        <v>-0.72970000000000002</v>
      </c>
      <c r="AT190" s="288">
        <v>-1.889666133</v>
      </c>
      <c r="AU190" s="288">
        <v>-1.4978438670000001</v>
      </c>
      <c r="AV190" s="288">
        <v>-1.0016099999999999</v>
      </c>
      <c r="AW190" s="158">
        <v>-0.46094000000000002</v>
      </c>
      <c r="AX190" s="158">
        <v>-3.9256099999999998</v>
      </c>
      <c r="AY190" s="158">
        <v>0</v>
      </c>
      <c r="AZ190" s="158">
        <v>-1.37669</v>
      </c>
      <c r="BA190" s="158">
        <v>-0.73863000000000001</v>
      </c>
      <c r="BB190" s="158">
        <v>-0.36841000000000002</v>
      </c>
      <c r="BC190" s="158">
        <v>-0.83857000000000004</v>
      </c>
      <c r="BD190" s="158">
        <v>-0.39034999999999997</v>
      </c>
      <c r="BE190" s="158">
        <v>-0.72267000000000003</v>
      </c>
      <c r="BF190" s="288">
        <v>0</v>
      </c>
      <c r="BG190" s="288">
        <v>-1.6964999999999999</v>
      </c>
      <c r="BH190" s="288">
        <v>-1.5777099999999999</v>
      </c>
      <c r="BI190" s="288">
        <v>-1.75143</v>
      </c>
      <c r="BJ190" s="288">
        <v>-0.91110000000000002</v>
      </c>
      <c r="BK190" s="288">
        <v>-6.7529599999999999</v>
      </c>
      <c r="BL190" s="129">
        <v>-2.8800000000000002E-3</v>
      </c>
      <c r="BM190" s="129">
        <v>-2.1163400000000001</v>
      </c>
      <c r="BN190" s="129">
        <v>-1.54</v>
      </c>
      <c r="BO190" s="288">
        <v>-3.28789</v>
      </c>
      <c r="BP190" s="288">
        <v>0</v>
      </c>
      <c r="BQ190" s="288">
        <v>-4.3117900000000002</v>
      </c>
      <c r="BR190" s="288">
        <v>0</v>
      </c>
      <c r="BS190" s="288">
        <v>-3.2416100000000001</v>
      </c>
      <c r="BT190" s="288">
        <v>-1.52285</v>
      </c>
    </row>
    <row r="191" spans="2:73" s="136" customFormat="1">
      <c r="B191" s="154" t="s">
        <v>1050</v>
      </c>
      <c r="C191" s="134" t="s">
        <v>1051</v>
      </c>
      <c r="D191" s="134"/>
      <c r="E191" s="134"/>
      <c r="F191" s="134"/>
      <c r="G191" s="134"/>
      <c r="H191" s="134"/>
      <c r="I191" s="134"/>
      <c r="J191" s="135"/>
      <c r="K191" s="135"/>
      <c r="L191" s="135"/>
      <c r="M191" s="135"/>
      <c r="N191" s="135"/>
      <c r="O191" s="135"/>
      <c r="P191" s="135"/>
      <c r="Q191" s="135"/>
      <c r="R191" s="135"/>
      <c r="S191" s="135"/>
      <c r="T191" s="135"/>
      <c r="U191" s="135"/>
      <c r="V191" s="135"/>
      <c r="W191" s="135"/>
      <c r="X191" s="135"/>
      <c r="Y191" s="135"/>
      <c r="Z191" s="135">
        <v>1170.5110015830001</v>
      </c>
      <c r="AA191" s="135">
        <v>522.55193349000001</v>
      </c>
      <c r="AB191" s="135">
        <v>1060.1455137200001</v>
      </c>
      <c r="AC191" s="135">
        <v>1033.660863972</v>
      </c>
      <c r="AD191" s="135">
        <v>1866.7476561389999</v>
      </c>
      <c r="AE191" s="135">
        <v>1197.9646602949999</v>
      </c>
      <c r="AF191" s="135">
        <v>1497.7803166640001</v>
      </c>
      <c r="AG191" s="135">
        <v>3566.7692819230001</v>
      </c>
      <c r="AH191" s="135">
        <v>4401.1509383439998</v>
      </c>
      <c r="AI191" s="135">
        <v>4049.4508389520001</v>
      </c>
      <c r="AJ191" s="135">
        <v>4150.5943314169999</v>
      </c>
      <c r="AK191" s="135">
        <v>7408.3124333739997</v>
      </c>
      <c r="AL191" s="135">
        <v>9329.9275462149999</v>
      </c>
      <c r="AM191" s="135">
        <v>4874.4977298109998</v>
      </c>
      <c r="AN191" s="135">
        <v>6061.8579174440001</v>
      </c>
      <c r="AO191" s="135">
        <v>9195.4919337339998</v>
      </c>
      <c r="AP191" s="135">
        <v>8709.1199079369999</v>
      </c>
      <c r="AQ191" s="135">
        <v>8521.4698595169993</v>
      </c>
      <c r="AR191" s="135">
        <v>7558.7810740329996</v>
      </c>
      <c r="AS191" s="155">
        <v>7104.4343151849998</v>
      </c>
      <c r="AT191" s="155">
        <v>11468.684819485999</v>
      </c>
      <c r="AU191" s="155">
        <v>10162.086404547999</v>
      </c>
      <c r="AV191" s="155">
        <v>10180.021123545001</v>
      </c>
      <c r="AW191" s="155">
        <v>14095.159953663</v>
      </c>
      <c r="AX191" s="155">
        <v>12236.490776257</v>
      </c>
      <c r="AY191" s="155">
        <v>12298.384257784999</v>
      </c>
      <c r="AZ191" s="155">
        <v>11668.737316579</v>
      </c>
      <c r="BA191" s="155">
        <v>14964.549033263</v>
      </c>
      <c r="BB191" s="155">
        <v>12982.037839459999</v>
      </c>
      <c r="BC191" s="155">
        <v>18996.257010816</v>
      </c>
      <c r="BD191" s="155">
        <v>12408.461378259</v>
      </c>
      <c r="BE191" s="155">
        <v>19549.452019414999</v>
      </c>
      <c r="BF191" s="155">
        <v>20043.690263193999</v>
      </c>
      <c r="BG191" s="155">
        <v>14263.849962306</v>
      </c>
      <c r="BH191" s="155">
        <v>18829.462135075999</v>
      </c>
      <c r="BI191" s="155">
        <v>12114.645490505</v>
      </c>
      <c r="BJ191" s="155">
        <v>11251.588904099999</v>
      </c>
      <c r="BK191" s="155">
        <v>16605.054559486998</v>
      </c>
      <c r="BL191" s="136">
        <v>19130.672654157999</v>
      </c>
      <c r="BM191" s="136">
        <v>23386.416925825</v>
      </c>
      <c r="BN191" s="135">
        <v>18108.349999999999</v>
      </c>
      <c r="BO191" s="155">
        <v>17221.762086008999</v>
      </c>
      <c r="BP191" s="155">
        <v>18966.93</v>
      </c>
      <c r="BQ191" s="155">
        <v>20459.240811094998</v>
      </c>
      <c r="BR191" s="155">
        <v>19644.968702325001</v>
      </c>
      <c r="BS191" s="155">
        <v>22571.23106314</v>
      </c>
      <c r="BT191" s="155">
        <v>26389.717989160999</v>
      </c>
      <c r="BU191" s="155"/>
    </row>
    <row r="192" spans="2:73" s="136" customFormat="1">
      <c r="B192" s="154" t="s">
        <v>1052</v>
      </c>
      <c r="C192" s="134" t="s">
        <v>1053</v>
      </c>
      <c r="D192" s="134"/>
      <c r="E192" s="134"/>
      <c r="F192" s="134"/>
      <c r="G192" s="134"/>
      <c r="H192" s="134"/>
      <c r="I192" s="134"/>
      <c r="J192" s="135"/>
      <c r="K192" s="135"/>
      <c r="L192" s="135"/>
      <c r="M192" s="135"/>
      <c r="N192" s="135"/>
      <c r="O192" s="135"/>
      <c r="P192" s="135"/>
      <c r="Q192" s="135"/>
      <c r="R192" s="135"/>
      <c r="S192" s="135"/>
      <c r="T192" s="135"/>
      <c r="U192" s="135"/>
      <c r="V192" s="135"/>
      <c r="W192" s="135"/>
      <c r="X192" s="135"/>
      <c r="Y192" s="135"/>
      <c r="Z192" s="135">
        <v>-1143.2079555989999</v>
      </c>
      <c r="AA192" s="135">
        <v>-821.13234817099999</v>
      </c>
      <c r="AB192" s="135">
        <v>-887.732074463</v>
      </c>
      <c r="AC192" s="135">
        <v>-829.29562270600002</v>
      </c>
      <c r="AD192" s="135">
        <v>-1704.5548045380001</v>
      </c>
      <c r="AE192" s="135">
        <v>-1311.553929147</v>
      </c>
      <c r="AF192" s="135">
        <v>-1281.755248858</v>
      </c>
      <c r="AG192" s="135">
        <v>-2397.1422650700001</v>
      </c>
      <c r="AH192" s="135">
        <v>-4455.2682762989998</v>
      </c>
      <c r="AI192" s="135">
        <v>-4256.8654033089997</v>
      </c>
      <c r="AJ192" s="135">
        <v>-3147.8244841189999</v>
      </c>
      <c r="AK192" s="135">
        <v>-5413.5046042849999</v>
      </c>
      <c r="AL192" s="135">
        <v>-8810.8799378940002</v>
      </c>
      <c r="AM192" s="135">
        <v>-6204.4801501339998</v>
      </c>
      <c r="AN192" s="135">
        <v>-6080.3433751619996</v>
      </c>
      <c r="AO192" s="135">
        <v>-6360.2968059249997</v>
      </c>
      <c r="AP192" s="135">
        <v>-7294.9495702040003</v>
      </c>
      <c r="AQ192" s="135">
        <v>-8694.9106427210008</v>
      </c>
      <c r="AR192" s="135">
        <v>-6963.2842319130004</v>
      </c>
      <c r="AS192" s="155">
        <v>-8737.704295431</v>
      </c>
      <c r="AT192" s="155">
        <v>-8721.4604823280006</v>
      </c>
      <c r="AU192" s="155">
        <v>-9745.8520950429993</v>
      </c>
      <c r="AV192" s="155">
        <v>-10357.967814501</v>
      </c>
      <c r="AW192" s="155">
        <v>-9976.6813999950009</v>
      </c>
      <c r="AX192" s="155">
        <v>-14772.866953281</v>
      </c>
      <c r="AY192" s="155">
        <v>-12203.235446877001</v>
      </c>
      <c r="AZ192" s="155">
        <v>-10377.929116788</v>
      </c>
      <c r="BA192" s="155">
        <v>-11219.965165206</v>
      </c>
      <c r="BB192" s="155">
        <v>-11145.835324653999</v>
      </c>
      <c r="BC192" s="155">
        <v>-16491.348228126</v>
      </c>
      <c r="BD192" s="155">
        <v>-15440.946869791</v>
      </c>
      <c r="BE192" s="155">
        <v>-12967.000535166</v>
      </c>
      <c r="BF192" s="155">
        <v>-20206.740863665</v>
      </c>
      <c r="BG192" s="155">
        <v>-16405.339484869</v>
      </c>
      <c r="BH192" s="155">
        <v>-18350.921127633999</v>
      </c>
      <c r="BI192" s="155">
        <v>-18350.737810831</v>
      </c>
      <c r="BJ192" s="155">
        <v>-10626.621359930001</v>
      </c>
      <c r="BK192" s="155">
        <v>-11580.877676096001</v>
      </c>
      <c r="BL192" s="136">
        <v>-18441.337404711001</v>
      </c>
      <c r="BM192" s="136">
        <v>-21284.493416508001</v>
      </c>
      <c r="BN192" s="135">
        <v>-19663.63</v>
      </c>
      <c r="BO192" s="155">
        <v>-17898.483015501999</v>
      </c>
      <c r="BP192" s="155">
        <v>-18047.66</v>
      </c>
      <c r="BQ192" s="155">
        <v>-17420.567788704</v>
      </c>
      <c r="BR192" s="155">
        <v>-20675.754394437001</v>
      </c>
      <c r="BS192" s="155">
        <v>-17255.443886818</v>
      </c>
      <c r="BT192" s="155">
        <v>-29222.061079411</v>
      </c>
      <c r="BU192" s="155"/>
    </row>
    <row r="193" spans="1:73">
      <c r="B193" s="140" t="s">
        <v>1054</v>
      </c>
      <c r="C193" s="127" t="s">
        <v>1055</v>
      </c>
      <c r="D193" s="127"/>
      <c r="E193" s="127"/>
      <c r="F193" s="127"/>
      <c r="G193" s="127"/>
      <c r="H193" s="127"/>
      <c r="I193" s="127"/>
      <c r="J193" s="128"/>
      <c r="K193" s="128"/>
      <c r="L193" s="128"/>
      <c r="M193" s="128"/>
      <c r="N193" s="128"/>
      <c r="O193" s="128"/>
      <c r="P193" s="128"/>
      <c r="Q193" s="128"/>
      <c r="R193" s="128"/>
      <c r="S193" s="128"/>
      <c r="T193" s="128"/>
      <c r="U193" s="128"/>
      <c r="V193" s="128"/>
      <c r="W193" s="128"/>
      <c r="X193" s="128"/>
      <c r="Y193" s="128"/>
      <c r="Z193" s="128">
        <v>0</v>
      </c>
      <c r="AA193" s="128">
        <v>0</v>
      </c>
      <c r="AB193" s="128">
        <v>0</v>
      </c>
      <c r="AC193" s="128">
        <v>0</v>
      </c>
      <c r="AD193" s="128">
        <v>0</v>
      </c>
      <c r="AE193" s="128">
        <v>0</v>
      </c>
      <c r="AF193" s="128">
        <v>0</v>
      </c>
      <c r="AG193" s="128">
        <v>0</v>
      </c>
      <c r="AH193" s="128">
        <v>0</v>
      </c>
      <c r="AI193" s="128">
        <v>0</v>
      </c>
      <c r="AJ193" s="128">
        <v>0</v>
      </c>
      <c r="AK193" s="128">
        <v>0</v>
      </c>
      <c r="AL193" s="128">
        <v>0</v>
      </c>
      <c r="AM193" s="128">
        <v>0</v>
      </c>
      <c r="AN193" s="128">
        <v>0</v>
      </c>
      <c r="AO193" s="128">
        <v>0</v>
      </c>
      <c r="AP193" s="128">
        <v>0</v>
      </c>
      <c r="AQ193" s="128">
        <v>0</v>
      </c>
      <c r="AR193" s="128">
        <v>0</v>
      </c>
      <c r="AS193" s="288">
        <v>0</v>
      </c>
      <c r="AT193" s="288">
        <v>0</v>
      </c>
      <c r="AU193" s="288">
        <v>0</v>
      </c>
      <c r="AV193" s="288">
        <v>0</v>
      </c>
      <c r="AW193" s="158">
        <v>0</v>
      </c>
      <c r="AX193" s="158">
        <v>0</v>
      </c>
      <c r="AY193" s="158">
        <v>0</v>
      </c>
      <c r="AZ193" s="158">
        <v>0</v>
      </c>
      <c r="BA193" s="158">
        <v>0</v>
      </c>
      <c r="BB193" s="158">
        <v>0</v>
      </c>
      <c r="BC193" s="158">
        <v>0</v>
      </c>
      <c r="BD193" s="158">
        <v>0</v>
      </c>
      <c r="BE193" s="158">
        <v>0</v>
      </c>
      <c r="BF193" s="288">
        <v>0</v>
      </c>
      <c r="BG193" s="288">
        <v>0</v>
      </c>
      <c r="BH193" s="288">
        <v>0</v>
      </c>
      <c r="BI193" s="288">
        <v>0</v>
      </c>
      <c r="BJ193" s="288">
        <v>0</v>
      </c>
      <c r="BK193" s="288">
        <v>0</v>
      </c>
      <c r="BL193" s="129">
        <v>0</v>
      </c>
      <c r="BM193" s="129">
        <v>0</v>
      </c>
      <c r="BN193" s="129">
        <v>0</v>
      </c>
      <c r="BO193" s="288">
        <v>0</v>
      </c>
      <c r="BP193" s="288">
        <v>0</v>
      </c>
      <c r="BQ193" s="288">
        <v>0</v>
      </c>
      <c r="BR193" s="288">
        <v>0</v>
      </c>
      <c r="BS193" s="288">
        <v>0</v>
      </c>
      <c r="BT193" s="288">
        <v>0</v>
      </c>
    </row>
    <row r="194" spans="1:73">
      <c r="B194" s="140" t="s">
        <v>1056</v>
      </c>
      <c r="C194" s="127" t="s">
        <v>1057</v>
      </c>
      <c r="D194" s="127"/>
      <c r="E194" s="127"/>
      <c r="F194" s="127"/>
      <c r="G194" s="127"/>
      <c r="H194" s="127"/>
      <c r="I194" s="127"/>
      <c r="J194" s="128"/>
      <c r="K194" s="128"/>
      <c r="L194" s="128"/>
      <c r="M194" s="128"/>
      <c r="N194" s="128"/>
      <c r="O194" s="128"/>
      <c r="P194" s="128"/>
      <c r="Q194" s="128"/>
      <c r="R194" s="128"/>
      <c r="S194" s="128"/>
      <c r="T194" s="128"/>
      <c r="U194" s="128"/>
      <c r="V194" s="128"/>
      <c r="W194" s="128"/>
      <c r="X194" s="128"/>
      <c r="Y194" s="128"/>
      <c r="Z194" s="128">
        <v>-2.6175118350000002</v>
      </c>
      <c r="AA194" s="128">
        <v>0</v>
      </c>
      <c r="AB194" s="128">
        <v>0</v>
      </c>
      <c r="AC194" s="128">
        <v>5.0000000000000001E-9</v>
      </c>
      <c r="AD194" s="128">
        <v>0</v>
      </c>
      <c r="AE194" s="128">
        <v>0</v>
      </c>
      <c r="AF194" s="128">
        <v>-1.834225628</v>
      </c>
      <c r="AG194" s="128">
        <v>0</v>
      </c>
      <c r="AH194" s="128">
        <v>0</v>
      </c>
      <c r="AI194" s="128">
        <v>-220.08551879999999</v>
      </c>
      <c r="AJ194" s="128">
        <v>0</v>
      </c>
      <c r="AK194" s="128">
        <v>-4.4763999999999998E-2</v>
      </c>
      <c r="AL194" s="128">
        <v>0</v>
      </c>
      <c r="AM194" s="128">
        <v>-230.973660301</v>
      </c>
      <c r="AN194" s="128">
        <v>0</v>
      </c>
      <c r="AO194" s="128">
        <v>-0.74526682899999996</v>
      </c>
      <c r="AP194" s="128">
        <v>0</v>
      </c>
      <c r="AQ194" s="128">
        <v>-485.11392559299998</v>
      </c>
      <c r="AR194" s="128">
        <v>0</v>
      </c>
      <c r="AS194" s="288">
        <v>-0.74850123499999999</v>
      </c>
      <c r="AT194" s="288">
        <v>-0.63714020599999999</v>
      </c>
      <c r="AU194" s="288">
        <v>-657.07300499999997</v>
      </c>
      <c r="AV194" s="288">
        <v>0</v>
      </c>
      <c r="AW194" s="158">
        <v>-0.27701747900000001</v>
      </c>
      <c r="AX194" s="158">
        <v>0</v>
      </c>
      <c r="AY194" s="158">
        <v>0</v>
      </c>
      <c r="AZ194" s="158">
        <v>0</v>
      </c>
      <c r="BA194" s="158">
        <v>-678.90884100000005</v>
      </c>
      <c r="BB194" s="158">
        <v>0</v>
      </c>
      <c r="BC194" s="158">
        <v>0</v>
      </c>
      <c r="BD194" s="158">
        <v>-237.63573199999999</v>
      </c>
      <c r="BE194" s="158">
        <v>-1.883709063</v>
      </c>
      <c r="BF194" s="288">
        <v>0</v>
      </c>
      <c r="BG194" s="288">
        <v>-731.85481500000003</v>
      </c>
      <c r="BH194" s="288">
        <v>0</v>
      </c>
      <c r="BI194" s="288">
        <v>0</v>
      </c>
      <c r="BJ194" s="288">
        <v>0</v>
      </c>
      <c r="BK194" s="288">
        <v>0</v>
      </c>
      <c r="BL194" s="129">
        <v>-731.28002349999997</v>
      </c>
      <c r="BM194" s="129">
        <v>0</v>
      </c>
      <c r="BN194" s="129">
        <v>0</v>
      </c>
      <c r="BO194" s="288">
        <v>0</v>
      </c>
      <c r="BP194" s="288">
        <v>-730.96</v>
      </c>
      <c r="BQ194" s="288">
        <v>0</v>
      </c>
      <c r="BR194" s="288">
        <v>0</v>
      </c>
      <c r="BS194" s="288">
        <v>0</v>
      </c>
      <c r="BT194" s="288">
        <v>-1478.4567629999999</v>
      </c>
    </row>
    <row r="195" spans="1:73">
      <c r="B195" s="140" t="s">
        <v>1058</v>
      </c>
      <c r="C195" s="127" t="s">
        <v>1059</v>
      </c>
      <c r="D195" s="127"/>
      <c r="E195" s="127"/>
      <c r="F195" s="127"/>
      <c r="G195" s="127"/>
      <c r="H195" s="127"/>
      <c r="I195" s="127"/>
      <c r="J195" s="128"/>
      <c r="K195" s="128"/>
      <c r="L195" s="128"/>
      <c r="M195" s="128"/>
      <c r="N195" s="128"/>
      <c r="O195" s="128"/>
      <c r="P195" s="128"/>
      <c r="Q195" s="128"/>
      <c r="R195" s="128"/>
      <c r="S195" s="128"/>
      <c r="T195" s="128"/>
      <c r="U195" s="128"/>
      <c r="V195" s="128"/>
      <c r="W195" s="128"/>
      <c r="X195" s="128"/>
      <c r="Y195" s="128"/>
      <c r="Z195" s="128">
        <v>0</v>
      </c>
      <c r="AA195" s="128">
        <v>0</v>
      </c>
      <c r="AB195" s="128">
        <v>0</v>
      </c>
      <c r="AC195" s="128">
        <v>0</v>
      </c>
      <c r="AD195" s="128">
        <v>0</v>
      </c>
      <c r="AE195" s="128">
        <v>0</v>
      </c>
      <c r="AF195" s="128">
        <v>0</v>
      </c>
      <c r="AG195" s="128">
        <v>0</v>
      </c>
      <c r="AH195" s="128">
        <v>0</v>
      </c>
      <c r="AI195" s="128">
        <v>0</v>
      </c>
      <c r="AJ195" s="128">
        <v>0</v>
      </c>
      <c r="AK195" s="128">
        <v>0</v>
      </c>
      <c r="AL195" s="128">
        <v>0</v>
      </c>
      <c r="AM195" s="128">
        <v>0</v>
      </c>
      <c r="AN195" s="128">
        <v>0</v>
      </c>
      <c r="AO195" s="128">
        <v>0</v>
      </c>
      <c r="AP195" s="128">
        <v>0</v>
      </c>
      <c r="AQ195" s="128">
        <v>0</v>
      </c>
      <c r="AR195" s="128">
        <v>0</v>
      </c>
      <c r="AS195" s="288">
        <v>0</v>
      </c>
      <c r="AT195" s="288">
        <v>0</v>
      </c>
      <c r="AU195" s="288">
        <v>0</v>
      </c>
      <c r="AV195" s="288">
        <v>0</v>
      </c>
      <c r="AW195" s="158">
        <v>0</v>
      </c>
      <c r="AX195" s="158">
        <v>0</v>
      </c>
      <c r="AY195" s="158">
        <v>0</v>
      </c>
      <c r="AZ195" s="158">
        <v>0</v>
      </c>
      <c r="BA195" s="158">
        <v>0</v>
      </c>
      <c r="BB195" s="158">
        <v>0</v>
      </c>
      <c r="BC195" s="158">
        <v>0</v>
      </c>
      <c r="BD195" s="158">
        <v>0</v>
      </c>
      <c r="BE195" s="158">
        <v>0</v>
      </c>
      <c r="BF195" s="288">
        <v>0</v>
      </c>
      <c r="BG195" s="288">
        <v>0</v>
      </c>
      <c r="BH195" s="288">
        <v>0</v>
      </c>
      <c r="BI195" s="288">
        <v>0</v>
      </c>
      <c r="BJ195" s="288">
        <v>0</v>
      </c>
      <c r="BK195" s="288">
        <v>0</v>
      </c>
      <c r="BL195" s="129">
        <v>0</v>
      </c>
      <c r="BM195" s="129">
        <v>0</v>
      </c>
      <c r="BN195" s="129">
        <v>0</v>
      </c>
      <c r="BO195" s="288">
        <v>0</v>
      </c>
      <c r="BP195" s="288">
        <v>0</v>
      </c>
      <c r="BQ195" s="288">
        <v>0</v>
      </c>
      <c r="BR195" s="288">
        <v>0</v>
      </c>
      <c r="BS195" s="288">
        <v>0</v>
      </c>
      <c r="BT195" s="288">
        <v>0</v>
      </c>
    </row>
    <row r="196" spans="1:73" s="136" customFormat="1">
      <c r="B196" s="154" t="s">
        <v>1060</v>
      </c>
      <c r="C196" s="134" t="s">
        <v>1061</v>
      </c>
      <c r="D196" s="134"/>
      <c r="E196" s="134"/>
      <c r="F196" s="134"/>
      <c r="G196" s="134"/>
      <c r="H196" s="134"/>
      <c r="I196" s="134"/>
      <c r="J196" s="135"/>
      <c r="K196" s="135"/>
      <c r="L196" s="135"/>
      <c r="M196" s="135"/>
      <c r="N196" s="135"/>
      <c r="O196" s="135"/>
      <c r="P196" s="135"/>
      <c r="Q196" s="135"/>
      <c r="R196" s="135"/>
      <c r="S196" s="135"/>
      <c r="T196" s="135"/>
      <c r="U196" s="135"/>
      <c r="V196" s="135"/>
      <c r="W196" s="135"/>
      <c r="X196" s="135"/>
      <c r="Y196" s="135"/>
      <c r="Z196" s="135">
        <v>36.552164148999999</v>
      </c>
      <c r="AA196" s="135">
        <v>-296.58374918099997</v>
      </c>
      <c r="AB196" s="135">
        <v>172.41343925699999</v>
      </c>
      <c r="AC196" s="135">
        <v>204.36521475200001</v>
      </c>
      <c r="AD196" s="135">
        <v>160.93295160100001</v>
      </c>
      <c r="AE196" s="135">
        <v>-114.236568852</v>
      </c>
      <c r="AF196" s="135">
        <v>214.090742178</v>
      </c>
      <c r="AG196" s="135">
        <v>1169.480416853</v>
      </c>
      <c r="AH196" s="135">
        <v>-54.271137955</v>
      </c>
      <c r="AI196" s="135">
        <v>-427.50008315700001</v>
      </c>
      <c r="AJ196" s="135">
        <v>1002.6638972980001</v>
      </c>
      <c r="AK196" s="135">
        <v>1994.707515089</v>
      </c>
      <c r="AL196" s="135">
        <v>519.04760832099998</v>
      </c>
      <c r="AM196" s="135">
        <v>-1560.7160806239999</v>
      </c>
      <c r="AN196" s="135">
        <v>-18.485457717999999</v>
      </c>
      <c r="AO196" s="135">
        <v>2926.6763409800001</v>
      </c>
      <c r="AP196" s="135">
        <v>1990.451074933</v>
      </c>
      <c r="AQ196" s="135">
        <v>-657.72438879699996</v>
      </c>
      <c r="AR196" s="135">
        <v>595.41834212000003</v>
      </c>
      <c r="AS196" s="155">
        <v>-1506.4256714810001</v>
      </c>
      <c r="AT196" s="155">
        <v>2745.1777708190002</v>
      </c>
      <c r="AU196" s="155">
        <v>-242.336539362</v>
      </c>
      <c r="AV196" s="155">
        <v>-174.693300956</v>
      </c>
      <c r="AW196" s="155">
        <v>4203.4601761889999</v>
      </c>
      <c r="AX196" s="155">
        <v>-2435.1013370239998</v>
      </c>
      <c r="AY196" s="155">
        <v>95.148810908000002</v>
      </c>
      <c r="AZ196" s="155">
        <v>1289.4315097910001</v>
      </c>
      <c r="BA196" s="155">
        <v>3064.9363970569998</v>
      </c>
      <c r="BB196" s="155">
        <v>1971.017434806</v>
      </c>
      <c r="BC196" s="155">
        <v>2597.1399126900001</v>
      </c>
      <c r="BD196" s="155">
        <v>-3270.5115735320001</v>
      </c>
      <c r="BE196" s="155">
        <v>6579.8451051860002</v>
      </c>
      <c r="BF196" s="155">
        <v>28.859099529000002</v>
      </c>
      <c r="BG196" s="155">
        <v>-2875.040837563</v>
      </c>
      <c r="BH196" s="155">
        <v>477.68196744199997</v>
      </c>
      <c r="BI196" s="155">
        <v>-6237.8437503260002</v>
      </c>
      <c r="BJ196" s="155">
        <v>624.05644416999996</v>
      </c>
      <c r="BK196" s="155">
        <v>5017.4239233910002</v>
      </c>
      <c r="BL196" s="136">
        <v>-41.947654053000001</v>
      </c>
      <c r="BM196" s="136">
        <v>2100.2503893170001</v>
      </c>
      <c r="BN196" s="136">
        <v>216.54</v>
      </c>
      <c r="BO196" s="155">
        <v>-674.86920730500003</v>
      </c>
      <c r="BP196" s="155">
        <v>181.44</v>
      </c>
      <c r="BQ196" s="155">
        <v>3034.3612323910002</v>
      </c>
      <c r="BR196" s="155">
        <v>-1030.7856921120001</v>
      </c>
      <c r="BS196" s="155">
        <v>5487.0355663219998</v>
      </c>
      <c r="BT196" s="155">
        <v>-4312.3227032499999</v>
      </c>
      <c r="BU196" s="155"/>
    </row>
    <row r="197" spans="1:73" s="136" customFormat="1">
      <c r="B197" s="154" t="s">
        <v>1062</v>
      </c>
      <c r="C197" s="134" t="s">
        <v>1063</v>
      </c>
      <c r="D197" s="134"/>
      <c r="E197" s="134"/>
      <c r="F197" s="134"/>
      <c r="G197" s="134"/>
      <c r="H197" s="134"/>
      <c r="I197" s="134"/>
      <c r="J197" s="135"/>
      <c r="K197" s="135"/>
      <c r="L197" s="135"/>
      <c r="M197" s="135"/>
      <c r="N197" s="135"/>
      <c r="O197" s="135"/>
      <c r="P197" s="135"/>
      <c r="Q197" s="135"/>
      <c r="R197" s="135"/>
      <c r="S197" s="135"/>
      <c r="T197" s="135"/>
      <c r="U197" s="135"/>
      <c r="V197" s="135"/>
      <c r="W197" s="135"/>
      <c r="X197" s="135"/>
      <c r="Y197" s="135"/>
      <c r="Z197" s="135">
        <v>-131.75985380099999</v>
      </c>
      <c r="AA197" s="135">
        <v>130.13757542299999</v>
      </c>
      <c r="AB197" s="135">
        <v>115.44411897400001</v>
      </c>
      <c r="AC197" s="135">
        <v>-205.63498887399999</v>
      </c>
      <c r="AD197" s="135">
        <v>21.581955267000001</v>
      </c>
      <c r="AE197" s="135">
        <v>160.968585502</v>
      </c>
      <c r="AF197" s="135">
        <v>73.092311375999998</v>
      </c>
      <c r="AG197" s="135">
        <v>-124.690503631</v>
      </c>
      <c r="AH197" s="135">
        <v>84.557338970000004</v>
      </c>
      <c r="AI197" s="135">
        <v>167.63992785900001</v>
      </c>
      <c r="AJ197" s="135">
        <v>-22.390954425</v>
      </c>
      <c r="AK197" s="135">
        <v>423.27430545499999</v>
      </c>
      <c r="AL197" s="135">
        <v>-171.060530344</v>
      </c>
      <c r="AM197" s="135">
        <v>693.12139800800003</v>
      </c>
      <c r="AN197" s="135">
        <v>1412.8911450139999</v>
      </c>
      <c r="AO197" s="135">
        <v>479.11603975899999</v>
      </c>
      <c r="AP197" s="135">
        <v>-1066.643381504</v>
      </c>
      <c r="AQ197" s="135">
        <v>560.12546878600006</v>
      </c>
      <c r="AR197" s="135">
        <v>2165.2786958420002</v>
      </c>
      <c r="AS197" s="155">
        <v>-1320.3009356110001</v>
      </c>
      <c r="AT197" s="155">
        <v>-910.39122429400004</v>
      </c>
      <c r="AU197" s="155">
        <v>453.52691702599998</v>
      </c>
      <c r="AV197" s="155">
        <v>404.41193820799998</v>
      </c>
      <c r="AW197" s="155">
        <v>-519.88823304799996</v>
      </c>
      <c r="AX197" s="155">
        <v>158.08004035499999</v>
      </c>
      <c r="AY197" s="155">
        <v>-1107.0997257659999</v>
      </c>
      <c r="AZ197" s="155">
        <v>424.73296282699999</v>
      </c>
      <c r="BA197" s="155">
        <v>4756.9704294630001</v>
      </c>
      <c r="BB197" s="155">
        <v>-5143.9638304350001</v>
      </c>
      <c r="BC197" s="155">
        <v>2413.8399073390001</v>
      </c>
      <c r="BD197" s="155">
        <v>-1403.445401171</v>
      </c>
      <c r="BE197" s="155">
        <v>1729.498732541</v>
      </c>
      <c r="BF197" s="155">
        <v>-883.921504637</v>
      </c>
      <c r="BG197" s="155">
        <v>-360.40794864100002</v>
      </c>
      <c r="BH197" s="155">
        <v>4167.1130062740003</v>
      </c>
      <c r="BI197" s="155">
        <v>-2003.716848953</v>
      </c>
      <c r="BJ197" s="155">
        <v>-2279.833703408</v>
      </c>
      <c r="BK197" s="155">
        <v>660.33247407399995</v>
      </c>
      <c r="BL197" s="136">
        <v>-1089.888488632</v>
      </c>
      <c r="BM197" s="136">
        <v>3013.705299919</v>
      </c>
      <c r="BN197" s="136">
        <v>205.01</v>
      </c>
      <c r="BO197" s="155">
        <v>205.74609460900001</v>
      </c>
      <c r="BP197" s="155">
        <v>3975.97</v>
      </c>
      <c r="BQ197" s="155">
        <v>-4055.202100214</v>
      </c>
      <c r="BR197" s="155">
        <v>-2239.161645484</v>
      </c>
      <c r="BS197" s="155">
        <v>3371.7837910879998</v>
      </c>
      <c r="BT197" s="155">
        <v>-519.39107885299995</v>
      </c>
      <c r="BU197" s="155"/>
    </row>
    <row r="198" spans="1:73" s="136" customFormat="1">
      <c r="B198" s="154" t="s">
        <v>1064</v>
      </c>
      <c r="C198" s="134" t="s">
        <v>1065</v>
      </c>
      <c r="D198" s="134"/>
      <c r="E198" s="134"/>
      <c r="F198" s="134"/>
      <c r="G198" s="134"/>
      <c r="H198" s="134"/>
      <c r="I198" s="134"/>
      <c r="J198" s="135"/>
      <c r="K198" s="135"/>
      <c r="L198" s="135"/>
      <c r="M198" s="135"/>
      <c r="N198" s="135"/>
      <c r="O198" s="135"/>
      <c r="P198" s="135"/>
      <c r="Q198" s="135"/>
      <c r="R198" s="135"/>
      <c r="S198" s="135"/>
      <c r="T198" s="135"/>
      <c r="U198" s="135"/>
      <c r="V198" s="135"/>
      <c r="W198" s="135"/>
      <c r="X198" s="135"/>
      <c r="Y198" s="135"/>
      <c r="Z198" s="135">
        <v>304.73376846799999</v>
      </c>
      <c r="AA198" s="135">
        <v>172.97391466799999</v>
      </c>
      <c r="AB198" s="135">
        <v>303.11149009100001</v>
      </c>
      <c r="AC198" s="135">
        <v>418.555609065</v>
      </c>
      <c r="AD198" s="135">
        <v>212.92062019100001</v>
      </c>
      <c r="AE198" s="135">
        <v>234.502575458</v>
      </c>
      <c r="AF198" s="135">
        <v>395.47116096000002</v>
      </c>
      <c r="AG198" s="135">
        <v>468.56347233600002</v>
      </c>
      <c r="AH198" s="135">
        <v>343.87296870500001</v>
      </c>
      <c r="AI198" s="135">
        <v>428.43030767499999</v>
      </c>
      <c r="AJ198" s="135">
        <v>596.04294267700004</v>
      </c>
      <c r="AK198" s="135">
        <v>573.67928110900004</v>
      </c>
      <c r="AL198" s="135">
        <v>996.98346201200002</v>
      </c>
      <c r="AM198" s="135">
        <v>825.89697191200003</v>
      </c>
      <c r="AN198" s="135">
        <v>1519.0183699199999</v>
      </c>
      <c r="AO198" s="135">
        <v>2931.92155099</v>
      </c>
      <c r="AP198" s="135">
        <v>3410.9833513929998</v>
      </c>
      <c r="AQ198" s="135">
        <v>2344.3579658889998</v>
      </c>
      <c r="AR198" s="135">
        <v>2904.5994351499999</v>
      </c>
      <c r="AS198" s="155">
        <v>5069.7782307560001</v>
      </c>
      <c r="AT198" s="155">
        <v>3749.5502582119998</v>
      </c>
      <c r="AU198" s="155">
        <v>2839.1599069180002</v>
      </c>
      <c r="AV198" s="155">
        <v>3292.6590826000001</v>
      </c>
      <c r="AW198" s="155">
        <v>3697.1911477899998</v>
      </c>
      <c r="AX198" s="155">
        <v>3115.2368164680001</v>
      </c>
      <c r="AY198" s="155">
        <v>3273.3754683819998</v>
      </c>
      <c r="AZ198" s="155">
        <v>2166.2280165870002</v>
      </c>
      <c r="BA198" s="155">
        <v>2590.9652810389998</v>
      </c>
      <c r="BB198" s="155">
        <v>7347.8573979250004</v>
      </c>
      <c r="BC198" s="155">
        <v>2203.9522144970001</v>
      </c>
      <c r="BD198" s="155">
        <v>4617.7865232550002</v>
      </c>
      <c r="BE198" s="155">
        <v>3215.2159548139998</v>
      </c>
      <c r="BF198" s="155">
        <v>4142.015762555</v>
      </c>
      <c r="BG198" s="155">
        <v>3259.2520885580002</v>
      </c>
      <c r="BH198" s="155">
        <v>2897.8293530370001</v>
      </c>
      <c r="BI198" s="155">
        <v>7065.2428448649998</v>
      </c>
      <c r="BJ198" s="155">
        <v>5061.0205474220002</v>
      </c>
      <c r="BK198" s="155">
        <v>2781.2402003789998</v>
      </c>
      <c r="BL198" s="136">
        <v>3441.539364017</v>
      </c>
      <c r="BM198" s="136">
        <v>2351.917872085</v>
      </c>
      <c r="BN198" s="135">
        <v>5365.7</v>
      </c>
      <c r="BO198" s="155">
        <v>5570.8780692359996</v>
      </c>
      <c r="BP198" s="155">
        <v>5776.46</v>
      </c>
      <c r="BQ198" s="155">
        <v>9752.3396117190005</v>
      </c>
      <c r="BR198" s="155">
        <v>4897.3315407299997</v>
      </c>
      <c r="BS198" s="155">
        <v>2658.2181361490002</v>
      </c>
      <c r="BT198" s="155">
        <v>6030.0677484389998</v>
      </c>
      <c r="BU198" s="155"/>
    </row>
    <row r="199" spans="1:73">
      <c r="B199" s="140" t="s">
        <v>1066</v>
      </c>
      <c r="C199" s="127" t="s">
        <v>1067</v>
      </c>
      <c r="D199" s="127"/>
      <c r="E199" s="127"/>
      <c r="F199" s="127"/>
      <c r="G199" s="127"/>
      <c r="H199" s="127"/>
      <c r="I199" s="127"/>
      <c r="J199" s="128"/>
      <c r="K199" s="128"/>
      <c r="L199" s="128"/>
      <c r="M199" s="128"/>
      <c r="N199" s="128"/>
      <c r="O199" s="128"/>
      <c r="P199" s="128"/>
      <c r="Q199" s="128"/>
      <c r="R199" s="128"/>
      <c r="S199" s="128"/>
      <c r="T199" s="128"/>
      <c r="U199" s="128"/>
      <c r="V199" s="128"/>
      <c r="W199" s="128"/>
      <c r="X199" s="128"/>
      <c r="Y199" s="128"/>
      <c r="Z199" s="128">
        <v>0</v>
      </c>
      <c r="AA199" s="128">
        <v>0</v>
      </c>
      <c r="AB199" s="128">
        <v>0</v>
      </c>
      <c r="AC199" s="128">
        <v>0</v>
      </c>
      <c r="AD199" s="128">
        <v>0</v>
      </c>
      <c r="AE199" s="128">
        <v>0</v>
      </c>
      <c r="AF199" s="128">
        <v>0</v>
      </c>
      <c r="AG199" s="128">
        <v>0</v>
      </c>
      <c r="AH199" s="128">
        <v>0</v>
      </c>
      <c r="AI199" s="128">
        <v>-2.7292857E-2</v>
      </c>
      <c r="AJ199" s="128">
        <v>2.7292857E-2</v>
      </c>
      <c r="AK199" s="128">
        <v>2.9875447999999999E-2</v>
      </c>
      <c r="AL199" s="128">
        <v>-2.5959756E-2</v>
      </c>
      <c r="AM199" s="128">
        <v>0</v>
      </c>
      <c r="AN199" s="128">
        <v>1.2036056E-2</v>
      </c>
      <c r="AO199" s="128">
        <v>-5.4239356000000002E-2</v>
      </c>
      <c r="AP199" s="128">
        <v>1.7996000000000002E-2</v>
      </c>
      <c r="AQ199" s="128">
        <v>0.11600047500000001</v>
      </c>
      <c r="AR199" s="128">
        <v>-9.9900236000000003E-2</v>
      </c>
      <c r="AS199" s="288">
        <v>7.2963067000000006E-2</v>
      </c>
      <c r="AT199" s="288">
        <v>8.7299999999999997E-4</v>
      </c>
      <c r="AU199" s="288">
        <v>-2.7741344000000001E-2</v>
      </c>
      <c r="AV199" s="288">
        <v>0.12012698199999999</v>
      </c>
      <c r="AW199" s="158">
        <v>-6.6098273999999999E-2</v>
      </c>
      <c r="AX199" s="158">
        <v>5.8611559000000001E-2</v>
      </c>
      <c r="AY199" s="158">
        <v>-4.7726029000000003E-2</v>
      </c>
      <c r="AZ199" s="158">
        <v>4.3016249999999999E-3</v>
      </c>
      <c r="BA199" s="158">
        <v>2.1687423000000001E-2</v>
      </c>
      <c r="BB199" s="158">
        <v>5.8647007000000001E-2</v>
      </c>
      <c r="BC199" s="158">
        <v>-5.598581E-3</v>
      </c>
      <c r="BD199" s="158">
        <v>0.87483272999999995</v>
      </c>
      <c r="BE199" s="158">
        <v>-0.78122716199999997</v>
      </c>
      <c r="BF199" s="288">
        <v>1.15783064</v>
      </c>
      <c r="BG199" s="288">
        <v>-1.0147868799999999</v>
      </c>
      <c r="BH199" s="288">
        <v>0.30048555399999999</v>
      </c>
      <c r="BI199" s="288">
        <v>-0.50544849000000003</v>
      </c>
      <c r="BJ199" s="288">
        <v>5.3356365000000003E-2</v>
      </c>
      <c r="BK199" s="288">
        <v>-3.3310435999999999E-2</v>
      </c>
      <c r="BL199" s="129">
        <v>0.26699669999999998</v>
      </c>
      <c r="BM199" s="129">
        <v>8.1685168000000002E-2</v>
      </c>
      <c r="BN199" s="129">
        <v>0.16</v>
      </c>
      <c r="BO199" s="288">
        <v>-0.161364809</v>
      </c>
      <c r="BP199" s="288">
        <v>-0.09</v>
      </c>
      <c r="BQ199" s="288">
        <v>0.194029225</v>
      </c>
      <c r="BR199" s="288">
        <v>4.8240903000000002E-2</v>
      </c>
      <c r="BS199" s="288">
        <v>6.5821201999999995E-2</v>
      </c>
      <c r="BT199" s="288">
        <v>0.13949994199999999</v>
      </c>
    </row>
    <row r="200" spans="1:73" s="136" customFormat="1">
      <c r="B200" s="154" t="s">
        <v>1068</v>
      </c>
      <c r="C200" s="134" t="s">
        <v>1069</v>
      </c>
      <c r="D200" s="134"/>
      <c r="E200" s="134"/>
      <c r="F200" s="134"/>
      <c r="G200" s="134"/>
      <c r="H200" s="134"/>
      <c r="I200" s="134"/>
      <c r="J200" s="135"/>
      <c r="K200" s="135"/>
      <c r="L200" s="135"/>
      <c r="M200" s="135"/>
      <c r="N200" s="135"/>
      <c r="O200" s="135"/>
      <c r="P200" s="135"/>
      <c r="Q200" s="135"/>
      <c r="R200" s="135"/>
      <c r="S200" s="135"/>
      <c r="T200" s="135"/>
      <c r="U200" s="135"/>
      <c r="V200" s="135"/>
      <c r="W200" s="135"/>
      <c r="X200" s="135"/>
      <c r="Y200" s="135"/>
      <c r="Z200" s="135">
        <v>172.973914667</v>
      </c>
      <c r="AA200" s="135">
        <v>303.11149009100001</v>
      </c>
      <c r="AB200" s="135">
        <v>418.555609065</v>
      </c>
      <c r="AC200" s="135">
        <v>212.92062019100001</v>
      </c>
      <c r="AD200" s="135">
        <v>234.502575458</v>
      </c>
      <c r="AE200" s="135">
        <v>395.47116096000002</v>
      </c>
      <c r="AF200" s="135">
        <v>468.56347233600002</v>
      </c>
      <c r="AG200" s="135">
        <v>343.87296870500001</v>
      </c>
      <c r="AH200" s="135">
        <v>428.43030767499999</v>
      </c>
      <c r="AI200" s="135">
        <v>596.04294267700004</v>
      </c>
      <c r="AJ200" s="135">
        <v>573.67928110900004</v>
      </c>
      <c r="AK200" s="135">
        <v>996.98346201200002</v>
      </c>
      <c r="AL200" s="135">
        <v>825.89697191200003</v>
      </c>
      <c r="AM200" s="135">
        <v>1519.0183699199999</v>
      </c>
      <c r="AN200" s="135">
        <v>2931.92155099</v>
      </c>
      <c r="AO200" s="135">
        <v>3410.9833513929998</v>
      </c>
      <c r="AP200" s="135">
        <v>2344.3579658889998</v>
      </c>
      <c r="AQ200" s="135">
        <v>2904.5994351499999</v>
      </c>
      <c r="AR200" s="135">
        <v>5069.7782307560001</v>
      </c>
      <c r="AS200" s="155">
        <v>3749.5502582119998</v>
      </c>
      <c r="AT200" s="155">
        <v>2839.1599069180002</v>
      </c>
      <c r="AU200" s="155">
        <v>3292.6590826000001</v>
      </c>
      <c r="AV200" s="155">
        <v>3697.1911477899998</v>
      </c>
      <c r="AW200" s="155">
        <v>3177.2368164680001</v>
      </c>
      <c r="AX200" s="155">
        <v>3273.3754683819998</v>
      </c>
      <c r="AY200" s="155">
        <v>2166.2280165870002</v>
      </c>
      <c r="AZ200" s="155">
        <v>2590.9652810389998</v>
      </c>
      <c r="BA200" s="155">
        <v>7347.9573979249999</v>
      </c>
      <c r="BB200" s="155">
        <v>2203.9522144970001</v>
      </c>
      <c r="BC200" s="155">
        <v>4617.7865232550002</v>
      </c>
      <c r="BD200" s="155">
        <v>3215.2159548139998</v>
      </c>
      <c r="BE200" s="155">
        <v>4943.9334601930004</v>
      </c>
      <c r="BF200" s="155">
        <v>3259.2520885580002</v>
      </c>
      <c r="BG200" s="155">
        <v>2897.8293530370001</v>
      </c>
      <c r="BH200" s="155">
        <v>7065.2428448649998</v>
      </c>
      <c r="BI200" s="155">
        <v>5061.0205474220002</v>
      </c>
      <c r="BJ200" s="155">
        <v>2781.2402003789998</v>
      </c>
      <c r="BK200" s="155">
        <v>3441.539364017</v>
      </c>
      <c r="BL200" s="136">
        <v>2351.917872085</v>
      </c>
      <c r="BM200" s="136">
        <v>5365.7048571719997</v>
      </c>
      <c r="BN200" s="135">
        <v>5570.88</v>
      </c>
      <c r="BO200" s="155">
        <v>5776.4627990360004</v>
      </c>
      <c r="BP200" s="155">
        <v>9752.34</v>
      </c>
      <c r="BQ200" s="155">
        <v>5697.3315407299997</v>
      </c>
      <c r="BR200" s="155">
        <v>2658.2181361490002</v>
      </c>
      <c r="BS200" s="155">
        <v>6030.0677484389998</v>
      </c>
      <c r="BT200" s="155">
        <v>5510.8161695279996</v>
      </c>
      <c r="BU200" s="155"/>
    </row>
    <row r="201" spans="1:73">
      <c r="B201" s="140"/>
      <c r="AS201" s="288"/>
      <c r="AT201" s="288"/>
      <c r="AU201" s="288"/>
      <c r="AV201" s="288"/>
      <c r="AW201" s="288"/>
      <c r="AX201" s="288"/>
      <c r="AY201" s="288"/>
      <c r="AZ201" s="288"/>
      <c r="BA201" s="288"/>
      <c r="BB201" s="288"/>
      <c r="BC201" s="288"/>
      <c r="BD201" s="288"/>
      <c r="BE201" s="288"/>
      <c r="BF201" s="288"/>
      <c r="BG201" s="288"/>
      <c r="BH201" s="288"/>
      <c r="BI201" s="288"/>
    </row>
    <row r="202" spans="1:73" ht="16">
      <c r="A202" s="129">
        <v>4</v>
      </c>
      <c r="B202" s="130" t="s">
        <v>1070</v>
      </c>
      <c r="C202" s="150"/>
      <c r="D202" s="150"/>
      <c r="E202" s="150"/>
      <c r="F202" s="150"/>
      <c r="G202" s="149" t="s">
        <v>1200</v>
      </c>
      <c r="H202" s="149" t="s">
        <v>1202</v>
      </c>
      <c r="I202" s="149" t="s">
        <v>1203</v>
      </c>
      <c r="J202" s="149" t="s">
        <v>1204</v>
      </c>
      <c r="K202" s="149" t="s">
        <v>1205</v>
      </c>
      <c r="L202" s="149" t="s">
        <v>1206</v>
      </c>
      <c r="M202" s="149" t="s">
        <v>1207</v>
      </c>
      <c r="N202" s="149" t="s">
        <v>1208</v>
      </c>
      <c r="O202" s="149" t="s">
        <v>1209</v>
      </c>
      <c r="P202" s="149" t="s">
        <v>1210</v>
      </c>
      <c r="Q202" s="149" t="s">
        <v>1211</v>
      </c>
      <c r="R202" s="149" t="s">
        <v>1212</v>
      </c>
      <c r="S202" s="149" t="s">
        <v>1213</v>
      </c>
      <c r="T202" s="149" t="s">
        <v>1214</v>
      </c>
      <c r="U202" s="149" t="s">
        <v>1215</v>
      </c>
      <c r="V202" s="149" t="s">
        <v>1216</v>
      </c>
      <c r="W202" s="149" t="s">
        <v>1217</v>
      </c>
      <c r="X202" s="149" t="s">
        <v>1218</v>
      </c>
      <c r="Y202" s="149" t="s">
        <v>1219</v>
      </c>
      <c r="Z202" s="149" t="s">
        <v>1220</v>
      </c>
      <c r="AA202" s="149" t="s">
        <v>1221</v>
      </c>
      <c r="AB202" s="149" t="s">
        <v>1222</v>
      </c>
      <c r="AC202" s="149" t="s">
        <v>1223</v>
      </c>
      <c r="AD202" s="149" t="s">
        <v>1224</v>
      </c>
      <c r="AE202" s="149" t="s">
        <v>1225</v>
      </c>
      <c r="AF202" s="149" t="s">
        <v>1226</v>
      </c>
      <c r="AG202" s="149" t="s">
        <v>1227</v>
      </c>
      <c r="AH202" s="149" t="s">
        <v>1228</v>
      </c>
      <c r="AI202" s="149" t="s">
        <v>1229</v>
      </c>
      <c r="AJ202" s="149" t="s">
        <v>1230</v>
      </c>
      <c r="AK202" s="149" t="s">
        <v>1231</v>
      </c>
      <c r="AL202" s="149" t="s">
        <v>1232</v>
      </c>
      <c r="AM202" s="149" t="s">
        <v>1233</v>
      </c>
      <c r="AN202" s="149" t="s">
        <v>1234</v>
      </c>
      <c r="AO202" s="149" t="s">
        <v>1235</v>
      </c>
      <c r="AP202" s="149" t="s">
        <v>75</v>
      </c>
      <c r="AQ202" s="149" t="s">
        <v>76</v>
      </c>
      <c r="AR202" s="149" t="s">
        <v>77</v>
      </c>
      <c r="AS202" s="291" t="s">
        <v>78</v>
      </c>
      <c r="AT202" s="291" t="s">
        <v>79</v>
      </c>
      <c r="AU202" s="291" t="s">
        <v>80</v>
      </c>
      <c r="AV202" s="291" t="s">
        <v>81</v>
      </c>
      <c r="AW202" s="291" t="str">
        <f>AW1</f>
        <v>Q4/2019</v>
      </c>
      <c r="AX202" s="291" t="str">
        <f>AX1</f>
        <v>Q1/2020</v>
      </c>
      <c r="AY202" s="291" t="str">
        <f>AY1</f>
        <v>Q2/2020</v>
      </c>
      <c r="AZ202" s="291" t="str">
        <f>AZ1</f>
        <v>Q3/2020</v>
      </c>
      <c r="BA202" s="291" t="str">
        <f>BA1</f>
        <v>Q4/2020</v>
      </c>
      <c r="BB202" s="291"/>
      <c r="BC202" s="291"/>
      <c r="BD202" s="291"/>
      <c r="BE202" s="291"/>
      <c r="BF202" s="288"/>
      <c r="BG202" s="288"/>
      <c r="BH202" s="288"/>
      <c r="BI202" s="288"/>
    </row>
    <row r="203" spans="1:73">
      <c r="C203" s="127" t="s">
        <v>1071</v>
      </c>
      <c r="D203" s="127"/>
      <c r="E203" s="127"/>
      <c r="F203" s="127"/>
      <c r="G203" s="128"/>
      <c r="H203" s="128"/>
      <c r="I203" s="128"/>
      <c r="J203" s="128"/>
      <c r="K203" s="128"/>
      <c r="L203" s="128"/>
      <c r="M203" s="128"/>
      <c r="N203" s="128"/>
      <c r="O203" s="128"/>
      <c r="P203" s="128"/>
      <c r="Q203" s="128"/>
      <c r="R203" s="128"/>
      <c r="S203" s="128"/>
      <c r="T203" s="128"/>
      <c r="U203" s="128"/>
      <c r="V203" s="128"/>
      <c r="W203" s="128"/>
      <c r="X203" s="128"/>
      <c r="Y203" s="128"/>
      <c r="Z203" s="128">
        <v>172.973914667</v>
      </c>
      <c r="AA203" s="128">
        <v>303.11149009100001</v>
      </c>
      <c r="AB203" s="128">
        <v>418.555609065</v>
      </c>
      <c r="AC203" s="128">
        <v>212.92061719099999</v>
      </c>
      <c r="AD203" s="128">
        <v>234.502575458</v>
      </c>
      <c r="AE203" s="128">
        <v>395.47116096000002</v>
      </c>
      <c r="AF203" s="128">
        <v>468.56347233600002</v>
      </c>
      <c r="AG203" s="128">
        <v>343.87296870500001</v>
      </c>
      <c r="AH203" s="128">
        <v>428.43030767499999</v>
      </c>
      <c r="AI203" s="128">
        <v>596.04294267700004</v>
      </c>
      <c r="AJ203" s="128">
        <v>573.67928110900004</v>
      </c>
      <c r="AK203" s="128">
        <v>996.98346201200002</v>
      </c>
      <c r="AL203" s="128">
        <v>825.89697191200003</v>
      </c>
      <c r="AM203" s="128">
        <v>1519.0183699199999</v>
      </c>
      <c r="AN203" s="128">
        <v>2931.92155099</v>
      </c>
      <c r="AO203" s="128">
        <v>3412.9833513929998</v>
      </c>
      <c r="AP203" s="128">
        <v>2344.3579658889998</v>
      </c>
      <c r="AQ203" s="128">
        <v>2904.5994351499999</v>
      </c>
      <c r="AR203" s="128">
        <v>5069.7782307560001</v>
      </c>
      <c r="AS203" s="288">
        <v>3749.5502582119998</v>
      </c>
      <c r="AT203" s="288">
        <v>2839.1599069180002</v>
      </c>
      <c r="AU203" s="288">
        <v>3292.6590826000001</v>
      </c>
      <c r="AV203" s="288">
        <v>3697.1911477899998</v>
      </c>
      <c r="AW203" s="158">
        <v>3177.2368164680001</v>
      </c>
      <c r="AX203" s="158">
        <v>3273.3754683819998</v>
      </c>
      <c r="AY203" s="158">
        <v>2166.2280165870002</v>
      </c>
      <c r="AZ203" s="158">
        <v>2590.9652810389998</v>
      </c>
      <c r="BA203" s="158">
        <v>7347.9573979249999</v>
      </c>
      <c r="BB203" s="288">
        <v>2203.9522144970001</v>
      </c>
      <c r="BC203" s="288">
        <v>4617.7865232550002</v>
      </c>
      <c r="BD203" s="288">
        <v>3215.2159548139998</v>
      </c>
      <c r="BE203" s="288">
        <v>4943.9334601930004</v>
      </c>
      <c r="BF203" s="288">
        <v>3259.2520885580002</v>
      </c>
      <c r="BG203" s="288">
        <v>2897.8293530370001</v>
      </c>
      <c r="BH203" s="288">
        <v>7065.2428448649998</v>
      </c>
      <c r="BI203" s="288">
        <v>5061.0205474220002</v>
      </c>
      <c r="BJ203" s="288">
        <v>2781.2402003789998</v>
      </c>
      <c r="BK203" s="288">
        <v>3441.539364017</v>
      </c>
      <c r="BL203" s="288">
        <v>2351.917872085</v>
      </c>
      <c r="BM203" s="288">
        <v>5365.7048571719997</v>
      </c>
      <c r="BN203" s="288">
        <v>5570.88</v>
      </c>
      <c r="BO203" s="288">
        <v>5776.4627990360004</v>
      </c>
      <c r="BP203" s="288">
        <v>9752.34</v>
      </c>
      <c r="BQ203" s="288">
        <v>5697.3315407299997</v>
      </c>
      <c r="BR203" s="288">
        <v>2658.2181361490002</v>
      </c>
      <c r="BS203" s="288">
        <v>6030.0677484389998</v>
      </c>
      <c r="BT203" s="288">
        <v>5510.8161695279996</v>
      </c>
    </row>
    <row r="204" spans="1:73">
      <c r="C204" s="127" t="s">
        <v>1072</v>
      </c>
      <c r="D204" s="127"/>
      <c r="E204" s="127"/>
      <c r="F204" s="127"/>
      <c r="G204" s="128"/>
      <c r="H204" s="128"/>
      <c r="I204" s="128"/>
      <c r="J204" s="128"/>
      <c r="K204" s="128"/>
      <c r="L204" s="128"/>
      <c r="M204" s="128"/>
      <c r="N204" s="128"/>
      <c r="O204" s="128"/>
      <c r="P204" s="128"/>
      <c r="Q204" s="128"/>
      <c r="R204" s="128"/>
      <c r="S204" s="128"/>
      <c r="T204" s="128"/>
      <c r="U204" s="128"/>
      <c r="V204" s="128"/>
      <c r="W204" s="128"/>
      <c r="X204" s="128"/>
      <c r="Y204" s="128"/>
      <c r="Z204" s="128">
        <v>45.949578807999998</v>
      </c>
      <c r="AA204" s="128">
        <v>57.657448348000003</v>
      </c>
      <c r="AB204" s="128">
        <v>78.337104428999993</v>
      </c>
      <c r="AC204" s="128">
        <v>82.487162647000005</v>
      </c>
      <c r="AD204" s="128">
        <v>108.80594375</v>
      </c>
      <c r="AE204" s="128">
        <v>144.41876353000001</v>
      </c>
      <c r="AF204" s="128">
        <v>124.602168875</v>
      </c>
      <c r="AG204" s="128">
        <v>174.62230958000001</v>
      </c>
      <c r="AH204" s="128">
        <v>229.22168043100001</v>
      </c>
      <c r="AI204" s="128">
        <v>293.60916435799999</v>
      </c>
      <c r="AJ204" s="128">
        <v>238.23651021200001</v>
      </c>
      <c r="AK204" s="128">
        <v>519.634333588</v>
      </c>
      <c r="AL204" s="128">
        <v>253.59372703</v>
      </c>
      <c r="AM204" s="128">
        <v>345.05936957099999</v>
      </c>
      <c r="AN204" s="128">
        <v>635.19526785300002</v>
      </c>
      <c r="AO204" s="128">
        <v>1092.388965114</v>
      </c>
      <c r="AP204" s="128">
        <v>704.85607764099996</v>
      </c>
      <c r="AQ204" s="128">
        <v>770.40039029100001</v>
      </c>
      <c r="AR204" s="128">
        <v>1143.08761785</v>
      </c>
      <c r="AS204" s="288">
        <v>1475.0484810299999</v>
      </c>
      <c r="AT204" s="288">
        <v>1193.617172987</v>
      </c>
      <c r="AU204" s="288">
        <v>1346.2571811150001</v>
      </c>
      <c r="AV204" s="288">
        <v>665.17349140500005</v>
      </c>
      <c r="AW204" s="158">
        <v>692.27001196599997</v>
      </c>
      <c r="AX204" s="158">
        <v>590.57960730100001</v>
      </c>
      <c r="AY204" s="158">
        <v>608.81716142899995</v>
      </c>
      <c r="AZ204" s="158">
        <v>530.57966136899995</v>
      </c>
      <c r="BA204" s="158">
        <v>545.59293742499995</v>
      </c>
      <c r="BB204" s="288">
        <v>535.361955943</v>
      </c>
      <c r="BC204" s="288">
        <v>535.20865153499994</v>
      </c>
      <c r="BD204" s="288">
        <v>429.98098828600001</v>
      </c>
      <c r="BE204" s="288">
        <v>527.86990491100005</v>
      </c>
      <c r="BF204" s="288">
        <v>507.76283401400002</v>
      </c>
      <c r="BG204" s="288">
        <v>541.86869601299998</v>
      </c>
      <c r="BH204" s="288">
        <v>550.25222575299995</v>
      </c>
      <c r="BI204" s="288">
        <v>914.03678953400004</v>
      </c>
      <c r="BJ204" s="288">
        <v>421.80440265300001</v>
      </c>
      <c r="BK204" s="288">
        <v>441.16133192799998</v>
      </c>
      <c r="BL204" s="288">
        <v>805.62887732800004</v>
      </c>
      <c r="BM204" s="288">
        <v>854.88086081599999</v>
      </c>
      <c r="BN204" s="288">
        <v>1044.8599999999999</v>
      </c>
      <c r="BO204" s="288">
        <v>893.73409106099996</v>
      </c>
      <c r="BP204" s="288">
        <v>415.16</v>
      </c>
      <c r="BQ204" s="288">
        <v>364.073735736</v>
      </c>
      <c r="BR204" s="288">
        <v>336.275194462</v>
      </c>
      <c r="BS204" s="288">
        <v>389.29218096400001</v>
      </c>
      <c r="BT204" s="288">
        <v>388.08360714600002</v>
      </c>
    </row>
    <row r="205" spans="1:73">
      <c r="C205" s="127" t="s">
        <v>1073</v>
      </c>
      <c r="D205" s="127"/>
      <c r="E205" s="127"/>
      <c r="F205" s="127"/>
      <c r="G205" s="128"/>
      <c r="H205" s="128"/>
      <c r="I205" s="128"/>
      <c r="J205" s="128"/>
      <c r="K205" s="128"/>
      <c r="L205" s="128"/>
      <c r="M205" s="128"/>
      <c r="N205" s="128"/>
      <c r="O205" s="128"/>
      <c r="P205" s="128"/>
      <c r="Q205" s="128"/>
      <c r="R205" s="128"/>
      <c r="S205" s="128"/>
      <c r="T205" s="128"/>
      <c r="U205" s="128"/>
      <c r="V205" s="128"/>
      <c r="W205" s="128"/>
      <c r="X205" s="128"/>
      <c r="Y205" s="128"/>
      <c r="Z205" s="128">
        <v>94.707643284</v>
      </c>
      <c r="AA205" s="128">
        <v>85.222553384999998</v>
      </c>
      <c r="AB205" s="128">
        <v>62.084339612999997</v>
      </c>
      <c r="AC205" s="128">
        <v>121.348089485</v>
      </c>
      <c r="AD205" s="128">
        <v>118.481082933</v>
      </c>
      <c r="AE205" s="128">
        <v>243.49181896900001</v>
      </c>
      <c r="AF205" s="128">
        <v>335.13115195500001</v>
      </c>
      <c r="AG205" s="128">
        <v>156.41686056</v>
      </c>
      <c r="AH205" s="128">
        <v>183.992701342</v>
      </c>
      <c r="AI205" s="128">
        <v>285.19242247300002</v>
      </c>
      <c r="AJ205" s="128">
        <v>315.27386348800002</v>
      </c>
      <c r="AK205" s="128">
        <v>444.89615741400002</v>
      </c>
      <c r="AL205" s="128">
        <v>554.02701698400006</v>
      </c>
      <c r="AM205" s="128">
        <v>585.76921217400002</v>
      </c>
      <c r="AN205" s="128">
        <v>886.83740498899999</v>
      </c>
      <c r="AO205" s="128">
        <v>1058.051622599</v>
      </c>
      <c r="AP205" s="128">
        <v>651.77083189799998</v>
      </c>
      <c r="AQ205" s="128">
        <v>1241.4772459789999</v>
      </c>
      <c r="AR205" s="128">
        <v>1395.1125184110001</v>
      </c>
      <c r="AS205" s="288">
        <v>1787.671215712</v>
      </c>
      <c r="AT205" s="288">
        <v>1525.43067391</v>
      </c>
      <c r="AU205" s="288">
        <v>1520.404838441</v>
      </c>
      <c r="AV205" s="288">
        <v>1912.6267210169999</v>
      </c>
      <c r="AW205" s="158">
        <v>1272.654651992</v>
      </c>
      <c r="AX205" s="158">
        <v>2411.6100757409999</v>
      </c>
      <c r="AY205" s="158">
        <v>1457.0675609760001</v>
      </c>
      <c r="AZ205" s="158">
        <v>1959.366448941</v>
      </c>
      <c r="BA205" s="158">
        <v>1638.348546421</v>
      </c>
      <c r="BB205" s="288">
        <v>1470.7815923390001</v>
      </c>
      <c r="BC205" s="288">
        <v>3065.6410793800001</v>
      </c>
      <c r="BD205" s="288">
        <v>1344.5288243099999</v>
      </c>
      <c r="BE205" s="288">
        <v>1962.0400174670001</v>
      </c>
      <c r="BF205" s="288">
        <v>2650.228471718</v>
      </c>
      <c r="BG205" s="288">
        <v>2185.6016336580001</v>
      </c>
      <c r="BH205" s="288">
        <v>4847.0082875030002</v>
      </c>
      <c r="BI205" s="288">
        <v>2713.2633623299998</v>
      </c>
      <c r="BJ205" s="288">
        <v>2175.5278376739998</v>
      </c>
      <c r="BK205" s="288">
        <v>2558.3859048499999</v>
      </c>
      <c r="BL205" s="288">
        <v>1163.8508665920001</v>
      </c>
      <c r="BM205" s="288">
        <v>3381.4151415030001</v>
      </c>
      <c r="BN205" s="288">
        <v>3815.97</v>
      </c>
      <c r="BO205" s="288">
        <v>3360.5406835550002</v>
      </c>
      <c r="BP205" s="288">
        <v>2771.27</v>
      </c>
      <c r="BQ205" s="288">
        <v>4249.7780415429997</v>
      </c>
      <c r="BR205" s="288">
        <v>2260.1697195950001</v>
      </c>
      <c r="BS205" s="288">
        <v>5271.4584906569999</v>
      </c>
      <c r="BT205" s="288">
        <v>5021.4990823050002</v>
      </c>
    </row>
    <row r="206" spans="1:73">
      <c r="C206" s="127" t="s">
        <v>1074</v>
      </c>
      <c r="D206" s="127"/>
      <c r="E206" s="127"/>
      <c r="F206" s="127"/>
      <c r="G206" s="128"/>
      <c r="H206" s="128"/>
      <c r="I206" s="128"/>
      <c r="J206" s="128"/>
      <c r="K206" s="128"/>
      <c r="L206" s="128"/>
      <c r="M206" s="128"/>
      <c r="N206" s="128"/>
      <c r="O206" s="128"/>
      <c r="P206" s="128"/>
      <c r="Q206" s="128"/>
      <c r="R206" s="128"/>
      <c r="S206" s="128"/>
      <c r="T206" s="128"/>
      <c r="U206" s="128"/>
      <c r="V206" s="128"/>
      <c r="W206" s="128"/>
      <c r="X206" s="128"/>
      <c r="Y206" s="128"/>
      <c r="Z206" s="128">
        <v>2.2686925750000002</v>
      </c>
      <c r="AA206" s="128">
        <v>4.3734883580000004</v>
      </c>
      <c r="AB206" s="128">
        <v>4.4131650230000004</v>
      </c>
      <c r="AC206" s="128">
        <v>6.3758215309999997</v>
      </c>
      <c r="AD206" s="128">
        <v>4.4685957739999997</v>
      </c>
      <c r="AE206" s="128">
        <v>5.6237615280000002</v>
      </c>
      <c r="AF206" s="128">
        <v>6.8713718290000001</v>
      </c>
      <c r="AG206" s="128">
        <v>10.072556611</v>
      </c>
      <c r="AH206" s="128">
        <v>12.431957615</v>
      </c>
      <c r="AI206" s="128">
        <v>14.421246771</v>
      </c>
      <c r="AJ206" s="128">
        <v>17.325790311999999</v>
      </c>
      <c r="AK206" s="128">
        <v>29.553750880999999</v>
      </c>
      <c r="AL206" s="128">
        <v>15.137139587</v>
      </c>
      <c r="AM206" s="128">
        <v>19.087978374999999</v>
      </c>
      <c r="AN206" s="128">
        <v>27.781339195000001</v>
      </c>
      <c r="AO206" s="128">
        <v>41.422708239000002</v>
      </c>
      <c r="AP206" s="128">
        <v>36.704795967000003</v>
      </c>
      <c r="AQ206" s="128">
        <v>47.343394455000002</v>
      </c>
      <c r="AR206" s="128">
        <v>46.248094494999997</v>
      </c>
      <c r="AS206" s="288">
        <v>100.997580212</v>
      </c>
      <c r="AT206" s="288">
        <v>72.112060021000005</v>
      </c>
      <c r="AU206" s="288">
        <v>75.997063044000001</v>
      </c>
      <c r="AV206" s="288">
        <v>93.970156904999996</v>
      </c>
      <c r="AW206" s="158">
        <v>59.423274910000004</v>
      </c>
      <c r="AX206" s="158">
        <v>45.310587249999998</v>
      </c>
      <c r="AY206" s="158">
        <v>51.356906637000002</v>
      </c>
      <c r="AZ206" s="158">
        <v>41.531170729000003</v>
      </c>
      <c r="BA206" s="158">
        <v>59.432982328000001</v>
      </c>
      <c r="BB206" s="288">
        <v>53.803624243999998</v>
      </c>
      <c r="BC206" s="288">
        <v>62.723945764</v>
      </c>
      <c r="BD206" s="288">
        <v>64.851810388000004</v>
      </c>
      <c r="BE206" s="288">
        <v>116.762342124</v>
      </c>
      <c r="BF206" s="288">
        <v>91.255582136000001</v>
      </c>
      <c r="BG206" s="288">
        <v>110.359023366</v>
      </c>
      <c r="BH206" s="288">
        <v>98.441682231000001</v>
      </c>
      <c r="BI206" s="288">
        <v>218.72039555800001</v>
      </c>
      <c r="BJ206" s="288">
        <v>83.907960052000007</v>
      </c>
      <c r="BK206" s="288">
        <v>91.992127238999998</v>
      </c>
      <c r="BL206" s="288">
        <v>382.43812816500002</v>
      </c>
      <c r="BM206" s="288">
        <v>559.34058090300005</v>
      </c>
      <c r="BN206" s="288">
        <v>242.9</v>
      </c>
      <c r="BO206" s="288">
        <v>310.371526937</v>
      </c>
      <c r="BP206" s="288">
        <v>97.41</v>
      </c>
      <c r="BQ206" s="288">
        <v>83.479763450999997</v>
      </c>
      <c r="BR206" s="288">
        <v>61.773222091999997</v>
      </c>
      <c r="BS206" s="288">
        <v>69.317076818000004</v>
      </c>
      <c r="BT206" s="288">
        <v>101.233480077</v>
      </c>
    </row>
    <row r="207" spans="1:73">
      <c r="C207" s="127" t="s">
        <v>1075</v>
      </c>
      <c r="D207" s="127"/>
      <c r="E207" s="127"/>
      <c r="F207" s="127"/>
      <c r="G207" s="128"/>
      <c r="H207" s="128"/>
      <c r="I207" s="128"/>
      <c r="J207" s="128"/>
      <c r="K207" s="128"/>
      <c r="L207" s="128"/>
      <c r="M207" s="128"/>
      <c r="N207" s="128"/>
      <c r="O207" s="128"/>
      <c r="P207" s="128"/>
      <c r="Q207" s="128"/>
      <c r="R207" s="128"/>
      <c r="S207" s="128"/>
      <c r="T207" s="128"/>
      <c r="U207" s="128"/>
      <c r="V207" s="128"/>
      <c r="W207" s="128"/>
      <c r="X207" s="128"/>
      <c r="Y207" s="128"/>
      <c r="Z207" s="128">
        <v>30.047999999999998</v>
      </c>
      <c r="AA207" s="128">
        <v>155.858</v>
      </c>
      <c r="AB207" s="128">
        <v>273.721</v>
      </c>
      <c r="AC207" s="128">
        <v>2.7095435280000002</v>
      </c>
      <c r="AD207" s="128">
        <v>2.7469530010000001</v>
      </c>
      <c r="AE207" s="128">
        <v>1.936816933</v>
      </c>
      <c r="AF207" s="128">
        <v>1.9587796770000001</v>
      </c>
      <c r="AG207" s="128">
        <v>2.7612419539999999</v>
      </c>
      <c r="AH207" s="128">
        <v>2.783968287</v>
      </c>
      <c r="AI207" s="128">
        <v>2.820109075</v>
      </c>
      <c r="AJ207" s="128">
        <v>2.8431170969999999</v>
      </c>
      <c r="AK207" s="128">
        <v>2.8992201290000001</v>
      </c>
      <c r="AL207" s="128">
        <v>3.1390883110000001</v>
      </c>
      <c r="AM207" s="128">
        <v>569.10180979999996</v>
      </c>
      <c r="AN207" s="128">
        <v>1382.1075389529999</v>
      </c>
      <c r="AO207" s="128">
        <v>1221.120055441</v>
      </c>
      <c r="AP207" s="128">
        <v>951.02626038300002</v>
      </c>
      <c r="AQ207" s="128">
        <v>845.37840442499999</v>
      </c>
      <c r="AR207" s="128">
        <v>2485.33</v>
      </c>
      <c r="AS207" s="288">
        <v>385.83298125800002</v>
      </c>
      <c r="AT207" s="288">
        <v>48</v>
      </c>
      <c r="AU207" s="288">
        <v>350</v>
      </c>
      <c r="AV207" s="288">
        <v>1025.420778463</v>
      </c>
      <c r="AW207" s="158">
        <v>1152.8888775999999</v>
      </c>
      <c r="AX207" s="158">
        <v>225.87519809</v>
      </c>
      <c r="AY207" s="158">
        <v>48.986387544999999</v>
      </c>
      <c r="AZ207" s="158">
        <v>59.488</v>
      </c>
      <c r="BA207" s="158">
        <v>5104.5829317509997</v>
      </c>
      <c r="BB207" s="288">
        <v>144.005041971</v>
      </c>
      <c r="BC207" s="288">
        <v>954.21284657599995</v>
      </c>
      <c r="BD207" s="288">
        <v>1375.8543318300001</v>
      </c>
      <c r="BE207" s="288">
        <v>2337.261195691</v>
      </c>
      <c r="BF207" s="288">
        <v>10.005200690000001</v>
      </c>
      <c r="BG207" s="288">
        <v>60</v>
      </c>
      <c r="BH207" s="288">
        <v>1569.5406493779999</v>
      </c>
      <c r="BI207" s="288">
        <v>1215</v>
      </c>
      <c r="BJ207" s="288">
        <v>100</v>
      </c>
      <c r="BK207" s="288">
        <v>350</v>
      </c>
      <c r="BL207" s="288">
        <v>0</v>
      </c>
      <c r="BM207" s="288">
        <v>570.06827395000005</v>
      </c>
      <c r="BN207" s="288">
        <v>467.14</v>
      </c>
      <c r="BO207" s="288">
        <v>1211.8164974829999</v>
      </c>
      <c r="BP207" s="288">
        <v>6468.5</v>
      </c>
      <c r="BQ207" s="288">
        <v>1000</v>
      </c>
      <c r="BR207" s="288">
        <v>0</v>
      </c>
      <c r="BS207" s="288">
        <v>300</v>
      </c>
      <c r="BT207" s="288">
        <v>0</v>
      </c>
    </row>
    <row r="208" spans="1:73">
      <c r="C208" s="127" t="s">
        <v>1076</v>
      </c>
      <c r="D208" s="127"/>
      <c r="E208" s="127"/>
      <c r="F208" s="127"/>
      <c r="G208" s="128"/>
      <c r="H208" s="128"/>
      <c r="I208" s="128"/>
      <c r="J208" s="128"/>
      <c r="K208" s="128"/>
      <c r="L208" s="128"/>
      <c r="M208" s="128"/>
      <c r="N208" s="128"/>
      <c r="O208" s="128"/>
      <c r="P208" s="128"/>
      <c r="Q208" s="128"/>
      <c r="R208" s="128"/>
      <c r="S208" s="128"/>
      <c r="T208" s="128"/>
      <c r="U208" s="128"/>
      <c r="V208" s="128"/>
      <c r="W208" s="128"/>
      <c r="X208" s="128"/>
      <c r="Y208" s="128"/>
      <c r="Z208" s="128">
        <v>0</v>
      </c>
      <c r="AA208" s="128">
        <v>0</v>
      </c>
      <c r="AB208" s="128">
        <v>0</v>
      </c>
      <c r="AC208" s="128">
        <v>0</v>
      </c>
      <c r="AD208" s="128">
        <v>0</v>
      </c>
      <c r="AE208" s="128">
        <v>0</v>
      </c>
      <c r="AF208" s="128">
        <v>0</v>
      </c>
      <c r="AG208" s="128">
        <v>0</v>
      </c>
      <c r="AH208" s="128">
        <v>0</v>
      </c>
      <c r="AI208" s="128">
        <v>0</v>
      </c>
      <c r="AJ208" s="128">
        <v>0</v>
      </c>
      <c r="AK208" s="128">
        <v>0</v>
      </c>
      <c r="AL208" s="128">
        <v>0</v>
      </c>
      <c r="AM208" s="128">
        <v>0</v>
      </c>
      <c r="AN208" s="128">
        <v>0</v>
      </c>
      <c r="AO208" s="128">
        <v>0</v>
      </c>
      <c r="AP208" s="128">
        <v>2.5674999999999999</v>
      </c>
      <c r="AQ208" s="128">
        <v>663.00215384399996</v>
      </c>
      <c r="AR208" s="128">
        <v>659.85110543200005</v>
      </c>
      <c r="AS208" s="288">
        <v>50.922451739000003</v>
      </c>
      <c r="AT208" s="288">
        <v>3830</v>
      </c>
      <c r="AU208" s="288">
        <v>6133.4</v>
      </c>
      <c r="AV208" s="288">
        <v>4275.3999999999996</v>
      </c>
      <c r="AW208" s="158">
        <v>3075</v>
      </c>
      <c r="AX208" s="158">
        <v>3800</v>
      </c>
      <c r="AY208" s="158">
        <v>8712.4</v>
      </c>
      <c r="AZ208" s="158">
        <v>10598.354547946001</v>
      </c>
      <c r="BA208" s="158">
        <v>8057.3188219180001</v>
      </c>
      <c r="BB208" s="288">
        <v>12622.967473973</v>
      </c>
      <c r="BC208" s="288">
        <v>13524.445343145</v>
      </c>
      <c r="BD208" s="288">
        <v>6814.2808062410004</v>
      </c>
      <c r="BE208" s="288">
        <v>13434.708637068999</v>
      </c>
      <c r="BF208" s="288">
        <v>11699.727339355</v>
      </c>
      <c r="BG208" s="288">
        <v>12320.647805155</v>
      </c>
      <c r="BH208" s="288">
        <v>8846.2330861230002</v>
      </c>
      <c r="BI208" s="288">
        <v>10059.049605640001</v>
      </c>
      <c r="BJ208" s="288">
        <v>17028.152930606</v>
      </c>
      <c r="BK208" s="288">
        <v>20978.938278067999</v>
      </c>
      <c r="BL208" s="288">
        <v>20901.865637221999</v>
      </c>
      <c r="BM208" s="288">
        <v>18937.008073822999</v>
      </c>
      <c r="BN208" s="288">
        <v>24673.24</v>
      </c>
      <c r="BO208" s="288">
        <v>25180.620627699998</v>
      </c>
      <c r="BP208" s="288">
        <v>21548.92</v>
      </c>
      <c r="BQ208" s="288">
        <v>28524.44175632</v>
      </c>
      <c r="BR208" s="288">
        <v>32390.51501562</v>
      </c>
      <c r="BS208" s="288">
        <v>34303.249939745001</v>
      </c>
      <c r="BT208" s="288">
        <v>33436.260988198999</v>
      </c>
    </row>
    <row r="209" spans="3:72">
      <c r="C209" s="127" t="s">
        <v>1077</v>
      </c>
      <c r="D209" s="127"/>
      <c r="E209" s="127"/>
      <c r="F209" s="127"/>
      <c r="G209" s="128"/>
      <c r="H209" s="128"/>
      <c r="I209" s="128"/>
      <c r="J209" s="128"/>
      <c r="K209" s="128"/>
      <c r="L209" s="128"/>
      <c r="M209" s="128"/>
      <c r="N209" s="128"/>
      <c r="O209" s="128"/>
      <c r="P209" s="128"/>
      <c r="Q209" s="128"/>
      <c r="R209" s="128"/>
      <c r="S209" s="128"/>
      <c r="T209" s="128"/>
      <c r="U209" s="128"/>
      <c r="V209" s="128"/>
      <c r="W209" s="128"/>
      <c r="X209" s="128"/>
      <c r="Y209" s="128"/>
      <c r="Z209" s="128">
        <v>0</v>
      </c>
      <c r="AA209" s="128">
        <v>0</v>
      </c>
      <c r="AB209" s="128">
        <v>0</v>
      </c>
      <c r="AC209" s="128">
        <v>0</v>
      </c>
      <c r="AD209" s="128">
        <v>0</v>
      </c>
      <c r="AE209" s="128">
        <v>0</v>
      </c>
      <c r="AF209" s="128">
        <v>0</v>
      </c>
      <c r="AG209" s="128">
        <v>0</v>
      </c>
      <c r="AH209" s="128">
        <v>0</v>
      </c>
      <c r="AI209" s="128">
        <v>0</v>
      </c>
      <c r="AJ209" s="128">
        <v>0</v>
      </c>
      <c r="AK209" s="128">
        <v>0</v>
      </c>
      <c r="AL209" s="128">
        <v>0</v>
      </c>
      <c r="AM209" s="128">
        <v>0</v>
      </c>
      <c r="AN209" s="128">
        <v>0</v>
      </c>
      <c r="AO209" s="128">
        <v>0</v>
      </c>
      <c r="AP209" s="128">
        <v>0</v>
      </c>
      <c r="AQ209" s="128">
        <v>0</v>
      </c>
      <c r="AR209" s="128">
        <v>0</v>
      </c>
      <c r="AS209" s="288">
        <v>0</v>
      </c>
      <c r="AT209" s="288">
        <v>0</v>
      </c>
      <c r="AU209" s="288">
        <v>0</v>
      </c>
      <c r="AV209" s="288">
        <v>0</v>
      </c>
      <c r="AW209" s="158">
        <v>0</v>
      </c>
      <c r="AX209" s="158">
        <v>0</v>
      </c>
      <c r="AY209" s="158">
        <v>0</v>
      </c>
      <c r="AZ209" s="158">
        <v>0</v>
      </c>
      <c r="BA209" s="158">
        <v>0</v>
      </c>
      <c r="BB209" s="288">
        <v>0</v>
      </c>
      <c r="BC209" s="288">
        <v>0</v>
      </c>
      <c r="BD209" s="288">
        <v>0</v>
      </c>
      <c r="BE209" s="288">
        <v>0</v>
      </c>
      <c r="BF209" s="288">
        <v>0</v>
      </c>
      <c r="BG209" s="288">
        <v>0</v>
      </c>
      <c r="BH209" s="288">
        <v>0</v>
      </c>
      <c r="BI209" s="288">
        <v>0</v>
      </c>
      <c r="BJ209" s="288">
        <v>0</v>
      </c>
      <c r="BK209" s="288">
        <v>0</v>
      </c>
      <c r="BL209" s="288">
        <v>0</v>
      </c>
      <c r="BM209" s="288">
        <v>0</v>
      </c>
      <c r="BN209" s="288">
        <v>0</v>
      </c>
      <c r="BO209" s="288">
        <v>0</v>
      </c>
      <c r="BP209" s="288">
        <v>0</v>
      </c>
      <c r="BQ209" s="288">
        <v>0</v>
      </c>
      <c r="BR209" s="288">
        <v>0</v>
      </c>
      <c r="BS209" s="288">
        <v>0</v>
      </c>
      <c r="BT209" s="288">
        <v>0</v>
      </c>
    </row>
    <row r="210" spans="3:72">
      <c r="C210" s="127" t="s">
        <v>790</v>
      </c>
      <c r="D210" s="127"/>
      <c r="E210" s="127"/>
      <c r="F210" s="127"/>
      <c r="G210" s="128"/>
      <c r="H210" s="128"/>
      <c r="I210" s="128"/>
      <c r="J210" s="128"/>
      <c r="K210" s="128"/>
      <c r="L210" s="128"/>
      <c r="M210" s="128"/>
      <c r="N210" s="128"/>
      <c r="O210" s="128"/>
      <c r="P210" s="128"/>
      <c r="Q210" s="128"/>
      <c r="R210" s="128"/>
      <c r="S210" s="128"/>
      <c r="T210" s="128"/>
      <c r="U210" s="128"/>
      <c r="V210" s="128"/>
      <c r="W210" s="128"/>
      <c r="X210" s="128"/>
      <c r="Y210" s="128"/>
      <c r="Z210" s="128">
        <v>0</v>
      </c>
      <c r="AA210" s="128">
        <v>0</v>
      </c>
      <c r="AB210" s="128">
        <v>0</v>
      </c>
      <c r="AC210" s="128">
        <v>0</v>
      </c>
      <c r="AD210" s="128">
        <v>0</v>
      </c>
      <c r="AE210" s="128">
        <v>0</v>
      </c>
      <c r="AF210" s="128">
        <v>0</v>
      </c>
      <c r="AG210" s="128">
        <v>0</v>
      </c>
      <c r="AH210" s="128">
        <v>0</v>
      </c>
      <c r="AI210" s="128">
        <v>0</v>
      </c>
      <c r="AJ210" s="128">
        <v>0</v>
      </c>
      <c r="AK210" s="128">
        <v>0</v>
      </c>
      <c r="AL210" s="128">
        <v>0</v>
      </c>
      <c r="AM210" s="128">
        <v>0</v>
      </c>
      <c r="AN210" s="128">
        <v>0</v>
      </c>
      <c r="AO210" s="128">
        <v>0</v>
      </c>
      <c r="AP210" s="128">
        <v>2.5674999999999999</v>
      </c>
      <c r="AQ210" s="128">
        <v>663.00215384399996</v>
      </c>
      <c r="AR210" s="128">
        <v>659.85110543200005</v>
      </c>
      <c r="AS210" s="288">
        <v>50.922451739000003</v>
      </c>
      <c r="AT210" s="288">
        <v>3830</v>
      </c>
      <c r="AU210" s="288">
        <v>6133.4</v>
      </c>
      <c r="AV210" s="288">
        <v>4275.3999999999996</v>
      </c>
      <c r="AW210" s="158">
        <v>3075</v>
      </c>
      <c r="AX210" s="158">
        <v>3800</v>
      </c>
      <c r="AY210" s="158">
        <v>8712.4</v>
      </c>
      <c r="AZ210" s="158">
        <v>10598.354547946001</v>
      </c>
      <c r="BA210" s="158">
        <v>8057.3188219180001</v>
      </c>
      <c r="BB210" s="288">
        <v>12622.967473973</v>
      </c>
      <c r="BC210" s="288">
        <v>13524.445343145</v>
      </c>
      <c r="BD210" s="288">
        <v>6814.2808062410004</v>
      </c>
      <c r="BE210" s="288">
        <v>13434.708637068999</v>
      </c>
      <c r="BF210" s="288">
        <v>11699.727339355</v>
      </c>
      <c r="BG210" s="288">
        <v>12320.647805155</v>
      </c>
      <c r="BH210" s="288">
        <v>8846.2330861230002</v>
      </c>
      <c r="BI210" s="288">
        <v>10059.049605640001</v>
      </c>
      <c r="BJ210" s="288">
        <v>17028.152930606</v>
      </c>
      <c r="BK210" s="288">
        <v>20978.938278067999</v>
      </c>
      <c r="BL210" s="288">
        <v>20901.865637221999</v>
      </c>
      <c r="BM210" s="288">
        <v>18937.008073822999</v>
      </c>
      <c r="BN210" s="288">
        <v>24673.24</v>
      </c>
      <c r="BO210" s="288">
        <v>25180.620627699998</v>
      </c>
      <c r="BP210" s="288">
        <v>21548.92</v>
      </c>
      <c r="BQ210" s="288">
        <v>28524.44175632</v>
      </c>
      <c r="BR210" s="288">
        <v>32390.51501562</v>
      </c>
      <c r="BS210" s="288">
        <v>34303.249939745001</v>
      </c>
      <c r="BT210" s="288">
        <v>33436.260988198999</v>
      </c>
    </row>
    <row r="211" spans="3:72">
      <c r="C211" s="127" t="s">
        <v>1078</v>
      </c>
      <c r="D211" s="127"/>
      <c r="E211" s="127"/>
      <c r="F211" s="127"/>
      <c r="G211" s="128"/>
      <c r="H211" s="128"/>
      <c r="I211" s="128"/>
      <c r="J211" s="128"/>
      <c r="K211" s="128"/>
      <c r="L211" s="128"/>
      <c r="M211" s="128"/>
      <c r="N211" s="128"/>
      <c r="O211" s="128"/>
      <c r="P211" s="128"/>
      <c r="Q211" s="128"/>
      <c r="R211" s="128"/>
      <c r="S211" s="128"/>
      <c r="T211" s="128"/>
      <c r="U211" s="128"/>
      <c r="V211" s="128"/>
      <c r="W211" s="128"/>
      <c r="X211" s="128"/>
      <c r="Y211" s="128"/>
      <c r="Z211" s="128">
        <v>0</v>
      </c>
      <c r="AA211" s="128">
        <v>0</v>
      </c>
      <c r="AB211" s="128">
        <v>0</v>
      </c>
      <c r="AC211" s="128">
        <v>0</v>
      </c>
      <c r="AD211" s="128">
        <v>0</v>
      </c>
      <c r="AE211" s="128">
        <v>0</v>
      </c>
      <c r="AF211" s="128">
        <v>0</v>
      </c>
      <c r="AG211" s="128">
        <v>0</v>
      </c>
      <c r="AH211" s="128">
        <v>0</v>
      </c>
      <c r="AI211" s="128">
        <v>0</v>
      </c>
      <c r="AJ211" s="128">
        <v>0</v>
      </c>
      <c r="AK211" s="128">
        <v>0</v>
      </c>
      <c r="AL211" s="128">
        <v>0</v>
      </c>
      <c r="AM211" s="128">
        <v>0</v>
      </c>
      <c r="AN211" s="128">
        <v>0</v>
      </c>
      <c r="AO211" s="128">
        <v>0</v>
      </c>
      <c r="AP211" s="128">
        <v>2.5674999999999999</v>
      </c>
      <c r="AQ211" s="128">
        <v>663.00215384399996</v>
      </c>
      <c r="AR211" s="128">
        <v>659.85110543200005</v>
      </c>
      <c r="AS211" s="288">
        <v>50.922451739000003</v>
      </c>
      <c r="AT211" s="288">
        <v>3830</v>
      </c>
      <c r="AU211" s="288">
        <v>6133.4</v>
      </c>
      <c r="AV211" s="288">
        <v>4275.3999999999996</v>
      </c>
      <c r="AW211" s="158">
        <v>3075</v>
      </c>
      <c r="AX211" s="158">
        <v>3800</v>
      </c>
      <c r="AY211" s="158">
        <v>8712.4</v>
      </c>
      <c r="AZ211" s="158">
        <v>10598.354547946001</v>
      </c>
      <c r="BA211" s="158">
        <v>8057.3188219180001</v>
      </c>
      <c r="BB211" s="288">
        <v>12622.967473973</v>
      </c>
      <c r="BC211" s="288">
        <v>13524.445343145</v>
      </c>
      <c r="BD211" s="288">
        <v>6814.2808062410004</v>
      </c>
      <c r="BE211" s="288">
        <v>13434.708637068999</v>
      </c>
      <c r="BF211" s="288">
        <v>11699.727339355</v>
      </c>
      <c r="BG211" s="288">
        <v>12320.647805155</v>
      </c>
      <c r="BH211" s="288">
        <v>8846.2330861230002</v>
      </c>
      <c r="BI211" s="288">
        <v>10059.049605640001</v>
      </c>
      <c r="BJ211" s="288">
        <v>17028.152930606</v>
      </c>
      <c r="BK211" s="288">
        <v>20978.938278067999</v>
      </c>
      <c r="BL211" s="288">
        <v>20901.865637221999</v>
      </c>
      <c r="BM211" s="288">
        <v>18937.008073822999</v>
      </c>
      <c r="BN211" s="288">
        <v>24673.24</v>
      </c>
      <c r="BO211" s="288">
        <v>25180.620627699998</v>
      </c>
      <c r="BP211" s="288">
        <v>21548.92</v>
      </c>
      <c r="BQ211" s="288">
        <v>28524.44175632</v>
      </c>
      <c r="BR211" s="288">
        <v>32390.51501562</v>
      </c>
      <c r="BS211" s="288">
        <v>34303.249939745001</v>
      </c>
      <c r="BT211" s="288">
        <v>33436.260988198999</v>
      </c>
    </row>
    <row r="212" spans="3:72">
      <c r="C212" s="127" t="s">
        <v>1079</v>
      </c>
      <c r="D212" s="127"/>
      <c r="E212" s="127"/>
      <c r="F212" s="127"/>
      <c r="G212" s="128"/>
      <c r="H212" s="128"/>
      <c r="I212" s="128"/>
      <c r="J212" s="128"/>
      <c r="K212" s="128"/>
      <c r="L212" s="128"/>
      <c r="M212" s="128"/>
      <c r="N212" s="128"/>
      <c r="O212" s="128"/>
      <c r="P212" s="128"/>
      <c r="Q212" s="128"/>
      <c r="R212" s="128"/>
      <c r="S212" s="128"/>
      <c r="T212" s="128"/>
      <c r="U212" s="128"/>
      <c r="V212" s="128"/>
      <c r="W212" s="128"/>
      <c r="X212" s="128"/>
      <c r="Y212" s="128"/>
      <c r="Z212" s="128">
        <v>0</v>
      </c>
      <c r="AA212" s="128">
        <v>0</v>
      </c>
      <c r="AB212" s="128">
        <v>0</v>
      </c>
      <c r="AC212" s="128">
        <v>0</v>
      </c>
      <c r="AD212" s="128">
        <v>0</v>
      </c>
      <c r="AE212" s="128">
        <v>0</v>
      </c>
      <c r="AF212" s="128">
        <v>0</v>
      </c>
      <c r="AG212" s="128">
        <v>0</v>
      </c>
      <c r="AH212" s="128">
        <v>0</v>
      </c>
      <c r="AI212" s="128">
        <v>0</v>
      </c>
      <c r="AJ212" s="128">
        <v>0</v>
      </c>
      <c r="AK212" s="128">
        <v>0</v>
      </c>
      <c r="AL212" s="128">
        <v>0</v>
      </c>
      <c r="AM212" s="128">
        <v>0</v>
      </c>
      <c r="AN212" s="128">
        <v>0</v>
      </c>
      <c r="AO212" s="128">
        <v>0</v>
      </c>
      <c r="AP212" s="128">
        <v>0</v>
      </c>
      <c r="AQ212" s="128">
        <v>0</v>
      </c>
      <c r="AR212" s="128">
        <v>0</v>
      </c>
      <c r="AS212" s="288">
        <v>0</v>
      </c>
      <c r="AT212" s="288">
        <v>0</v>
      </c>
      <c r="AU212" s="288">
        <v>0</v>
      </c>
      <c r="AV212" s="288">
        <v>0</v>
      </c>
      <c r="AW212" s="158">
        <v>0</v>
      </c>
      <c r="AX212" s="158">
        <v>0</v>
      </c>
      <c r="AY212" s="158">
        <v>0</v>
      </c>
      <c r="AZ212" s="158">
        <v>0</v>
      </c>
      <c r="BA212" s="158">
        <v>0</v>
      </c>
      <c r="BB212" s="288">
        <v>0</v>
      </c>
      <c r="BC212" s="288">
        <v>0</v>
      </c>
      <c r="BD212" s="288">
        <v>0</v>
      </c>
      <c r="BE212" s="288">
        <v>0</v>
      </c>
      <c r="BF212" s="288">
        <v>0</v>
      </c>
      <c r="BG212" s="288">
        <v>0</v>
      </c>
      <c r="BH212" s="288">
        <v>0</v>
      </c>
      <c r="BI212" s="288">
        <v>0</v>
      </c>
      <c r="BJ212" s="288">
        <v>0</v>
      </c>
      <c r="BK212" s="288">
        <v>0</v>
      </c>
      <c r="BL212" s="288">
        <v>0</v>
      </c>
      <c r="BM212" s="288">
        <v>0</v>
      </c>
      <c r="BN212" s="288">
        <v>0</v>
      </c>
      <c r="BO212" s="288">
        <v>0</v>
      </c>
      <c r="BP212" s="288">
        <v>0</v>
      </c>
      <c r="BQ212" s="288">
        <v>0</v>
      </c>
      <c r="BR212" s="288">
        <v>0</v>
      </c>
      <c r="BS212" s="288">
        <v>0</v>
      </c>
      <c r="BT212" s="288">
        <v>0</v>
      </c>
    </row>
    <row r="213" spans="3:72">
      <c r="C213" s="127" t="s">
        <v>1080</v>
      </c>
      <c r="D213" s="127"/>
      <c r="E213" s="127"/>
      <c r="F213" s="127"/>
      <c r="G213" s="128"/>
      <c r="H213" s="128"/>
      <c r="I213" s="128"/>
      <c r="J213" s="128"/>
      <c r="K213" s="128"/>
      <c r="L213" s="128"/>
      <c r="M213" s="128"/>
      <c r="N213" s="128"/>
      <c r="O213" s="128"/>
      <c r="P213" s="128"/>
      <c r="Q213" s="128"/>
      <c r="R213" s="128"/>
      <c r="S213" s="128"/>
      <c r="T213" s="128"/>
      <c r="U213" s="128"/>
      <c r="V213" s="128"/>
      <c r="W213" s="128"/>
      <c r="X213" s="128"/>
      <c r="Y213" s="128"/>
      <c r="Z213" s="128">
        <v>0</v>
      </c>
      <c r="AA213" s="128">
        <v>0</v>
      </c>
      <c r="AB213" s="128">
        <v>0</v>
      </c>
      <c r="AC213" s="128">
        <v>0</v>
      </c>
      <c r="AD213" s="128">
        <v>0</v>
      </c>
      <c r="AE213" s="128">
        <v>0</v>
      </c>
      <c r="AF213" s="128">
        <v>0</v>
      </c>
      <c r="AG213" s="128">
        <v>0</v>
      </c>
      <c r="AH213" s="128">
        <v>0</v>
      </c>
      <c r="AI213" s="128">
        <v>0</v>
      </c>
      <c r="AJ213" s="128">
        <v>0</v>
      </c>
      <c r="AK213" s="128">
        <v>0</v>
      </c>
      <c r="AL213" s="128">
        <v>0</v>
      </c>
      <c r="AM213" s="128">
        <v>0</v>
      </c>
      <c r="AN213" s="128">
        <v>0</v>
      </c>
      <c r="AO213" s="128">
        <v>0</v>
      </c>
      <c r="AP213" s="128">
        <v>0</v>
      </c>
      <c r="AQ213" s="128">
        <v>0</v>
      </c>
      <c r="AR213" s="128">
        <v>0</v>
      </c>
      <c r="AS213" s="288">
        <v>0</v>
      </c>
      <c r="AT213" s="288">
        <v>0</v>
      </c>
      <c r="AU213" s="288">
        <v>0</v>
      </c>
      <c r="AV213" s="288">
        <v>0</v>
      </c>
      <c r="AW213" s="158">
        <v>0</v>
      </c>
      <c r="AX213" s="158">
        <v>0</v>
      </c>
      <c r="AY213" s="158">
        <v>0</v>
      </c>
      <c r="AZ213" s="158">
        <v>0</v>
      </c>
      <c r="BA213" s="158">
        <v>0</v>
      </c>
      <c r="BB213" s="288">
        <v>0</v>
      </c>
      <c r="BC213" s="288">
        <v>0</v>
      </c>
      <c r="BD213" s="288">
        <v>0</v>
      </c>
      <c r="BE213" s="288">
        <v>0</v>
      </c>
      <c r="BF213" s="288">
        <v>0</v>
      </c>
      <c r="BG213" s="288">
        <v>0</v>
      </c>
      <c r="BH213" s="288">
        <v>0</v>
      </c>
      <c r="BI213" s="288">
        <v>0</v>
      </c>
      <c r="BJ213" s="288">
        <v>0</v>
      </c>
      <c r="BK213" s="288">
        <v>0</v>
      </c>
      <c r="BL213" s="288">
        <v>0</v>
      </c>
      <c r="BM213" s="288">
        <v>0</v>
      </c>
      <c r="BN213" s="288">
        <v>0</v>
      </c>
      <c r="BO213" s="288">
        <v>0</v>
      </c>
      <c r="BP213" s="288">
        <v>0</v>
      </c>
      <c r="BQ213" s="288">
        <v>0</v>
      </c>
      <c r="BR213" s="288">
        <v>0</v>
      </c>
      <c r="BS213" s="288">
        <v>0</v>
      </c>
      <c r="BT213" s="288">
        <v>0</v>
      </c>
    </row>
    <row r="214" spans="3:72">
      <c r="C214" s="127" t="s">
        <v>1081</v>
      </c>
      <c r="D214" s="127"/>
      <c r="E214" s="127"/>
      <c r="F214" s="127"/>
      <c r="G214" s="128"/>
      <c r="H214" s="128"/>
      <c r="I214" s="128"/>
      <c r="J214" s="128"/>
      <c r="K214" s="128"/>
      <c r="L214" s="128"/>
      <c r="M214" s="128"/>
      <c r="N214" s="128"/>
      <c r="O214" s="128"/>
      <c r="P214" s="128"/>
      <c r="Q214" s="128"/>
      <c r="R214" s="128"/>
      <c r="S214" s="128"/>
      <c r="T214" s="128"/>
      <c r="U214" s="128"/>
      <c r="V214" s="128"/>
      <c r="W214" s="128"/>
      <c r="X214" s="128"/>
      <c r="Y214" s="128"/>
      <c r="Z214" s="128">
        <v>0</v>
      </c>
      <c r="AA214" s="128">
        <v>0</v>
      </c>
      <c r="AB214" s="128">
        <v>0</v>
      </c>
      <c r="AC214" s="128">
        <v>0</v>
      </c>
      <c r="AD214" s="128">
        <v>0</v>
      </c>
      <c r="AE214" s="128">
        <v>0</v>
      </c>
      <c r="AF214" s="128">
        <v>0</v>
      </c>
      <c r="AG214" s="128">
        <v>0</v>
      </c>
      <c r="AH214" s="128">
        <v>0</v>
      </c>
      <c r="AI214" s="128">
        <v>0</v>
      </c>
      <c r="AJ214" s="128">
        <v>0</v>
      </c>
      <c r="AK214" s="128">
        <v>0</v>
      </c>
      <c r="AL214" s="128">
        <v>0</v>
      </c>
      <c r="AM214" s="128">
        <v>0</v>
      </c>
      <c r="AN214" s="128">
        <v>0</v>
      </c>
      <c r="AO214" s="128">
        <v>0</v>
      </c>
      <c r="AP214" s="128">
        <v>0</v>
      </c>
      <c r="AQ214" s="128">
        <v>0</v>
      </c>
      <c r="AR214" s="128">
        <v>0</v>
      </c>
      <c r="AS214" s="288">
        <v>0</v>
      </c>
      <c r="AT214" s="288">
        <v>0</v>
      </c>
      <c r="AU214" s="288">
        <v>0</v>
      </c>
      <c r="AV214" s="288">
        <v>0</v>
      </c>
      <c r="AW214" s="158">
        <v>0</v>
      </c>
      <c r="AX214" s="158">
        <v>0</v>
      </c>
      <c r="AY214" s="158">
        <v>0</v>
      </c>
      <c r="AZ214" s="158">
        <v>0</v>
      </c>
      <c r="BA214" s="158">
        <v>0</v>
      </c>
      <c r="BB214" s="288">
        <v>0</v>
      </c>
      <c r="BC214" s="288">
        <v>0</v>
      </c>
      <c r="BD214" s="288">
        <v>0</v>
      </c>
      <c r="BE214" s="288">
        <v>0</v>
      </c>
      <c r="BF214" s="288">
        <v>0</v>
      </c>
      <c r="BG214" s="288">
        <v>0</v>
      </c>
      <c r="BH214" s="288">
        <v>0</v>
      </c>
      <c r="BI214" s="288">
        <v>0</v>
      </c>
      <c r="BJ214" s="288">
        <v>0</v>
      </c>
      <c r="BK214" s="288">
        <v>0</v>
      </c>
      <c r="BL214" s="288">
        <v>0</v>
      </c>
      <c r="BM214" s="288">
        <v>0</v>
      </c>
      <c r="BN214" s="288">
        <v>0</v>
      </c>
      <c r="BO214" s="288">
        <v>0</v>
      </c>
      <c r="BP214" s="288">
        <v>0</v>
      </c>
      <c r="BQ214" s="288">
        <v>0</v>
      </c>
      <c r="BR214" s="288">
        <v>0</v>
      </c>
      <c r="BS214" s="288">
        <v>0</v>
      </c>
      <c r="BT214" s="288">
        <v>0</v>
      </c>
    </row>
    <row r="215" spans="3:72">
      <c r="C215" s="127" t="s">
        <v>1082</v>
      </c>
      <c r="D215" s="127"/>
      <c r="E215" s="127"/>
      <c r="F215" s="127"/>
      <c r="G215" s="128"/>
      <c r="H215" s="128"/>
      <c r="I215" s="128"/>
      <c r="J215" s="128"/>
      <c r="K215" s="128"/>
      <c r="L215" s="128"/>
      <c r="M215" s="128"/>
      <c r="N215" s="128"/>
      <c r="O215" s="128"/>
      <c r="P215" s="128"/>
      <c r="Q215" s="128"/>
      <c r="R215" s="128"/>
      <c r="S215" s="128"/>
      <c r="T215" s="128"/>
      <c r="U215" s="128"/>
      <c r="V215" s="128"/>
      <c r="W215" s="128"/>
      <c r="X215" s="128"/>
      <c r="Y215" s="128"/>
      <c r="Z215" s="128">
        <v>184.602143536</v>
      </c>
      <c r="AA215" s="128">
        <v>140.88210828199999</v>
      </c>
      <c r="AB215" s="128">
        <v>154.21009500100001</v>
      </c>
      <c r="AC215" s="128">
        <v>161.40762937900001</v>
      </c>
      <c r="AD215" s="128">
        <v>195.51163319599999</v>
      </c>
      <c r="AE215" s="128">
        <v>229.82858716300001</v>
      </c>
      <c r="AF215" s="128">
        <v>305.11307248999998</v>
      </c>
      <c r="AG215" s="128">
        <v>340.96282004099999</v>
      </c>
      <c r="AH215" s="128">
        <v>336.06650207400003</v>
      </c>
      <c r="AI215" s="128">
        <v>349.74341692799999</v>
      </c>
      <c r="AJ215" s="128">
        <v>539.27773567199995</v>
      </c>
      <c r="AK215" s="128">
        <v>851.81388369000001</v>
      </c>
      <c r="AL215" s="128">
        <v>784.27747239600001</v>
      </c>
      <c r="AM215" s="128">
        <v>807.84075527499999</v>
      </c>
      <c r="AN215" s="128">
        <v>783.94770677199995</v>
      </c>
      <c r="AO215" s="128">
        <v>1120.005682188</v>
      </c>
      <c r="AP215" s="128">
        <v>1352.258607146</v>
      </c>
      <c r="AQ215" s="128">
        <v>960.62826533099997</v>
      </c>
      <c r="AR215" s="128">
        <v>1001.366641285</v>
      </c>
      <c r="AS215" s="288">
        <v>1158.9528130680001</v>
      </c>
      <c r="AT215" s="288">
        <v>1428.5058841140001</v>
      </c>
      <c r="AU215" s="288">
        <v>678.33528869899999</v>
      </c>
      <c r="AV215" s="288">
        <v>841.24054454600002</v>
      </c>
      <c r="AW215" s="158">
        <v>1365.0831582759999</v>
      </c>
      <c r="AX215" s="158">
        <v>933.74992465000003</v>
      </c>
      <c r="AY215" s="158">
        <v>738.45956137899998</v>
      </c>
      <c r="AZ215" s="158">
        <v>866.52221287400005</v>
      </c>
      <c r="BA215" s="158">
        <v>1139.156793679</v>
      </c>
      <c r="BB215" s="288">
        <v>947.70496921799997</v>
      </c>
      <c r="BC215" s="288">
        <v>1445.3311976970001</v>
      </c>
      <c r="BD215" s="288">
        <v>954.84166028100003</v>
      </c>
      <c r="BE215" s="288">
        <v>1425.2289129599999</v>
      </c>
      <c r="BF215" s="288">
        <v>1108.7812646350001</v>
      </c>
      <c r="BG215" s="288">
        <v>1971.5111468330001</v>
      </c>
      <c r="BH215" s="288">
        <v>2846.9521174920001</v>
      </c>
      <c r="BI215" s="288">
        <v>2402.3282550560002</v>
      </c>
      <c r="BJ215" s="288">
        <v>1468.5442238959999</v>
      </c>
      <c r="BK215" s="288">
        <v>2223.4606790409998</v>
      </c>
      <c r="BL215" s="288">
        <v>2685.3661746439998</v>
      </c>
      <c r="BM215" s="288">
        <v>2668.4802029689999</v>
      </c>
      <c r="BN215" s="288">
        <v>2687.44</v>
      </c>
      <c r="BO215" s="288">
        <v>2604.331945933</v>
      </c>
      <c r="BP215" s="288">
        <v>2486.35</v>
      </c>
      <c r="BQ215" s="288">
        <v>2430.887848672</v>
      </c>
      <c r="BR215" s="288">
        <v>2589.5633997670002</v>
      </c>
      <c r="BS215" s="288">
        <v>3098.9963972310002</v>
      </c>
      <c r="BT215" s="288">
        <v>3397.4715689620002</v>
      </c>
    </row>
    <row r="216" spans="3:72">
      <c r="C216" s="127" t="s">
        <v>1083</v>
      </c>
      <c r="D216" s="127"/>
      <c r="E216" s="127"/>
      <c r="F216" s="127"/>
      <c r="G216" s="128"/>
      <c r="H216" s="128"/>
      <c r="I216" s="128"/>
      <c r="J216" s="128"/>
      <c r="K216" s="128"/>
      <c r="L216" s="128"/>
      <c r="M216" s="128"/>
      <c r="N216" s="128"/>
      <c r="O216" s="128"/>
      <c r="P216" s="128"/>
      <c r="Q216" s="128"/>
      <c r="R216" s="128"/>
      <c r="S216" s="128"/>
      <c r="T216" s="128"/>
      <c r="U216" s="128"/>
      <c r="V216" s="128"/>
      <c r="W216" s="128"/>
      <c r="X216" s="128"/>
      <c r="Y216" s="128"/>
      <c r="Z216" s="128">
        <v>0</v>
      </c>
      <c r="AA216" s="128">
        <v>0</v>
      </c>
      <c r="AB216" s="128">
        <v>0</v>
      </c>
      <c r="AC216" s="128">
        <v>0</v>
      </c>
      <c r="AD216" s="128">
        <v>0</v>
      </c>
      <c r="AE216" s="128">
        <v>0</v>
      </c>
      <c r="AF216" s="128">
        <v>0</v>
      </c>
      <c r="AG216" s="128">
        <v>0</v>
      </c>
      <c r="AH216" s="128">
        <v>0</v>
      </c>
      <c r="AI216" s="128">
        <v>0</v>
      </c>
      <c r="AJ216" s="128">
        <v>0</v>
      </c>
      <c r="AK216" s="128">
        <v>0</v>
      </c>
      <c r="AL216" s="128">
        <v>0</v>
      </c>
      <c r="AM216" s="128">
        <v>0</v>
      </c>
      <c r="AN216" s="128">
        <v>0</v>
      </c>
      <c r="AO216" s="128">
        <v>0</v>
      </c>
      <c r="AP216" s="128">
        <v>0</v>
      </c>
      <c r="AQ216" s="128">
        <v>0</v>
      </c>
      <c r="AR216" s="128">
        <v>0</v>
      </c>
      <c r="AS216" s="288">
        <v>0</v>
      </c>
      <c r="AT216" s="288">
        <v>0</v>
      </c>
      <c r="AU216" s="288">
        <v>0</v>
      </c>
      <c r="AV216" s="288">
        <v>0</v>
      </c>
      <c r="AW216" s="158">
        <v>0</v>
      </c>
      <c r="AX216" s="158">
        <v>0</v>
      </c>
      <c r="AY216" s="158">
        <v>0</v>
      </c>
      <c r="AZ216" s="158">
        <v>0</v>
      </c>
      <c r="BA216" s="158">
        <v>0</v>
      </c>
      <c r="BB216" s="288">
        <v>0</v>
      </c>
      <c r="BC216" s="288">
        <v>0</v>
      </c>
      <c r="BD216" s="288">
        <v>0</v>
      </c>
      <c r="BE216" s="288">
        <v>0</v>
      </c>
      <c r="BF216" s="288">
        <v>0</v>
      </c>
      <c r="BG216" s="288">
        <v>0</v>
      </c>
      <c r="BH216" s="288">
        <v>0</v>
      </c>
      <c r="BI216" s="288">
        <v>0</v>
      </c>
      <c r="BJ216" s="288">
        <v>0</v>
      </c>
      <c r="BK216" s="288">
        <v>0</v>
      </c>
      <c r="BL216" s="288">
        <v>0</v>
      </c>
      <c r="BM216" s="288">
        <v>0</v>
      </c>
      <c r="BN216" s="288">
        <v>0</v>
      </c>
      <c r="BO216" s="288">
        <v>0</v>
      </c>
      <c r="BP216" s="288">
        <v>0</v>
      </c>
      <c r="BQ216" s="288">
        <v>0</v>
      </c>
      <c r="BR216" s="288">
        <v>0</v>
      </c>
      <c r="BS216" s="288">
        <v>0</v>
      </c>
      <c r="BT216" s="288">
        <v>0</v>
      </c>
    </row>
    <row r="217" spans="3:72">
      <c r="C217" s="127" t="s">
        <v>1084</v>
      </c>
      <c r="D217" s="127"/>
      <c r="E217" s="127"/>
      <c r="F217" s="127"/>
      <c r="G217" s="128"/>
      <c r="H217" s="128"/>
      <c r="I217" s="128"/>
      <c r="J217" s="128"/>
      <c r="K217" s="128"/>
      <c r="L217" s="128"/>
      <c r="M217" s="128"/>
      <c r="N217" s="128"/>
      <c r="O217" s="128"/>
      <c r="P217" s="128"/>
      <c r="Q217" s="128"/>
      <c r="R217" s="128"/>
      <c r="S217" s="128"/>
      <c r="T217" s="128"/>
      <c r="U217" s="128"/>
      <c r="V217" s="128"/>
      <c r="W217" s="128"/>
      <c r="X217" s="128"/>
      <c r="Y217" s="128"/>
      <c r="Z217" s="128">
        <v>0</v>
      </c>
      <c r="AA217" s="128">
        <v>0</v>
      </c>
      <c r="AB217" s="128">
        <v>0</v>
      </c>
      <c r="AC217" s="128">
        <v>0</v>
      </c>
      <c r="AD217" s="128">
        <v>0</v>
      </c>
      <c r="AE217" s="128">
        <v>0</v>
      </c>
      <c r="AF217" s="128">
        <v>0</v>
      </c>
      <c r="AG217" s="128">
        <v>0</v>
      </c>
      <c r="AH217" s="128">
        <v>0</v>
      </c>
      <c r="AI217" s="128">
        <v>0</v>
      </c>
      <c r="AJ217" s="128">
        <v>0</v>
      </c>
      <c r="AK217" s="128">
        <v>0</v>
      </c>
      <c r="AL217" s="128">
        <v>0</v>
      </c>
      <c r="AM217" s="128">
        <v>0</v>
      </c>
      <c r="AN217" s="128">
        <v>0</v>
      </c>
      <c r="AO217" s="128">
        <v>0</v>
      </c>
      <c r="AP217" s="128">
        <v>0</v>
      </c>
      <c r="AQ217" s="128">
        <v>0</v>
      </c>
      <c r="AR217" s="128">
        <v>0</v>
      </c>
      <c r="AS217" s="288">
        <v>0</v>
      </c>
      <c r="AT217" s="288">
        <v>0</v>
      </c>
      <c r="AU217" s="288">
        <v>0</v>
      </c>
      <c r="AV217" s="288">
        <v>0</v>
      </c>
      <c r="AW217" s="158">
        <v>0</v>
      </c>
      <c r="AX217" s="158">
        <v>0</v>
      </c>
      <c r="AY217" s="158">
        <v>0</v>
      </c>
      <c r="AZ217" s="158">
        <v>0</v>
      </c>
      <c r="BA217" s="158">
        <v>0</v>
      </c>
      <c r="BB217" s="288">
        <v>0</v>
      </c>
      <c r="BC217" s="288">
        <v>0</v>
      </c>
      <c r="BD217" s="288">
        <v>0</v>
      </c>
      <c r="BE217" s="288">
        <v>0</v>
      </c>
      <c r="BF217" s="288">
        <v>0</v>
      </c>
      <c r="BG217" s="288">
        <v>0</v>
      </c>
      <c r="BH217" s="288">
        <v>0</v>
      </c>
      <c r="BI217" s="288">
        <v>0</v>
      </c>
      <c r="BJ217" s="288">
        <v>0</v>
      </c>
      <c r="BK217" s="288">
        <v>0</v>
      </c>
      <c r="BL217" s="288">
        <v>0</v>
      </c>
      <c r="BM217" s="288">
        <v>0</v>
      </c>
      <c r="BN217" s="288">
        <v>0</v>
      </c>
      <c r="BO217" s="288">
        <v>0</v>
      </c>
      <c r="BP217" s="288">
        <v>0</v>
      </c>
      <c r="BQ217" s="288">
        <v>0</v>
      </c>
      <c r="BR217" s="288">
        <v>0</v>
      </c>
      <c r="BS217" s="288">
        <v>0</v>
      </c>
      <c r="BT217" s="288">
        <v>0</v>
      </c>
    </row>
    <row r="218" spans="3:72">
      <c r="C218" s="127" t="s">
        <v>1085</v>
      </c>
      <c r="D218" s="127"/>
      <c r="E218" s="127"/>
      <c r="F218" s="127"/>
      <c r="G218" s="128"/>
      <c r="H218" s="128"/>
      <c r="I218" s="128"/>
      <c r="J218" s="128"/>
      <c r="K218" s="128"/>
      <c r="L218" s="128"/>
      <c r="M218" s="128"/>
      <c r="N218" s="128"/>
      <c r="O218" s="128"/>
      <c r="P218" s="128"/>
      <c r="Q218" s="128"/>
      <c r="R218" s="128"/>
      <c r="S218" s="128"/>
      <c r="T218" s="128"/>
      <c r="U218" s="128"/>
      <c r="V218" s="128"/>
      <c r="W218" s="128"/>
      <c r="X218" s="128"/>
      <c r="Y218" s="128"/>
      <c r="Z218" s="128">
        <v>0</v>
      </c>
      <c r="AA218" s="128">
        <v>0</v>
      </c>
      <c r="AB218" s="128">
        <v>0</v>
      </c>
      <c r="AC218" s="128">
        <v>0</v>
      </c>
      <c r="AD218" s="128">
        <v>0</v>
      </c>
      <c r="AE218" s="128">
        <v>0</v>
      </c>
      <c r="AF218" s="128">
        <v>0</v>
      </c>
      <c r="AG218" s="128">
        <v>11.492620175000001</v>
      </c>
      <c r="AH218" s="128">
        <v>11.238456445000001</v>
      </c>
      <c r="AI218" s="128">
        <v>0</v>
      </c>
      <c r="AJ218" s="128">
        <v>0</v>
      </c>
      <c r="AK218" s="128">
        <v>0</v>
      </c>
      <c r="AL218" s="128">
        <v>0</v>
      </c>
      <c r="AM218" s="128">
        <v>0</v>
      </c>
      <c r="AN218" s="128">
        <v>0</v>
      </c>
      <c r="AO218" s="128">
        <v>0</v>
      </c>
      <c r="AP218" s="128">
        <v>0</v>
      </c>
      <c r="AQ218" s="128">
        <v>0</v>
      </c>
      <c r="AR218" s="128">
        <v>0</v>
      </c>
      <c r="AS218" s="288">
        <v>0</v>
      </c>
      <c r="AT218" s="288">
        <v>0</v>
      </c>
      <c r="AU218" s="288">
        <v>0</v>
      </c>
      <c r="AV218" s="288">
        <v>0</v>
      </c>
      <c r="AW218" s="158">
        <v>0</v>
      </c>
      <c r="AX218" s="158">
        <v>0</v>
      </c>
      <c r="AY218" s="158">
        <v>0</v>
      </c>
      <c r="AZ218" s="158">
        <v>0</v>
      </c>
      <c r="BA218" s="158">
        <v>0</v>
      </c>
      <c r="BB218" s="288">
        <v>0</v>
      </c>
      <c r="BC218" s="288">
        <v>0</v>
      </c>
      <c r="BD218" s="288">
        <v>0</v>
      </c>
      <c r="BE218" s="288">
        <v>0</v>
      </c>
      <c r="BF218" s="288">
        <v>0</v>
      </c>
      <c r="BG218" s="288">
        <v>0</v>
      </c>
      <c r="BH218" s="288">
        <v>0</v>
      </c>
      <c r="BI218" s="288">
        <v>0</v>
      </c>
      <c r="BJ218" s="288">
        <v>0</v>
      </c>
      <c r="BK218" s="288">
        <v>0</v>
      </c>
      <c r="BL218" s="288">
        <v>0</v>
      </c>
      <c r="BM218" s="288">
        <v>0</v>
      </c>
      <c r="BN218" s="288">
        <v>0</v>
      </c>
      <c r="BO218" s="288">
        <v>0</v>
      </c>
      <c r="BP218" s="288">
        <v>0</v>
      </c>
      <c r="BQ218" s="288">
        <v>0</v>
      </c>
      <c r="BR218" s="288">
        <v>0</v>
      </c>
      <c r="BS218" s="288">
        <v>0</v>
      </c>
      <c r="BT218" s="288">
        <v>0</v>
      </c>
    </row>
    <row r="219" spans="3:72">
      <c r="C219" s="127" t="s">
        <v>804</v>
      </c>
      <c r="D219" s="127"/>
      <c r="E219" s="127"/>
      <c r="F219" s="127"/>
      <c r="G219" s="128"/>
      <c r="H219" s="128"/>
      <c r="I219" s="128"/>
      <c r="J219" s="128"/>
      <c r="K219" s="128"/>
      <c r="L219" s="128"/>
      <c r="M219" s="128"/>
      <c r="N219" s="128"/>
      <c r="O219" s="128"/>
      <c r="P219" s="128"/>
      <c r="Q219" s="128"/>
      <c r="R219" s="128"/>
      <c r="S219" s="128"/>
      <c r="T219" s="128"/>
      <c r="U219" s="128"/>
      <c r="V219" s="128"/>
      <c r="W219" s="128"/>
      <c r="X219" s="128"/>
      <c r="Y219" s="128"/>
      <c r="Z219" s="128">
        <v>184.602143536</v>
      </c>
      <c r="AA219" s="128">
        <v>140.88210828199999</v>
      </c>
      <c r="AB219" s="128">
        <v>154.21009500100001</v>
      </c>
      <c r="AC219" s="128">
        <v>161.40762937900001</v>
      </c>
      <c r="AD219" s="128">
        <v>195.51163319599999</v>
      </c>
      <c r="AE219" s="128">
        <v>229.82858716300001</v>
      </c>
      <c r="AF219" s="128">
        <v>305.11307248999998</v>
      </c>
      <c r="AG219" s="128">
        <v>329.47019986599997</v>
      </c>
      <c r="AH219" s="128">
        <v>324.82804562899997</v>
      </c>
      <c r="AI219" s="128">
        <v>349.74341692799999</v>
      </c>
      <c r="AJ219" s="128">
        <v>539.27773567199995</v>
      </c>
      <c r="AK219" s="128">
        <v>851.81388369000001</v>
      </c>
      <c r="AL219" s="128">
        <v>784.27747239600001</v>
      </c>
      <c r="AM219" s="128">
        <v>807.84075527499999</v>
      </c>
      <c r="AN219" s="128">
        <v>783.94770677199995</v>
      </c>
      <c r="AO219" s="128">
        <v>1120.005682188</v>
      </c>
      <c r="AP219" s="128">
        <v>1352.258607146</v>
      </c>
      <c r="AQ219" s="128">
        <v>960.62826533099997</v>
      </c>
      <c r="AR219" s="128">
        <v>1001.366641285</v>
      </c>
      <c r="AS219" s="288">
        <v>1158.9528130680001</v>
      </c>
      <c r="AT219" s="288">
        <v>1428.5058841140001</v>
      </c>
      <c r="AU219" s="288">
        <v>678.33528869899999</v>
      </c>
      <c r="AV219" s="288">
        <v>841.24054454600002</v>
      </c>
      <c r="AW219" s="158">
        <v>1365.0831582759999</v>
      </c>
      <c r="AX219" s="158">
        <v>933.74992465000003</v>
      </c>
      <c r="AY219" s="158">
        <v>738.45956137899998</v>
      </c>
      <c r="AZ219" s="158">
        <v>866.52221287400005</v>
      </c>
      <c r="BA219" s="158">
        <v>1139.156793679</v>
      </c>
      <c r="BB219" s="288">
        <v>947.70496921799997</v>
      </c>
      <c r="BC219" s="288">
        <v>1445.3311976970001</v>
      </c>
      <c r="BD219" s="288">
        <v>954.84166028100003</v>
      </c>
      <c r="BE219" s="288">
        <v>1425.2289129599999</v>
      </c>
      <c r="BF219" s="288">
        <v>1108.7812646350001</v>
      </c>
      <c r="BG219" s="288">
        <v>1971.5111468330001</v>
      </c>
      <c r="BH219" s="288">
        <v>2846.9521174920001</v>
      </c>
      <c r="BI219" s="288">
        <v>2402.3282550560002</v>
      </c>
      <c r="BJ219" s="288">
        <v>1468.5442238959999</v>
      </c>
      <c r="BK219" s="288">
        <v>2223.4606790409998</v>
      </c>
      <c r="BL219" s="288">
        <v>2685.3661746439998</v>
      </c>
      <c r="BM219" s="288">
        <v>2668.4802029689999</v>
      </c>
      <c r="BN219" s="288">
        <v>2687.44</v>
      </c>
      <c r="BO219" s="288">
        <v>2604.331945933</v>
      </c>
      <c r="BP219" s="288">
        <v>2486.35</v>
      </c>
      <c r="BQ219" s="288">
        <v>2430.887848672</v>
      </c>
      <c r="BR219" s="288">
        <v>2589.5633997670002</v>
      </c>
      <c r="BS219" s="288">
        <v>3098.9963972310002</v>
      </c>
      <c r="BT219" s="288">
        <v>3397.4715689620002</v>
      </c>
    </row>
    <row r="220" spans="3:72">
      <c r="C220" s="127" t="s">
        <v>254</v>
      </c>
      <c r="D220" s="127"/>
      <c r="E220" s="127"/>
      <c r="F220" s="127"/>
      <c r="G220" s="128"/>
      <c r="H220" s="128"/>
      <c r="I220" s="128"/>
      <c r="J220" s="128"/>
      <c r="K220" s="128"/>
      <c r="L220" s="128"/>
      <c r="M220" s="128"/>
      <c r="N220" s="128"/>
      <c r="O220" s="128"/>
      <c r="P220" s="128"/>
      <c r="Q220" s="128"/>
      <c r="R220" s="128"/>
      <c r="S220" s="128"/>
      <c r="T220" s="128"/>
      <c r="U220" s="128"/>
      <c r="V220" s="128"/>
      <c r="W220" s="128"/>
      <c r="X220" s="128"/>
      <c r="Y220" s="128"/>
      <c r="Z220" s="128">
        <v>1350.4899520280001</v>
      </c>
      <c r="AA220" s="128">
        <v>1268.534455066</v>
      </c>
      <c r="AB220" s="128">
        <v>1673.592377533</v>
      </c>
      <c r="AC220" s="128">
        <v>2253.516929935</v>
      </c>
      <c r="AD220" s="128">
        <v>2402.3241867289998</v>
      </c>
      <c r="AE220" s="128">
        <v>2477.6073148529999</v>
      </c>
      <c r="AF220" s="128">
        <v>2985.8740119449999</v>
      </c>
      <c r="AG220" s="128">
        <v>5009.7084926280004</v>
      </c>
      <c r="AH220" s="128">
        <v>5667.1667158</v>
      </c>
      <c r="AI220" s="128">
        <v>5179.847206591</v>
      </c>
      <c r="AJ220" s="128">
        <v>6611.456768948</v>
      </c>
      <c r="AK220" s="128">
        <v>9513.6575698279994</v>
      </c>
      <c r="AL220" s="128">
        <v>9399.3342207860005</v>
      </c>
      <c r="AM220" s="128">
        <v>8941.6521162009994</v>
      </c>
      <c r="AN220" s="128">
        <v>9002.5347244410004</v>
      </c>
      <c r="AO220" s="128">
        <v>12309.955461928999</v>
      </c>
      <c r="AP220" s="128">
        <v>14735.000448428</v>
      </c>
      <c r="AQ220" s="128">
        <v>14635.272065949001</v>
      </c>
      <c r="AR220" s="128">
        <v>13667.536889135001</v>
      </c>
      <c r="AS220" s="288">
        <v>17821.137643753002</v>
      </c>
      <c r="AT220" s="288">
        <v>16952.317476314998</v>
      </c>
      <c r="AU220" s="288">
        <v>16740.774626439001</v>
      </c>
      <c r="AV220" s="288">
        <v>17386.803041461</v>
      </c>
      <c r="AW220" s="158">
        <v>26195.934673883999</v>
      </c>
      <c r="AX220" s="158">
        <v>21463.192128559</v>
      </c>
      <c r="AY220" s="158">
        <v>18626.103813844002</v>
      </c>
      <c r="AZ220" s="158">
        <v>18012.640524607999</v>
      </c>
      <c r="BA220" s="158">
        <v>19926.363502364999</v>
      </c>
      <c r="BB220" s="288">
        <v>23708.068728499002</v>
      </c>
      <c r="BC220" s="288">
        <v>22840.830524937999</v>
      </c>
      <c r="BD220" s="288">
        <v>22200.618447240999</v>
      </c>
      <c r="BE220" s="288">
        <v>29863.174970268999</v>
      </c>
      <c r="BF220" s="288">
        <v>33234.2504424</v>
      </c>
      <c r="BG220" s="288">
        <v>28752.056117743999</v>
      </c>
      <c r="BH220" s="288">
        <v>29093.319246704999</v>
      </c>
      <c r="BI220" s="288">
        <v>26058.131396686</v>
      </c>
      <c r="BJ220" s="288">
        <v>21267.470463001999</v>
      </c>
      <c r="BK220" s="288">
        <v>22156.359601380998</v>
      </c>
      <c r="BL220" s="288">
        <v>23080.345901883</v>
      </c>
      <c r="BM220" s="288">
        <v>22028.684523095999</v>
      </c>
      <c r="BN220" s="288">
        <v>20759.7</v>
      </c>
      <c r="BO220" s="288">
        <v>21319.351807165</v>
      </c>
      <c r="BP220" s="288">
        <v>22212.93</v>
      </c>
      <c r="BQ220" s="288">
        <v>22667.774012643</v>
      </c>
      <c r="BR220" s="288">
        <v>23243.566847542999</v>
      </c>
      <c r="BS220" s="288">
        <v>24132.788913495999</v>
      </c>
      <c r="BT220" s="288">
        <v>24645.125687618001</v>
      </c>
    </row>
    <row r="221" spans="3:72">
      <c r="C221" s="127" t="s">
        <v>1086</v>
      </c>
      <c r="D221" s="127"/>
      <c r="E221" s="127"/>
      <c r="F221" s="127"/>
      <c r="G221" s="128"/>
      <c r="H221" s="128"/>
      <c r="I221" s="128"/>
      <c r="J221" s="128"/>
      <c r="K221" s="128"/>
      <c r="L221" s="128"/>
      <c r="M221" s="128"/>
      <c r="N221" s="128"/>
      <c r="O221" s="128"/>
      <c r="P221" s="128"/>
      <c r="Q221" s="128"/>
      <c r="R221" s="128"/>
      <c r="S221" s="128"/>
      <c r="T221" s="128"/>
      <c r="U221" s="128"/>
      <c r="V221" s="128"/>
      <c r="W221" s="128"/>
      <c r="X221" s="128"/>
      <c r="Y221" s="128"/>
      <c r="Z221" s="128">
        <v>0.409275053</v>
      </c>
      <c r="AA221" s="128">
        <v>0</v>
      </c>
      <c r="AB221" s="128">
        <v>0</v>
      </c>
      <c r="AC221" s="128">
        <v>0</v>
      </c>
      <c r="AD221" s="128">
        <v>0</v>
      </c>
      <c r="AE221" s="128">
        <v>0</v>
      </c>
      <c r="AF221" s="128">
        <v>0</v>
      </c>
      <c r="AG221" s="128">
        <v>0</v>
      </c>
      <c r="AH221" s="128">
        <v>0</v>
      </c>
      <c r="AI221" s="128">
        <v>20.848696596</v>
      </c>
      <c r="AJ221" s="128">
        <v>0</v>
      </c>
      <c r="AK221" s="128">
        <v>0</v>
      </c>
      <c r="AL221" s="128">
        <v>0</v>
      </c>
      <c r="AM221" s="128">
        <v>0</v>
      </c>
      <c r="AN221" s="128">
        <v>0</v>
      </c>
      <c r="AO221" s="128">
        <v>0</v>
      </c>
      <c r="AP221" s="128">
        <v>0</v>
      </c>
      <c r="AQ221" s="128">
        <v>0</v>
      </c>
      <c r="AR221" s="128">
        <v>0</v>
      </c>
      <c r="AS221" s="288">
        <v>0</v>
      </c>
      <c r="AT221" s="288">
        <v>0</v>
      </c>
      <c r="AU221" s="288">
        <v>0</v>
      </c>
      <c r="AV221" s="288">
        <v>0</v>
      </c>
      <c r="AW221" s="158">
        <v>0</v>
      </c>
      <c r="AX221" s="158">
        <v>0</v>
      </c>
      <c r="AY221" s="158">
        <v>0</v>
      </c>
      <c r="AZ221" s="158">
        <v>0</v>
      </c>
      <c r="BA221" s="158">
        <v>0</v>
      </c>
      <c r="BB221" s="288">
        <v>0</v>
      </c>
      <c r="BC221" s="288">
        <v>0</v>
      </c>
      <c r="BD221" s="288">
        <v>0</v>
      </c>
      <c r="BE221" s="288">
        <v>0</v>
      </c>
      <c r="BF221" s="288">
        <v>0</v>
      </c>
      <c r="BG221" s="288">
        <v>0</v>
      </c>
      <c r="BH221" s="288">
        <v>0</v>
      </c>
      <c r="BI221" s="288">
        <v>0</v>
      </c>
      <c r="BJ221" s="288">
        <v>0</v>
      </c>
      <c r="BK221" s="288">
        <v>0</v>
      </c>
      <c r="BL221" s="288">
        <v>0</v>
      </c>
      <c r="BM221" s="288">
        <v>0</v>
      </c>
      <c r="BN221" s="288">
        <v>0</v>
      </c>
      <c r="BO221" s="288">
        <v>0</v>
      </c>
      <c r="BP221" s="288">
        <v>0</v>
      </c>
      <c r="BQ221" s="288">
        <v>0</v>
      </c>
      <c r="BR221" s="288">
        <v>0</v>
      </c>
      <c r="BS221" s="288">
        <v>0</v>
      </c>
      <c r="BT221" s="288">
        <v>0</v>
      </c>
    </row>
    <row r="222" spans="3:72">
      <c r="C222" s="127" t="s">
        <v>1087</v>
      </c>
      <c r="D222" s="127"/>
      <c r="E222" s="127"/>
      <c r="F222" s="127"/>
      <c r="G222" s="128"/>
      <c r="H222" s="128"/>
      <c r="I222" s="128"/>
      <c r="J222" s="128"/>
      <c r="K222" s="128"/>
      <c r="L222" s="128"/>
      <c r="M222" s="128"/>
      <c r="N222" s="128"/>
      <c r="O222" s="128"/>
      <c r="P222" s="128"/>
      <c r="Q222" s="128"/>
      <c r="R222" s="128"/>
      <c r="S222" s="128"/>
      <c r="T222" s="128"/>
      <c r="U222" s="128"/>
      <c r="V222" s="128"/>
      <c r="W222" s="128"/>
      <c r="X222" s="128"/>
      <c r="Y222" s="128"/>
      <c r="Z222" s="128">
        <v>0</v>
      </c>
      <c r="AA222" s="128">
        <v>1226.2442914369999</v>
      </c>
      <c r="AB222" s="128">
        <v>0</v>
      </c>
      <c r="AC222" s="128">
        <v>0</v>
      </c>
      <c r="AD222" s="128">
        <v>0</v>
      </c>
      <c r="AE222" s="128">
        <v>0</v>
      </c>
      <c r="AF222" s="128">
        <v>2957.84127511</v>
      </c>
      <c r="AG222" s="128">
        <v>0</v>
      </c>
      <c r="AH222" s="128">
        <v>0</v>
      </c>
      <c r="AI222" s="128">
        <v>0</v>
      </c>
      <c r="AJ222" s="128">
        <v>0</v>
      </c>
      <c r="AK222" s="128">
        <v>0</v>
      </c>
      <c r="AL222" s="128">
        <v>0</v>
      </c>
      <c r="AM222" s="128">
        <v>0</v>
      </c>
      <c r="AN222" s="128">
        <v>0</v>
      </c>
      <c r="AO222" s="128">
        <v>0</v>
      </c>
      <c r="AP222" s="128">
        <v>0</v>
      </c>
      <c r="AQ222" s="128">
        <v>0</v>
      </c>
      <c r="AR222" s="128">
        <v>0</v>
      </c>
      <c r="AS222" s="288">
        <v>0</v>
      </c>
      <c r="AT222" s="288">
        <v>0</v>
      </c>
      <c r="AU222" s="288">
        <v>0</v>
      </c>
      <c r="AV222" s="288">
        <v>0</v>
      </c>
      <c r="AW222" s="158">
        <v>0</v>
      </c>
      <c r="AX222" s="158">
        <v>0</v>
      </c>
      <c r="AY222" s="158">
        <v>0</v>
      </c>
      <c r="AZ222" s="158">
        <v>0</v>
      </c>
      <c r="BA222" s="158">
        <v>0</v>
      </c>
      <c r="BB222" s="288">
        <v>0</v>
      </c>
      <c r="BC222" s="288">
        <v>0</v>
      </c>
      <c r="BD222" s="288">
        <v>0</v>
      </c>
      <c r="BE222" s="288">
        <v>0</v>
      </c>
      <c r="BF222" s="288">
        <v>0</v>
      </c>
      <c r="BG222" s="288">
        <v>0</v>
      </c>
      <c r="BH222" s="288">
        <v>0</v>
      </c>
      <c r="BI222" s="288">
        <v>0</v>
      </c>
      <c r="BJ222" s="288">
        <v>0</v>
      </c>
      <c r="BK222" s="288">
        <v>0</v>
      </c>
      <c r="BL222" s="288">
        <v>0</v>
      </c>
      <c r="BM222" s="288">
        <v>0</v>
      </c>
      <c r="BN222" s="288">
        <v>0</v>
      </c>
      <c r="BO222" s="288">
        <v>0</v>
      </c>
      <c r="BP222" s="288">
        <v>0</v>
      </c>
      <c r="BQ222" s="288">
        <v>0</v>
      </c>
      <c r="BR222" s="288">
        <v>0</v>
      </c>
      <c r="BS222" s="288">
        <v>0</v>
      </c>
      <c r="BT222" s="288">
        <v>0</v>
      </c>
    </row>
    <row r="223" spans="3:72">
      <c r="C223" s="127" t="s">
        <v>1088</v>
      </c>
      <c r="D223" s="127"/>
      <c r="E223" s="127"/>
      <c r="F223" s="127"/>
      <c r="G223" s="128"/>
      <c r="H223" s="128"/>
      <c r="I223" s="128"/>
      <c r="J223" s="128"/>
      <c r="K223" s="128"/>
      <c r="L223" s="128"/>
      <c r="M223" s="128"/>
      <c r="N223" s="128"/>
      <c r="O223" s="128"/>
      <c r="P223" s="128"/>
      <c r="Q223" s="128"/>
      <c r="R223" s="128"/>
      <c r="S223" s="128"/>
      <c r="T223" s="128"/>
      <c r="U223" s="128"/>
      <c r="V223" s="128"/>
      <c r="W223" s="128"/>
      <c r="X223" s="128"/>
      <c r="Y223" s="128"/>
      <c r="Z223" s="128">
        <v>13.403475101</v>
      </c>
      <c r="AA223" s="128">
        <v>0</v>
      </c>
      <c r="AB223" s="128">
        <v>0</v>
      </c>
      <c r="AC223" s="128">
        <v>0</v>
      </c>
      <c r="AD223" s="128">
        <v>2359.981970627</v>
      </c>
      <c r="AE223" s="128">
        <v>0</v>
      </c>
      <c r="AF223" s="128">
        <v>0</v>
      </c>
      <c r="AG223" s="128">
        <v>0</v>
      </c>
      <c r="AH223" s="128">
        <v>0</v>
      </c>
      <c r="AI223" s="128">
        <v>0</v>
      </c>
      <c r="AJ223" s="128">
        <v>0</v>
      </c>
      <c r="AK223" s="128">
        <v>0</v>
      </c>
      <c r="AL223" s="128">
        <v>0</v>
      </c>
      <c r="AM223" s="128">
        <v>0</v>
      </c>
      <c r="AN223" s="128">
        <v>0</v>
      </c>
      <c r="AO223" s="128">
        <v>0</v>
      </c>
      <c r="AP223" s="128">
        <v>0</v>
      </c>
      <c r="AQ223" s="128">
        <v>0</v>
      </c>
      <c r="AR223" s="128">
        <v>0</v>
      </c>
      <c r="AS223" s="288">
        <v>0</v>
      </c>
      <c r="AT223" s="288">
        <v>0</v>
      </c>
      <c r="AU223" s="288">
        <v>0</v>
      </c>
      <c r="AV223" s="288">
        <v>0</v>
      </c>
      <c r="AW223" s="158">
        <v>0</v>
      </c>
      <c r="AX223" s="158">
        <v>0</v>
      </c>
      <c r="AY223" s="158">
        <v>0</v>
      </c>
      <c r="AZ223" s="158">
        <v>0</v>
      </c>
      <c r="BA223" s="158">
        <v>0</v>
      </c>
      <c r="BB223" s="288">
        <v>0</v>
      </c>
      <c r="BC223" s="288">
        <v>0</v>
      </c>
      <c r="BD223" s="288">
        <v>0</v>
      </c>
      <c r="BE223" s="288">
        <v>0</v>
      </c>
      <c r="BF223" s="288">
        <v>0</v>
      </c>
      <c r="BG223" s="288">
        <v>0</v>
      </c>
      <c r="BH223" s="288">
        <v>0</v>
      </c>
      <c r="BI223" s="288">
        <v>0</v>
      </c>
      <c r="BJ223" s="288">
        <v>0</v>
      </c>
      <c r="BK223" s="288">
        <v>0</v>
      </c>
      <c r="BL223" s="288">
        <v>0</v>
      </c>
      <c r="BM223" s="288">
        <v>0</v>
      </c>
      <c r="BN223" s="288">
        <v>0</v>
      </c>
      <c r="BO223" s="288">
        <v>0</v>
      </c>
      <c r="BP223" s="288">
        <v>0</v>
      </c>
      <c r="BQ223" s="288">
        <v>0</v>
      </c>
      <c r="BR223" s="288">
        <v>0</v>
      </c>
      <c r="BS223" s="288">
        <v>0</v>
      </c>
      <c r="BT223" s="288">
        <v>0</v>
      </c>
    </row>
    <row r="224" spans="3:72">
      <c r="C224" s="127" t="s">
        <v>1089</v>
      </c>
      <c r="D224" s="127"/>
      <c r="E224" s="127"/>
      <c r="F224" s="127"/>
      <c r="G224" s="128"/>
      <c r="H224" s="128"/>
      <c r="I224" s="128"/>
      <c r="J224" s="128"/>
      <c r="K224" s="128"/>
      <c r="L224" s="128"/>
      <c r="M224" s="128"/>
      <c r="N224" s="128"/>
      <c r="O224" s="128"/>
      <c r="P224" s="128"/>
      <c r="Q224" s="128"/>
      <c r="R224" s="128"/>
      <c r="S224" s="128"/>
      <c r="T224" s="128"/>
      <c r="U224" s="128"/>
      <c r="V224" s="128"/>
      <c r="W224" s="128"/>
      <c r="X224" s="128"/>
      <c r="Y224" s="128"/>
      <c r="Z224" s="128">
        <v>0</v>
      </c>
      <c r="AA224" s="128">
        <v>0</v>
      </c>
      <c r="AB224" s="128">
        <v>0</v>
      </c>
      <c r="AC224" s="128">
        <v>0</v>
      </c>
      <c r="AD224" s="128">
        <v>0</v>
      </c>
      <c r="AE224" s="128">
        <v>0</v>
      </c>
      <c r="AF224" s="128">
        <v>0</v>
      </c>
      <c r="AG224" s="128">
        <v>0</v>
      </c>
      <c r="AH224" s="128">
        <v>0</v>
      </c>
      <c r="AI224" s="128">
        <v>0</v>
      </c>
      <c r="AJ224" s="128">
        <v>0</v>
      </c>
      <c r="AK224" s="128">
        <v>0</v>
      </c>
      <c r="AL224" s="128">
        <v>0</v>
      </c>
      <c r="AM224" s="128">
        <v>0</v>
      </c>
      <c r="AN224" s="128">
        <v>0</v>
      </c>
      <c r="AO224" s="128">
        <v>0</v>
      </c>
      <c r="AP224" s="128">
        <v>0</v>
      </c>
      <c r="AQ224" s="128">
        <v>0</v>
      </c>
      <c r="AR224" s="128">
        <v>0</v>
      </c>
      <c r="AS224" s="288">
        <v>0</v>
      </c>
      <c r="AT224" s="288">
        <v>0</v>
      </c>
      <c r="AU224" s="288">
        <v>0</v>
      </c>
      <c r="AV224" s="288">
        <v>0</v>
      </c>
      <c r="AW224" s="158">
        <v>0</v>
      </c>
      <c r="AX224" s="158">
        <v>0</v>
      </c>
      <c r="AY224" s="158">
        <v>0</v>
      </c>
      <c r="AZ224" s="158">
        <v>0</v>
      </c>
      <c r="BA224" s="158">
        <v>0</v>
      </c>
      <c r="BB224" s="288">
        <v>0</v>
      </c>
      <c r="BC224" s="288">
        <v>0</v>
      </c>
      <c r="BD224" s="288">
        <v>0</v>
      </c>
      <c r="BE224" s="288">
        <v>0</v>
      </c>
      <c r="BF224" s="288">
        <v>0</v>
      </c>
      <c r="BG224" s="288">
        <v>0</v>
      </c>
      <c r="BH224" s="288">
        <v>0</v>
      </c>
      <c r="BI224" s="288">
        <v>0</v>
      </c>
      <c r="BJ224" s="288">
        <v>0</v>
      </c>
      <c r="BK224" s="288">
        <v>0</v>
      </c>
      <c r="BL224" s="288">
        <v>0</v>
      </c>
      <c r="BM224" s="288">
        <v>0</v>
      </c>
      <c r="BN224" s="288">
        <v>0</v>
      </c>
      <c r="BO224" s="288">
        <v>0</v>
      </c>
      <c r="BP224" s="288">
        <v>0</v>
      </c>
      <c r="BQ224" s="288">
        <v>0</v>
      </c>
      <c r="BR224" s="288">
        <v>0</v>
      </c>
      <c r="BS224" s="288">
        <v>0</v>
      </c>
      <c r="BT224" s="288">
        <v>0</v>
      </c>
    </row>
    <row r="225" spans="3:72">
      <c r="C225" s="127" t="s">
        <v>1090</v>
      </c>
      <c r="D225" s="127"/>
      <c r="E225" s="127"/>
      <c r="F225" s="127"/>
      <c r="G225" s="128"/>
      <c r="H225" s="128"/>
      <c r="I225" s="128"/>
      <c r="J225" s="128"/>
      <c r="K225" s="128"/>
      <c r="L225" s="128"/>
      <c r="M225" s="128"/>
      <c r="N225" s="128"/>
      <c r="O225" s="128"/>
      <c r="P225" s="128"/>
      <c r="Q225" s="128"/>
      <c r="R225" s="128"/>
      <c r="S225" s="128"/>
      <c r="T225" s="128"/>
      <c r="U225" s="128"/>
      <c r="V225" s="128"/>
      <c r="W225" s="128"/>
      <c r="X225" s="128"/>
      <c r="Y225" s="128"/>
      <c r="Z225" s="128">
        <v>0</v>
      </c>
      <c r="AA225" s="128">
        <v>0</v>
      </c>
      <c r="AB225" s="128">
        <v>0</v>
      </c>
      <c r="AC225" s="128">
        <v>0</v>
      </c>
      <c r="AD225" s="128">
        <v>0</v>
      </c>
      <c r="AE225" s="128">
        <v>0</v>
      </c>
      <c r="AF225" s="128">
        <v>0</v>
      </c>
      <c r="AG225" s="128">
        <v>0</v>
      </c>
      <c r="AH225" s="128">
        <v>0</v>
      </c>
      <c r="AI225" s="128">
        <v>0</v>
      </c>
      <c r="AJ225" s="128">
        <v>0</v>
      </c>
      <c r="AK225" s="128">
        <v>0</v>
      </c>
      <c r="AL225" s="128">
        <v>0</v>
      </c>
      <c r="AM225" s="128">
        <v>0</v>
      </c>
      <c r="AN225" s="128">
        <v>0</v>
      </c>
      <c r="AO225" s="128">
        <v>0</v>
      </c>
      <c r="AP225" s="128">
        <v>0</v>
      </c>
      <c r="AQ225" s="128">
        <v>0</v>
      </c>
      <c r="AR225" s="128">
        <v>0</v>
      </c>
      <c r="AS225" s="288">
        <v>0</v>
      </c>
      <c r="AT225" s="288">
        <v>0</v>
      </c>
      <c r="AU225" s="288">
        <v>0</v>
      </c>
      <c r="AV225" s="288">
        <v>0</v>
      </c>
      <c r="AW225" s="158">
        <v>0</v>
      </c>
      <c r="AX225" s="158">
        <v>0</v>
      </c>
      <c r="AY225" s="158">
        <v>0</v>
      </c>
      <c r="AZ225" s="158">
        <v>0</v>
      </c>
      <c r="BA225" s="158">
        <v>0</v>
      </c>
      <c r="BB225" s="288">
        <v>0</v>
      </c>
      <c r="BC225" s="288">
        <v>0</v>
      </c>
      <c r="BD225" s="288">
        <v>0</v>
      </c>
      <c r="BE225" s="288">
        <v>0</v>
      </c>
      <c r="BF225" s="288">
        <v>0</v>
      </c>
      <c r="BG225" s="288">
        <v>0</v>
      </c>
      <c r="BH225" s="288">
        <v>0</v>
      </c>
      <c r="BI225" s="288">
        <v>0</v>
      </c>
      <c r="BJ225" s="288">
        <v>0</v>
      </c>
      <c r="BK225" s="288">
        <v>0</v>
      </c>
      <c r="BL225" s="288">
        <v>0</v>
      </c>
      <c r="BM225" s="288">
        <v>0</v>
      </c>
      <c r="BN225" s="288">
        <v>0</v>
      </c>
      <c r="BO225" s="288">
        <v>0</v>
      </c>
      <c r="BP225" s="288">
        <v>0</v>
      </c>
      <c r="BQ225" s="288">
        <v>0</v>
      </c>
      <c r="BR225" s="288">
        <v>0</v>
      </c>
      <c r="BS225" s="288">
        <v>0</v>
      </c>
      <c r="BT225" s="288">
        <v>0</v>
      </c>
    </row>
    <row r="226" spans="3:72">
      <c r="C226" s="127" t="s">
        <v>1091</v>
      </c>
      <c r="D226" s="127"/>
      <c r="E226" s="127"/>
      <c r="F226" s="127"/>
      <c r="G226" s="128"/>
      <c r="H226" s="128"/>
      <c r="I226" s="128"/>
      <c r="J226" s="128"/>
      <c r="K226" s="128"/>
      <c r="L226" s="128"/>
      <c r="M226" s="128"/>
      <c r="N226" s="128"/>
      <c r="O226" s="128"/>
      <c r="P226" s="128"/>
      <c r="Q226" s="128"/>
      <c r="R226" s="128"/>
      <c r="S226" s="128"/>
      <c r="T226" s="128"/>
      <c r="U226" s="128"/>
      <c r="V226" s="128"/>
      <c r="W226" s="128"/>
      <c r="X226" s="128"/>
      <c r="Y226" s="128"/>
      <c r="Z226" s="128">
        <v>1336.677201874</v>
      </c>
      <c r="AA226" s="128">
        <v>42.279125835000002</v>
      </c>
      <c r="AB226" s="128">
        <v>1605.0223435949999</v>
      </c>
      <c r="AC226" s="128">
        <v>2253.516929935</v>
      </c>
      <c r="AD226" s="128">
        <v>42.342216102000002</v>
      </c>
      <c r="AE226" s="128">
        <v>2477.6073148529999</v>
      </c>
      <c r="AF226" s="128">
        <v>28.032736835000001</v>
      </c>
      <c r="AG226" s="128">
        <v>5009.7084926280004</v>
      </c>
      <c r="AH226" s="128">
        <v>5667.1667158</v>
      </c>
      <c r="AI226" s="128">
        <v>5158.9985099949999</v>
      </c>
      <c r="AJ226" s="128">
        <v>6611.456768948</v>
      </c>
      <c r="AK226" s="128">
        <v>9513.6575698279994</v>
      </c>
      <c r="AL226" s="128">
        <v>9399.3342207860005</v>
      </c>
      <c r="AM226" s="128">
        <v>8941.6521162009994</v>
      </c>
      <c r="AN226" s="128">
        <v>9002.5347244410004</v>
      </c>
      <c r="AO226" s="128">
        <v>12309.955461928999</v>
      </c>
      <c r="AP226" s="128">
        <v>14735.000448428</v>
      </c>
      <c r="AQ226" s="128">
        <v>14635.272065949001</v>
      </c>
      <c r="AR226" s="128">
        <v>13667.536889135001</v>
      </c>
      <c r="AS226" s="288">
        <v>17821.137643753002</v>
      </c>
      <c r="AT226" s="288">
        <v>16952.317476314998</v>
      </c>
      <c r="AU226" s="288">
        <v>16740.774626439001</v>
      </c>
      <c r="AV226" s="288">
        <v>17386.803041461</v>
      </c>
      <c r="AW226" s="158">
        <v>26195.934673883999</v>
      </c>
      <c r="AX226" s="158">
        <v>21463.192128559</v>
      </c>
      <c r="AY226" s="158">
        <v>18626.103813844002</v>
      </c>
      <c r="AZ226" s="158">
        <v>18012.640524607999</v>
      </c>
      <c r="BA226" s="158">
        <v>19926.363502364999</v>
      </c>
      <c r="BB226" s="288">
        <v>23708.068728499002</v>
      </c>
      <c r="BC226" s="288">
        <v>22840.830524937999</v>
      </c>
      <c r="BD226" s="288">
        <v>22200.618447240999</v>
      </c>
      <c r="BE226" s="288">
        <v>29863.174970268999</v>
      </c>
      <c r="BF226" s="288">
        <v>33234.2504424</v>
      </c>
      <c r="BG226" s="288">
        <v>28752.056117743999</v>
      </c>
      <c r="BH226" s="288">
        <v>29093.319246704999</v>
      </c>
      <c r="BI226" s="288">
        <v>26058.131396686</v>
      </c>
      <c r="BJ226" s="288">
        <v>21267.470463001999</v>
      </c>
      <c r="BK226" s="288">
        <v>22156.359601380998</v>
      </c>
      <c r="BL226" s="288">
        <v>23080.345901883</v>
      </c>
      <c r="BM226" s="288">
        <v>22028.684523095999</v>
      </c>
      <c r="BN226" s="288">
        <v>20759.7</v>
      </c>
      <c r="BO226" s="288">
        <v>21319.351807165</v>
      </c>
      <c r="BP226" s="288">
        <v>22212.93</v>
      </c>
      <c r="BQ226" s="288">
        <v>22667.774012643</v>
      </c>
      <c r="BR226" s="288">
        <v>23243.566847542999</v>
      </c>
      <c r="BS226" s="288">
        <v>24132.788913495999</v>
      </c>
      <c r="BT226" s="288">
        <v>24645.125687618001</v>
      </c>
    </row>
    <row r="227" spans="3:72">
      <c r="C227" s="127" t="s">
        <v>1092</v>
      </c>
      <c r="D227" s="127"/>
      <c r="E227" s="127"/>
      <c r="F227" s="127"/>
      <c r="G227" s="128"/>
      <c r="H227" s="128"/>
      <c r="I227" s="128"/>
      <c r="J227" s="128"/>
      <c r="K227" s="128"/>
      <c r="L227" s="128"/>
      <c r="M227" s="128"/>
      <c r="N227" s="128"/>
      <c r="O227" s="128"/>
      <c r="P227" s="128"/>
      <c r="Q227" s="128"/>
      <c r="R227" s="128"/>
      <c r="S227" s="128"/>
      <c r="T227" s="128"/>
      <c r="U227" s="128"/>
      <c r="V227" s="128"/>
      <c r="W227" s="128"/>
      <c r="X227" s="128"/>
      <c r="Y227" s="128"/>
      <c r="Z227" s="128">
        <v>0</v>
      </c>
      <c r="AA227" s="128">
        <v>1.1037794E-2</v>
      </c>
      <c r="AB227" s="128">
        <v>68.570033937999995</v>
      </c>
      <c r="AC227" s="128">
        <v>0</v>
      </c>
      <c r="AD227" s="128">
        <v>0</v>
      </c>
      <c r="AE227" s="128">
        <v>0</v>
      </c>
      <c r="AF227" s="128">
        <v>0</v>
      </c>
      <c r="AG227" s="128">
        <v>0</v>
      </c>
      <c r="AH227" s="128">
        <v>0</v>
      </c>
      <c r="AI227" s="128">
        <v>0</v>
      </c>
      <c r="AJ227" s="128">
        <v>0</v>
      </c>
      <c r="AK227" s="128">
        <v>0</v>
      </c>
      <c r="AL227" s="128">
        <v>0</v>
      </c>
      <c r="AM227" s="128">
        <v>0</v>
      </c>
      <c r="AN227" s="128">
        <v>0</v>
      </c>
      <c r="AO227" s="128">
        <v>0</v>
      </c>
      <c r="AP227" s="128">
        <v>0</v>
      </c>
      <c r="AQ227" s="128">
        <v>0</v>
      </c>
      <c r="AR227" s="128">
        <v>0</v>
      </c>
      <c r="AS227" s="288">
        <v>0</v>
      </c>
      <c r="AT227" s="288">
        <v>0</v>
      </c>
      <c r="AU227" s="288">
        <v>0</v>
      </c>
      <c r="AV227" s="288">
        <v>0</v>
      </c>
      <c r="AW227" s="158">
        <v>0</v>
      </c>
      <c r="AX227" s="158">
        <v>0</v>
      </c>
      <c r="AY227" s="158">
        <v>0</v>
      </c>
      <c r="AZ227" s="158">
        <v>0</v>
      </c>
      <c r="BA227" s="158">
        <v>0</v>
      </c>
      <c r="BB227" s="288">
        <v>0</v>
      </c>
      <c r="BC227" s="288">
        <v>0</v>
      </c>
      <c r="BD227" s="288">
        <v>0</v>
      </c>
      <c r="BE227" s="288">
        <v>0</v>
      </c>
      <c r="BF227" s="288">
        <v>0</v>
      </c>
      <c r="BG227" s="288">
        <v>0</v>
      </c>
      <c r="BH227" s="288">
        <v>0</v>
      </c>
      <c r="BI227" s="288">
        <v>0</v>
      </c>
      <c r="BJ227" s="288">
        <v>0</v>
      </c>
      <c r="BK227" s="288">
        <v>0</v>
      </c>
      <c r="BL227" s="288">
        <v>0</v>
      </c>
      <c r="BM227" s="288">
        <v>0</v>
      </c>
      <c r="BN227" s="288">
        <v>0</v>
      </c>
      <c r="BO227" s="288">
        <v>0</v>
      </c>
      <c r="BP227" s="288">
        <v>0</v>
      </c>
      <c r="BQ227" s="288">
        <v>0</v>
      </c>
      <c r="BR227" s="288">
        <v>0</v>
      </c>
      <c r="BS227" s="288">
        <v>0</v>
      </c>
      <c r="BT227" s="288">
        <v>0</v>
      </c>
    </row>
    <row r="228" spans="3:72">
      <c r="C228" s="127" t="s">
        <v>1093</v>
      </c>
      <c r="D228" s="127"/>
      <c r="E228" s="127"/>
      <c r="F228" s="127"/>
      <c r="G228" s="128"/>
      <c r="H228" s="128"/>
      <c r="I228" s="128"/>
      <c r="J228" s="128"/>
      <c r="K228" s="128"/>
      <c r="L228" s="128"/>
      <c r="M228" s="128"/>
      <c r="N228" s="128"/>
      <c r="O228" s="128"/>
      <c r="P228" s="128"/>
      <c r="Q228" s="128"/>
      <c r="R228" s="128"/>
      <c r="S228" s="128"/>
      <c r="T228" s="128"/>
      <c r="U228" s="128"/>
      <c r="V228" s="128"/>
      <c r="W228" s="128"/>
      <c r="X228" s="128"/>
      <c r="Y228" s="128"/>
      <c r="Z228" s="128">
        <v>0</v>
      </c>
      <c r="AA228" s="128">
        <v>0</v>
      </c>
      <c r="AB228" s="128">
        <v>0</v>
      </c>
      <c r="AC228" s="128">
        <v>0</v>
      </c>
      <c r="AD228" s="128">
        <v>0</v>
      </c>
      <c r="AE228" s="128">
        <v>0</v>
      </c>
      <c r="AF228" s="128">
        <v>0</v>
      </c>
      <c r="AG228" s="128">
        <v>0</v>
      </c>
      <c r="AH228" s="128">
        <v>0</v>
      </c>
      <c r="AI228" s="128">
        <v>0</v>
      </c>
      <c r="AJ228" s="128">
        <v>0</v>
      </c>
      <c r="AK228" s="128">
        <v>0</v>
      </c>
      <c r="AL228" s="128">
        <v>0</v>
      </c>
      <c r="AM228" s="128">
        <v>0</v>
      </c>
      <c r="AN228" s="128">
        <v>0</v>
      </c>
      <c r="AO228" s="128">
        <v>0</v>
      </c>
      <c r="AP228" s="128">
        <v>0</v>
      </c>
      <c r="AQ228" s="128">
        <v>0</v>
      </c>
      <c r="AR228" s="128">
        <v>0</v>
      </c>
      <c r="AS228" s="288">
        <v>0</v>
      </c>
      <c r="AT228" s="288">
        <v>0</v>
      </c>
      <c r="AU228" s="288">
        <v>0</v>
      </c>
      <c r="AV228" s="288">
        <v>0</v>
      </c>
      <c r="AW228" s="158">
        <v>0</v>
      </c>
      <c r="AX228" s="158">
        <v>0</v>
      </c>
      <c r="AY228" s="158">
        <v>0</v>
      </c>
      <c r="AZ228" s="158">
        <v>0</v>
      </c>
      <c r="BA228" s="158">
        <v>0</v>
      </c>
      <c r="BB228" s="288">
        <v>0</v>
      </c>
      <c r="BC228" s="288">
        <v>0</v>
      </c>
      <c r="BD228" s="288">
        <v>0</v>
      </c>
      <c r="BE228" s="288">
        <v>0</v>
      </c>
      <c r="BF228" s="288">
        <v>0</v>
      </c>
      <c r="BG228" s="288">
        <v>0</v>
      </c>
      <c r="BH228" s="288">
        <v>0</v>
      </c>
      <c r="BI228" s="288">
        <v>0</v>
      </c>
      <c r="BJ228" s="288">
        <v>0</v>
      </c>
      <c r="BK228" s="288">
        <v>0</v>
      </c>
      <c r="BL228" s="288">
        <v>0</v>
      </c>
      <c r="BM228" s="288">
        <v>0</v>
      </c>
      <c r="BN228" s="288">
        <v>0</v>
      </c>
      <c r="BO228" s="288">
        <v>0</v>
      </c>
      <c r="BP228" s="288">
        <v>0</v>
      </c>
      <c r="BQ228" s="288">
        <v>0</v>
      </c>
      <c r="BR228" s="288">
        <v>0</v>
      </c>
      <c r="BS228" s="288">
        <v>0</v>
      </c>
      <c r="BT228" s="288">
        <v>0</v>
      </c>
    </row>
    <row r="229" spans="3:72">
      <c r="C229" s="127" t="s">
        <v>1094</v>
      </c>
      <c r="D229" s="127"/>
      <c r="E229" s="127"/>
      <c r="F229" s="127"/>
      <c r="G229" s="128"/>
      <c r="H229" s="128"/>
      <c r="I229" s="128"/>
      <c r="J229" s="128"/>
      <c r="K229" s="128"/>
      <c r="L229" s="128"/>
      <c r="M229" s="128"/>
      <c r="N229" s="128"/>
      <c r="O229" s="128"/>
      <c r="P229" s="128"/>
      <c r="Q229" s="128"/>
      <c r="R229" s="128"/>
      <c r="S229" s="128"/>
      <c r="T229" s="128"/>
      <c r="U229" s="128"/>
      <c r="V229" s="128"/>
      <c r="W229" s="128"/>
      <c r="X229" s="128"/>
      <c r="Y229" s="128"/>
      <c r="Z229" s="128">
        <v>0</v>
      </c>
      <c r="AA229" s="128">
        <v>0</v>
      </c>
      <c r="AB229" s="128">
        <v>0</v>
      </c>
      <c r="AC229" s="128">
        <v>0</v>
      </c>
      <c r="AD229" s="128">
        <v>0</v>
      </c>
      <c r="AE229" s="128">
        <v>0</v>
      </c>
      <c r="AF229" s="128">
        <v>0</v>
      </c>
      <c r="AG229" s="128">
        <v>0</v>
      </c>
      <c r="AH229" s="128">
        <v>0</v>
      </c>
      <c r="AI229" s="128">
        <v>0</v>
      </c>
      <c r="AJ229" s="128">
        <v>0</v>
      </c>
      <c r="AK229" s="128">
        <v>0</v>
      </c>
      <c r="AL229" s="128">
        <v>0</v>
      </c>
      <c r="AM229" s="128">
        <v>0</v>
      </c>
      <c r="AN229" s="128">
        <v>0</v>
      </c>
      <c r="AO229" s="128">
        <v>0</v>
      </c>
      <c r="AP229" s="128">
        <v>0</v>
      </c>
      <c r="AQ229" s="128">
        <v>0</v>
      </c>
      <c r="AR229" s="128">
        <v>0</v>
      </c>
      <c r="AS229" s="288">
        <v>0</v>
      </c>
      <c r="AT229" s="288">
        <v>0</v>
      </c>
      <c r="AU229" s="288">
        <v>0</v>
      </c>
      <c r="AV229" s="288">
        <v>0</v>
      </c>
      <c r="AW229" s="158">
        <v>0</v>
      </c>
      <c r="AX229" s="158">
        <v>0</v>
      </c>
      <c r="AY229" s="158">
        <v>0</v>
      </c>
      <c r="AZ229" s="158">
        <v>0</v>
      </c>
      <c r="BA229" s="158">
        <v>0</v>
      </c>
      <c r="BB229" s="288">
        <v>0</v>
      </c>
      <c r="BC229" s="288">
        <v>0</v>
      </c>
      <c r="BD229" s="288">
        <v>0</v>
      </c>
      <c r="BE229" s="288">
        <v>0</v>
      </c>
      <c r="BF229" s="288">
        <v>0</v>
      </c>
      <c r="BG229" s="288">
        <v>0</v>
      </c>
      <c r="BH229" s="288">
        <v>0</v>
      </c>
      <c r="BI229" s="288">
        <v>0</v>
      </c>
      <c r="BJ229" s="288">
        <v>0</v>
      </c>
      <c r="BK229" s="288">
        <v>0</v>
      </c>
      <c r="BL229" s="288">
        <v>0</v>
      </c>
      <c r="BM229" s="288">
        <v>0</v>
      </c>
      <c r="BN229" s="288">
        <v>0</v>
      </c>
      <c r="BO229" s="288">
        <v>0</v>
      </c>
      <c r="BP229" s="288">
        <v>0</v>
      </c>
      <c r="BQ229" s="288">
        <v>0</v>
      </c>
      <c r="BR229" s="288">
        <v>0</v>
      </c>
      <c r="BS229" s="288">
        <v>0</v>
      </c>
      <c r="BT229" s="288">
        <v>0</v>
      </c>
    </row>
    <row r="230" spans="3:72">
      <c r="C230" s="127" t="s">
        <v>1095</v>
      </c>
      <c r="D230" s="127"/>
      <c r="E230" s="127"/>
      <c r="F230" s="127"/>
      <c r="G230" s="128"/>
      <c r="H230" s="128"/>
      <c r="I230" s="128"/>
      <c r="J230" s="128"/>
      <c r="K230" s="128"/>
      <c r="L230" s="128"/>
      <c r="M230" s="128"/>
      <c r="N230" s="128"/>
      <c r="O230" s="128"/>
      <c r="P230" s="128"/>
      <c r="Q230" s="128"/>
      <c r="R230" s="128"/>
      <c r="S230" s="128"/>
      <c r="T230" s="128"/>
      <c r="U230" s="128"/>
      <c r="V230" s="128"/>
      <c r="W230" s="128"/>
      <c r="X230" s="128"/>
      <c r="Y230" s="128"/>
      <c r="Z230" s="128">
        <v>3.1181117170000001</v>
      </c>
      <c r="AA230" s="128">
        <v>3.5768622890000001</v>
      </c>
      <c r="AB230" s="128">
        <v>3.5706971260000002</v>
      </c>
      <c r="AC230" s="128">
        <v>5.2171895499999996</v>
      </c>
      <c r="AD230" s="128">
        <v>0</v>
      </c>
      <c r="AE230" s="128">
        <v>0</v>
      </c>
      <c r="AF230" s="128">
        <v>0</v>
      </c>
      <c r="AG230" s="128">
        <v>0</v>
      </c>
      <c r="AH230" s="128">
        <v>0</v>
      </c>
      <c r="AI230" s="128">
        <v>0</v>
      </c>
      <c r="AJ230" s="128">
        <v>0</v>
      </c>
      <c r="AK230" s="128">
        <v>0</v>
      </c>
      <c r="AL230" s="128">
        <v>0</v>
      </c>
      <c r="AM230" s="128">
        <v>0</v>
      </c>
      <c r="AN230" s="128">
        <v>0</v>
      </c>
      <c r="AO230" s="128">
        <v>0</v>
      </c>
      <c r="AP230" s="128">
        <v>0</v>
      </c>
      <c r="AQ230" s="128">
        <v>0</v>
      </c>
      <c r="AR230" s="128">
        <v>0</v>
      </c>
      <c r="AS230" s="288">
        <v>0</v>
      </c>
      <c r="AT230" s="288">
        <v>0</v>
      </c>
      <c r="AU230" s="288">
        <v>0</v>
      </c>
      <c r="AV230" s="288">
        <v>0</v>
      </c>
      <c r="AW230" s="158">
        <v>0</v>
      </c>
      <c r="AX230" s="158">
        <v>0</v>
      </c>
      <c r="AY230" s="158">
        <v>0</v>
      </c>
      <c r="AZ230" s="158">
        <v>0</v>
      </c>
      <c r="BA230" s="158">
        <v>0</v>
      </c>
      <c r="BB230" s="288">
        <v>0</v>
      </c>
      <c r="BC230" s="288">
        <v>0</v>
      </c>
      <c r="BD230" s="288">
        <v>0</v>
      </c>
      <c r="BE230" s="288">
        <v>0</v>
      </c>
      <c r="BF230" s="288">
        <v>0</v>
      </c>
      <c r="BG230" s="288">
        <v>0</v>
      </c>
      <c r="BH230" s="288">
        <v>0</v>
      </c>
      <c r="BI230" s="288">
        <v>0</v>
      </c>
      <c r="BJ230" s="288">
        <v>0</v>
      </c>
      <c r="BK230" s="288">
        <v>0</v>
      </c>
      <c r="BL230" s="288">
        <v>0</v>
      </c>
      <c r="BM230" s="288">
        <v>0</v>
      </c>
      <c r="BN230" s="288">
        <v>0</v>
      </c>
      <c r="BO230" s="288">
        <v>0</v>
      </c>
      <c r="BP230" s="288">
        <v>0</v>
      </c>
      <c r="BQ230" s="288">
        <v>0</v>
      </c>
      <c r="BR230" s="288">
        <v>0</v>
      </c>
      <c r="BS230" s="288">
        <v>0</v>
      </c>
      <c r="BT230" s="288">
        <v>0</v>
      </c>
    </row>
    <row r="231" spans="3:72">
      <c r="C231" s="127" t="s">
        <v>1096</v>
      </c>
      <c r="D231" s="127"/>
      <c r="E231" s="127"/>
      <c r="F231" s="127"/>
      <c r="G231" s="128"/>
      <c r="H231" s="128"/>
      <c r="I231" s="128"/>
      <c r="J231" s="128"/>
      <c r="K231" s="128"/>
      <c r="L231" s="128"/>
      <c r="M231" s="128"/>
      <c r="N231" s="128"/>
      <c r="O231" s="128"/>
      <c r="P231" s="128"/>
      <c r="Q231" s="128"/>
      <c r="R231" s="128"/>
      <c r="S231" s="128"/>
      <c r="T231" s="128"/>
      <c r="U231" s="128"/>
      <c r="V231" s="128"/>
      <c r="W231" s="128"/>
      <c r="X231" s="128"/>
      <c r="Y231" s="128"/>
      <c r="Z231" s="128">
        <v>3.1181117170000001</v>
      </c>
      <c r="AA231" s="128">
        <v>3.5768622890000001</v>
      </c>
      <c r="AB231" s="128">
        <v>3.5706971260000002</v>
      </c>
      <c r="AC231" s="128">
        <v>5.2171895499999996</v>
      </c>
      <c r="AD231" s="128">
        <v>0</v>
      </c>
      <c r="AE231" s="128">
        <v>0</v>
      </c>
      <c r="AF231" s="128">
        <v>0</v>
      </c>
      <c r="AG231" s="128">
        <v>0</v>
      </c>
      <c r="AH231" s="128">
        <v>0</v>
      </c>
      <c r="AI231" s="128">
        <v>0</v>
      </c>
      <c r="AJ231" s="128">
        <v>0</v>
      </c>
      <c r="AK231" s="128">
        <v>0</v>
      </c>
      <c r="AL231" s="128">
        <v>0</v>
      </c>
      <c r="AM231" s="128">
        <v>0</v>
      </c>
      <c r="AN231" s="128">
        <v>0</v>
      </c>
      <c r="AO231" s="128">
        <v>0</v>
      </c>
      <c r="AP231" s="128">
        <v>0</v>
      </c>
      <c r="AQ231" s="128">
        <v>0</v>
      </c>
      <c r="AR231" s="128">
        <v>0</v>
      </c>
      <c r="AS231" s="288">
        <v>0</v>
      </c>
      <c r="AT231" s="288">
        <v>0</v>
      </c>
      <c r="AU231" s="288">
        <v>0</v>
      </c>
      <c r="AV231" s="288">
        <v>0</v>
      </c>
      <c r="AW231" s="158">
        <v>0</v>
      </c>
      <c r="AX231" s="158">
        <v>0</v>
      </c>
      <c r="AY231" s="158">
        <v>0</v>
      </c>
      <c r="AZ231" s="158">
        <v>0</v>
      </c>
      <c r="BA231" s="158">
        <v>0</v>
      </c>
      <c r="BB231" s="288">
        <v>0</v>
      </c>
      <c r="BC231" s="288">
        <v>0</v>
      </c>
      <c r="BD231" s="288">
        <v>0</v>
      </c>
      <c r="BE231" s="288">
        <v>0</v>
      </c>
      <c r="BF231" s="288">
        <v>0</v>
      </c>
      <c r="BG231" s="288">
        <v>0</v>
      </c>
      <c r="BH231" s="288">
        <v>0</v>
      </c>
      <c r="BI231" s="288">
        <v>0</v>
      </c>
      <c r="BJ231" s="288">
        <v>0</v>
      </c>
      <c r="BK231" s="288">
        <v>0</v>
      </c>
      <c r="BL231" s="288">
        <v>0</v>
      </c>
      <c r="BM231" s="288">
        <v>0</v>
      </c>
      <c r="BN231" s="288">
        <v>0</v>
      </c>
      <c r="BO231" s="288">
        <v>0</v>
      </c>
      <c r="BP231" s="288">
        <v>0</v>
      </c>
      <c r="BQ231" s="288">
        <v>0</v>
      </c>
      <c r="BR231" s="288">
        <v>0</v>
      </c>
      <c r="BS231" s="288">
        <v>0</v>
      </c>
      <c r="BT231" s="288">
        <v>0</v>
      </c>
    </row>
    <row r="232" spans="3:72">
      <c r="C232" s="127" t="s">
        <v>808</v>
      </c>
      <c r="D232" s="127"/>
      <c r="E232" s="127"/>
      <c r="F232" s="127"/>
      <c r="G232" s="128"/>
      <c r="H232" s="128"/>
      <c r="I232" s="128"/>
      <c r="J232" s="128"/>
      <c r="K232" s="128"/>
      <c r="L232" s="128"/>
      <c r="M232" s="128"/>
      <c r="N232" s="128"/>
      <c r="O232" s="128"/>
      <c r="P232" s="128"/>
      <c r="Q232" s="128"/>
      <c r="R232" s="128"/>
      <c r="S232" s="128"/>
      <c r="T232" s="128"/>
      <c r="U232" s="128"/>
      <c r="V232" s="128"/>
      <c r="W232" s="128"/>
      <c r="X232" s="128"/>
      <c r="Y232" s="128"/>
      <c r="Z232" s="128">
        <v>0</v>
      </c>
      <c r="AA232" s="128">
        <v>0</v>
      </c>
      <c r="AB232" s="128">
        <v>0</v>
      </c>
      <c r="AC232" s="128">
        <v>0</v>
      </c>
      <c r="AD232" s="128">
        <v>0</v>
      </c>
      <c r="AE232" s="128">
        <v>0</v>
      </c>
      <c r="AF232" s="128">
        <v>0</v>
      </c>
      <c r="AG232" s="128">
        <v>0</v>
      </c>
      <c r="AH232" s="128">
        <v>0</v>
      </c>
      <c r="AI232" s="128">
        <v>0</v>
      </c>
      <c r="AJ232" s="128">
        <v>0</v>
      </c>
      <c r="AK232" s="128">
        <v>0</v>
      </c>
      <c r="AL232" s="128">
        <v>0</v>
      </c>
      <c r="AM232" s="128">
        <v>0</v>
      </c>
      <c r="AN232" s="128">
        <v>0</v>
      </c>
      <c r="AO232" s="128">
        <v>0</v>
      </c>
      <c r="AP232" s="128">
        <v>0</v>
      </c>
      <c r="AQ232" s="128">
        <v>0</v>
      </c>
      <c r="AR232" s="128">
        <v>0</v>
      </c>
      <c r="AS232" s="288">
        <v>0</v>
      </c>
      <c r="AT232" s="288">
        <v>0</v>
      </c>
      <c r="AU232" s="288">
        <v>0</v>
      </c>
      <c r="AV232" s="288">
        <v>0</v>
      </c>
      <c r="AW232" s="158">
        <v>0</v>
      </c>
      <c r="AX232" s="158">
        <v>0</v>
      </c>
      <c r="AY232" s="158">
        <v>0</v>
      </c>
      <c r="AZ232" s="158">
        <v>0</v>
      </c>
      <c r="BA232" s="158">
        <v>0</v>
      </c>
      <c r="BB232" s="288">
        <v>0</v>
      </c>
      <c r="BC232" s="288">
        <v>0</v>
      </c>
      <c r="BD232" s="288">
        <v>0</v>
      </c>
      <c r="BE232" s="288">
        <v>0</v>
      </c>
      <c r="BF232" s="288">
        <v>0</v>
      </c>
      <c r="BG232" s="288">
        <v>0</v>
      </c>
      <c r="BH232" s="288">
        <v>0</v>
      </c>
      <c r="BI232" s="288">
        <v>0</v>
      </c>
      <c r="BJ232" s="288">
        <v>0</v>
      </c>
      <c r="BK232" s="288">
        <v>0</v>
      </c>
      <c r="BL232" s="288">
        <v>0</v>
      </c>
      <c r="BM232" s="288">
        <v>0</v>
      </c>
      <c r="BN232" s="288">
        <v>0</v>
      </c>
      <c r="BO232" s="288">
        <v>0</v>
      </c>
      <c r="BP232" s="288">
        <v>0</v>
      </c>
      <c r="BQ232" s="288">
        <v>0</v>
      </c>
      <c r="BR232" s="288">
        <v>0</v>
      </c>
      <c r="BS232" s="288">
        <v>0</v>
      </c>
      <c r="BT232" s="288">
        <v>0</v>
      </c>
    </row>
    <row r="233" spans="3:72">
      <c r="C233" s="127" t="s">
        <v>1097</v>
      </c>
      <c r="D233" s="127"/>
      <c r="E233" s="127"/>
      <c r="F233" s="127"/>
      <c r="G233" s="128"/>
      <c r="H233" s="128"/>
      <c r="I233" s="128"/>
      <c r="J233" s="128"/>
      <c r="K233" s="128"/>
      <c r="L233" s="128"/>
      <c r="M233" s="128"/>
      <c r="N233" s="128"/>
      <c r="O233" s="128"/>
      <c r="P233" s="128"/>
      <c r="Q233" s="128"/>
      <c r="R233" s="128"/>
      <c r="S233" s="128"/>
      <c r="T233" s="128"/>
      <c r="U233" s="128"/>
      <c r="V233" s="128"/>
      <c r="W233" s="128"/>
      <c r="X233" s="128"/>
      <c r="Y233" s="128"/>
      <c r="Z233" s="128">
        <v>0</v>
      </c>
      <c r="AA233" s="128">
        <v>0</v>
      </c>
      <c r="AB233" s="128">
        <v>0</v>
      </c>
      <c r="AC233" s="128">
        <v>0</v>
      </c>
      <c r="AD233" s="128">
        <v>0</v>
      </c>
      <c r="AE233" s="128">
        <v>0</v>
      </c>
      <c r="AF233" s="128">
        <v>0</v>
      </c>
      <c r="AG233" s="128">
        <v>0</v>
      </c>
      <c r="AH233" s="128">
        <v>0</v>
      </c>
      <c r="AI233" s="128">
        <v>0</v>
      </c>
      <c r="AJ233" s="128">
        <v>0</v>
      </c>
      <c r="AK233" s="128">
        <v>0</v>
      </c>
      <c r="AL233" s="128">
        <v>0</v>
      </c>
      <c r="AM233" s="128">
        <v>0</v>
      </c>
      <c r="AN233" s="128">
        <v>0</v>
      </c>
      <c r="AO233" s="128">
        <v>0</v>
      </c>
      <c r="AP233" s="128">
        <v>0</v>
      </c>
      <c r="AQ233" s="128">
        <v>0</v>
      </c>
      <c r="AR233" s="128">
        <v>0</v>
      </c>
      <c r="AS233" s="288">
        <v>0</v>
      </c>
      <c r="AT233" s="288">
        <v>0</v>
      </c>
      <c r="AU233" s="288">
        <v>0</v>
      </c>
      <c r="AV233" s="288">
        <v>0</v>
      </c>
      <c r="AW233" s="158">
        <v>0</v>
      </c>
      <c r="AX233" s="158">
        <v>0</v>
      </c>
      <c r="AY233" s="158">
        <v>0</v>
      </c>
      <c r="AZ233" s="158">
        <v>0</v>
      </c>
      <c r="BA233" s="158">
        <v>0</v>
      </c>
      <c r="BB233" s="288">
        <v>0</v>
      </c>
      <c r="BC233" s="288">
        <v>0</v>
      </c>
      <c r="BD233" s="288">
        <v>0</v>
      </c>
      <c r="BE233" s="288">
        <v>0</v>
      </c>
      <c r="BF233" s="288">
        <v>0</v>
      </c>
      <c r="BG233" s="288">
        <v>0</v>
      </c>
      <c r="BH233" s="288">
        <v>0</v>
      </c>
      <c r="BI233" s="288">
        <v>0</v>
      </c>
      <c r="BJ233" s="288">
        <v>0</v>
      </c>
      <c r="BK233" s="288">
        <v>0</v>
      </c>
      <c r="BL233" s="288">
        <v>0</v>
      </c>
      <c r="BM233" s="288">
        <v>0</v>
      </c>
      <c r="BN233" s="288">
        <v>0</v>
      </c>
      <c r="BO233" s="288">
        <v>0</v>
      </c>
      <c r="BP233" s="288">
        <v>0</v>
      </c>
      <c r="BQ233" s="288">
        <v>0</v>
      </c>
      <c r="BR233" s="288">
        <v>0</v>
      </c>
      <c r="BS233" s="288">
        <v>0</v>
      </c>
      <c r="BT233" s="288">
        <v>0</v>
      </c>
    </row>
    <row r="234" spans="3:72">
      <c r="C234" s="127" t="s">
        <v>1098</v>
      </c>
      <c r="D234" s="127"/>
      <c r="E234" s="127"/>
      <c r="F234" s="127"/>
      <c r="G234" s="128"/>
      <c r="H234" s="128"/>
      <c r="I234" s="128"/>
      <c r="J234" s="128"/>
      <c r="K234" s="128"/>
      <c r="L234" s="128"/>
      <c r="M234" s="128"/>
      <c r="N234" s="128"/>
      <c r="O234" s="128"/>
      <c r="P234" s="128"/>
      <c r="Q234" s="128"/>
      <c r="R234" s="128"/>
      <c r="S234" s="128"/>
      <c r="T234" s="128"/>
      <c r="U234" s="128"/>
      <c r="V234" s="128"/>
      <c r="W234" s="128"/>
      <c r="X234" s="128"/>
      <c r="Y234" s="128"/>
      <c r="Z234" s="128">
        <v>0</v>
      </c>
      <c r="AA234" s="128">
        <v>0</v>
      </c>
      <c r="AB234" s="128">
        <v>0</v>
      </c>
      <c r="AC234" s="128">
        <v>0</v>
      </c>
      <c r="AD234" s="128">
        <v>0</v>
      </c>
      <c r="AE234" s="128">
        <v>0</v>
      </c>
      <c r="AF234" s="128">
        <v>0</v>
      </c>
      <c r="AG234" s="128">
        <v>0</v>
      </c>
      <c r="AH234" s="128">
        <v>0</v>
      </c>
      <c r="AI234" s="128">
        <v>0</v>
      </c>
      <c r="AJ234" s="128">
        <v>0</v>
      </c>
      <c r="AK234" s="128">
        <v>0</v>
      </c>
      <c r="AL234" s="128">
        <v>0</v>
      </c>
      <c r="AM234" s="128">
        <v>0</v>
      </c>
      <c r="AN234" s="128">
        <v>0</v>
      </c>
      <c r="AO234" s="128">
        <v>0</v>
      </c>
      <c r="AP234" s="128">
        <v>0</v>
      </c>
      <c r="AQ234" s="128">
        <v>0</v>
      </c>
      <c r="AR234" s="128">
        <v>0</v>
      </c>
      <c r="AS234" s="288">
        <v>0</v>
      </c>
      <c r="AT234" s="288">
        <v>0</v>
      </c>
      <c r="AU234" s="288">
        <v>0</v>
      </c>
      <c r="AV234" s="288">
        <v>0</v>
      </c>
      <c r="AW234" s="158">
        <v>0</v>
      </c>
      <c r="AX234" s="158">
        <v>0</v>
      </c>
      <c r="AY234" s="158">
        <v>0</v>
      </c>
      <c r="AZ234" s="158">
        <v>0</v>
      </c>
      <c r="BA234" s="158">
        <v>0</v>
      </c>
      <c r="BB234" s="288">
        <v>0</v>
      </c>
      <c r="BC234" s="288">
        <v>0</v>
      </c>
      <c r="BD234" s="288">
        <v>0</v>
      </c>
      <c r="BE234" s="288">
        <v>0</v>
      </c>
      <c r="BF234" s="288">
        <v>0</v>
      </c>
      <c r="BG234" s="288">
        <v>0</v>
      </c>
      <c r="BH234" s="288">
        <v>0</v>
      </c>
      <c r="BI234" s="288">
        <v>0</v>
      </c>
      <c r="BJ234" s="288">
        <v>0</v>
      </c>
      <c r="BK234" s="288">
        <v>0</v>
      </c>
      <c r="BL234" s="288">
        <v>0</v>
      </c>
      <c r="BM234" s="288">
        <v>0</v>
      </c>
      <c r="BN234" s="288">
        <v>0</v>
      </c>
      <c r="BO234" s="288">
        <v>0</v>
      </c>
      <c r="BP234" s="288">
        <v>0</v>
      </c>
      <c r="BQ234" s="288">
        <v>0</v>
      </c>
      <c r="BR234" s="288">
        <v>0</v>
      </c>
      <c r="BS234" s="288">
        <v>0</v>
      </c>
      <c r="BT234" s="288">
        <v>0</v>
      </c>
    </row>
    <row r="235" spans="3:72">
      <c r="C235" s="127" t="s">
        <v>1099</v>
      </c>
      <c r="D235" s="127"/>
      <c r="E235" s="127"/>
      <c r="F235" s="127"/>
      <c r="G235" s="128"/>
      <c r="H235" s="128"/>
      <c r="I235" s="128"/>
      <c r="J235" s="128"/>
      <c r="K235" s="128"/>
      <c r="L235" s="128"/>
      <c r="M235" s="128"/>
      <c r="N235" s="128"/>
      <c r="O235" s="128"/>
      <c r="P235" s="128"/>
      <c r="Q235" s="128"/>
      <c r="R235" s="128"/>
      <c r="S235" s="128"/>
      <c r="T235" s="128"/>
      <c r="U235" s="128"/>
      <c r="V235" s="128"/>
      <c r="W235" s="128"/>
      <c r="X235" s="128"/>
      <c r="Y235" s="128"/>
      <c r="Z235" s="128">
        <v>0</v>
      </c>
      <c r="AA235" s="128">
        <v>0</v>
      </c>
      <c r="AB235" s="128">
        <v>0</v>
      </c>
      <c r="AC235" s="128">
        <v>0</v>
      </c>
      <c r="AD235" s="128">
        <v>0</v>
      </c>
      <c r="AE235" s="128">
        <v>95.099340666000003</v>
      </c>
      <c r="AF235" s="128">
        <v>105.276217668</v>
      </c>
      <c r="AG235" s="128">
        <v>112.464049268</v>
      </c>
      <c r="AH235" s="128">
        <v>120.38528249700001</v>
      </c>
      <c r="AI235" s="128">
        <v>137.72230797200001</v>
      </c>
      <c r="AJ235" s="128">
        <v>160.05310980600001</v>
      </c>
      <c r="AK235" s="128">
        <v>179.685175407</v>
      </c>
      <c r="AL235" s="128">
        <v>191.79930057199999</v>
      </c>
      <c r="AM235" s="128">
        <v>201.37619837</v>
      </c>
      <c r="AN235" s="128">
        <v>227.56608803200001</v>
      </c>
      <c r="AO235" s="128">
        <v>242.11597011800001</v>
      </c>
      <c r="AP235" s="128">
        <v>302.36514553299997</v>
      </c>
      <c r="AQ235" s="128">
        <v>303.03586443500001</v>
      </c>
      <c r="AR235" s="128">
        <v>310.31115544800002</v>
      </c>
      <c r="AS235" s="288">
        <v>313.77564533200001</v>
      </c>
      <c r="AT235" s="288">
        <v>316.757634908</v>
      </c>
      <c r="AU235" s="288">
        <v>330.666630725</v>
      </c>
      <c r="AV235" s="288">
        <v>352.28865956300001</v>
      </c>
      <c r="AW235" s="158">
        <v>374.563598474</v>
      </c>
      <c r="AX235" s="158">
        <v>384.74652964699999</v>
      </c>
      <c r="AY235" s="158">
        <v>397.36634425900002</v>
      </c>
      <c r="AZ235" s="158">
        <v>411.312890047</v>
      </c>
      <c r="BA235" s="158">
        <v>439.49325775699998</v>
      </c>
      <c r="BB235" s="288">
        <v>445.89865282599999</v>
      </c>
      <c r="BC235" s="288">
        <v>463.07799228800002</v>
      </c>
      <c r="BD235" s="288">
        <v>462.19163783300002</v>
      </c>
      <c r="BE235" s="288">
        <v>482.38917946399999</v>
      </c>
      <c r="BF235" s="288">
        <v>0</v>
      </c>
      <c r="BG235" s="288">
        <v>510.58886992200001</v>
      </c>
      <c r="BH235" s="288">
        <v>513.820952121</v>
      </c>
      <c r="BI235" s="288">
        <v>494.62157681000002</v>
      </c>
      <c r="BJ235" s="288">
        <v>492.83194400299999</v>
      </c>
      <c r="BK235" s="288">
        <v>477.080612132</v>
      </c>
      <c r="BL235" s="288">
        <v>470.22796578800001</v>
      </c>
      <c r="BM235" s="288">
        <v>448.32501330100001</v>
      </c>
      <c r="BN235" s="288">
        <v>0</v>
      </c>
      <c r="BO235" s="288">
        <v>0</v>
      </c>
      <c r="BP235" s="288">
        <v>397.94</v>
      </c>
      <c r="BQ235" s="288">
        <v>389.70780247200003</v>
      </c>
      <c r="BR235" s="288">
        <v>398.37695839899999</v>
      </c>
      <c r="BS235" s="288">
        <v>392.831179367</v>
      </c>
      <c r="BT235" s="288">
        <v>0</v>
      </c>
    </row>
    <row r="236" spans="3:72">
      <c r="C236" s="127" t="s">
        <v>1100</v>
      </c>
      <c r="D236" s="127"/>
      <c r="E236" s="127"/>
      <c r="F236" s="127"/>
      <c r="G236" s="128"/>
      <c r="H236" s="128"/>
      <c r="I236" s="128"/>
      <c r="J236" s="128"/>
      <c r="K236" s="128"/>
      <c r="L236" s="128"/>
      <c r="M236" s="128"/>
      <c r="N236" s="128"/>
      <c r="O236" s="128"/>
      <c r="P236" s="128"/>
      <c r="Q236" s="128"/>
      <c r="R236" s="128"/>
      <c r="S236" s="128"/>
      <c r="T236" s="128"/>
      <c r="U236" s="128"/>
      <c r="V236" s="128"/>
      <c r="W236" s="128"/>
      <c r="X236" s="128"/>
      <c r="Y236" s="128"/>
      <c r="Z236" s="128">
        <v>0</v>
      </c>
      <c r="AA236" s="128">
        <v>0</v>
      </c>
      <c r="AB236" s="128">
        <v>0</v>
      </c>
      <c r="AC236" s="128">
        <v>0</v>
      </c>
      <c r="AD236" s="128">
        <v>0</v>
      </c>
      <c r="AE236" s="128">
        <v>0</v>
      </c>
      <c r="AF236" s="128">
        <v>0</v>
      </c>
      <c r="AG236" s="128">
        <v>0</v>
      </c>
      <c r="AH236" s="128">
        <v>120.38528249700001</v>
      </c>
      <c r="AI236" s="128">
        <v>0</v>
      </c>
      <c r="AJ236" s="128">
        <v>0</v>
      </c>
      <c r="AK236" s="128">
        <v>0</v>
      </c>
      <c r="AL236" s="128">
        <v>0</v>
      </c>
      <c r="AM236" s="128">
        <v>0</v>
      </c>
      <c r="AN236" s="128">
        <v>0</v>
      </c>
      <c r="AO236" s="128">
        <v>0</v>
      </c>
      <c r="AP236" s="128">
        <v>0</v>
      </c>
      <c r="AQ236" s="128">
        <v>0</v>
      </c>
      <c r="AR236" s="128">
        <v>0</v>
      </c>
      <c r="AS236" s="288">
        <v>313.77564533200001</v>
      </c>
      <c r="AT236" s="288">
        <v>0</v>
      </c>
      <c r="AU236" s="288">
        <v>330.666630725</v>
      </c>
      <c r="AV236" s="288">
        <v>352.28865956300001</v>
      </c>
      <c r="AW236" s="158">
        <v>374.563598474</v>
      </c>
      <c r="AX236" s="158">
        <v>384.74652964699999</v>
      </c>
      <c r="AY236" s="158">
        <v>397.36634425900002</v>
      </c>
      <c r="AZ236" s="158">
        <v>411.312890047</v>
      </c>
      <c r="BA236" s="158">
        <v>439.49325775699998</v>
      </c>
      <c r="BB236" s="288">
        <v>445.89865282599999</v>
      </c>
      <c r="BC236" s="288">
        <v>0</v>
      </c>
      <c r="BD236" s="288">
        <v>462.19163783300002</v>
      </c>
      <c r="BE236" s="288">
        <v>482.38917946399999</v>
      </c>
      <c r="BF236" s="288">
        <v>0</v>
      </c>
      <c r="BG236" s="288">
        <v>510.58886992200001</v>
      </c>
      <c r="BH236" s="288">
        <v>513.820952121</v>
      </c>
      <c r="BI236" s="288">
        <v>494.62157681000002</v>
      </c>
      <c r="BJ236" s="288">
        <v>492.83194400299999</v>
      </c>
      <c r="BK236" s="288">
        <v>477.080612132</v>
      </c>
      <c r="BL236" s="288">
        <v>470.22796578800001</v>
      </c>
      <c r="BM236" s="288">
        <v>448.32501330100001</v>
      </c>
      <c r="BN236" s="288">
        <v>0</v>
      </c>
      <c r="BO236" s="288">
        <v>0</v>
      </c>
      <c r="BP236" s="288">
        <v>397.94</v>
      </c>
      <c r="BQ236" s="288">
        <v>389.70780247200003</v>
      </c>
      <c r="BR236" s="288">
        <v>398.37695839899999</v>
      </c>
      <c r="BS236" s="288">
        <v>392.831179367</v>
      </c>
      <c r="BT236" s="288">
        <v>0</v>
      </c>
    </row>
    <row r="237" spans="3:72">
      <c r="C237" s="127" t="s">
        <v>1101</v>
      </c>
      <c r="D237" s="127"/>
      <c r="E237" s="127"/>
      <c r="F237" s="127"/>
      <c r="G237" s="128"/>
      <c r="H237" s="128"/>
      <c r="I237" s="128"/>
      <c r="J237" s="128"/>
      <c r="K237" s="128"/>
      <c r="L237" s="128"/>
      <c r="M237" s="128"/>
      <c r="N237" s="128"/>
      <c r="O237" s="128"/>
      <c r="P237" s="128"/>
      <c r="Q237" s="128"/>
      <c r="R237" s="128"/>
      <c r="S237" s="128"/>
      <c r="T237" s="128"/>
      <c r="U237" s="128"/>
      <c r="V237" s="128"/>
      <c r="W237" s="128"/>
      <c r="X237" s="128"/>
      <c r="Y237" s="128"/>
      <c r="Z237" s="128">
        <v>0</v>
      </c>
      <c r="AA237" s="128">
        <v>0</v>
      </c>
      <c r="AB237" s="128">
        <v>0</v>
      </c>
      <c r="AC237" s="128">
        <v>0</v>
      </c>
      <c r="AD237" s="128">
        <v>0</v>
      </c>
      <c r="AE237" s="128">
        <v>0</v>
      </c>
      <c r="AF237" s="128">
        <v>0</v>
      </c>
      <c r="AG237" s="128">
        <v>0</v>
      </c>
      <c r="AH237" s="128">
        <v>0</v>
      </c>
      <c r="AI237" s="128">
        <v>0</v>
      </c>
      <c r="AJ237" s="128">
        <v>0</v>
      </c>
      <c r="AK237" s="128">
        <v>0</v>
      </c>
      <c r="AL237" s="128">
        <v>0</v>
      </c>
      <c r="AM237" s="128">
        <v>0</v>
      </c>
      <c r="AN237" s="128">
        <v>0</v>
      </c>
      <c r="AO237" s="128">
        <v>0</v>
      </c>
      <c r="AP237" s="128">
        <v>0</v>
      </c>
      <c r="AQ237" s="128">
        <v>0</v>
      </c>
      <c r="AR237" s="128">
        <v>0</v>
      </c>
      <c r="AS237" s="288">
        <v>0</v>
      </c>
      <c r="AT237" s="288">
        <v>0</v>
      </c>
      <c r="AU237" s="288">
        <v>0</v>
      </c>
      <c r="AV237" s="288">
        <v>0</v>
      </c>
      <c r="AW237" s="158">
        <v>0</v>
      </c>
      <c r="AX237" s="158">
        <v>0</v>
      </c>
      <c r="AY237" s="158">
        <v>0</v>
      </c>
      <c r="AZ237" s="158">
        <v>0</v>
      </c>
      <c r="BA237" s="158">
        <v>0</v>
      </c>
      <c r="BB237" s="288">
        <v>0</v>
      </c>
      <c r="BC237" s="288">
        <v>0</v>
      </c>
      <c r="BD237" s="288">
        <v>0</v>
      </c>
      <c r="BE237" s="288">
        <v>0</v>
      </c>
      <c r="BF237" s="288">
        <v>0</v>
      </c>
      <c r="BG237" s="288">
        <v>0</v>
      </c>
      <c r="BH237" s="288">
        <v>0</v>
      </c>
      <c r="BI237" s="288">
        <v>0</v>
      </c>
      <c r="BJ237" s="288">
        <v>0</v>
      </c>
      <c r="BK237" s="288">
        <v>0</v>
      </c>
      <c r="BL237" s="288">
        <v>0</v>
      </c>
      <c r="BM237" s="288">
        <v>0</v>
      </c>
      <c r="BN237" s="288">
        <v>0</v>
      </c>
      <c r="BO237" s="288">
        <v>0</v>
      </c>
      <c r="BP237" s="288">
        <v>0</v>
      </c>
      <c r="BQ237" s="288">
        <v>0</v>
      </c>
      <c r="BR237" s="288">
        <v>0</v>
      </c>
      <c r="BS237" s="288">
        <v>0</v>
      </c>
      <c r="BT237" s="288">
        <v>0</v>
      </c>
    </row>
    <row r="238" spans="3:72">
      <c r="C238" s="127" t="s">
        <v>1102</v>
      </c>
      <c r="D238" s="127"/>
      <c r="E238" s="127"/>
      <c r="F238" s="127"/>
      <c r="G238" s="128"/>
      <c r="H238" s="128"/>
      <c r="I238" s="128"/>
      <c r="J238" s="128"/>
      <c r="K238" s="128"/>
      <c r="L238" s="128"/>
      <c r="M238" s="128"/>
      <c r="N238" s="128"/>
      <c r="O238" s="128"/>
      <c r="P238" s="128"/>
      <c r="Q238" s="128"/>
      <c r="R238" s="128"/>
      <c r="S238" s="128"/>
      <c r="T238" s="128"/>
      <c r="U238" s="128"/>
      <c r="V238" s="128"/>
      <c r="W238" s="128"/>
      <c r="X238" s="128"/>
      <c r="Y238" s="128"/>
      <c r="Z238" s="128">
        <v>0</v>
      </c>
      <c r="AA238" s="128">
        <v>0</v>
      </c>
      <c r="AB238" s="128">
        <v>0</v>
      </c>
      <c r="AC238" s="128">
        <v>0</v>
      </c>
      <c r="AD238" s="128">
        <v>0</v>
      </c>
      <c r="AE238" s="128">
        <v>0</v>
      </c>
      <c r="AF238" s="128">
        <v>0</v>
      </c>
      <c r="AG238" s="128">
        <v>0</v>
      </c>
      <c r="AH238" s="128">
        <v>0</v>
      </c>
      <c r="AI238" s="128">
        <v>0</v>
      </c>
      <c r="AJ238" s="128">
        <v>0</v>
      </c>
      <c r="AK238" s="128">
        <v>0</v>
      </c>
      <c r="AL238" s="128">
        <v>0</v>
      </c>
      <c r="AM238" s="128">
        <v>0</v>
      </c>
      <c r="AN238" s="128">
        <v>0</v>
      </c>
      <c r="AO238" s="128">
        <v>0</v>
      </c>
      <c r="AP238" s="128">
        <v>0</v>
      </c>
      <c r="AQ238" s="128">
        <v>0</v>
      </c>
      <c r="AR238" s="128">
        <v>0</v>
      </c>
      <c r="AS238" s="288">
        <v>0</v>
      </c>
      <c r="AT238" s="288">
        <v>0</v>
      </c>
      <c r="AU238" s="288">
        <v>0</v>
      </c>
      <c r="AV238" s="288">
        <v>0</v>
      </c>
      <c r="AW238" s="158">
        <v>0</v>
      </c>
      <c r="AX238" s="158">
        <v>0</v>
      </c>
      <c r="AY238" s="158">
        <v>0</v>
      </c>
      <c r="AZ238" s="158">
        <v>0</v>
      </c>
      <c r="BA238" s="158">
        <v>0</v>
      </c>
      <c r="BB238" s="288">
        <v>0</v>
      </c>
      <c r="BC238" s="288">
        <v>0</v>
      </c>
      <c r="BD238" s="288">
        <v>0</v>
      </c>
      <c r="BE238" s="288">
        <v>0</v>
      </c>
      <c r="BF238" s="288">
        <v>0</v>
      </c>
      <c r="BG238" s="288">
        <v>0</v>
      </c>
      <c r="BH238" s="288">
        <v>0</v>
      </c>
      <c r="BI238" s="288">
        <v>0</v>
      </c>
      <c r="BJ238" s="288">
        <v>0</v>
      </c>
      <c r="BK238" s="288">
        <v>0</v>
      </c>
      <c r="BL238" s="288">
        <v>0</v>
      </c>
      <c r="BM238" s="288">
        <v>0</v>
      </c>
      <c r="BN238" s="288">
        <v>0</v>
      </c>
      <c r="BO238" s="288">
        <v>0</v>
      </c>
      <c r="BP238" s="288">
        <v>0</v>
      </c>
      <c r="BQ238" s="288">
        <v>0</v>
      </c>
      <c r="BR238" s="288">
        <v>0</v>
      </c>
      <c r="BS238" s="288">
        <v>0</v>
      </c>
      <c r="BT238" s="288">
        <v>0</v>
      </c>
    </row>
    <row r="239" spans="3:72">
      <c r="C239" s="127" t="s">
        <v>839</v>
      </c>
      <c r="D239" s="127"/>
      <c r="E239" s="127"/>
      <c r="F239" s="127"/>
      <c r="G239" s="128"/>
      <c r="H239" s="128"/>
      <c r="I239" s="128"/>
      <c r="J239" s="128"/>
      <c r="K239" s="128"/>
      <c r="L239" s="128"/>
      <c r="M239" s="128"/>
      <c r="N239" s="128"/>
      <c r="O239" s="128"/>
      <c r="P239" s="128"/>
      <c r="Q239" s="128"/>
      <c r="R239" s="128"/>
      <c r="S239" s="128"/>
      <c r="T239" s="128"/>
      <c r="U239" s="128"/>
      <c r="V239" s="128"/>
      <c r="W239" s="128"/>
      <c r="X239" s="128"/>
      <c r="Y239" s="128"/>
      <c r="Z239" s="128">
        <v>0</v>
      </c>
      <c r="AA239" s="128">
        <v>0</v>
      </c>
      <c r="AB239" s="128">
        <v>0</v>
      </c>
      <c r="AC239" s="128">
        <v>0</v>
      </c>
      <c r="AD239" s="128">
        <v>0</v>
      </c>
      <c r="AE239" s="128">
        <v>95.099340666000003</v>
      </c>
      <c r="AF239" s="128">
        <v>105.276217668</v>
      </c>
      <c r="AG239" s="128">
        <v>112.464049268</v>
      </c>
      <c r="AH239" s="128">
        <v>0</v>
      </c>
      <c r="AI239" s="128">
        <v>137.72230797200001</v>
      </c>
      <c r="AJ239" s="128">
        <v>160.05310980600001</v>
      </c>
      <c r="AK239" s="128">
        <v>179.685175407</v>
      </c>
      <c r="AL239" s="128">
        <v>191.79930057199999</v>
      </c>
      <c r="AM239" s="128">
        <v>201.37619837</v>
      </c>
      <c r="AN239" s="128">
        <v>227.56608803200001</v>
      </c>
      <c r="AO239" s="128">
        <v>242.11597011800001</v>
      </c>
      <c r="AP239" s="128">
        <v>302.36514553299997</v>
      </c>
      <c r="AQ239" s="128">
        <v>303.03586443500001</v>
      </c>
      <c r="AR239" s="128">
        <v>310.31115544800002</v>
      </c>
      <c r="AS239" s="288">
        <v>0</v>
      </c>
      <c r="AT239" s="288">
        <v>316.757634908</v>
      </c>
      <c r="AU239" s="288">
        <v>0</v>
      </c>
      <c r="AV239" s="288">
        <v>0</v>
      </c>
      <c r="AW239" s="158">
        <v>0</v>
      </c>
      <c r="AX239" s="158">
        <v>0</v>
      </c>
      <c r="AY239" s="158">
        <v>0</v>
      </c>
      <c r="AZ239" s="158">
        <v>0</v>
      </c>
      <c r="BA239" s="158">
        <v>0</v>
      </c>
      <c r="BB239" s="288">
        <v>0</v>
      </c>
      <c r="BC239" s="288">
        <v>463.07799228800002</v>
      </c>
      <c r="BD239" s="288">
        <v>0</v>
      </c>
      <c r="BE239" s="288">
        <v>0</v>
      </c>
      <c r="BF239" s="288">
        <v>0</v>
      </c>
      <c r="BG239" s="288">
        <v>0</v>
      </c>
      <c r="BH239" s="288">
        <v>0</v>
      </c>
      <c r="BI239" s="288">
        <v>0</v>
      </c>
      <c r="BJ239" s="288">
        <v>0</v>
      </c>
      <c r="BK239" s="288">
        <v>0</v>
      </c>
      <c r="BL239" s="288">
        <v>0</v>
      </c>
      <c r="BM239" s="288">
        <v>0</v>
      </c>
      <c r="BN239" s="288">
        <v>0</v>
      </c>
      <c r="BO239" s="288">
        <v>0</v>
      </c>
      <c r="BP239" s="288">
        <v>0</v>
      </c>
      <c r="BQ239" s="288">
        <v>0</v>
      </c>
      <c r="BR239" s="288">
        <v>0</v>
      </c>
      <c r="BS239" s="288">
        <v>0</v>
      </c>
      <c r="BT239" s="288">
        <v>0</v>
      </c>
    </row>
    <row r="240" spans="3:72">
      <c r="C240" s="127" t="s">
        <v>1103</v>
      </c>
      <c r="D240" s="127"/>
      <c r="E240" s="127"/>
      <c r="F240" s="127"/>
      <c r="G240" s="128"/>
      <c r="H240" s="128"/>
      <c r="I240" s="128"/>
      <c r="J240" s="128"/>
      <c r="K240" s="128"/>
      <c r="L240" s="128"/>
      <c r="M240" s="128"/>
      <c r="N240" s="128"/>
      <c r="O240" s="128"/>
      <c r="P240" s="128"/>
      <c r="Q240" s="128"/>
      <c r="R240" s="128"/>
      <c r="S240" s="128"/>
      <c r="T240" s="128"/>
      <c r="U240" s="128"/>
      <c r="V240" s="128"/>
      <c r="W240" s="128"/>
      <c r="X240" s="128"/>
      <c r="Y240" s="128"/>
      <c r="Z240" s="128">
        <v>344.73582691600001</v>
      </c>
      <c r="AA240" s="128">
        <v>392.12971566499999</v>
      </c>
      <c r="AB240" s="128">
        <v>419.46499088000002</v>
      </c>
      <c r="AC240" s="128">
        <v>558.48201090600003</v>
      </c>
      <c r="AD240" s="128">
        <v>678.62447314200006</v>
      </c>
      <c r="AE240" s="128">
        <v>813.58665003999999</v>
      </c>
      <c r="AF240" s="128">
        <v>946.59777063000001</v>
      </c>
      <c r="AG240" s="128">
        <v>1182.7695131979999</v>
      </c>
      <c r="AH240" s="128">
        <v>1313.3540068899999</v>
      </c>
      <c r="AI240" s="128">
        <v>1575.521686738</v>
      </c>
      <c r="AJ240" s="128">
        <v>2137.694039168</v>
      </c>
      <c r="AK240" s="128">
        <v>2784.1901224339999</v>
      </c>
      <c r="AL240" s="128">
        <v>3131.100586694</v>
      </c>
      <c r="AM240" s="128">
        <v>3583.3821769629999</v>
      </c>
      <c r="AN240" s="128">
        <v>4168.2954114690001</v>
      </c>
      <c r="AO240" s="128">
        <v>4842.2979691219998</v>
      </c>
      <c r="AP240" s="128">
        <v>5189.2418968789998</v>
      </c>
      <c r="AQ240" s="128">
        <v>5360.5634774669998</v>
      </c>
      <c r="AR240" s="128">
        <v>5542.9515424350002</v>
      </c>
      <c r="AS240" s="288">
        <v>5788.3263316760003</v>
      </c>
      <c r="AT240" s="288">
        <v>6366.5209944799999</v>
      </c>
      <c r="AU240" s="288">
        <v>6963.5068235810004</v>
      </c>
      <c r="AV240" s="288">
        <v>7842.1200581330004</v>
      </c>
      <c r="AW240" s="158">
        <v>9148.4559895250004</v>
      </c>
      <c r="AX240" s="158">
        <v>9715.7864117370009</v>
      </c>
      <c r="AY240" s="158">
        <v>10810.716825142999</v>
      </c>
      <c r="AZ240" s="158">
        <v>11628.324745583001</v>
      </c>
      <c r="BA240" s="158">
        <v>12963.311412900999</v>
      </c>
      <c r="BB240" s="288">
        <v>14018.738060314001</v>
      </c>
      <c r="BC240" s="288">
        <v>15150.686306554</v>
      </c>
      <c r="BD240" s="288">
        <v>16255.905656653</v>
      </c>
      <c r="BE240" s="288">
        <v>17987.087849356001</v>
      </c>
      <c r="BF240" s="288">
        <v>18720.568196944001</v>
      </c>
      <c r="BG240" s="288">
        <v>19215.692911927999</v>
      </c>
      <c r="BH240" s="288">
        <v>19904.769151420998</v>
      </c>
      <c r="BI240" s="288">
        <v>20841.293419594</v>
      </c>
      <c r="BJ240" s="288">
        <v>20960.998273141999</v>
      </c>
      <c r="BK240" s="288">
        <v>21049.279236279999</v>
      </c>
      <c r="BL240" s="288">
        <v>20750.175883135998</v>
      </c>
      <c r="BM240" s="288">
        <v>20139.282722977001</v>
      </c>
      <c r="BN240" s="288">
        <v>20074.560000000001</v>
      </c>
      <c r="BO240" s="288">
        <v>19550.338850689001</v>
      </c>
      <c r="BP240" s="288">
        <v>19064.45</v>
      </c>
      <c r="BQ240" s="288">
        <v>19174.626383751998</v>
      </c>
      <c r="BR240" s="288">
        <v>19305.596081131</v>
      </c>
      <c r="BS240" s="288">
        <v>19477.127305514001</v>
      </c>
      <c r="BT240" s="288">
        <v>19496.422101807999</v>
      </c>
    </row>
    <row r="241" spans="3:72">
      <c r="C241" s="127" t="s">
        <v>1104</v>
      </c>
      <c r="D241" s="127"/>
      <c r="E241" s="127"/>
      <c r="F241" s="127"/>
      <c r="G241" s="128"/>
      <c r="H241" s="128"/>
      <c r="I241" s="128"/>
      <c r="J241" s="128"/>
      <c r="K241" s="128"/>
      <c r="L241" s="128"/>
      <c r="M241" s="128"/>
      <c r="N241" s="128"/>
      <c r="O241" s="128"/>
      <c r="P241" s="128"/>
      <c r="Q241" s="128"/>
      <c r="R241" s="128"/>
      <c r="S241" s="128"/>
      <c r="T241" s="128"/>
      <c r="U241" s="128"/>
      <c r="V241" s="128"/>
      <c r="W241" s="128"/>
      <c r="X241" s="128"/>
      <c r="Y241" s="128"/>
      <c r="Z241" s="128">
        <v>331.60012358300003</v>
      </c>
      <c r="AA241" s="128">
        <v>331.60012358300003</v>
      </c>
      <c r="AB241" s="128">
        <v>331.60012358300003</v>
      </c>
      <c r="AC241" s="128">
        <v>331.60012358300003</v>
      </c>
      <c r="AD241" s="128">
        <v>558.48201090600003</v>
      </c>
      <c r="AE241" s="128">
        <v>558.48201090600003</v>
      </c>
      <c r="AF241" s="128">
        <v>558.48201090600003</v>
      </c>
      <c r="AG241" s="128">
        <v>558.48201090600003</v>
      </c>
      <c r="AH241" s="128">
        <v>1182.7695131979999</v>
      </c>
      <c r="AI241" s="128">
        <v>1182.7695131979999</v>
      </c>
      <c r="AJ241" s="128">
        <v>1182.7695131979999</v>
      </c>
      <c r="AK241" s="128">
        <v>1182.7695131979999</v>
      </c>
      <c r="AL241" s="128">
        <v>2784.487122434</v>
      </c>
      <c r="AM241" s="128">
        <v>2784.487122434</v>
      </c>
      <c r="AN241" s="128">
        <v>2784.487122434</v>
      </c>
      <c r="AO241" s="128">
        <v>2784.487122434</v>
      </c>
      <c r="AP241" s="128">
        <v>4832.6999063780004</v>
      </c>
      <c r="AQ241" s="128">
        <v>4832.6999063780004</v>
      </c>
      <c r="AR241" s="128">
        <v>4832.6999063780004</v>
      </c>
      <c r="AS241" s="288">
        <v>4832.6999063780004</v>
      </c>
      <c r="AT241" s="288">
        <v>5788.3263316760003</v>
      </c>
      <c r="AU241" s="288">
        <v>5788.3263316760003</v>
      </c>
      <c r="AV241" s="288">
        <v>5788.3263316760003</v>
      </c>
      <c r="AW241" s="158">
        <v>5788.3263316760003</v>
      </c>
      <c r="AX241" s="158">
        <v>9148.4559895250004</v>
      </c>
      <c r="AY241" s="158">
        <v>9148.4559895250004</v>
      </c>
      <c r="AZ241" s="158">
        <v>9148.4559895250004</v>
      </c>
      <c r="BA241" s="158">
        <v>9148.4559895250004</v>
      </c>
      <c r="BB241" s="288">
        <v>12963.311412900999</v>
      </c>
      <c r="BC241" s="288">
        <v>12963.311412900999</v>
      </c>
      <c r="BD241" s="288">
        <v>12963.311412900999</v>
      </c>
      <c r="BE241" s="288">
        <v>12963.311412900999</v>
      </c>
      <c r="BF241" s="288">
        <v>17987.087849355001</v>
      </c>
      <c r="BG241" s="288">
        <v>17987.087849355001</v>
      </c>
      <c r="BH241" s="288">
        <v>17987.087849355001</v>
      </c>
      <c r="BI241" s="288">
        <v>17987.087849355001</v>
      </c>
      <c r="BJ241" s="288">
        <v>20841.513609195001</v>
      </c>
      <c r="BK241" s="288">
        <v>20841.513609195001</v>
      </c>
      <c r="BL241" s="288">
        <v>20841.513609195001</v>
      </c>
      <c r="BM241" s="288">
        <v>20841.513609195001</v>
      </c>
      <c r="BN241" s="288">
        <v>20139.28</v>
      </c>
      <c r="BO241" s="288">
        <v>20139.282722977001</v>
      </c>
      <c r="BP241" s="288">
        <v>20139.28</v>
      </c>
      <c r="BQ241" s="288">
        <v>20139.282722977001</v>
      </c>
      <c r="BR241" s="288">
        <v>19174.626383751998</v>
      </c>
      <c r="BS241" s="288">
        <v>19174.626383751998</v>
      </c>
      <c r="BT241" s="288">
        <v>19174.626383751998</v>
      </c>
    </row>
    <row r="242" spans="3:72">
      <c r="C242" s="127" t="s">
        <v>1105</v>
      </c>
      <c r="D242" s="127"/>
      <c r="E242" s="127"/>
      <c r="F242" s="127"/>
      <c r="G242" s="128"/>
      <c r="H242" s="128"/>
      <c r="I242" s="128"/>
      <c r="J242" s="128"/>
      <c r="K242" s="128"/>
      <c r="L242" s="128"/>
      <c r="M242" s="128"/>
      <c r="N242" s="128"/>
      <c r="O242" s="128"/>
      <c r="P242" s="128"/>
      <c r="Q242" s="128"/>
      <c r="R242" s="128"/>
      <c r="S242" s="128"/>
      <c r="T242" s="128"/>
      <c r="U242" s="128"/>
      <c r="V242" s="128"/>
      <c r="W242" s="128"/>
      <c r="X242" s="128"/>
      <c r="Y242" s="128"/>
      <c r="Z242" s="128">
        <v>13.135703333</v>
      </c>
      <c r="AA242" s="128">
        <v>61.878354029999997</v>
      </c>
      <c r="AB242" s="128">
        <v>93.773624448999996</v>
      </c>
      <c r="AC242" s="128">
        <v>240.61128072700001</v>
      </c>
      <c r="AD242" s="128">
        <v>120.72520263299999</v>
      </c>
      <c r="AE242" s="128">
        <v>255.64655342200001</v>
      </c>
      <c r="AF242" s="128">
        <v>388.65767401199997</v>
      </c>
      <c r="AG242" s="128">
        <v>624.82941658000004</v>
      </c>
      <c r="AH242" s="128">
        <v>130.584493692</v>
      </c>
      <c r="AI242" s="128">
        <v>392.75217354</v>
      </c>
      <c r="AJ242" s="128">
        <v>956.49611355499997</v>
      </c>
      <c r="AK242" s="128">
        <v>1603.365183243</v>
      </c>
      <c r="AL242" s="128">
        <v>346.79510241999998</v>
      </c>
      <c r="AM242" s="128">
        <v>799.80723730700004</v>
      </c>
      <c r="AN242" s="128">
        <v>1385.2040860679999</v>
      </c>
      <c r="AO242" s="128">
        <v>2053.0118153160001</v>
      </c>
      <c r="AP242" s="128">
        <v>371.97394014999998</v>
      </c>
      <c r="AQ242" s="128">
        <v>561.68431084300005</v>
      </c>
      <c r="AR242" s="128">
        <v>782.19844726999997</v>
      </c>
      <c r="AS242" s="288">
        <v>1109.371701477</v>
      </c>
      <c r="AT242" s="288">
        <v>602.36928472499994</v>
      </c>
      <c r="AU242" s="288">
        <v>1231.7617864859999</v>
      </c>
      <c r="AV242" s="288">
        <v>2122.8323635810002</v>
      </c>
      <c r="AW242" s="158">
        <v>3454.725836998</v>
      </c>
      <c r="AX242" s="158">
        <v>589.41899523699999</v>
      </c>
      <c r="AY242" s="158">
        <v>1728.373882503</v>
      </c>
      <c r="AZ242" s="158">
        <v>2647.3343144959999</v>
      </c>
      <c r="BA242" s="158">
        <v>4036.2296333949998</v>
      </c>
      <c r="BB242" s="288">
        <v>1092.914635951</v>
      </c>
      <c r="BC242" s="288">
        <v>2298.341623364</v>
      </c>
      <c r="BD242" s="288">
        <v>3418.092790017</v>
      </c>
      <c r="BE242" s="288">
        <v>5183.2256607660001</v>
      </c>
      <c r="BF242" s="288">
        <v>774.60931844000004</v>
      </c>
      <c r="BG242" s="288">
        <v>2125.7940364740002</v>
      </c>
      <c r="BH242" s="288">
        <v>2823.8315806780001</v>
      </c>
      <c r="BI242" s="288">
        <v>4075.8723846799999</v>
      </c>
      <c r="BJ242" s="288">
        <v>239.55487963900001</v>
      </c>
      <c r="BK242" s="288">
        <v>417.21727559800001</v>
      </c>
      <c r="BL242" s="288">
        <v>428.72624323000002</v>
      </c>
      <c r="BM242" s="288">
        <v>552.25574452800004</v>
      </c>
      <c r="BN242" s="288">
        <v>21.96</v>
      </c>
      <c r="BO242" s="288">
        <v>46.308042073999999</v>
      </c>
      <c r="BP242" s="288">
        <v>121.35</v>
      </c>
      <c r="BQ242" s="288">
        <v>192.96641856700001</v>
      </c>
      <c r="BR242" s="288">
        <v>159.27385213700001</v>
      </c>
      <c r="BS242" s="288">
        <v>401.98159526500001</v>
      </c>
      <c r="BT242" s="288">
        <v>505.05624283600002</v>
      </c>
    </row>
    <row r="243" spans="3:72">
      <c r="C243" s="127" t="s">
        <v>1106</v>
      </c>
      <c r="D243" s="127"/>
      <c r="E243" s="127"/>
      <c r="F243" s="127"/>
      <c r="G243" s="128"/>
      <c r="H243" s="128"/>
      <c r="I243" s="128"/>
      <c r="J243" s="128"/>
      <c r="K243" s="128"/>
      <c r="L243" s="128"/>
      <c r="M243" s="128"/>
      <c r="N243" s="128"/>
      <c r="O243" s="128"/>
      <c r="P243" s="128"/>
      <c r="Q243" s="128"/>
      <c r="R243" s="128"/>
      <c r="S243" s="128"/>
      <c r="T243" s="128"/>
      <c r="U243" s="128"/>
      <c r="V243" s="128"/>
      <c r="W243" s="128"/>
      <c r="X243" s="128"/>
      <c r="Y243" s="128"/>
      <c r="Z243" s="128">
        <v>0</v>
      </c>
      <c r="AA243" s="128">
        <v>-1.3487619479999999</v>
      </c>
      <c r="AB243" s="128">
        <v>-5.9087571519999997</v>
      </c>
      <c r="AC243" s="128">
        <v>-13.729393404</v>
      </c>
      <c r="AD243" s="128">
        <v>-0.58274039700000002</v>
      </c>
      <c r="AE243" s="128">
        <v>-0.54191428799999997</v>
      </c>
      <c r="AF243" s="128">
        <v>-0.54191428799999997</v>
      </c>
      <c r="AG243" s="128">
        <v>-0.54191428799999997</v>
      </c>
      <c r="AH243" s="128">
        <v>0</v>
      </c>
      <c r="AI243" s="128">
        <v>0</v>
      </c>
      <c r="AJ243" s="128">
        <v>-1.5715875850000001</v>
      </c>
      <c r="AK243" s="128">
        <v>-1.9445740069999999</v>
      </c>
      <c r="AL243" s="128">
        <v>-0.18163815999999999</v>
      </c>
      <c r="AM243" s="128">
        <v>-0.91218277800000003</v>
      </c>
      <c r="AN243" s="128">
        <v>-1.395797033</v>
      </c>
      <c r="AO243" s="128">
        <v>4.799031372</v>
      </c>
      <c r="AP243" s="128">
        <v>-15.431949649</v>
      </c>
      <c r="AQ243" s="128">
        <v>-33.820739754000002</v>
      </c>
      <c r="AR243" s="128">
        <v>-71.946811213000004</v>
      </c>
      <c r="AS243" s="288">
        <v>-153.745276179</v>
      </c>
      <c r="AT243" s="288">
        <v>-24.174621921</v>
      </c>
      <c r="AU243" s="288">
        <v>-56.581294581000002</v>
      </c>
      <c r="AV243" s="288">
        <v>-69.038637124000005</v>
      </c>
      <c r="AW243" s="158">
        <v>-94.596179148999994</v>
      </c>
      <c r="AX243" s="158">
        <v>-22.088573024999999</v>
      </c>
      <c r="AY243" s="158">
        <v>-66.113046885000003</v>
      </c>
      <c r="AZ243" s="158">
        <v>-167.46555843799999</v>
      </c>
      <c r="BA243" s="158">
        <v>-221.374210019</v>
      </c>
      <c r="BB243" s="288">
        <v>-37.487988538000003</v>
      </c>
      <c r="BC243" s="288">
        <v>-110.966729711</v>
      </c>
      <c r="BD243" s="288">
        <v>-125.498546265</v>
      </c>
      <c r="BE243" s="288">
        <v>-159.44922431099999</v>
      </c>
      <c r="BF243" s="288">
        <v>-41.128970850999998</v>
      </c>
      <c r="BG243" s="288">
        <v>-897.18897390100005</v>
      </c>
      <c r="BH243" s="288">
        <v>-906.15027861199997</v>
      </c>
      <c r="BI243" s="288">
        <v>-1221.666814441</v>
      </c>
      <c r="BJ243" s="288">
        <v>-120.070215692</v>
      </c>
      <c r="BK243" s="288">
        <v>-209.45164851300001</v>
      </c>
      <c r="BL243" s="288">
        <v>-520.06396928900006</v>
      </c>
      <c r="BM243" s="288">
        <v>-1254.4866307459999</v>
      </c>
      <c r="BN243" s="288">
        <v>-86.69</v>
      </c>
      <c r="BO243" s="288">
        <v>-635.25191436199998</v>
      </c>
      <c r="BP243" s="288">
        <v>-1196.18</v>
      </c>
      <c r="BQ243" s="288">
        <v>-1157.6227577919999</v>
      </c>
      <c r="BR243" s="288">
        <v>-28.304154757999999</v>
      </c>
      <c r="BS243" s="288">
        <v>-99.480673503000006</v>
      </c>
      <c r="BT243" s="288">
        <v>-183.26052478</v>
      </c>
    </row>
    <row r="244" spans="3:72">
      <c r="C244" s="127" t="s">
        <v>1107</v>
      </c>
      <c r="D244" s="127"/>
      <c r="E244" s="127"/>
      <c r="F244" s="127"/>
      <c r="G244" s="128"/>
      <c r="H244" s="128"/>
      <c r="I244" s="128"/>
      <c r="J244" s="128"/>
      <c r="K244" s="128"/>
      <c r="L244" s="128"/>
      <c r="M244" s="128"/>
      <c r="N244" s="128"/>
      <c r="O244" s="128"/>
      <c r="P244" s="128"/>
      <c r="Q244" s="128"/>
      <c r="R244" s="128"/>
      <c r="S244" s="128"/>
      <c r="T244" s="128"/>
      <c r="U244" s="128"/>
      <c r="V244" s="128"/>
      <c r="W244" s="128"/>
      <c r="X244" s="128"/>
      <c r="Y244" s="128"/>
      <c r="Z244" s="128">
        <v>94.832928205000002</v>
      </c>
      <c r="AA244" s="128">
        <v>120.06128264900001</v>
      </c>
      <c r="AB244" s="128">
        <v>145.41911096699999</v>
      </c>
      <c r="AC244" s="128">
        <v>170.15078681899999</v>
      </c>
      <c r="AD244" s="128">
        <v>205.80339320499999</v>
      </c>
      <c r="AE244" s="128">
        <v>248.39512133900001</v>
      </c>
      <c r="AF244" s="128">
        <v>297.25515567999997</v>
      </c>
      <c r="AG244" s="128">
        <v>355.84410715500002</v>
      </c>
      <c r="AH244" s="128">
        <v>423.22170542600003</v>
      </c>
      <c r="AI244" s="128">
        <v>503.01609972699998</v>
      </c>
      <c r="AJ244" s="128">
        <v>606.66608925399998</v>
      </c>
      <c r="AK244" s="128">
        <v>714.68194106600004</v>
      </c>
      <c r="AL244" s="128">
        <v>855.01601358799996</v>
      </c>
      <c r="AM244" s="128">
        <v>1012.1733246380001</v>
      </c>
      <c r="AN244" s="128">
        <v>1191.396318328</v>
      </c>
      <c r="AO244" s="128">
        <v>1405.9698959909999</v>
      </c>
      <c r="AP244" s="128">
        <v>1719.9464553150001</v>
      </c>
      <c r="AQ244" s="128">
        <v>1976.793862275</v>
      </c>
      <c r="AR244" s="128">
        <v>2242.7978533649998</v>
      </c>
      <c r="AS244" s="288">
        <v>2483.4028022060002</v>
      </c>
      <c r="AT244" s="288">
        <v>2761.5473683659998</v>
      </c>
      <c r="AU244" s="288">
        <v>3062.3945630930002</v>
      </c>
      <c r="AV244" s="288">
        <v>3392.7850138610002</v>
      </c>
      <c r="AW244" s="158">
        <v>3773.1768165509998</v>
      </c>
      <c r="AX244" s="158">
        <v>4206.8718083459999</v>
      </c>
      <c r="AY244" s="158">
        <v>4663.9924488289998</v>
      </c>
      <c r="AZ244" s="158">
        <v>5153.6199440299997</v>
      </c>
      <c r="BA244" s="158">
        <v>5695.9921249930003</v>
      </c>
      <c r="BB244" s="288">
        <v>6302.2434535490002</v>
      </c>
      <c r="BC244" s="288">
        <v>6934.4688632810003</v>
      </c>
      <c r="BD244" s="288">
        <v>7652.4812097450003</v>
      </c>
      <c r="BE244" s="288">
        <v>8420.1329161360009</v>
      </c>
      <c r="BF244" s="288">
        <v>9221.6363851099995</v>
      </c>
      <c r="BG244" s="288">
        <v>9755.3664774280005</v>
      </c>
      <c r="BH244" s="288">
        <v>10550.873380646</v>
      </c>
      <c r="BI244" s="288">
        <v>11187.963413617999</v>
      </c>
      <c r="BJ244" s="288">
        <v>11931.584884510999</v>
      </c>
      <c r="BK244" s="288">
        <v>12677.386748003</v>
      </c>
      <c r="BL244" s="288">
        <v>13449.57412691</v>
      </c>
      <c r="BM244" s="288">
        <v>13707.967349864</v>
      </c>
      <c r="BN244" s="288">
        <v>14341.74</v>
      </c>
      <c r="BO244" s="288">
        <v>14653.045135017001</v>
      </c>
      <c r="BP244" s="288">
        <v>14957.21</v>
      </c>
      <c r="BQ244" s="288">
        <v>15651.465285845999</v>
      </c>
      <c r="BR244" s="288">
        <v>16133.823853211001</v>
      </c>
      <c r="BS244" s="288">
        <v>16560.122781516999</v>
      </c>
      <c r="BT244" s="288">
        <v>16949.117766241001</v>
      </c>
    </row>
    <row r="245" spans="3:72">
      <c r="C245" s="127" t="s">
        <v>1108</v>
      </c>
      <c r="D245" s="127"/>
      <c r="E245" s="127"/>
      <c r="F245" s="127"/>
      <c r="G245" s="128"/>
      <c r="H245" s="128"/>
      <c r="I245" s="128"/>
      <c r="J245" s="128"/>
      <c r="K245" s="128"/>
      <c r="L245" s="128"/>
      <c r="M245" s="128"/>
      <c r="N245" s="128"/>
      <c r="O245" s="128"/>
      <c r="P245" s="128"/>
      <c r="Q245" s="128"/>
      <c r="R245" s="128"/>
      <c r="S245" s="128"/>
      <c r="T245" s="128"/>
      <c r="U245" s="128"/>
      <c r="V245" s="128"/>
      <c r="W245" s="128"/>
      <c r="X245" s="128"/>
      <c r="Y245" s="128"/>
      <c r="Z245" s="128">
        <v>72.667241064999999</v>
      </c>
      <c r="AA245" s="128">
        <v>72.667241064999999</v>
      </c>
      <c r="AB245" s="128">
        <v>72.667241064999999</v>
      </c>
      <c r="AC245" s="128">
        <v>72.667241064999999</v>
      </c>
      <c r="AD245" s="128">
        <v>170.15078681899999</v>
      </c>
      <c r="AE245" s="128">
        <v>170.15078681899999</v>
      </c>
      <c r="AF245" s="128">
        <v>170.15078681899999</v>
      </c>
      <c r="AG245" s="128">
        <v>170.15078681899999</v>
      </c>
      <c r="AH245" s="128">
        <v>355.84410715600001</v>
      </c>
      <c r="AI245" s="128">
        <v>355.84410715500002</v>
      </c>
      <c r="AJ245" s="128">
        <v>355.84410715500002</v>
      </c>
      <c r="AK245" s="128">
        <v>355.84410715500002</v>
      </c>
      <c r="AL245" s="128">
        <v>714.67834106600003</v>
      </c>
      <c r="AM245" s="128">
        <v>714.67834106600003</v>
      </c>
      <c r="AN245" s="128">
        <v>714.67834106600003</v>
      </c>
      <c r="AO245" s="128">
        <v>714.67834106600003</v>
      </c>
      <c r="AP245" s="128">
        <v>1396.851573079</v>
      </c>
      <c r="AQ245" s="128">
        <v>1396.851573079</v>
      </c>
      <c r="AR245" s="128">
        <v>1396.851573079</v>
      </c>
      <c r="AS245" s="288">
        <v>1396.851573079</v>
      </c>
      <c r="AT245" s="288">
        <v>2483.4028022060002</v>
      </c>
      <c r="AU245" s="288">
        <v>2483.4028022060002</v>
      </c>
      <c r="AV245" s="288">
        <v>2483.4028022060002</v>
      </c>
      <c r="AW245" s="158">
        <v>2483.4028022060002</v>
      </c>
      <c r="AX245" s="158">
        <v>3773.1768165509998</v>
      </c>
      <c r="AY245" s="158">
        <v>3773.1768165509998</v>
      </c>
      <c r="AZ245" s="158">
        <v>3773.1768165509998</v>
      </c>
      <c r="BA245" s="158">
        <v>3773.1768165509998</v>
      </c>
      <c r="BB245" s="288">
        <v>5695.9921249930003</v>
      </c>
      <c r="BC245" s="288">
        <v>5695.9921249930003</v>
      </c>
      <c r="BD245" s="288">
        <v>5695.9921249930003</v>
      </c>
      <c r="BE245" s="288">
        <v>5695.9921249930003</v>
      </c>
      <c r="BF245" s="288">
        <v>8420.1329161350004</v>
      </c>
      <c r="BG245" s="288">
        <v>8420.1329161350004</v>
      </c>
      <c r="BH245" s="288">
        <v>8420.1329161350004</v>
      </c>
      <c r="BI245" s="288">
        <v>8420.1329161350004</v>
      </c>
      <c r="BJ245" s="288">
        <v>11188.183603219</v>
      </c>
      <c r="BK245" s="288">
        <v>11188.183603219</v>
      </c>
      <c r="BL245" s="288">
        <v>11188.183603219</v>
      </c>
      <c r="BM245" s="288">
        <v>11188.183603219</v>
      </c>
      <c r="BN245" s="288">
        <v>13707.97</v>
      </c>
      <c r="BO245" s="288">
        <v>13707.967349864</v>
      </c>
      <c r="BP245" s="288">
        <v>13707.97</v>
      </c>
      <c r="BQ245" s="288">
        <v>13707.967349864</v>
      </c>
      <c r="BR245" s="288">
        <v>15651.465285845999</v>
      </c>
      <c r="BS245" s="288">
        <v>15651.465285845999</v>
      </c>
      <c r="BT245" s="288">
        <v>15651.465285845999</v>
      </c>
    </row>
    <row r="246" spans="3:72">
      <c r="C246" s="127" t="s">
        <v>1105</v>
      </c>
      <c r="D246" s="127"/>
      <c r="E246" s="127"/>
      <c r="F246" s="127"/>
      <c r="G246" s="128"/>
      <c r="H246" s="128"/>
      <c r="I246" s="128"/>
      <c r="J246" s="128"/>
      <c r="K246" s="128"/>
      <c r="L246" s="128"/>
      <c r="M246" s="128"/>
      <c r="N246" s="128"/>
      <c r="O246" s="128"/>
      <c r="P246" s="128"/>
      <c r="Q246" s="128"/>
      <c r="R246" s="128"/>
      <c r="S246" s="128"/>
      <c r="T246" s="128"/>
      <c r="U246" s="128"/>
      <c r="V246" s="128"/>
      <c r="W246" s="128"/>
      <c r="X246" s="128"/>
      <c r="Y246" s="128"/>
      <c r="Z246" s="128">
        <v>22.165687139999999</v>
      </c>
      <c r="AA246" s="128">
        <v>48.15159886</v>
      </c>
      <c r="AB246" s="128">
        <v>75.357665515999997</v>
      </c>
      <c r="AC246" s="128">
        <v>107.96292307100001</v>
      </c>
      <c r="AD246" s="128">
        <v>36.127094839000002</v>
      </c>
      <c r="AE246" s="128">
        <v>78.729003551999995</v>
      </c>
      <c r="AF246" s="128">
        <v>127.589037893</v>
      </c>
      <c r="AG246" s="128">
        <v>186.177989368</v>
      </c>
      <c r="AH246" s="128">
        <v>67.377598269999993</v>
      </c>
      <c r="AI246" s="128">
        <v>147.17199257199999</v>
      </c>
      <c r="AJ246" s="128">
        <v>250.955690672</v>
      </c>
      <c r="AK246" s="128">
        <v>359.01505756400002</v>
      </c>
      <c r="AL246" s="128">
        <v>140.39180440199999</v>
      </c>
      <c r="AM246" s="128">
        <v>298.27966006999998</v>
      </c>
      <c r="AN246" s="128">
        <v>477.57795438599999</v>
      </c>
      <c r="AO246" s="128">
        <v>686.73239346900004</v>
      </c>
      <c r="AP246" s="128">
        <v>337.15440662399999</v>
      </c>
      <c r="AQ246" s="128">
        <v>612.36492313300005</v>
      </c>
      <c r="AR246" s="128">
        <v>915.48664556200004</v>
      </c>
      <c r="AS246" s="288">
        <v>1238.956605226</v>
      </c>
      <c r="AT246" s="288">
        <v>295.94599916099997</v>
      </c>
      <c r="AU246" s="288">
        <v>607.61177895599997</v>
      </c>
      <c r="AV246" s="288">
        <v>960.98847408899996</v>
      </c>
      <c r="AW246" s="158">
        <v>1380.694975594</v>
      </c>
      <c r="AX246" s="158">
        <v>455.20806829600002</v>
      </c>
      <c r="AY246" s="158">
        <v>952.72277883200002</v>
      </c>
      <c r="AZ246" s="158">
        <v>1539.275590042</v>
      </c>
      <c r="BA246" s="158">
        <v>2132.3763231970001</v>
      </c>
      <c r="BB246" s="288">
        <v>640.14526523100005</v>
      </c>
      <c r="BC246" s="288">
        <v>1343.2748628960001</v>
      </c>
      <c r="BD246" s="288">
        <v>2075.6158538640002</v>
      </c>
      <c r="BE246" s="288">
        <v>2873.5774796300002</v>
      </c>
      <c r="BF246" s="288">
        <v>840.78710907699997</v>
      </c>
      <c r="BG246" s="288">
        <v>1948.082918782</v>
      </c>
      <c r="BH246" s="288">
        <v>2535.1278264779999</v>
      </c>
      <c r="BI246" s="288">
        <v>3514.9919121620001</v>
      </c>
      <c r="BJ246" s="288">
        <v>859.42442967399995</v>
      </c>
      <c r="BK246" s="288">
        <v>1684.129788638</v>
      </c>
      <c r="BL246" s="288">
        <v>2628.6430230420001</v>
      </c>
      <c r="BM246" s="288">
        <v>3313.7861854729999</v>
      </c>
      <c r="BN246" s="288">
        <v>702.54</v>
      </c>
      <c r="BO246" s="288">
        <v>1364.344354244</v>
      </c>
      <c r="BP246" s="288">
        <v>1965.11</v>
      </c>
      <c r="BQ246" s="288">
        <v>2662.49892335</v>
      </c>
      <c r="BR246" s="288">
        <v>507.58129933399999</v>
      </c>
      <c r="BS246" s="288">
        <v>995.54251931399995</v>
      </c>
      <c r="BT246" s="288">
        <v>1453.525753058</v>
      </c>
    </row>
    <row r="247" spans="3:72">
      <c r="C247" s="127" t="s">
        <v>1106</v>
      </c>
      <c r="D247" s="127"/>
      <c r="E247" s="127"/>
      <c r="F247" s="127"/>
      <c r="G247" s="128"/>
      <c r="H247" s="128"/>
      <c r="I247" s="128"/>
      <c r="J247" s="128"/>
      <c r="K247" s="128"/>
      <c r="L247" s="128"/>
      <c r="M247" s="128"/>
      <c r="N247" s="128"/>
      <c r="O247" s="128"/>
      <c r="P247" s="128"/>
      <c r="Q247" s="128"/>
      <c r="R247" s="128"/>
      <c r="S247" s="128"/>
      <c r="T247" s="128"/>
      <c r="U247" s="128"/>
      <c r="V247" s="128"/>
      <c r="W247" s="128"/>
      <c r="X247" s="128"/>
      <c r="Y247" s="128"/>
      <c r="Z247" s="128">
        <v>0</v>
      </c>
      <c r="AA247" s="128">
        <v>-0.757557276</v>
      </c>
      <c r="AB247" s="128">
        <v>-2.6057956139999998</v>
      </c>
      <c r="AC247" s="128">
        <v>-10.479377317000001</v>
      </c>
      <c r="AD247" s="128">
        <v>-0.47448845299999998</v>
      </c>
      <c r="AE247" s="128">
        <v>-0.484669032</v>
      </c>
      <c r="AF247" s="128">
        <v>-0.484669032</v>
      </c>
      <c r="AG247" s="128">
        <v>-0.484669032</v>
      </c>
      <c r="AH247" s="128">
        <v>0</v>
      </c>
      <c r="AI247" s="128">
        <v>0</v>
      </c>
      <c r="AJ247" s="128">
        <v>-0.133708573</v>
      </c>
      <c r="AK247" s="128">
        <v>-0.17722365300000001</v>
      </c>
      <c r="AL247" s="128">
        <v>-5.413188E-2</v>
      </c>
      <c r="AM247" s="128">
        <v>-0.78467649799999994</v>
      </c>
      <c r="AN247" s="128">
        <v>-0.85997712400000004</v>
      </c>
      <c r="AO247" s="128">
        <v>4.559161456</v>
      </c>
      <c r="AP247" s="128">
        <v>-14.059524388</v>
      </c>
      <c r="AQ247" s="128">
        <v>-32.422633937000001</v>
      </c>
      <c r="AR247" s="128">
        <v>-69.540365276000003</v>
      </c>
      <c r="AS247" s="288">
        <v>-152.40537609899999</v>
      </c>
      <c r="AT247" s="288">
        <v>-17.801433000999999</v>
      </c>
      <c r="AU247" s="288">
        <v>-28.620018069</v>
      </c>
      <c r="AV247" s="288">
        <v>-51.606262434000001</v>
      </c>
      <c r="AW247" s="158">
        <v>-90.920961249000001</v>
      </c>
      <c r="AX247" s="158">
        <v>-21.513076501</v>
      </c>
      <c r="AY247" s="158">
        <v>-61.907146554000001</v>
      </c>
      <c r="AZ247" s="158">
        <v>-158.83246256300001</v>
      </c>
      <c r="BA247" s="158">
        <v>-209.561014755</v>
      </c>
      <c r="BB247" s="288">
        <v>-33.893936674999999</v>
      </c>
      <c r="BC247" s="288">
        <v>-104.79812460799999</v>
      </c>
      <c r="BD247" s="288">
        <v>-119.12676911200001</v>
      </c>
      <c r="BE247" s="288">
        <v>-149.436688487</v>
      </c>
      <c r="BF247" s="288">
        <v>-39.283640102</v>
      </c>
      <c r="BG247" s="288">
        <v>-612.849357489</v>
      </c>
      <c r="BH247" s="288">
        <v>-404.387361967</v>
      </c>
      <c r="BI247" s="288">
        <v>-747.16141467900002</v>
      </c>
      <c r="BJ247" s="288">
        <v>-116.023148382</v>
      </c>
      <c r="BK247" s="288">
        <v>-194.92664385399999</v>
      </c>
      <c r="BL247" s="288">
        <v>-367.25249935099998</v>
      </c>
      <c r="BM247" s="288">
        <v>-794.00243882799998</v>
      </c>
      <c r="BN247" s="288">
        <v>-68.77</v>
      </c>
      <c r="BO247" s="288">
        <v>-419.26656909100001</v>
      </c>
      <c r="BP247" s="288">
        <v>-715.87</v>
      </c>
      <c r="BQ247" s="288">
        <v>-719.00098736799998</v>
      </c>
      <c r="BR247" s="288">
        <v>-25.222731969000002</v>
      </c>
      <c r="BS247" s="288">
        <v>-86.885023642999997</v>
      </c>
      <c r="BT247" s="288">
        <v>-155.87327266299999</v>
      </c>
    </row>
    <row r="248" spans="3:72">
      <c r="C248" s="127" t="s">
        <v>1109</v>
      </c>
      <c r="D248" s="127"/>
      <c r="E248" s="127"/>
      <c r="F248" s="127"/>
      <c r="G248" s="128"/>
      <c r="H248" s="128"/>
      <c r="I248" s="128"/>
      <c r="J248" s="128"/>
      <c r="K248" s="128"/>
      <c r="L248" s="128"/>
      <c r="M248" s="128"/>
      <c r="N248" s="128"/>
      <c r="O248" s="128"/>
      <c r="P248" s="128"/>
      <c r="Q248" s="128"/>
      <c r="R248" s="128"/>
      <c r="S248" s="128"/>
      <c r="T248" s="128"/>
      <c r="U248" s="128"/>
      <c r="V248" s="128"/>
      <c r="W248" s="128"/>
      <c r="X248" s="128"/>
      <c r="Y248" s="128"/>
      <c r="Z248" s="128">
        <v>0</v>
      </c>
      <c r="AA248" s="128">
        <v>0</v>
      </c>
      <c r="AB248" s="128">
        <v>0</v>
      </c>
      <c r="AC248" s="128">
        <v>0</v>
      </c>
      <c r="AD248" s="128">
        <v>0</v>
      </c>
      <c r="AE248" s="128">
        <v>0</v>
      </c>
      <c r="AF248" s="128">
        <v>0</v>
      </c>
      <c r="AG248" s="128">
        <v>0</v>
      </c>
      <c r="AH248" s="128">
        <v>0</v>
      </c>
      <c r="AI248" s="128">
        <v>0</v>
      </c>
      <c r="AJ248" s="128">
        <v>0</v>
      </c>
      <c r="AK248" s="128">
        <v>0</v>
      </c>
      <c r="AL248" s="128">
        <v>0</v>
      </c>
      <c r="AM248" s="128">
        <v>0</v>
      </c>
      <c r="AN248" s="128">
        <v>0</v>
      </c>
      <c r="AO248" s="128">
        <v>0</v>
      </c>
      <c r="AP248" s="128">
        <v>0</v>
      </c>
      <c r="AQ248" s="128">
        <v>0</v>
      </c>
      <c r="AR248" s="128">
        <v>0</v>
      </c>
      <c r="AS248" s="288">
        <v>0</v>
      </c>
      <c r="AT248" s="288">
        <v>0</v>
      </c>
      <c r="AU248" s="288">
        <v>0</v>
      </c>
      <c r="AV248" s="288">
        <v>0</v>
      </c>
      <c r="AW248" s="158">
        <v>0</v>
      </c>
      <c r="AX248" s="158">
        <v>0</v>
      </c>
      <c r="AY248" s="158">
        <v>0</v>
      </c>
      <c r="AZ248" s="158">
        <v>0</v>
      </c>
      <c r="BA248" s="158">
        <v>0</v>
      </c>
      <c r="BB248" s="288">
        <v>0</v>
      </c>
      <c r="BC248" s="288">
        <v>0</v>
      </c>
      <c r="BD248" s="288">
        <v>0</v>
      </c>
      <c r="BE248" s="288">
        <v>0</v>
      </c>
      <c r="BF248" s="288">
        <v>0</v>
      </c>
      <c r="BG248" s="288">
        <v>0</v>
      </c>
      <c r="BH248" s="288">
        <v>0</v>
      </c>
      <c r="BI248" s="288">
        <v>0</v>
      </c>
      <c r="BJ248" s="288">
        <v>0</v>
      </c>
      <c r="BK248" s="288">
        <v>0</v>
      </c>
      <c r="BL248" s="288">
        <v>0</v>
      </c>
      <c r="BM248" s="288">
        <v>0</v>
      </c>
      <c r="BN248" s="288">
        <v>0</v>
      </c>
      <c r="BO248" s="288">
        <v>0</v>
      </c>
      <c r="BP248" s="288">
        <v>0</v>
      </c>
      <c r="BQ248" s="288">
        <v>0</v>
      </c>
      <c r="BR248" s="288">
        <v>0</v>
      </c>
      <c r="BS248" s="288">
        <v>0</v>
      </c>
      <c r="BT248" s="288">
        <v>0</v>
      </c>
    </row>
    <row r="249" spans="3:72">
      <c r="C249" s="127" t="s">
        <v>1104</v>
      </c>
      <c r="D249" s="127"/>
      <c r="E249" s="127"/>
      <c r="F249" s="127"/>
      <c r="G249" s="128"/>
      <c r="H249" s="128"/>
      <c r="I249" s="128"/>
      <c r="J249" s="128"/>
      <c r="K249" s="128"/>
      <c r="L249" s="128"/>
      <c r="M249" s="128"/>
      <c r="N249" s="128"/>
      <c r="O249" s="128"/>
      <c r="P249" s="128"/>
      <c r="Q249" s="128"/>
      <c r="R249" s="128"/>
      <c r="S249" s="128"/>
      <c r="T249" s="128"/>
      <c r="U249" s="128"/>
      <c r="V249" s="128"/>
      <c r="W249" s="128"/>
      <c r="X249" s="128"/>
      <c r="Y249" s="128"/>
      <c r="Z249" s="128">
        <v>0</v>
      </c>
      <c r="AA249" s="128">
        <v>0</v>
      </c>
      <c r="AB249" s="128">
        <v>0</v>
      </c>
      <c r="AC249" s="128">
        <v>0</v>
      </c>
      <c r="AD249" s="128">
        <v>0</v>
      </c>
      <c r="AE249" s="128">
        <v>0</v>
      </c>
      <c r="AF249" s="128">
        <v>0</v>
      </c>
      <c r="AG249" s="128">
        <v>0</v>
      </c>
      <c r="AH249" s="128">
        <v>0</v>
      </c>
      <c r="AI249" s="128">
        <v>0</v>
      </c>
      <c r="AJ249" s="128">
        <v>0</v>
      </c>
      <c r="AK249" s="128">
        <v>0</v>
      </c>
      <c r="AL249" s="128">
        <v>0</v>
      </c>
      <c r="AM249" s="128">
        <v>0</v>
      </c>
      <c r="AN249" s="128">
        <v>0</v>
      </c>
      <c r="AO249" s="128">
        <v>0</v>
      </c>
      <c r="AP249" s="128">
        <v>0</v>
      </c>
      <c r="AQ249" s="128">
        <v>0</v>
      </c>
      <c r="AR249" s="128">
        <v>0</v>
      </c>
      <c r="AS249" s="288">
        <v>0</v>
      </c>
      <c r="AT249" s="288">
        <v>0</v>
      </c>
      <c r="AU249" s="288">
        <v>0</v>
      </c>
      <c r="AV249" s="288">
        <v>0</v>
      </c>
      <c r="AW249" s="158">
        <v>0</v>
      </c>
      <c r="AX249" s="158">
        <v>0</v>
      </c>
      <c r="AY249" s="158">
        <v>0</v>
      </c>
      <c r="AZ249" s="158">
        <v>0</v>
      </c>
      <c r="BA249" s="158">
        <v>0</v>
      </c>
      <c r="BB249" s="288">
        <v>0</v>
      </c>
      <c r="BC249" s="288">
        <v>0</v>
      </c>
      <c r="BD249" s="288">
        <v>0</v>
      </c>
      <c r="BE249" s="288">
        <v>0</v>
      </c>
      <c r="BF249" s="288">
        <v>0</v>
      </c>
      <c r="BG249" s="288">
        <v>0</v>
      </c>
      <c r="BH249" s="288">
        <v>0</v>
      </c>
      <c r="BI249" s="288">
        <v>0</v>
      </c>
      <c r="BJ249" s="288">
        <v>0</v>
      </c>
      <c r="BK249" s="288">
        <v>0</v>
      </c>
      <c r="BL249" s="288">
        <v>0</v>
      </c>
      <c r="BM249" s="288">
        <v>0</v>
      </c>
      <c r="BN249" s="288">
        <v>0</v>
      </c>
      <c r="BO249" s="288">
        <v>0</v>
      </c>
      <c r="BP249" s="288">
        <v>0</v>
      </c>
      <c r="BQ249" s="288">
        <v>0</v>
      </c>
      <c r="BR249" s="288">
        <v>0</v>
      </c>
      <c r="BS249" s="288">
        <v>0</v>
      </c>
      <c r="BT249" s="288">
        <v>0</v>
      </c>
    </row>
    <row r="250" spans="3:72">
      <c r="C250" s="127" t="s">
        <v>1105</v>
      </c>
      <c r="D250" s="127"/>
      <c r="E250" s="127"/>
      <c r="F250" s="127"/>
      <c r="G250" s="128"/>
      <c r="H250" s="128"/>
      <c r="I250" s="128"/>
      <c r="J250" s="128"/>
      <c r="K250" s="128"/>
      <c r="L250" s="128"/>
      <c r="M250" s="128"/>
      <c r="N250" s="128"/>
      <c r="O250" s="128"/>
      <c r="P250" s="128"/>
      <c r="Q250" s="128"/>
      <c r="R250" s="128"/>
      <c r="S250" s="128"/>
      <c r="T250" s="128"/>
      <c r="U250" s="128"/>
      <c r="V250" s="128"/>
      <c r="W250" s="128"/>
      <c r="X250" s="128"/>
      <c r="Y250" s="128"/>
      <c r="Z250" s="128">
        <v>0</v>
      </c>
      <c r="AA250" s="128">
        <v>0</v>
      </c>
      <c r="AB250" s="128">
        <v>0</v>
      </c>
      <c r="AC250" s="128">
        <v>0</v>
      </c>
      <c r="AD250" s="128">
        <v>0</v>
      </c>
      <c r="AE250" s="128">
        <v>0</v>
      </c>
      <c r="AF250" s="128">
        <v>0</v>
      </c>
      <c r="AG250" s="128">
        <v>0</v>
      </c>
      <c r="AH250" s="128">
        <v>0</v>
      </c>
      <c r="AI250" s="128">
        <v>0</v>
      </c>
      <c r="AJ250" s="128">
        <v>0</v>
      </c>
      <c r="AK250" s="128">
        <v>0</v>
      </c>
      <c r="AL250" s="128">
        <v>0</v>
      </c>
      <c r="AM250" s="128">
        <v>0</v>
      </c>
      <c r="AN250" s="128">
        <v>0</v>
      </c>
      <c r="AO250" s="128">
        <v>0</v>
      </c>
      <c r="AP250" s="128">
        <v>0</v>
      </c>
      <c r="AQ250" s="128">
        <v>0</v>
      </c>
      <c r="AR250" s="128">
        <v>0</v>
      </c>
      <c r="AS250" s="288">
        <v>0</v>
      </c>
      <c r="AT250" s="288">
        <v>0</v>
      </c>
      <c r="AU250" s="288">
        <v>0</v>
      </c>
      <c r="AV250" s="288">
        <v>0</v>
      </c>
      <c r="AW250" s="158">
        <v>0</v>
      </c>
      <c r="AX250" s="158">
        <v>0</v>
      </c>
      <c r="AY250" s="158">
        <v>0</v>
      </c>
      <c r="AZ250" s="158">
        <v>0</v>
      </c>
      <c r="BA250" s="158">
        <v>0</v>
      </c>
      <c r="BB250" s="288">
        <v>0</v>
      </c>
      <c r="BC250" s="288">
        <v>0</v>
      </c>
      <c r="BD250" s="288">
        <v>0</v>
      </c>
      <c r="BE250" s="288">
        <v>0</v>
      </c>
      <c r="BF250" s="288">
        <v>0</v>
      </c>
      <c r="BG250" s="288">
        <v>0</v>
      </c>
      <c r="BH250" s="288">
        <v>0</v>
      </c>
      <c r="BI250" s="288">
        <v>0</v>
      </c>
      <c r="BJ250" s="288">
        <v>0</v>
      </c>
      <c r="BK250" s="288">
        <v>0</v>
      </c>
      <c r="BL250" s="288">
        <v>0</v>
      </c>
      <c r="BM250" s="288">
        <v>0</v>
      </c>
      <c r="BN250" s="288">
        <v>0</v>
      </c>
      <c r="BO250" s="288">
        <v>0</v>
      </c>
      <c r="BP250" s="288">
        <v>0</v>
      </c>
      <c r="BQ250" s="288">
        <v>0</v>
      </c>
      <c r="BR250" s="288">
        <v>0</v>
      </c>
      <c r="BS250" s="288">
        <v>0</v>
      </c>
      <c r="BT250" s="288">
        <v>0</v>
      </c>
    </row>
    <row r="251" spans="3:72">
      <c r="C251" s="127" t="s">
        <v>1106</v>
      </c>
      <c r="D251" s="127"/>
      <c r="E251" s="127"/>
      <c r="F251" s="127"/>
      <c r="G251" s="128"/>
      <c r="H251" s="128"/>
      <c r="I251" s="128"/>
      <c r="J251" s="128"/>
      <c r="K251" s="128"/>
      <c r="L251" s="128"/>
      <c r="M251" s="128"/>
      <c r="N251" s="128"/>
      <c r="O251" s="128"/>
      <c r="P251" s="128"/>
      <c r="Q251" s="128"/>
      <c r="R251" s="128"/>
      <c r="S251" s="128"/>
      <c r="T251" s="128"/>
      <c r="U251" s="128"/>
      <c r="V251" s="128"/>
      <c r="W251" s="128"/>
      <c r="X251" s="128"/>
      <c r="Y251" s="128"/>
      <c r="Z251" s="128">
        <v>0</v>
      </c>
      <c r="AA251" s="128">
        <v>0</v>
      </c>
      <c r="AB251" s="128">
        <v>0</v>
      </c>
      <c r="AC251" s="128">
        <v>0</v>
      </c>
      <c r="AD251" s="128">
        <v>0</v>
      </c>
      <c r="AE251" s="128">
        <v>0</v>
      </c>
      <c r="AF251" s="128">
        <v>0</v>
      </c>
      <c r="AG251" s="128">
        <v>0</v>
      </c>
      <c r="AH251" s="128">
        <v>0</v>
      </c>
      <c r="AI251" s="128">
        <v>0</v>
      </c>
      <c r="AJ251" s="128">
        <v>0</v>
      </c>
      <c r="AK251" s="128">
        <v>0</v>
      </c>
      <c r="AL251" s="128">
        <v>0</v>
      </c>
      <c r="AM251" s="128">
        <v>0</v>
      </c>
      <c r="AN251" s="128">
        <v>0</v>
      </c>
      <c r="AO251" s="128">
        <v>0</v>
      </c>
      <c r="AP251" s="128">
        <v>0</v>
      </c>
      <c r="AQ251" s="128">
        <v>0</v>
      </c>
      <c r="AR251" s="128">
        <v>0</v>
      </c>
      <c r="AS251" s="288">
        <v>0</v>
      </c>
      <c r="AT251" s="288">
        <v>0</v>
      </c>
      <c r="AU251" s="288">
        <v>0</v>
      </c>
      <c r="AV251" s="288">
        <v>0</v>
      </c>
      <c r="AW251" s="158">
        <v>0</v>
      </c>
      <c r="AX251" s="158">
        <v>0</v>
      </c>
      <c r="AY251" s="158">
        <v>0</v>
      </c>
      <c r="AZ251" s="158">
        <v>0</v>
      </c>
      <c r="BA251" s="158">
        <v>0</v>
      </c>
      <c r="BB251" s="288">
        <v>0</v>
      </c>
      <c r="BC251" s="288">
        <v>0</v>
      </c>
      <c r="BD251" s="288">
        <v>0</v>
      </c>
      <c r="BE251" s="288">
        <v>0</v>
      </c>
      <c r="BF251" s="288">
        <v>0</v>
      </c>
      <c r="BG251" s="288">
        <v>0</v>
      </c>
      <c r="BH251" s="288">
        <v>0</v>
      </c>
      <c r="BI251" s="288">
        <v>0</v>
      </c>
      <c r="BJ251" s="288">
        <v>0</v>
      </c>
      <c r="BK251" s="288">
        <v>0</v>
      </c>
      <c r="BL251" s="288">
        <v>0</v>
      </c>
      <c r="BM251" s="288">
        <v>0</v>
      </c>
      <c r="BN251" s="288">
        <v>0</v>
      </c>
      <c r="BO251" s="288">
        <v>0</v>
      </c>
      <c r="BP251" s="288">
        <v>0</v>
      </c>
      <c r="BQ251" s="288">
        <v>0</v>
      </c>
      <c r="BR251" s="288">
        <v>0</v>
      </c>
      <c r="BS251" s="288">
        <v>0</v>
      </c>
      <c r="BT251" s="288">
        <v>0</v>
      </c>
    </row>
    <row r="252" spans="3:72">
      <c r="C252" s="127" t="s">
        <v>1110</v>
      </c>
      <c r="D252" s="127"/>
      <c r="E252" s="127"/>
      <c r="F252" s="127"/>
      <c r="G252" s="128"/>
      <c r="H252" s="128"/>
      <c r="I252" s="128"/>
      <c r="J252" s="128"/>
      <c r="K252" s="128"/>
      <c r="L252" s="128"/>
      <c r="M252" s="128"/>
      <c r="N252" s="128"/>
      <c r="O252" s="128"/>
      <c r="P252" s="128"/>
      <c r="Q252" s="128"/>
      <c r="R252" s="128"/>
      <c r="S252" s="128"/>
      <c r="T252" s="128"/>
      <c r="U252" s="128"/>
      <c r="V252" s="128"/>
      <c r="W252" s="128"/>
      <c r="X252" s="128"/>
      <c r="Y252" s="128"/>
      <c r="Z252" s="128">
        <v>0</v>
      </c>
      <c r="AA252" s="128">
        <v>0</v>
      </c>
      <c r="AB252" s="128">
        <v>0</v>
      </c>
      <c r="AC252" s="128">
        <v>0</v>
      </c>
      <c r="AD252" s="128">
        <v>0</v>
      </c>
      <c r="AE252" s="128">
        <v>0</v>
      </c>
      <c r="AF252" s="128">
        <v>0</v>
      </c>
      <c r="AG252" s="128">
        <v>0</v>
      </c>
      <c r="AH252" s="128">
        <v>0</v>
      </c>
      <c r="AI252" s="128">
        <v>0</v>
      </c>
      <c r="AJ252" s="128">
        <v>0</v>
      </c>
      <c r="AK252" s="128">
        <v>0</v>
      </c>
      <c r="AL252" s="128">
        <v>0</v>
      </c>
      <c r="AM252" s="128">
        <v>0</v>
      </c>
      <c r="AN252" s="128">
        <v>0</v>
      </c>
      <c r="AO252" s="128">
        <v>0</v>
      </c>
      <c r="AP252" s="128">
        <v>0</v>
      </c>
      <c r="AQ252" s="128">
        <v>0</v>
      </c>
      <c r="AR252" s="128">
        <v>0</v>
      </c>
      <c r="AS252" s="288">
        <v>0</v>
      </c>
      <c r="AT252" s="288">
        <v>0</v>
      </c>
      <c r="AU252" s="288">
        <v>0</v>
      </c>
      <c r="AV252" s="288">
        <v>0</v>
      </c>
      <c r="AW252" s="158">
        <v>0</v>
      </c>
      <c r="AX252" s="158">
        <v>0</v>
      </c>
      <c r="AY252" s="158">
        <v>0</v>
      </c>
      <c r="AZ252" s="158">
        <v>0</v>
      </c>
      <c r="BA252" s="158">
        <v>0</v>
      </c>
      <c r="BB252" s="288">
        <v>0</v>
      </c>
      <c r="BC252" s="288">
        <v>0</v>
      </c>
      <c r="BD252" s="288">
        <v>0</v>
      </c>
      <c r="BE252" s="288">
        <v>0</v>
      </c>
      <c r="BF252" s="288">
        <v>0</v>
      </c>
      <c r="BG252" s="288">
        <v>0</v>
      </c>
      <c r="BH252" s="288">
        <v>0</v>
      </c>
      <c r="BI252" s="288">
        <v>0</v>
      </c>
      <c r="BJ252" s="288">
        <v>0</v>
      </c>
      <c r="BK252" s="288">
        <v>0</v>
      </c>
      <c r="BL252" s="288">
        <v>0</v>
      </c>
      <c r="BM252" s="288">
        <v>0</v>
      </c>
      <c r="BN252" s="288">
        <v>0</v>
      </c>
      <c r="BO252" s="288">
        <v>0</v>
      </c>
      <c r="BP252" s="288">
        <v>0</v>
      </c>
      <c r="BQ252" s="288">
        <v>0</v>
      </c>
      <c r="BR252" s="288">
        <v>0</v>
      </c>
      <c r="BS252" s="288">
        <v>0</v>
      </c>
      <c r="BT252" s="288">
        <v>0</v>
      </c>
    </row>
    <row r="253" spans="3:72">
      <c r="C253" s="127" t="s">
        <v>1108</v>
      </c>
      <c r="D253" s="127"/>
      <c r="E253" s="127"/>
      <c r="F253" s="127"/>
      <c r="G253" s="128"/>
      <c r="H253" s="128"/>
      <c r="I253" s="128"/>
      <c r="J253" s="128"/>
      <c r="K253" s="128"/>
      <c r="L253" s="128"/>
      <c r="M253" s="128"/>
      <c r="N253" s="128"/>
      <c r="O253" s="128"/>
      <c r="P253" s="128"/>
      <c r="Q253" s="128"/>
      <c r="R253" s="128"/>
      <c r="S253" s="128"/>
      <c r="T253" s="128"/>
      <c r="U253" s="128"/>
      <c r="V253" s="128"/>
      <c r="W253" s="128"/>
      <c r="X253" s="128"/>
      <c r="Y253" s="128"/>
      <c r="Z253" s="128">
        <v>0</v>
      </c>
      <c r="AA253" s="128">
        <v>0</v>
      </c>
      <c r="AB253" s="128">
        <v>0</v>
      </c>
      <c r="AC253" s="128">
        <v>0</v>
      </c>
      <c r="AD253" s="128">
        <v>0</v>
      </c>
      <c r="AE253" s="128">
        <v>0</v>
      </c>
      <c r="AF253" s="128">
        <v>0</v>
      </c>
      <c r="AG253" s="128">
        <v>0</v>
      </c>
      <c r="AH253" s="128">
        <v>0</v>
      </c>
      <c r="AI253" s="128">
        <v>0</v>
      </c>
      <c r="AJ253" s="128">
        <v>0</v>
      </c>
      <c r="AK253" s="128">
        <v>0</v>
      </c>
      <c r="AL253" s="128">
        <v>0</v>
      </c>
      <c r="AM253" s="128">
        <v>0</v>
      </c>
      <c r="AN253" s="128">
        <v>0</v>
      </c>
      <c r="AO253" s="128">
        <v>0</v>
      </c>
      <c r="AP253" s="128">
        <v>0</v>
      </c>
      <c r="AQ253" s="128">
        <v>0</v>
      </c>
      <c r="AR253" s="128">
        <v>0</v>
      </c>
      <c r="AS253" s="288">
        <v>0</v>
      </c>
      <c r="AT253" s="288">
        <v>0</v>
      </c>
      <c r="AU253" s="288">
        <v>0</v>
      </c>
      <c r="AV253" s="288">
        <v>0</v>
      </c>
      <c r="AW253" s="158">
        <v>0</v>
      </c>
      <c r="AX253" s="158">
        <v>0</v>
      </c>
      <c r="AY253" s="158">
        <v>0</v>
      </c>
      <c r="AZ253" s="158">
        <v>0</v>
      </c>
      <c r="BA253" s="158">
        <v>0</v>
      </c>
      <c r="BB253" s="288">
        <v>0</v>
      </c>
      <c r="BC253" s="288">
        <v>0</v>
      </c>
      <c r="BD253" s="288">
        <v>0</v>
      </c>
      <c r="BE253" s="288">
        <v>0</v>
      </c>
      <c r="BF253" s="288">
        <v>0</v>
      </c>
      <c r="BG253" s="288">
        <v>0</v>
      </c>
      <c r="BH253" s="288">
        <v>0</v>
      </c>
      <c r="BI253" s="288">
        <v>0</v>
      </c>
      <c r="BJ253" s="288">
        <v>0</v>
      </c>
      <c r="BK253" s="288">
        <v>0</v>
      </c>
      <c r="BL253" s="288">
        <v>0</v>
      </c>
      <c r="BM253" s="288">
        <v>0</v>
      </c>
      <c r="BN253" s="288">
        <v>0</v>
      </c>
      <c r="BO253" s="288">
        <v>0</v>
      </c>
      <c r="BP253" s="288">
        <v>0</v>
      </c>
      <c r="BQ253" s="288">
        <v>0</v>
      </c>
      <c r="BR253" s="288">
        <v>0</v>
      </c>
      <c r="BS253" s="288">
        <v>0</v>
      </c>
      <c r="BT253" s="288">
        <v>0</v>
      </c>
    </row>
    <row r="254" spans="3:72">
      <c r="C254" s="127" t="s">
        <v>1105</v>
      </c>
      <c r="D254" s="127"/>
      <c r="E254" s="127"/>
      <c r="F254" s="127"/>
      <c r="G254" s="128"/>
      <c r="H254" s="128"/>
      <c r="I254" s="128"/>
      <c r="J254" s="128"/>
      <c r="K254" s="128"/>
      <c r="L254" s="128"/>
      <c r="M254" s="128"/>
      <c r="N254" s="128"/>
      <c r="O254" s="128"/>
      <c r="P254" s="128"/>
      <c r="Q254" s="128"/>
      <c r="R254" s="128"/>
      <c r="S254" s="128"/>
      <c r="T254" s="128"/>
      <c r="U254" s="128"/>
      <c r="V254" s="128"/>
      <c r="W254" s="128"/>
      <c r="X254" s="128"/>
      <c r="Y254" s="128"/>
      <c r="Z254" s="128">
        <v>0</v>
      </c>
      <c r="AA254" s="128">
        <v>0</v>
      </c>
      <c r="AB254" s="128">
        <v>0</v>
      </c>
      <c r="AC254" s="128">
        <v>0</v>
      </c>
      <c r="AD254" s="128">
        <v>0</v>
      </c>
      <c r="AE254" s="128">
        <v>0</v>
      </c>
      <c r="AF254" s="128">
        <v>0</v>
      </c>
      <c r="AG254" s="128">
        <v>0</v>
      </c>
      <c r="AH254" s="128">
        <v>0</v>
      </c>
      <c r="AI254" s="128">
        <v>0</v>
      </c>
      <c r="AJ254" s="128">
        <v>0</v>
      </c>
      <c r="AK254" s="128">
        <v>0</v>
      </c>
      <c r="AL254" s="128">
        <v>0</v>
      </c>
      <c r="AM254" s="128">
        <v>0</v>
      </c>
      <c r="AN254" s="128">
        <v>0</v>
      </c>
      <c r="AO254" s="128">
        <v>0</v>
      </c>
      <c r="AP254" s="128">
        <v>0</v>
      </c>
      <c r="AQ254" s="128">
        <v>0</v>
      </c>
      <c r="AR254" s="128">
        <v>0</v>
      </c>
      <c r="AS254" s="288">
        <v>0</v>
      </c>
      <c r="AT254" s="288">
        <v>0</v>
      </c>
      <c r="AU254" s="288">
        <v>0</v>
      </c>
      <c r="AV254" s="288">
        <v>0</v>
      </c>
      <c r="AW254" s="158">
        <v>0</v>
      </c>
      <c r="AX254" s="158">
        <v>0</v>
      </c>
      <c r="AY254" s="158">
        <v>0</v>
      </c>
      <c r="AZ254" s="158">
        <v>0</v>
      </c>
      <c r="BA254" s="158">
        <v>0</v>
      </c>
      <c r="BB254" s="288">
        <v>0</v>
      </c>
      <c r="BC254" s="288">
        <v>0</v>
      </c>
      <c r="BD254" s="288">
        <v>0</v>
      </c>
      <c r="BE254" s="288">
        <v>0</v>
      </c>
      <c r="BF254" s="288">
        <v>0</v>
      </c>
      <c r="BG254" s="288">
        <v>0</v>
      </c>
      <c r="BH254" s="288">
        <v>0</v>
      </c>
      <c r="BI254" s="288">
        <v>0</v>
      </c>
      <c r="BJ254" s="288">
        <v>0</v>
      </c>
      <c r="BK254" s="288">
        <v>0</v>
      </c>
      <c r="BL254" s="288">
        <v>0</v>
      </c>
      <c r="BM254" s="288">
        <v>0</v>
      </c>
      <c r="BN254" s="288">
        <v>0</v>
      </c>
      <c r="BO254" s="288">
        <v>0</v>
      </c>
      <c r="BP254" s="288">
        <v>0</v>
      </c>
      <c r="BQ254" s="288">
        <v>0</v>
      </c>
      <c r="BR254" s="288">
        <v>0</v>
      </c>
      <c r="BS254" s="288">
        <v>0</v>
      </c>
      <c r="BT254" s="288">
        <v>0</v>
      </c>
    </row>
    <row r="255" spans="3:72">
      <c r="C255" s="127" t="s">
        <v>1106</v>
      </c>
      <c r="D255" s="127"/>
      <c r="E255" s="127"/>
      <c r="F255" s="127"/>
      <c r="G255" s="128"/>
      <c r="H255" s="128"/>
      <c r="I255" s="128"/>
      <c r="J255" s="128"/>
      <c r="K255" s="128"/>
      <c r="L255" s="128"/>
      <c r="M255" s="128"/>
      <c r="N255" s="128"/>
      <c r="O255" s="128"/>
      <c r="P255" s="128"/>
      <c r="Q255" s="128"/>
      <c r="R255" s="128"/>
      <c r="S255" s="128"/>
      <c r="T255" s="128"/>
      <c r="U255" s="128"/>
      <c r="V255" s="128"/>
      <c r="W255" s="128"/>
      <c r="X255" s="128"/>
      <c r="Y255" s="128"/>
      <c r="Z255" s="128">
        <v>0</v>
      </c>
      <c r="AA255" s="128">
        <v>0</v>
      </c>
      <c r="AB255" s="128">
        <v>0</v>
      </c>
      <c r="AC255" s="128">
        <v>0</v>
      </c>
      <c r="AD255" s="128">
        <v>0</v>
      </c>
      <c r="AE255" s="128">
        <v>0</v>
      </c>
      <c r="AF255" s="128">
        <v>0</v>
      </c>
      <c r="AG255" s="128">
        <v>0</v>
      </c>
      <c r="AH255" s="128">
        <v>0</v>
      </c>
      <c r="AI255" s="128">
        <v>0</v>
      </c>
      <c r="AJ255" s="128">
        <v>0</v>
      </c>
      <c r="AK255" s="128">
        <v>0</v>
      </c>
      <c r="AL255" s="128">
        <v>0</v>
      </c>
      <c r="AM255" s="128">
        <v>0</v>
      </c>
      <c r="AN255" s="128">
        <v>0</v>
      </c>
      <c r="AO255" s="128">
        <v>0</v>
      </c>
      <c r="AP255" s="128">
        <v>0</v>
      </c>
      <c r="AQ255" s="128">
        <v>0</v>
      </c>
      <c r="AR255" s="128">
        <v>0</v>
      </c>
      <c r="AS255" s="288">
        <v>0</v>
      </c>
      <c r="AT255" s="288">
        <v>0</v>
      </c>
      <c r="AU255" s="288">
        <v>0</v>
      </c>
      <c r="AV255" s="288">
        <v>0</v>
      </c>
      <c r="AW255" s="158">
        <v>0</v>
      </c>
      <c r="AX255" s="158">
        <v>0</v>
      </c>
      <c r="AY255" s="158">
        <v>0</v>
      </c>
      <c r="AZ255" s="158">
        <v>0</v>
      </c>
      <c r="BA255" s="158">
        <v>0</v>
      </c>
      <c r="BB255" s="288">
        <v>0</v>
      </c>
      <c r="BC255" s="288">
        <v>0</v>
      </c>
      <c r="BD255" s="288">
        <v>0</v>
      </c>
      <c r="BE255" s="288">
        <v>0</v>
      </c>
      <c r="BF255" s="288">
        <v>0</v>
      </c>
      <c r="BG255" s="288">
        <v>0</v>
      </c>
      <c r="BH255" s="288">
        <v>0</v>
      </c>
      <c r="BI255" s="288">
        <v>0</v>
      </c>
      <c r="BJ255" s="288">
        <v>0</v>
      </c>
      <c r="BK255" s="288">
        <v>0</v>
      </c>
      <c r="BL255" s="288">
        <v>0</v>
      </c>
      <c r="BM255" s="288">
        <v>0</v>
      </c>
      <c r="BN255" s="288">
        <v>0</v>
      </c>
      <c r="BO255" s="288">
        <v>0</v>
      </c>
      <c r="BP255" s="288">
        <v>0</v>
      </c>
      <c r="BQ255" s="288">
        <v>0</v>
      </c>
      <c r="BR255" s="288">
        <v>0</v>
      </c>
      <c r="BS255" s="288">
        <v>0</v>
      </c>
      <c r="BT255" s="288">
        <v>0</v>
      </c>
    </row>
    <row r="256" spans="3:72">
      <c r="C256" s="127" t="s">
        <v>1111</v>
      </c>
      <c r="D256" s="127"/>
      <c r="E256" s="127"/>
      <c r="F256" s="127"/>
      <c r="G256" s="128"/>
      <c r="H256" s="128"/>
      <c r="I256" s="128"/>
      <c r="J256" s="128"/>
      <c r="K256" s="128"/>
      <c r="L256" s="128"/>
      <c r="M256" s="128"/>
      <c r="N256" s="128"/>
      <c r="O256" s="128"/>
      <c r="P256" s="128"/>
      <c r="Q256" s="128"/>
      <c r="R256" s="128"/>
      <c r="S256" s="128"/>
      <c r="T256" s="128"/>
      <c r="U256" s="128"/>
      <c r="V256" s="128"/>
      <c r="W256" s="128"/>
      <c r="X256" s="128"/>
      <c r="Y256" s="128"/>
      <c r="Z256" s="128">
        <v>7.2880700440000004</v>
      </c>
      <c r="AA256" s="128">
        <v>8.6267516440000005</v>
      </c>
      <c r="AB256" s="128">
        <v>8.6267516440000005</v>
      </c>
      <c r="AC256" s="128">
        <v>26.151751644000001</v>
      </c>
      <c r="AD256" s="128">
        <v>26.151751644000001</v>
      </c>
      <c r="AE256" s="128">
        <v>26.203355943999998</v>
      </c>
      <c r="AF256" s="128">
        <v>26.203355943999998</v>
      </c>
      <c r="AG256" s="128">
        <v>26.203355943999998</v>
      </c>
      <c r="AH256" s="128">
        <v>26.203355943999998</v>
      </c>
      <c r="AI256" s="128">
        <v>26.203355943999998</v>
      </c>
      <c r="AJ256" s="128">
        <v>31.108130144</v>
      </c>
      <c r="AK256" s="128">
        <v>31.108130144</v>
      </c>
      <c r="AL256" s="128">
        <v>31.108130144</v>
      </c>
      <c r="AM256" s="128">
        <v>31.108130144</v>
      </c>
      <c r="AN256" s="128">
        <v>31.108130144</v>
      </c>
      <c r="AO256" s="128">
        <v>32.779467144000002</v>
      </c>
      <c r="AP256" s="128">
        <v>42.833498124000002</v>
      </c>
      <c r="AQ256" s="128">
        <v>43.892454125</v>
      </c>
      <c r="AR256" s="128">
        <v>43.885640125000002</v>
      </c>
      <c r="AS256" s="288">
        <v>33.838423143999997</v>
      </c>
      <c r="AT256" s="288">
        <v>33.838423143999997</v>
      </c>
      <c r="AU256" s="288">
        <v>34.852200199999999</v>
      </c>
      <c r="AV256" s="288">
        <v>34.852200199999999</v>
      </c>
      <c r="AW256" s="158">
        <v>34.852200199999999</v>
      </c>
      <c r="AX256" s="158">
        <v>35.811638199999997</v>
      </c>
      <c r="AY256" s="158">
        <v>35.811638199999997</v>
      </c>
      <c r="AZ256" s="158">
        <v>35.811638199999997</v>
      </c>
      <c r="BA256" s="158">
        <v>35.811638000000002</v>
      </c>
      <c r="BB256" s="288">
        <v>36.771076200000003</v>
      </c>
      <c r="BC256" s="288">
        <v>36.771076200000003</v>
      </c>
      <c r="BD256" s="288">
        <v>36.771076200000003</v>
      </c>
      <c r="BE256" s="288">
        <v>77.304561509999999</v>
      </c>
      <c r="BF256" s="288">
        <v>90.297772827000003</v>
      </c>
      <c r="BG256" s="288">
        <v>90.297772827000003</v>
      </c>
      <c r="BH256" s="288">
        <v>90.297772827000003</v>
      </c>
      <c r="BI256" s="288">
        <v>90.297772827000003</v>
      </c>
      <c r="BJ256" s="288">
        <v>90.297772827000003</v>
      </c>
      <c r="BK256" s="288">
        <v>90.297772827000003</v>
      </c>
      <c r="BL256" s="288">
        <v>90.297772827000003</v>
      </c>
      <c r="BM256" s="288">
        <v>90.297772827000003</v>
      </c>
      <c r="BN256" s="288">
        <v>90.3</v>
      </c>
      <c r="BO256" s="288">
        <v>90.297772827000003</v>
      </c>
      <c r="BP256" s="288">
        <v>90.3</v>
      </c>
      <c r="BQ256" s="288">
        <v>90.297772827000003</v>
      </c>
      <c r="BR256" s="288">
        <v>90.297772827000003</v>
      </c>
      <c r="BS256" s="288">
        <v>90.297772827000003</v>
      </c>
      <c r="BT256" s="288">
        <v>90.297772827000003</v>
      </c>
    </row>
    <row r="257" spans="3:72">
      <c r="C257" s="127" t="s">
        <v>1104</v>
      </c>
      <c r="D257" s="127"/>
      <c r="E257" s="127"/>
      <c r="F257" s="127"/>
      <c r="G257" s="128"/>
      <c r="H257" s="128"/>
      <c r="I257" s="128"/>
      <c r="J257" s="128"/>
      <c r="K257" s="128"/>
      <c r="L257" s="128"/>
      <c r="M257" s="128"/>
      <c r="N257" s="128"/>
      <c r="O257" s="128"/>
      <c r="P257" s="128"/>
      <c r="Q257" s="128"/>
      <c r="R257" s="128"/>
      <c r="S257" s="128"/>
      <c r="T257" s="128"/>
      <c r="U257" s="128"/>
      <c r="V257" s="128"/>
      <c r="W257" s="128"/>
      <c r="X257" s="128"/>
      <c r="Y257" s="128"/>
      <c r="Z257" s="128">
        <v>7.2880700440000004</v>
      </c>
      <c r="AA257" s="128">
        <v>7.2880700440000004</v>
      </c>
      <c r="AB257" s="128">
        <v>7.2880700440000004</v>
      </c>
      <c r="AC257" s="128">
        <v>7.2880700440000004</v>
      </c>
      <c r="AD257" s="128">
        <v>26.151751644000001</v>
      </c>
      <c r="AE257" s="128">
        <v>26.151751644000001</v>
      </c>
      <c r="AF257" s="128">
        <v>26.151751644000001</v>
      </c>
      <c r="AG257" s="128">
        <v>26.151751644000001</v>
      </c>
      <c r="AH257" s="128">
        <v>26.203355943999998</v>
      </c>
      <c r="AI257" s="128">
        <v>26.203355943999998</v>
      </c>
      <c r="AJ257" s="128">
        <v>26.203355943999998</v>
      </c>
      <c r="AK257" s="128">
        <v>26.203355943999998</v>
      </c>
      <c r="AL257" s="128">
        <v>31.108130144</v>
      </c>
      <c r="AM257" s="128">
        <v>31.108130144</v>
      </c>
      <c r="AN257" s="128">
        <v>31.108130144</v>
      </c>
      <c r="AO257" s="128">
        <v>31.108130144</v>
      </c>
      <c r="AP257" s="128">
        <v>32.779467144000002</v>
      </c>
      <c r="AQ257" s="128">
        <v>32.779467144000002</v>
      </c>
      <c r="AR257" s="128">
        <v>32.779467144000002</v>
      </c>
      <c r="AS257" s="288">
        <v>32.779467144000002</v>
      </c>
      <c r="AT257" s="288">
        <v>33.838423143999997</v>
      </c>
      <c r="AU257" s="288">
        <v>33.838423143999997</v>
      </c>
      <c r="AV257" s="288">
        <v>33.838423143999997</v>
      </c>
      <c r="AW257" s="158">
        <v>33.838423143999997</v>
      </c>
      <c r="AX257" s="158">
        <v>34.852200199999999</v>
      </c>
      <c r="AY257" s="158">
        <v>34.852200199999999</v>
      </c>
      <c r="AZ257" s="158">
        <v>34.852200199999999</v>
      </c>
      <c r="BA257" s="158">
        <v>34.852200000000003</v>
      </c>
      <c r="BB257" s="288">
        <v>35.811638199999997</v>
      </c>
      <c r="BC257" s="288">
        <v>35.811638199999997</v>
      </c>
      <c r="BD257" s="288">
        <v>35.811638199999997</v>
      </c>
      <c r="BE257" s="288">
        <v>35.811638000000002</v>
      </c>
      <c r="BF257" s="288">
        <v>90.297772827000003</v>
      </c>
      <c r="BG257" s="288">
        <v>90.297772827000003</v>
      </c>
      <c r="BH257" s="288">
        <v>90.297772827000003</v>
      </c>
      <c r="BI257" s="288">
        <v>90.297772827000003</v>
      </c>
      <c r="BJ257" s="288">
        <v>90.297772827000003</v>
      </c>
      <c r="BK257" s="288">
        <v>90.297772827000003</v>
      </c>
      <c r="BL257" s="288">
        <v>90.297772827000003</v>
      </c>
      <c r="BM257" s="288">
        <v>90.297772827000003</v>
      </c>
      <c r="BN257" s="288">
        <v>90.3</v>
      </c>
      <c r="BO257" s="288">
        <v>90.297772827000003</v>
      </c>
      <c r="BP257" s="288">
        <v>90.3</v>
      </c>
      <c r="BQ257" s="288">
        <v>90.297772827000003</v>
      </c>
      <c r="BR257" s="288">
        <v>90.297772827000003</v>
      </c>
      <c r="BS257" s="288">
        <v>90.297772827000003</v>
      </c>
      <c r="BT257" s="288">
        <v>90.297772827000003</v>
      </c>
    </row>
    <row r="258" spans="3:72">
      <c r="C258" s="127" t="s">
        <v>1105</v>
      </c>
      <c r="D258" s="127"/>
      <c r="E258" s="127"/>
      <c r="F258" s="127"/>
      <c r="G258" s="128"/>
      <c r="H258" s="128"/>
      <c r="I258" s="128"/>
      <c r="J258" s="128"/>
      <c r="K258" s="128"/>
      <c r="L258" s="128"/>
      <c r="M258" s="128"/>
      <c r="N258" s="128"/>
      <c r="O258" s="128"/>
      <c r="P258" s="128"/>
      <c r="Q258" s="128"/>
      <c r="R258" s="128"/>
      <c r="S258" s="128"/>
      <c r="T258" s="128"/>
      <c r="U258" s="128"/>
      <c r="V258" s="128"/>
      <c r="W258" s="128"/>
      <c r="X258" s="128"/>
      <c r="Y258" s="128"/>
      <c r="Z258" s="128">
        <v>0</v>
      </c>
      <c r="AA258" s="128">
        <v>1.3386815999999999</v>
      </c>
      <c r="AB258" s="128">
        <v>1.3386815999999999</v>
      </c>
      <c r="AC258" s="128">
        <v>18.8636816</v>
      </c>
      <c r="AD258" s="128">
        <v>0</v>
      </c>
      <c r="AE258" s="128">
        <v>5.1604299999999999E-2</v>
      </c>
      <c r="AF258" s="128">
        <v>5.1604299999999999E-2</v>
      </c>
      <c r="AG258" s="128">
        <v>5.1604299999999999E-2</v>
      </c>
      <c r="AH258" s="128">
        <v>0</v>
      </c>
      <c r="AI258" s="128">
        <v>0</v>
      </c>
      <c r="AJ258" s="128">
        <v>4.9047742000000003</v>
      </c>
      <c r="AK258" s="128">
        <v>4.9047742000000003</v>
      </c>
      <c r="AL258" s="128">
        <v>0</v>
      </c>
      <c r="AM258" s="128">
        <v>0</v>
      </c>
      <c r="AN258" s="128">
        <v>0</v>
      </c>
      <c r="AO258" s="128">
        <v>1.6713370000000001</v>
      </c>
      <c r="AP258" s="128">
        <v>10.05403098</v>
      </c>
      <c r="AQ258" s="128">
        <v>11.112986981000001</v>
      </c>
      <c r="AR258" s="128">
        <v>11.112986981000001</v>
      </c>
      <c r="AS258" s="288">
        <v>1.058956</v>
      </c>
      <c r="AT258" s="288">
        <v>0</v>
      </c>
      <c r="AU258" s="288">
        <v>1.0137770559999999</v>
      </c>
      <c r="AV258" s="288">
        <v>1.0137770559999999</v>
      </c>
      <c r="AW258" s="158">
        <v>1.0137770559999999</v>
      </c>
      <c r="AX258" s="158">
        <v>0.95943800000000001</v>
      </c>
      <c r="AY258" s="158">
        <v>0.95943800000000001</v>
      </c>
      <c r="AZ258" s="158">
        <v>0.95943800000000001</v>
      </c>
      <c r="BA258" s="158">
        <v>0.95943800000000001</v>
      </c>
      <c r="BB258" s="288">
        <v>0.95943800000000001</v>
      </c>
      <c r="BC258" s="288">
        <v>0.95943800000000001</v>
      </c>
      <c r="BD258" s="288">
        <v>0.95943800000000001</v>
      </c>
      <c r="BE258" s="288">
        <v>41.492923509999997</v>
      </c>
      <c r="BF258" s="288">
        <v>0</v>
      </c>
      <c r="BG258" s="288">
        <v>0</v>
      </c>
      <c r="BH258" s="288">
        <v>0</v>
      </c>
      <c r="BI258" s="288">
        <v>0</v>
      </c>
      <c r="BJ258" s="288">
        <v>0</v>
      </c>
      <c r="BK258" s="288">
        <v>0</v>
      </c>
      <c r="BL258" s="288">
        <v>0</v>
      </c>
      <c r="BM258" s="288">
        <v>0</v>
      </c>
      <c r="BN258" s="288">
        <v>0</v>
      </c>
      <c r="BO258" s="288">
        <v>0</v>
      </c>
      <c r="BP258" s="288">
        <v>0</v>
      </c>
      <c r="BQ258" s="288">
        <v>0</v>
      </c>
      <c r="BR258" s="288">
        <v>0</v>
      </c>
      <c r="BS258" s="288">
        <v>0</v>
      </c>
      <c r="BT258" s="288">
        <v>0</v>
      </c>
    </row>
    <row r="259" spans="3:72">
      <c r="C259" s="127" t="s">
        <v>1106</v>
      </c>
      <c r="D259" s="127"/>
      <c r="E259" s="127"/>
      <c r="F259" s="127"/>
      <c r="G259" s="128"/>
      <c r="H259" s="128"/>
      <c r="I259" s="128"/>
      <c r="J259" s="128"/>
      <c r="K259" s="128"/>
      <c r="L259" s="128"/>
      <c r="M259" s="128"/>
      <c r="N259" s="128"/>
      <c r="O259" s="128"/>
      <c r="P259" s="128"/>
      <c r="Q259" s="128"/>
      <c r="R259" s="128"/>
      <c r="S259" s="128"/>
      <c r="T259" s="128"/>
      <c r="U259" s="128"/>
      <c r="V259" s="128"/>
      <c r="W259" s="128"/>
      <c r="X259" s="128"/>
      <c r="Y259" s="128"/>
      <c r="Z259" s="128">
        <v>0</v>
      </c>
      <c r="AA259" s="128">
        <v>0</v>
      </c>
      <c r="AB259" s="128">
        <v>0</v>
      </c>
      <c r="AC259" s="128">
        <v>0</v>
      </c>
      <c r="AD259" s="128">
        <v>0</v>
      </c>
      <c r="AE259" s="128">
        <v>0</v>
      </c>
      <c r="AF259" s="128">
        <v>0</v>
      </c>
      <c r="AG259" s="128">
        <v>0</v>
      </c>
      <c r="AH259" s="128">
        <v>0</v>
      </c>
      <c r="AI259" s="128">
        <v>0</v>
      </c>
      <c r="AJ259" s="128">
        <v>0</v>
      </c>
      <c r="AK259" s="128">
        <v>0</v>
      </c>
      <c r="AL259" s="128">
        <v>0</v>
      </c>
      <c r="AM259" s="128">
        <v>0</v>
      </c>
      <c r="AN259" s="128">
        <v>0</v>
      </c>
      <c r="AO259" s="128">
        <v>0</v>
      </c>
      <c r="AP259" s="128">
        <v>0</v>
      </c>
      <c r="AQ259" s="128">
        <v>0</v>
      </c>
      <c r="AR259" s="128">
        <v>-6.8139999999999997E-3</v>
      </c>
      <c r="AS259" s="288">
        <v>0</v>
      </c>
      <c r="AT259" s="288">
        <v>0</v>
      </c>
      <c r="AU259" s="288">
        <v>0</v>
      </c>
      <c r="AV259" s="288">
        <v>0</v>
      </c>
      <c r="AW259" s="158">
        <v>0</v>
      </c>
      <c r="AX259" s="158">
        <v>0</v>
      </c>
      <c r="AY259" s="158">
        <v>0</v>
      </c>
      <c r="AZ259" s="158">
        <v>0</v>
      </c>
      <c r="BA259" s="158">
        <v>0</v>
      </c>
      <c r="BB259" s="288">
        <v>0</v>
      </c>
      <c r="BC259" s="288">
        <v>0</v>
      </c>
      <c r="BD259" s="288">
        <v>0</v>
      </c>
      <c r="BE259" s="288">
        <v>0</v>
      </c>
      <c r="BF259" s="288">
        <v>0</v>
      </c>
      <c r="BG259" s="288">
        <v>0</v>
      </c>
      <c r="BH259" s="288">
        <v>0</v>
      </c>
      <c r="BI259" s="288">
        <v>0</v>
      </c>
      <c r="BJ259" s="288">
        <v>0</v>
      </c>
      <c r="BK259" s="288">
        <v>0</v>
      </c>
      <c r="BL259" s="288">
        <v>0</v>
      </c>
      <c r="BM259" s="288">
        <v>0</v>
      </c>
      <c r="BN259" s="288">
        <v>0</v>
      </c>
      <c r="BO259" s="288">
        <v>0</v>
      </c>
      <c r="BP259" s="288">
        <v>0</v>
      </c>
      <c r="BQ259" s="288">
        <v>0</v>
      </c>
      <c r="BR259" s="288">
        <v>0</v>
      </c>
      <c r="BS259" s="288">
        <v>0</v>
      </c>
      <c r="BT259" s="288">
        <v>0</v>
      </c>
    </row>
    <row r="260" spans="3:72">
      <c r="C260" s="127" t="s">
        <v>1112</v>
      </c>
      <c r="D260" s="127"/>
      <c r="E260" s="127"/>
      <c r="F260" s="127"/>
      <c r="G260" s="128"/>
      <c r="H260" s="128"/>
      <c r="I260" s="128"/>
      <c r="J260" s="128"/>
      <c r="K260" s="128"/>
      <c r="L260" s="128"/>
      <c r="M260" s="128"/>
      <c r="N260" s="128"/>
      <c r="O260" s="128"/>
      <c r="P260" s="128"/>
      <c r="Q260" s="128"/>
      <c r="R260" s="128"/>
      <c r="S260" s="128"/>
      <c r="T260" s="128"/>
      <c r="U260" s="128"/>
      <c r="V260" s="128"/>
      <c r="W260" s="128"/>
      <c r="X260" s="128"/>
      <c r="Y260" s="128"/>
      <c r="Z260" s="128">
        <v>2.4076749980000001</v>
      </c>
      <c r="AA260" s="128">
        <v>2.6094105349999999</v>
      </c>
      <c r="AB260" s="128">
        <v>2.866924472</v>
      </c>
      <c r="AC260" s="128">
        <v>3.1244384090000001</v>
      </c>
      <c r="AD260" s="128">
        <v>26.151751644000001</v>
      </c>
      <c r="AE260" s="128">
        <v>3.639466283</v>
      </c>
      <c r="AF260" s="128">
        <v>3.8537997559999999</v>
      </c>
      <c r="AG260" s="128">
        <v>3.9817723009999999</v>
      </c>
      <c r="AH260" s="128">
        <v>4.1097448459999999</v>
      </c>
      <c r="AI260" s="128">
        <v>4.2377173910000003</v>
      </c>
      <c r="AJ260" s="128">
        <v>4.3656899359999999</v>
      </c>
      <c r="AK260" s="128">
        <v>4.4936624810000003</v>
      </c>
      <c r="AL260" s="128">
        <v>4.6216349900000004</v>
      </c>
      <c r="AM260" s="128">
        <v>4.7496074989999997</v>
      </c>
      <c r="AN260" s="128">
        <v>4.8705871099999998</v>
      </c>
      <c r="AO260" s="128">
        <v>4.9698055080000003</v>
      </c>
      <c r="AP260" s="128">
        <v>11.817222267</v>
      </c>
      <c r="AQ260" s="128">
        <v>12.534700945000001</v>
      </c>
      <c r="AR260" s="128">
        <v>13.181765864999999</v>
      </c>
      <c r="AS260" s="288">
        <v>5.6142930120000001</v>
      </c>
      <c r="AT260" s="288">
        <v>5.7623552010000001</v>
      </c>
      <c r="AU260" s="288">
        <v>5.2970482790000002</v>
      </c>
      <c r="AV260" s="288">
        <v>6.1429609989999996</v>
      </c>
      <c r="AW260" s="158">
        <v>6.3543842530000001</v>
      </c>
      <c r="AX260" s="158">
        <v>6.5907679269999999</v>
      </c>
      <c r="AY260" s="158">
        <v>7.1169319419999999</v>
      </c>
      <c r="AZ260" s="158">
        <v>7.6430959569999999</v>
      </c>
      <c r="BA260" s="158">
        <v>8.1692599720000008</v>
      </c>
      <c r="BB260" s="288">
        <v>8.6954239829999995</v>
      </c>
      <c r="BC260" s="288">
        <v>9.2215879980000004</v>
      </c>
      <c r="BD260" s="288">
        <v>9.6959111490000005</v>
      </c>
      <c r="BE260" s="288">
        <v>10.083832814999999</v>
      </c>
      <c r="BF260" s="288">
        <v>11.773986042000001</v>
      </c>
      <c r="BG260" s="288">
        <v>13.224279771000001</v>
      </c>
      <c r="BH260" s="288">
        <v>14.674573500999999</v>
      </c>
      <c r="BI260" s="288">
        <v>16.124867363</v>
      </c>
      <c r="BJ260" s="288">
        <v>17.463034779000001</v>
      </c>
      <c r="BK260" s="288">
        <v>18.801202193999998</v>
      </c>
      <c r="BL260" s="288">
        <v>20.139369609999999</v>
      </c>
      <c r="BM260" s="288">
        <v>21.477537026</v>
      </c>
      <c r="BN260" s="288">
        <v>22.82</v>
      </c>
      <c r="BO260" s="288">
        <v>24.153871855999999</v>
      </c>
      <c r="BP260" s="288">
        <v>25.49</v>
      </c>
      <c r="BQ260" s="288">
        <v>26.830206688000001</v>
      </c>
      <c r="BR260" s="288">
        <v>28.168374104000002</v>
      </c>
      <c r="BS260" s="288">
        <v>29.506541518999999</v>
      </c>
      <c r="BT260" s="288">
        <v>30.844708935</v>
      </c>
    </row>
    <row r="261" spans="3:72">
      <c r="C261" s="127" t="s">
        <v>1108</v>
      </c>
      <c r="D261" s="127"/>
      <c r="E261" s="127"/>
      <c r="F261" s="127"/>
      <c r="G261" s="128"/>
      <c r="H261" s="128"/>
      <c r="I261" s="128"/>
      <c r="J261" s="128"/>
      <c r="K261" s="128"/>
      <c r="L261" s="128"/>
      <c r="M261" s="128"/>
      <c r="N261" s="128"/>
      <c r="O261" s="128"/>
      <c r="P261" s="128"/>
      <c r="Q261" s="128"/>
      <c r="R261" s="128"/>
      <c r="S261" s="128"/>
      <c r="T261" s="128"/>
      <c r="U261" s="128"/>
      <c r="V261" s="128"/>
      <c r="W261" s="128"/>
      <c r="X261" s="128"/>
      <c r="Y261" s="128"/>
      <c r="Z261" s="128">
        <v>2.233828661</v>
      </c>
      <c r="AA261" s="128">
        <v>2.233828661</v>
      </c>
      <c r="AB261" s="128">
        <v>2.233828661</v>
      </c>
      <c r="AC261" s="128">
        <v>2.233828661</v>
      </c>
      <c r="AD261" s="128">
        <v>26.151751644000001</v>
      </c>
      <c r="AE261" s="128">
        <v>3.1244384090000001</v>
      </c>
      <c r="AF261" s="128">
        <v>3.1244384090000001</v>
      </c>
      <c r="AG261" s="128">
        <v>3.1244384090000001</v>
      </c>
      <c r="AH261" s="128">
        <v>3.9817723009999999</v>
      </c>
      <c r="AI261" s="128">
        <v>3.9817723009999999</v>
      </c>
      <c r="AJ261" s="128">
        <v>3.9817723009999999</v>
      </c>
      <c r="AK261" s="128">
        <v>3.9817723009999999</v>
      </c>
      <c r="AL261" s="128">
        <v>4.4936624810000003</v>
      </c>
      <c r="AM261" s="128">
        <v>4.4936624810000003</v>
      </c>
      <c r="AN261" s="128">
        <v>4.4936624810000003</v>
      </c>
      <c r="AO261" s="128">
        <v>4.4936624810000003</v>
      </c>
      <c r="AP261" s="128">
        <v>4.9698055080000003</v>
      </c>
      <c r="AQ261" s="128">
        <v>4.9698055080000003</v>
      </c>
      <c r="AR261" s="128">
        <v>4.9698055080000003</v>
      </c>
      <c r="AS261" s="288">
        <v>4.9698055080000003</v>
      </c>
      <c r="AT261" s="288">
        <v>5.6142930120000001</v>
      </c>
      <c r="AU261" s="288">
        <v>5.6142930120000001</v>
      </c>
      <c r="AV261" s="288">
        <v>5.6142930120000001</v>
      </c>
      <c r="AW261" s="158">
        <v>5.6142930120000001</v>
      </c>
      <c r="AX261" s="158">
        <v>6.3543842530000001</v>
      </c>
      <c r="AY261" s="158">
        <v>6.3543842530000001</v>
      </c>
      <c r="AZ261" s="158">
        <v>6.3543842530000001</v>
      </c>
      <c r="BA261" s="158">
        <v>6.3543842530000001</v>
      </c>
      <c r="BB261" s="288">
        <v>8.1692599720000008</v>
      </c>
      <c r="BC261" s="288">
        <v>8.1692599720000008</v>
      </c>
      <c r="BD261" s="288">
        <v>8.1692599720000008</v>
      </c>
      <c r="BE261" s="288">
        <v>8.1692599720000008</v>
      </c>
      <c r="BF261" s="288">
        <v>10.083832814999999</v>
      </c>
      <c r="BG261" s="288">
        <v>10.083832814999999</v>
      </c>
      <c r="BH261" s="288">
        <v>10.083832814999999</v>
      </c>
      <c r="BI261" s="288">
        <v>10.083832814999999</v>
      </c>
      <c r="BJ261" s="288">
        <v>16.124867363</v>
      </c>
      <c r="BK261" s="288">
        <v>16.124867363</v>
      </c>
      <c r="BL261" s="288">
        <v>16.124867363</v>
      </c>
      <c r="BM261" s="288">
        <v>16.124867363</v>
      </c>
      <c r="BN261" s="288">
        <v>21.48</v>
      </c>
      <c r="BO261" s="288">
        <v>21.477537026</v>
      </c>
      <c r="BP261" s="288">
        <v>21.48</v>
      </c>
      <c r="BQ261" s="288">
        <v>21.477537026</v>
      </c>
      <c r="BR261" s="288">
        <v>26.830206688000001</v>
      </c>
      <c r="BS261" s="288">
        <v>26.830206688000001</v>
      </c>
      <c r="BT261" s="288">
        <v>26.830206688000001</v>
      </c>
    </row>
    <row r="262" spans="3:72">
      <c r="C262" s="127" t="s">
        <v>1105</v>
      </c>
      <c r="D262" s="127"/>
      <c r="E262" s="127"/>
      <c r="F262" s="127"/>
      <c r="G262" s="128"/>
      <c r="H262" s="128"/>
      <c r="I262" s="128"/>
      <c r="J262" s="128"/>
      <c r="K262" s="128"/>
      <c r="L262" s="128"/>
      <c r="M262" s="128"/>
      <c r="N262" s="128"/>
      <c r="O262" s="128"/>
      <c r="P262" s="128"/>
      <c r="Q262" s="128"/>
      <c r="R262" s="128"/>
      <c r="S262" s="128"/>
      <c r="T262" s="128"/>
      <c r="U262" s="128"/>
      <c r="V262" s="128"/>
      <c r="W262" s="128"/>
      <c r="X262" s="128"/>
      <c r="Y262" s="128"/>
      <c r="Z262" s="128">
        <v>0.17384633699999999</v>
      </c>
      <c r="AA262" s="128">
        <v>0.37558187399999998</v>
      </c>
      <c r="AB262" s="128">
        <v>0.63309581100000001</v>
      </c>
      <c r="AC262" s="128">
        <v>0.89060974800000003</v>
      </c>
      <c r="AD262" s="128">
        <v>0</v>
      </c>
      <c r="AE262" s="128">
        <v>0.51502787400000005</v>
      </c>
      <c r="AF262" s="128">
        <v>0.72936134699999999</v>
      </c>
      <c r="AG262" s="128">
        <v>0.85733389199999999</v>
      </c>
      <c r="AH262" s="128">
        <v>0.12797254499999999</v>
      </c>
      <c r="AI262" s="128">
        <v>0.25594508999999999</v>
      </c>
      <c r="AJ262" s="128">
        <v>0.38391763499999998</v>
      </c>
      <c r="AK262" s="128">
        <v>0.51189017999999997</v>
      </c>
      <c r="AL262" s="128">
        <v>0.12797250900000001</v>
      </c>
      <c r="AM262" s="128">
        <v>0.25594501800000002</v>
      </c>
      <c r="AN262" s="128">
        <v>0.37692462900000001</v>
      </c>
      <c r="AO262" s="128">
        <v>0.476143027</v>
      </c>
      <c r="AP262" s="128">
        <v>6.8474167589999997</v>
      </c>
      <c r="AQ262" s="128">
        <v>7.5648954369999997</v>
      </c>
      <c r="AR262" s="128">
        <v>8.2138531609999994</v>
      </c>
      <c r="AS262" s="288">
        <v>0.64448750399999999</v>
      </c>
      <c r="AT262" s="288">
        <v>0.14806218900000001</v>
      </c>
      <c r="AU262" s="288">
        <v>-0.317244733</v>
      </c>
      <c r="AV262" s="288">
        <v>0.52866798699999995</v>
      </c>
      <c r="AW262" s="158">
        <v>0.74009124100000001</v>
      </c>
      <c r="AX262" s="158">
        <v>0.23638367399999999</v>
      </c>
      <c r="AY262" s="158">
        <v>0.76254768900000003</v>
      </c>
      <c r="AZ262" s="158">
        <v>1.288711704</v>
      </c>
      <c r="BA262" s="158">
        <v>1.814875719</v>
      </c>
      <c r="BB262" s="288">
        <v>0.52616401099999999</v>
      </c>
      <c r="BC262" s="288">
        <v>1.0523280260000001</v>
      </c>
      <c r="BD262" s="288">
        <v>1.526651177</v>
      </c>
      <c r="BE262" s="288">
        <v>1.914572843</v>
      </c>
      <c r="BF262" s="288">
        <v>1.6901532269999999</v>
      </c>
      <c r="BG262" s="288">
        <v>3.1404469559999999</v>
      </c>
      <c r="BH262" s="288">
        <v>4.5907406860000002</v>
      </c>
      <c r="BI262" s="288">
        <v>6.0410345479999998</v>
      </c>
      <c r="BJ262" s="288">
        <v>1.3381674160000001</v>
      </c>
      <c r="BK262" s="288">
        <v>2.6763348310000001</v>
      </c>
      <c r="BL262" s="288">
        <v>4.0145022470000002</v>
      </c>
      <c r="BM262" s="288">
        <v>5.3526696630000004</v>
      </c>
      <c r="BN262" s="288">
        <v>1.34</v>
      </c>
      <c r="BO262" s="288">
        <v>2.6763348300000001</v>
      </c>
      <c r="BP262" s="288">
        <v>4.01</v>
      </c>
      <c r="BQ262" s="288">
        <v>5.3526696620000003</v>
      </c>
      <c r="BR262" s="288">
        <v>1.3381674160000001</v>
      </c>
      <c r="BS262" s="288">
        <v>2.6763348310000001</v>
      </c>
      <c r="BT262" s="288">
        <v>4.0145022470000002</v>
      </c>
    </row>
    <row r="263" spans="3:72">
      <c r="C263" s="127" t="s">
        <v>1106</v>
      </c>
      <c r="D263" s="127"/>
      <c r="E263" s="127"/>
      <c r="F263" s="127"/>
      <c r="G263" s="128"/>
      <c r="H263" s="128"/>
      <c r="I263" s="128"/>
      <c r="J263" s="128"/>
      <c r="K263" s="128"/>
      <c r="L263" s="128"/>
      <c r="M263" s="128"/>
      <c r="N263" s="128"/>
      <c r="O263" s="128"/>
      <c r="P263" s="128"/>
      <c r="Q263" s="128"/>
      <c r="R263" s="128"/>
      <c r="S263" s="128"/>
      <c r="T263" s="128"/>
      <c r="U263" s="128"/>
      <c r="V263" s="128"/>
      <c r="W263" s="128"/>
      <c r="X263" s="128"/>
      <c r="Y263" s="128"/>
      <c r="Z263" s="128">
        <v>0</v>
      </c>
      <c r="AA263" s="128">
        <v>0</v>
      </c>
      <c r="AB263" s="128">
        <v>0</v>
      </c>
      <c r="AC263" s="128">
        <v>0</v>
      </c>
      <c r="AD263" s="128">
        <v>0</v>
      </c>
      <c r="AE263" s="128">
        <v>0</v>
      </c>
      <c r="AF263" s="128">
        <v>0</v>
      </c>
      <c r="AG263" s="128">
        <v>0</v>
      </c>
      <c r="AH263" s="128">
        <v>0</v>
      </c>
      <c r="AI263" s="128">
        <v>0</v>
      </c>
      <c r="AJ263" s="128">
        <v>0</v>
      </c>
      <c r="AK263" s="128">
        <v>0</v>
      </c>
      <c r="AL263" s="128">
        <v>0</v>
      </c>
      <c r="AM263" s="128">
        <v>0</v>
      </c>
      <c r="AN263" s="128">
        <v>0</v>
      </c>
      <c r="AO263" s="128">
        <v>0</v>
      </c>
      <c r="AP263" s="128">
        <v>0</v>
      </c>
      <c r="AQ263" s="128">
        <v>0</v>
      </c>
      <c r="AR263" s="128">
        <v>-1.8928040000000001E-3</v>
      </c>
      <c r="AS263" s="288">
        <v>0</v>
      </c>
      <c r="AT263" s="288">
        <v>0</v>
      </c>
      <c r="AU263" s="288">
        <v>0</v>
      </c>
      <c r="AV263" s="288">
        <v>0</v>
      </c>
      <c r="AW263" s="158">
        <v>0</v>
      </c>
      <c r="AX263" s="158">
        <v>0</v>
      </c>
      <c r="AY263" s="158">
        <v>0</v>
      </c>
      <c r="AZ263" s="158">
        <v>0</v>
      </c>
      <c r="BA263" s="158">
        <v>0</v>
      </c>
      <c r="BB263" s="288">
        <v>0</v>
      </c>
      <c r="BC263" s="288">
        <v>0</v>
      </c>
      <c r="BD263" s="288">
        <v>0</v>
      </c>
      <c r="BE263" s="288">
        <v>0</v>
      </c>
      <c r="BF263" s="288">
        <v>0</v>
      </c>
      <c r="BG263" s="288">
        <v>0</v>
      </c>
      <c r="BH263" s="288">
        <v>0</v>
      </c>
      <c r="BI263" s="288">
        <v>0</v>
      </c>
      <c r="BJ263" s="288">
        <v>0</v>
      </c>
      <c r="BK263" s="288">
        <v>0</v>
      </c>
      <c r="BL263" s="288">
        <v>0</v>
      </c>
      <c r="BM263" s="288">
        <v>0</v>
      </c>
      <c r="BN263" s="288">
        <v>0</v>
      </c>
      <c r="BO263" s="288">
        <v>0</v>
      </c>
      <c r="BP263" s="288">
        <v>0</v>
      </c>
      <c r="BQ263" s="288">
        <v>0</v>
      </c>
      <c r="BR263" s="288">
        <v>0</v>
      </c>
      <c r="BS263" s="288">
        <v>0</v>
      </c>
      <c r="BT263" s="288">
        <v>0</v>
      </c>
    </row>
    <row r="264" spans="3:72">
      <c r="C264" s="127" t="s">
        <v>1113</v>
      </c>
      <c r="D264" s="127"/>
      <c r="E264" s="127"/>
      <c r="F264" s="127"/>
      <c r="G264" s="128"/>
      <c r="H264" s="128"/>
      <c r="I264" s="128"/>
      <c r="J264" s="128"/>
      <c r="K264" s="128"/>
      <c r="L264" s="128"/>
      <c r="M264" s="128"/>
      <c r="N264" s="128"/>
      <c r="O264" s="128"/>
      <c r="P264" s="128"/>
      <c r="Q264" s="128"/>
      <c r="R264" s="128"/>
      <c r="S264" s="128"/>
      <c r="T264" s="128"/>
      <c r="U264" s="128"/>
      <c r="V264" s="128"/>
      <c r="W264" s="128"/>
      <c r="X264" s="128"/>
      <c r="Y264" s="128"/>
      <c r="Z264" s="128">
        <v>0</v>
      </c>
      <c r="AA264" s="128">
        <v>0</v>
      </c>
      <c r="AB264" s="128">
        <v>0</v>
      </c>
      <c r="AC264" s="128">
        <v>0</v>
      </c>
      <c r="AD264" s="128">
        <v>3.3819523459999998</v>
      </c>
      <c r="AE264" s="128">
        <v>0</v>
      </c>
      <c r="AF264" s="128">
        <v>0</v>
      </c>
      <c r="AG264" s="128">
        <v>0</v>
      </c>
      <c r="AH264" s="128">
        <v>0</v>
      </c>
      <c r="AI264" s="128">
        <v>0</v>
      </c>
      <c r="AJ264" s="128">
        <v>0</v>
      </c>
      <c r="AK264" s="128">
        <v>0</v>
      </c>
      <c r="AL264" s="128">
        <v>0</v>
      </c>
      <c r="AM264" s="128">
        <v>0</v>
      </c>
      <c r="AN264" s="128">
        <v>0</v>
      </c>
      <c r="AO264" s="128">
        <v>0</v>
      </c>
      <c r="AP264" s="128">
        <v>0</v>
      </c>
      <c r="AQ264" s="128">
        <v>0</v>
      </c>
      <c r="AR264" s="128">
        <v>0</v>
      </c>
      <c r="AS264" s="288">
        <v>0</v>
      </c>
      <c r="AT264" s="288">
        <v>0</v>
      </c>
      <c r="AU264" s="288">
        <v>0</v>
      </c>
      <c r="AV264" s="288">
        <v>0</v>
      </c>
      <c r="AW264" s="158">
        <v>0</v>
      </c>
      <c r="AX264" s="158">
        <v>0</v>
      </c>
      <c r="AY264" s="158">
        <v>0</v>
      </c>
      <c r="AZ264" s="158">
        <v>0</v>
      </c>
      <c r="BA264" s="158">
        <v>0</v>
      </c>
      <c r="BB264" s="288">
        <v>0</v>
      </c>
      <c r="BC264" s="288">
        <v>0</v>
      </c>
      <c r="BD264" s="288">
        <v>0</v>
      </c>
      <c r="BE264" s="288">
        <v>0</v>
      </c>
      <c r="BF264" s="288">
        <v>0</v>
      </c>
      <c r="BG264" s="288">
        <v>0</v>
      </c>
      <c r="BH264" s="288">
        <v>0</v>
      </c>
      <c r="BI264" s="288">
        <v>0</v>
      </c>
      <c r="BJ264" s="288">
        <v>0</v>
      </c>
      <c r="BK264" s="288">
        <v>0</v>
      </c>
      <c r="BL264" s="288">
        <v>0</v>
      </c>
      <c r="BM264" s="288">
        <v>0</v>
      </c>
      <c r="BN264" s="288">
        <v>0</v>
      </c>
      <c r="BO264" s="288">
        <v>0</v>
      </c>
      <c r="BP264" s="288">
        <v>0</v>
      </c>
      <c r="BQ264" s="288">
        <v>0</v>
      </c>
      <c r="BR264" s="288">
        <v>0</v>
      </c>
      <c r="BS264" s="288">
        <v>0</v>
      </c>
      <c r="BT264" s="288">
        <v>0</v>
      </c>
    </row>
    <row r="265" spans="3:72">
      <c r="C265" s="127" t="s">
        <v>1114</v>
      </c>
      <c r="D265" s="127"/>
      <c r="E265" s="127"/>
      <c r="F265" s="127"/>
      <c r="G265" s="128"/>
      <c r="H265" s="128"/>
      <c r="I265" s="128"/>
      <c r="J265" s="128"/>
      <c r="K265" s="128"/>
      <c r="L265" s="128"/>
      <c r="M265" s="128"/>
      <c r="N265" s="128"/>
      <c r="O265" s="128"/>
      <c r="P265" s="128"/>
      <c r="Q265" s="128"/>
      <c r="R265" s="128"/>
      <c r="S265" s="128"/>
      <c r="T265" s="128"/>
      <c r="U265" s="128"/>
      <c r="V265" s="128"/>
      <c r="W265" s="128"/>
      <c r="X265" s="128"/>
      <c r="Y265" s="128"/>
      <c r="Z265" s="128">
        <v>0</v>
      </c>
      <c r="AA265" s="128">
        <v>0</v>
      </c>
      <c r="AB265" s="128">
        <v>0</v>
      </c>
      <c r="AC265" s="128">
        <v>0</v>
      </c>
      <c r="AD265" s="128">
        <v>3.1244384090000001</v>
      </c>
      <c r="AE265" s="128">
        <v>0</v>
      </c>
      <c r="AF265" s="128">
        <v>0</v>
      </c>
      <c r="AG265" s="128">
        <v>0</v>
      </c>
      <c r="AH265" s="128">
        <v>0</v>
      </c>
      <c r="AI265" s="128">
        <v>0</v>
      </c>
      <c r="AJ265" s="128">
        <v>0</v>
      </c>
      <c r="AK265" s="128">
        <v>0</v>
      </c>
      <c r="AL265" s="128">
        <v>0</v>
      </c>
      <c r="AM265" s="128">
        <v>0</v>
      </c>
      <c r="AN265" s="128">
        <v>0</v>
      </c>
      <c r="AO265" s="128">
        <v>0</v>
      </c>
      <c r="AP265" s="128">
        <v>0</v>
      </c>
      <c r="AQ265" s="128">
        <v>0</v>
      </c>
      <c r="AR265" s="128">
        <v>0</v>
      </c>
      <c r="AS265" s="288">
        <v>0</v>
      </c>
      <c r="AT265" s="288">
        <v>0</v>
      </c>
      <c r="AU265" s="288">
        <v>0</v>
      </c>
      <c r="AV265" s="288">
        <v>0</v>
      </c>
      <c r="AW265" s="158">
        <v>0</v>
      </c>
      <c r="AX265" s="158">
        <v>0</v>
      </c>
      <c r="AY265" s="158">
        <v>0</v>
      </c>
      <c r="AZ265" s="158">
        <v>0</v>
      </c>
      <c r="BA265" s="158">
        <v>0</v>
      </c>
      <c r="BB265" s="288">
        <v>0</v>
      </c>
      <c r="BC265" s="288">
        <v>0</v>
      </c>
      <c r="BD265" s="288">
        <v>0</v>
      </c>
      <c r="BE265" s="288">
        <v>0</v>
      </c>
      <c r="BF265" s="288">
        <v>0</v>
      </c>
      <c r="BG265" s="288">
        <v>0</v>
      </c>
      <c r="BH265" s="288">
        <v>0</v>
      </c>
      <c r="BI265" s="288">
        <v>0</v>
      </c>
      <c r="BJ265" s="288">
        <v>0</v>
      </c>
      <c r="BK265" s="288">
        <v>0</v>
      </c>
      <c r="BL265" s="288">
        <v>0</v>
      </c>
      <c r="BM265" s="288">
        <v>0</v>
      </c>
      <c r="BN265" s="288">
        <v>0</v>
      </c>
      <c r="BO265" s="288">
        <v>0</v>
      </c>
      <c r="BP265" s="288">
        <v>0</v>
      </c>
      <c r="BQ265" s="288">
        <v>0</v>
      </c>
      <c r="BR265" s="288">
        <v>0</v>
      </c>
      <c r="BS265" s="288">
        <v>0</v>
      </c>
      <c r="BT265" s="288">
        <v>0</v>
      </c>
    </row>
    <row r="266" spans="3:72">
      <c r="C266" s="127" t="s">
        <v>1115</v>
      </c>
      <c r="D266" s="127"/>
      <c r="E266" s="127"/>
      <c r="F266" s="127"/>
      <c r="G266" s="128"/>
      <c r="H266" s="128"/>
      <c r="I266" s="128"/>
      <c r="J266" s="128"/>
      <c r="K266" s="128"/>
      <c r="L266" s="128"/>
      <c r="M266" s="128"/>
      <c r="N266" s="128"/>
      <c r="O266" s="128"/>
      <c r="P266" s="128"/>
      <c r="Q266" s="128"/>
      <c r="R266" s="128"/>
      <c r="S266" s="128"/>
      <c r="T266" s="128"/>
      <c r="U266" s="128"/>
      <c r="V266" s="128"/>
      <c r="W266" s="128"/>
      <c r="X266" s="128"/>
      <c r="Y266" s="128"/>
      <c r="Z266" s="128">
        <v>0</v>
      </c>
      <c r="AA266" s="128">
        <v>0</v>
      </c>
      <c r="AB266" s="128">
        <v>0</v>
      </c>
      <c r="AC266" s="128">
        <v>0</v>
      </c>
      <c r="AD266" s="128">
        <v>0.25751393700000003</v>
      </c>
      <c r="AE266" s="128">
        <v>0</v>
      </c>
      <c r="AF266" s="128">
        <v>0</v>
      </c>
      <c r="AG266" s="128">
        <v>0</v>
      </c>
      <c r="AH266" s="128">
        <v>0</v>
      </c>
      <c r="AI266" s="128">
        <v>0</v>
      </c>
      <c r="AJ266" s="128">
        <v>0</v>
      </c>
      <c r="AK266" s="128">
        <v>0</v>
      </c>
      <c r="AL266" s="128">
        <v>0</v>
      </c>
      <c r="AM266" s="128">
        <v>0</v>
      </c>
      <c r="AN266" s="128">
        <v>0</v>
      </c>
      <c r="AO266" s="128">
        <v>0</v>
      </c>
      <c r="AP266" s="128">
        <v>0</v>
      </c>
      <c r="AQ266" s="128">
        <v>0</v>
      </c>
      <c r="AR266" s="128">
        <v>0</v>
      </c>
      <c r="AS266" s="288">
        <v>0</v>
      </c>
      <c r="AT266" s="288">
        <v>0</v>
      </c>
      <c r="AU266" s="288">
        <v>0</v>
      </c>
      <c r="AV266" s="288">
        <v>0</v>
      </c>
      <c r="AW266" s="158">
        <v>0</v>
      </c>
      <c r="AX266" s="158">
        <v>0</v>
      </c>
      <c r="AY266" s="158">
        <v>0</v>
      </c>
      <c r="AZ266" s="158">
        <v>0</v>
      </c>
      <c r="BA266" s="158">
        <v>0</v>
      </c>
      <c r="BB266" s="288">
        <v>0</v>
      </c>
      <c r="BC266" s="288">
        <v>0</v>
      </c>
      <c r="BD266" s="288">
        <v>0</v>
      </c>
      <c r="BE266" s="288">
        <v>0</v>
      </c>
      <c r="BF266" s="288">
        <v>0</v>
      </c>
      <c r="BG266" s="288">
        <v>0</v>
      </c>
      <c r="BH266" s="288">
        <v>0</v>
      </c>
      <c r="BI266" s="288">
        <v>0</v>
      </c>
      <c r="BJ266" s="288">
        <v>0</v>
      </c>
      <c r="BK266" s="288">
        <v>0</v>
      </c>
      <c r="BL266" s="288">
        <v>0</v>
      </c>
      <c r="BM266" s="288">
        <v>0</v>
      </c>
      <c r="BN266" s="288">
        <v>0</v>
      </c>
      <c r="BO266" s="288">
        <v>0</v>
      </c>
      <c r="BP266" s="288">
        <v>0</v>
      </c>
      <c r="BQ266" s="288">
        <v>0</v>
      </c>
      <c r="BR266" s="288">
        <v>0</v>
      </c>
      <c r="BS266" s="288">
        <v>0</v>
      </c>
      <c r="BT266" s="288">
        <v>0</v>
      </c>
    </row>
    <row r="267" spans="3:72">
      <c r="C267" s="127" t="s">
        <v>1116</v>
      </c>
      <c r="D267" s="127"/>
      <c r="E267" s="127"/>
      <c r="F267" s="127"/>
      <c r="G267" s="128"/>
      <c r="H267" s="128"/>
      <c r="I267" s="128"/>
      <c r="J267" s="128"/>
      <c r="K267" s="128"/>
      <c r="L267" s="128"/>
      <c r="M267" s="128"/>
      <c r="N267" s="128"/>
      <c r="O267" s="128"/>
      <c r="P267" s="128"/>
      <c r="Q267" s="128"/>
      <c r="R267" s="128"/>
      <c r="S267" s="128"/>
      <c r="T267" s="128"/>
      <c r="U267" s="128"/>
      <c r="V267" s="128"/>
      <c r="W267" s="128"/>
      <c r="X267" s="128"/>
      <c r="Y267" s="128"/>
      <c r="Z267" s="128">
        <v>0</v>
      </c>
      <c r="AA267" s="128">
        <v>0</v>
      </c>
      <c r="AB267" s="128">
        <v>0</v>
      </c>
      <c r="AC267" s="128">
        <v>0</v>
      </c>
      <c r="AD267" s="128">
        <v>0</v>
      </c>
      <c r="AE267" s="128">
        <v>0</v>
      </c>
      <c r="AF267" s="128">
        <v>0</v>
      </c>
      <c r="AG267" s="128">
        <v>0</v>
      </c>
      <c r="AH267" s="128">
        <v>0</v>
      </c>
      <c r="AI267" s="128">
        <v>0</v>
      </c>
      <c r="AJ267" s="128">
        <v>0</v>
      </c>
      <c r="AK267" s="128">
        <v>0</v>
      </c>
      <c r="AL267" s="128">
        <v>0</v>
      </c>
      <c r="AM267" s="128">
        <v>0</v>
      </c>
      <c r="AN267" s="128">
        <v>0</v>
      </c>
      <c r="AO267" s="128">
        <v>0</v>
      </c>
      <c r="AP267" s="128">
        <v>0</v>
      </c>
      <c r="AQ267" s="128">
        <v>0</v>
      </c>
      <c r="AR267" s="128">
        <v>0</v>
      </c>
      <c r="AS267" s="288">
        <v>0</v>
      </c>
      <c r="AT267" s="288">
        <v>0</v>
      </c>
      <c r="AU267" s="288">
        <v>0</v>
      </c>
      <c r="AV267" s="288">
        <v>0</v>
      </c>
      <c r="AW267" s="158">
        <v>0</v>
      </c>
      <c r="AX267" s="158">
        <v>0</v>
      </c>
      <c r="AY267" s="158">
        <v>0</v>
      </c>
      <c r="AZ267" s="158">
        <v>0</v>
      </c>
      <c r="BA267" s="158">
        <v>0</v>
      </c>
      <c r="BB267" s="288">
        <v>0</v>
      </c>
      <c r="BC267" s="288">
        <v>0</v>
      </c>
      <c r="BD267" s="288">
        <v>0</v>
      </c>
      <c r="BE267" s="288">
        <v>0</v>
      </c>
      <c r="BF267" s="288">
        <v>0</v>
      </c>
      <c r="BG267" s="288">
        <v>0</v>
      </c>
      <c r="BH267" s="288">
        <v>0</v>
      </c>
      <c r="BI267" s="288">
        <v>0</v>
      </c>
      <c r="BJ267" s="288">
        <v>0</v>
      </c>
      <c r="BK267" s="288">
        <v>0</v>
      </c>
      <c r="BL267" s="288">
        <v>0</v>
      </c>
      <c r="BM267" s="288">
        <v>0</v>
      </c>
      <c r="BN267" s="288">
        <v>0</v>
      </c>
      <c r="BO267" s="288">
        <v>0</v>
      </c>
      <c r="BP267" s="288">
        <v>0</v>
      </c>
      <c r="BQ267" s="288">
        <v>0</v>
      </c>
      <c r="BR267" s="288">
        <v>0</v>
      </c>
      <c r="BS267" s="288">
        <v>0</v>
      </c>
      <c r="BT267" s="288">
        <v>0</v>
      </c>
    </row>
    <row r="268" spans="3:72">
      <c r="C268" s="127" t="s">
        <v>1117</v>
      </c>
      <c r="D268" s="127"/>
      <c r="E268" s="127"/>
      <c r="F268" s="127"/>
      <c r="G268" s="128"/>
      <c r="H268" s="128"/>
      <c r="I268" s="128"/>
      <c r="J268" s="128"/>
      <c r="K268" s="128"/>
      <c r="L268" s="128"/>
      <c r="M268" s="128"/>
      <c r="N268" s="128"/>
      <c r="O268" s="128"/>
      <c r="P268" s="128"/>
      <c r="Q268" s="128"/>
      <c r="R268" s="128"/>
      <c r="S268" s="128"/>
      <c r="T268" s="128"/>
      <c r="U268" s="128"/>
      <c r="V268" s="128"/>
      <c r="W268" s="128"/>
      <c r="X268" s="128"/>
      <c r="Y268" s="128"/>
      <c r="Z268" s="128">
        <v>0</v>
      </c>
      <c r="AA268" s="128">
        <v>0</v>
      </c>
      <c r="AB268" s="128">
        <v>0</v>
      </c>
      <c r="AC268" s="128">
        <v>0</v>
      </c>
      <c r="AD268" s="128">
        <v>0</v>
      </c>
      <c r="AE268" s="128">
        <v>0</v>
      </c>
      <c r="AF268" s="128">
        <v>0</v>
      </c>
      <c r="AG268" s="128">
        <v>0</v>
      </c>
      <c r="AH268" s="128">
        <v>0</v>
      </c>
      <c r="AI268" s="128">
        <v>0</v>
      </c>
      <c r="AJ268" s="128">
        <v>0</v>
      </c>
      <c r="AK268" s="128">
        <v>0</v>
      </c>
      <c r="AL268" s="128">
        <v>0</v>
      </c>
      <c r="AM268" s="128">
        <v>0</v>
      </c>
      <c r="AN268" s="128">
        <v>0</v>
      </c>
      <c r="AO268" s="128">
        <v>0</v>
      </c>
      <c r="AP268" s="128">
        <v>0</v>
      </c>
      <c r="AQ268" s="128">
        <v>0</v>
      </c>
      <c r="AR268" s="128">
        <v>0</v>
      </c>
      <c r="AS268" s="288">
        <v>0</v>
      </c>
      <c r="AT268" s="288">
        <v>0</v>
      </c>
      <c r="AU268" s="288">
        <v>0</v>
      </c>
      <c r="AV268" s="288">
        <v>0</v>
      </c>
      <c r="AW268" s="158">
        <v>0</v>
      </c>
      <c r="AX268" s="158">
        <v>0</v>
      </c>
      <c r="AY268" s="158">
        <v>0</v>
      </c>
      <c r="AZ268" s="158">
        <v>0</v>
      </c>
      <c r="BA268" s="158">
        <v>0</v>
      </c>
      <c r="BB268" s="288">
        <v>0</v>
      </c>
      <c r="BC268" s="288">
        <v>0</v>
      </c>
      <c r="BD268" s="288">
        <v>0</v>
      </c>
      <c r="BE268" s="288">
        <v>0</v>
      </c>
      <c r="BF268" s="288">
        <v>0</v>
      </c>
      <c r="BG268" s="288">
        <v>0</v>
      </c>
      <c r="BH268" s="288">
        <v>0</v>
      </c>
      <c r="BI268" s="288">
        <v>0</v>
      </c>
      <c r="BJ268" s="288">
        <v>0</v>
      </c>
      <c r="BK268" s="288">
        <v>0</v>
      </c>
      <c r="BL268" s="288">
        <v>0</v>
      </c>
      <c r="BM268" s="288">
        <v>0</v>
      </c>
      <c r="BN268" s="288">
        <v>0</v>
      </c>
      <c r="BO268" s="288">
        <v>0</v>
      </c>
      <c r="BP268" s="288">
        <v>0</v>
      </c>
      <c r="BQ268" s="288">
        <v>0</v>
      </c>
      <c r="BR268" s="288">
        <v>0</v>
      </c>
      <c r="BS268" s="288">
        <v>0</v>
      </c>
      <c r="BT268" s="288">
        <v>0</v>
      </c>
    </row>
    <row r="269" spans="3:72">
      <c r="C269" s="127" t="s">
        <v>877</v>
      </c>
      <c r="D269" s="127"/>
      <c r="E269" s="127"/>
      <c r="F269" s="127"/>
      <c r="G269" s="128"/>
      <c r="H269" s="128"/>
      <c r="I269" s="128"/>
      <c r="J269" s="128"/>
      <c r="K269" s="128"/>
      <c r="L269" s="128"/>
      <c r="M269" s="128"/>
      <c r="N269" s="128"/>
      <c r="O269" s="128"/>
      <c r="P269" s="128"/>
      <c r="Q269" s="128"/>
      <c r="R269" s="128"/>
      <c r="S269" s="128"/>
      <c r="T269" s="128"/>
      <c r="U269" s="128"/>
      <c r="V269" s="128"/>
      <c r="W269" s="128"/>
      <c r="X269" s="128"/>
      <c r="Y269" s="128"/>
      <c r="Z269" s="128">
        <v>0</v>
      </c>
      <c r="AA269" s="128">
        <v>0</v>
      </c>
      <c r="AB269" s="128">
        <v>0</v>
      </c>
      <c r="AC269" s="128">
        <v>0</v>
      </c>
      <c r="AD269" s="128">
        <v>0</v>
      </c>
      <c r="AE269" s="128">
        <v>0</v>
      </c>
      <c r="AF269" s="128">
        <v>0</v>
      </c>
      <c r="AG269" s="128">
        <v>0</v>
      </c>
      <c r="AH269" s="128">
        <v>0</v>
      </c>
      <c r="AI269" s="128">
        <v>0</v>
      </c>
      <c r="AJ269" s="128">
        <v>0</v>
      </c>
      <c r="AK269" s="128">
        <v>0</v>
      </c>
      <c r="AL269" s="128">
        <v>0</v>
      </c>
      <c r="AM269" s="128">
        <v>0</v>
      </c>
      <c r="AN269" s="128">
        <v>0</v>
      </c>
      <c r="AO269" s="128">
        <v>0</v>
      </c>
      <c r="AP269" s="128">
        <v>0</v>
      </c>
      <c r="AQ269" s="128">
        <v>0</v>
      </c>
      <c r="AR269" s="128">
        <v>0</v>
      </c>
      <c r="AS269" s="288">
        <v>0</v>
      </c>
      <c r="AT269" s="288">
        <v>0</v>
      </c>
      <c r="AU269" s="288">
        <v>0</v>
      </c>
      <c r="AV269" s="288">
        <v>0</v>
      </c>
      <c r="AW269" s="158">
        <v>0</v>
      </c>
      <c r="AX269" s="158">
        <v>0</v>
      </c>
      <c r="AY269" s="158">
        <v>0</v>
      </c>
      <c r="AZ269" s="158">
        <v>0</v>
      </c>
      <c r="BA269" s="158">
        <v>0</v>
      </c>
      <c r="BB269" s="288">
        <v>0</v>
      </c>
      <c r="BC269" s="288">
        <v>0</v>
      </c>
      <c r="BD269" s="288">
        <v>0</v>
      </c>
      <c r="BE269" s="288">
        <v>0</v>
      </c>
      <c r="BF269" s="288">
        <v>0</v>
      </c>
      <c r="BG269" s="288">
        <v>0</v>
      </c>
      <c r="BH269" s="288">
        <v>0</v>
      </c>
      <c r="BI269" s="288">
        <v>0</v>
      </c>
      <c r="BJ269" s="288">
        <v>0</v>
      </c>
      <c r="BK269" s="288">
        <v>0</v>
      </c>
      <c r="BL269" s="288">
        <v>0</v>
      </c>
      <c r="BM269" s="288">
        <v>0</v>
      </c>
      <c r="BN269" s="288">
        <v>0</v>
      </c>
      <c r="BO269" s="288">
        <v>0</v>
      </c>
      <c r="BP269" s="288">
        <v>0</v>
      </c>
      <c r="BQ269" s="288">
        <v>0</v>
      </c>
      <c r="BR269" s="288">
        <v>0</v>
      </c>
      <c r="BS269" s="288">
        <v>0</v>
      </c>
      <c r="BT269" s="288">
        <v>0</v>
      </c>
    </row>
    <row r="270" spans="3:72">
      <c r="C270" s="127" t="s">
        <v>1118</v>
      </c>
      <c r="D270" s="127"/>
      <c r="E270" s="127"/>
      <c r="F270" s="127"/>
      <c r="G270" s="128"/>
      <c r="H270" s="128"/>
      <c r="I270" s="128"/>
      <c r="J270" s="128"/>
      <c r="K270" s="128"/>
      <c r="L270" s="128"/>
      <c r="M270" s="128"/>
      <c r="N270" s="128"/>
      <c r="O270" s="128"/>
      <c r="P270" s="128"/>
      <c r="Q270" s="128"/>
      <c r="R270" s="128"/>
      <c r="S270" s="128"/>
      <c r="T270" s="128"/>
      <c r="U270" s="128"/>
      <c r="V270" s="128"/>
      <c r="W270" s="128"/>
      <c r="X270" s="128"/>
      <c r="Y270" s="128"/>
      <c r="Z270" s="128">
        <v>448.65003943099998</v>
      </c>
      <c r="AA270" s="128">
        <v>241.91162474999999</v>
      </c>
      <c r="AB270" s="128">
        <v>414.32506400699998</v>
      </c>
      <c r="AC270" s="128">
        <v>618.69030527300004</v>
      </c>
      <c r="AD270" s="128">
        <v>780.88315687399995</v>
      </c>
      <c r="AE270" s="128">
        <v>667.29388802200003</v>
      </c>
      <c r="AF270" s="128">
        <v>883.31895582799996</v>
      </c>
      <c r="AG270" s="128">
        <v>2052.9459726810001</v>
      </c>
      <c r="AH270" s="128">
        <v>1998.828634726</v>
      </c>
      <c r="AI270" s="128">
        <v>1791.414070369</v>
      </c>
      <c r="AJ270" s="128">
        <v>2794.1839176670001</v>
      </c>
      <c r="AK270" s="128">
        <v>4788.9917467570003</v>
      </c>
      <c r="AL270" s="128">
        <v>0</v>
      </c>
      <c r="AM270" s="128">
        <v>3978.0569347549999</v>
      </c>
      <c r="AN270" s="128">
        <v>3900.7244250990002</v>
      </c>
      <c r="AO270" s="128">
        <v>5603.505990527</v>
      </c>
      <c r="AP270" s="128">
        <v>6893.5439998519996</v>
      </c>
      <c r="AQ270" s="128">
        <v>6743.5269897520002</v>
      </c>
      <c r="AR270" s="128">
        <v>7380.3906074739998</v>
      </c>
      <c r="AS270" s="288">
        <v>5796.6257802210002</v>
      </c>
      <c r="AT270" s="288">
        <v>8617.6429018769995</v>
      </c>
      <c r="AU270" s="288">
        <v>9090.4837574800003</v>
      </c>
      <c r="AV270" s="288">
        <v>8912.5370665240007</v>
      </c>
      <c r="AW270" s="158">
        <v>13031.015620192</v>
      </c>
      <c r="AX270" s="158">
        <v>10494.639443168</v>
      </c>
      <c r="AY270" s="158">
        <v>10589.788254076</v>
      </c>
      <c r="AZ270" s="158">
        <v>11880.596453867</v>
      </c>
      <c r="BA270" s="158">
        <v>15625.180321923999</v>
      </c>
      <c r="BB270" s="288">
        <v>0</v>
      </c>
      <c r="BC270" s="288">
        <v>19966.291619420001</v>
      </c>
      <c r="BD270" s="288">
        <v>14165.406127888</v>
      </c>
      <c r="BE270" s="288">
        <v>21879.074278786</v>
      </c>
      <c r="BF270" s="288">
        <v>24485.558678312998</v>
      </c>
      <c r="BG270" s="288">
        <v>22345.204155750002</v>
      </c>
      <c r="BH270" s="288">
        <v>16857.380163190999</v>
      </c>
      <c r="BI270" s="288">
        <v>10688.138631456</v>
      </c>
      <c r="BJ270" s="288">
        <v>11313.106175626001</v>
      </c>
      <c r="BK270" s="288">
        <v>16337.283059017</v>
      </c>
      <c r="BL270" s="288">
        <v>17026.618308464</v>
      </c>
      <c r="BM270" s="288">
        <v>19128.541817780999</v>
      </c>
      <c r="BN270" s="288">
        <v>17573.259999999998</v>
      </c>
      <c r="BO270" s="288">
        <v>16896.538090308</v>
      </c>
      <c r="BP270" s="288">
        <v>17815.810000000001</v>
      </c>
      <c r="BQ270" s="288">
        <v>27300.246721779</v>
      </c>
      <c r="BR270" s="288">
        <v>26222.186029666998</v>
      </c>
      <c r="BS270" s="288">
        <v>31537.973205989001</v>
      </c>
      <c r="BT270" s="288">
        <v>28705.630115739001</v>
      </c>
    </row>
    <row r="271" spans="3:72">
      <c r="C271" s="127" t="s">
        <v>914</v>
      </c>
      <c r="D271" s="127"/>
      <c r="E271" s="127"/>
      <c r="F271" s="127"/>
      <c r="G271" s="128"/>
      <c r="H271" s="128"/>
      <c r="I271" s="128"/>
      <c r="J271" s="128"/>
      <c r="K271" s="128"/>
      <c r="L271" s="128"/>
      <c r="M271" s="128"/>
      <c r="N271" s="128"/>
      <c r="O271" s="128"/>
      <c r="P271" s="128"/>
      <c r="Q271" s="128"/>
      <c r="R271" s="128"/>
      <c r="S271" s="128"/>
      <c r="T271" s="128"/>
      <c r="U271" s="128"/>
      <c r="V271" s="128"/>
      <c r="W271" s="128"/>
      <c r="X271" s="128"/>
      <c r="Y271" s="128"/>
      <c r="Z271" s="128">
        <v>448.65003943099998</v>
      </c>
      <c r="AA271" s="128">
        <v>241.91162474999999</v>
      </c>
      <c r="AB271" s="128">
        <v>414.32506400699998</v>
      </c>
      <c r="AC271" s="128">
        <v>618.69030527300004</v>
      </c>
      <c r="AD271" s="128">
        <v>780.88315687399995</v>
      </c>
      <c r="AE271" s="128">
        <v>667.29388802200003</v>
      </c>
      <c r="AF271" s="128">
        <v>883.31895582799996</v>
      </c>
      <c r="AG271" s="128">
        <v>2052.9459726810001</v>
      </c>
      <c r="AH271" s="128">
        <v>1998.828634726</v>
      </c>
      <c r="AI271" s="128">
        <v>1791.414070369</v>
      </c>
      <c r="AJ271" s="128">
        <v>2794.1839176670001</v>
      </c>
      <c r="AK271" s="128">
        <v>4788.9917467570003</v>
      </c>
      <c r="AL271" s="128">
        <v>0</v>
      </c>
      <c r="AM271" s="128">
        <v>3978.0569347549999</v>
      </c>
      <c r="AN271" s="128">
        <v>3881.9744250990002</v>
      </c>
      <c r="AO271" s="128">
        <v>5528.505990527</v>
      </c>
      <c r="AP271" s="128">
        <v>6761.4939998520003</v>
      </c>
      <c r="AQ271" s="128">
        <v>6556.0269897520002</v>
      </c>
      <c r="AR271" s="128">
        <v>7147.8290659089998</v>
      </c>
      <c r="AS271" s="288">
        <v>5700.5989264250002</v>
      </c>
      <c r="AT271" s="288">
        <v>8481.7871912430001</v>
      </c>
      <c r="AU271" s="288">
        <v>9090.4837574800003</v>
      </c>
      <c r="AV271" s="288">
        <v>8912.5370665240007</v>
      </c>
      <c r="AW271" s="158">
        <v>13031.015620192</v>
      </c>
      <c r="AX271" s="158">
        <v>10494.639443168</v>
      </c>
      <c r="AY271" s="158">
        <v>10589.788254076</v>
      </c>
      <c r="AZ271" s="158">
        <v>11880.596453867</v>
      </c>
      <c r="BA271" s="158">
        <v>15625.180321923999</v>
      </c>
      <c r="BB271" s="288">
        <v>0</v>
      </c>
      <c r="BC271" s="288">
        <v>19966.291619420001</v>
      </c>
      <c r="BD271" s="288">
        <v>14165.406127888</v>
      </c>
      <c r="BE271" s="288">
        <v>20747.857612136999</v>
      </c>
      <c r="BF271" s="288">
        <v>20616.007011665999</v>
      </c>
      <c r="BG271" s="288">
        <v>21211.717489103001</v>
      </c>
      <c r="BH271" s="288">
        <v>12925.558496545</v>
      </c>
      <c r="BI271" s="288">
        <v>10688.138631456</v>
      </c>
      <c r="BJ271" s="288">
        <v>11313.106175626001</v>
      </c>
      <c r="BK271" s="288">
        <v>16337.283059017</v>
      </c>
      <c r="BL271" s="288">
        <v>17026.618308464</v>
      </c>
      <c r="BM271" s="288">
        <v>19128.541817780999</v>
      </c>
      <c r="BN271" s="288">
        <v>17573.259999999998</v>
      </c>
      <c r="BO271" s="288">
        <v>16896.538090308</v>
      </c>
      <c r="BP271" s="288">
        <v>17815.810000000001</v>
      </c>
      <c r="BQ271" s="288">
        <v>21351.721721778998</v>
      </c>
      <c r="BR271" s="288">
        <v>19000.413057056001</v>
      </c>
      <c r="BS271" s="288">
        <v>24316.200233378</v>
      </c>
      <c r="BT271" s="288">
        <v>27385.107143128</v>
      </c>
    </row>
    <row r="272" spans="3:72">
      <c r="C272" s="127" t="s">
        <v>1119</v>
      </c>
      <c r="D272" s="127"/>
      <c r="E272" s="127"/>
      <c r="F272" s="127"/>
      <c r="G272" s="128"/>
      <c r="H272" s="128"/>
      <c r="I272" s="128"/>
      <c r="J272" s="128"/>
      <c r="K272" s="128"/>
      <c r="L272" s="128"/>
      <c r="M272" s="128"/>
      <c r="N272" s="128"/>
      <c r="O272" s="128"/>
      <c r="P272" s="128"/>
      <c r="Q272" s="128"/>
      <c r="R272" s="128"/>
      <c r="S272" s="128"/>
      <c r="T272" s="128"/>
      <c r="U272" s="128"/>
      <c r="V272" s="128"/>
      <c r="W272" s="128"/>
      <c r="X272" s="128"/>
      <c r="Y272" s="128"/>
      <c r="Z272" s="128">
        <v>0</v>
      </c>
      <c r="AA272" s="128">
        <v>0</v>
      </c>
      <c r="AB272" s="128">
        <v>0</v>
      </c>
      <c r="AC272" s="128">
        <v>0</v>
      </c>
      <c r="AD272" s="128">
        <v>0</v>
      </c>
      <c r="AE272" s="128">
        <v>0</v>
      </c>
      <c r="AF272" s="128">
        <v>0</v>
      </c>
      <c r="AG272" s="128">
        <v>0</v>
      </c>
      <c r="AH272" s="128">
        <v>0</v>
      </c>
      <c r="AI272" s="128">
        <v>0</v>
      </c>
      <c r="AJ272" s="128">
        <v>0</v>
      </c>
      <c r="AK272" s="128">
        <v>0</v>
      </c>
      <c r="AL272" s="128">
        <v>0</v>
      </c>
      <c r="AM272" s="128">
        <v>0</v>
      </c>
      <c r="AN272" s="128">
        <v>18.75</v>
      </c>
      <c r="AO272" s="128">
        <v>75</v>
      </c>
      <c r="AP272" s="128">
        <v>132.05000000000001</v>
      </c>
      <c r="AQ272" s="128">
        <v>187.5</v>
      </c>
      <c r="AR272" s="128">
        <v>232.561541565</v>
      </c>
      <c r="AS272" s="288">
        <v>96.026853795999997</v>
      </c>
      <c r="AT272" s="288">
        <v>135.85571063399999</v>
      </c>
      <c r="AU272" s="288">
        <v>0</v>
      </c>
      <c r="AV272" s="288">
        <v>0</v>
      </c>
      <c r="AW272" s="158">
        <v>0</v>
      </c>
      <c r="AX272" s="158">
        <v>0</v>
      </c>
      <c r="AY272" s="158">
        <v>0</v>
      </c>
      <c r="AZ272" s="158">
        <v>0</v>
      </c>
      <c r="BA272" s="158">
        <v>0</v>
      </c>
      <c r="BB272" s="288">
        <v>0</v>
      </c>
      <c r="BC272" s="288">
        <v>0</v>
      </c>
      <c r="BD272" s="288">
        <v>0</v>
      </c>
      <c r="BE272" s="288">
        <v>1131.216666649</v>
      </c>
      <c r="BF272" s="288">
        <v>3869.5516666469998</v>
      </c>
      <c r="BG272" s="288">
        <v>1133.486666647</v>
      </c>
      <c r="BH272" s="288">
        <v>3931.8216666459998</v>
      </c>
      <c r="BI272" s="288">
        <v>0</v>
      </c>
      <c r="BJ272" s="288">
        <v>0</v>
      </c>
      <c r="BK272" s="288">
        <v>0</v>
      </c>
      <c r="BL272" s="288">
        <v>0</v>
      </c>
      <c r="BM272" s="288">
        <v>0</v>
      </c>
      <c r="BN272" s="288">
        <v>0</v>
      </c>
      <c r="BO272" s="288">
        <v>0</v>
      </c>
      <c r="BP272" s="288">
        <v>0</v>
      </c>
      <c r="BQ272" s="288">
        <v>5948.5249999999996</v>
      </c>
      <c r="BR272" s="288">
        <v>7221.7729726110001</v>
      </c>
      <c r="BS272" s="288">
        <v>5901.25</v>
      </c>
      <c r="BT272" s="288">
        <v>1320.5229726109999</v>
      </c>
    </row>
    <row r="273" spans="3:72">
      <c r="C273" s="127" t="s">
        <v>1120</v>
      </c>
      <c r="D273" s="127"/>
      <c r="E273" s="127"/>
      <c r="F273" s="127"/>
      <c r="G273" s="128"/>
      <c r="H273" s="128"/>
      <c r="I273" s="128"/>
      <c r="J273" s="128"/>
      <c r="K273" s="128"/>
      <c r="L273" s="128"/>
      <c r="M273" s="128"/>
      <c r="N273" s="128"/>
      <c r="O273" s="128"/>
      <c r="P273" s="128"/>
      <c r="Q273" s="128"/>
      <c r="R273" s="128"/>
      <c r="S273" s="128"/>
      <c r="T273" s="128"/>
      <c r="U273" s="128"/>
      <c r="V273" s="128"/>
      <c r="W273" s="128"/>
      <c r="X273" s="128"/>
      <c r="Y273" s="128"/>
      <c r="Z273" s="128">
        <v>0</v>
      </c>
      <c r="AA273" s="128">
        <v>0</v>
      </c>
      <c r="AB273" s="128">
        <v>0</v>
      </c>
      <c r="AC273" s="128">
        <v>30.159070256</v>
      </c>
      <c r="AD273" s="128">
        <v>30.159070256</v>
      </c>
      <c r="AE273" s="128">
        <v>30.159070256</v>
      </c>
      <c r="AF273" s="128">
        <v>30.159070256</v>
      </c>
      <c r="AG273" s="128">
        <v>30.159070256</v>
      </c>
      <c r="AH273" s="128">
        <v>30.159070256</v>
      </c>
      <c r="AI273" s="128">
        <v>30.159070256</v>
      </c>
      <c r="AJ273" s="128">
        <v>0</v>
      </c>
      <c r="AK273" s="128">
        <v>0</v>
      </c>
      <c r="AL273" s="128">
        <v>0</v>
      </c>
      <c r="AM273" s="128">
        <v>30.159070256</v>
      </c>
      <c r="AN273" s="128">
        <v>30.159070256</v>
      </c>
      <c r="AO273" s="128">
        <v>30.159070256</v>
      </c>
      <c r="AP273" s="128">
        <v>617.89589649499999</v>
      </c>
      <c r="AQ273" s="128">
        <v>617.89589649499999</v>
      </c>
      <c r="AR273" s="128">
        <v>617.89589649499999</v>
      </c>
      <c r="AS273" s="288">
        <v>613.91872118499998</v>
      </c>
      <c r="AT273" s="288">
        <v>613.91872118499998</v>
      </c>
      <c r="AU273" s="288">
        <v>613.91872118499998</v>
      </c>
      <c r="AV273" s="288">
        <v>613.91872118499998</v>
      </c>
      <c r="AW273" s="158">
        <v>613.91872118499998</v>
      </c>
      <c r="AX273" s="158">
        <v>613.91872118499998</v>
      </c>
      <c r="AY273" s="158">
        <v>613.91872118499998</v>
      </c>
      <c r="AZ273" s="158">
        <v>613.91872118499998</v>
      </c>
      <c r="BA273" s="158">
        <v>613.91872118499998</v>
      </c>
      <c r="BB273" s="288">
        <v>613.91872118499998</v>
      </c>
      <c r="BC273" s="288">
        <v>613.91872118499998</v>
      </c>
      <c r="BD273" s="288">
        <v>613.91872118499998</v>
      </c>
      <c r="BE273" s="288">
        <v>613.91872118499998</v>
      </c>
      <c r="BF273" s="288">
        <v>613.91872118499998</v>
      </c>
      <c r="BG273" s="288">
        <v>613.91872118499998</v>
      </c>
      <c r="BH273" s="288">
        <v>613.91872118499998</v>
      </c>
      <c r="BI273" s="288">
        <v>613.91872118499998</v>
      </c>
      <c r="BJ273" s="288">
        <v>613.91872118499998</v>
      </c>
      <c r="BK273" s="288">
        <v>613.91872118499998</v>
      </c>
      <c r="BL273" s="288">
        <v>613.91872118499998</v>
      </c>
      <c r="BM273" s="288">
        <v>613.91872118499998</v>
      </c>
      <c r="BN273" s="288">
        <v>613.91999999999996</v>
      </c>
      <c r="BO273" s="288">
        <v>613.91872118499998</v>
      </c>
      <c r="BP273" s="288">
        <v>613.91999999999996</v>
      </c>
      <c r="BQ273" s="288">
        <v>613.91872118499998</v>
      </c>
      <c r="BR273" s="288">
        <v>0</v>
      </c>
      <c r="BS273" s="288">
        <v>0</v>
      </c>
      <c r="BT273" s="288">
        <v>0</v>
      </c>
    </row>
    <row r="274" spans="3:72">
      <c r="C274" s="127" t="s">
        <v>1121</v>
      </c>
      <c r="D274" s="127"/>
      <c r="E274" s="127"/>
      <c r="F274" s="127"/>
      <c r="G274" s="128"/>
      <c r="H274" s="128"/>
      <c r="I274" s="128"/>
      <c r="J274" s="128"/>
      <c r="K274" s="128"/>
      <c r="L274" s="128"/>
      <c r="M274" s="128"/>
      <c r="N274" s="128"/>
      <c r="O274" s="128"/>
      <c r="P274" s="128"/>
      <c r="Q274" s="128"/>
      <c r="R274" s="128"/>
      <c r="S274" s="128"/>
      <c r="T274" s="128"/>
      <c r="U274" s="128"/>
      <c r="V274" s="128"/>
      <c r="W274" s="128"/>
      <c r="X274" s="128"/>
      <c r="Y274" s="128"/>
      <c r="Z274" s="128">
        <v>0</v>
      </c>
      <c r="AA274" s="128">
        <v>0</v>
      </c>
      <c r="AB274" s="128">
        <v>0</v>
      </c>
      <c r="AC274" s="128">
        <v>0.77603655100000002</v>
      </c>
      <c r="AD274" s="128">
        <v>30.159070256</v>
      </c>
      <c r="AE274" s="128">
        <v>30.159070256</v>
      </c>
      <c r="AF274" s="128">
        <v>30.159070256</v>
      </c>
      <c r="AG274" s="128">
        <v>30.159070256</v>
      </c>
      <c r="AH274" s="128">
        <v>30.159070256</v>
      </c>
      <c r="AI274" s="128">
        <v>30.159070256</v>
      </c>
      <c r="AJ274" s="128">
        <v>0</v>
      </c>
      <c r="AK274" s="128">
        <v>0</v>
      </c>
      <c r="AL274" s="128">
        <v>0</v>
      </c>
      <c r="AM274" s="128">
        <v>30.159070256</v>
      </c>
      <c r="AN274" s="128">
        <v>30.159070256</v>
      </c>
      <c r="AO274" s="128">
        <v>30.159070256</v>
      </c>
      <c r="AP274" s="128">
        <v>617.89589649499999</v>
      </c>
      <c r="AQ274" s="128">
        <v>617.89589649499999</v>
      </c>
      <c r="AR274" s="128">
        <v>617.89589649499999</v>
      </c>
      <c r="AS274" s="288">
        <v>0</v>
      </c>
      <c r="AT274" s="288">
        <v>613.91872118499998</v>
      </c>
      <c r="AU274" s="288">
        <v>613.91872118499998</v>
      </c>
      <c r="AV274" s="288">
        <v>613.91872118499998</v>
      </c>
      <c r="AW274" s="158">
        <v>613.91872118499998</v>
      </c>
      <c r="AX274" s="158">
        <v>613.91872118499998</v>
      </c>
      <c r="AY274" s="158">
        <v>613.91872118499998</v>
      </c>
      <c r="AZ274" s="158">
        <v>613.91872118499998</v>
      </c>
      <c r="BA274" s="158">
        <v>613.91872118499998</v>
      </c>
      <c r="BB274" s="288">
        <v>613.91872118499998</v>
      </c>
      <c r="BC274" s="288">
        <v>613.91872118499998</v>
      </c>
      <c r="BD274" s="288">
        <v>613.91872118499998</v>
      </c>
      <c r="BE274" s="288">
        <v>613.91872118499998</v>
      </c>
      <c r="BF274" s="288">
        <v>613.91872118499998</v>
      </c>
      <c r="BG274" s="288">
        <v>613.91872118499998</v>
      </c>
      <c r="BH274" s="288">
        <v>613.91872118499998</v>
      </c>
      <c r="BI274" s="288">
        <v>613.91872118499998</v>
      </c>
      <c r="BJ274" s="288">
        <v>613.91872118499998</v>
      </c>
      <c r="BK274" s="288">
        <v>613.91872118499998</v>
      </c>
      <c r="BL274" s="288">
        <v>613.91872118499998</v>
      </c>
      <c r="BM274" s="288">
        <v>613.91872118499998</v>
      </c>
      <c r="BN274" s="288">
        <v>613.91999999999996</v>
      </c>
      <c r="BO274" s="288">
        <v>613.91872118499998</v>
      </c>
      <c r="BP274" s="288">
        <v>613.91999999999996</v>
      </c>
      <c r="BQ274" s="288">
        <v>613.91872118499998</v>
      </c>
      <c r="BR274" s="288">
        <v>0</v>
      </c>
      <c r="BS274" s="288">
        <v>0</v>
      </c>
      <c r="BT274" s="288">
        <v>0</v>
      </c>
    </row>
    <row r="275" spans="3:72">
      <c r="C275" s="127" t="s">
        <v>1105</v>
      </c>
      <c r="D275" s="127"/>
      <c r="E275" s="127"/>
      <c r="F275" s="127"/>
      <c r="G275" s="128"/>
      <c r="H275" s="128"/>
      <c r="I275" s="128"/>
      <c r="J275" s="128"/>
      <c r="K275" s="128"/>
      <c r="L275" s="128"/>
      <c r="M275" s="128"/>
      <c r="N275" s="128"/>
      <c r="O275" s="128"/>
      <c r="P275" s="128"/>
      <c r="Q275" s="128"/>
      <c r="R275" s="128"/>
      <c r="S275" s="128"/>
      <c r="T275" s="128"/>
      <c r="U275" s="128"/>
      <c r="V275" s="128"/>
      <c r="W275" s="128"/>
      <c r="X275" s="128"/>
      <c r="Y275" s="128"/>
      <c r="Z275" s="128">
        <v>0</v>
      </c>
      <c r="AA275" s="128">
        <v>0</v>
      </c>
      <c r="AB275" s="128">
        <v>0</v>
      </c>
      <c r="AC275" s="128">
        <v>29.383033704999999</v>
      </c>
      <c r="AD275" s="128">
        <v>0</v>
      </c>
      <c r="AE275" s="128">
        <v>0</v>
      </c>
      <c r="AF275" s="128">
        <v>0</v>
      </c>
      <c r="AG275" s="128">
        <v>0</v>
      </c>
      <c r="AH275" s="128">
        <v>0</v>
      </c>
      <c r="AI275" s="128">
        <v>0</v>
      </c>
      <c r="AJ275" s="128">
        <v>0</v>
      </c>
      <c r="AK275" s="128">
        <v>0</v>
      </c>
      <c r="AL275" s="128">
        <v>0</v>
      </c>
      <c r="AM275" s="128">
        <v>0</v>
      </c>
      <c r="AN275" s="128">
        <v>0</v>
      </c>
      <c r="AO275" s="128">
        <v>0</v>
      </c>
      <c r="AP275" s="128">
        <v>0</v>
      </c>
      <c r="AQ275" s="128">
        <v>0</v>
      </c>
      <c r="AR275" s="128">
        <v>0</v>
      </c>
      <c r="AS275" s="288">
        <v>613.91872118499998</v>
      </c>
      <c r="AT275" s="288">
        <v>0</v>
      </c>
      <c r="AU275" s="288">
        <v>0</v>
      </c>
      <c r="AV275" s="288">
        <v>0</v>
      </c>
      <c r="AW275" s="158">
        <v>0</v>
      </c>
      <c r="AX275" s="158">
        <v>0</v>
      </c>
      <c r="AY275" s="158">
        <v>0</v>
      </c>
      <c r="AZ275" s="158">
        <v>0</v>
      </c>
      <c r="BA275" s="158">
        <v>0</v>
      </c>
      <c r="BB275" s="288">
        <v>0</v>
      </c>
      <c r="BC275" s="288">
        <v>0</v>
      </c>
      <c r="BD275" s="288">
        <v>0</v>
      </c>
      <c r="BE275" s="288">
        <v>0</v>
      </c>
      <c r="BF275" s="288">
        <v>0</v>
      </c>
      <c r="BG275" s="288">
        <v>0</v>
      </c>
      <c r="BH275" s="288">
        <v>0</v>
      </c>
      <c r="BI275" s="288">
        <v>0</v>
      </c>
      <c r="BJ275" s="288">
        <v>0</v>
      </c>
      <c r="BK275" s="288">
        <v>0</v>
      </c>
      <c r="BL275" s="288">
        <v>0</v>
      </c>
      <c r="BM275" s="288">
        <v>0</v>
      </c>
      <c r="BN275" s="288">
        <v>0</v>
      </c>
      <c r="BO275" s="288">
        <v>0</v>
      </c>
      <c r="BP275" s="288">
        <v>0</v>
      </c>
      <c r="BQ275" s="288">
        <v>0</v>
      </c>
      <c r="BR275" s="288">
        <v>0</v>
      </c>
      <c r="BS275" s="288">
        <v>0</v>
      </c>
      <c r="BT275" s="288">
        <v>0</v>
      </c>
    </row>
    <row r="276" spans="3:72">
      <c r="C276" s="127" t="s">
        <v>1106</v>
      </c>
      <c r="D276" s="127"/>
      <c r="E276" s="127"/>
      <c r="F276" s="127"/>
      <c r="G276" s="128"/>
      <c r="H276" s="128"/>
      <c r="I276" s="128"/>
      <c r="J276" s="128"/>
      <c r="K276" s="128"/>
      <c r="L276" s="128"/>
      <c r="M276" s="128"/>
      <c r="N276" s="128"/>
      <c r="O276" s="128"/>
      <c r="P276" s="128"/>
      <c r="Q276" s="128"/>
      <c r="R276" s="128"/>
      <c r="S276" s="128"/>
      <c r="T276" s="128"/>
      <c r="U276" s="128"/>
      <c r="V276" s="128"/>
      <c r="W276" s="128"/>
      <c r="X276" s="128"/>
      <c r="Y276" s="128"/>
      <c r="Z276" s="128">
        <v>0</v>
      </c>
      <c r="AA276" s="128">
        <v>0</v>
      </c>
      <c r="AB276" s="128">
        <v>0</v>
      </c>
      <c r="AC276" s="128">
        <v>0</v>
      </c>
      <c r="AD276" s="128">
        <v>0</v>
      </c>
      <c r="AE276" s="128">
        <v>0</v>
      </c>
      <c r="AF276" s="128">
        <v>0</v>
      </c>
      <c r="AG276" s="128">
        <v>0</v>
      </c>
      <c r="AH276" s="128">
        <v>0</v>
      </c>
      <c r="AI276" s="128">
        <v>0</v>
      </c>
      <c r="AJ276" s="128">
        <v>0</v>
      </c>
      <c r="AK276" s="128">
        <v>0</v>
      </c>
      <c r="AL276" s="128">
        <v>0</v>
      </c>
      <c r="AM276" s="128">
        <v>0</v>
      </c>
      <c r="AN276" s="128">
        <v>0</v>
      </c>
      <c r="AO276" s="128">
        <v>0</v>
      </c>
      <c r="AP276" s="128">
        <v>0</v>
      </c>
      <c r="AQ276" s="128">
        <v>0</v>
      </c>
      <c r="AR276" s="128">
        <v>0</v>
      </c>
      <c r="AS276" s="288">
        <v>0</v>
      </c>
      <c r="AT276" s="288">
        <v>0</v>
      </c>
      <c r="AU276" s="288">
        <v>0</v>
      </c>
      <c r="AV276" s="288">
        <v>0</v>
      </c>
      <c r="AW276" s="158">
        <v>0</v>
      </c>
      <c r="AX276" s="158">
        <v>0</v>
      </c>
      <c r="AY276" s="158">
        <v>0</v>
      </c>
      <c r="AZ276" s="158">
        <v>0</v>
      </c>
      <c r="BA276" s="158">
        <v>0</v>
      </c>
      <c r="BB276" s="288">
        <v>0</v>
      </c>
      <c r="BC276" s="288">
        <v>0</v>
      </c>
      <c r="BD276" s="288">
        <v>0</v>
      </c>
      <c r="BE276" s="288">
        <v>0</v>
      </c>
      <c r="BF276" s="288">
        <v>0</v>
      </c>
      <c r="BG276" s="288">
        <v>0</v>
      </c>
      <c r="BH276" s="288">
        <v>0</v>
      </c>
      <c r="BI276" s="288">
        <v>0</v>
      </c>
      <c r="BJ276" s="288">
        <v>0</v>
      </c>
      <c r="BK276" s="288">
        <v>0</v>
      </c>
      <c r="BL276" s="288">
        <v>0</v>
      </c>
      <c r="BM276" s="288">
        <v>0</v>
      </c>
      <c r="BN276" s="288">
        <v>0</v>
      </c>
      <c r="BO276" s="288">
        <v>0</v>
      </c>
      <c r="BP276" s="288">
        <v>0</v>
      </c>
      <c r="BQ276" s="288">
        <v>0</v>
      </c>
      <c r="BR276" s="288">
        <v>0</v>
      </c>
      <c r="BS276" s="288">
        <v>0</v>
      </c>
      <c r="BT276" s="288">
        <v>0</v>
      </c>
    </row>
    <row r="277" spans="3:72">
      <c r="C277" s="127" t="s">
        <v>1122</v>
      </c>
      <c r="D277" s="127"/>
      <c r="E277" s="127"/>
      <c r="F277" s="127"/>
      <c r="G277" s="128"/>
      <c r="H277" s="128"/>
      <c r="I277" s="128"/>
      <c r="J277" s="128"/>
      <c r="K277" s="128"/>
      <c r="L277" s="128"/>
      <c r="M277" s="128"/>
      <c r="N277" s="128"/>
      <c r="O277" s="128"/>
      <c r="P277" s="128"/>
      <c r="Q277" s="128"/>
      <c r="R277" s="128"/>
      <c r="S277" s="128"/>
      <c r="T277" s="128"/>
      <c r="U277" s="128"/>
      <c r="V277" s="128"/>
      <c r="W277" s="128"/>
      <c r="X277" s="128"/>
      <c r="Y277" s="128"/>
      <c r="Z277" s="128">
        <v>0</v>
      </c>
      <c r="AA277" s="128">
        <v>0</v>
      </c>
      <c r="AB277" s="128">
        <v>0</v>
      </c>
      <c r="AC277" s="128">
        <v>7.6125209920000003</v>
      </c>
      <c r="AD277" s="128">
        <v>10.117693133</v>
      </c>
      <c r="AE277" s="128">
        <v>12.622865274</v>
      </c>
      <c r="AF277" s="128">
        <v>15.128037415</v>
      </c>
      <c r="AG277" s="128">
        <v>17.633209556000001</v>
      </c>
      <c r="AH277" s="128">
        <v>20.138381697</v>
      </c>
      <c r="AI277" s="128">
        <v>22.643553837999999</v>
      </c>
      <c r="AJ277" s="128">
        <v>0</v>
      </c>
      <c r="AK277" s="128">
        <v>0</v>
      </c>
      <c r="AL277" s="128">
        <v>0</v>
      </c>
      <c r="AM277" s="128">
        <v>30.159070256</v>
      </c>
      <c r="AN277" s="128">
        <v>30.159070256</v>
      </c>
      <c r="AO277" s="128">
        <v>30.159070256</v>
      </c>
      <c r="AP277" s="128">
        <v>15.447397412000001</v>
      </c>
      <c r="AQ277" s="128">
        <v>30.894794825000002</v>
      </c>
      <c r="AR277" s="128">
        <v>46.342192236999999</v>
      </c>
      <c r="AS277" s="288">
        <v>61.391872118999999</v>
      </c>
      <c r="AT277" s="288">
        <v>76.739840149000003</v>
      </c>
      <c r="AU277" s="288">
        <v>92.087808178000003</v>
      </c>
      <c r="AV277" s="288">
        <v>107.43577620799999</v>
      </c>
      <c r="AW277" s="158">
        <v>122.783744238</v>
      </c>
      <c r="AX277" s="158">
        <v>138.131712268</v>
      </c>
      <c r="AY277" s="158">
        <v>153.47968029699999</v>
      </c>
      <c r="AZ277" s="158">
        <v>168.82764832699999</v>
      </c>
      <c r="BA277" s="158">
        <v>184.175616357</v>
      </c>
      <c r="BB277" s="288">
        <v>199.523583387</v>
      </c>
      <c r="BC277" s="288">
        <v>214.87155241599999</v>
      </c>
      <c r="BD277" s="288">
        <v>230.21952044599999</v>
      </c>
      <c r="BE277" s="288">
        <v>245.56748847599999</v>
      </c>
      <c r="BF277" s="288">
        <v>260.915456506</v>
      </c>
      <c r="BG277" s="288">
        <v>276.26342453500001</v>
      </c>
      <c r="BH277" s="288">
        <v>291.61139256500002</v>
      </c>
      <c r="BI277" s="288">
        <v>306.95936059000002</v>
      </c>
      <c r="BJ277" s="288">
        <v>322.30732862500003</v>
      </c>
      <c r="BK277" s="288">
        <v>337.65529665399998</v>
      </c>
      <c r="BL277" s="288">
        <v>353.00326468399999</v>
      </c>
      <c r="BM277" s="288">
        <v>368.35123271399999</v>
      </c>
      <c r="BN277" s="288">
        <v>383.7</v>
      </c>
      <c r="BO277" s="288">
        <v>399.04716877300001</v>
      </c>
      <c r="BP277" s="288">
        <v>506.48</v>
      </c>
      <c r="BQ277" s="288">
        <v>613.91872118499998</v>
      </c>
      <c r="BR277" s="288">
        <v>0</v>
      </c>
      <c r="BS277" s="288">
        <v>0</v>
      </c>
      <c r="BT277" s="288">
        <v>0</v>
      </c>
    </row>
    <row r="278" spans="3:72">
      <c r="C278" s="127" t="s">
        <v>1123</v>
      </c>
      <c r="D278" s="127"/>
      <c r="E278" s="127"/>
      <c r="F278" s="127"/>
      <c r="G278" s="128"/>
      <c r="H278" s="128"/>
      <c r="I278" s="128"/>
      <c r="J278" s="128"/>
      <c r="K278" s="128"/>
      <c r="L278" s="128"/>
      <c r="M278" s="128"/>
      <c r="N278" s="128"/>
      <c r="O278" s="128"/>
      <c r="P278" s="128"/>
      <c r="Q278" s="128"/>
      <c r="R278" s="128"/>
      <c r="S278" s="128"/>
      <c r="T278" s="128"/>
      <c r="U278" s="128"/>
      <c r="V278" s="128"/>
      <c r="W278" s="128"/>
      <c r="X278" s="128"/>
      <c r="Y278" s="128"/>
      <c r="Z278" s="128">
        <v>0</v>
      </c>
      <c r="AA278" s="128">
        <v>0</v>
      </c>
      <c r="AB278" s="128">
        <v>0</v>
      </c>
      <c r="AC278" s="128">
        <v>7.7603654999999994E-2</v>
      </c>
      <c r="AD278" s="128">
        <v>0</v>
      </c>
      <c r="AE278" s="128">
        <v>0</v>
      </c>
      <c r="AF278" s="128">
        <v>7.6125209920000003</v>
      </c>
      <c r="AG278" s="128">
        <v>7.6125209920000003</v>
      </c>
      <c r="AH278" s="128">
        <v>17.633209556000001</v>
      </c>
      <c r="AI278" s="128">
        <v>17.633209556000001</v>
      </c>
      <c r="AJ278" s="128">
        <v>0</v>
      </c>
      <c r="AK278" s="128">
        <v>0</v>
      </c>
      <c r="AL278" s="128">
        <v>0</v>
      </c>
      <c r="AM278" s="128">
        <v>27.653898120000001</v>
      </c>
      <c r="AN278" s="128">
        <v>27.653898120000001</v>
      </c>
      <c r="AO278" s="128">
        <v>27.653898120000001</v>
      </c>
      <c r="AP278" s="128">
        <v>0</v>
      </c>
      <c r="AQ278" s="128">
        <v>0</v>
      </c>
      <c r="AR278" s="128">
        <v>0</v>
      </c>
      <c r="AS278" s="288">
        <v>0</v>
      </c>
      <c r="AT278" s="288">
        <v>61.391872118999999</v>
      </c>
      <c r="AU278" s="288">
        <v>61.391872118999999</v>
      </c>
      <c r="AV278" s="288">
        <v>61.391872118999999</v>
      </c>
      <c r="AW278" s="158">
        <v>61.391872118999999</v>
      </c>
      <c r="AX278" s="158">
        <v>122.783744238</v>
      </c>
      <c r="AY278" s="158">
        <v>122.783744238</v>
      </c>
      <c r="AZ278" s="158">
        <v>122.783744238</v>
      </c>
      <c r="BA278" s="158">
        <v>122.783744238</v>
      </c>
      <c r="BB278" s="288">
        <v>184.175616357</v>
      </c>
      <c r="BC278" s="288">
        <v>184.175616357</v>
      </c>
      <c r="BD278" s="288">
        <v>184.175616357</v>
      </c>
      <c r="BE278" s="288">
        <v>184.175616357</v>
      </c>
      <c r="BF278" s="288">
        <v>245.56748847599999</v>
      </c>
      <c r="BG278" s="288">
        <v>245.56748847599999</v>
      </c>
      <c r="BH278" s="288">
        <v>245.56748847599999</v>
      </c>
      <c r="BI278" s="288">
        <v>245.56748847599999</v>
      </c>
      <c r="BJ278" s="288">
        <v>306.95936059500002</v>
      </c>
      <c r="BK278" s="288">
        <v>306.95936059500002</v>
      </c>
      <c r="BL278" s="288">
        <v>306.95936059500002</v>
      </c>
      <c r="BM278" s="288">
        <v>306.95936059500002</v>
      </c>
      <c r="BN278" s="288">
        <v>368.35</v>
      </c>
      <c r="BO278" s="288">
        <v>368.35123271399999</v>
      </c>
      <c r="BP278" s="288">
        <v>368.35</v>
      </c>
      <c r="BQ278" s="288">
        <v>368.35123271399999</v>
      </c>
      <c r="BR278" s="288">
        <v>0</v>
      </c>
      <c r="BS278" s="288">
        <v>0</v>
      </c>
      <c r="BT278" s="288">
        <v>0</v>
      </c>
    </row>
    <row r="279" spans="3:72">
      <c r="C279" s="127" t="s">
        <v>1105</v>
      </c>
      <c r="D279" s="127"/>
      <c r="E279" s="127"/>
      <c r="F279" s="127"/>
      <c r="G279" s="128"/>
      <c r="H279" s="128"/>
      <c r="I279" s="128"/>
      <c r="J279" s="128"/>
      <c r="K279" s="128"/>
      <c r="L279" s="128"/>
      <c r="M279" s="128"/>
      <c r="N279" s="128"/>
      <c r="O279" s="128"/>
      <c r="P279" s="128"/>
      <c r="Q279" s="128"/>
      <c r="R279" s="128"/>
      <c r="S279" s="128"/>
      <c r="T279" s="128"/>
      <c r="U279" s="128"/>
      <c r="V279" s="128"/>
      <c r="W279" s="128"/>
      <c r="X279" s="128"/>
      <c r="Y279" s="128"/>
      <c r="Z279" s="128">
        <v>0</v>
      </c>
      <c r="AA279" s="128">
        <v>0</v>
      </c>
      <c r="AB279" s="128">
        <v>0</v>
      </c>
      <c r="AC279" s="128">
        <v>7.5349173370000004</v>
      </c>
      <c r="AD279" s="128">
        <v>10.117693133</v>
      </c>
      <c r="AE279" s="128">
        <v>12.622865274</v>
      </c>
      <c r="AF279" s="128">
        <v>7.5155164230000002</v>
      </c>
      <c r="AG279" s="128">
        <v>10.020688564</v>
      </c>
      <c r="AH279" s="128">
        <v>2.5051721410000001</v>
      </c>
      <c r="AI279" s="128">
        <v>5.0103442820000001</v>
      </c>
      <c r="AJ279" s="128">
        <v>0</v>
      </c>
      <c r="AK279" s="128">
        <v>0</v>
      </c>
      <c r="AL279" s="128">
        <v>0</v>
      </c>
      <c r="AM279" s="128">
        <v>2.5051721360000001</v>
      </c>
      <c r="AN279" s="128">
        <v>2.5051721360000001</v>
      </c>
      <c r="AO279" s="128">
        <v>2.5051721360000001</v>
      </c>
      <c r="AP279" s="128">
        <v>15.447397412000001</v>
      </c>
      <c r="AQ279" s="128">
        <v>30.894794825000002</v>
      </c>
      <c r="AR279" s="128">
        <v>46.342192236999999</v>
      </c>
      <c r="AS279" s="288">
        <v>61.391872118999999</v>
      </c>
      <c r="AT279" s="288">
        <v>15.347968030000001</v>
      </c>
      <c r="AU279" s="288">
        <v>30.695936059000001</v>
      </c>
      <c r="AV279" s="288">
        <v>46.043904089000002</v>
      </c>
      <c r="AW279" s="158">
        <v>61.391872118999999</v>
      </c>
      <c r="AX279" s="158">
        <v>15.347968030000001</v>
      </c>
      <c r="AY279" s="158">
        <v>30.695936059000001</v>
      </c>
      <c r="AZ279" s="158">
        <v>46.043904089000002</v>
      </c>
      <c r="BA279" s="158">
        <v>61.391872118999999</v>
      </c>
      <c r="BB279" s="288">
        <v>15.34796703</v>
      </c>
      <c r="BC279" s="288">
        <v>30.695936059000001</v>
      </c>
      <c r="BD279" s="288">
        <v>46.043904089000002</v>
      </c>
      <c r="BE279" s="288">
        <v>61.391872118999999</v>
      </c>
      <c r="BF279" s="288">
        <v>15.347968030000001</v>
      </c>
      <c r="BG279" s="288">
        <v>30.695936059000001</v>
      </c>
      <c r="BH279" s="288">
        <v>46.043904089000002</v>
      </c>
      <c r="BI279" s="288">
        <v>61.391872114000002</v>
      </c>
      <c r="BJ279" s="288">
        <v>15.347968030000001</v>
      </c>
      <c r="BK279" s="288">
        <v>30.695936059000001</v>
      </c>
      <c r="BL279" s="288">
        <v>46.043904089000002</v>
      </c>
      <c r="BM279" s="288">
        <v>61.391872118999999</v>
      </c>
      <c r="BN279" s="288">
        <v>15.35</v>
      </c>
      <c r="BO279" s="288">
        <v>30.695936059000001</v>
      </c>
      <c r="BP279" s="288">
        <v>138.13</v>
      </c>
      <c r="BQ279" s="288">
        <v>245.56748847099999</v>
      </c>
      <c r="BR279" s="288">
        <v>0</v>
      </c>
      <c r="BS279" s="288">
        <v>0</v>
      </c>
      <c r="BT279" s="288">
        <v>0</v>
      </c>
    </row>
    <row r="280" spans="3:72">
      <c r="C280" s="127" t="s">
        <v>1106</v>
      </c>
      <c r="D280" s="127"/>
      <c r="E280" s="127"/>
      <c r="F280" s="127"/>
      <c r="G280" s="128"/>
      <c r="H280" s="128"/>
      <c r="I280" s="128"/>
      <c r="J280" s="128"/>
      <c r="K280" s="128"/>
      <c r="L280" s="128"/>
      <c r="M280" s="128"/>
      <c r="N280" s="128"/>
      <c r="O280" s="128"/>
      <c r="P280" s="128"/>
      <c r="Q280" s="128"/>
      <c r="R280" s="128"/>
      <c r="S280" s="128"/>
      <c r="T280" s="128"/>
      <c r="U280" s="128"/>
      <c r="V280" s="128"/>
      <c r="W280" s="128"/>
      <c r="X280" s="128"/>
      <c r="Y280" s="128"/>
      <c r="Z280" s="128">
        <v>0</v>
      </c>
      <c r="AA280" s="128">
        <v>0</v>
      </c>
      <c r="AB280" s="128">
        <v>0</v>
      </c>
      <c r="AC280" s="128">
        <v>0</v>
      </c>
      <c r="AD280" s="128">
        <v>0</v>
      </c>
      <c r="AE280" s="128">
        <v>0</v>
      </c>
      <c r="AF280" s="128">
        <v>0</v>
      </c>
      <c r="AG280" s="128">
        <v>0</v>
      </c>
      <c r="AH280" s="128">
        <v>0</v>
      </c>
      <c r="AI280" s="128">
        <v>0</v>
      </c>
      <c r="AJ280" s="128">
        <v>0</v>
      </c>
      <c r="AK280" s="128">
        <v>0</v>
      </c>
      <c r="AL280" s="128">
        <v>0</v>
      </c>
      <c r="AM280" s="128">
        <v>0</v>
      </c>
      <c r="AN280" s="128">
        <v>0</v>
      </c>
      <c r="AO280" s="128">
        <v>0</v>
      </c>
      <c r="AP280" s="128">
        <v>0</v>
      </c>
      <c r="AQ280" s="128">
        <v>0</v>
      </c>
      <c r="AR280" s="128">
        <v>0</v>
      </c>
      <c r="AS280" s="288">
        <v>0</v>
      </c>
      <c r="AT280" s="288">
        <v>0</v>
      </c>
      <c r="AU280" s="288">
        <v>0</v>
      </c>
      <c r="AV280" s="288">
        <v>0</v>
      </c>
      <c r="AW280" s="158">
        <v>0</v>
      </c>
      <c r="AX280" s="158">
        <v>0</v>
      </c>
      <c r="AY280" s="158">
        <v>0</v>
      </c>
      <c r="AZ280" s="158">
        <v>0</v>
      </c>
      <c r="BA280" s="158">
        <v>0</v>
      </c>
      <c r="BB280" s="288">
        <v>0</v>
      </c>
      <c r="BC280" s="288">
        <v>0</v>
      </c>
      <c r="BD280" s="288">
        <v>0</v>
      </c>
      <c r="BE280" s="288">
        <v>0</v>
      </c>
      <c r="BF280" s="288">
        <v>0</v>
      </c>
      <c r="BG280" s="288">
        <v>0</v>
      </c>
      <c r="BH280" s="288">
        <v>0</v>
      </c>
      <c r="BI280" s="288">
        <v>0</v>
      </c>
      <c r="BJ280" s="288">
        <v>0</v>
      </c>
      <c r="BK280" s="288">
        <v>0</v>
      </c>
      <c r="BL280" s="288">
        <v>0</v>
      </c>
      <c r="BM280" s="288">
        <v>0</v>
      </c>
      <c r="BN280" s="288">
        <v>0</v>
      </c>
      <c r="BO280" s="288">
        <v>0</v>
      </c>
      <c r="BP280" s="288">
        <v>0</v>
      </c>
      <c r="BQ280" s="288">
        <v>0</v>
      </c>
      <c r="BR280" s="288">
        <v>0</v>
      </c>
      <c r="BS280" s="288">
        <v>0</v>
      </c>
      <c r="BT280" s="288">
        <v>0</v>
      </c>
    </row>
    <row r="281" spans="3:72">
      <c r="C281" s="127" t="s">
        <v>1124</v>
      </c>
      <c r="D281" s="127"/>
      <c r="E281" s="127"/>
      <c r="F281" s="127"/>
      <c r="G281" s="128"/>
      <c r="H281" s="128"/>
      <c r="I281" s="128"/>
      <c r="J281" s="128"/>
      <c r="K281" s="128"/>
      <c r="L281" s="128"/>
      <c r="M281" s="128"/>
      <c r="N281" s="128"/>
      <c r="O281" s="128"/>
      <c r="P281" s="128"/>
      <c r="Q281" s="128"/>
      <c r="R281" s="128"/>
      <c r="S281" s="128"/>
      <c r="T281" s="128"/>
      <c r="U281" s="128"/>
      <c r="V281" s="128"/>
      <c r="W281" s="128"/>
      <c r="X281" s="128"/>
      <c r="Y281" s="128"/>
      <c r="Z281" s="128">
        <v>60.187948208999998</v>
      </c>
      <c r="AA281" s="128">
        <v>71.672519434999998</v>
      </c>
      <c r="AB281" s="128">
        <v>72.759238214999996</v>
      </c>
      <c r="AC281" s="128">
        <v>57.948259321000002</v>
      </c>
      <c r="AD281" s="128">
        <v>71.112413506999999</v>
      </c>
      <c r="AE281" s="128">
        <v>68.152899489999996</v>
      </c>
      <c r="AF281" s="128">
        <v>93.409217683999998</v>
      </c>
      <c r="AG281" s="128">
        <v>174.477742839</v>
      </c>
      <c r="AH281" s="128">
        <v>114.86101957</v>
      </c>
      <c r="AI281" s="128">
        <v>136.107845844</v>
      </c>
      <c r="AJ281" s="128">
        <v>118.40653087299999</v>
      </c>
      <c r="AK281" s="128">
        <v>105.53234764699999</v>
      </c>
      <c r="AL281" s="128">
        <v>174.348294049</v>
      </c>
      <c r="AM281" s="128">
        <v>206.76195586200001</v>
      </c>
      <c r="AN281" s="128">
        <v>213.89994620600001</v>
      </c>
      <c r="AO281" s="128">
        <v>137.42161228500001</v>
      </c>
      <c r="AP281" s="128">
        <v>291.26531068100002</v>
      </c>
      <c r="AQ281" s="128">
        <v>341.01107040599999</v>
      </c>
      <c r="AR281" s="128">
        <v>385.29569132300003</v>
      </c>
      <c r="AS281" s="288">
        <v>0</v>
      </c>
      <c r="AT281" s="288">
        <v>408.33877304499998</v>
      </c>
      <c r="AU281" s="288">
        <v>475.173653253</v>
      </c>
      <c r="AV281" s="288">
        <v>459.77199703500003</v>
      </c>
      <c r="AW281" s="158">
        <v>374.62326911000002</v>
      </c>
      <c r="AX281" s="158">
        <v>959.338033086</v>
      </c>
      <c r="AY281" s="158">
        <v>921.41847250599994</v>
      </c>
      <c r="AZ281" s="158">
        <v>835.71650247299999</v>
      </c>
      <c r="BA281" s="158">
        <v>634.91786817599996</v>
      </c>
      <c r="BB281" s="288">
        <v>704.90977154899997</v>
      </c>
      <c r="BC281" s="288">
        <v>781.81407611700001</v>
      </c>
      <c r="BD281" s="288">
        <v>896.22792383599995</v>
      </c>
      <c r="BE281" s="288">
        <v>700.447931165</v>
      </c>
      <c r="BF281" s="288">
        <v>867.93842115799998</v>
      </c>
      <c r="BG281" s="288">
        <v>909.24003128300001</v>
      </c>
      <c r="BH281" s="288">
        <v>893.94644252000001</v>
      </c>
      <c r="BI281" s="288">
        <v>764.244077963</v>
      </c>
      <c r="BJ281" s="288">
        <v>317.84398350499998</v>
      </c>
      <c r="BK281" s="288">
        <v>302.37024144499998</v>
      </c>
      <c r="BL281" s="288">
        <v>363.54606865199997</v>
      </c>
      <c r="BM281" s="288">
        <v>418.17325159500001</v>
      </c>
      <c r="BN281" s="288">
        <v>599.64</v>
      </c>
      <c r="BO281" s="288">
        <v>645.29298321600004</v>
      </c>
      <c r="BP281" s="288">
        <v>603.77</v>
      </c>
      <c r="BQ281" s="288">
        <v>534.22242872699996</v>
      </c>
      <c r="BR281" s="288">
        <v>532.077002204</v>
      </c>
      <c r="BS281" s="288">
        <v>660.30694675500001</v>
      </c>
      <c r="BT281" s="288">
        <v>572.13832506200004</v>
      </c>
    </row>
    <row r="282" spans="3:72">
      <c r="C282" s="127" t="s">
        <v>1125</v>
      </c>
      <c r="D282" s="127"/>
      <c r="E282" s="127"/>
      <c r="F282" s="127"/>
      <c r="G282" s="128"/>
      <c r="H282" s="128"/>
      <c r="I282" s="128"/>
      <c r="J282" s="128"/>
      <c r="K282" s="128"/>
      <c r="L282" s="128"/>
      <c r="M282" s="128"/>
      <c r="N282" s="128"/>
      <c r="O282" s="128"/>
      <c r="P282" s="128"/>
      <c r="Q282" s="128"/>
      <c r="R282" s="128"/>
      <c r="S282" s="128"/>
      <c r="T282" s="128"/>
      <c r="U282" s="128"/>
      <c r="V282" s="128"/>
      <c r="W282" s="128"/>
      <c r="X282" s="128"/>
      <c r="Y282" s="128"/>
      <c r="Z282" s="128">
        <v>7.8432588609999998</v>
      </c>
      <c r="AA282" s="128">
        <v>13.852730746000001</v>
      </c>
      <c r="AB282" s="128">
        <v>5.7138355230000002</v>
      </c>
      <c r="AC282" s="128">
        <v>1.558548324</v>
      </c>
      <c r="AD282" s="128">
        <v>5.0894862769999998</v>
      </c>
      <c r="AE282" s="128">
        <v>3.7619671600000002</v>
      </c>
      <c r="AF282" s="128">
        <v>2.7274167889999998</v>
      </c>
      <c r="AG282" s="128">
        <v>2.0180013E-2</v>
      </c>
      <c r="AH282" s="128">
        <v>3.540710426</v>
      </c>
      <c r="AI282" s="128">
        <v>25.709105865000002</v>
      </c>
      <c r="AJ282" s="128">
        <v>2.3269399850000001</v>
      </c>
      <c r="AK282" s="128">
        <v>4.875E-3</v>
      </c>
      <c r="AL282" s="128">
        <v>7.7743337439999998</v>
      </c>
      <c r="AM282" s="128">
        <v>56.800410890000002</v>
      </c>
      <c r="AN282" s="128">
        <v>52.582263464</v>
      </c>
      <c r="AO282" s="128">
        <v>86.778805235999997</v>
      </c>
      <c r="AP282" s="128">
        <v>28.853240071999998</v>
      </c>
      <c r="AQ282" s="128">
        <v>103.422214856</v>
      </c>
      <c r="AR282" s="128">
        <v>148.67905148899999</v>
      </c>
      <c r="AS282" s="288">
        <v>0</v>
      </c>
      <c r="AT282" s="288">
        <v>104.549979943</v>
      </c>
      <c r="AU282" s="288">
        <v>124.372851697</v>
      </c>
      <c r="AV282" s="288">
        <v>80.930799135000001</v>
      </c>
      <c r="AW282" s="158">
        <v>3.9592937250000002</v>
      </c>
      <c r="AX282" s="158">
        <v>245.09494055299999</v>
      </c>
      <c r="AY282" s="158">
        <v>221.46447143399999</v>
      </c>
      <c r="AZ282" s="158">
        <v>172.68273691300001</v>
      </c>
      <c r="BA282" s="158">
        <v>92.382703376999999</v>
      </c>
      <c r="BB282" s="288">
        <v>113.104704318</v>
      </c>
      <c r="BC282" s="288">
        <v>248.19984052500001</v>
      </c>
      <c r="BD282" s="288">
        <v>136.539663827</v>
      </c>
      <c r="BE282" s="288">
        <v>27.210732061000002</v>
      </c>
      <c r="BF282" s="288">
        <v>552.12211888100001</v>
      </c>
      <c r="BG282" s="288">
        <v>202.27978517299999</v>
      </c>
      <c r="BH282" s="288">
        <v>143.30839610800001</v>
      </c>
      <c r="BI282" s="288">
        <v>184.21521826700001</v>
      </c>
      <c r="BJ282" s="288">
        <v>191.64262997700001</v>
      </c>
      <c r="BK282" s="288">
        <v>172.89264532199999</v>
      </c>
      <c r="BL282" s="288">
        <v>204.096611303</v>
      </c>
      <c r="BM282" s="288">
        <v>286.79273461499997</v>
      </c>
      <c r="BN282" s="288">
        <v>210.52</v>
      </c>
      <c r="BO282" s="288">
        <v>225.25110693799999</v>
      </c>
      <c r="BP282" s="288">
        <v>227.75</v>
      </c>
      <c r="BQ282" s="288">
        <v>243.45087373499999</v>
      </c>
      <c r="BR282" s="288">
        <v>142.87830277800001</v>
      </c>
      <c r="BS282" s="288">
        <v>205.17454336099999</v>
      </c>
      <c r="BT282" s="288">
        <v>199.66114507699999</v>
      </c>
    </row>
    <row r="283" spans="3:72">
      <c r="C283" s="127" t="s">
        <v>1126</v>
      </c>
      <c r="D283" s="127"/>
      <c r="E283" s="127"/>
      <c r="F283" s="127"/>
      <c r="G283" s="128"/>
      <c r="H283" s="128"/>
      <c r="I283" s="128"/>
      <c r="J283" s="128"/>
      <c r="K283" s="128"/>
      <c r="L283" s="128"/>
      <c r="M283" s="128"/>
      <c r="N283" s="128"/>
      <c r="O283" s="128"/>
      <c r="P283" s="128"/>
      <c r="Q283" s="128"/>
      <c r="R283" s="128"/>
      <c r="S283" s="128"/>
      <c r="T283" s="128"/>
      <c r="U283" s="128"/>
      <c r="V283" s="128"/>
      <c r="W283" s="128"/>
      <c r="X283" s="128"/>
      <c r="Y283" s="128"/>
      <c r="Z283" s="128">
        <v>0</v>
      </c>
      <c r="AA283" s="128">
        <v>0</v>
      </c>
      <c r="AB283" s="128">
        <v>0</v>
      </c>
      <c r="AC283" s="128">
        <v>0</v>
      </c>
      <c r="AD283" s="128">
        <v>0</v>
      </c>
      <c r="AE283" s="128">
        <v>0</v>
      </c>
      <c r="AF283" s="128">
        <v>0</v>
      </c>
      <c r="AG283" s="128">
        <v>0</v>
      </c>
      <c r="AH283" s="128">
        <v>0</v>
      </c>
      <c r="AI283" s="128">
        <v>0</v>
      </c>
      <c r="AJ283" s="128">
        <v>0</v>
      </c>
      <c r="AK283" s="128">
        <v>0</v>
      </c>
      <c r="AL283" s="128">
        <v>0</v>
      </c>
      <c r="AM283" s="128">
        <v>0</v>
      </c>
      <c r="AN283" s="128">
        <v>0</v>
      </c>
      <c r="AO283" s="128">
        <v>0</v>
      </c>
      <c r="AP283" s="128">
        <v>0</v>
      </c>
      <c r="AQ283" s="128">
        <v>0</v>
      </c>
      <c r="AR283" s="128">
        <v>0</v>
      </c>
      <c r="AS283" s="288">
        <v>0</v>
      </c>
      <c r="AT283" s="288">
        <v>0</v>
      </c>
      <c r="AU283" s="288">
        <v>0</v>
      </c>
      <c r="AV283" s="288">
        <v>0</v>
      </c>
      <c r="AW283" s="158">
        <v>0</v>
      </c>
      <c r="AX283" s="158">
        <v>0</v>
      </c>
      <c r="AY283" s="158">
        <v>0</v>
      </c>
      <c r="AZ283" s="158">
        <v>0</v>
      </c>
      <c r="BA283" s="158">
        <v>0</v>
      </c>
      <c r="BB283" s="288">
        <v>0</v>
      </c>
      <c r="BC283" s="288">
        <v>0</v>
      </c>
      <c r="BD283" s="288">
        <v>0</v>
      </c>
      <c r="BE283" s="288">
        <v>0</v>
      </c>
      <c r="BF283" s="288">
        <v>0</v>
      </c>
      <c r="BG283" s="288">
        <v>0</v>
      </c>
      <c r="BH283" s="288">
        <v>0</v>
      </c>
      <c r="BI283" s="288">
        <v>0</v>
      </c>
      <c r="BJ283" s="288">
        <v>0</v>
      </c>
      <c r="BK283" s="288">
        <v>0</v>
      </c>
      <c r="BL283" s="288">
        <v>0</v>
      </c>
      <c r="BM283" s="288">
        <v>0</v>
      </c>
      <c r="BN283" s="288">
        <v>0</v>
      </c>
      <c r="BO283" s="288">
        <v>0</v>
      </c>
      <c r="BP283" s="288">
        <v>0</v>
      </c>
      <c r="BQ283" s="288">
        <v>0</v>
      </c>
      <c r="BR283" s="288">
        <v>0</v>
      </c>
      <c r="BS283" s="288">
        <v>0</v>
      </c>
      <c r="BT283" s="288">
        <v>0</v>
      </c>
    </row>
    <row r="284" spans="3:72">
      <c r="C284" s="127" t="s">
        <v>1127</v>
      </c>
      <c r="D284" s="127"/>
      <c r="E284" s="127"/>
      <c r="F284" s="127"/>
      <c r="G284" s="128"/>
      <c r="H284" s="128"/>
      <c r="I284" s="128"/>
      <c r="J284" s="128"/>
      <c r="K284" s="128"/>
      <c r="L284" s="128"/>
      <c r="M284" s="128"/>
      <c r="N284" s="128"/>
      <c r="O284" s="128"/>
      <c r="P284" s="128"/>
      <c r="Q284" s="128"/>
      <c r="R284" s="128"/>
      <c r="S284" s="128"/>
      <c r="T284" s="128"/>
      <c r="U284" s="128"/>
      <c r="V284" s="128"/>
      <c r="W284" s="128"/>
      <c r="X284" s="128"/>
      <c r="Y284" s="128"/>
      <c r="Z284" s="128">
        <v>0</v>
      </c>
      <c r="AA284" s="128">
        <v>0</v>
      </c>
      <c r="AB284" s="128">
        <v>0</v>
      </c>
      <c r="AC284" s="128">
        <v>0</v>
      </c>
      <c r="AD284" s="128">
        <v>0</v>
      </c>
      <c r="AE284" s="128">
        <v>0</v>
      </c>
      <c r="AF284" s="128">
        <v>0</v>
      </c>
      <c r="AG284" s="128">
        <v>0</v>
      </c>
      <c r="AH284" s="128">
        <v>0</v>
      </c>
      <c r="AI284" s="128">
        <v>0</v>
      </c>
      <c r="AJ284" s="128">
        <v>0</v>
      </c>
      <c r="AK284" s="128">
        <v>0</v>
      </c>
      <c r="AL284" s="128">
        <v>0</v>
      </c>
      <c r="AM284" s="128">
        <v>0</v>
      </c>
      <c r="AN284" s="128">
        <v>0</v>
      </c>
      <c r="AO284" s="128">
        <v>0</v>
      </c>
      <c r="AP284" s="128">
        <v>0</v>
      </c>
      <c r="AQ284" s="128">
        <v>0</v>
      </c>
      <c r="AR284" s="128">
        <v>0</v>
      </c>
      <c r="AS284" s="288">
        <v>0</v>
      </c>
      <c r="AT284" s="288">
        <v>0</v>
      </c>
      <c r="AU284" s="288">
        <v>0</v>
      </c>
      <c r="AV284" s="288">
        <v>0</v>
      </c>
      <c r="AW284" s="158">
        <v>0</v>
      </c>
      <c r="AX284" s="158">
        <v>0</v>
      </c>
      <c r="AY284" s="158">
        <v>0</v>
      </c>
      <c r="AZ284" s="158">
        <v>0</v>
      </c>
      <c r="BA284" s="158">
        <v>0</v>
      </c>
      <c r="BB284" s="288">
        <v>0</v>
      </c>
      <c r="BC284" s="288">
        <v>0</v>
      </c>
      <c r="BD284" s="288">
        <v>0</v>
      </c>
      <c r="BE284" s="288">
        <v>0</v>
      </c>
      <c r="BF284" s="288">
        <v>0</v>
      </c>
      <c r="BG284" s="288">
        <v>0</v>
      </c>
      <c r="BH284" s="288">
        <v>0</v>
      </c>
      <c r="BI284" s="288">
        <v>0</v>
      </c>
      <c r="BJ284" s="288">
        <v>0</v>
      </c>
      <c r="BK284" s="288">
        <v>0</v>
      </c>
      <c r="BL284" s="288">
        <v>0</v>
      </c>
      <c r="BM284" s="288">
        <v>0</v>
      </c>
      <c r="BN284" s="288">
        <v>0</v>
      </c>
      <c r="BO284" s="288">
        <v>0</v>
      </c>
      <c r="BP284" s="288">
        <v>0</v>
      </c>
      <c r="BQ284" s="288">
        <v>0</v>
      </c>
      <c r="BR284" s="288">
        <v>0</v>
      </c>
      <c r="BS284" s="288">
        <v>0</v>
      </c>
      <c r="BT284" s="288">
        <v>0</v>
      </c>
    </row>
    <row r="285" spans="3:72">
      <c r="C285" s="127" t="s">
        <v>1128</v>
      </c>
      <c r="D285" s="127"/>
      <c r="E285" s="127"/>
      <c r="F285" s="127"/>
      <c r="G285" s="128"/>
      <c r="H285" s="128"/>
      <c r="I285" s="128"/>
      <c r="J285" s="128"/>
      <c r="K285" s="128"/>
      <c r="L285" s="128"/>
      <c r="M285" s="128"/>
      <c r="N285" s="128"/>
      <c r="O285" s="128"/>
      <c r="P285" s="128"/>
      <c r="Q285" s="128"/>
      <c r="R285" s="128"/>
      <c r="S285" s="128"/>
      <c r="T285" s="128"/>
      <c r="U285" s="128"/>
      <c r="V285" s="128"/>
      <c r="W285" s="128"/>
      <c r="X285" s="128"/>
      <c r="Y285" s="128"/>
      <c r="Z285" s="128">
        <v>46.009752229</v>
      </c>
      <c r="AA285" s="128">
        <v>50.566342675000001</v>
      </c>
      <c r="AB285" s="128">
        <v>63.994690359000003</v>
      </c>
      <c r="AC285" s="128">
        <v>56.194555201</v>
      </c>
      <c r="AD285" s="128">
        <v>65.280486636999996</v>
      </c>
      <c r="AE285" s="128">
        <v>63.679812585999997</v>
      </c>
      <c r="AF285" s="128">
        <v>88.984064388999997</v>
      </c>
      <c r="AG285" s="128">
        <v>172.757057796</v>
      </c>
      <c r="AH285" s="128">
        <v>109.23211483999999</v>
      </c>
      <c r="AI285" s="128">
        <v>110.002246184</v>
      </c>
      <c r="AJ285" s="128">
        <v>112.644285967</v>
      </c>
      <c r="AK285" s="128">
        <v>90.085304429000004</v>
      </c>
      <c r="AL285" s="128">
        <v>151.46169607499999</v>
      </c>
      <c r="AM285" s="128">
        <v>145.064422904</v>
      </c>
      <c r="AN285" s="128">
        <v>156.43868123799999</v>
      </c>
      <c r="AO285" s="128">
        <v>0</v>
      </c>
      <c r="AP285" s="128">
        <v>229.510906001</v>
      </c>
      <c r="AQ285" s="128">
        <v>233.97097949299999</v>
      </c>
      <c r="AR285" s="128">
        <v>230.20808047899999</v>
      </c>
      <c r="AS285" s="288">
        <v>0</v>
      </c>
      <c r="AT285" s="288">
        <v>295.748387514</v>
      </c>
      <c r="AU285" s="288">
        <v>338.90789931099999</v>
      </c>
      <c r="AV285" s="288">
        <v>374.98058748400001</v>
      </c>
      <c r="AW285" s="158">
        <v>347.36689288399998</v>
      </c>
      <c r="AX285" s="158">
        <v>609.52354496700002</v>
      </c>
      <c r="AY285" s="158">
        <v>682.36854311800005</v>
      </c>
      <c r="AZ285" s="158">
        <v>651.53369970100005</v>
      </c>
      <c r="BA285" s="158">
        <v>451.19527437099998</v>
      </c>
      <c r="BB285" s="288">
        <v>473.38872009200003</v>
      </c>
      <c r="BC285" s="288">
        <v>526.98324550500001</v>
      </c>
      <c r="BD285" s="288">
        <v>751.31491029799997</v>
      </c>
      <c r="BE285" s="288">
        <v>554.95774487799997</v>
      </c>
      <c r="BF285" s="288">
        <v>161.211053849</v>
      </c>
      <c r="BG285" s="288">
        <v>670.62060530600002</v>
      </c>
      <c r="BH285" s="288">
        <v>743.36291555699995</v>
      </c>
      <c r="BI285" s="288">
        <v>538.72681302599995</v>
      </c>
      <c r="BJ285" s="288">
        <v>118.42363283</v>
      </c>
      <c r="BK285" s="288">
        <v>123.62383099199999</v>
      </c>
      <c r="BL285" s="288">
        <v>154.23033569699999</v>
      </c>
      <c r="BM285" s="288">
        <v>110.05203120100001</v>
      </c>
      <c r="BN285" s="288">
        <v>324.04000000000002</v>
      </c>
      <c r="BO285" s="288">
        <v>401.39118813099998</v>
      </c>
      <c r="BP285" s="288">
        <v>358.37</v>
      </c>
      <c r="BQ285" s="288">
        <v>278.33939279999998</v>
      </c>
      <c r="BR285" s="288">
        <v>376.09853118699999</v>
      </c>
      <c r="BS285" s="288">
        <v>433.464386381</v>
      </c>
      <c r="BT285" s="288">
        <v>339.65069438699999</v>
      </c>
    </row>
    <row r="286" spans="3:72">
      <c r="C286" s="127" t="s">
        <v>1129</v>
      </c>
      <c r="D286" s="127"/>
      <c r="E286" s="127"/>
      <c r="F286" s="127"/>
      <c r="G286" s="128"/>
      <c r="H286" s="128"/>
      <c r="I286" s="128"/>
      <c r="J286" s="128"/>
      <c r="K286" s="128"/>
      <c r="L286" s="128"/>
      <c r="M286" s="128"/>
      <c r="N286" s="128"/>
      <c r="O286" s="128"/>
      <c r="P286" s="128"/>
      <c r="Q286" s="128"/>
      <c r="R286" s="128"/>
      <c r="S286" s="128"/>
      <c r="T286" s="128"/>
      <c r="U286" s="128"/>
      <c r="V286" s="128"/>
      <c r="W286" s="128"/>
      <c r="X286" s="128"/>
      <c r="Y286" s="128"/>
      <c r="Z286" s="128">
        <v>6.1990946740000004</v>
      </c>
      <c r="AA286" s="128">
        <v>6.7900102569999996</v>
      </c>
      <c r="AB286" s="128">
        <v>3.0341917839999999</v>
      </c>
      <c r="AC286" s="128">
        <v>8.2901795E-2</v>
      </c>
      <c r="AD286" s="128">
        <v>0.65789669399999995</v>
      </c>
      <c r="AE286" s="128">
        <v>0.452367768</v>
      </c>
      <c r="AF286" s="128">
        <v>1.4468664840000001</v>
      </c>
      <c r="AG286" s="128">
        <v>1.2923234109999999</v>
      </c>
      <c r="AH286" s="128">
        <v>1.8981774659999999</v>
      </c>
      <c r="AI286" s="128">
        <v>2.5499969000000001E-2</v>
      </c>
      <c r="AJ286" s="128">
        <v>2.839950457</v>
      </c>
      <c r="AK286" s="128">
        <v>14.4676379</v>
      </c>
      <c r="AL286" s="128">
        <v>14.871534405</v>
      </c>
      <c r="AM286" s="128">
        <v>3.6225272120000001</v>
      </c>
      <c r="AN286" s="128">
        <v>4.0275550259999999</v>
      </c>
      <c r="AO286" s="128">
        <v>48.505732221000002</v>
      </c>
      <c r="AP286" s="128">
        <v>32.023992346999997</v>
      </c>
      <c r="AQ286" s="128">
        <v>1.8985514960000001</v>
      </c>
      <c r="AR286" s="128">
        <v>4.6014945479999998</v>
      </c>
      <c r="AS286" s="288">
        <v>0</v>
      </c>
      <c r="AT286" s="288">
        <v>6.0246862769999998</v>
      </c>
      <c r="AU286" s="288">
        <v>10.528062163</v>
      </c>
      <c r="AV286" s="288">
        <v>2.7622469239999998</v>
      </c>
      <c r="AW286" s="158">
        <v>22.293550886999999</v>
      </c>
      <c r="AX286" s="158">
        <v>104.09582861</v>
      </c>
      <c r="AY286" s="158">
        <v>15.536866760000001</v>
      </c>
      <c r="AZ286" s="158">
        <v>9.3709081790000006</v>
      </c>
      <c r="BA286" s="158">
        <v>89.244444193000007</v>
      </c>
      <c r="BB286" s="288">
        <v>117.51019534300001</v>
      </c>
      <c r="BC286" s="288">
        <v>4.9504837400000001</v>
      </c>
      <c r="BD286" s="288">
        <v>7.3964977879999996</v>
      </c>
      <c r="BE286" s="288">
        <v>115.882957027</v>
      </c>
      <c r="BF286" s="288">
        <v>152.844973326</v>
      </c>
      <c r="BG286" s="288">
        <v>33.656578371000002</v>
      </c>
      <c r="BH286" s="288">
        <v>7.2751308549999996</v>
      </c>
      <c r="BI286" s="288">
        <v>40.700519360999998</v>
      </c>
      <c r="BJ286" s="288">
        <v>7.4186736829999997</v>
      </c>
      <c r="BK286" s="288">
        <v>5.2041302040000001</v>
      </c>
      <c r="BL286" s="288">
        <v>4.3048157360000001</v>
      </c>
      <c r="BM286" s="288">
        <v>20.050394005000001</v>
      </c>
      <c r="BN286" s="288">
        <v>64.67</v>
      </c>
      <c r="BO286" s="288">
        <v>17.989959636999998</v>
      </c>
      <c r="BP286" s="288">
        <v>16.95</v>
      </c>
      <c r="BQ286" s="288">
        <v>11.770642325000001</v>
      </c>
      <c r="BR286" s="288">
        <v>12.653233884</v>
      </c>
      <c r="BS286" s="288">
        <v>20.860866843</v>
      </c>
      <c r="BT286" s="288">
        <v>27.420160225</v>
      </c>
    </row>
    <row r="287" spans="3:72">
      <c r="C287" s="127" t="s">
        <v>1130</v>
      </c>
      <c r="D287" s="127"/>
      <c r="E287" s="127"/>
      <c r="F287" s="127"/>
      <c r="G287" s="128"/>
      <c r="H287" s="128"/>
      <c r="I287" s="128"/>
      <c r="J287" s="128"/>
      <c r="K287" s="128"/>
      <c r="L287" s="128"/>
      <c r="M287" s="128"/>
      <c r="N287" s="128"/>
      <c r="O287" s="128"/>
      <c r="P287" s="128"/>
      <c r="Q287" s="128"/>
      <c r="R287" s="128"/>
      <c r="S287" s="128"/>
      <c r="T287" s="128"/>
      <c r="U287" s="128"/>
      <c r="V287" s="128"/>
      <c r="W287" s="128"/>
      <c r="X287" s="128"/>
      <c r="Y287" s="128"/>
      <c r="Z287" s="128">
        <v>0</v>
      </c>
      <c r="AA287" s="128">
        <v>0</v>
      </c>
      <c r="AB287" s="128">
        <v>0</v>
      </c>
      <c r="AC287" s="128">
        <v>0</v>
      </c>
      <c r="AD287" s="128">
        <v>0</v>
      </c>
      <c r="AE287" s="128">
        <v>0</v>
      </c>
      <c r="AF287" s="128">
        <v>0</v>
      </c>
      <c r="AG287" s="128">
        <v>0</v>
      </c>
      <c r="AH287" s="128">
        <v>0</v>
      </c>
      <c r="AI287" s="128">
        <v>0</v>
      </c>
      <c r="AJ287" s="128">
        <v>0</v>
      </c>
      <c r="AK287" s="128">
        <v>0</v>
      </c>
      <c r="AL287" s="128">
        <v>0</v>
      </c>
      <c r="AM287" s="128">
        <v>0</v>
      </c>
      <c r="AN287" s="128">
        <v>0</v>
      </c>
      <c r="AO287" s="128">
        <v>0</v>
      </c>
      <c r="AP287" s="128">
        <v>0</v>
      </c>
      <c r="AQ287" s="128">
        <v>0</v>
      </c>
      <c r="AR287" s="128">
        <v>0</v>
      </c>
      <c r="AS287" s="288">
        <v>0</v>
      </c>
      <c r="AT287" s="288">
        <v>0</v>
      </c>
      <c r="AU287" s="288">
        <v>0</v>
      </c>
      <c r="AV287" s="288">
        <v>0</v>
      </c>
      <c r="AW287" s="158">
        <v>0</v>
      </c>
      <c r="AX287" s="158">
        <v>0</v>
      </c>
      <c r="AY287" s="158">
        <v>0</v>
      </c>
      <c r="AZ287" s="158">
        <v>0</v>
      </c>
      <c r="BA287" s="158">
        <v>0</v>
      </c>
      <c r="BB287" s="288">
        <v>0</v>
      </c>
      <c r="BC287" s="288">
        <v>0</v>
      </c>
      <c r="BD287" s="288">
        <v>0</v>
      </c>
      <c r="BE287" s="288">
        <v>0</v>
      </c>
      <c r="BF287" s="288">
        <v>0</v>
      </c>
      <c r="BG287" s="288">
        <v>0</v>
      </c>
      <c r="BH287" s="288">
        <v>0</v>
      </c>
      <c r="BI287" s="288">
        <v>0</v>
      </c>
      <c r="BJ287" s="288">
        <v>0</v>
      </c>
      <c r="BK287" s="288">
        <v>0</v>
      </c>
      <c r="BL287" s="288">
        <v>0</v>
      </c>
      <c r="BM287" s="288">
        <v>0</v>
      </c>
      <c r="BN287" s="288">
        <v>0</v>
      </c>
      <c r="BO287" s="288">
        <v>0</v>
      </c>
      <c r="BP287" s="288">
        <v>0</v>
      </c>
      <c r="BQ287" s="288">
        <v>0</v>
      </c>
      <c r="BR287" s="288">
        <v>0</v>
      </c>
      <c r="BS287" s="288">
        <v>0</v>
      </c>
      <c r="BT287" s="288">
        <v>0</v>
      </c>
    </row>
    <row r="288" spans="3:72">
      <c r="C288" s="127" t="s">
        <v>1131</v>
      </c>
      <c r="D288" s="127"/>
      <c r="E288" s="127"/>
      <c r="F288" s="127"/>
      <c r="G288" s="128"/>
      <c r="H288" s="128"/>
      <c r="I288" s="128"/>
      <c r="J288" s="128"/>
      <c r="K288" s="128"/>
      <c r="L288" s="128"/>
      <c r="M288" s="128"/>
      <c r="N288" s="128"/>
      <c r="O288" s="128"/>
      <c r="P288" s="128"/>
      <c r="Q288" s="128"/>
      <c r="R288" s="128"/>
      <c r="S288" s="128"/>
      <c r="T288" s="128"/>
      <c r="U288" s="128"/>
      <c r="V288" s="128"/>
      <c r="W288" s="128"/>
      <c r="X288" s="128"/>
      <c r="Y288" s="128"/>
      <c r="Z288" s="128">
        <v>0</v>
      </c>
      <c r="AA288" s="128">
        <v>0</v>
      </c>
      <c r="AB288" s="128">
        <v>0</v>
      </c>
      <c r="AC288" s="128">
        <v>0</v>
      </c>
      <c r="AD288" s="128">
        <v>0</v>
      </c>
      <c r="AE288" s="128">
        <v>0</v>
      </c>
      <c r="AF288" s="128">
        <v>0</v>
      </c>
      <c r="AG288" s="128">
        <v>0</v>
      </c>
      <c r="AH288" s="128">
        <v>0</v>
      </c>
      <c r="AI288" s="128">
        <v>0</v>
      </c>
      <c r="AJ288" s="128">
        <v>0</v>
      </c>
      <c r="AK288" s="128">
        <v>0</v>
      </c>
      <c r="AL288" s="128">
        <v>0</v>
      </c>
      <c r="AM288" s="128">
        <v>0</v>
      </c>
      <c r="AN288" s="128">
        <v>0</v>
      </c>
      <c r="AO288" s="128">
        <v>0</v>
      </c>
      <c r="AP288" s="128">
        <v>0</v>
      </c>
      <c r="AQ288" s="128">
        <v>0</v>
      </c>
      <c r="AR288" s="128">
        <v>0</v>
      </c>
      <c r="AS288" s="288">
        <v>0</v>
      </c>
      <c r="AT288" s="288">
        <v>0</v>
      </c>
      <c r="AU288" s="288">
        <v>0</v>
      </c>
      <c r="AV288" s="288">
        <v>0</v>
      </c>
      <c r="AW288" s="158">
        <v>0</v>
      </c>
      <c r="AX288" s="158">
        <v>0</v>
      </c>
      <c r="AY288" s="158">
        <v>0</v>
      </c>
      <c r="AZ288" s="158">
        <v>0</v>
      </c>
      <c r="BA288" s="158">
        <v>0</v>
      </c>
      <c r="BB288" s="288">
        <v>0</v>
      </c>
      <c r="BC288" s="288">
        <v>0</v>
      </c>
      <c r="BD288" s="288">
        <v>0</v>
      </c>
      <c r="BE288" s="288">
        <v>0</v>
      </c>
      <c r="BF288" s="288">
        <v>0</v>
      </c>
      <c r="BG288" s="288">
        <v>0</v>
      </c>
      <c r="BH288" s="288">
        <v>0</v>
      </c>
      <c r="BI288" s="288">
        <v>0</v>
      </c>
      <c r="BJ288" s="288">
        <v>0</v>
      </c>
      <c r="BK288" s="288">
        <v>0</v>
      </c>
      <c r="BL288" s="288">
        <v>0</v>
      </c>
      <c r="BM288" s="288">
        <v>0</v>
      </c>
      <c r="BN288" s="288">
        <v>0</v>
      </c>
      <c r="BO288" s="288">
        <v>0</v>
      </c>
      <c r="BP288" s="288">
        <v>0</v>
      </c>
      <c r="BQ288" s="288">
        <v>0</v>
      </c>
      <c r="BR288" s="288">
        <v>0</v>
      </c>
      <c r="BS288" s="288">
        <v>0</v>
      </c>
      <c r="BT288" s="288">
        <v>0</v>
      </c>
    </row>
    <row r="289" spans="3:72">
      <c r="C289" s="127" t="s">
        <v>1132</v>
      </c>
      <c r="D289" s="127"/>
      <c r="E289" s="127"/>
      <c r="F289" s="127"/>
      <c r="G289" s="128"/>
      <c r="H289" s="128"/>
      <c r="I289" s="128"/>
      <c r="J289" s="128"/>
      <c r="K289" s="128"/>
      <c r="L289" s="128"/>
      <c r="M289" s="128"/>
      <c r="N289" s="128"/>
      <c r="O289" s="128"/>
      <c r="P289" s="128"/>
      <c r="Q289" s="128"/>
      <c r="R289" s="128"/>
      <c r="S289" s="128"/>
      <c r="T289" s="128"/>
      <c r="U289" s="128"/>
      <c r="V289" s="128"/>
      <c r="W289" s="128"/>
      <c r="X289" s="128"/>
      <c r="Y289" s="128"/>
      <c r="Z289" s="128">
        <v>0.13584244500000001</v>
      </c>
      <c r="AA289" s="128">
        <v>0.463435757</v>
      </c>
      <c r="AB289" s="128">
        <v>1.6520548999999999E-2</v>
      </c>
      <c r="AC289" s="128">
        <v>0.11225400100000001</v>
      </c>
      <c r="AD289" s="128">
        <v>8.4543899000000006E-2</v>
      </c>
      <c r="AE289" s="128">
        <v>0.25875197599999999</v>
      </c>
      <c r="AF289" s="128">
        <v>0.25087002200000003</v>
      </c>
      <c r="AG289" s="128">
        <v>0.408181619</v>
      </c>
      <c r="AH289" s="128">
        <v>0.19001683799999999</v>
      </c>
      <c r="AI289" s="128">
        <v>0.37099382600000003</v>
      </c>
      <c r="AJ289" s="128">
        <v>0.59535446400000003</v>
      </c>
      <c r="AK289" s="128">
        <v>0.97453031800000001</v>
      </c>
      <c r="AL289" s="128">
        <v>0.24072982500000001</v>
      </c>
      <c r="AM289" s="128">
        <v>1.274594856</v>
      </c>
      <c r="AN289" s="128">
        <v>0.85144647799999995</v>
      </c>
      <c r="AO289" s="128">
        <v>2.1370748279999998</v>
      </c>
      <c r="AP289" s="128">
        <v>0.87717226100000001</v>
      </c>
      <c r="AQ289" s="128">
        <v>1.7193245610000001</v>
      </c>
      <c r="AR289" s="128">
        <v>1.8070648069999999</v>
      </c>
      <c r="AS289" s="288">
        <v>0</v>
      </c>
      <c r="AT289" s="288">
        <v>2.0157193109999998</v>
      </c>
      <c r="AU289" s="288">
        <v>1.364840082</v>
      </c>
      <c r="AV289" s="288">
        <v>1.0983634920000001</v>
      </c>
      <c r="AW289" s="158">
        <v>1.0035316139999999</v>
      </c>
      <c r="AX289" s="158">
        <v>0.62371895600000005</v>
      </c>
      <c r="AY289" s="158">
        <v>2.0485911940000001</v>
      </c>
      <c r="AZ289" s="158">
        <v>2.1291576800000001</v>
      </c>
      <c r="BA289" s="158">
        <v>2.0954462349999998</v>
      </c>
      <c r="BB289" s="288">
        <v>0.90615179599999995</v>
      </c>
      <c r="BC289" s="288">
        <v>1.6805063469999999</v>
      </c>
      <c r="BD289" s="288">
        <v>0.97685192300000001</v>
      </c>
      <c r="BE289" s="288">
        <v>2.3964971990000001</v>
      </c>
      <c r="BF289" s="288">
        <v>1.760275102</v>
      </c>
      <c r="BG289" s="288">
        <v>2.6830624329999999</v>
      </c>
      <c r="BH289" s="288">
        <v>0</v>
      </c>
      <c r="BI289" s="288">
        <v>0.60152730899999995</v>
      </c>
      <c r="BJ289" s="288">
        <v>0.35904701500000002</v>
      </c>
      <c r="BK289" s="288">
        <v>0.64963492700000003</v>
      </c>
      <c r="BL289" s="288">
        <v>0.914305916</v>
      </c>
      <c r="BM289" s="288">
        <v>1.278091774</v>
      </c>
      <c r="BN289" s="288">
        <v>0.41</v>
      </c>
      <c r="BO289" s="288">
        <v>0.66072850999999999</v>
      </c>
      <c r="BP289" s="288">
        <v>0.69</v>
      </c>
      <c r="BQ289" s="288">
        <v>0.66151986699999998</v>
      </c>
      <c r="BR289" s="288">
        <v>0.44693435500000001</v>
      </c>
      <c r="BS289" s="288">
        <v>0.80715017</v>
      </c>
      <c r="BT289" s="288">
        <v>5.4063253729999996</v>
      </c>
    </row>
    <row r="290" spans="3:72">
      <c r="C290" s="127" t="s">
        <v>1133</v>
      </c>
      <c r="D290" s="127"/>
      <c r="E290" s="127"/>
      <c r="F290" s="127"/>
      <c r="G290" s="128"/>
      <c r="H290" s="128"/>
      <c r="I290" s="128"/>
      <c r="J290" s="128"/>
      <c r="K290" s="128"/>
      <c r="L290" s="128"/>
      <c r="M290" s="128"/>
      <c r="N290" s="128"/>
      <c r="O290" s="128"/>
      <c r="P290" s="128"/>
      <c r="Q290" s="128"/>
      <c r="R290" s="128"/>
      <c r="S290" s="128"/>
      <c r="T290" s="128"/>
      <c r="U290" s="128"/>
      <c r="V290" s="128"/>
      <c r="W290" s="128"/>
      <c r="X290" s="128"/>
      <c r="Y290" s="128"/>
      <c r="Z290" s="128">
        <v>0</v>
      </c>
      <c r="AA290" s="128">
        <v>0</v>
      </c>
      <c r="AB290" s="128">
        <v>0</v>
      </c>
      <c r="AC290" s="128">
        <v>0</v>
      </c>
      <c r="AD290" s="128">
        <v>0</v>
      </c>
      <c r="AE290" s="128">
        <v>0</v>
      </c>
      <c r="AF290" s="128">
        <v>0</v>
      </c>
      <c r="AG290" s="128">
        <v>0</v>
      </c>
      <c r="AH290" s="128">
        <v>0</v>
      </c>
      <c r="AI290" s="128">
        <v>0</v>
      </c>
      <c r="AJ290" s="128">
        <v>0</v>
      </c>
      <c r="AK290" s="128">
        <v>0</v>
      </c>
      <c r="AL290" s="128">
        <v>0</v>
      </c>
      <c r="AM290" s="128">
        <v>0</v>
      </c>
      <c r="AN290" s="128">
        <v>0</v>
      </c>
      <c r="AO290" s="128">
        <v>0</v>
      </c>
      <c r="AP290" s="128">
        <v>0</v>
      </c>
      <c r="AQ290" s="128">
        <v>0</v>
      </c>
      <c r="AR290" s="128">
        <v>0</v>
      </c>
      <c r="AS290" s="288">
        <v>0</v>
      </c>
      <c r="AT290" s="288">
        <v>0</v>
      </c>
      <c r="AU290" s="288">
        <v>0</v>
      </c>
      <c r="AV290" s="288">
        <v>0</v>
      </c>
      <c r="AW290" s="158">
        <v>0</v>
      </c>
      <c r="AX290" s="158">
        <v>0</v>
      </c>
      <c r="AY290" s="158">
        <v>0</v>
      </c>
      <c r="AZ290" s="158">
        <v>0</v>
      </c>
      <c r="BA290" s="158">
        <v>0</v>
      </c>
      <c r="BB290" s="288">
        <v>0</v>
      </c>
      <c r="BC290" s="288">
        <v>0</v>
      </c>
      <c r="BD290" s="288">
        <v>0</v>
      </c>
      <c r="BE290" s="288">
        <v>0</v>
      </c>
      <c r="BF290" s="288">
        <v>0</v>
      </c>
      <c r="BG290" s="288">
        <v>0</v>
      </c>
      <c r="BH290" s="288">
        <v>0</v>
      </c>
      <c r="BI290" s="288">
        <v>0</v>
      </c>
      <c r="BJ290" s="288">
        <v>0</v>
      </c>
      <c r="BK290" s="288">
        <v>0</v>
      </c>
      <c r="BL290" s="288">
        <v>0</v>
      </c>
      <c r="BM290" s="288">
        <v>0</v>
      </c>
      <c r="BN290" s="288">
        <v>0</v>
      </c>
      <c r="BO290" s="288">
        <v>0</v>
      </c>
      <c r="BP290" s="288">
        <v>0</v>
      </c>
      <c r="BQ290" s="288">
        <v>0</v>
      </c>
      <c r="BR290" s="288">
        <v>0</v>
      </c>
      <c r="BS290" s="288">
        <v>0</v>
      </c>
      <c r="BT290" s="288">
        <v>0</v>
      </c>
    </row>
    <row r="291" spans="3:72">
      <c r="C291" s="127" t="s">
        <v>1134</v>
      </c>
      <c r="D291" s="127"/>
      <c r="E291" s="127"/>
      <c r="F291" s="127"/>
      <c r="G291" s="128"/>
      <c r="H291" s="128"/>
      <c r="I291" s="128"/>
      <c r="J291" s="128"/>
      <c r="K291" s="128"/>
      <c r="L291" s="128"/>
      <c r="M291" s="128"/>
      <c r="N291" s="128"/>
      <c r="O291" s="128"/>
      <c r="P291" s="128"/>
      <c r="Q291" s="128"/>
      <c r="R291" s="128"/>
      <c r="S291" s="128"/>
      <c r="T291" s="128"/>
      <c r="U291" s="128"/>
      <c r="V291" s="128"/>
      <c r="W291" s="128"/>
      <c r="X291" s="128"/>
      <c r="Y291" s="128"/>
      <c r="Z291" s="128">
        <v>81.111000567000005</v>
      </c>
      <c r="AA291" s="128">
        <v>129.01079094299999</v>
      </c>
      <c r="AB291" s="128">
        <v>162.03548827500001</v>
      </c>
      <c r="AC291" s="128">
        <v>191.807973852</v>
      </c>
      <c r="AD291" s="128">
        <v>69.120278983999995</v>
      </c>
      <c r="AE291" s="128">
        <v>104.04604516000001</v>
      </c>
      <c r="AF291" s="128">
        <v>215.67398878700001</v>
      </c>
      <c r="AG291" s="128">
        <v>307.223642031</v>
      </c>
      <c r="AH291" s="128">
        <v>356.59836613599998</v>
      </c>
      <c r="AI291" s="128">
        <v>529.022153237</v>
      </c>
      <c r="AJ291" s="128">
        <v>726.48956863399997</v>
      </c>
      <c r="AK291" s="128">
        <v>903.45811712299997</v>
      </c>
      <c r="AL291" s="128">
        <v>834.41303718999995</v>
      </c>
      <c r="AM291" s="128">
        <v>1141.4274293210001</v>
      </c>
      <c r="AN291" s="128">
        <v>1480.750211197</v>
      </c>
      <c r="AO291" s="128">
        <v>1585.372350657</v>
      </c>
      <c r="AP291" s="128">
        <v>1349.0687008939999</v>
      </c>
      <c r="AQ291" s="128">
        <v>1668.1484829630001</v>
      </c>
      <c r="AR291" s="128">
        <v>1903.227959926</v>
      </c>
      <c r="AS291" s="288">
        <v>2173.0648794140002</v>
      </c>
      <c r="AT291" s="288">
        <v>1387.3151475750001</v>
      </c>
      <c r="AU291" s="288">
        <v>1855.1680319479999</v>
      </c>
      <c r="AV291" s="288">
        <v>2219.2592037170002</v>
      </c>
      <c r="AW291" s="158">
        <v>1851.9669586550001</v>
      </c>
      <c r="AX291" s="158">
        <v>1901.979448525</v>
      </c>
      <c r="AY291" s="158">
        <v>2595.4933792890001</v>
      </c>
      <c r="AZ291" s="158">
        <v>3040.9496187780001</v>
      </c>
      <c r="BA291" s="158">
        <v>3191.0053945139998</v>
      </c>
      <c r="BB291" s="288">
        <v>2547.64232279</v>
      </c>
      <c r="BC291" s="288">
        <v>3241.0145522590001</v>
      </c>
      <c r="BD291" s="288">
        <v>3676.52935209</v>
      </c>
      <c r="BE291" s="288">
        <v>3885.3563812329999</v>
      </c>
      <c r="BF291" s="288">
        <v>2959.9047998729998</v>
      </c>
      <c r="BG291" s="288">
        <v>2906.591839619</v>
      </c>
      <c r="BH291" s="288">
        <v>2829.6399393269999</v>
      </c>
      <c r="BI291" s="288">
        <v>2180.365916409</v>
      </c>
      <c r="BJ291" s="288">
        <v>1256.1158021450001</v>
      </c>
      <c r="BK291" s="288">
        <v>1325.3327967610001</v>
      </c>
      <c r="BL291" s="288">
        <v>1534.556589694</v>
      </c>
      <c r="BM291" s="288">
        <v>1372.8082658139999</v>
      </c>
      <c r="BN291" s="288">
        <v>1492.86</v>
      </c>
      <c r="BO291" s="288">
        <v>2285.3142658040001</v>
      </c>
      <c r="BP291" s="288">
        <v>2768.81</v>
      </c>
      <c r="BQ291" s="288">
        <v>3356.9402247759999</v>
      </c>
      <c r="BR291" s="288">
        <v>3376.9949116349999</v>
      </c>
      <c r="BS291" s="288">
        <v>4373.1975564189997</v>
      </c>
      <c r="BT291" s="288">
        <v>4670.78842437</v>
      </c>
    </row>
    <row r="292" spans="3:72">
      <c r="C292" s="127" t="s">
        <v>1135</v>
      </c>
      <c r="D292" s="127"/>
      <c r="E292" s="127"/>
      <c r="F292" s="127"/>
      <c r="G292" s="128"/>
      <c r="H292" s="128"/>
      <c r="I292" s="128"/>
      <c r="J292" s="128"/>
      <c r="K292" s="128"/>
      <c r="L292" s="128"/>
      <c r="M292" s="128"/>
      <c r="N292" s="128"/>
      <c r="O292" s="128"/>
      <c r="P292" s="128"/>
      <c r="Q292" s="128"/>
      <c r="R292" s="128"/>
      <c r="S292" s="128"/>
      <c r="T292" s="128"/>
      <c r="U292" s="128"/>
      <c r="V292" s="128"/>
      <c r="W292" s="128"/>
      <c r="X292" s="128"/>
      <c r="Y292" s="128"/>
      <c r="Z292" s="128">
        <v>0</v>
      </c>
      <c r="AA292" s="128">
        <v>0</v>
      </c>
      <c r="AB292" s="128">
        <v>0</v>
      </c>
      <c r="AC292" s="128">
        <v>0</v>
      </c>
      <c r="AD292" s="128">
        <v>0</v>
      </c>
      <c r="AE292" s="128">
        <v>0</v>
      </c>
      <c r="AF292" s="128">
        <v>0</v>
      </c>
      <c r="AG292" s="128">
        <v>0</v>
      </c>
      <c r="AH292" s="128">
        <v>0</v>
      </c>
      <c r="AI292" s="128">
        <v>0</v>
      </c>
      <c r="AJ292" s="128">
        <v>0</v>
      </c>
      <c r="AK292" s="128">
        <v>0</v>
      </c>
      <c r="AL292" s="128">
        <v>0</v>
      </c>
      <c r="AM292" s="128">
        <v>0</v>
      </c>
      <c r="AN292" s="128">
        <v>0</v>
      </c>
      <c r="AO292" s="128">
        <v>0</v>
      </c>
      <c r="AP292" s="128">
        <v>0</v>
      </c>
      <c r="AQ292" s="128">
        <v>0</v>
      </c>
      <c r="AR292" s="128">
        <v>0</v>
      </c>
      <c r="AS292" s="288">
        <v>0</v>
      </c>
      <c r="AT292" s="288">
        <v>0</v>
      </c>
      <c r="AU292" s="288">
        <v>0</v>
      </c>
      <c r="AV292" s="288">
        <v>0</v>
      </c>
      <c r="AW292" s="158">
        <v>0</v>
      </c>
      <c r="AX292" s="158">
        <v>0</v>
      </c>
      <c r="AY292" s="158">
        <v>0</v>
      </c>
      <c r="AZ292" s="158">
        <v>0</v>
      </c>
      <c r="BA292" s="158">
        <v>0</v>
      </c>
      <c r="BB292" s="288">
        <v>0</v>
      </c>
      <c r="BC292" s="288">
        <v>0</v>
      </c>
      <c r="BD292" s="288">
        <v>0</v>
      </c>
      <c r="BE292" s="288">
        <v>0</v>
      </c>
      <c r="BF292" s="288">
        <v>0</v>
      </c>
      <c r="BG292" s="288">
        <v>0</v>
      </c>
      <c r="BH292" s="288">
        <v>0</v>
      </c>
      <c r="BI292" s="288">
        <v>0</v>
      </c>
      <c r="BJ292" s="288">
        <v>0</v>
      </c>
      <c r="BK292" s="288">
        <v>0</v>
      </c>
      <c r="BL292" s="288">
        <v>0</v>
      </c>
      <c r="BM292" s="288">
        <v>0</v>
      </c>
      <c r="BN292" s="288">
        <v>0</v>
      </c>
      <c r="BO292" s="288">
        <v>0</v>
      </c>
      <c r="BP292" s="288">
        <v>0</v>
      </c>
      <c r="BQ292" s="288">
        <v>0</v>
      </c>
      <c r="BR292" s="288">
        <v>0</v>
      </c>
      <c r="BS292" s="288">
        <v>0</v>
      </c>
      <c r="BT292" s="288">
        <v>0</v>
      </c>
    </row>
    <row r="293" spans="3:72">
      <c r="C293" s="127" t="s">
        <v>1136</v>
      </c>
      <c r="D293" s="127"/>
      <c r="E293" s="127"/>
      <c r="F293" s="127"/>
      <c r="G293" s="128"/>
      <c r="H293" s="128"/>
      <c r="I293" s="128"/>
      <c r="J293" s="128"/>
      <c r="K293" s="128"/>
      <c r="L293" s="128"/>
      <c r="M293" s="128"/>
      <c r="N293" s="128"/>
      <c r="O293" s="128"/>
      <c r="P293" s="128"/>
      <c r="Q293" s="128"/>
      <c r="R293" s="128"/>
      <c r="S293" s="128"/>
      <c r="T293" s="128"/>
      <c r="U293" s="128"/>
      <c r="V293" s="128"/>
      <c r="W293" s="128"/>
      <c r="X293" s="128"/>
      <c r="Y293" s="128"/>
      <c r="Z293" s="128">
        <v>0</v>
      </c>
      <c r="AA293" s="128">
        <v>0</v>
      </c>
      <c r="AB293" s="128">
        <v>0</v>
      </c>
      <c r="AC293" s="128">
        <v>0</v>
      </c>
      <c r="AD293" s="128">
        <v>0</v>
      </c>
      <c r="AE293" s="128">
        <v>0</v>
      </c>
      <c r="AF293" s="128">
        <v>0</v>
      </c>
      <c r="AG293" s="128">
        <v>0</v>
      </c>
      <c r="AH293" s="128">
        <v>0</v>
      </c>
      <c r="AI293" s="128">
        <v>0</v>
      </c>
      <c r="AJ293" s="128">
        <v>0</v>
      </c>
      <c r="AK293" s="128">
        <v>0</v>
      </c>
      <c r="AL293" s="128">
        <v>0</v>
      </c>
      <c r="AM293" s="128">
        <v>0</v>
      </c>
      <c r="AN293" s="128">
        <v>0</v>
      </c>
      <c r="AO293" s="128">
        <v>0</v>
      </c>
      <c r="AP293" s="128">
        <v>0</v>
      </c>
      <c r="AQ293" s="128">
        <v>0</v>
      </c>
      <c r="AR293" s="128">
        <v>0</v>
      </c>
      <c r="AS293" s="288">
        <v>0</v>
      </c>
      <c r="AT293" s="288">
        <v>0</v>
      </c>
      <c r="AU293" s="288">
        <v>0</v>
      </c>
      <c r="AV293" s="288">
        <v>0</v>
      </c>
      <c r="AW293" s="158">
        <v>0</v>
      </c>
      <c r="AX293" s="158">
        <v>0</v>
      </c>
      <c r="AY293" s="158">
        <v>0</v>
      </c>
      <c r="AZ293" s="158">
        <v>0</v>
      </c>
      <c r="BA293" s="158">
        <v>0</v>
      </c>
      <c r="BB293" s="288">
        <v>0</v>
      </c>
      <c r="BC293" s="288">
        <v>0</v>
      </c>
      <c r="BD293" s="288">
        <v>0</v>
      </c>
      <c r="BE293" s="288">
        <v>0</v>
      </c>
      <c r="BF293" s="288">
        <v>0</v>
      </c>
      <c r="BG293" s="288">
        <v>0</v>
      </c>
      <c r="BH293" s="288">
        <v>0</v>
      </c>
      <c r="BI293" s="288">
        <v>0</v>
      </c>
      <c r="BJ293" s="288">
        <v>0</v>
      </c>
      <c r="BK293" s="288">
        <v>0</v>
      </c>
      <c r="BL293" s="288">
        <v>0</v>
      </c>
      <c r="BM293" s="288">
        <v>0</v>
      </c>
      <c r="BN293" s="288">
        <v>0</v>
      </c>
      <c r="BO293" s="288">
        <v>0</v>
      </c>
      <c r="BP293" s="288">
        <v>0</v>
      </c>
      <c r="BQ293" s="288">
        <v>0</v>
      </c>
      <c r="BR293" s="288">
        <v>0</v>
      </c>
      <c r="BS293" s="288">
        <v>0</v>
      </c>
      <c r="BT293" s="288">
        <v>0</v>
      </c>
    </row>
    <row r="294" spans="3:72">
      <c r="C294" s="127" t="s">
        <v>1137</v>
      </c>
      <c r="D294" s="127"/>
      <c r="E294" s="127"/>
      <c r="F294" s="127"/>
      <c r="G294" s="128"/>
      <c r="H294" s="128"/>
      <c r="I294" s="128"/>
      <c r="J294" s="128"/>
      <c r="K294" s="128"/>
      <c r="L294" s="128"/>
      <c r="M294" s="128"/>
      <c r="N294" s="128"/>
      <c r="O294" s="128"/>
      <c r="P294" s="128"/>
      <c r="Q294" s="128"/>
      <c r="R294" s="128"/>
      <c r="S294" s="128"/>
      <c r="T294" s="128"/>
      <c r="U294" s="128"/>
      <c r="V294" s="128"/>
      <c r="W294" s="128"/>
      <c r="X294" s="128"/>
      <c r="Y294" s="128"/>
      <c r="Z294" s="128">
        <v>0</v>
      </c>
      <c r="AA294" s="128">
        <v>0</v>
      </c>
      <c r="AB294" s="128">
        <v>0</v>
      </c>
      <c r="AC294" s="128">
        <v>0</v>
      </c>
      <c r="AD294" s="128">
        <v>0</v>
      </c>
      <c r="AE294" s="128">
        <v>0</v>
      </c>
      <c r="AF294" s="128">
        <v>0</v>
      </c>
      <c r="AG294" s="128">
        <v>0</v>
      </c>
      <c r="AH294" s="128">
        <v>0</v>
      </c>
      <c r="AI294" s="128">
        <v>0</v>
      </c>
      <c r="AJ294" s="128">
        <v>0</v>
      </c>
      <c r="AK294" s="128">
        <v>0</v>
      </c>
      <c r="AL294" s="128">
        <v>0</v>
      </c>
      <c r="AM294" s="128">
        <v>0</v>
      </c>
      <c r="AN294" s="128">
        <v>0</v>
      </c>
      <c r="AO294" s="128">
        <v>0</v>
      </c>
      <c r="AP294" s="128">
        <v>0</v>
      </c>
      <c r="AQ294" s="128">
        <v>0</v>
      </c>
      <c r="AR294" s="128">
        <v>0</v>
      </c>
      <c r="AS294" s="288">
        <v>0</v>
      </c>
      <c r="AT294" s="288">
        <v>0</v>
      </c>
      <c r="AU294" s="288">
        <v>0</v>
      </c>
      <c r="AV294" s="288">
        <v>0</v>
      </c>
      <c r="AW294" s="158">
        <v>0</v>
      </c>
      <c r="AX294" s="158">
        <v>0</v>
      </c>
      <c r="AY294" s="158">
        <v>0</v>
      </c>
      <c r="AZ294" s="158">
        <v>0</v>
      </c>
      <c r="BA294" s="158">
        <v>0</v>
      </c>
      <c r="BB294" s="288">
        <v>0</v>
      </c>
      <c r="BC294" s="288">
        <v>0</v>
      </c>
      <c r="BD294" s="288">
        <v>0</v>
      </c>
      <c r="BE294" s="288">
        <v>0</v>
      </c>
      <c r="BF294" s="288">
        <v>0</v>
      </c>
      <c r="BG294" s="288">
        <v>0</v>
      </c>
      <c r="BH294" s="288">
        <v>0</v>
      </c>
      <c r="BI294" s="288">
        <v>0</v>
      </c>
      <c r="BJ294" s="288">
        <v>0</v>
      </c>
      <c r="BK294" s="288">
        <v>0</v>
      </c>
      <c r="BL294" s="288">
        <v>0</v>
      </c>
      <c r="BM294" s="288">
        <v>0</v>
      </c>
      <c r="BN294" s="288">
        <v>0</v>
      </c>
      <c r="BO294" s="288">
        <v>0</v>
      </c>
      <c r="BP294" s="288">
        <v>0</v>
      </c>
      <c r="BQ294" s="288">
        <v>0</v>
      </c>
      <c r="BR294" s="288">
        <v>0</v>
      </c>
      <c r="BS294" s="288">
        <v>0</v>
      </c>
      <c r="BT294" s="288">
        <v>0</v>
      </c>
    </row>
    <row r="295" spans="3:72">
      <c r="C295" s="127" t="s">
        <v>1098</v>
      </c>
      <c r="D295" s="127"/>
      <c r="E295" s="127"/>
      <c r="F295" s="127"/>
      <c r="G295" s="128"/>
      <c r="H295" s="128"/>
      <c r="I295" s="128"/>
      <c r="J295" s="128"/>
      <c r="K295" s="128"/>
      <c r="L295" s="128"/>
      <c r="M295" s="128"/>
      <c r="N295" s="128"/>
      <c r="O295" s="128"/>
      <c r="P295" s="128"/>
      <c r="Q295" s="128"/>
      <c r="R295" s="128"/>
      <c r="S295" s="128"/>
      <c r="T295" s="128"/>
      <c r="U295" s="128"/>
      <c r="V295" s="128"/>
      <c r="W295" s="128"/>
      <c r="X295" s="128"/>
      <c r="Y295" s="128"/>
      <c r="Z295" s="128">
        <v>81.111000567000005</v>
      </c>
      <c r="AA295" s="128">
        <v>129.01079094299999</v>
      </c>
      <c r="AB295" s="128">
        <v>162.03548827500001</v>
      </c>
      <c r="AC295" s="128">
        <v>191.807973852</v>
      </c>
      <c r="AD295" s="128">
        <v>69.120278983999995</v>
      </c>
      <c r="AE295" s="128">
        <v>104.04604516000001</v>
      </c>
      <c r="AF295" s="128">
        <v>215.67398878700001</v>
      </c>
      <c r="AG295" s="128">
        <v>307.223642031</v>
      </c>
      <c r="AH295" s="128">
        <v>356.59836613599998</v>
      </c>
      <c r="AI295" s="128">
        <v>529.022153237</v>
      </c>
      <c r="AJ295" s="128">
        <v>726.48956863399997</v>
      </c>
      <c r="AK295" s="128">
        <v>903.45811712299997</v>
      </c>
      <c r="AL295" s="128">
        <v>834.41303718999995</v>
      </c>
      <c r="AM295" s="128">
        <v>1141.4274293210001</v>
      </c>
      <c r="AN295" s="128">
        <v>1480.750211197</v>
      </c>
      <c r="AO295" s="128">
        <v>1585.372350657</v>
      </c>
      <c r="AP295" s="128">
        <v>1349.0687008939999</v>
      </c>
      <c r="AQ295" s="128">
        <v>1668.1484829630001</v>
      </c>
      <c r="AR295" s="128">
        <v>1903.227959926</v>
      </c>
      <c r="AS295" s="288">
        <v>2173.0648794140002</v>
      </c>
      <c r="AT295" s="288">
        <v>1387.3151475750001</v>
      </c>
      <c r="AU295" s="288">
        <v>1855.1680319479999</v>
      </c>
      <c r="AV295" s="288">
        <v>2219.2592037170002</v>
      </c>
      <c r="AW295" s="158">
        <v>1851.9669586550001</v>
      </c>
      <c r="AX295" s="158">
        <v>1901.979448525</v>
      </c>
      <c r="AY295" s="158">
        <v>2595.4933792890001</v>
      </c>
      <c r="AZ295" s="158">
        <v>3040.9496187780001</v>
      </c>
      <c r="BA295" s="158">
        <v>3191.0053945139998</v>
      </c>
      <c r="BB295" s="288">
        <v>2547.64232279</v>
      </c>
      <c r="BC295" s="288">
        <v>3241.0145522590001</v>
      </c>
      <c r="BD295" s="288">
        <v>3676.52935209</v>
      </c>
      <c r="BE295" s="288">
        <v>3885.3563812329999</v>
      </c>
      <c r="BF295" s="288">
        <v>2959.9047998729998</v>
      </c>
      <c r="BG295" s="288">
        <v>2906.591839619</v>
      </c>
      <c r="BH295" s="288">
        <v>2829.6399393269999</v>
      </c>
      <c r="BI295" s="288">
        <v>2180.365916409</v>
      </c>
      <c r="BJ295" s="288">
        <v>1256.1158021450001</v>
      </c>
      <c r="BK295" s="288">
        <v>1325.3327967610001</v>
      </c>
      <c r="BL295" s="288">
        <v>1534.556589694</v>
      </c>
      <c r="BM295" s="288">
        <v>1372.8082658139999</v>
      </c>
      <c r="BN295" s="288">
        <v>1492.86</v>
      </c>
      <c r="BO295" s="288">
        <v>2285.3142658040001</v>
      </c>
      <c r="BP295" s="288">
        <v>2768.81</v>
      </c>
      <c r="BQ295" s="288">
        <v>3356.9402247759999</v>
      </c>
      <c r="BR295" s="288">
        <v>3376.9949116349999</v>
      </c>
      <c r="BS295" s="288">
        <v>4373.1975564189997</v>
      </c>
      <c r="BT295" s="288">
        <v>4670.78842437</v>
      </c>
    </row>
    <row r="296" spans="3:72">
      <c r="C296" s="127" t="s">
        <v>1138</v>
      </c>
      <c r="D296" s="127"/>
      <c r="E296" s="127"/>
      <c r="F296" s="127"/>
      <c r="G296" s="128"/>
      <c r="H296" s="128"/>
      <c r="I296" s="128"/>
      <c r="J296" s="128"/>
      <c r="K296" s="128"/>
      <c r="L296" s="128"/>
      <c r="M296" s="128"/>
      <c r="N296" s="128"/>
      <c r="O296" s="128"/>
      <c r="P296" s="128"/>
      <c r="Q296" s="128"/>
      <c r="R296" s="128"/>
      <c r="S296" s="128"/>
      <c r="T296" s="128"/>
      <c r="U296" s="128"/>
      <c r="V296" s="128"/>
      <c r="W296" s="128"/>
      <c r="X296" s="128"/>
      <c r="Y296" s="128"/>
      <c r="Z296" s="128">
        <v>16.969736394000002</v>
      </c>
      <c r="AA296" s="128">
        <v>19.567792098000002</v>
      </c>
      <c r="AB296" s="128">
        <v>35.941634903999997</v>
      </c>
      <c r="AC296" s="128">
        <v>48.482430641999997</v>
      </c>
      <c r="AD296" s="128">
        <v>65.41312207</v>
      </c>
      <c r="AE296" s="128">
        <v>71.702484853000001</v>
      </c>
      <c r="AF296" s="128">
        <v>138.38729237499999</v>
      </c>
      <c r="AG296" s="128">
        <v>175.36224076400001</v>
      </c>
      <c r="AH296" s="128">
        <v>327.18587297099998</v>
      </c>
      <c r="AI296" s="128">
        <v>309.39912984900002</v>
      </c>
      <c r="AJ296" s="128">
        <v>249.68509367799999</v>
      </c>
      <c r="AK296" s="128">
        <v>322.06474207399998</v>
      </c>
      <c r="AL296" s="128">
        <v>256.74189813499999</v>
      </c>
      <c r="AM296" s="128">
        <v>313.58897166700001</v>
      </c>
      <c r="AN296" s="128">
        <v>533.408596805</v>
      </c>
      <c r="AO296" s="128">
        <v>807.13959907900005</v>
      </c>
      <c r="AP296" s="128">
        <v>691.588730876</v>
      </c>
      <c r="AQ296" s="128">
        <v>696.70102860400004</v>
      </c>
      <c r="AR296" s="128">
        <v>981.55196960199999</v>
      </c>
      <c r="AS296" s="288">
        <v>1217.5323084189999</v>
      </c>
      <c r="AT296" s="288">
        <v>989.44715805199996</v>
      </c>
      <c r="AU296" s="288">
        <v>1196.3277179869999</v>
      </c>
      <c r="AV296" s="288">
        <v>1107.432989252</v>
      </c>
      <c r="AW296" s="158">
        <v>717.88473075599995</v>
      </c>
      <c r="AX296" s="158">
        <v>978.938992719</v>
      </c>
      <c r="AY296" s="158">
        <v>684.24541949399998</v>
      </c>
      <c r="AZ296" s="158">
        <v>1025.5468142120001</v>
      </c>
      <c r="BA296" s="158">
        <v>723.47933603399997</v>
      </c>
      <c r="BB296" s="288">
        <v>973.23915041400005</v>
      </c>
      <c r="BC296" s="288">
        <v>814.38098772299998</v>
      </c>
      <c r="BD296" s="288">
        <v>686.16946165599995</v>
      </c>
      <c r="BE296" s="288">
        <v>476.31993660199998</v>
      </c>
      <c r="BF296" s="288">
        <v>1079.904333622</v>
      </c>
      <c r="BG296" s="288">
        <v>575.84297623099997</v>
      </c>
      <c r="BH296" s="288">
        <v>815.86411243299995</v>
      </c>
      <c r="BI296" s="288">
        <v>2971.9074799670002</v>
      </c>
      <c r="BJ296" s="288">
        <v>3265.6659997060001</v>
      </c>
      <c r="BK296" s="288">
        <v>1731.015049763</v>
      </c>
      <c r="BL296" s="288">
        <v>893.28166587099997</v>
      </c>
      <c r="BM296" s="288">
        <v>1316.566967015</v>
      </c>
      <c r="BN296" s="288">
        <v>2001.7</v>
      </c>
      <c r="BO296" s="288">
        <v>2943.77723818</v>
      </c>
      <c r="BP296" s="288">
        <v>1300.98</v>
      </c>
      <c r="BQ296" s="288">
        <v>905.19222410199995</v>
      </c>
      <c r="BR296" s="288">
        <v>1034.53198133</v>
      </c>
      <c r="BS296" s="288">
        <v>2838.4676126710001</v>
      </c>
      <c r="BT296" s="288">
        <v>1246.432324264</v>
      </c>
    </row>
    <row r="297" spans="3:72">
      <c r="C297" s="127" t="s">
        <v>1139</v>
      </c>
      <c r="D297" s="127"/>
      <c r="E297" s="127"/>
      <c r="F297" s="127"/>
      <c r="G297" s="128"/>
      <c r="H297" s="128"/>
      <c r="I297" s="128"/>
      <c r="J297" s="128"/>
      <c r="K297" s="128"/>
      <c r="L297" s="128"/>
      <c r="M297" s="128"/>
      <c r="N297" s="128"/>
      <c r="O297" s="128"/>
      <c r="P297" s="128"/>
      <c r="Q297" s="128"/>
      <c r="R297" s="128"/>
      <c r="S297" s="128"/>
      <c r="T297" s="128"/>
      <c r="U297" s="128"/>
      <c r="V297" s="128"/>
      <c r="W297" s="128"/>
      <c r="X297" s="128"/>
      <c r="Y297" s="128"/>
      <c r="Z297" s="128">
        <v>0</v>
      </c>
      <c r="AA297" s="128">
        <v>0</v>
      </c>
      <c r="AB297" s="128">
        <v>0</v>
      </c>
      <c r="AC297" s="128">
        <v>0</v>
      </c>
      <c r="AD297" s="128">
        <v>0</v>
      </c>
      <c r="AE297" s="128">
        <v>0</v>
      </c>
      <c r="AF297" s="128">
        <v>0</v>
      </c>
      <c r="AG297" s="128">
        <v>0</v>
      </c>
      <c r="AH297" s="128">
        <v>0</v>
      </c>
      <c r="AI297" s="128">
        <v>0</v>
      </c>
      <c r="AJ297" s="128">
        <v>0</v>
      </c>
      <c r="AK297" s="128">
        <v>0</v>
      </c>
      <c r="AL297" s="128">
        <v>0</v>
      </c>
      <c r="AM297" s="128">
        <v>0</v>
      </c>
      <c r="AN297" s="128">
        <v>0</v>
      </c>
      <c r="AO297" s="128">
        <v>0</v>
      </c>
      <c r="AP297" s="128">
        <v>0</v>
      </c>
      <c r="AQ297" s="128">
        <v>0</v>
      </c>
      <c r="AR297" s="128">
        <v>0</v>
      </c>
      <c r="AS297" s="288">
        <v>0</v>
      </c>
      <c r="AT297" s="288">
        <v>0</v>
      </c>
      <c r="AU297" s="288">
        <v>0</v>
      </c>
      <c r="AV297" s="288">
        <v>0</v>
      </c>
      <c r="AW297" s="158">
        <v>0</v>
      </c>
      <c r="AX297" s="158">
        <v>0</v>
      </c>
      <c r="AY297" s="158">
        <v>0</v>
      </c>
      <c r="AZ297" s="158">
        <v>0</v>
      </c>
      <c r="BA297" s="158">
        <v>0</v>
      </c>
      <c r="BB297" s="288">
        <v>0</v>
      </c>
      <c r="BC297" s="288">
        <v>0</v>
      </c>
      <c r="BD297" s="288">
        <v>0</v>
      </c>
      <c r="BE297" s="288">
        <v>0</v>
      </c>
      <c r="BF297" s="288">
        <v>0</v>
      </c>
      <c r="BG297" s="288">
        <v>0</v>
      </c>
      <c r="BH297" s="288">
        <v>0</v>
      </c>
      <c r="BI297" s="288">
        <v>0</v>
      </c>
      <c r="BJ297" s="288">
        <v>0</v>
      </c>
      <c r="BK297" s="288">
        <v>0</v>
      </c>
      <c r="BL297" s="288">
        <v>0</v>
      </c>
      <c r="BM297" s="288">
        <v>0</v>
      </c>
      <c r="BN297" s="288">
        <v>0</v>
      </c>
      <c r="BO297" s="288">
        <v>0</v>
      </c>
      <c r="BP297" s="288">
        <v>0</v>
      </c>
      <c r="BQ297" s="288">
        <v>0</v>
      </c>
      <c r="BR297" s="288">
        <v>0</v>
      </c>
      <c r="BS297" s="288">
        <v>0</v>
      </c>
      <c r="BT297" s="288">
        <v>0</v>
      </c>
    </row>
    <row r="298" spans="3:72">
      <c r="C298" s="127" t="s">
        <v>1140</v>
      </c>
      <c r="D298" s="127"/>
      <c r="E298" s="127"/>
      <c r="F298" s="127"/>
      <c r="G298" s="128"/>
      <c r="H298" s="128"/>
      <c r="I298" s="128"/>
      <c r="J298" s="128"/>
      <c r="K298" s="128"/>
      <c r="L298" s="128"/>
      <c r="M298" s="128"/>
      <c r="N298" s="128"/>
      <c r="O298" s="128"/>
      <c r="P298" s="128"/>
      <c r="Q298" s="128"/>
      <c r="R298" s="128"/>
      <c r="S298" s="128"/>
      <c r="T298" s="128"/>
      <c r="U298" s="128"/>
      <c r="V298" s="128"/>
      <c r="W298" s="128"/>
      <c r="X298" s="128"/>
      <c r="Y298" s="128"/>
      <c r="Z298" s="128">
        <v>0</v>
      </c>
      <c r="AA298" s="128">
        <v>0</v>
      </c>
      <c r="AB298" s="128">
        <v>0</v>
      </c>
      <c r="AC298" s="128">
        <v>0</v>
      </c>
      <c r="AD298" s="128">
        <v>0</v>
      </c>
      <c r="AE298" s="128">
        <v>0</v>
      </c>
      <c r="AF298" s="128">
        <v>0</v>
      </c>
      <c r="AG298" s="128">
        <v>3.7898530039999998</v>
      </c>
      <c r="AH298" s="128">
        <v>4.4081433609999996</v>
      </c>
      <c r="AI298" s="128">
        <v>0</v>
      </c>
      <c r="AJ298" s="128">
        <v>6.4325333310000001</v>
      </c>
      <c r="AK298" s="128">
        <v>0</v>
      </c>
      <c r="AL298" s="128">
        <v>7.9023459669999996</v>
      </c>
      <c r="AM298" s="128">
        <v>0</v>
      </c>
      <c r="AN298" s="128">
        <v>0</v>
      </c>
      <c r="AO298" s="128">
        <v>0</v>
      </c>
      <c r="AP298" s="128">
        <v>20.903201265</v>
      </c>
      <c r="AQ298" s="128">
        <v>0</v>
      </c>
      <c r="AR298" s="128">
        <v>21.749404254000002</v>
      </c>
      <c r="AS298" s="288">
        <v>24.736136520999999</v>
      </c>
      <c r="AT298" s="288">
        <v>0</v>
      </c>
      <c r="AU298" s="288">
        <v>30.045170954</v>
      </c>
      <c r="AV298" s="288">
        <v>31.217470209999998</v>
      </c>
      <c r="AW298" s="158">
        <v>0</v>
      </c>
      <c r="AX298" s="158">
        <v>0</v>
      </c>
      <c r="AY298" s="158">
        <v>0</v>
      </c>
      <c r="AZ298" s="158">
        <v>0</v>
      </c>
      <c r="BA298" s="158">
        <v>47.782337888000001</v>
      </c>
      <c r="BB298" s="288">
        <v>48.227481515000001</v>
      </c>
      <c r="BC298" s="288">
        <v>49.586000202999998</v>
      </c>
      <c r="BD298" s="288">
        <v>49.862904231999998</v>
      </c>
      <c r="BE298" s="288">
        <v>48.681774975000003</v>
      </c>
      <c r="BF298" s="288">
        <v>51.767030736000002</v>
      </c>
      <c r="BG298" s="288">
        <v>57.973405718000002</v>
      </c>
      <c r="BH298" s="288">
        <v>59.383738502999996</v>
      </c>
      <c r="BI298" s="288">
        <v>61.469438648000001</v>
      </c>
      <c r="BJ298" s="288">
        <v>73.476976680000007</v>
      </c>
      <c r="BK298" s="288">
        <v>63.622121579999998</v>
      </c>
      <c r="BL298" s="288">
        <v>75.143797543000005</v>
      </c>
      <c r="BM298" s="288">
        <v>80.959816609000001</v>
      </c>
      <c r="BN298" s="288">
        <v>82.69</v>
      </c>
      <c r="BO298" s="288">
        <v>94.979052641999999</v>
      </c>
      <c r="BP298" s="288">
        <v>118.13</v>
      </c>
      <c r="BQ298" s="288">
        <v>121.051754821</v>
      </c>
      <c r="BR298" s="288">
        <v>121.036484143</v>
      </c>
      <c r="BS298" s="288">
        <v>123.70175320200001</v>
      </c>
      <c r="BT298" s="288">
        <v>132.02847211400001</v>
      </c>
    </row>
    <row r="299" spans="3:72">
      <c r="C299" s="127" t="s">
        <v>1141</v>
      </c>
      <c r="D299" s="127"/>
      <c r="E299" s="127"/>
      <c r="F299" s="127"/>
      <c r="G299" s="128"/>
      <c r="H299" s="128"/>
      <c r="I299" s="128"/>
      <c r="J299" s="128"/>
      <c r="K299" s="128"/>
      <c r="L299" s="128"/>
      <c r="M299" s="128"/>
      <c r="N299" s="128"/>
      <c r="O299" s="128"/>
      <c r="P299" s="128"/>
      <c r="Q299" s="128"/>
      <c r="R299" s="128"/>
      <c r="S299" s="128"/>
      <c r="T299" s="128"/>
      <c r="U299" s="128"/>
      <c r="V299" s="128"/>
      <c r="W299" s="128"/>
      <c r="X299" s="128"/>
      <c r="Y299" s="128"/>
      <c r="Z299" s="128">
        <v>1.6374551369999999</v>
      </c>
      <c r="AA299" s="128">
        <v>1.7422888080000001</v>
      </c>
      <c r="AB299" s="128">
        <v>2.3578409730000001</v>
      </c>
      <c r="AC299" s="128">
        <v>0</v>
      </c>
      <c r="AD299" s="128">
        <v>0</v>
      </c>
      <c r="AE299" s="128">
        <v>2.9421469330000001</v>
      </c>
      <c r="AF299" s="128">
        <v>3.3249873619999999</v>
      </c>
      <c r="AG299" s="128">
        <v>0</v>
      </c>
      <c r="AH299" s="128">
        <v>0</v>
      </c>
      <c r="AI299" s="128">
        <v>5.2545724270000003</v>
      </c>
      <c r="AJ299" s="128">
        <v>0</v>
      </c>
      <c r="AK299" s="128">
        <v>7.2408063819999997</v>
      </c>
      <c r="AL299" s="128">
        <v>0</v>
      </c>
      <c r="AM299" s="128">
        <v>10.562995318</v>
      </c>
      <c r="AN299" s="128">
        <v>11.799595474</v>
      </c>
      <c r="AO299" s="128">
        <v>13.374171805</v>
      </c>
      <c r="AP299" s="128">
        <v>0</v>
      </c>
      <c r="AQ299" s="128">
        <v>0</v>
      </c>
      <c r="AR299" s="128">
        <v>0</v>
      </c>
      <c r="AS299" s="288">
        <v>0</v>
      </c>
      <c r="AT299" s="288">
        <v>25.721959316</v>
      </c>
      <c r="AU299" s="288">
        <v>0</v>
      </c>
      <c r="AV299" s="288">
        <v>0</v>
      </c>
      <c r="AW299" s="158">
        <v>33.962017459999998</v>
      </c>
      <c r="AX299" s="158">
        <v>112.172508529</v>
      </c>
      <c r="AY299" s="158">
        <v>0</v>
      </c>
      <c r="AZ299" s="158">
        <v>0</v>
      </c>
      <c r="BA299" s="158">
        <v>0</v>
      </c>
      <c r="BB299" s="288">
        <v>0</v>
      </c>
      <c r="BC299" s="288">
        <v>0</v>
      </c>
      <c r="BD299" s="288">
        <v>0</v>
      </c>
      <c r="BE299" s="288">
        <v>0</v>
      </c>
      <c r="BF299" s="288">
        <v>51.767030736000002</v>
      </c>
      <c r="BG299" s="288">
        <v>0</v>
      </c>
      <c r="BH299" s="288">
        <v>0</v>
      </c>
      <c r="BI299" s="288">
        <v>0</v>
      </c>
      <c r="BJ299" s="288">
        <v>0</v>
      </c>
      <c r="BK299" s="288">
        <v>0</v>
      </c>
      <c r="BL299" s="288">
        <v>0</v>
      </c>
      <c r="BM299" s="288">
        <v>0</v>
      </c>
      <c r="BN299" s="288">
        <v>0</v>
      </c>
      <c r="BO299" s="288">
        <v>0</v>
      </c>
      <c r="BP299" s="288">
        <v>118.13</v>
      </c>
      <c r="BQ299" s="288">
        <v>0</v>
      </c>
      <c r="BR299" s="288">
        <v>0</v>
      </c>
      <c r="BS299" s="288">
        <v>123.70175320200001</v>
      </c>
      <c r="BT299" s="288">
        <v>0</v>
      </c>
    </row>
    <row r="300" spans="3:72">
      <c r="C300" s="127" t="s">
        <v>1142</v>
      </c>
      <c r="D300" s="127"/>
      <c r="E300" s="127"/>
      <c r="F300" s="127"/>
      <c r="G300" s="128"/>
      <c r="H300" s="128"/>
      <c r="I300" s="128"/>
      <c r="J300" s="128"/>
      <c r="K300" s="128"/>
      <c r="L300" s="128"/>
      <c r="M300" s="128"/>
      <c r="N300" s="128"/>
      <c r="O300" s="128"/>
      <c r="P300" s="128"/>
      <c r="Q300" s="128"/>
      <c r="R300" s="128"/>
      <c r="S300" s="128"/>
      <c r="T300" s="128"/>
      <c r="U300" s="128"/>
      <c r="V300" s="128"/>
      <c r="W300" s="128"/>
      <c r="X300" s="128"/>
      <c r="Y300" s="128"/>
      <c r="Z300" s="128">
        <v>0</v>
      </c>
      <c r="AA300" s="128">
        <v>0</v>
      </c>
      <c r="AB300" s="128">
        <v>0</v>
      </c>
      <c r="AC300" s="128">
        <v>2.6364526690000001</v>
      </c>
      <c r="AD300" s="128">
        <v>2.577465804</v>
      </c>
      <c r="AE300" s="128">
        <v>0</v>
      </c>
      <c r="AF300" s="128">
        <v>0</v>
      </c>
      <c r="AG300" s="128">
        <v>0</v>
      </c>
      <c r="AH300" s="128">
        <v>0</v>
      </c>
      <c r="AI300" s="128">
        <v>0</v>
      </c>
      <c r="AJ300" s="128">
        <v>0</v>
      </c>
      <c r="AK300" s="128">
        <v>0</v>
      </c>
      <c r="AL300" s="128">
        <v>0</v>
      </c>
      <c r="AM300" s="128">
        <v>0</v>
      </c>
      <c r="AN300" s="128">
        <v>0</v>
      </c>
      <c r="AO300" s="128">
        <v>0</v>
      </c>
      <c r="AP300" s="128">
        <v>0</v>
      </c>
      <c r="AQ300" s="128">
        <v>22.765097398000002</v>
      </c>
      <c r="AR300" s="128">
        <v>0</v>
      </c>
      <c r="AS300" s="288">
        <v>0</v>
      </c>
      <c r="AT300" s="288">
        <v>0</v>
      </c>
      <c r="AU300" s="288">
        <v>0</v>
      </c>
      <c r="AV300" s="288">
        <v>0</v>
      </c>
      <c r="AW300" s="158">
        <v>0</v>
      </c>
      <c r="AX300" s="158">
        <v>0</v>
      </c>
      <c r="AY300" s="158">
        <v>39.492695464000001</v>
      </c>
      <c r="AZ300" s="158">
        <v>47.236411085</v>
      </c>
      <c r="BA300" s="158">
        <v>0</v>
      </c>
      <c r="BB300" s="288">
        <v>0</v>
      </c>
      <c r="BC300" s="288">
        <v>0</v>
      </c>
      <c r="BD300" s="288">
        <v>0</v>
      </c>
      <c r="BE300" s="288">
        <v>0</v>
      </c>
      <c r="BF300" s="288">
        <v>0</v>
      </c>
      <c r="BG300" s="288">
        <v>0</v>
      </c>
      <c r="BH300" s="288">
        <v>0</v>
      </c>
      <c r="BI300" s="288">
        <v>0</v>
      </c>
      <c r="BJ300" s="288">
        <v>0</v>
      </c>
      <c r="BK300" s="288">
        <v>0</v>
      </c>
      <c r="BL300" s="288">
        <v>0</v>
      </c>
      <c r="BM300" s="288">
        <v>0</v>
      </c>
      <c r="BN300" s="288">
        <v>0</v>
      </c>
      <c r="BO300" s="288">
        <v>0</v>
      </c>
      <c r="BP300" s="288">
        <v>0</v>
      </c>
      <c r="BQ300" s="288">
        <v>0</v>
      </c>
      <c r="BR300" s="288">
        <v>0</v>
      </c>
      <c r="BS300" s="288">
        <v>0</v>
      </c>
      <c r="BT300" s="288">
        <v>0</v>
      </c>
    </row>
    <row r="301" spans="3:72">
      <c r="C301" s="127" t="s">
        <v>1143</v>
      </c>
      <c r="D301" s="127"/>
      <c r="E301" s="127"/>
      <c r="F301" s="127"/>
      <c r="G301" s="128"/>
      <c r="H301" s="128"/>
      <c r="I301" s="128"/>
      <c r="J301" s="128"/>
      <c r="K301" s="128"/>
      <c r="L301" s="128"/>
      <c r="M301" s="128"/>
      <c r="N301" s="128"/>
      <c r="O301" s="128"/>
      <c r="P301" s="128"/>
      <c r="Q301" s="128"/>
      <c r="R301" s="128"/>
      <c r="S301" s="128"/>
      <c r="T301" s="128"/>
      <c r="U301" s="128"/>
      <c r="V301" s="128"/>
      <c r="W301" s="128"/>
      <c r="X301" s="128"/>
      <c r="Y301" s="128"/>
      <c r="Z301" s="128">
        <v>0</v>
      </c>
      <c r="AA301" s="128">
        <v>0</v>
      </c>
      <c r="AB301" s="128">
        <v>0</v>
      </c>
      <c r="AC301" s="128">
        <v>0</v>
      </c>
      <c r="AD301" s="128">
        <v>0</v>
      </c>
      <c r="AE301" s="128">
        <v>0</v>
      </c>
      <c r="AF301" s="128">
        <v>0</v>
      </c>
      <c r="AG301" s="128">
        <v>0</v>
      </c>
      <c r="AH301" s="128">
        <v>0</v>
      </c>
      <c r="AI301" s="128">
        <v>0</v>
      </c>
      <c r="AJ301" s="128">
        <v>0</v>
      </c>
      <c r="AK301" s="128">
        <v>0</v>
      </c>
      <c r="AL301" s="128">
        <v>0</v>
      </c>
      <c r="AM301" s="128">
        <v>0</v>
      </c>
      <c r="AN301" s="128">
        <v>0</v>
      </c>
      <c r="AO301" s="128">
        <v>0</v>
      </c>
      <c r="AP301" s="128">
        <v>0</v>
      </c>
      <c r="AQ301" s="128">
        <v>0</v>
      </c>
      <c r="AR301" s="128">
        <v>0</v>
      </c>
      <c r="AS301" s="288">
        <v>0</v>
      </c>
      <c r="AT301" s="288">
        <v>0</v>
      </c>
      <c r="AU301" s="288">
        <v>0</v>
      </c>
      <c r="AV301" s="288">
        <v>0</v>
      </c>
      <c r="AW301" s="158">
        <v>0</v>
      </c>
      <c r="AX301" s="158">
        <v>0</v>
      </c>
      <c r="AY301" s="158">
        <v>0</v>
      </c>
      <c r="AZ301" s="158">
        <v>0</v>
      </c>
      <c r="BA301" s="158">
        <v>0</v>
      </c>
      <c r="BB301" s="288">
        <v>0</v>
      </c>
      <c r="BC301" s="288">
        <v>0</v>
      </c>
      <c r="BD301" s="288">
        <v>0</v>
      </c>
      <c r="BE301" s="288">
        <v>0</v>
      </c>
      <c r="BF301" s="288">
        <v>0</v>
      </c>
      <c r="BG301" s="288">
        <v>0</v>
      </c>
      <c r="BH301" s="288">
        <v>0</v>
      </c>
      <c r="BI301" s="288">
        <v>0</v>
      </c>
      <c r="BJ301" s="288">
        <v>0</v>
      </c>
      <c r="BK301" s="288">
        <v>0</v>
      </c>
      <c r="BL301" s="288">
        <v>0</v>
      </c>
      <c r="BM301" s="288">
        <v>0</v>
      </c>
      <c r="BN301" s="288">
        <v>0</v>
      </c>
      <c r="BO301" s="288">
        <v>0</v>
      </c>
      <c r="BP301" s="288">
        <v>0</v>
      </c>
      <c r="BQ301" s="288">
        <v>0</v>
      </c>
      <c r="BR301" s="288">
        <v>0</v>
      </c>
      <c r="BS301" s="288">
        <v>0</v>
      </c>
      <c r="BT301" s="288">
        <v>0</v>
      </c>
    </row>
    <row r="302" spans="3:72">
      <c r="C302" s="127" t="s">
        <v>1144</v>
      </c>
      <c r="D302" s="127"/>
      <c r="E302" s="127"/>
      <c r="F302" s="127"/>
      <c r="G302" s="128"/>
      <c r="H302" s="128"/>
      <c r="I302" s="128"/>
      <c r="J302" s="128"/>
      <c r="K302" s="128"/>
      <c r="L302" s="128"/>
      <c r="M302" s="128"/>
      <c r="N302" s="128"/>
      <c r="O302" s="128"/>
      <c r="P302" s="128"/>
      <c r="Q302" s="128"/>
      <c r="R302" s="128"/>
      <c r="S302" s="128"/>
      <c r="T302" s="128"/>
      <c r="U302" s="128"/>
      <c r="V302" s="128"/>
      <c r="W302" s="128"/>
      <c r="X302" s="128"/>
      <c r="Y302" s="128"/>
      <c r="Z302" s="128">
        <v>0</v>
      </c>
      <c r="AA302" s="128">
        <v>0</v>
      </c>
      <c r="AB302" s="128">
        <v>0</v>
      </c>
      <c r="AC302" s="128">
        <v>0</v>
      </c>
      <c r="AD302" s="128">
        <v>0</v>
      </c>
      <c r="AE302" s="128">
        <v>0</v>
      </c>
      <c r="AF302" s="128">
        <v>0</v>
      </c>
      <c r="AG302" s="128">
        <v>0</v>
      </c>
      <c r="AH302" s="128">
        <v>0</v>
      </c>
      <c r="AI302" s="128">
        <v>0</v>
      </c>
      <c r="AJ302" s="128">
        <v>0</v>
      </c>
      <c r="AK302" s="128">
        <v>0</v>
      </c>
      <c r="AL302" s="128">
        <v>0</v>
      </c>
      <c r="AM302" s="128">
        <v>0</v>
      </c>
      <c r="AN302" s="128">
        <v>0</v>
      </c>
      <c r="AO302" s="128">
        <v>0</v>
      </c>
      <c r="AP302" s="128">
        <v>0</v>
      </c>
      <c r="AQ302" s="128">
        <v>0</v>
      </c>
      <c r="AR302" s="128">
        <v>0</v>
      </c>
      <c r="AS302" s="288">
        <v>0</v>
      </c>
      <c r="AT302" s="288">
        <v>0</v>
      </c>
      <c r="AU302" s="288">
        <v>0</v>
      </c>
      <c r="AV302" s="288">
        <v>0</v>
      </c>
      <c r="AW302" s="158">
        <v>0</v>
      </c>
      <c r="AX302" s="158">
        <v>0</v>
      </c>
      <c r="AY302" s="158">
        <v>0</v>
      </c>
      <c r="AZ302" s="158">
        <v>0</v>
      </c>
      <c r="BA302" s="158">
        <v>0</v>
      </c>
      <c r="BB302" s="288">
        <v>0</v>
      </c>
      <c r="BC302" s="288">
        <v>0</v>
      </c>
      <c r="BD302" s="288">
        <v>0</v>
      </c>
      <c r="BE302" s="288">
        <v>0</v>
      </c>
      <c r="BF302" s="288">
        <v>0</v>
      </c>
      <c r="BG302" s="288">
        <v>0</v>
      </c>
      <c r="BH302" s="288">
        <v>0</v>
      </c>
      <c r="BI302" s="288">
        <v>0</v>
      </c>
      <c r="BJ302" s="288">
        <v>0</v>
      </c>
      <c r="BK302" s="288">
        <v>0</v>
      </c>
      <c r="BL302" s="288">
        <v>0</v>
      </c>
      <c r="BM302" s="288">
        <v>0</v>
      </c>
      <c r="BN302" s="288">
        <v>0</v>
      </c>
      <c r="BO302" s="288">
        <v>0</v>
      </c>
      <c r="BP302" s="288">
        <v>0</v>
      </c>
      <c r="BQ302" s="288">
        <v>0</v>
      </c>
      <c r="BR302" s="288">
        <v>0</v>
      </c>
      <c r="BS302" s="288">
        <v>0</v>
      </c>
      <c r="BT302" s="288">
        <v>0</v>
      </c>
    </row>
    <row r="303" spans="3:72">
      <c r="C303" s="127" t="s">
        <v>1145</v>
      </c>
      <c r="D303" s="127"/>
      <c r="E303" s="127"/>
      <c r="F303" s="127"/>
      <c r="G303" s="128"/>
      <c r="H303" s="128"/>
      <c r="I303" s="128"/>
      <c r="J303" s="128"/>
      <c r="K303" s="128"/>
      <c r="L303" s="128"/>
      <c r="M303" s="128"/>
      <c r="N303" s="128"/>
      <c r="O303" s="128"/>
      <c r="P303" s="128"/>
      <c r="Q303" s="128"/>
      <c r="R303" s="128"/>
      <c r="S303" s="128"/>
      <c r="T303" s="128"/>
      <c r="U303" s="128"/>
      <c r="V303" s="128"/>
      <c r="W303" s="128"/>
      <c r="X303" s="128"/>
      <c r="Y303" s="128"/>
      <c r="Z303" s="128">
        <v>0</v>
      </c>
      <c r="AA303" s="128">
        <v>0</v>
      </c>
      <c r="AB303" s="128">
        <v>0</v>
      </c>
      <c r="AC303" s="128">
        <v>0</v>
      </c>
      <c r="AD303" s="128">
        <v>1.8199647619999999</v>
      </c>
      <c r="AE303" s="128">
        <v>2.136529871</v>
      </c>
      <c r="AF303" s="128">
        <v>0</v>
      </c>
      <c r="AG303" s="128">
        <v>3.3905590399999999</v>
      </c>
      <c r="AH303" s="128">
        <v>4.7251275169999998</v>
      </c>
      <c r="AI303" s="128">
        <v>6.7112774530000001</v>
      </c>
      <c r="AJ303" s="128">
        <v>0</v>
      </c>
      <c r="AK303" s="128">
        <v>9.1283795740000002</v>
      </c>
      <c r="AL303" s="128">
        <v>23.171080975999999</v>
      </c>
      <c r="AM303" s="128">
        <v>0</v>
      </c>
      <c r="AN303" s="128">
        <v>26.150473906999999</v>
      </c>
      <c r="AO303" s="128">
        <v>0</v>
      </c>
      <c r="AP303" s="128">
        <v>29.07420492</v>
      </c>
      <c r="AQ303" s="128">
        <v>0</v>
      </c>
      <c r="AR303" s="128">
        <v>33.281772023999999</v>
      </c>
      <c r="AS303" s="288">
        <v>0</v>
      </c>
      <c r="AT303" s="288">
        <v>35.586844435000003</v>
      </c>
      <c r="AU303" s="288">
        <v>55.898578921000002</v>
      </c>
      <c r="AV303" s="288">
        <v>55.506211561000001</v>
      </c>
      <c r="AW303" s="158">
        <v>0</v>
      </c>
      <c r="AX303" s="158">
        <v>90.501072725</v>
      </c>
      <c r="AY303" s="158">
        <v>95.567974786999997</v>
      </c>
      <c r="AZ303" s="158">
        <v>91.101883878999999</v>
      </c>
      <c r="BA303" s="158">
        <v>67.277822069999999</v>
      </c>
      <c r="BB303" s="288">
        <v>68.029425467999999</v>
      </c>
      <c r="BC303" s="288">
        <v>69.894179858000001</v>
      </c>
      <c r="BD303" s="288">
        <v>70.222580077000003</v>
      </c>
      <c r="BE303" s="288">
        <v>72.481652002999994</v>
      </c>
      <c r="BF303" s="288">
        <v>60.140949171000003</v>
      </c>
      <c r="BG303" s="288">
        <v>65.514993439999998</v>
      </c>
      <c r="BH303" s="288">
        <v>81.787270441000004</v>
      </c>
      <c r="BI303" s="288">
        <v>80.460645177999993</v>
      </c>
      <c r="BJ303" s="288">
        <v>80.260421887999996</v>
      </c>
      <c r="BK303" s="288">
        <v>62.841634474000003</v>
      </c>
      <c r="BL303" s="288">
        <v>60.696846573000002</v>
      </c>
      <c r="BM303" s="288">
        <v>58.272136513</v>
      </c>
      <c r="BN303" s="288">
        <v>58.04</v>
      </c>
      <c r="BO303" s="288">
        <v>65.688926917000003</v>
      </c>
      <c r="BP303" s="288">
        <v>0</v>
      </c>
      <c r="BQ303" s="288">
        <v>65.985330830999999</v>
      </c>
      <c r="BR303" s="288">
        <v>68.159741276000005</v>
      </c>
      <c r="BS303" s="288">
        <v>70.122554549</v>
      </c>
      <c r="BT303" s="288">
        <v>69.791564735999998</v>
      </c>
    </row>
    <row r="304" spans="3:72">
      <c r="C304" s="127" t="s">
        <v>1146</v>
      </c>
      <c r="D304" s="127"/>
      <c r="E304" s="127"/>
      <c r="F304" s="127"/>
      <c r="G304" s="128"/>
      <c r="H304" s="128"/>
      <c r="I304" s="128"/>
      <c r="J304" s="128"/>
      <c r="K304" s="128"/>
      <c r="L304" s="128"/>
      <c r="M304" s="128"/>
      <c r="N304" s="128"/>
      <c r="O304" s="128"/>
      <c r="P304" s="128"/>
      <c r="Q304" s="128"/>
      <c r="R304" s="128"/>
      <c r="S304" s="128"/>
      <c r="T304" s="128"/>
      <c r="U304" s="128"/>
      <c r="V304" s="128"/>
      <c r="W304" s="128"/>
      <c r="X304" s="128"/>
      <c r="Y304" s="128"/>
      <c r="Z304" s="128">
        <v>0</v>
      </c>
      <c r="AA304" s="128">
        <v>0</v>
      </c>
      <c r="AB304" s="128">
        <v>0</v>
      </c>
      <c r="AC304" s="128">
        <v>0</v>
      </c>
      <c r="AD304" s="128">
        <v>0</v>
      </c>
      <c r="AE304" s="128">
        <v>0</v>
      </c>
      <c r="AF304" s="128">
        <v>0</v>
      </c>
      <c r="AG304" s="128">
        <v>0</v>
      </c>
      <c r="AH304" s="128">
        <v>0</v>
      </c>
      <c r="AI304" s="128">
        <v>0</v>
      </c>
      <c r="AJ304" s="128">
        <v>0</v>
      </c>
      <c r="AK304" s="128">
        <v>0</v>
      </c>
      <c r="AL304" s="128">
        <v>0</v>
      </c>
      <c r="AM304" s="128">
        <v>0</v>
      </c>
      <c r="AN304" s="128">
        <v>0</v>
      </c>
      <c r="AO304" s="128">
        <v>0</v>
      </c>
      <c r="AP304" s="128">
        <v>0</v>
      </c>
      <c r="AQ304" s="128">
        <v>0</v>
      </c>
      <c r="AR304" s="128">
        <v>0</v>
      </c>
      <c r="AS304" s="288">
        <v>0</v>
      </c>
      <c r="AT304" s="288">
        <v>0</v>
      </c>
      <c r="AU304" s="288">
        <v>0</v>
      </c>
      <c r="AV304" s="288">
        <v>0</v>
      </c>
      <c r="AW304" s="158">
        <v>0</v>
      </c>
      <c r="AX304" s="158">
        <v>0</v>
      </c>
      <c r="AY304" s="158">
        <v>0</v>
      </c>
      <c r="AZ304" s="158">
        <v>0</v>
      </c>
      <c r="BA304" s="158">
        <v>0</v>
      </c>
      <c r="BB304" s="288">
        <v>0</v>
      </c>
      <c r="BC304" s="288">
        <v>0</v>
      </c>
      <c r="BD304" s="288">
        <v>0</v>
      </c>
      <c r="BE304" s="288">
        <v>0</v>
      </c>
      <c r="BF304" s="288">
        <v>0</v>
      </c>
      <c r="BG304" s="288">
        <v>0</v>
      </c>
      <c r="BH304" s="288">
        <v>0</v>
      </c>
      <c r="BI304" s="288">
        <v>0</v>
      </c>
      <c r="BJ304" s="288">
        <v>0</v>
      </c>
      <c r="BK304" s="288">
        <v>0</v>
      </c>
      <c r="BL304" s="288">
        <v>0</v>
      </c>
      <c r="BM304" s="288">
        <v>0</v>
      </c>
      <c r="BN304" s="288">
        <v>0</v>
      </c>
      <c r="BO304" s="288">
        <v>0</v>
      </c>
      <c r="BP304" s="288">
        <v>0</v>
      </c>
      <c r="BQ304" s="288">
        <v>0</v>
      </c>
      <c r="BR304" s="288">
        <v>0</v>
      </c>
      <c r="BS304" s="288">
        <v>0</v>
      </c>
      <c r="BT304" s="288">
        <v>0</v>
      </c>
    </row>
    <row r="305" spans="3:72">
      <c r="C305" s="127" t="s">
        <v>1098</v>
      </c>
      <c r="D305" s="127"/>
      <c r="E305" s="127"/>
      <c r="F305" s="127"/>
      <c r="G305" s="128"/>
      <c r="H305" s="128"/>
      <c r="I305" s="128"/>
      <c r="J305" s="128"/>
      <c r="K305" s="128"/>
      <c r="L305" s="128"/>
      <c r="M305" s="128"/>
      <c r="N305" s="128"/>
      <c r="O305" s="128"/>
      <c r="P305" s="128"/>
      <c r="Q305" s="128"/>
      <c r="R305" s="128"/>
      <c r="S305" s="128"/>
      <c r="T305" s="128"/>
      <c r="U305" s="128"/>
      <c r="V305" s="128"/>
      <c r="W305" s="128"/>
      <c r="X305" s="128"/>
      <c r="Y305" s="128"/>
      <c r="Z305" s="128">
        <v>15.332281257</v>
      </c>
      <c r="AA305" s="128">
        <v>17.82550329</v>
      </c>
      <c r="AB305" s="128">
        <v>33.583793931000002</v>
      </c>
      <c r="AC305" s="128">
        <v>45.845977972999997</v>
      </c>
      <c r="AD305" s="128">
        <v>61.015691504000003</v>
      </c>
      <c r="AE305" s="128">
        <v>66.623808049000004</v>
      </c>
      <c r="AF305" s="128">
        <v>135.06230501300001</v>
      </c>
      <c r="AG305" s="128">
        <v>168.18182872</v>
      </c>
      <c r="AH305" s="128">
        <v>318.05260209300002</v>
      </c>
      <c r="AI305" s="128">
        <v>297.43327996900001</v>
      </c>
      <c r="AJ305" s="128">
        <v>243.25256034700001</v>
      </c>
      <c r="AK305" s="128">
        <v>305.69555611800001</v>
      </c>
      <c r="AL305" s="128">
        <v>225.668471192</v>
      </c>
      <c r="AM305" s="128">
        <v>303.02597634900002</v>
      </c>
      <c r="AN305" s="128">
        <v>495.45852742400001</v>
      </c>
      <c r="AO305" s="128">
        <v>793.76542727399999</v>
      </c>
      <c r="AP305" s="128">
        <v>641.61132469100005</v>
      </c>
      <c r="AQ305" s="128">
        <v>673.93593120599996</v>
      </c>
      <c r="AR305" s="128">
        <v>926.52079332400001</v>
      </c>
      <c r="AS305" s="288">
        <v>1192.796171898</v>
      </c>
      <c r="AT305" s="288">
        <v>928.13835430100005</v>
      </c>
      <c r="AU305" s="288">
        <v>1110.383968112</v>
      </c>
      <c r="AV305" s="288">
        <v>1020.709307481</v>
      </c>
      <c r="AW305" s="158">
        <v>683.92271329599998</v>
      </c>
      <c r="AX305" s="158">
        <v>776.26541146500006</v>
      </c>
      <c r="AY305" s="158">
        <v>549.18474924300006</v>
      </c>
      <c r="AZ305" s="158">
        <v>887.20851924800002</v>
      </c>
      <c r="BA305" s="158">
        <v>608.41917607599999</v>
      </c>
      <c r="BB305" s="288">
        <v>856.98224343100003</v>
      </c>
      <c r="BC305" s="288">
        <v>694.90080766200003</v>
      </c>
      <c r="BD305" s="288">
        <v>566.08397734699997</v>
      </c>
      <c r="BE305" s="288">
        <v>355.15650962400002</v>
      </c>
      <c r="BF305" s="288">
        <v>916.22932297900002</v>
      </c>
      <c r="BG305" s="288">
        <v>452.35457707299997</v>
      </c>
      <c r="BH305" s="288">
        <v>674.69310348900001</v>
      </c>
      <c r="BI305" s="288">
        <v>2829.9773961410001</v>
      </c>
      <c r="BJ305" s="288">
        <v>3111.928601138</v>
      </c>
      <c r="BK305" s="288">
        <v>1604.551293709</v>
      </c>
      <c r="BL305" s="288">
        <v>757.44102175499995</v>
      </c>
      <c r="BM305" s="288">
        <v>1177.335013893</v>
      </c>
      <c r="BN305" s="288">
        <v>1860.97</v>
      </c>
      <c r="BO305" s="288">
        <v>2783.1092586210002</v>
      </c>
      <c r="BP305" s="288">
        <v>1064.71</v>
      </c>
      <c r="BQ305" s="288">
        <v>718.15513844999998</v>
      </c>
      <c r="BR305" s="288">
        <v>845.33575591099998</v>
      </c>
      <c r="BS305" s="288">
        <v>2520.941551718</v>
      </c>
      <c r="BT305" s="288">
        <v>1044.6122874140001</v>
      </c>
    </row>
    <row r="306" spans="3:72">
      <c r="C306" s="127" t="s">
        <v>1147</v>
      </c>
      <c r="D306" s="127"/>
      <c r="E306" s="127"/>
      <c r="F306" s="127"/>
      <c r="G306" s="128"/>
      <c r="H306" s="128"/>
      <c r="I306" s="128"/>
      <c r="J306" s="128"/>
      <c r="K306" s="128"/>
      <c r="L306" s="128"/>
      <c r="M306" s="128"/>
      <c r="N306" s="128"/>
      <c r="O306" s="128"/>
      <c r="P306" s="128"/>
      <c r="Q306" s="128"/>
      <c r="R306" s="128"/>
      <c r="S306" s="128"/>
      <c r="T306" s="128"/>
      <c r="U306" s="128"/>
      <c r="V306" s="128"/>
      <c r="W306" s="128"/>
      <c r="X306" s="128"/>
      <c r="Y306" s="128"/>
      <c r="Z306" s="128">
        <v>0</v>
      </c>
      <c r="AA306" s="128">
        <v>0</v>
      </c>
      <c r="AB306" s="128">
        <v>0</v>
      </c>
      <c r="AC306" s="128">
        <v>0</v>
      </c>
      <c r="AD306" s="128">
        <v>0</v>
      </c>
      <c r="AE306" s="128">
        <v>0</v>
      </c>
      <c r="AF306" s="128">
        <v>0</v>
      </c>
      <c r="AG306" s="128">
        <v>0</v>
      </c>
      <c r="AH306" s="128">
        <v>0</v>
      </c>
      <c r="AI306" s="128">
        <v>0</v>
      </c>
      <c r="AJ306" s="128">
        <v>0</v>
      </c>
      <c r="AK306" s="128">
        <v>0</v>
      </c>
      <c r="AL306" s="128">
        <v>5308.039355078</v>
      </c>
      <c r="AM306" s="128">
        <v>0</v>
      </c>
      <c r="AN306" s="128">
        <v>59.300259494999999</v>
      </c>
      <c r="AO306" s="128">
        <v>1192.295066747</v>
      </c>
      <c r="AP306" s="128">
        <v>1362.046386664</v>
      </c>
      <c r="AQ306" s="128">
        <v>1339.4712471939999</v>
      </c>
      <c r="AR306" s="128">
        <v>1296.3661502509999</v>
      </c>
      <c r="AS306" s="288">
        <v>1247.995997257</v>
      </c>
      <c r="AT306" s="288">
        <v>1175.3382127580001</v>
      </c>
      <c r="AU306" s="288">
        <v>1119.866666659</v>
      </c>
      <c r="AV306" s="288">
        <v>1121.001666658</v>
      </c>
      <c r="AW306" s="158">
        <v>1122.136666657</v>
      </c>
      <c r="AX306" s="158">
        <v>1123.271666656</v>
      </c>
      <c r="AY306" s="158">
        <v>1124.406666655</v>
      </c>
      <c r="AZ306" s="158">
        <v>1125.541666654</v>
      </c>
      <c r="BA306" s="158">
        <v>1126.676666653</v>
      </c>
      <c r="BB306" s="288">
        <v>0</v>
      </c>
      <c r="BC306" s="288">
        <v>1128.946666651</v>
      </c>
      <c r="BD306" s="288">
        <v>3898.4816666500001</v>
      </c>
      <c r="BE306" s="288">
        <v>2768.4</v>
      </c>
      <c r="BF306" s="288">
        <v>0</v>
      </c>
      <c r="BG306" s="288">
        <v>0</v>
      </c>
      <c r="BH306" s="288">
        <v>5967.5</v>
      </c>
      <c r="BI306" s="288">
        <v>5901.25</v>
      </c>
      <c r="BJ306" s="288">
        <v>5901.25</v>
      </c>
      <c r="BK306" s="288">
        <v>5899.375</v>
      </c>
      <c r="BL306" s="288">
        <v>5899.375</v>
      </c>
      <c r="BM306" s="288">
        <v>5985.25</v>
      </c>
      <c r="BN306" s="288">
        <v>6087.25</v>
      </c>
      <c r="BO306" s="288">
        <v>6131.875</v>
      </c>
      <c r="BP306" s="288">
        <v>6151.88</v>
      </c>
      <c r="BQ306" s="288">
        <v>0</v>
      </c>
      <c r="BR306" s="288">
        <v>0</v>
      </c>
      <c r="BS306" s="288">
        <v>0</v>
      </c>
      <c r="BT306" s="288">
        <v>0</v>
      </c>
    </row>
    <row r="307" spans="3:72">
      <c r="C307" s="127" t="s">
        <v>1148</v>
      </c>
      <c r="D307" s="127"/>
      <c r="E307" s="127"/>
      <c r="F307" s="127"/>
      <c r="G307" s="128"/>
      <c r="H307" s="128"/>
      <c r="I307" s="128"/>
      <c r="J307" s="128"/>
      <c r="K307" s="128"/>
      <c r="L307" s="128"/>
      <c r="M307" s="128"/>
      <c r="N307" s="128"/>
      <c r="O307" s="128"/>
      <c r="P307" s="128"/>
      <c r="Q307" s="128"/>
      <c r="R307" s="128"/>
      <c r="S307" s="128"/>
      <c r="T307" s="128"/>
      <c r="U307" s="128"/>
      <c r="V307" s="128"/>
      <c r="W307" s="128"/>
      <c r="X307" s="128"/>
      <c r="Y307" s="128"/>
      <c r="Z307" s="128">
        <v>0</v>
      </c>
      <c r="AA307" s="128">
        <v>0</v>
      </c>
      <c r="AB307" s="128">
        <v>0</v>
      </c>
      <c r="AC307" s="128">
        <v>0</v>
      </c>
      <c r="AD307" s="128">
        <v>0</v>
      </c>
      <c r="AE307" s="128">
        <v>0</v>
      </c>
      <c r="AF307" s="128">
        <v>0</v>
      </c>
      <c r="AG307" s="128">
        <v>0</v>
      </c>
      <c r="AH307" s="128">
        <v>0</v>
      </c>
      <c r="AI307" s="128">
        <v>0</v>
      </c>
      <c r="AJ307" s="128">
        <v>0</v>
      </c>
      <c r="AK307" s="128">
        <v>0</v>
      </c>
      <c r="AL307" s="128">
        <v>5308.039355078</v>
      </c>
      <c r="AM307" s="128">
        <v>0</v>
      </c>
      <c r="AN307" s="128">
        <v>59.300259494999999</v>
      </c>
      <c r="AO307" s="128">
        <v>1192.295066747</v>
      </c>
      <c r="AP307" s="128">
        <v>1362.046386664</v>
      </c>
      <c r="AQ307" s="128">
        <v>1339.4712471939999</v>
      </c>
      <c r="AR307" s="128">
        <v>179.90448358899999</v>
      </c>
      <c r="AS307" s="288">
        <v>1247.995997257</v>
      </c>
      <c r="AT307" s="288">
        <v>1175.3382127580001</v>
      </c>
      <c r="AU307" s="288">
        <v>1119.866666659</v>
      </c>
      <c r="AV307" s="288">
        <v>1121.001666658</v>
      </c>
      <c r="AW307" s="158">
        <v>1122.136666657</v>
      </c>
      <c r="AX307" s="158">
        <v>1123.271666656</v>
      </c>
      <c r="AY307" s="158">
        <v>1124.406666655</v>
      </c>
      <c r="AZ307" s="158">
        <v>1125.541666654</v>
      </c>
      <c r="BA307" s="158">
        <v>0</v>
      </c>
      <c r="BB307" s="288">
        <v>0</v>
      </c>
      <c r="BC307" s="288">
        <v>0</v>
      </c>
      <c r="BD307" s="288">
        <v>2768.4</v>
      </c>
      <c r="BE307" s="288">
        <v>2768.4</v>
      </c>
      <c r="BF307" s="288">
        <v>0</v>
      </c>
      <c r="BG307" s="288">
        <v>0</v>
      </c>
      <c r="BH307" s="288">
        <v>5967.5</v>
      </c>
      <c r="BI307" s="288">
        <v>5901.25</v>
      </c>
      <c r="BJ307" s="288">
        <v>5901.25</v>
      </c>
      <c r="BK307" s="288">
        <v>5899.375</v>
      </c>
      <c r="BL307" s="288">
        <v>5899.375</v>
      </c>
      <c r="BM307" s="288">
        <v>5985.25</v>
      </c>
      <c r="BN307" s="288">
        <v>6087.25</v>
      </c>
      <c r="BO307" s="288">
        <v>6131.875</v>
      </c>
      <c r="BP307" s="288">
        <v>6151.88</v>
      </c>
      <c r="BQ307" s="288">
        <v>0</v>
      </c>
      <c r="BR307" s="288">
        <v>0</v>
      </c>
      <c r="BS307" s="288">
        <v>0</v>
      </c>
      <c r="BT307" s="288">
        <v>0</v>
      </c>
    </row>
    <row r="308" spans="3:72">
      <c r="C308" s="127" t="s">
        <v>1149</v>
      </c>
      <c r="D308" s="127"/>
      <c r="E308" s="127"/>
      <c r="F308" s="127"/>
      <c r="G308" s="128"/>
      <c r="H308" s="128"/>
      <c r="I308" s="128"/>
      <c r="J308" s="128"/>
      <c r="K308" s="128"/>
      <c r="L308" s="128"/>
      <c r="M308" s="128"/>
      <c r="N308" s="128"/>
      <c r="O308" s="128"/>
      <c r="P308" s="128"/>
      <c r="Q308" s="128"/>
      <c r="R308" s="128"/>
      <c r="S308" s="128"/>
      <c r="T308" s="128"/>
      <c r="U308" s="128"/>
      <c r="V308" s="128"/>
      <c r="W308" s="128"/>
      <c r="X308" s="128"/>
      <c r="Y308" s="128"/>
      <c r="Z308" s="128">
        <v>0</v>
      </c>
      <c r="AA308" s="128">
        <v>0</v>
      </c>
      <c r="AB308" s="128">
        <v>0</v>
      </c>
      <c r="AC308" s="128">
        <v>0</v>
      </c>
      <c r="AD308" s="128">
        <v>0</v>
      </c>
      <c r="AE308" s="128">
        <v>0</v>
      </c>
      <c r="AF308" s="128">
        <v>0</v>
      </c>
      <c r="AG308" s="128">
        <v>0</v>
      </c>
      <c r="AH308" s="128">
        <v>0</v>
      </c>
      <c r="AI308" s="128">
        <v>0</v>
      </c>
      <c r="AJ308" s="128">
        <v>0</v>
      </c>
      <c r="AK308" s="128">
        <v>0</v>
      </c>
      <c r="AL308" s="128">
        <v>0</v>
      </c>
      <c r="AM308" s="128">
        <v>0</v>
      </c>
      <c r="AN308" s="128">
        <v>0</v>
      </c>
      <c r="AO308" s="128">
        <v>0</v>
      </c>
      <c r="AP308" s="128">
        <v>0</v>
      </c>
      <c r="AQ308" s="128">
        <v>0</v>
      </c>
      <c r="AR308" s="128">
        <v>0</v>
      </c>
      <c r="AS308" s="288">
        <v>0</v>
      </c>
      <c r="AT308" s="288">
        <v>0</v>
      </c>
      <c r="AU308" s="288">
        <v>0</v>
      </c>
      <c r="AV308" s="288">
        <v>0</v>
      </c>
      <c r="AW308" s="158">
        <v>0</v>
      </c>
      <c r="AX308" s="158">
        <v>0</v>
      </c>
      <c r="AY308" s="158">
        <v>0</v>
      </c>
      <c r="AZ308" s="158">
        <v>0</v>
      </c>
      <c r="BA308" s="158">
        <v>0</v>
      </c>
      <c r="BB308" s="288">
        <v>0</v>
      </c>
      <c r="BC308" s="288">
        <v>0</v>
      </c>
      <c r="BD308" s="288">
        <v>0</v>
      </c>
      <c r="BE308" s="288">
        <v>0</v>
      </c>
      <c r="BF308" s="288">
        <v>0</v>
      </c>
      <c r="BG308" s="288">
        <v>0</v>
      </c>
      <c r="BH308" s="288">
        <v>0</v>
      </c>
      <c r="BI308" s="288">
        <v>0</v>
      </c>
      <c r="BJ308" s="288">
        <v>0</v>
      </c>
      <c r="BK308" s="288">
        <v>0</v>
      </c>
      <c r="BL308" s="288">
        <v>0</v>
      </c>
      <c r="BM308" s="288">
        <v>0</v>
      </c>
      <c r="BN308" s="288">
        <v>0</v>
      </c>
      <c r="BO308" s="288">
        <v>0</v>
      </c>
      <c r="BP308" s="288">
        <v>0</v>
      </c>
      <c r="BQ308" s="288">
        <v>0</v>
      </c>
      <c r="BR308" s="288">
        <v>0</v>
      </c>
      <c r="BS308" s="288">
        <v>0</v>
      </c>
      <c r="BT308" s="288">
        <v>0</v>
      </c>
    </row>
    <row r="309" spans="3:72">
      <c r="C309" s="127" t="s">
        <v>1150</v>
      </c>
      <c r="D309" s="127"/>
      <c r="E309" s="127"/>
      <c r="F309" s="127"/>
      <c r="G309" s="128"/>
      <c r="H309" s="128"/>
      <c r="I309" s="128"/>
      <c r="J309" s="128"/>
      <c r="K309" s="128"/>
      <c r="L309" s="128"/>
      <c r="M309" s="128"/>
      <c r="N309" s="128"/>
      <c r="O309" s="128"/>
      <c r="P309" s="128"/>
      <c r="Q309" s="128"/>
      <c r="R309" s="128"/>
      <c r="S309" s="128"/>
      <c r="T309" s="128"/>
      <c r="U309" s="128"/>
      <c r="V309" s="128"/>
      <c r="W309" s="128"/>
      <c r="X309" s="128"/>
      <c r="Y309" s="128"/>
      <c r="Z309" s="128">
        <v>0</v>
      </c>
      <c r="AA309" s="128">
        <v>0</v>
      </c>
      <c r="AB309" s="128">
        <v>0</v>
      </c>
      <c r="AC309" s="128">
        <v>0</v>
      </c>
      <c r="AD309" s="128">
        <v>0</v>
      </c>
      <c r="AE309" s="128">
        <v>0</v>
      </c>
      <c r="AF309" s="128">
        <v>0</v>
      </c>
      <c r="AG309" s="128">
        <v>0</v>
      </c>
      <c r="AH309" s="128">
        <v>0</v>
      </c>
      <c r="AI309" s="128">
        <v>0</v>
      </c>
      <c r="AJ309" s="128">
        <v>0</v>
      </c>
      <c r="AK309" s="128">
        <v>0</v>
      </c>
      <c r="AL309" s="128">
        <v>0</v>
      </c>
      <c r="AM309" s="128">
        <v>0</v>
      </c>
      <c r="AN309" s="128">
        <v>0</v>
      </c>
      <c r="AO309" s="128">
        <v>0</v>
      </c>
      <c r="AP309" s="128">
        <v>0</v>
      </c>
      <c r="AQ309" s="128">
        <v>0</v>
      </c>
      <c r="AR309" s="128">
        <v>1116.461666662</v>
      </c>
      <c r="AS309" s="288">
        <v>0</v>
      </c>
      <c r="AT309" s="288">
        <v>0</v>
      </c>
      <c r="AU309" s="288">
        <v>0</v>
      </c>
      <c r="AV309" s="288">
        <v>0</v>
      </c>
      <c r="AW309" s="158">
        <v>0</v>
      </c>
      <c r="AX309" s="158">
        <v>0</v>
      </c>
      <c r="AY309" s="158">
        <v>0</v>
      </c>
      <c r="AZ309" s="158">
        <v>0</v>
      </c>
      <c r="BA309" s="158">
        <v>1126.676666653</v>
      </c>
      <c r="BB309" s="288">
        <v>0</v>
      </c>
      <c r="BC309" s="288">
        <v>1128.946666651</v>
      </c>
      <c r="BD309" s="288">
        <v>1130.08166665</v>
      </c>
      <c r="BE309" s="288">
        <v>0</v>
      </c>
      <c r="BF309" s="288">
        <v>0</v>
      </c>
      <c r="BG309" s="288">
        <v>0</v>
      </c>
      <c r="BH309" s="288">
        <v>0</v>
      </c>
      <c r="BI309" s="288">
        <v>0</v>
      </c>
      <c r="BJ309" s="288">
        <v>0</v>
      </c>
      <c r="BK309" s="288">
        <v>0</v>
      </c>
      <c r="BL309" s="288">
        <v>0</v>
      </c>
      <c r="BM309" s="288">
        <v>0</v>
      </c>
      <c r="BN309" s="288">
        <v>0</v>
      </c>
      <c r="BO309" s="288">
        <v>0</v>
      </c>
      <c r="BP309" s="288">
        <v>0</v>
      </c>
      <c r="BQ309" s="288">
        <v>0</v>
      </c>
      <c r="BR309" s="288">
        <v>0</v>
      </c>
      <c r="BS309" s="288">
        <v>0</v>
      </c>
      <c r="BT309" s="288">
        <v>0</v>
      </c>
    </row>
    <row r="310" spans="3:72">
      <c r="C310" s="127" t="s">
        <v>1151</v>
      </c>
      <c r="D310" s="127"/>
      <c r="E310" s="127"/>
      <c r="F310" s="127"/>
      <c r="G310" s="128"/>
      <c r="H310" s="128"/>
      <c r="I310" s="128"/>
      <c r="J310" s="128"/>
      <c r="K310" s="128"/>
      <c r="L310" s="128"/>
      <c r="M310" s="128"/>
      <c r="N310" s="128"/>
      <c r="O310" s="128"/>
      <c r="P310" s="128"/>
      <c r="Q310" s="128"/>
      <c r="R310" s="128"/>
      <c r="S310" s="128"/>
      <c r="T310" s="128"/>
      <c r="U310" s="128"/>
      <c r="V310" s="128"/>
      <c r="W310" s="128"/>
      <c r="X310" s="128"/>
      <c r="Y310" s="128"/>
      <c r="Z310" s="128">
        <v>0</v>
      </c>
      <c r="AA310" s="128">
        <v>0</v>
      </c>
      <c r="AB310" s="128">
        <v>0</v>
      </c>
      <c r="AC310" s="128">
        <v>0</v>
      </c>
      <c r="AD310" s="128">
        <v>0</v>
      </c>
      <c r="AE310" s="128">
        <v>0</v>
      </c>
      <c r="AF310" s="128">
        <v>0</v>
      </c>
      <c r="AG310" s="128">
        <v>0</v>
      </c>
      <c r="AH310" s="128">
        <v>0</v>
      </c>
      <c r="AI310" s="128">
        <v>0</v>
      </c>
      <c r="AJ310" s="128">
        <v>0</v>
      </c>
      <c r="AK310" s="128">
        <v>0</v>
      </c>
      <c r="AL310" s="128">
        <v>0</v>
      </c>
      <c r="AM310" s="128">
        <v>0</v>
      </c>
      <c r="AN310" s="128">
        <v>0</v>
      </c>
      <c r="AO310" s="128">
        <v>0</v>
      </c>
      <c r="AP310" s="128">
        <v>0</v>
      </c>
      <c r="AQ310" s="128">
        <v>0</v>
      </c>
      <c r="AR310" s="128">
        <v>0</v>
      </c>
      <c r="AS310" s="288">
        <v>0</v>
      </c>
      <c r="AT310" s="288">
        <v>0</v>
      </c>
      <c r="AU310" s="288">
        <v>0</v>
      </c>
      <c r="AV310" s="288">
        <v>0</v>
      </c>
      <c r="AW310" s="158">
        <v>0</v>
      </c>
      <c r="AX310" s="158">
        <v>0</v>
      </c>
      <c r="AY310" s="158">
        <v>0</v>
      </c>
      <c r="AZ310" s="158">
        <v>0</v>
      </c>
      <c r="BA310" s="158">
        <v>0</v>
      </c>
      <c r="BB310" s="288">
        <v>0</v>
      </c>
      <c r="BC310" s="288">
        <v>0</v>
      </c>
      <c r="BD310" s="288">
        <v>0</v>
      </c>
      <c r="BE310" s="288">
        <v>0</v>
      </c>
      <c r="BF310" s="288">
        <v>0</v>
      </c>
      <c r="BG310" s="288">
        <v>0</v>
      </c>
      <c r="BH310" s="288">
        <v>0</v>
      </c>
      <c r="BI310" s="288">
        <v>0</v>
      </c>
      <c r="BJ310" s="288">
        <v>0</v>
      </c>
      <c r="BK310" s="288">
        <v>0</v>
      </c>
      <c r="BL310" s="288">
        <v>0</v>
      </c>
      <c r="BM310" s="288">
        <v>0</v>
      </c>
      <c r="BN310" s="288">
        <v>0</v>
      </c>
      <c r="BO310" s="288">
        <v>0</v>
      </c>
      <c r="BP310" s="288">
        <v>0</v>
      </c>
      <c r="BQ310" s="288">
        <v>0</v>
      </c>
      <c r="BR310" s="288">
        <v>0</v>
      </c>
      <c r="BS310" s="288">
        <v>0</v>
      </c>
      <c r="BT310" s="288">
        <v>0</v>
      </c>
    </row>
    <row r="311" spans="3:72">
      <c r="C311" s="127" t="s">
        <v>1152</v>
      </c>
      <c r="D311" s="127"/>
      <c r="E311" s="127"/>
      <c r="F311" s="127"/>
      <c r="G311" s="128"/>
      <c r="H311" s="128"/>
      <c r="I311" s="128"/>
      <c r="J311" s="128"/>
      <c r="K311" s="128"/>
      <c r="L311" s="128"/>
      <c r="M311" s="128"/>
      <c r="N311" s="128"/>
      <c r="O311" s="128"/>
      <c r="P311" s="128"/>
      <c r="Q311" s="128"/>
      <c r="R311" s="128"/>
      <c r="S311" s="128"/>
      <c r="T311" s="128"/>
      <c r="U311" s="128"/>
      <c r="V311" s="128"/>
      <c r="W311" s="128"/>
      <c r="X311" s="128"/>
      <c r="Y311" s="128"/>
      <c r="Z311" s="128">
        <v>0</v>
      </c>
      <c r="AA311" s="128">
        <v>0</v>
      </c>
      <c r="AB311" s="128">
        <v>0</v>
      </c>
      <c r="AC311" s="128">
        <v>0</v>
      </c>
      <c r="AD311" s="128">
        <v>0</v>
      </c>
      <c r="AE311" s="128">
        <v>0</v>
      </c>
      <c r="AF311" s="128">
        <v>0</v>
      </c>
      <c r="AG311" s="128">
        <v>0</v>
      </c>
      <c r="AH311" s="128">
        <v>0</v>
      </c>
      <c r="AI311" s="128">
        <v>0</v>
      </c>
      <c r="AJ311" s="128">
        <v>0</v>
      </c>
      <c r="AK311" s="128">
        <v>0</v>
      </c>
      <c r="AL311" s="128">
        <v>0</v>
      </c>
      <c r="AM311" s="128">
        <v>0</v>
      </c>
      <c r="AN311" s="128">
        <v>0</v>
      </c>
      <c r="AO311" s="128">
        <v>0</v>
      </c>
      <c r="AP311" s="128">
        <v>0</v>
      </c>
      <c r="AQ311" s="128">
        <v>0</v>
      </c>
      <c r="AR311" s="128">
        <v>0</v>
      </c>
      <c r="AS311" s="288">
        <v>0</v>
      </c>
      <c r="AT311" s="288">
        <v>0</v>
      </c>
      <c r="AU311" s="288">
        <v>0</v>
      </c>
      <c r="AV311" s="288">
        <v>0</v>
      </c>
      <c r="AW311" s="158">
        <v>0</v>
      </c>
      <c r="AX311" s="158">
        <v>0</v>
      </c>
      <c r="AY311" s="158">
        <v>0</v>
      </c>
      <c r="AZ311" s="158">
        <v>0</v>
      </c>
      <c r="BA311" s="158">
        <v>0</v>
      </c>
      <c r="BB311" s="288">
        <v>0</v>
      </c>
      <c r="BC311" s="288">
        <v>0</v>
      </c>
      <c r="BD311" s="288">
        <v>0</v>
      </c>
      <c r="BE311" s="288">
        <v>0</v>
      </c>
      <c r="BF311" s="288">
        <v>0</v>
      </c>
      <c r="BG311" s="288">
        <v>0</v>
      </c>
      <c r="BH311" s="288">
        <v>0</v>
      </c>
      <c r="BI311" s="288">
        <v>0</v>
      </c>
      <c r="BJ311" s="288">
        <v>0</v>
      </c>
      <c r="BK311" s="288">
        <v>0</v>
      </c>
      <c r="BL311" s="288">
        <v>0</v>
      </c>
      <c r="BM311" s="288">
        <v>0</v>
      </c>
      <c r="BN311" s="288">
        <v>0</v>
      </c>
      <c r="BO311" s="288">
        <v>0</v>
      </c>
      <c r="BP311" s="288">
        <v>0</v>
      </c>
      <c r="BQ311" s="288">
        <v>0</v>
      </c>
      <c r="BR311" s="288">
        <v>0</v>
      </c>
      <c r="BS311" s="288">
        <v>0</v>
      </c>
      <c r="BT311" s="288">
        <v>0</v>
      </c>
    </row>
    <row r="312" spans="3:72">
      <c r="C312" s="127" t="s">
        <v>1153</v>
      </c>
      <c r="D312" s="127"/>
      <c r="E312" s="127"/>
      <c r="F312" s="127"/>
      <c r="G312" s="128"/>
      <c r="H312" s="128"/>
      <c r="I312" s="128"/>
      <c r="J312" s="128"/>
      <c r="K312" s="128"/>
      <c r="L312" s="128"/>
      <c r="M312" s="128"/>
      <c r="N312" s="128"/>
      <c r="O312" s="128"/>
      <c r="P312" s="128"/>
      <c r="Q312" s="128"/>
      <c r="R312" s="128"/>
      <c r="S312" s="128"/>
      <c r="T312" s="128"/>
      <c r="U312" s="128"/>
      <c r="V312" s="128"/>
      <c r="W312" s="128"/>
      <c r="X312" s="128"/>
      <c r="Y312" s="128"/>
      <c r="Z312" s="128">
        <v>0</v>
      </c>
      <c r="AA312" s="128">
        <v>0</v>
      </c>
      <c r="AB312" s="128">
        <v>0</v>
      </c>
      <c r="AC312" s="128">
        <v>0</v>
      </c>
      <c r="AD312" s="128">
        <v>0</v>
      </c>
      <c r="AE312" s="128">
        <v>0</v>
      </c>
      <c r="AF312" s="128">
        <v>0</v>
      </c>
      <c r="AG312" s="128">
        <v>0</v>
      </c>
      <c r="AH312" s="128">
        <v>0</v>
      </c>
      <c r="AI312" s="128">
        <v>0</v>
      </c>
      <c r="AJ312" s="128">
        <v>0</v>
      </c>
      <c r="AK312" s="128">
        <v>0</v>
      </c>
      <c r="AL312" s="128">
        <v>0</v>
      </c>
      <c r="AM312" s="128">
        <v>0</v>
      </c>
      <c r="AN312" s="128">
        <v>0</v>
      </c>
      <c r="AO312" s="128">
        <v>0</v>
      </c>
      <c r="AP312" s="128">
        <v>0</v>
      </c>
      <c r="AQ312" s="128">
        <v>0</v>
      </c>
      <c r="AR312" s="128">
        <v>0</v>
      </c>
      <c r="AS312" s="288">
        <v>0</v>
      </c>
      <c r="AT312" s="288">
        <v>0</v>
      </c>
      <c r="AU312" s="288">
        <v>0</v>
      </c>
      <c r="AV312" s="288">
        <v>0</v>
      </c>
      <c r="AW312" s="158">
        <v>0</v>
      </c>
      <c r="AX312" s="158">
        <v>0</v>
      </c>
      <c r="AY312" s="158">
        <v>0</v>
      </c>
      <c r="AZ312" s="158">
        <v>0</v>
      </c>
      <c r="BA312" s="158">
        <v>0</v>
      </c>
      <c r="BB312" s="288">
        <v>0</v>
      </c>
      <c r="BC312" s="288">
        <v>0</v>
      </c>
      <c r="BD312" s="288">
        <v>0</v>
      </c>
      <c r="BE312" s="288">
        <v>0</v>
      </c>
      <c r="BF312" s="288">
        <v>0</v>
      </c>
      <c r="BG312" s="288">
        <v>0</v>
      </c>
      <c r="BH312" s="288">
        <v>0</v>
      </c>
      <c r="BI312" s="288">
        <v>0</v>
      </c>
      <c r="BJ312" s="288">
        <v>0</v>
      </c>
      <c r="BK312" s="288">
        <v>0</v>
      </c>
      <c r="BL312" s="288">
        <v>0</v>
      </c>
      <c r="BM312" s="288">
        <v>0</v>
      </c>
      <c r="BN312" s="288">
        <v>0</v>
      </c>
      <c r="BO312" s="288">
        <v>0</v>
      </c>
      <c r="BP312" s="288">
        <v>0</v>
      </c>
      <c r="BQ312" s="288">
        <v>0</v>
      </c>
      <c r="BR312" s="288">
        <v>0</v>
      </c>
      <c r="BS312" s="288">
        <v>0</v>
      </c>
      <c r="BT312" s="288">
        <v>0</v>
      </c>
    </row>
    <row r="313" spans="3:72">
      <c r="C313" s="127" t="s">
        <v>1154</v>
      </c>
      <c r="D313" s="127"/>
      <c r="E313" s="127"/>
      <c r="F313" s="127"/>
      <c r="G313" s="128"/>
      <c r="H313" s="128"/>
      <c r="I313" s="128"/>
      <c r="J313" s="128"/>
      <c r="K313" s="128"/>
      <c r="L313" s="128"/>
      <c r="M313" s="128"/>
      <c r="N313" s="128"/>
      <c r="O313" s="128"/>
      <c r="P313" s="128"/>
      <c r="Q313" s="128"/>
      <c r="R313" s="128"/>
      <c r="S313" s="128"/>
      <c r="T313" s="128"/>
      <c r="U313" s="128"/>
      <c r="V313" s="128"/>
      <c r="W313" s="128"/>
      <c r="X313" s="128"/>
      <c r="Y313" s="128"/>
      <c r="Z313" s="128">
        <v>0</v>
      </c>
      <c r="AA313" s="128">
        <v>0</v>
      </c>
      <c r="AB313" s="128">
        <v>0</v>
      </c>
      <c r="AC313" s="128">
        <v>0</v>
      </c>
      <c r="AD313" s="128">
        <v>0</v>
      </c>
      <c r="AE313" s="128">
        <v>0</v>
      </c>
      <c r="AF313" s="128">
        <v>0</v>
      </c>
      <c r="AG313" s="128">
        <v>0</v>
      </c>
      <c r="AH313" s="128">
        <v>0</v>
      </c>
      <c r="AI313" s="128">
        <v>0</v>
      </c>
      <c r="AJ313" s="128">
        <v>0</v>
      </c>
      <c r="AK313" s="128">
        <v>0</v>
      </c>
      <c r="AL313" s="128">
        <v>0</v>
      </c>
      <c r="AM313" s="128">
        <v>0</v>
      </c>
      <c r="AN313" s="128">
        <v>0</v>
      </c>
      <c r="AO313" s="128">
        <v>0</v>
      </c>
      <c r="AP313" s="128">
        <v>0</v>
      </c>
      <c r="AQ313" s="128">
        <v>0</v>
      </c>
      <c r="AR313" s="128">
        <v>0</v>
      </c>
      <c r="AS313" s="288">
        <v>0</v>
      </c>
      <c r="AT313" s="288">
        <v>0</v>
      </c>
      <c r="AU313" s="288">
        <v>0</v>
      </c>
      <c r="AV313" s="288">
        <v>0</v>
      </c>
      <c r="AW313" s="158">
        <v>0</v>
      </c>
      <c r="AX313" s="158">
        <v>0</v>
      </c>
      <c r="AY313" s="158">
        <v>0</v>
      </c>
      <c r="AZ313" s="158">
        <v>0</v>
      </c>
      <c r="BA313" s="158">
        <v>0</v>
      </c>
      <c r="BB313" s="288">
        <v>0</v>
      </c>
      <c r="BC313" s="288">
        <v>0</v>
      </c>
      <c r="BD313" s="288">
        <v>0</v>
      </c>
      <c r="BE313" s="288">
        <v>0</v>
      </c>
      <c r="BF313" s="288">
        <v>0</v>
      </c>
      <c r="BG313" s="288">
        <v>0</v>
      </c>
      <c r="BH313" s="288">
        <v>0</v>
      </c>
      <c r="BI313" s="288">
        <v>0</v>
      </c>
      <c r="BJ313" s="288">
        <v>0</v>
      </c>
      <c r="BK313" s="288">
        <v>0</v>
      </c>
      <c r="BL313" s="288">
        <v>0</v>
      </c>
      <c r="BM313" s="288">
        <v>0</v>
      </c>
      <c r="BN313" s="288">
        <v>0</v>
      </c>
      <c r="BO313" s="288">
        <v>0</v>
      </c>
      <c r="BP313" s="288">
        <v>0</v>
      </c>
      <c r="BQ313" s="288">
        <v>0</v>
      </c>
      <c r="BR313" s="288">
        <v>0</v>
      </c>
      <c r="BS313" s="288">
        <v>0</v>
      </c>
      <c r="BT313" s="288">
        <v>0</v>
      </c>
    </row>
    <row r="314" spans="3:72">
      <c r="C314" s="127" t="s">
        <v>1155</v>
      </c>
      <c r="D314" s="127"/>
      <c r="E314" s="127"/>
      <c r="F314" s="127"/>
      <c r="G314" s="128"/>
      <c r="H314" s="128"/>
      <c r="I314" s="128"/>
      <c r="J314" s="128"/>
      <c r="K314" s="128"/>
      <c r="L314" s="128"/>
      <c r="M314" s="128"/>
      <c r="N314" s="128"/>
      <c r="O314" s="128"/>
      <c r="P314" s="128"/>
      <c r="Q314" s="128"/>
      <c r="R314" s="128"/>
      <c r="S314" s="128"/>
      <c r="T314" s="128"/>
      <c r="U314" s="128"/>
      <c r="V314" s="128"/>
      <c r="W314" s="128"/>
      <c r="X314" s="128"/>
      <c r="Y314" s="128"/>
      <c r="Z314" s="128">
        <v>0</v>
      </c>
      <c r="AA314" s="128">
        <v>0</v>
      </c>
      <c r="AB314" s="128">
        <v>0</v>
      </c>
      <c r="AC314" s="128">
        <v>0</v>
      </c>
      <c r="AD314" s="128">
        <v>0</v>
      </c>
      <c r="AE314" s="128">
        <v>0</v>
      </c>
      <c r="AF314" s="128">
        <v>0</v>
      </c>
      <c r="AG314" s="128">
        <v>0</v>
      </c>
      <c r="AH314" s="128">
        <v>0</v>
      </c>
      <c r="AI314" s="128">
        <v>0</v>
      </c>
      <c r="AJ314" s="128">
        <v>0</v>
      </c>
      <c r="AK314" s="128">
        <v>0</v>
      </c>
      <c r="AL314" s="128">
        <v>0</v>
      </c>
      <c r="AM314" s="128">
        <v>0</v>
      </c>
      <c r="AN314" s="128">
        <v>0</v>
      </c>
      <c r="AO314" s="128">
        <v>0</v>
      </c>
      <c r="AP314" s="128">
        <v>0</v>
      </c>
      <c r="AQ314" s="128">
        <v>0</v>
      </c>
      <c r="AR314" s="128">
        <v>0</v>
      </c>
      <c r="AS314" s="288">
        <v>0</v>
      </c>
      <c r="AT314" s="288">
        <v>0</v>
      </c>
      <c r="AU314" s="288">
        <v>0</v>
      </c>
      <c r="AV314" s="288">
        <v>0</v>
      </c>
      <c r="AW314" s="158">
        <v>0</v>
      </c>
      <c r="AX314" s="158">
        <v>0</v>
      </c>
      <c r="AY314" s="158">
        <v>0</v>
      </c>
      <c r="AZ314" s="158">
        <v>0</v>
      </c>
      <c r="BA314" s="158">
        <v>0</v>
      </c>
      <c r="BB314" s="288">
        <v>0</v>
      </c>
      <c r="BC314" s="288">
        <v>0</v>
      </c>
      <c r="BD314" s="288">
        <v>0</v>
      </c>
      <c r="BE314" s="288">
        <v>0</v>
      </c>
      <c r="BF314" s="288">
        <v>0</v>
      </c>
      <c r="BG314" s="288">
        <v>0</v>
      </c>
      <c r="BH314" s="288">
        <v>0</v>
      </c>
      <c r="BI314" s="288">
        <v>0</v>
      </c>
      <c r="BJ314" s="288">
        <v>0</v>
      </c>
      <c r="BK314" s="288">
        <v>0</v>
      </c>
      <c r="BL314" s="288">
        <v>0</v>
      </c>
      <c r="BM314" s="288">
        <v>0</v>
      </c>
      <c r="BN314" s="288">
        <v>0</v>
      </c>
      <c r="BO314" s="288">
        <v>0</v>
      </c>
      <c r="BP314" s="288">
        <v>0</v>
      </c>
      <c r="BQ314" s="288">
        <v>0</v>
      </c>
      <c r="BR314" s="288">
        <v>0</v>
      </c>
      <c r="BS314" s="288">
        <v>0</v>
      </c>
      <c r="BT314" s="288">
        <v>0</v>
      </c>
    </row>
    <row r="315" spans="3:72">
      <c r="C315" s="127" t="s">
        <v>311</v>
      </c>
      <c r="D315" s="127"/>
      <c r="E315" s="127"/>
      <c r="F315" s="127"/>
      <c r="G315" s="128"/>
      <c r="H315" s="128"/>
      <c r="I315" s="128"/>
      <c r="J315" s="128"/>
      <c r="K315" s="128"/>
      <c r="L315" s="128"/>
      <c r="M315" s="128"/>
      <c r="N315" s="128"/>
      <c r="O315" s="128"/>
      <c r="P315" s="128"/>
      <c r="Q315" s="128"/>
      <c r="R315" s="128"/>
      <c r="S315" s="128"/>
      <c r="T315" s="128"/>
      <c r="U315" s="128"/>
      <c r="V315" s="128"/>
      <c r="W315" s="128"/>
      <c r="X315" s="128"/>
      <c r="Y315" s="128"/>
      <c r="Z315" s="128">
        <v>3592.4602510599998</v>
      </c>
      <c r="AA315" s="128">
        <v>3505.2511121520001</v>
      </c>
      <c r="AB315" s="128">
        <v>3965.5533648430001</v>
      </c>
      <c r="AC315" s="128">
        <v>4859.8263915770003</v>
      </c>
      <c r="AD315" s="128">
        <v>5524.5006812499996</v>
      </c>
      <c r="AE315" s="128">
        <v>5393.8818047240002</v>
      </c>
      <c r="AF315" s="128">
        <v>6680.8446784340003</v>
      </c>
      <c r="AG315" s="128">
        <v>7788.8448543220002</v>
      </c>
      <c r="AH315" s="128">
        <v>9686.5592060639992</v>
      </c>
      <c r="AI315" s="128">
        <v>10088.490300471</v>
      </c>
      <c r="AJ315" s="128">
        <v>11485.627403054001</v>
      </c>
      <c r="AK315" s="128">
        <v>14351.999892427</v>
      </c>
      <c r="AL315" s="128">
        <v>15920.424482973</v>
      </c>
      <c r="AM315" s="128">
        <v>16011.968765655</v>
      </c>
      <c r="AN315" s="128">
        <v>16737.183159438999</v>
      </c>
      <c r="AO315" s="128">
        <v>19028.964278642001</v>
      </c>
      <c r="AP315" s="128">
        <v>23073.465470685001</v>
      </c>
      <c r="AQ315" s="128">
        <v>22127.707569982002</v>
      </c>
      <c r="AR315" s="128">
        <v>21211.714779753998</v>
      </c>
      <c r="AS315" s="288">
        <v>21325.491158215002</v>
      </c>
      <c r="AT315" s="288">
        <v>25309.615197439001</v>
      </c>
      <c r="AU315" s="288">
        <v>26974.108534093</v>
      </c>
      <c r="AV315" s="288">
        <v>25485.647042510001</v>
      </c>
      <c r="AW315" s="158">
        <v>25715.675898404999</v>
      </c>
      <c r="AX315" s="158">
        <v>29673.745407169001</v>
      </c>
      <c r="AY315" s="158">
        <v>26593.356800951999</v>
      </c>
      <c r="AZ315" s="158">
        <v>26021.650222198001</v>
      </c>
      <c r="BA315" s="158">
        <v>27512.501260337001</v>
      </c>
      <c r="BB315" s="288">
        <v>31156.445464032</v>
      </c>
      <c r="BC315" s="288">
        <v>31982.973207654999</v>
      </c>
      <c r="BD315" s="288">
        <v>24504.825927283</v>
      </c>
      <c r="BE315" s="288">
        <v>36497.281090978002</v>
      </c>
      <c r="BF315" s="288">
        <v>36819.173885618999</v>
      </c>
      <c r="BG315" s="288">
        <v>34702.840342035997</v>
      </c>
      <c r="BH315" s="288">
        <v>32322.456456197</v>
      </c>
      <c r="BI315" s="288">
        <v>30877.778203704998</v>
      </c>
      <c r="BJ315" s="288">
        <v>27335.086613676001</v>
      </c>
      <c r="BK315" s="288">
        <v>29725.046708024001</v>
      </c>
      <c r="BL315" s="288">
        <v>30520.841321411001</v>
      </c>
      <c r="BM315" s="288">
        <v>31653.210181974999</v>
      </c>
      <c r="BN315" s="288">
        <v>31685.02</v>
      </c>
      <c r="BO315" s="288">
        <v>0</v>
      </c>
      <c r="BP315" s="288">
        <v>34361.57</v>
      </c>
      <c r="BQ315" s="288">
        <v>34793.923302149</v>
      </c>
      <c r="BR315" s="288">
        <v>36332.913479242001</v>
      </c>
      <c r="BS315" s="288">
        <v>37844.160678840002</v>
      </c>
      <c r="BT315" s="288">
        <v>40091.343632319004</v>
      </c>
    </row>
    <row r="316" spans="3:72">
      <c r="C316" s="127" t="s">
        <v>1156</v>
      </c>
      <c r="D316" s="127"/>
      <c r="E316" s="127"/>
      <c r="F316" s="127"/>
      <c r="G316" s="128"/>
      <c r="H316" s="128"/>
      <c r="I316" s="128"/>
      <c r="J316" s="128"/>
      <c r="K316" s="128"/>
      <c r="L316" s="128"/>
      <c r="M316" s="128"/>
      <c r="N316" s="128"/>
      <c r="O316" s="128"/>
      <c r="P316" s="128"/>
      <c r="Q316" s="128"/>
      <c r="R316" s="128"/>
      <c r="S316" s="128"/>
      <c r="T316" s="128"/>
      <c r="U316" s="128"/>
      <c r="V316" s="128"/>
      <c r="W316" s="128"/>
      <c r="X316" s="128"/>
      <c r="Y316" s="128"/>
      <c r="Z316" s="128">
        <v>3566.6360626340002</v>
      </c>
      <c r="AA316" s="128">
        <v>3505.2511121520001</v>
      </c>
      <c r="AB316" s="128">
        <v>3945.4489259490001</v>
      </c>
      <c r="AC316" s="128">
        <v>4830.5593467799999</v>
      </c>
      <c r="AD316" s="128">
        <v>5495.1658843240002</v>
      </c>
      <c r="AE316" s="128">
        <v>5355.6683723019996</v>
      </c>
      <c r="AF316" s="128">
        <v>6626.2815904910003</v>
      </c>
      <c r="AG316" s="128">
        <v>7723.199922023</v>
      </c>
      <c r="AH316" s="128">
        <v>9617.9836760870003</v>
      </c>
      <c r="AI316" s="128">
        <v>10010.763072256001</v>
      </c>
      <c r="AJ316" s="128">
        <v>11401.109121793999</v>
      </c>
      <c r="AK316" s="128">
        <v>14351.999892427</v>
      </c>
      <c r="AL316" s="128">
        <v>15794.799699523999</v>
      </c>
      <c r="AM316" s="128">
        <v>16011.968765655</v>
      </c>
      <c r="AN316" s="128">
        <v>16582.688178195</v>
      </c>
      <c r="AO316" s="128">
        <v>18870.109604295001</v>
      </c>
      <c r="AP316" s="128">
        <v>22904.869052018999</v>
      </c>
      <c r="AQ316" s="128">
        <v>21941.499496452001</v>
      </c>
      <c r="AR316" s="128">
        <v>21006.321124221999</v>
      </c>
      <c r="AS316" s="288">
        <v>21051.017810829999</v>
      </c>
      <c r="AT316" s="288">
        <v>25112.555876245999</v>
      </c>
      <c r="AU316" s="288">
        <v>26797.969719966</v>
      </c>
      <c r="AV316" s="288">
        <v>25285.462772283001</v>
      </c>
      <c r="AW316" s="158">
        <v>25501.697079879999</v>
      </c>
      <c r="AX316" s="158">
        <v>29474.637124748999</v>
      </c>
      <c r="AY316" s="158">
        <v>26443.356839725999</v>
      </c>
      <c r="AZ316" s="158">
        <v>25844.088944905001</v>
      </c>
      <c r="BA316" s="158">
        <v>27328.783669977998</v>
      </c>
      <c r="BB316" s="288">
        <v>31050.159350897</v>
      </c>
      <c r="BC316" s="288">
        <v>31885.935095452998</v>
      </c>
      <c r="BD316" s="288">
        <v>24643.189158181998</v>
      </c>
      <c r="BE316" s="288">
        <v>36562.242085416001</v>
      </c>
      <c r="BF316" s="288">
        <v>36617.112224037999</v>
      </c>
      <c r="BG316" s="288">
        <v>36483.381779317002</v>
      </c>
      <c r="BH316" s="288">
        <v>31627.145101451999</v>
      </c>
      <c r="BI316" s="288">
        <v>31573.089558449999</v>
      </c>
      <c r="BJ316" s="288">
        <v>27335.086613676001</v>
      </c>
      <c r="BK316" s="288">
        <v>29725.046708024001</v>
      </c>
      <c r="BL316" s="288">
        <v>30922.262461828999</v>
      </c>
      <c r="BM316" s="288">
        <v>31653.210181974999</v>
      </c>
      <c r="BN316" s="288">
        <v>31685.02</v>
      </c>
      <c r="BO316" s="288">
        <v>0</v>
      </c>
      <c r="BP316" s="288">
        <v>34361.57</v>
      </c>
      <c r="BQ316" s="288">
        <v>34793.923302149</v>
      </c>
      <c r="BR316" s="288">
        <v>36332.913479242001</v>
      </c>
      <c r="BS316" s="288">
        <v>37844.160678840002</v>
      </c>
      <c r="BT316" s="288">
        <v>40091.343632319004</v>
      </c>
    </row>
    <row r="317" spans="3:72">
      <c r="C317" s="127" t="s">
        <v>1157</v>
      </c>
      <c r="D317" s="127"/>
      <c r="E317" s="127"/>
      <c r="F317" s="127"/>
      <c r="G317" s="128"/>
      <c r="H317" s="128"/>
      <c r="I317" s="128"/>
      <c r="J317" s="128"/>
      <c r="K317" s="128"/>
      <c r="L317" s="128"/>
      <c r="M317" s="128"/>
      <c r="N317" s="128"/>
      <c r="O317" s="128"/>
      <c r="P317" s="128"/>
      <c r="Q317" s="128"/>
      <c r="R317" s="128"/>
      <c r="S317" s="128"/>
      <c r="T317" s="128"/>
      <c r="U317" s="128"/>
      <c r="V317" s="128"/>
      <c r="W317" s="128"/>
      <c r="X317" s="128"/>
      <c r="Y317" s="128"/>
      <c r="Z317" s="128">
        <v>25.824188425999999</v>
      </c>
      <c r="AA317" s="128">
        <v>0</v>
      </c>
      <c r="AB317" s="128">
        <v>20.104438894000001</v>
      </c>
      <c r="AC317" s="128">
        <v>29.267044797000001</v>
      </c>
      <c r="AD317" s="128">
        <v>29.334796925999999</v>
      </c>
      <c r="AE317" s="128">
        <v>38.213432421999997</v>
      </c>
      <c r="AF317" s="128">
        <v>54.563087942999999</v>
      </c>
      <c r="AG317" s="128">
        <v>65.644932299000004</v>
      </c>
      <c r="AH317" s="128">
        <v>68.575529977000002</v>
      </c>
      <c r="AI317" s="128">
        <v>77.727228214999997</v>
      </c>
      <c r="AJ317" s="128">
        <v>84.518281259999995</v>
      </c>
      <c r="AK317" s="128">
        <v>0</v>
      </c>
      <c r="AL317" s="128">
        <v>125.62478344900001</v>
      </c>
      <c r="AM317" s="128">
        <v>0</v>
      </c>
      <c r="AN317" s="128">
        <v>154.494981244</v>
      </c>
      <c r="AO317" s="128">
        <v>158.85467434700001</v>
      </c>
      <c r="AP317" s="128">
        <v>168.59641866600001</v>
      </c>
      <c r="AQ317" s="128">
        <v>186.20807353000001</v>
      </c>
      <c r="AR317" s="128">
        <v>205.393655532</v>
      </c>
      <c r="AS317" s="288">
        <v>274.47334738500001</v>
      </c>
      <c r="AT317" s="288">
        <v>197.05932119299999</v>
      </c>
      <c r="AU317" s="288">
        <v>176.13881412699999</v>
      </c>
      <c r="AV317" s="288">
        <v>200.18427022700001</v>
      </c>
      <c r="AW317" s="158">
        <v>213.97881852500001</v>
      </c>
      <c r="AX317" s="158">
        <v>199.10828241999999</v>
      </c>
      <c r="AY317" s="158">
        <v>149.99996122600001</v>
      </c>
      <c r="AZ317" s="158">
        <v>177.56127729299999</v>
      </c>
      <c r="BA317" s="158">
        <v>183.71759035900001</v>
      </c>
      <c r="BB317" s="288">
        <v>106.28611313499999</v>
      </c>
      <c r="BC317" s="288">
        <v>97.038112201999994</v>
      </c>
      <c r="BD317" s="288">
        <v>-138.363230899</v>
      </c>
      <c r="BE317" s="288">
        <v>-64.960994438</v>
      </c>
      <c r="BF317" s="288">
        <v>202.06166158100001</v>
      </c>
      <c r="BG317" s="288">
        <v>-1780.5414372810001</v>
      </c>
      <c r="BH317" s="288">
        <v>695.31135474500002</v>
      </c>
      <c r="BI317" s="288">
        <v>-695.31135474500002</v>
      </c>
      <c r="BJ317" s="288">
        <v>0</v>
      </c>
      <c r="BK317" s="288">
        <v>0</v>
      </c>
      <c r="BL317" s="288">
        <v>-401.42114041799999</v>
      </c>
      <c r="BM317" s="288">
        <v>0</v>
      </c>
      <c r="BN317" s="288">
        <v>0</v>
      </c>
      <c r="BO317" s="288">
        <v>0</v>
      </c>
      <c r="BP317" s="288">
        <v>0</v>
      </c>
      <c r="BQ317" s="288">
        <v>0</v>
      </c>
      <c r="BR317" s="288">
        <v>0</v>
      </c>
      <c r="BS317" s="288">
        <v>0</v>
      </c>
    </row>
    <row r="318" spans="3:72">
      <c r="C318" s="127" t="s">
        <v>1158</v>
      </c>
      <c r="D318" s="127"/>
      <c r="E318" s="127"/>
      <c r="F318" s="127"/>
      <c r="G318" s="128"/>
      <c r="H318" s="128"/>
      <c r="I318" s="128"/>
      <c r="J318" s="128"/>
      <c r="K318" s="128"/>
      <c r="L318" s="128"/>
      <c r="M318" s="128"/>
      <c r="N318" s="128"/>
      <c r="O318" s="128"/>
      <c r="P318" s="128"/>
      <c r="Q318" s="128"/>
      <c r="R318" s="128"/>
      <c r="S318" s="128"/>
      <c r="T318" s="128"/>
      <c r="U318" s="128"/>
      <c r="V318" s="128"/>
      <c r="W318" s="128"/>
      <c r="X318" s="128"/>
      <c r="Y318" s="128"/>
      <c r="Z318" s="128">
        <v>0</v>
      </c>
      <c r="AA318" s="128">
        <v>0</v>
      </c>
      <c r="AB318" s="128">
        <v>0</v>
      </c>
      <c r="AC318" s="128">
        <v>0</v>
      </c>
      <c r="AD318" s="128">
        <v>0</v>
      </c>
      <c r="AE318" s="128">
        <v>0</v>
      </c>
      <c r="AF318" s="128">
        <v>0</v>
      </c>
      <c r="AG318" s="128">
        <v>0</v>
      </c>
      <c r="AH318" s="128">
        <v>0</v>
      </c>
      <c r="AI318" s="128">
        <v>0</v>
      </c>
      <c r="AJ318" s="128">
        <v>0</v>
      </c>
      <c r="AK318" s="128">
        <v>0</v>
      </c>
      <c r="AL318" s="128">
        <v>0</v>
      </c>
      <c r="AM318" s="128">
        <v>0</v>
      </c>
      <c r="AN318" s="128">
        <v>0</v>
      </c>
      <c r="AO318" s="128">
        <v>0</v>
      </c>
      <c r="AP318" s="128">
        <v>0</v>
      </c>
      <c r="AQ318" s="128">
        <v>0</v>
      </c>
      <c r="AR318" s="128">
        <v>0</v>
      </c>
      <c r="AS318" s="288">
        <v>0</v>
      </c>
      <c r="AT318" s="288">
        <v>0</v>
      </c>
      <c r="AU318" s="288">
        <v>0</v>
      </c>
      <c r="AV318" s="288">
        <v>0</v>
      </c>
      <c r="AW318" s="158">
        <v>0</v>
      </c>
      <c r="AX318" s="158">
        <v>0</v>
      </c>
      <c r="AY318" s="158">
        <v>0</v>
      </c>
      <c r="AZ318" s="158">
        <v>0</v>
      </c>
      <c r="BA318" s="158">
        <v>0</v>
      </c>
      <c r="BB318" s="288">
        <v>0</v>
      </c>
      <c r="BC318" s="288">
        <v>0</v>
      </c>
      <c r="BD318" s="288">
        <v>0</v>
      </c>
      <c r="BE318" s="288">
        <v>0</v>
      </c>
      <c r="BF318" s="288">
        <v>0</v>
      </c>
      <c r="BG318" s="288">
        <v>0</v>
      </c>
      <c r="BH318" s="288">
        <v>0</v>
      </c>
      <c r="BI318" s="288">
        <v>0</v>
      </c>
      <c r="BJ318" s="288">
        <v>0</v>
      </c>
      <c r="BK318" s="288">
        <v>0</v>
      </c>
      <c r="BL318" s="288">
        <v>0</v>
      </c>
      <c r="BM318" s="288">
        <v>0</v>
      </c>
      <c r="BN318" s="288">
        <v>0</v>
      </c>
      <c r="BO318" s="288">
        <v>0</v>
      </c>
      <c r="BP318" s="288">
        <v>0</v>
      </c>
      <c r="BQ318" s="288">
        <v>0</v>
      </c>
      <c r="BR318" s="288">
        <v>0</v>
      </c>
      <c r="BS318" s="288">
        <v>0</v>
      </c>
      <c r="BT318" s="288">
        <v>0</v>
      </c>
    </row>
    <row r="319" spans="3:72">
      <c r="C319" s="127" t="s">
        <v>1159</v>
      </c>
      <c r="D319" s="127"/>
      <c r="E319" s="127"/>
      <c r="F319" s="127"/>
      <c r="G319" s="128"/>
      <c r="H319" s="128"/>
      <c r="I319" s="128"/>
      <c r="J319" s="128"/>
      <c r="K319" s="128"/>
      <c r="L319" s="128"/>
      <c r="M319" s="128"/>
      <c r="N319" s="128"/>
      <c r="O319" s="128"/>
      <c r="P319" s="128"/>
      <c r="Q319" s="128"/>
      <c r="R319" s="128"/>
      <c r="S319" s="128"/>
      <c r="T319" s="128"/>
      <c r="U319" s="128"/>
      <c r="V319" s="128"/>
      <c r="W319" s="128"/>
      <c r="X319" s="128"/>
      <c r="Y319" s="128"/>
      <c r="Z319" s="128">
        <v>104.634764594</v>
      </c>
      <c r="AA319" s="128">
        <v>18.188911828999998</v>
      </c>
      <c r="AB319" s="128">
        <v>20.430857516</v>
      </c>
      <c r="AC319" s="128">
        <v>23.110729017000001</v>
      </c>
      <c r="AD319" s="128">
        <v>28.020133336000001</v>
      </c>
      <c r="AE319" s="128">
        <v>30.610602032999999</v>
      </c>
      <c r="AF319" s="128">
        <v>34.123771058999999</v>
      </c>
      <c r="AG319" s="128">
        <v>42.584433058000002</v>
      </c>
      <c r="AH319" s="128">
        <v>59.544794189999998</v>
      </c>
      <c r="AI319" s="128">
        <v>65.906863247000004</v>
      </c>
      <c r="AJ319" s="128">
        <v>359.31989528899999</v>
      </c>
      <c r="AK319" s="128">
        <v>514.57257630200002</v>
      </c>
      <c r="AL319" s="128">
        <v>334.387675032</v>
      </c>
      <c r="AM319" s="128">
        <v>357.72332811000001</v>
      </c>
      <c r="AN319" s="128">
        <v>356.36158859900002</v>
      </c>
      <c r="AO319" s="128">
        <v>310.26390278999997</v>
      </c>
      <c r="AP319" s="128">
        <v>309.94572011499997</v>
      </c>
      <c r="AQ319" s="128">
        <v>320.77374824499998</v>
      </c>
      <c r="AR319" s="128">
        <v>304.132083712</v>
      </c>
      <c r="AS319" s="288">
        <v>287.24042406500001</v>
      </c>
      <c r="AT319" s="288">
        <v>292.20552747400001</v>
      </c>
      <c r="AU319" s="288">
        <v>370.34955918600002</v>
      </c>
      <c r="AV319" s="288">
        <v>343.56110217000003</v>
      </c>
      <c r="AW319" s="158">
        <v>304.68650689399999</v>
      </c>
      <c r="AX319" s="158">
        <v>320.53198765299999</v>
      </c>
      <c r="AY319" s="158">
        <v>307.79778818900002</v>
      </c>
      <c r="AZ319" s="158">
        <v>308.096336624</v>
      </c>
      <c r="BA319" s="158">
        <v>318.807912778</v>
      </c>
      <c r="BB319" s="288">
        <v>328.30164915900002</v>
      </c>
      <c r="BC319" s="288">
        <v>324.55435455000003</v>
      </c>
      <c r="BD319" s="288">
        <v>171.61240158999999</v>
      </c>
      <c r="BE319" s="288">
        <v>358.951181475</v>
      </c>
      <c r="BF319" s="288">
        <v>352.49726696900001</v>
      </c>
      <c r="BG319" s="288">
        <v>365.100370263</v>
      </c>
      <c r="BH319" s="288">
        <v>310.47660857</v>
      </c>
      <c r="BI319" s="288">
        <v>289.39705123099998</v>
      </c>
      <c r="BJ319" s="288">
        <v>229.274591227</v>
      </c>
      <c r="BK319" s="288">
        <v>260.21626413299998</v>
      </c>
      <c r="BL319" s="288">
        <v>233.18403445800001</v>
      </c>
      <c r="BM319" s="288">
        <v>231.72147982600001</v>
      </c>
      <c r="BN319" s="288">
        <v>198.53</v>
      </c>
      <c r="BO319" s="288">
        <v>250.51903898500001</v>
      </c>
      <c r="BP319" s="288">
        <v>214.9</v>
      </c>
      <c r="BQ319" s="288">
        <v>220.00252481699999</v>
      </c>
      <c r="BR319" s="288">
        <v>197.95506103299999</v>
      </c>
      <c r="BS319" s="288">
        <v>224.19201887</v>
      </c>
      <c r="BT319" s="288">
        <v>238.83647967300001</v>
      </c>
    </row>
    <row r="320" spans="3:72">
      <c r="C320" s="127" t="s">
        <v>1160</v>
      </c>
      <c r="D320" s="127"/>
      <c r="E320" s="127"/>
      <c r="F320" s="127"/>
      <c r="G320" s="128"/>
      <c r="H320" s="128"/>
      <c r="I320" s="128"/>
      <c r="J320" s="128"/>
      <c r="K320" s="128"/>
      <c r="L320" s="128"/>
      <c r="M320" s="128"/>
      <c r="N320" s="128"/>
      <c r="O320" s="128"/>
      <c r="P320" s="128"/>
      <c r="Q320" s="128"/>
      <c r="R320" s="128"/>
      <c r="S320" s="128"/>
      <c r="T320" s="128"/>
      <c r="U320" s="128"/>
      <c r="V320" s="128"/>
      <c r="W320" s="128"/>
      <c r="X320" s="128"/>
      <c r="Y320" s="128"/>
      <c r="Z320" s="128">
        <v>0</v>
      </c>
      <c r="AA320" s="128">
        <v>0</v>
      </c>
      <c r="AB320" s="128">
        <v>0</v>
      </c>
      <c r="AC320" s="128">
        <v>0</v>
      </c>
      <c r="AD320" s="128">
        <v>0</v>
      </c>
      <c r="AE320" s="128">
        <v>0</v>
      </c>
      <c r="AF320" s="128">
        <v>0</v>
      </c>
      <c r="AG320" s="128">
        <v>0</v>
      </c>
      <c r="AH320" s="128">
        <v>0</v>
      </c>
      <c r="AI320" s="128">
        <v>0</v>
      </c>
      <c r="AJ320" s="128">
        <v>0</v>
      </c>
      <c r="AK320" s="128">
        <v>0</v>
      </c>
      <c r="AL320" s="128">
        <v>0</v>
      </c>
      <c r="AM320" s="128">
        <v>0</v>
      </c>
      <c r="AN320" s="128">
        <v>0</v>
      </c>
      <c r="AO320" s="128">
        <v>0</v>
      </c>
      <c r="AP320" s="128">
        <v>0</v>
      </c>
      <c r="AQ320" s="128">
        <v>0</v>
      </c>
      <c r="AR320" s="128">
        <v>0</v>
      </c>
      <c r="AS320" s="288">
        <v>0</v>
      </c>
      <c r="AT320" s="288">
        <v>0</v>
      </c>
      <c r="AU320" s="288">
        <v>0</v>
      </c>
      <c r="AV320" s="288">
        <v>0</v>
      </c>
      <c r="AW320" s="158">
        <v>0</v>
      </c>
      <c r="AX320" s="158">
        <v>0</v>
      </c>
      <c r="AY320" s="158">
        <v>0</v>
      </c>
      <c r="AZ320" s="158">
        <v>0</v>
      </c>
      <c r="BA320" s="158">
        <v>0</v>
      </c>
      <c r="BB320" s="288">
        <v>0</v>
      </c>
      <c r="BC320" s="288">
        <v>0</v>
      </c>
      <c r="BD320" s="288">
        <v>0</v>
      </c>
      <c r="BE320" s="288">
        <v>0</v>
      </c>
      <c r="BF320" s="288">
        <v>0</v>
      </c>
      <c r="BG320" s="288">
        <v>0</v>
      </c>
      <c r="BH320" s="288">
        <v>0</v>
      </c>
      <c r="BI320" s="288">
        <v>0</v>
      </c>
      <c r="BJ320" s="288">
        <v>0</v>
      </c>
      <c r="BK320" s="288">
        <v>0</v>
      </c>
      <c r="BL320" s="288">
        <v>0</v>
      </c>
      <c r="BM320" s="288">
        <v>0</v>
      </c>
      <c r="BN320" s="288">
        <v>0</v>
      </c>
      <c r="BO320" s="288">
        <v>0</v>
      </c>
      <c r="BP320" s="288">
        <v>0</v>
      </c>
      <c r="BQ320" s="288">
        <v>0</v>
      </c>
      <c r="BR320" s="288">
        <v>0</v>
      </c>
      <c r="BS320" s="288">
        <v>0</v>
      </c>
      <c r="BT320" s="288">
        <v>0</v>
      </c>
    </row>
    <row r="321" spans="2:73">
      <c r="C321" s="127" t="s">
        <v>1161</v>
      </c>
      <c r="D321" s="127"/>
      <c r="E321" s="127"/>
      <c r="F321" s="127"/>
      <c r="G321" s="128"/>
      <c r="H321" s="128"/>
      <c r="I321" s="128"/>
      <c r="J321" s="128"/>
      <c r="K321" s="128"/>
      <c r="L321" s="128"/>
      <c r="M321" s="128"/>
      <c r="N321" s="128"/>
      <c r="O321" s="128"/>
      <c r="P321" s="128"/>
      <c r="Q321" s="128"/>
      <c r="R321" s="128"/>
      <c r="S321" s="128"/>
      <c r="T321" s="128"/>
      <c r="U321" s="128"/>
      <c r="V321" s="128"/>
      <c r="W321" s="128"/>
      <c r="X321" s="128"/>
      <c r="Y321" s="128"/>
      <c r="Z321" s="128">
        <v>0</v>
      </c>
      <c r="AA321" s="128">
        <v>0</v>
      </c>
      <c r="AB321" s="128">
        <v>0</v>
      </c>
      <c r="AC321" s="128">
        <v>0</v>
      </c>
      <c r="AD321" s="128">
        <v>0</v>
      </c>
      <c r="AE321" s="128">
        <v>30.610602032999999</v>
      </c>
      <c r="AF321" s="128">
        <v>0</v>
      </c>
      <c r="AG321" s="128">
        <v>0</v>
      </c>
      <c r="AH321" s="128">
        <v>0</v>
      </c>
      <c r="AI321" s="128">
        <v>0</v>
      </c>
      <c r="AJ321" s="128">
        <v>0</v>
      </c>
      <c r="AK321" s="128">
        <v>0</v>
      </c>
      <c r="AL321" s="128">
        <v>0</v>
      </c>
      <c r="AM321" s="128">
        <v>0</v>
      </c>
      <c r="AN321" s="128">
        <v>0</v>
      </c>
      <c r="AO321" s="128">
        <v>0</v>
      </c>
      <c r="AP321" s="128">
        <v>0</v>
      </c>
      <c r="AQ321" s="128">
        <v>0</v>
      </c>
      <c r="AR321" s="128">
        <v>0</v>
      </c>
      <c r="AS321" s="288">
        <v>0</v>
      </c>
      <c r="AT321" s="288">
        <v>0</v>
      </c>
      <c r="AU321" s="288">
        <v>0</v>
      </c>
      <c r="AV321" s="288">
        <v>0</v>
      </c>
      <c r="AW321" s="158">
        <v>0</v>
      </c>
      <c r="AX321" s="158">
        <v>0</v>
      </c>
      <c r="AY321" s="158">
        <v>0</v>
      </c>
      <c r="AZ321" s="158">
        <v>0</v>
      </c>
      <c r="BA321" s="158">
        <v>0</v>
      </c>
      <c r="BB321" s="288">
        <v>0</v>
      </c>
      <c r="BC321" s="288">
        <v>0</v>
      </c>
      <c r="BD321" s="288">
        <v>0</v>
      </c>
      <c r="BE321" s="288">
        <v>0</v>
      </c>
      <c r="BF321" s="288">
        <v>0</v>
      </c>
      <c r="BG321" s="288">
        <v>0</v>
      </c>
      <c r="BH321" s="288">
        <v>0</v>
      </c>
      <c r="BI321" s="288">
        <v>0</v>
      </c>
      <c r="BJ321" s="288">
        <v>0</v>
      </c>
      <c r="BK321" s="288">
        <v>0</v>
      </c>
      <c r="BL321" s="288">
        <v>0</v>
      </c>
      <c r="BM321" s="288">
        <v>0</v>
      </c>
      <c r="BN321" s="288">
        <v>0</v>
      </c>
      <c r="BO321" s="288">
        <v>0</v>
      </c>
      <c r="BP321" s="288">
        <v>0</v>
      </c>
      <c r="BQ321" s="288">
        <v>0</v>
      </c>
      <c r="BR321" s="288">
        <v>0</v>
      </c>
      <c r="BS321" s="288">
        <v>0</v>
      </c>
      <c r="BT321" s="288">
        <v>0</v>
      </c>
    </row>
    <row r="322" spans="2:73">
      <c r="C322" s="127" t="s">
        <v>1162</v>
      </c>
      <c r="D322" s="127"/>
      <c r="E322" s="127"/>
      <c r="F322" s="127"/>
      <c r="G322" s="128"/>
      <c r="H322" s="128"/>
      <c r="I322" s="128"/>
      <c r="J322" s="128"/>
      <c r="K322" s="128"/>
      <c r="L322" s="128"/>
      <c r="M322" s="128"/>
      <c r="N322" s="128"/>
      <c r="O322" s="128"/>
      <c r="P322" s="128"/>
      <c r="Q322" s="128"/>
      <c r="R322" s="128"/>
      <c r="S322" s="128"/>
      <c r="T322" s="128"/>
      <c r="U322" s="128"/>
      <c r="V322" s="128"/>
      <c r="W322" s="128"/>
      <c r="X322" s="128"/>
      <c r="Y322" s="128"/>
      <c r="Z322" s="128">
        <v>104.634764594</v>
      </c>
      <c r="AA322" s="128">
        <v>18.188911828999998</v>
      </c>
      <c r="AB322" s="128">
        <v>20.430857516</v>
      </c>
      <c r="AC322" s="128">
        <v>23.110729017000001</v>
      </c>
      <c r="AD322" s="128">
        <v>28.020133336000001</v>
      </c>
      <c r="AE322" s="128">
        <v>0</v>
      </c>
      <c r="AF322" s="128">
        <v>34.123771058999999</v>
      </c>
      <c r="AG322" s="128">
        <v>42.584433058000002</v>
      </c>
      <c r="AH322" s="128">
        <v>59.544794189999998</v>
      </c>
      <c r="AI322" s="128">
        <v>65.906863247000004</v>
      </c>
      <c r="AJ322" s="128">
        <v>359.31989528899999</v>
      </c>
      <c r="AK322" s="128">
        <v>514.57257630200002</v>
      </c>
      <c r="AL322" s="128">
        <v>334.387675032</v>
      </c>
      <c r="AM322" s="128">
        <v>357.72332811000001</v>
      </c>
      <c r="AN322" s="128">
        <v>356.36158859900002</v>
      </c>
      <c r="AO322" s="128">
        <v>310.26390278999997</v>
      </c>
      <c r="AP322" s="128">
        <v>309.94572011499997</v>
      </c>
      <c r="AQ322" s="128">
        <v>320.77374824499998</v>
      </c>
      <c r="AR322" s="128">
        <v>304.132083712</v>
      </c>
      <c r="AS322" s="288">
        <v>287.24042406500001</v>
      </c>
      <c r="AT322" s="288">
        <v>292.20552747400001</v>
      </c>
      <c r="AU322" s="288">
        <v>370.34955918600002</v>
      </c>
      <c r="AV322" s="288">
        <v>343.56110217000003</v>
      </c>
      <c r="AW322" s="158">
        <v>304.68650689399999</v>
      </c>
      <c r="AX322" s="158">
        <v>320.53198765299999</v>
      </c>
      <c r="AY322" s="158">
        <v>307.79778818900002</v>
      </c>
      <c r="AZ322" s="158">
        <v>308.096336624</v>
      </c>
      <c r="BA322" s="158">
        <v>318.807912778</v>
      </c>
      <c r="BB322" s="288">
        <v>328.30164915900002</v>
      </c>
      <c r="BC322" s="288">
        <v>324.55435455000003</v>
      </c>
      <c r="BD322" s="288">
        <v>171.61240158999999</v>
      </c>
      <c r="BE322" s="288">
        <v>358.951181475</v>
      </c>
      <c r="BF322" s="288">
        <v>352.49726696900001</v>
      </c>
      <c r="BG322" s="288">
        <v>365.100370263</v>
      </c>
      <c r="BH322" s="288">
        <v>310.47660857</v>
      </c>
      <c r="BI322" s="288">
        <v>289.39705123099998</v>
      </c>
      <c r="BJ322" s="288">
        <v>229.274591227</v>
      </c>
      <c r="BK322" s="288">
        <v>260.21626413299998</v>
      </c>
      <c r="BL322" s="288">
        <v>233.18403445800001</v>
      </c>
      <c r="BM322" s="288">
        <v>231.72147982600001</v>
      </c>
      <c r="BN322" s="288">
        <v>198.53</v>
      </c>
      <c r="BO322" s="288">
        <v>250.51903898500001</v>
      </c>
      <c r="BP322" s="288">
        <v>214.9</v>
      </c>
      <c r="BQ322" s="288">
        <v>220.00252481699999</v>
      </c>
      <c r="BR322" s="288">
        <v>197.95506103299999</v>
      </c>
      <c r="BS322" s="288">
        <v>224.19201887</v>
      </c>
      <c r="BT322" s="288">
        <v>238.83647967300001</v>
      </c>
    </row>
    <row r="323" spans="2:73">
      <c r="C323" s="127" t="s">
        <v>1163</v>
      </c>
      <c r="D323" s="127"/>
      <c r="E323" s="127"/>
      <c r="F323" s="127"/>
      <c r="G323" s="128"/>
      <c r="H323" s="128"/>
      <c r="I323" s="128"/>
      <c r="J323" s="128"/>
      <c r="K323" s="128"/>
      <c r="L323" s="128"/>
      <c r="M323" s="128"/>
      <c r="N323" s="128"/>
      <c r="O323" s="128"/>
      <c r="P323" s="128"/>
      <c r="Q323" s="128"/>
      <c r="R323" s="128"/>
      <c r="S323" s="128"/>
      <c r="T323" s="128"/>
      <c r="U323" s="128"/>
      <c r="V323" s="128"/>
      <c r="W323" s="128"/>
      <c r="X323" s="128"/>
      <c r="Y323" s="128"/>
      <c r="Z323" s="128">
        <v>0</v>
      </c>
      <c r="AA323" s="128">
        <v>0</v>
      </c>
      <c r="AB323" s="128">
        <v>0</v>
      </c>
      <c r="AC323" s="128">
        <v>0</v>
      </c>
      <c r="AD323" s="128">
        <v>0</v>
      </c>
      <c r="AE323" s="128">
        <v>0</v>
      </c>
      <c r="AF323" s="128">
        <v>0</v>
      </c>
      <c r="AG323" s="128">
        <v>0</v>
      </c>
      <c r="AH323" s="128">
        <v>0</v>
      </c>
      <c r="AI323" s="128">
        <v>0</v>
      </c>
      <c r="AJ323" s="128">
        <v>0</v>
      </c>
      <c r="AK323" s="128">
        <v>0</v>
      </c>
      <c r="AL323" s="128">
        <v>0</v>
      </c>
      <c r="AM323" s="128">
        <v>0</v>
      </c>
      <c r="AN323" s="128">
        <v>0</v>
      </c>
      <c r="AO323" s="128">
        <v>0</v>
      </c>
      <c r="AP323" s="128">
        <v>0</v>
      </c>
      <c r="AQ323" s="128">
        <v>0</v>
      </c>
      <c r="AR323" s="128">
        <v>0</v>
      </c>
      <c r="AS323" s="288">
        <v>0</v>
      </c>
      <c r="AT323" s="288">
        <v>0</v>
      </c>
      <c r="AU323" s="288">
        <v>0</v>
      </c>
      <c r="AV323" s="288">
        <v>0</v>
      </c>
      <c r="AW323" s="158">
        <v>0</v>
      </c>
      <c r="AX323" s="158">
        <v>0</v>
      </c>
      <c r="AY323" s="158">
        <v>0</v>
      </c>
      <c r="AZ323" s="158">
        <v>0</v>
      </c>
      <c r="BA323" s="158">
        <v>0</v>
      </c>
      <c r="BB323" s="288">
        <v>0</v>
      </c>
      <c r="BC323" s="288">
        <v>0</v>
      </c>
      <c r="BD323" s="288">
        <v>0</v>
      </c>
      <c r="BE323" s="288">
        <v>0</v>
      </c>
      <c r="BF323" s="288">
        <v>0</v>
      </c>
      <c r="BG323" s="288">
        <v>0</v>
      </c>
      <c r="BH323" s="288">
        <v>0</v>
      </c>
      <c r="BI323" s="288">
        <v>0</v>
      </c>
      <c r="BJ323" s="288">
        <v>0</v>
      </c>
      <c r="BK323" s="288">
        <v>0</v>
      </c>
      <c r="BL323" s="288">
        <v>0</v>
      </c>
      <c r="BM323" s="288">
        <v>0</v>
      </c>
      <c r="BN323" s="288">
        <v>0</v>
      </c>
      <c r="BO323" s="288">
        <v>0</v>
      </c>
      <c r="BP323" s="288">
        <v>0</v>
      </c>
      <c r="BQ323" s="288">
        <v>0</v>
      </c>
      <c r="BR323" s="288">
        <v>0</v>
      </c>
      <c r="BS323" s="288">
        <v>0</v>
      </c>
      <c r="BT323" s="288">
        <v>0</v>
      </c>
    </row>
    <row r="324" spans="2:73">
      <c r="C324" s="127" t="s">
        <v>1164</v>
      </c>
      <c r="D324" s="127"/>
      <c r="E324" s="127"/>
      <c r="F324" s="127"/>
      <c r="G324" s="128"/>
      <c r="H324" s="128"/>
      <c r="I324" s="128"/>
      <c r="J324" s="128"/>
      <c r="K324" s="128"/>
      <c r="L324" s="128"/>
      <c r="M324" s="128"/>
      <c r="N324" s="128"/>
      <c r="O324" s="128"/>
      <c r="P324" s="128"/>
      <c r="Q324" s="128"/>
      <c r="R324" s="128"/>
      <c r="S324" s="128"/>
      <c r="T324" s="128"/>
      <c r="U324" s="128"/>
      <c r="V324" s="128"/>
      <c r="W324" s="128"/>
      <c r="X324" s="128"/>
      <c r="Y324" s="128"/>
      <c r="Z324" s="128">
        <v>0</v>
      </c>
      <c r="AA324" s="128">
        <v>0</v>
      </c>
      <c r="AB324" s="128">
        <v>0</v>
      </c>
      <c r="AC324" s="128">
        <v>0</v>
      </c>
      <c r="AD324" s="128">
        <v>0</v>
      </c>
      <c r="AE324" s="128">
        <v>0</v>
      </c>
      <c r="AF324" s="128">
        <v>0</v>
      </c>
      <c r="AG324" s="128">
        <v>0</v>
      </c>
      <c r="AH324" s="128">
        <v>0</v>
      </c>
      <c r="AI324" s="128">
        <v>0</v>
      </c>
      <c r="AJ324" s="128">
        <v>0</v>
      </c>
      <c r="AK324" s="128">
        <v>0</v>
      </c>
      <c r="AL324" s="128">
        <v>0</v>
      </c>
      <c r="AM324" s="128">
        <v>0</v>
      </c>
      <c r="AN324" s="128">
        <v>0</v>
      </c>
      <c r="AO324" s="128">
        <v>0</v>
      </c>
      <c r="AP324" s="128">
        <v>0</v>
      </c>
      <c r="AQ324" s="128">
        <v>0</v>
      </c>
      <c r="AR324" s="128">
        <v>0</v>
      </c>
      <c r="AS324" s="288">
        <v>0</v>
      </c>
      <c r="AT324" s="288">
        <v>0</v>
      </c>
      <c r="AU324" s="288">
        <v>0</v>
      </c>
      <c r="AV324" s="288">
        <v>0</v>
      </c>
      <c r="AW324" s="158">
        <v>0</v>
      </c>
      <c r="AX324" s="158">
        <v>0</v>
      </c>
      <c r="AY324" s="158">
        <v>0</v>
      </c>
      <c r="AZ324" s="158">
        <v>0</v>
      </c>
      <c r="BA324" s="158">
        <v>0</v>
      </c>
      <c r="BB324" s="288">
        <v>0</v>
      </c>
      <c r="BC324" s="288">
        <v>0</v>
      </c>
      <c r="BD324" s="288">
        <v>0</v>
      </c>
      <c r="BE324" s="288">
        <v>0</v>
      </c>
      <c r="BF324" s="288">
        <v>0</v>
      </c>
      <c r="BG324" s="288">
        <v>0</v>
      </c>
      <c r="BH324" s="288">
        <v>0</v>
      </c>
      <c r="BI324" s="288">
        <v>0</v>
      </c>
      <c r="BJ324" s="288">
        <v>0</v>
      </c>
      <c r="BK324" s="288">
        <v>0</v>
      </c>
      <c r="BL324" s="288">
        <v>0</v>
      </c>
      <c r="BM324" s="288">
        <v>0</v>
      </c>
      <c r="BN324" s="288">
        <v>0</v>
      </c>
      <c r="BO324" s="288">
        <v>0</v>
      </c>
      <c r="BP324" s="288">
        <v>0</v>
      </c>
      <c r="BQ324" s="288">
        <v>0</v>
      </c>
      <c r="BR324" s="288">
        <v>0</v>
      </c>
      <c r="BS324" s="288">
        <v>0</v>
      </c>
      <c r="BT324" s="288">
        <v>0</v>
      </c>
    </row>
    <row r="325" spans="2:73">
      <c r="C325" s="127" t="s">
        <v>1165</v>
      </c>
      <c r="D325" s="127"/>
      <c r="E325" s="127"/>
      <c r="F325" s="127"/>
      <c r="G325" s="128"/>
      <c r="H325" s="128"/>
      <c r="I325" s="128"/>
      <c r="J325" s="128"/>
      <c r="K325" s="128"/>
      <c r="L325" s="128"/>
      <c r="M325" s="128"/>
      <c r="N325" s="128"/>
      <c r="O325" s="128"/>
      <c r="P325" s="128"/>
      <c r="Q325" s="128"/>
      <c r="R325" s="128"/>
      <c r="S325" s="128"/>
      <c r="T325" s="128"/>
      <c r="U325" s="128"/>
      <c r="V325" s="128"/>
      <c r="W325" s="128"/>
      <c r="X325" s="128"/>
      <c r="Y325" s="128"/>
      <c r="Z325" s="128">
        <v>0</v>
      </c>
      <c r="AA325" s="128">
        <v>0</v>
      </c>
      <c r="AB325" s="128">
        <v>0</v>
      </c>
      <c r="AC325" s="128">
        <v>0</v>
      </c>
      <c r="AD325" s="128">
        <v>0</v>
      </c>
      <c r="AE325" s="128">
        <v>0</v>
      </c>
      <c r="AF325" s="128">
        <v>0</v>
      </c>
      <c r="AG325" s="128">
        <v>0</v>
      </c>
      <c r="AH325" s="128">
        <v>0</v>
      </c>
      <c r="AI325" s="128">
        <v>0</v>
      </c>
      <c r="AJ325" s="128">
        <v>0</v>
      </c>
      <c r="AK325" s="128">
        <v>0</v>
      </c>
      <c r="AL325" s="128">
        <v>0</v>
      </c>
      <c r="AM325" s="128">
        <v>0</v>
      </c>
      <c r="AN325" s="128">
        <v>0</v>
      </c>
      <c r="AO325" s="128">
        <v>0</v>
      </c>
      <c r="AP325" s="128">
        <v>0</v>
      </c>
      <c r="AQ325" s="128">
        <v>0</v>
      </c>
      <c r="AR325" s="128">
        <v>0</v>
      </c>
      <c r="AS325" s="288">
        <v>0</v>
      </c>
      <c r="AT325" s="288">
        <v>0</v>
      </c>
      <c r="AU325" s="288">
        <v>0</v>
      </c>
      <c r="AV325" s="288">
        <v>0</v>
      </c>
      <c r="AW325" s="158">
        <v>0</v>
      </c>
      <c r="AX325" s="158">
        <v>0</v>
      </c>
      <c r="AY325" s="158">
        <v>0</v>
      </c>
      <c r="AZ325" s="158">
        <v>0</v>
      </c>
      <c r="BA325" s="158">
        <v>0</v>
      </c>
      <c r="BB325" s="288">
        <v>0</v>
      </c>
      <c r="BC325" s="288">
        <v>0</v>
      </c>
      <c r="BD325" s="288">
        <v>0</v>
      </c>
      <c r="BE325" s="288">
        <v>0</v>
      </c>
      <c r="BF325" s="288">
        <v>0</v>
      </c>
      <c r="BG325" s="288">
        <v>0</v>
      </c>
      <c r="BH325" s="288">
        <v>0</v>
      </c>
      <c r="BI325" s="288">
        <v>0</v>
      </c>
      <c r="BJ325" s="288">
        <v>0</v>
      </c>
      <c r="BK325" s="288">
        <v>0</v>
      </c>
      <c r="BL325" s="288">
        <v>0</v>
      </c>
      <c r="BM325" s="288">
        <v>0</v>
      </c>
      <c r="BN325" s="288">
        <v>0</v>
      </c>
      <c r="BO325" s="288">
        <v>0</v>
      </c>
      <c r="BP325" s="288">
        <v>0</v>
      </c>
      <c r="BQ325" s="288">
        <v>0</v>
      </c>
      <c r="BR325" s="288">
        <v>0</v>
      </c>
      <c r="BS325" s="288">
        <v>0</v>
      </c>
      <c r="BT325" s="288">
        <v>0</v>
      </c>
    </row>
    <row r="326" spans="2:73">
      <c r="C326" s="127" t="s">
        <v>1166</v>
      </c>
      <c r="D326" s="127"/>
      <c r="E326" s="127"/>
      <c r="F326" s="127"/>
      <c r="G326" s="128"/>
      <c r="H326" s="128"/>
      <c r="I326" s="128"/>
      <c r="J326" s="128"/>
      <c r="K326" s="128"/>
      <c r="L326" s="128"/>
      <c r="M326" s="128"/>
      <c r="N326" s="128"/>
      <c r="O326" s="128"/>
      <c r="P326" s="128"/>
      <c r="Q326" s="128"/>
      <c r="R326" s="128"/>
      <c r="S326" s="128"/>
      <c r="T326" s="128"/>
      <c r="U326" s="128"/>
      <c r="V326" s="128"/>
      <c r="W326" s="128"/>
      <c r="X326" s="128"/>
      <c r="Y326" s="128"/>
      <c r="Z326" s="128">
        <v>0</v>
      </c>
      <c r="AA326" s="128">
        <v>2960.1898342939999</v>
      </c>
      <c r="AB326" s="128">
        <v>3311.1798224939998</v>
      </c>
      <c r="AC326" s="128">
        <v>4146.012520233</v>
      </c>
      <c r="AD326" s="128">
        <v>0</v>
      </c>
      <c r="AE326" s="128">
        <v>4550.3691134680003</v>
      </c>
      <c r="AF326" s="128">
        <v>5622.8483000059996</v>
      </c>
      <c r="AG326" s="128">
        <v>6461.7202152549999</v>
      </c>
      <c r="AH326" s="128">
        <v>8037.820417725</v>
      </c>
      <c r="AI326" s="128">
        <v>8427.8879149330005</v>
      </c>
      <c r="AJ326" s="128">
        <v>9292.0280242230001</v>
      </c>
      <c r="AK326" s="128">
        <v>11641.490003544999</v>
      </c>
      <c r="AL326" s="128">
        <v>12934.074171216</v>
      </c>
      <c r="AM326" s="128">
        <v>13032.373764086</v>
      </c>
      <c r="AN326" s="128">
        <v>13557.089585624</v>
      </c>
      <c r="AO326" s="128">
        <v>15674.487404309</v>
      </c>
      <c r="AP326" s="128">
        <v>18788.756341781998</v>
      </c>
      <c r="AQ326" s="128">
        <v>0</v>
      </c>
      <c r="AR326" s="128">
        <v>0</v>
      </c>
      <c r="AS326" s="288">
        <v>0</v>
      </c>
      <c r="AT326" s="288">
        <v>0</v>
      </c>
      <c r="AU326" s="288">
        <v>0</v>
      </c>
      <c r="AV326" s="288">
        <v>0</v>
      </c>
      <c r="AW326" s="158">
        <v>0</v>
      </c>
      <c r="AX326" s="158">
        <v>0</v>
      </c>
      <c r="AY326" s="158">
        <v>0</v>
      </c>
      <c r="AZ326" s="158">
        <v>0</v>
      </c>
      <c r="BA326" s="158">
        <v>0</v>
      </c>
      <c r="BB326" s="288">
        <v>0</v>
      </c>
      <c r="BC326" s="288">
        <v>0</v>
      </c>
      <c r="BD326" s="288">
        <v>0</v>
      </c>
      <c r="BE326" s="288">
        <v>28763.440176908</v>
      </c>
      <c r="BF326" s="288">
        <v>0</v>
      </c>
      <c r="BG326" s="288">
        <v>0</v>
      </c>
      <c r="BH326" s="288">
        <v>0</v>
      </c>
      <c r="BI326" s="288">
        <v>0</v>
      </c>
      <c r="BJ326" s="288">
        <v>0</v>
      </c>
      <c r="BK326" s="288">
        <v>0</v>
      </c>
      <c r="BL326" s="288">
        <v>0</v>
      </c>
      <c r="BM326" s="288">
        <v>0</v>
      </c>
      <c r="BN326" s="288">
        <v>0</v>
      </c>
      <c r="BO326" s="288">
        <v>0</v>
      </c>
      <c r="BP326" s="288">
        <v>0</v>
      </c>
      <c r="BQ326" s="288">
        <v>0</v>
      </c>
      <c r="BR326" s="288">
        <v>0</v>
      </c>
      <c r="BS326" s="288">
        <v>0</v>
      </c>
      <c r="BT326" s="288">
        <v>0</v>
      </c>
    </row>
    <row r="327" spans="2:73">
      <c r="C327" s="127" t="s">
        <v>1167</v>
      </c>
      <c r="D327" s="127"/>
      <c r="E327" s="127"/>
      <c r="F327" s="127"/>
      <c r="G327" s="128"/>
      <c r="H327" s="128"/>
      <c r="I327" s="128"/>
      <c r="J327" s="128"/>
      <c r="K327" s="128"/>
      <c r="L327" s="128"/>
      <c r="M327" s="128"/>
      <c r="N327" s="128"/>
      <c r="O327" s="128"/>
      <c r="P327" s="128"/>
      <c r="Q327" s="128"/>
      <c r="R327" s="128"/>
      <c r="S327" s="128"/>
      <c r="T327" s="128"/>
      <c r="U327" s="128"/>
      <c r="V327" s="128"/>
      <c r="W327" s="128"/>
      <c r="X327" s="128"/>
      <c r="Y327" s="128"/>
      <c r="Z327" s="128">
        <v>0</v>
      </c>
      <c r="AA327" s="128">
        <v>2960.1898342939999</v>
      </c>
      <c r="AB327" s="128">
        <v>3311.1798224939998</v>
      </c>
      <c r="AC327" s="128">
        <v>4146.012520233</v>
      </c>
      <c r="AD327" s="128">
        <v>0</v>
      </c>
      <c r="AE327" s="128">
        <v>4550.3691134680003</v>
      </c>
      <c r="AF327" s="128">
        <v>5622.8483000059996</v>
      </c>
      <c r="AG327" s="128">
        <v>6461.7202152549999</v>
      </c>
      <c r="AH327" s="128">
        <v>8037.820417725</v>
      </c>
      <c r="AI327" s="128">
        <v>8427.8879149330005</v>
      </c>
      <c r="AJ327" s="128">
        <v>9292.0280242230001</v>
      </c>
      <c r="AK327" s="128">
        <v>11641.490003544999</v>
      </c>
      <c r="AL327" s="128">
        <v>12934.074171216</v>
      </c>
      <c r="AM327" s="128">
        <v>13032.373764086</v>
      </c>
      <c r="AN327" s="128">
        <v>13557.089585624</v>
      </c>
      <c r="AO327" s="128">
        <v>15674.487404309</v>
      </c>
      <c r="AP327" s="128">
        <v>18788.756341781998</v>
      </c>
      <c r="AQ327" s="128">
        <v>0</v>
      </c>
      <c r="AR327" s="128">
        <v>0</v>
      </c>
      <c r="AS327" s="288">
        <v>0</v>
      </c>
      <c r="AT327" s="288">
        <v>0</v>
      </c>
      <c r="AU327" s="288">
        <v>0</v>
      </c>
      <c r="AV327" s="288">
        <v>0</v>
      </c>
      <c r="AW327" s="158">
        <v>0</v>
      </c>
      <c r="AX327" s="158">
        <v>0</v>
      </c>
      <c r="AY327" s="158">
        <v>0</v>
      </c>
      <c r="AZ327" s="158">
        <v>0</v>
      </c>
      <c r="BA327" s="158">
        <v>0</v>
      </c>
      <c r="BB327" s="288">
        <v>0</v>
      </c>
      <c r="BC327" s="288">
        <v>0</v>
      </c>
      <c r="BD327" s="288">
        <v>0</v>
      </c>
      <c r="BE327" s="288">
        <v>0</v>
      </c>
      <c r="BF327" s="288">
        <v>0</v>
      </c>
      <c r="BG327" s="288">
        <v>0</v>
      </c>
      <c r="BH327" s="288">
        <v>0</v>
      </c>
      <c r="BI327" s="288">
        <v>0</v>
      </c>
      <c r="BJ327" s="288">
        <v>0</v>
      </c>
      <c r="BK327" s="288">
        <v>0</v>
      </c>
      <c r="BL327" s="288">
        <v>0</v>
      </c>
      <c r="BM327" s="288">
        <v>0</v>
      </c>
      <c r="BN327" s="288">
        <v>0</v>
      </c>
      <c r="BO327" s="288">
        <v>0</v>
      </c>
      <c r="BP327" s="288">
        <v>0</v>
      </c>
      <c r="BQ327" s="288">
        <v>0</v>
      </c>
      <c r="BR327" s="288">
        <v>0</v>
      </c>
      <c r="BS327" s="288">
        <v>0</v>
      </c>
      <c r="BT327" s="288">
        <v>0</v>
      </c>
    </row>
    <row r="328" spans="2:73">
      <c r="C328" s="127" t="s">
        <v>1168</v>
      </c>
      <c r="D328" s="127"/>
      <c r="E328" s="127"/>
      <c r="F328" s="127"/>
      <c r="G328" s="128"/>
      <c r="H328" s="128"/>
      <c r="I328" s="128"/>
      <c r="J328" s="128"/>
      <c r="K328" s="128"/>
      <c r="L328" s="128"/>
      <c r="M328" s="128"/>
      <c r="N328" s="128"/>
      <c r="O328" s="128"/>
      <c r="P328" s="128"/>
      <c r="Q328" s="128"/>
      <c r="R328" s="128"/>
      <c r="S328" s="128"/>
      <c r="T328" s="128"/>
      <c r="U328" s="128"/>
      <c r="V328" s="128"/>
      <c r="W328" s="128"/>
      <c r="X328" s="128"/>
      <c r="Y328" s="128"/>
      <c r="Z328" s="128">
        <v>0</v>
      </c>
      <c r="AA328" s="128">
        <v>0</v>
      </c>
      <c r="AB328" s="128">
        <v>0</v>
      </c>
      <c r="AC328" s="128">
        <v>0</v>
      </c>
      <c r="AD328" s="128">
        <v>0</v>
      </c>
      <c r="AE328" s="128">
        <v>0</v>
      </c>
      <c r="AF328" s="128">
        <v>0</v>
      </c>
      <c r="AG328" s="128">
        <v>0</v>
      </c>
      <c r="AH328" s="128">
        <v>0</v>
      </c>
      <c r="AI328" s="128">
        <v>0</v>
      </c>
      <c r="AJ328" s="128">
        <v>0</v>
      </c>
      <c r="AK328" s="128">
        <v>0</v>
      </c>
      <c r="AL328" s="128">
        <v>0</v>
      </c>
      <c r="AM328" s="128">
        <v>0</v>
      </c>
      <c r="AN328" s="128">
        <v>0</v>
      </c>
      <c r="AO328" s="128">
        <v>0</v>
      </c>
      <c r="AP328" s="128">
        <v>0</v>
      </c>
      <c r="AQ328" s="128">
        <v>0</v>
      </c>
      <c r="AR328" s="128">
        <v>0</v>
      </c>
      <c r="AS328" s="288">
        <v>0</v>
      </c>
      <c r="AT328" s="288">
        <v>0</v>
      </c>
      <c r="AU328" s="288">
        <v>0</v>
      </c>
      <c r="AV328" s="288">
        <v>0</v>
      </c>
      <c r="AW328" s="158">
        <v>0</v>
      </c>
      <c r="AX328" s="158">
        <v>0</v>
      </c>
      <c r="AY328" s="158">
        <v>0</v>
      </c>
      <c r="AZ328" s="158">
        <v>0</v>
      </c>
      <c r="BA328" s="158">
        <v>0</v>
      </c>
      <c r="BB328" s="288">
        <v>0</v>
      </c>
      <c r="BC328" s="288">
        <v>0</v>
      </c>
      <c r="BD328" s="288">
        <v>0</v>
      </c>
      <c r="BE328" s="288">
        <v>28763.440176908</v>
      </c>
      <c r="BF328" s="288">
        <v>0</v>
      </c>
      <c r="BG328" s="288">
        <v>0</v>
      </c>
      <c r="BH328" s="288">
        <v>0</v>
      </c>
      <c r="BI328" s="288">
        <v>0</v>
      </c>
      <c r="BJ328" s="288">
        <v>0</v>
      </c>
      <c r="BK328" s="288">
        <v>0</v>
      </c>
      <c r="BL328" s="288">
        <v>0</v>
      </c>
      <c r="BM328" s="288">
        <v>0</v>
      </c>
      <c r="BN328" s="288">
        <v>0</v>
      </c>
      <c r="BO328" s="288">
        <v>0</v>
      </c>
      <c r="BP328" s="288">
        <v>0</v>
      </c>
      <c r="BQ328" s="288">
        <v>0</v>
      </c>
      <c r="BR328" s="288">
        <v>0</v>
      </c>
      <c r="BS328" s="288">
        <v>0</v>
      </c>
      <c r="BT328" s="288">
        <v>0</v>
      </c>
    </row>
    <row r="329" spans="2:73">
      <c r="C329" s="127" t="s">
        <v>1169</v>
      </c>
      <c r="D329" s="127"/>
      <c r="E329" s="127"/>
      <c r="F329" s="127"/>
      <c r="G329" s="128"/>
      <c r="H329" s="128"/>
      <c r="I329" s="128"/>
      <c r="J329" s="128"/>
      <c r="K329" s="128"/>
      <c r="L329" s="128"/>
      <c r="M329" s="128"/>
      <c r="N329" s="128"/>
      <c r="O329" s="128"/>
      <c r="P329" s="128"/>
      <c r="Q329" s="128"/>
      <c r="R329" s="128"/>
      <c r="S329" s="128"/>
      <c r="T329" s="128"/>
      <c r="U329" s="128"/>
      <c r="V329" s="128"/>
      <c r="W329" s="128"/>
      <c r="X329" s="128"/>
      <c r="Y329" s="128"/>
      <c r="Z329" s="128">
        <v>0</v>
      </c>
      <c r="AA329" s="128">
        <v>0</v>
      </c>
      <c r="AB329" s="128">
        <v>0</v>
      </c>
      <c r="AC329" s="128">
        <v>0</v>
      </c>
      <c r="AD329" s="128">
        <v>0</v>
      </c>
      <c r="AE329" s="128">
        <v>0</v>
      </c>
      <c r="AF329" s="128">
        <v>0</v>
      </c>
      <c r="AG329" s="128">
        <v>0</v>
      </c>
      <c r="AH329" s="128">
        <v>0</v>
      </c>
      <c r="AI329" s="128">
        <v>0</v>
      </c>
      <c r="AJ329" s="128">
        <v>0</v>
      </c>
      <c r="AK329" s="128">
        <v>0</v>
      </c>
      <c r="AL329" s="128">
        <v>0</v>
      </c>
      <c r="AM329" s="128">
        <v>0</v>
      </c>
      <c r="AN329" s="128">
        <v>0</v>
      </c>
      <c r="AO329" s="128">
        <v>0</v>
      </c>
      <c r="AP329" s="128">
        <v>0</v>
      </c>
      <c r="AQ329" s="128">
        <v>0</v>
      </c>
      <c r="AR329" s="128">
        <v>0</v>
      </c>
      <c r="AS329" s="288">
        <v>0</v>
      </c>
      <c r="AT329" s="288">
        <v>0</v>
      </c>
      <c r="AU329" s="288">
        <v>0</v>
      </c>
      <c r="AV329" s="288">
        <v>0</v>
      </c>
      <c r="AW329" s="158">
        <v>0</v>
      </c>
      <c r="AX329" s="158">
        <v>0</v>
      </c>
      <c r="AY329" s="158">
        <v>0</v>
      </c>
      <c r="AZ329" s="158">
        <v>0</v>
      </c>
      <c r="BA329" s="158">
        <v>0</v>
      </c>
      <c r="BB329" s="288">
        <v>0</v>
      </c>
      <c r="BC329" s="288">
        <v>0</v>
      </c>
      <c r="BD329" s="288">
        <v>0</v>
      </c>
      <c r="BE329" s="288">
        <v>0</v>
      </c>
      <c r="BF329" s="288">
        <v>0</v>
      </c>
      <c r="BG329" s="288">
        <v>0</v>
      </c>
      <c r="BH329" s="288">
        <v>0</v>
      </c>
      <c r="BI329" s="288">
        <v>0</v>
      </c>
      <c r="BJ329" s="288">
        <v>0</v>
      </c>
      <c r="BK329" s="288">
        <v>0</v>
      </c>
      <c r="BL329" s="288">
        <v>0</v>
      </c>
      <c r="BM329" s="288">
        <v>0</v>
      </c>
      <c r="BN329" s="288">
        <v>0</v>
      </c>
      <c r="BO329" s="288">
        <v>0</v>
      </c>
      <c r="BP329" s="288">
        <v>0</v>
      </c>
      <c r="BQ329" s="288">
        <v>0</v>
      </c>
      <c r="BR329" s="288">
        <v>0</v>
      </c>
      <c r="BS329" s="288">
        <v>0</v>
      </c>
      <c r="BT329" s="288">
        <v>0</v>
      </c>
    </row>
    <row r="330" spans="2:73">
      <c r="C330" s="127" t="s">
        <v>1170</v>
      </c>
      <c r="D330" s="127"/>
      <c r="E330" s="127"/>
      <c r="F330" s="127"/>
      <c r="G330" s="128"/>
      <c r="H330" s="128"/>
      <c r="I330" s="128"/>
      <c r="J330" s="128"/>
      <c r="K330" s="128"/>
      <c r="L330" s="128"/>
      <c r="M330" s="128"/>
      <c r="N330" s="128"/>
      <c r="O330" s="128"/>
      <c r="P330" s="128"/>
      <c r="Q330" s="128"/>
      <c r="R330" s="128"/>
      <c r="S330" s="128"/>
      <c r="T330" s="128"/>
      <c r="U330" s="128"/>
      <c r="V330" s="128"/>
      <c r="W330" s="128"/>
      <c r="X330" s="128"/>
      <c r="Y330" s="128"/>
      <c r="Z330" s="128">
        <v>0</v>
      </c>
      <c r="AA330" s="128">
        <v>0</v>
      </c>
      <c r="AB330" s="128">
        <v>0</v>
      </c>
      <c r="AC330" s="128">
        <v>0</v>
      </c>
      <c r="AD330" s="128">
        <v>0</v>
      </c>
      <c r="AE330" s="128">
        <v>0</v>
      </c>
      <c r="AF330" s="128">
        <v>0</v>
      </c>
      <c r="AG330" s="128">
        <v>0</v>
      </c>
      <c r="AH330" s="128">
        <v>0</v>
      </c>
      <c r="AI330" s="128">
        <v>0</v>
      </c>
      <c r="AJ330" s="128">
        <v>0</v>
      </c>
      <c r="AK330" s="128">
        <v>0</v>
      </c>
      <c r="AL330" s="128">
        <v>0</v>
      </c>
      <c r="AM330" s="128">
        <v>0</v>
      </c>
      <c r="AN330" s="128">
        <v>0</v>
      </c>
      <c r="AO330" s="128">
        <v>0</v>
      </c>
      <c r="AP330" s="128">
        <v>0</v>
      </c>
      <c r="AQ330" s="128">
        <v>0</v>
      </c>
      <c r="AR330" s="128">
        <v>0</v>
      </c>
      <c r="AS330" s="288">
        <v>0</v>
      </c>
      <c r="AT330" s="288">
        <v>0</v>
      </c>
      <c r="AU330" s="288">
        <v>0</v>
      </c>
      <c r="AV330" s="288">
        <v>0</v>
      </c>
      <c r="AW330" s="158">
        <v>0</v>
      </c>
      <c r="AX330" s="158">
        <v>0</v>
      </c>
      <c r="AY330" s="158">
        <v>0</v>
      </c>
      <c r="AZ330" s="158">
        <v>0</v>
      </c>
      <c r="BA330" s="158">
        <v>0</v>
      </c>
      <c r="BB330" s="288">
        <v>0</v>
      </c>
      <c r="BC330" s="288">
        <v>0</v>
      </c>
      <c r="BD330" s="288">
        <v>0</v>
      </c>
      <c r="BE330" s="288">
        <v>0</v>
      </c>
      <c r="BF330" s="288">
        <v>0</v>
      </c>
      <c r="BG330" s="288">
        <v>0</v>
      </c>
      <c r="BH330" s="288">
        <v>0</v>
      </c>
      <c r="BI330" s="288">
        <v>0</v>
      </c>
      <c r="BJ330" s="288">
        <v>0</v>
      </c>
      <c r="BK330" s="288">
        <v>0</v>
      </c>
      <c r="BL330" s="288">
        <v>0</v>
      </c>
      <c r="BM330" s="288">
        <v>0</v>
      </c>
      <c r="BN330" s="288">
        <v>0</v>
      </c>
      <c r="BO330" s="288">
        <v>0</v>
      </c>
      <c r="BP330" s="288">
        <v>0</v>
      </c>
      <c r="BQ330" s="288">
        <v>0</v>
      </c>
      <c r="BR330" s="288">
        <v>0</v>
      </c>
      <c r="BS330" s="288">
        <v>0</v>
      </c>
      <c r="BT330" s="288">
        <v>0</v>
      </c>
    </row>
    <row r="331" spans="2:73">
      <c r="C331" s="127" t="s">
        <v>1171</v>
      </c>
      <c r="D331" s="127"/>
      <c r="E331" s="127"/>
      <c r="F331" s="127"/>
      <c r="G331" s="128"/>
      <c r="H331" s="128"/>
      <c r="I331" s="128"/>
      <c r="J331" s="128"/>
      <c r="K331" s="128"/>
      <c r="L331" s="128"/>
      <c r="M331" s="128"/>
      <c r="N331" s="128"/>
      <c r="O331" s="128"/>
      <c r="P331" s="128"/>
      <c r="Q331" s="128"/>
      <c r="R331" s="128"/>
      <c r="S331" s="128"/>
      <c r="T331" s="128"/>
      <c r="U331" s="128"/>
      <c r="V331" s="128"/>
      <c r="W331" s="128"/>
      <c r="X331" s="128"/>
      <c r="Y331" s="128"/>
      <c r="Z331" s="128">
        <v>0</v>
      </c>
      <c r="AA331" s="128">
        <v>0</v>
      </c>
      <c r="AB331" s="128">
        <v>0</v>
      </c>
      <c r="AC331" s="128">
        <v>0</v>
      </c>
      <c r="AD331" s="128">
        <v>0</v>
      </c>
      <c r="AE331" s="128">
        <v>0</v>
      </c>
      <c r="AF331" s="128">
        <v>0</v>
      </c>
      <c r="AG331" s="128">
        <v>0</v>
      </c>
      <c r="AH331" s="128">
        <v>0</v>
      </c>
      <c r="AI331" s="128">
        <v>0</v>
      </c>
      <c r="AJ331" s="128">
        <v>0</v>
      </c>
      <c r="AK331" s="128">
        <v>0</v>
      </c>
      <c r="AL331" s="128">
        <v>0</v>
      </c>
      <c r="AM331" s="128">
        <v>0</v>
      </c>
      <c r="AN331" s="128">
        <v>0</v>
      </c>
      <c r="AO331" s="128">
        <v>0</v>
      </c>
      <c r="AP331" s="128">
        <v>0</v>
      </c>
      <c r="AQ331" s="128">
        <v>0</v>
      </c>
      <c r="AR331" s="128">
        <v>0</v>
      </c>
      <c r="AS331" s="288">
        <v>0</v>
      </c>
      <c r="AT331" s="288">
        <v>0</v>
      </c>
      <c r="AU331" s="288">
        <v>0</v>
      </c>
      <c r="AV331" s="288">
        <v>0</v>
      </c>
      <c r="AW331" s="158">
        <v>0</v>
      </c>
      <c r="AX331" s="158">
        <v>0</v>
      </c>
      <c r="AY331" s="158">
        <v>0</v>
      </c>
      <c r="AZ331" s="158">
        <v>0</v>
      </c>
      <c r="BA331" s="158">
        <v>0</v>
      </c>
      <c r="BB331" s="288">
        <v>0</v>
      </c>
      <c r="BC331" s="288">
        <v>0</v>
      </c>
      <c r="BD331" s="288">
        <v>0</v>
      </c>
      <c r="BE331" s="288">
        <v>0</v>
      </c>
      <c r="BF331" s="288">
        <v>0</v>
      </c>
      <c r="BG331" s="288">
        <v>0</v>
      </c>
      <c r="BH331" s="288">
        <v>0</v>
      </c>
      <c r="BI331" s="288">
        <v>0</v>
      </c>
      <c r="BJ331" s="288">
        <v>0</v>
      </c>
      <c r="BK331" s="288">
        <v>0</v>
      </c>
      <c r="BL331" s="288">
        <v>0</v>
      </c>
      <c r="BM331" s="288">
        <v>0</v>
      </c>
      <c r="BN331" s="288">
        <v>0</v>
      </c>
      <c r="BO331" s="288">
        <v>0</v>
      </c>
      <c r="BP331" s="288">
        <v>0</v>
      </c>
      <c r="BQ331" s="288">
        <v>0</v>
      </c>
      <c r="BR331" s="288">
        <v>0</v>
      </c>
      <c r="BS331" s="288">
        <v>0</v>
      </c>
      <c r="BT331" s="288">
        <v>0</v>
      </c>
    </row>
    <row r="332" spans="2:73">
      <c r="C332" s="127" t="s">
        <v>1172</v>
      </c>
      <c r="D332" s="127"/>
      <c r="E332" s="127"/>
      <c r="F332" s="127"/>
      <c r="G332" s="128"/>
      <c r="H332" s="128"/>
      <c r="I332" s="128"/>
      <c r="J332" s="128"/>
      <c r="K332" s="128"/>
      <c r="L332" s="128"/>
      <c r="M332" s="128"/>
      <c r="N332" s="128"/>
      <c r="O332" s="128"/>
      <c r="P332" s="128"/>
      <c r="Q332" s="128"/>
      <c r="R332" s="128"/>
      <c r="S332" s="128"/>
      <c r="T332" s="128"/>
      <c r="U332" s="128"/>
      <c r="V332" s="128"/>
      <c r="W332" s="128"/>
      <c r="X332" s="128"/>
      <c r="Y332" s="128"/>
      <c r="Z332" s="128">
        <v>0</v>
      </c>
      <c r="AA332" s="128">
        <v>0</v>
      </c>
      <c r="AB332" s="128">
        <v>0</v>
      </c>
      <c r="AC332" s="128">
        <v>0</v>
      </c>
      <c r="AD332" s="128">
        <v>0</v>
      </c>
      <c r="AE332" s="128">
        <v>0</v>
      </c>
      <c r="AF332" s="128">
        <v>0</v>
      </c>
      <c r="AG332" s="128">
        <v>0</v>
      </c>
      <c r="AH332" s="128">
        <v>0</v>
      </c>
      <c r="AI332" s="128">
        <v>0</v>
      </c>
      <c r="AJ332" s="128">
        <v>0</v>
      </c>
      <c r="AK332" s="128">
        <v>0</v>
      </c>
      <c r="AL332" s="128">
        <v>0</v>
      </c>
      <c r="AM332" s="128">
        <v>0</v>
      </c>
      <c r="AN332" s="128">
        <v>0</v>
      </c>
      <c r="AO332" s="128">
        <v>0</v>
      </c>
      <c r="AP332" s="128">
        <v>0</v>
      </c>
      <c r="AQ332" s="128">
        <v>0</v>
      </c>
      <c r="AR332" s="128">
        <v>0</v>
      </c>
      <c r="AS332" s="288">
        <v>0</v>
      </c>
      <c r="AT332" s="288">
        <v>0</v>
      </c>
      <c r="AU332" s="288">
        <v>0</v>
      </c>
      <c r="AV332" s="288">
        <v>0</v>
      </c>
      <c r="AW332" s="158">
        <v>0</v>
      </c>
      <c r="AX332" s="158">
        <v>0</v>
      </c>
      <c r="AY332" s="158">
        <v>0</v>
      </c>
      <c r="AZ332" s="158">
        <v>0</v>
      </c>
      <c r="BA332" s="158">
        <v>0</v>
      </c>
      <c r="BB332" s="288">
        <v>0</v>
      </c>
      <c r="BC332" s="288">
        <v>0</v>
      </c>
      <c r="BD332" s="288">
        <v>0</v>
      </c>
      <c r="BE332" s="288">
        <v>0</v>
      </c>
      <c r="BF332" s="288">
        <v>0</v>
      </c>
      <c r="BG332" s="288">
        <v>0</v>
      </c>
      <c r="BH332" s="288">
        <v>0</v>
      </c>
      <c r="BI332" s="288">
        <v>0</v>
      </c>
      <c r="BJ332" s="288">
        <v>0</v>
      </c>
      <c r="BK332" s="288">
        <v>0</v>
      </c>
      <c r="BL332" s="288">
        <v>0</v>
      </c>
      <c r="BM332" s="288">
        <v>0</v>
      </c>
      <c r="BN332" s="288">
        <v>0</v>
      </c>
      <c r="BO332" s="288">
        <v>0</v>
      </c>
      <c r="BP332" s="288">
        <v>0</v>
      </c>
      <c r="BQ332" s="288">
        <v>0</v>
      </c>
      <c r="BR332" s="288">
        <v>0</v>
      </c>
      <c r="BS332" s="288">
        <v>0</v>
      </c>
      <c r="BT332" s="288">
        <v>0</v>
      </c>
    </row>
    <row r="333" spans="2:73">
      <c r="C333" s="127" t="s">
        <v>1173</v>
      </c>
      <c r="D333" s="127"/>
      <c r="E333" s="127"/>
      <c r="F333" s="127"/>
      <c r="G333" s="128"/>
      <c r="H333" s="128"/>
      <c r="I333" s="128"/>
      <c r="J333" s="128"/>
      <c r="K333" s="128"/>
      <c r="L333" s="128"/>
      <c r="M333" s="128"/>
      <c r="N333" s="128"/>
      <c r="O333" s="128"/>
      <c r="P333" s="128"/>
      <c r="Q333" s="128"/>
      <c r="R333" s="128"/>
      <c r="S333" s="128"/>
      <c r="T333" s="128"/>
      <c r="U333" s="128"/>
      <c r="V333" s="128"/>
      <c r="W333" s="128"/>
      <c r="X333" s="128"/>
      <c r="Y333" s="128"/>
      <c r="Z333" s="128">
        <v>0</v>
      </c>
      <c r="AA333" s="128">
        <v>0</v>
      </c>
      <c r="AB333" s="128">
        <v>0</v>
      </c>
      <c r="AC333" s="128">
        <v>0</v>
      </c>
      <c r="AD333" s="128">
        <v>0</v>
      </c>
      <c r="AE333" s="128">
        <v>0</v>
      </c>
      <c r="AF333" s="128">
        <v>0</v>
      </c>
      <c r="AG333" s="128">
        <v>0</v>
      </c>
      <c r="AH333" s="128">
        <v>0</v>
      </c>
      <c r="AI333" s="128">
        <v>0</v>
      </c>
      <c r="AJ333" s="128">
        <v>0</v>
      </c>
      <c r="AK333" s="128">
        <v>0</v>
      </c>
      <c r="AL333" s="128">
        <v>0</v>
      </c>
      <c r="AM333" s="128">
        <v>0</v>
      </c>
      <c r="AN333" s="128">
        <v>0</v>
      </c>
      <c r="AO333" s="128">
        <v>0</v>
      </c>
      <c r="AP333" s="128">
        <v>0</v>
      </c>
      <c r="AQ333" s="128">
        <v>0</v>
      </c>
      <c r="AR333" s="128">
        <v>0</v>
      </c>
      <c r="AS333" s="288">
        <v>0</v>
      </c>
      <c r="AT333" s="288">
        <v>0</v>
      </c>
      <c r="AU333" s="288">
        <v>0</v>
      </c>
      <c r="AV333" s="288">
        <v>0</v>
      </c>
      <c r="AW333" s="158">
        <v>0</v>
      </c>
      <c r="AX333" s="158">
        <v>0</v>
      </c>
      <c r="AY333" s="158">
        <v>0</v>
      </c>
      <c r="AZ333" s="158">
        <v>0</v>
      </c>
      <c r="BA333" s="158">
        <v>0</v>
      </c>
      <c r="BB333" s="288">
        <v>0</v>
      </c>
      <c r="BC333" s="288">
        <v>0</v>
      </c>
      <c r="BD333" s="288">
        <v>0</v>
      </c>
      <c r="BE333" s="288">
        <v>0</v>
      </c>
      <c r="BF333" s="288">
        <v>0</v>
      </c>
      <c r="BG333" s="288">
        <v>0</v>
      </c>
      <c r="BH333" s="288">
        <v>0</v>
      </c>
      <c r="BI333" s="288">
        <v>0</v>
      </c>
      <c r="BJ333" s="288">
        <v>0</v>
      </c>
      <c r="BK333" s="288">
        <v>0</v>
      </c>
      <c r="BL333" s="288">
        <v>0</v>
      </c>
      <c r="BM333" s="288">
        <v>0</v>
      </c>
      <c r="BN333" s="288">
        <v>0</v>
      </c>
      <c r="BO333" s="288">
        <v>0</v>
      </c>
      <c r="BP333" s="288">
        <v>0</v>
      </c>
      <c r="BQ333" s="288">
        <v>0</v>
      </c>
      <c r="BR333" s="288">
        <v>0</v>
      </c>
      <c r="BS333" s="288">
        <v>0</v>
      </c>
      <c r="BT333" s="288">
        <v>0</v>
      </c>
    </row>
    <row r="334" spans="2:73">
      <c r="C334" s="127" t="s">
        <v>1174</v>
      </c>
      <c r="D334" s="127"/>
      <c r="E334" s="127"/>
      <c r="F334" s="127"/>
      <c r="G334" s="128"/>
      <c r="H334" s="128"/>
      <c r="I334" s="128"/>
      <c r="J334" s="128"/>
      <c r="K334" s="128"/>
      <c r="L334" s="128"/>
      <c r="M334" s="128"/>
      <c r="N334" s="128"/>
      <c r="O334" s="128"/>
      <c r="P334" s="128"/>
      <c r="Q334" s="128"/>
      <c r="R334" s="128"/>
      <c r="S334" s="128"/>
      <c r="T334" s="128"/>
      <c r="U334" s="128"/>
      <c r="V334" s="128"/>
      <c r="W334" s="128"/>
      <c r="X334" s="128"/>
      <c r="Y334" s="128"/>
      <c r="Z334" s="128">
        <v>0</v>
      </c>
      <c r="AA334" s="128">
        <v>0</v>
      </c>
      <c r="AB334" s="128">
        <v>0</v>
      </c>
      <c r="AC334" s="128">
        <v>0</v>
      </c>
      <c r="AD334" s="128">
        <v>0</v>
      </c>
      <c r="AE334" s="128">
        <v>0</v>
      </c>
      <c r="AF334" s="128">
        <v>0</v>
      </c>
      <c r="AG334" s="128">
        <v>0</v>
      </c>
      <c r="AH334" s="128">
        <v>0</v>
      </c>
      <c r="AI334" s="128">
        <v>0</v>
      </c>
      <c r="AJ334" s="128">
        <v>0</v>
      </c>
      <c r="AK334" s="128">
        <v>0</v>
      </c>
      <c r="AL334" s="128">
        <v>0</v>
      </c>
      <c r="AM334" s="128">
        <v>0</v>
      </c>
      <c r="AN334" s="128">
        <v>0</v>
      </c>
      <c r="AO334" s="128">
        <v>0</v>
      </c>
      <c r="AP334" s="128">
        <v>0</v>
      </c>
      <c r="AQ334" s="128">
        <v>0</v>
      </c>
      <c r="AR334" s="128">
        <v>0</v>
      </c>
      <c r="AS334" s="288">
        <v>0</v>
      </c>
      <c r="AT334" s="288">
        <v>0</v>
      </c>
      <c r="AU334" s="288">
        <v>0</v>
      </c>
      <c r="AV334" s="288">
        <v>0</v>
      </c>
      <c r="AW334" s="158">
        <v>0</v>
      </c>
      <c r="AX334" s="158">
        <v>0</v>
      </c>
      <c r="AY334" s="158">
        <v>0</v>
      </c>
      <c r="AZ334" s="158">
        <v>0</v>
      </c>
      <c r="BA334" s="158">
        <v>0</v>
      </c>
      <c r="BB334" s="288">
        <v>0</v>
      </c>
      <c r="BC334" s="288">
        <v>0</v>
      </c>
      <c r="BD334" s="288">
        <v>0</v>
      </c>
      <c r="BE334" s="288">
        <v>0</v>
      </c>
      <c r="BF334" s="288">
        <v>0</v>
      </c>
      <c r="BG334" s="288">
        <v>0</v>
      </c>
      <c r="BH334" s="288">
        <v>0</v>
      </c>
      <c r="BI334" s="288">
        <v>0</v>
      </c>
      <c r="BJ334" s="288">
        <v>0</v>
      </c>
      <c r="BK334" s="288">
        <v>0</v>
      </c>
      <c r="BL334" s="288">
        <v>0</v>
      </c>
      <c r="BM334" s="288">
        <v>0</v>
      </c>
      <c r="BN334" s="288">
        <v>0</v>
      </c>
      <c r="BO334" s="288">
        <v>0</v>
      </c>
      <c r="BP334" s="288">
        <v>0</v>
      </c>
      <c r="BQ334" s="288">
        <v>0</v>
      </c>
      <c r="BR334" s="288">
        <v>0</v>
      </c>
      <c r="BS334" s="288">
        <v>0</v>
      </c>
      <c r="BT334" s="288">
        <v>0</v>
      </c>
    </row>
    <row r="335" spans="2:73">
      <c r="C335" s="127" t="s">
        <v>569</v>
      </c>
      <c r="D335" s="127"/>
      <c r="E335" s="127"/>
      <c r="F335" s="127"/>
      <c r="G335" s="128"/>
      <c r="H335" s="128"/>
      <c r="I335" s="128"/>
      <c r="J335" s="128"/>
      <c r="K335" s="128"/>
      <c r="L335" s="128"/>
      <c r="M335" s="128"/>
      <c r="N335" s="128"/>
      <c r="O335" s="128"/>
      <c r="P335" s="128"/>
      <c r="Q335" s="128"/>
      <c r="R335" s="128"/>
      <c r="S335" s="128"/>
      <c r="T335" s="128"/>
      <c r="U335" s="128"/>
      <c r="V335" s="128"/>
      <c r="W335" s="128"/>
      <c r="X335" s="128"/>
      <c r="Y335" s="128"/>
      <c r="Z335" s="128">
        <v>15.871034434</v>
      </c>
      <c r="AA335" s="128">
        <v>13.637062848999999</v>
      </c>
      <c r="AB335" s="128">
        <v>20.994358407</v>
      </c>
      <c r="AC335" s="128">
        <v>26.334402728000001</v>
      </c>
      <c r="AD335" s="128">
        <v>16.595982923000001</v>
      </c>
      <c r="AE335" s="128">
        <v>15.061084415</v>
      </c>
      <c r="AF335" s="128">
        <v>24.450598083999999</v>
      </c>
      <c r="AG335" s="128">
        <v>24.878154990999999</v>
      </c>
      <c r="AH335" s="128">
        <v>28.473099854000001</v>
      </c>
      <c r="AI335" s="128">
        <v>18.878070091000001</v>
      </c>
      <c r="AJ335" s="128">
        <v>23.665294724999999</v>
      </c>
      <c r="AK335" s="128">
        <v>64.311236062000006</v>
      </c>
      <c r="AL335" s="128">
        <v>47.238632352000003</v>
      </c>
      <c r="AM335" s="128">
        <v>52.899468603999999</v>
      </c>
      <c r="AN335" s="128">
        <v>52.990268221000001</v>
      </c>
      <c r="AO335" s="128">
        <v>97.381438950000003</v>
      </c>
      <c r="AP335" s="128">
        <v>76.259503803000001</v>
      </c>
      <c r="AQ335" s="128">
        <v>71.909377836999994</v>
      </c>
      <c r="AR335" s="128">
        <v>86.456996199000002</v>
      </c>
      <c r="AS335" s="288">
        <v>107.45799739</v>
      </c>
      <c r="AT335" s="288">
        <v>110.138306257</v>
      </c>
      <c r="AU335" s="288">
        <v>161.37340333899999</v>
      </c>
      <c r="AV335" s="288">
        <v>178.02126734399999</v>
      </c>
      <c r="AW335" s="158">
        <v>181.64487741100001</v>
      </c>
      <c r="AX335" s="158">
        <v>124.88615052500001</v>
      </c>
      <c r="AY335" s="158">
        <v>169.37287777399999</v>
      </c>
      <c r="AZ335" s="158">
        <v>256.71866273299997</v>
      </c>
      <c r="BA335" s="158">
        <v>243.144091635</v>
      </c>
      <c r="BB335" s="288">
        <v>288.290505677</v>
      </c>
      <c r="BC335" s="288">
        <v>304.72639665100002</v>
      </c>
      <c r="BD335" s="288">
        <v>288.60571992899997</v>
      </c>
      <c r="BE335" s="288">
        <v>384.46625450300002</v>
      </c>
      <c r="BF335" s="288">
        <v>354.85920563000002</v>
      </c>
      <c r="BG335" s="288">
        <v>297.75755306600001</v>
      </c>
      <c r="BH335" s="288">
        <v>348.74040445399999</v>
      </c>
      <c r="BI335" s="288">
        <v>311.780141173</v>
      </c>
      <c r="BJ335" s="288">
        <v>359.08489394899999</v>
      </c>
      <c r="BK335" s="288">
        <v>585.36871865399996</v>
      </c>
      <c r="BL335" s="288">
        <v>619.11561073500002</v>
      </c>
      <c r="BM335" s="288">
        <v>603.39449175300001</v>
      </c>
      <c r="BN335" s="288">
        <v>585.30999999999995</v>
      </c>
      <c r="BO335" s="288">
        <v>580.10878495099996</v>
      </c>
      <c r="BP335" s="288">
        <v>575.39</v>
      </c>
      <c r="BQ335" s="288">
        <v>635.69558438800004</v>
      </c>
      <c r="BR335" s="288">
        <v>693.29366793099996</v>
      </c>
      <c r="BS335" s="288">
        <v>768.83224696499997</v>
      </c>
      <c r="BT335" s="288">
        <v>809.06889743099998</v>
      </c>
    </row>
    <row r="336" spans="2:73" s="302" customFormat="1">
      <c r="B336" s="980" t="s">
        <v>544</v>
      </c>
      <c r="C336" s="298" t="s">
        <v>1175</v>
      </c>
      <c r="D336" s="298"/>
      <c r="E336" s="298"/>
      <c r="F336" s="298"/>
      <c r="G336" s="299"/>
      <c r="H336" s="299"/>
      <c r="I336" s="299"/>
      <c r="J336" s="299"/>
      <c r="K336" s="299"/>
      <c r="L336" s="299"/>
      <c r="M336" s="299"/>
      <c r="N336" s="299"/>
      <c r="O336" s="299"/>
      <c r="P336" s="299"/>
      <c r="Q336" s="299"/>
      <c r="R336" s="299"/>
      <c r="S336" s="299"/>
      <c r="T336" s="299"/>
      <c r="U336" s="299"/>
      <c r="V336" s="299"/>
      <c r="W336" s="299"/>
      <c r="X336" s="299"/>
      <c r="Y336" s="299"/>
      <c r="Z336" s="299">
        <v>1.6293622919999999</v>
      </c>
      <c r="AA336" s="299">
        <v>0</v>
      </c>
      <c r="AB336" s="299">
        <v>1.807559379</v>
      </c>
      <c r="AC336" s="299">
        <v>2.821415998</v>
      </c>
      <c r="AD336" s="299">
        <v>0.182416411</v>
      </c>
      <c r="AE336" s="299">
        <v>0.20746060299999999</v>
      </c>
      <c r="AF336" s="299">
        <v>0</v>
      </c>
      <c r="AG336" s="299">
        <v>0.280621226</v>
      </c>
      <c r="AH336" s="299">
        <v>0.37458950800000002</v>
      </c>
      <c r="AI336" s="299">
        <v>0.378620558</v>
      </c>
      <c r="AJ336" s="299">
        <v>0.44688904400000001</v>
      </c>
      <c r="AK336" s="299">
        <v>0</v>
      </c>
      <c r="AL336" s="299">
        <v>3.6263070000000001E-2</v>
      </c>
      <c r="AM336" s="299">
        <v>0.85326360800000001</v>
      </c>
      <c r="AN336" s="299">
        <v>8.3517127060000007</v>
      </c>
      <c r="AO336" s="299">
        <v>26.005123295000001</v>
      </c>
      <c r="AP336" s="299">
        <v>5.773018059</v>
      </c>
      <c r="AQ336" s="299">
        <v>15.123488975000001</v>
      </c>
      <c r="AR336" s="299">
        <v>27.75742717</v>
      </c>
      <c r="AS336" s="981">
        <v>36.203345380000002</v>
      </c>
      <c r="AT336" s="981">
        <v>33.578435644999999</v>
      </c>
      <c r="AU336" s="981">
        <v>93.675622955999998</v>
      </c>
      <c r="AV336" s="981">
        <v>116.599153101</v>
      </c>
      <c r="AW336" s="981">
        <v>0</v>
      </c>
      <c r="AX336" s="981">
        <v>57.118429982000002</v>
      </c>
      <c r="AY336" s="981">
        <v>130.04594784299999</v>
      </c>
      <c r="AZ336" s="981">
        <v>184.840460807</v>
      </c>
      <c r="BA336" s="981">
        <v>195.41742986400001</v>
      </c>
      <c r="BB336" s="981">
        <v>207.739529877</v>
      </c>
      <c r="BC336" s="981">
        <v>235.59415578299999</v>
      </c>
      <c r="BD336" s="981">
        <v>242.64385647700001</v>
      </c>
      <c r="BE336" s="981">
        <v>281.18807867700002</v>
      </c>
      <c r="BF336" s="981">
        <v>210.77461529199999</v>
      </c>
      <c r="BG336" s="981">
        <v>248.55415589200001</v>
      </c>
      <c r="BH336" s="981">
        <v>277.99676875699998</v>
      </c>
      <c r="BI336" s="981">
        <v>116.880238975</v>
      </c>
      <c r="BJ336" s="981">
        <v>313.567429742</v>
      </c>
      <c r="BK336" s="981">
        <v>495.50506153100002</v>
      </c>
      <c r="BL336" s="981">
        <v>548.21501486199998</v>
      </c>
      <c r="BM336" s="981">
        <v>470.75481188700002</v>
      </c>
      <c r="BN336" s="981">
        <v>494.23</v>
      </c>
      <c r="BO336" s="981">
        <v>463.71945834100001</v>
      </c>
      <c r="BP336" s="300">
        <v>204.9</v>
      </c>
      <c r="BQ336" s="300">
        <v>674.82946672499997</v>
      </c>
      <c r="BR336" s="300">
        <v>636.90393265299997</v>
      </c>
      <c r="BS336" s="300">
        <v>596.61889166799995</v>
      </c>
      <c r="BT336" s="300">
        <v>120.776592663</v>
      </c>
      <c r="BU336" s="300"/>
    </row>
    <row r="337" spans="2:73">
      <c r="C337" s="127" t="s">
        <v>1176</v>
      </c>
      <c r="D337" s="127"/>
      <c r="E337" s="127"/>
      <c r="F337" s="127"/>
      <c r="G337" s="128"/>
      <c r="H337" s="128"/>
      <c r="I337" s="128"/>
      <c r="J337" s="128"/>
      <c r="K337" s="128"/>
      <c r="L337" s="128"/>
      <c r="M337" s="128"/>
      <c r="N337" s="128"/>
      <c r="O337" s="128"/>
      <c r="P337" s="128"/>
      <c r="Q337" s="128"/>
      <c r="R337" s="128"/>
      <c r="S337" s="128"/>
      <c r="T337" s="128"/>
      <c r="U337" s="128"/>
      <c r="V337" s="128"/>
      <c r="W337" s="128"/>
      <c r="X337" s="128"/>
      <c r="Y337" s="128"/>
      <c r="Z337" s="128">
        <v>0</v>
      </c>
      <c r="AA337" s="128">
        <v>0</v>
      </c>
      <c r="AB337" s="128">
        <v>0</v>
      </c>
      <c r="AC337" s="128">
        <v>0</v>
      </c>
      <c r="AD337" s="128">
        <v>0</v>
      </c>
      <c r="AE337" s="128">
        <v>0</v>
      </c>
      <c r="AF337" s="128">
        <v>0</v>
      </c>
      <c r="AG337" s="128">
        <v>0</v>
      </c>
      <c r="AH337" s="128">
        <v>0</v>
      </c>
      <c r="AI337" s="128">
        <v>0</v>
      </c>
      <c r="AJ337" s="128">
        <v>0</v>
      </c>
      <c r="AK337" s="128">
        <v>0</v>
      </c>
      <c r="AL337" s="128">
        <v>0</v>
      </c>
      <c r="AM337" s="128">
        <v>0</v>
      </c>
      <c r="AN337" s="128">
        <v>0</v>
      </c>
      <c r="AO337" s="128">
        <v>0</v>
      </c>
      <c r="AP337" s="128">
        <v>0</v>
      </c>
      <c r="AQ337" s="128">
        <v>0</v>
      </c>
      <c r="AR337" s="128">
        <v>0</v>
      </c>
      <c r="AS337" s="288">
        <v>0</v>
      </c>
      <c r="AT337" s="288">
        <v>0</v>
      </c>
      <c r="AU337" s="288">
        <v>0</v>
      </c>
      <c r="AV337" s="288">
        <v>0</v>
      </c>
      <c r="AW337" s="158">
        <v>0</v>
      </c>
      <c r="AX337" s="158">
        <v>0</v>
      </c>
      <c r="AY337" s="158">
        <v>0</v>
      </c>
      <c r="AZ337" s="158">
        <v>0</v>
      </c>
      <c r="BA337" s="158">
        <v>0</v>
      </c>
      <c r="BB337" s="288">
        <v>0</v>
      </c>
      <c r="BC337" s="288">
        <v>0</v>
      </c>
      <c r="BD337" s="288">
        <v>0</v>
      </c>
      <c r="BE337" s="288">
        <v>0</v>
      </c>
      <c r="BF337" s="288">
        <v>0</v>
      </c>
      <c r="BG337" s="288">
        <v>1.8016438349999999</v>
      </c>
      <c r="BH337" s="288">
        <v>-1.8016438349999999</v>
      </c>
      <c r="BI337" s="288">
        <v>0</v>
      </c>
      <c r="BJ337" s="288">
        <v>0</v>
      </c>
      <c r="BK337" s="288">
        <v>2.195896855</v>
      </c>
      <c r="BL337" s="288">
        <v>15.031917808999999</v>
      </c>
      <c r="BM337" s="288">
        <v>0</v>
      </c>
      <c r="BN337" s="288">
        <v>32.46</v>
      </c>
      <c r="BO337" s="288">
        <v>53.217439802000001</v>
      </c>
      <c r="BP337" s="288">
        <v>325.01</v>
      </c>
      <c r="BQ337" s="288">
        <v>-92.716257624999997</v>
      </c>
      <c r="BR337" s="288">
        <v>0</v>
      </c>
      <c r="BS337" s="288">
        <v>121.16493189400001</v>
      </c>
      <c r="BT337" s="288">
        <v>648.79998097600003</v>
      </c>
    </row>
    <row r="338" spans="2:73">
      <c r="C338" s="127" t="s">
        <v>1177</v>
      </c>
      <c r="D338" s="127"/>
      <c r="E338" s="127"/>
      <c r="F338" s="127"/>
      <c r="G338" s="128"/>
      <c r="H338" s="128"/>
      <c r="I338" s="128"/>
      <c r="J338" s="128"/>
      <c r="K338" s="128"/>
      <c r="L338" s="128"/>
      <c r="M338" s="128"/>
      <c r="N338" s="128"/>
      <c r="O338" s="128"/>
      <c r="P338" s="128"/>
      <c r="Q338" s="128"/>
      <c r="R338" s="128"/>
      <c r="S338" s="128"/>
      <c r="T338" s="128"/>
      <c r="U338" s="128"/>
      <c r="V338" s="128"/>
      <c r="W338" s="128"/>
      <c r="X338" s="128"/>
      <c r="Y338" s="128"/>
      <c r="Z338" s="128">
        <v>0</v>
      </c>
      <c r="AA338" s="128">
        <v>0</v>
      </c>
      <c r="AB338" s="128">
        <v>0</v>
      </c>
      <c r="AC338" s="128">
        <v>0</v>
      </c>
      <c r="AD338" s="128">
        <v>0</v>
      </c>
      <c r="AE338" s="128">
        <v>0</v>
      </c>
      <c r="AF338" s="128">
        <v>0</v>
      </c>
      <c r="AG338" s="128">
        <v>0</v>
      </c>
      <c r="AH338" s="128">
        <v>0</v>
      </c>
      <c r="AI338" s="128">
        <v>0</v>
      </c>
      <c r="AJ338" s="128">
        <v>0</v>
      </c>
      <c r="AK338" s="128">
        <v>0</v>
      </c>
      <c r="AL338" s="128">
        <v>0</v>
      </c>
      <c r="AM338" s="128">
        <v>0</v>
      </c>
      <c r="AN338" s="128">
        <v>0</v>
      </c>
      <c r="AO338" s="128">
        <v>0</v>
      </c>
      <c r="AP338" s="128">
        <v>0</v>
      </c>
      <c r="AQ338" s="128">
        <v>0</v>
      </c>
      <c r="AR338" s="128">
        <v>0</v>
      </c>
      <c r="AS338" s="288">
        <v>0</v>
      </c>
      <c r="AT338" s="288">
        <v>0</v>
      </c>
      <c r="AU338" s="288">
        <v>0</v>
      </c>
      <c r="AV338" s="288">
        <v>0</v>
      </c>
      <c r="AW338" s="158">
        <v>0</v>
      </c>
      <c r="AX338" s="158">
        <v>0</v>
      </c>
      <c r="AY338" s="158">
        <v>0</v>
      </c>
      <c r="AZ338" s="158">
        <v>0</v>
      </c>
      <c r="BA338" s="158">
        <v>0</v>
      </c>
      <c r="BB338" s="288">
        <v>0</v>
      </c>
      <c r="BC338" s="288">
        <v>0</v>
      </c>
      <c r="BD338" s="288">
        <v>0</v>
      </c>
      <c r="BE338" s="288">
        <v>0</v>
      </c>
      <c r="BF338" s="288">
        <v>0</v>
      </c>
      <c r="BG338" s="288">
        <v>0</v>
      </c>
      <c r="BH338" s="288">
        <v>0</v>
      </c>
      <c r="BI338" s="288">
        <v>0</v>
      </c>
      <c r="BJ338" s="288">
        <v>0</v>
      </c>
      <c r="BK338" s="288">
        <v>0</v>
      </c>
      <c r="BL338" s="288">
        <v>0</v>
      </c>
      <c r="BM338" s="288">
        <v>0</v>
      </c>
      <c r="BN338" s="288">
        <v>0</v>
      </c>
      <c r="BO338" s="288">
        <v>0</v>
      </c>
      <c r="BP338" s="288">
        <v>0</v>
      </c>
      <c r="BQ338" s="288">
        <v>0</v>
      </c>
      <c r="BR338" s="288">
        <v>0</v>
      </c>
      <c r="BS338" s="288">
        <v>0</v>
      </c>
      <c r="BT338" s="288">
        <v>0</v>
      </c>
    </row>
    <row r="339" spans="2:73">
      <c r="C339" s="127" t="s">
        <v>1178</v>
      </c>
      <c r="D339" s="127"/>
      <c r="E339" s="127"/>
      <c r="F339" s="127"/>
      <c r="G339" s="128"/>
      <c r="H339" s="128"/>
      <c r="I339" s="128"/>
      <c r="J339" s="128"/>
      <c r="K339" s="128"/>
      <c r="L339" s="128"/>
      <c r="M339" s="128"/>
      <c r="N339" s="128"/>
      <c r="O339" s="128"/>
      <c r="P339" s="128"/>
      <c r="Q339" s="128"/>
      <c r="R339" s="128"/>
      <c r="S339" s="128"/>
      <c r="T339" s="128"/>
      <c r="U339" s="128"/>
      <c r="V339" s="128"/>
      <c r="W339" s="128"/>
      <c r="X339" s="128"/>
      <c r="Y339" s="128"/>
      <c r="Z339" s="128">
        <v>0</v>
      </c>
      <c r="AA339" s="128">
        <v>0</v>
      </c>
      <c r="AB339" s="128">
        <v>0</v>
      </c>
      <c r="AC339" s="128">
        <v>0</v>
      </c>
      <c r="AD339" s="128">
        <v>0</v>
      </c>
      <c r="AE339" s="128">
        <v>0</v>
      </c>
      <c r="AF339" s="128">
        <v>0</v>
      </c>
      <c r="AG339" s="128">
        <v>0</v>
      </c>
      <c r="AH339" s="128">
        <v>0</v>
      </c>
      <c r="AI339" s="128">
        <v>0</v>
      </c>
      <c r="AJ339" s="128">
        <v>0</v>
      </c>
      <c r="AK339" s="128">
        <v>0</v>
      </c>
      <c r="AL339" s="128">
        <v>0</v>
      </c>
      <c r="AM339" s="128">
        <v>0</v>
      </c>
      <c r="AN339" s="128">
        <v>0</v>
      </c>
      <c r="AO339" s="128">
        <v>0</v>
      </c>
      <c r="AP339" s="128">
        <v>0</v>
      </c>
      <c r="AQ339" s="128">
        <v>0</v>
      </c>
      <c r="AR339" s="128">
        <v>0</v>
      </c>
      <c r="AS339" s="288">
        <v>0</v>
      </c>
      <c r="AT339" s="288">
        <v>0</v>
      </c>
      <c r="AU339" s="288">
        <v>0</v>
      </c>
      <c r="AV339" s="288">
        <v>0</v>
      </c>
      <c r="AW339" s="158">
        <v>0</v>
      </c>
      <c r="AX339" s="158">
        <v>0</v>
      </c>
      <c r="AY339" s="158">
        <v>0</v>
      </c>
      <c r="AZ339" s="158">
        <v>0</v>
      </c>
      <c r="BA339" s="158">
        <v>0</v>
      </c>
      <c r="BB339" s="288">
        <v>0</v>
      </c>
      <c r="BC339" s="288">
        <v>0</v>
      </c>
      <c r="BD339" s="288">
        <v>0</v>
      </c>
      <c r="BE339" s="288">
        <v>0</v>
      </c>
      <c r="BF339" s="288">
        <v>0</v>
      </c>
      <c r="BG339" s="288">
        <v>0</v>
      </c>
      <c r="BH339" s="288">
        <v>0</v>
      </c>
      <c r="BI339" s="288">
        <v>0</v>
      </c>
      <c r="BJ339" s="288">
        <v>0</v>
      </c>
      <c r="BK339" s="288">
        <v>0</v>
      </c>
      <c r="BL339" s="288">
        <v>0</v>
      </c>
      <c r="BM339" s="288">
        <v>0</v>
      </c>
      <c r="BN339" s="288">
        <v>0</v>
      </c>
      <c r="BO339" s="288">
        <v>0</v>
      </c>
      <c r="BP339" s="288">
        <v>0</v>
      </c>
      <c r="BQ339" s="288">
        <v>0</v>
      </c>
      <c r="BR339" s="288">
        <v>0</v>
      </c>
      <c r="BS339" s="288">
        <v>0</v>
      </c>
      <c r="BT339" s="288">
        <v>0</v>
      </c>
    </row>
    <row r="340" spans="2:73">
      <c r="B340" s="148" t="s">
        <v>545</v>
      </c>
      <c r="C340" s="127" t="s">
        <v>1179</v>
      </c>
      <c r="D340" s="127"/>
      <c r="E340" s="127"/>
      <c r="F340" s="127"/>
      <c r="G340" s="128"/>
      <c r="H340" s="128"/>
      <c r="I340" s="128"/>
      <c r="J340" s="128"/>
      <c r="K340" s="128"/>
      <c r="L340" s="128"/>
      <c r="M340" s="128"/>
      <c r="N340" s="128"/>
      <c r="O340" s="128"/>
      <c r="P340" s="128"/>
      <c r="Q340" s="128"/>
      <c r="R340" s="128"/>
      <c r="S340" s="128"/>
      <c r="T340" s="128"/>
      <c r="U340" s="128"/>
      <c r="V340" s="128"/>
      <c r="W340" s="128"/>
      <c r="X340" s="128"/>
      <c r="Y340" s="128"/>
      <c r="Z340" s="128">
        <v>0</v>
      </c>
      <c r="AA340" s="128">
        <v>0</v>
      </c>
      <c r="AB340" s="128">
        <v>0</v>
      </c>
      <c r="AC340" s="128">
        <v>0</v>
      </c>
      <c r="AD340" s="128">
        <v>0</v>
      </c>
      <c r="AE340" s="128">
        <v>0</v>
      </c>
      <c r="AF340" s="128">
        <v>0</v>
      </c>
      <c r="AG340" s="128">
        <v>0</v>
      </c>
      <c r="AH340" s="128">
        <v>0</v>
      </c>
      <c r="AI340" s="128">
        <v>0</v>
      </c>
      <c r="AJ340" s="128">
        <v>0</v>
      </c>
      <c r="AK340" s="128">
        <v>0</v>
      </c>
      <c r="AL340" s="128">
        <v>0</v>
      </c>
      <c r="AM340" s="128">
        <v>0</v>
      </c>
      <c r="AN340" s="128">
        <v>0</v>
      </c>
      <c r="AO340" s="128">
        <v>0</v>
      </c>
      <c r="AP340" s="128">
        <v>0</v>
      </c>
      <c r="AQ340" s="128">
        <v>0</v>
      </c>
      <c r="AR340" s="128">
        <v>0</v>
      </c>
      <c r="AS340" s="288">
        <v>0</v>
      </c>
      <c r="AT340" s="288">
        <v>0</v>
      </c>
      <c r="AU340" s="288">
        <v>0</v>
      </c>
      <c r="AV340" s="288">
        <v>0</v>
      </c>
      <c r="AW340" s="158">
        <v>0</v>
      </c>
      <c r="AX340" s="158">
        <v>0</v>
      </c>
      <c r="AY340" s="158">
        <v>0</v>
      </c>
      <c r="AZ340" s="158">
        <v>0</v>
      </c>
      <c r="BA340" s="158">
        <v>0</v>
      </c>
      <c r="BB340" s="288">
        <v>0</v>
      </c>
      <c r="BC340" s="288">
        <v>0</v>
      </c>
      <c r="BD340" s="288">
        <v>0</v>
      </c>
      <c r="BE340" s="288">
        <v>0</v>
      </c>
      <c r="BF340" s="288">
        <v>0</v>
      </c>
      <c r="BG340" s="288">
        <v>0</v>
      </c>
      <c r="BH340" s="288">
        <v>0</v>
      </c>
      <c r="BI340" s="288">
        <v>0</v>
      </c>
      <c r="BJ340" s="288">
        <v>0</v>
      </c>
      <c r="BK340" s="288">
        <v>0</v>
      </c>
      <c r="BL340" s="288">
        <v>0</v>
      </c>
      <c r="BM340" s="288">
        <v>0</v>
      </c>
      <c r="BN340" s="288">
        <v>0</v>
      </c>
      <c r="BO340" s="288">
        <v>0</v>
      </c>
      <c r="BP340" s="288">
        <v>0</v>
      </c>
      <c r="BQ340" s="288">
        <v>0</v>
      </c>
      <c r="BR340" s="288">
        <v>0</v>
      </c>
      <c r="BS340" s="288">
        <v>0</v>
      </c>
      <c r="BT340" s="288">
        <v>0</v>
      </c>
    </row>
    <row r="341" spans="2:73">
      <c r="B341" s="148" t="s">
        <v>546</v>
      </c>
      <c r="C341" s="127" t="s">
        <v>1180</v>
      </c>
      <c r="D341" s="127"/>
      <c r="E341" s="127"/>
      <c r="F341" s="127"/>
      <c r="G341" s="128"/>
      <c r="H341" s="128"/>
      <c r="I341" s="128"/>
      <c r="J341" s="128"/>
      <c r="K341" s="128"/>
      <c r="L341" s="128"/>
      <c r="M341" s="128"/>
      <c r="N341" s="128"/>
      <c r="O341" s="128"/>
      <c r="P341" s="128"/>
      <c r="Q341" s="128"/>
      <c r="R341" s="128"/>
      <c r="S341" s="128"/>
      <c r="T341" s="128"/>
      <c r="U341" s="128"/>
      <c r="V341" s="128"/>
      <c r="W341" s="128"/>
      <c r="X341" s="128"/>
      <c r="Y341" s="128"/>
      <c r="Z341" s="128">
        <v>6.3049145000000001E-2</v>
      </c>
      <c r="AA341" s="128">
        <v>0</v>
      </c>
      <c r="AB341" s="128">
        <v>2.9488407000000001E-2</v>
      </c>
      <c r="AC341" s="128">
        <v>0</v>
      </c>
      <c r="AD341" s="128">
        <v>0.40491388699999997</v>
      </c>
      <c r="AE341" s="128">
        <v>0.20039221099999999</v>
      </c>
      <c r="AF341" s="128">
        <v>0</v>
      </c>
      <c r="AG341" s="128">
        <v>0.37258975500000002</v>
      </c>
      <c r="AH341" s="128">
        <v>0.91207645000000004</v>
      </c>
      <c r="AI341" s="128">
        <v>-0.84086866900000001</v>
      </c>
      <c r="AJ341" s="128">
        <v>-4.2908380000000003E-2</v>
      </c>
      <c r="AK341" s="128">
        <v>0</v>
      </c>
      <c r="AL341" s="128">
        <v>0</v>
      </c>
      <c r="AM341" s="128">
        <v>0</v>
      </c>
      <c r="AN341" s="128">
        <v>0</v>
      </c>
      <c r="AO341" s="128">
        <v>0</v>
      </c>
      <c r="AP341" s="128">
        <v>4.4090600000000002E-4</v>
      </c>
      <c r="AQ341" s="128">
        <v>2.5473480000000001E-3</v>
      </c>
      <c r="AR341" s="128">
        <v>1.282182811</v>
      </c>
      <c r="AS341" s="288">
        <v>9.0458473999999997E-2</v>
      </c>
      <c r="AT341" s="288">
        <v>7.8782530000000003E-2</v>
      </c>
      <c r="AU341" s="288">
        <v>0.104120975</v>
      </c>
      <c r="AV341" s="288">
        <v>0.123983306</v>
      </c>
      <c r="AW341" s="158">
        <v>0</v>
      </c>
      <c r="AX341" s="158">
        <v>0</v>
      </c>
      <c r="AY341" s="158">
        <v>0</v>
      </c>
      <c r="AZ341" s="158">
        <v>0.21457182699999999</v>
      </c>
      <c r="BA341" s="158">
        <v>0.120797848</v>
      </c>
      <c r="BB341" s="288">
        <v>0</v>
      </c>
      <c r="BC341" s="288">
        <v>0.24279034399999999</v>
      </c>
      <c r="BD341" s="288">
        <v>6.0473286709999998</v>
      </c>
      <c r="BE341" s="288">
        <v>13.882228349</v>
      </c>
      <c r="BF341" s="288">
        <v>32.718187186999998</v>
      </c>
      <c r="BG341" s="288">
        <v>0</v>
      </c>
      <c r="BH341" s="288">
        <v>0</v>
      </c>
      <c r="BI341" s="288">
        <v>143.14084003299999</v>
      </c>
      <c r="BJ341" s="288">
        <v>3.153160561</v>
      </c>
      <c r="BK341" s="288">
        <v>23.321195779</v>
      </c>
      <c r="BL341" s="288">
        <v>0.43295182599999998</v>
      </c>
      <c r="BM341" s="288">
        <v>0</v>
      </c>
      <c r="BN341" s="288">
        <v>0.32</v>
      </c>
      <c r="BO341" s="288">
        <v>0.293580218</v>
      </c>
      <c r="BP341" s="288">
        <v>0.1</v>
      </c>
      <c r="BQ341" s="288">
        <v>0.59867846599999996</v>
      </c>
      <c r="BR341" s="288">
        <v>0.63628906100000004</v>
      </c>
      <c r="BS341" s="288">
        <v>0.76990375899999997</v>
      </c>
      <c r="BT341" s="288">
        <v>0.38328535200000002</v>
      </c>
    </row>
    <row r="342" spans="2:73">
      <c r="C342" s="127" t="s">
        <v>1181</v>
      </c>
      <c r="D342" s="127"/>
      <c r="E342" s="127"/>
      <c r="F342" s="127"/>
      <c r="G342" s="128"/>
      <c r="H342" s="128"/>
      <c r="I342" s="128"/>
      <c r="J342" s="128"/>
      <c r="K342" s="128"/>
      <c r="L342" s="128"/>
      <c r="M342" s="128"/>
      <c r="N342" s="128"/>
      <c r="O342" s="128"/>
      <c r="P342" s="128"/>
      <c r="Q342" s="128"/>
      <c r="R342" s="128"/>
      <c r="S342" s="128"/>
      <c r="T342" s="128"/>
      <c r="U342" s="128"/>
      <c r="V342" s="128"/>
      <c r="W342" s="128"/>
      <c r="X342" s="128"/>
      <c r="Y342" s="128"/>
      <c r="Z342" s="128">
        <v>0</v>
      </c>
      <c r="AA342" s="128">
        <v>0</v>
      </c>
      <c r="AB342" s="128">
        <v>0</v>
      </c>
      <c r="AC342" s="128">
        <v>0</v>
      </c>
      <c r="AD342" s="128">
        <v>0.44533622899999997</v>
      </c>
      <c r="AE342" s="128">
        <v>-0.44533622899999997</v>
      </c>
      <c r="AF342" s="128">
        <v>0</v>
      </c>
      <c r="AG342" s="128">
        <v>0</v>
      </c>
      <c r="AH342" s="128">
        <v>0</v>
      </c>
      <c r="AI342" s="128">
        <v>0</v>
      </c>
      <c r="AJ342" s="128">
        <v>0</v>
      </c>
      <c r="AK342" s="128">
        <v>0</v>
      </c>
      <c r="AL342" s="128">
        <v>0</v>
      </c>
      <c r="AM342" s="128">
        <v>0</v>
      </c>
      <c r="AN342" s="128">
        <v>0</v>
      </c>
      <c r="AO342" s="128">
        <v>0</v>
      </c>
      <c r="AP342" s="128">
        <v>0</v>
      </c>
      <c r="AQ342" s="128">
        <v>0</v>
      </c>
      <c r="AR342" s="128">
        <v>0</v>
      </c>
      <c r="AS342" s="288">
        <v>0</v>
      </c>
      <c r="AT342" s="288">
        <v>0</v>
      </c>
      <c r="AU342" s="288">
        <v>0</v>
      </c>
      <c r="AV342" s="288">
        <v>0</v>
      </c>
      <c r="AW342" s="158">
        <v>0</v>
      </c>
      <c r="AX342" s="158">
        <v>0</v>
      </c>
      <c r="AY342" s="158">
        <v>0</v>
      </c>
      <c r="AZ342" s="158">
        <v>0</v>
      </c>
      <c r="BA342" s="158">
        <v>0</v>
      </c>
      <c r="BB342" s="288">
        <v>0</v>
      </c>
      <c r="BC342" s="288">
        <v>0</v>
      </c>
      <c r="BD342" s="288">
        <v>0</v>
      </c>
      <c r="BE342" s="288">
        <v>0</v>
      </c>
      <c r="BF342" s="288">
        <v>0</v>
      </c>
      <c r="BG342" s="288">
        <v>0</v>
      </c>
      <c r="BH342" s="288">
        <v>0</v>
      </c>
      <c r="BI342" s="288">
        <v>0</v>
      </c>
      <c r="BJ342" s="288">
        <v>0</v>
      </c>
      <c r="BK342" s="288">
        <v>0</v>
      </c>
      <c r="BL342" s="288">
        <v>0</v>
      </c>
      <c r="BM342" s="288">
        <v>0</v>
      </c>
      <c r="BN342" s="288">
        <v>0</v>
      </c>
      <c r="BO342" s="288">
        <v>0</v>
      </c>
      <c r="BP342" s="288">
        <v>0</v>
      </c>
      <c r="BQ342" s="288">
        <v>0</v>
      </c>
      <c r="BR342" s="288">
        <v>0</v>
      </c>
      <c r="BS342" s="288">
        <v>0</v>
      </c>
      <c r="BT342" s="288">
        <v>0</v>
      </c>
    </row>
    <row r="343" spans="2:73">
      <c r="C343" s="127" t="s">
        <v>1182</v>
      </c>
      <c r="D343" s="127"/>
      <c r="E343" s="127"/>
      <c r="F343" s="127"/>
      <c r="G343" s="128"/>
      <c r="H343" s="128"/>
      <c r="I343" s="128"/>
      <c r="J343" s="128"/>
      <c r="K343" s="128"/>
      <c r="L343" s="128"/>
      <c r="M343" s="128"/>
      <c r="N343" s="128"/>
      <c r="O343" s="128"/>
      <c r="P343" s="128"/>
      <c r="Q343" s="128"/>
      <c r="R343" s="128"/>
      <c r="S343" s="128"/>
      <c r="T343" s="128"/>
      <c r="U343" s="128"/>
      <c r="V343" s="128"/>
      <c r="W343" s="128"/>
      <c r="X343" s="128"/>
      <c r="Y343" s="128"/>
      <c r="Z343" s="128">
        <v>0</v>
      </c>
      <c r="AA343" s="128">
        <v>0</v>
      </c>
      <c r="AB343" s="128">
        <v>0</v>
      </c>
      <c r="AC343" s="128">
        <v>0</v>
      </c>
      <c r="AD343" s="128">
        <v>0</v>
      </c>
      <c r="AE343" s="128">
        <v>0</v>
      </c>
      <c r="AF343" s="128">
        <v>0</v>
      </c>
      <c r="AG343" s="128">
        <v>24.619011111999999</v>
      </c>
      <c r="AH343" s="128">
        <v>27.186396531</v>
      </c>
      <c r="AI343" s="128">
        <v>0</v>
      </c>
      <c r="AJ343" s="128">
        <v>0</v>
      </c>
      <c r="AK343" s="128">
        <v>0</v>
      </c>
      <c r="AL343" s="128">
        <v>0</v>
      </c>
      <c r="AM343" s="128">
        <v>0</v>
      </c>
      <c r="AN343" s="128">
        <v>0</v>
      </c>
      <c r="AO343" s="128">
        <v>0</v>
      </c>
      <c r="AP343" s="128">
        <v>0</v>
      </c>
      <c r="AQ343" s="128">
        <v>0</v>
      </c>
      <c r="AR343" s="128">
        <v>0</v>
      </c>
      <c r="AS343" s="288">
        <v>0</v>
      </c>
      <c r="AT343" s="288">
        <v>0</v>
      </c>
      <c r="AU343" s="288">
        <v>0</v>
      </c>
      <c r="AV343" s="288">
        <v>0</v>
      </c>
      <c r="AW343" s="158">
        <v>0</v>
      </c>
      <c r="AX343" s="158">
        <v>0</v>
      </c>
      <c r="AY343" s="158">
        <v>0</v>
      </c>
      <c r="AZ343" s="158">
        <v>0</v>
      </c>
      <c r="BA343" s="158">
        <v>0</v>
      </c>
      <c r="BB343" s="288">
        <v>0</v>
      </c>
      <c r="BC343" s="288">
        <v>0</v>
      </c>
      <c r="BD343" s="288">
        <v>0</v>
      </c>
      <c r="BE343" s="288">
        <v>0</v>
      </c>
      <c r="BF343" s="288">
        <v>0</v>
      </c>
      <c r="BG343" s="288">
        <v>0</v>
      </c>
      <c r="BH343" s="288">
        <v>0</v>
      </c>
      <c r="BI343" s="288">
        <v>0</v>
      </c>
      <c r="BJ343" s="288">
        <v>0</v>
      </c>
      <c r="BK343" s="288">
        <v>0</v>
      </c>
      <c r="BL343" s="288">
        <v>0</v>
      </c>
      <c r="BM343" s="288">
        <v>0</v>
      </c>
      <c r="BN343" s="288">
        <v>0</v>
      </c>
      <c r="BO343" s="288">
        <v>0</v>
      </c>
      <c r="BP343" s="288">
        <v>0</v>
      </c>
      <c r="BQ343" s="288">
        <v>0</v>
      </c>
      <c r="BR343" s="288">
        <v>0</v>
      </c>
      <c r="BS343" s="288">
        <v>0</v>
      </c>
      <c r="BT343" s="288">
        <v>0</v>
      </c>
    </row>
    <row r="344" spans="2:73">
      <c r="B344" s="148" t="s">
        <v>547</v>
      </c>
      <c r="C344" s="127" t="s">
        <v>1183</v>
      </c>
      <c r="D344" s="127"/>
      <c r="E344" s="127"/>
      <c r="F344" s="127"/>
      <c r="G344" s="128"/>
      <c r="H344" s="128"/>
      <c r="I344" s="128"/>
      <c r="J344" s="128"/>
      <c r="K344" s="128"/>
      <c r="L344" s="128"/>
      <c r="M344" s="128"/>
      <c r="N344" s="128"/>
      <c r="O344" s="128"/>
      <c r="P344" s="128"/>
      <c r="Q344" s="128"/>
      <c r="R344" s="128"/>
      <c r="S344" s="128"/>
      <c r="T344" s="128"/>
      <c r="U344" s="128"/>
      <c r="V344" s="128"/>
      <c r="W344" s="128"/>
      <c r="X344" s="128"/>
      <c r="Y344" s="128"/>
      <c r="Z344" s="128">
        <v>14.178622997</v>
      </c>
      <c r="AA344" s="128">
        <v>13.637062848999999</v>
      </c>
      <c r="AB344" s="128">
        <v>19.157310621000001</v>
      </c>
      <c r="AC344" s="128">
        <v>23.512986730000002</v>
      </c>
      <c r="AD344" s="128">
        <v>15.563316395999999</v>
      </c>
      <c r="AE344" s="128">
        <v>15.09856783</v>
      </c>
      <c r="AF344" s="128">
        <v>24.450598083999999</v>
      </c>
      <c r="AG344" s="128">
        <v>-0.394067102</v>
      </c>
      <c r="AH344" s="128">
        <v>3.7364999999999999E-5</v>
      </c>
      <c r="AI344" s="128">
        <v>19.340318201999999</v>
      </c>
      <c r="AJ344" s="128">
        <v>23.261314061</v>
      </c>
      <c r="AK344" s="128">
        <v>64.311236062000006</v>
      </c>
      <c r="AL344" s="128">
        <v>47.202369281999999</v>
      </c>
      <c r="AM344" s="128">
        <v>52.046204996</v>
      </c>
      <c r="AN344" s="128">
        <v>44.638555515</v>
      </c>
      <c r="AO344" s="128">
        <v>71.376315654999999</v>
      </c>
      <c r="AP344" s="128">
        <v>70.486044837999998</v>
      </c>
      <c r="AQ344" s="128">
        <v>56.783341514</v>
      </c>
      <c r="AR344" s="128">
        <v>57.417386217999997</v>
      </c>
      <c r="AS344" s="288">
        <v>71.164193535999999</v>
      </c>
      <c r="AT344" s="288">
        <v>76.481088081999999</v>
      </c>
      <c r="AU344" s="288">
        <v>67.593659407999994</v>
      </c>
      <c r="AV344" s="288">
        <v>61.298130937000003</v>
      </c>
      <c r="AW344" s="158">
        <v>181.64487741100001</v>
      </c>
      <c r="AX344" s="158">
        <v>67.767720542999996</v>
      </c>
      <c r="AY344" s="158">
        <v>39.326929931000002</v>
      </c>
      <c r="AZ344" s="158">
        <v>71.663630099000002</v>
      </c>
      <c r="BA344" s="158">
        <v>47.605863923000001</v>
      </c>
      <c r="BB344" s="288">
        <v>80.550975800000003</v>
      </c>
      <c r="BC344" s="288">
        <v>68.889450523999997</v>
      </c>
      <c r="BD344" s="288">
        <v>39.914534781</v>
      </c>
      <c r="BE344" s="288">
        <v>89.395947477000007</v>
      </c>
      <c r="BF344" s="288">
        <v>111.366403151</v>
      </c>
      <c r="BG344" s="288">
        <v>47.401753339000003</v>
      </c>
      <c r="BH344" s="288">
        <v>72.545279531999995</v>
      </c>
      <c r="BI344" s="288">
        <v>51.759062165000003</v>
      </c>
      <c r="BJ344" s="288">
        <v>42.364303646000003</v>
      </c>
      <c r="BK344" s="288">
        <v>64.346564489000002</v>
      </c>
      <c r="BL344" s="288">
        <v>55.435726238000001</v>
      </c>
      <c r="BM344" s="288">
        <v>132.63967986599999</v>
      </c>
      <c r="BN344" s="288">
        <v>58.3</v>
      </c>
      <c r="BO344" s="288">
        <v>62.878306590000001</v>
      </c>
      <c r="BP344" s="288">
        <v>45.39</v>
      </c>
      <c r="BQ344" s="288">
        <v>52.983696821999999</v>
      </c>
      <c r="BR344" s="288">
        <v>55.753446216999997</v>
      </c>
      <c r="BS344" s="288">
        <v>50.278519643999999</v>
      </c>
      <c r="BT344" s="288">
        <v>39.109038439999999</v>
      </c>
    </row>
    <row r="345" spans="2:73">
      <c r="C345" s="127" t="s">
        <v>338</v>
      </c>
      <c r="D345" s="127"/>
      <c r="E345" s="127"/>
      <c r="F345" s="127"/>
      <c r="G345" s="128"/>
      <c r="H345" s="128"/>
      <c r="I345" s="128"/>
      <c r="J345" s="128"/>
      <c r="K345" s="128"/>
      <c r="L345" s="128"/>
      <c r="M345" s="128"/>
      <c r="N345" s="128"/>
      <c r="O345" s="128"/>
      <c r="P345" s="128"/>
      <c r="Q345" s="128"/>
      <c r="R345" s="128"/>
      <c r="S345" s="128"/>
      <c r="T345" s="128"/>
      <c r="U345" s="128"/>
      <c r="V345" s="128"/>
      <c r="W345" s="128"/>
      <c r="X345" s="128"/>
      <c r="Y345" s="128"/>
      <c r="Z345" s="128">
        <v>10.420701169999999</v>
      </c>
      <c r="AA345" s="128">
        <v>5.8321538559999997</v>
      </c>
      <c r="AB345" s="128">
        <v>5.0953658800000001</v>
      </c>
      <c r="AC345" s="128">
        <v>5.4446895199999998</v>
      </c>
      <c r="AD345" s="128">
        <v>12.257583154000001</v>
      </c>
      <c r="AE345" s="128">
        <v>10.027792414</v>
      </c>
      <c r="AF345" s="128">
        <v>6.6294724169999997</v>
      </c>
      <c r="AG345" s="128">
        <v>11.751245771000001</v>
      </c>
      <c r="AH345" s="128">
        <v>29.864812122</v>
      </c>
      <c r="AI345" s="128">
        <v>25.827120384000001</v>
      </c>
      <c r="AJ345" s="128">
        <v>25.233169135000001</v>
      </c>
      <c r="AK345" s="128">
        <v>39.160759704999997</v>
      </c>
      <c r="AL345" s="128">
        <v>65.471277078</v>
      </c>
      <c r="AM345" s="128">
        <v>56.013720499999998</v>
      </c>
      <c r="AN345" s="128">
        <v>91.580466913999999</v>
      </c>
      <c r="AO345" s="128">
        <v>65.372146469</v>
      </c>
      <c r="AP345" s="128">
        <v>114.960070907</v>
      </c>
      <c r="AQ345" s="128">
        <v>105.700047545</v>
      </c>
      <c r="AR345" s="128">
        <v>104.974336364</v>
      </c>
      <c r="AS345" s="288">
        <v>110.93869542</v>
      </c>
      <c r="AT345" s="288">
        <v>133.35501206500001</v>
      </c>
      <c r="AU345" s="288">
        <v>133.78312023699999</v>
      </c>
      <c r="AV345" s="288">
        <v>146.141603987</v>
      </c>
      <c r="AW345" s="158">
        <v>156.47510855499999</v>
      </c>
      <c r="AX345" s="158">
        <v>178.248207665</v>
      </c>
      <c r="AY345" s="158">
        <v>137.081235663</v>
      </c>
      <c r="AZ345" s="158">
        <v>132.14626749199999</v>
      </c>
      <c r="BA345" s="158">
        <v>146.67580293099999</v>
      </c>
      <c r="BB345" s="288">
        <v>152.80239519099999</v>
      </c>
      <c r="BC345" s="288">
        <v>170.84221576799999</v>
      </c>
      <c r="BD345" s="288">
        <v>164.67884072800001</v>
      </c>
      <c r="BE345" s="288">
        <v>225.42169071800001</v>
      </c>
      <c r="BF345" s="288">
        <v>206.279128125</v>
      </c>
      <c r="BG345" s="288">
        <v>360.15734653999999</v>
      </c>
      <c r="BH345" s="288">
        <v>434.63715038200002</v>
      </c>
      <c r="BI345" s="288">
        <v>381.54682948499999</v>
      </c>
      <c r="BJ345" s="288">
        <v>295.779227945</v>
      </c>
      <c r="BK345" s="288">
        <v>396.87509483899998</v>
      </c>
      <c r="BL345" s="288">
        <v>444.91105877000001</v>
      </c>
      <c r="BM345" s="288">
        <v>418.58072542799999</v>
      </c>
      <c r="BN345" s="288">
        <v>375.24</v>
      </c>
      <c r="BO345" s="288">
        <v>293.71725455799998</v>
      </c>
      <c r="BP345" s="288">
        <v>330.44</v>
      </c>
      <c r="BQ345" s="288">
        <v>189.07196317099999</v>
      </c>
      <c r="BR345" s="288">
        <v>339.023162705</v>
      </c>
      <c r="BS345" s="288">
        <v>402.45446864399997</v>
      </c>
      <c r="BT345" s="288">
        <v>410.74327563600002</v>
      </c>
    </row>
    <row r="346" spans="2:73" s="302" customFormat="1">
      <c r="B346" s="379" t="s">
        <v>744</v>
      </c>
      <c r="C346" s="298" t="s">
        <v>1184</v>
      </c>
      <c r="D346" s="298"/>
      <c r="E346" s="298"/>
      <c r="F346" s="298"/>
      <c r="G346" s="299"/>
      <c r="H346" s="299"/>
      <c r="I346" s="299"/>
      <c r="J346" s="299"/>
      <c r="K346" s="299"/>
      <c r="L346" s="299"/>
      <c r="M346" s="299"/>
      <c r="N346" s="299"/>
      <c r="O346" s="299"/>
      <c r="P346" s="299"/>
      <c r="Q346" s="299"/>
      <c r="R346" s="299"/>
      <c r="S346" s="299"/>
      <c r="T346" s="299"/>
      <c r="U346" s="299"/>
      <c r="V346" s="299"/>
      <c r="W346" s="299"/>
      <c r="X346" s="299"/>
      <c r="Y346" s="299"/>
      <c r="Z346" s="299">
        <v>10.419429996</v>
      </c>
      <c r="AA346" s="299">
        <v>5.8146993709999997</v>
      </c>
      <c r="AB346" s="299">
        <v>5.0845742359999999</v>
      </c>
      <c r="AC346" s="299">
        <v>5.4442085880000004</v>
      </c>
      <c r="AD346" s="299">
        <v>12.203517911</v>
      </c>
      <c r="AE346" s="299">
        <v>8.7307371610000004</v>
      </c>
      <c r="AF346" s="299">
        <v>6.1376892559999998</v>
      </c>
      <c r="AG346" s="299">
        <v>11.821907685999999</v>
      </c>
      <c r="AH346" s="299">
        <v>29.818588379000001</v>
      </c>
      <c r="AI346" s="299">
        <v>25.560229080999999</v>
      </c>
      <c r="AJ346" s="299">
        <v>25.006812971999999</v>
      </c>
      <c r="AK346" s="299">
        <v>39.160064874</v>
      </c>
      <c r="AL346" s="299">
        <v>65.386590548000001</v>
      </c>
      <c r="AM346" s="299">
        <v>55.706011072999999</v>
      </c>
      <c r="AN346" s="299">
        <v>45.558103727000002</v>
      </c>
      <c r="AO346" s="299">
        <v>60.704492385000002</v>
      </c>
      <c r="AP346" s="299">
        <v>112.795317948</v>
      </c>
      <c r="AQ346" s="299">
        <v>105.346054241</v>
      </c>
      <c r="AR346" s="299">
        <v>107.492002949</v>
      </c>
      <c r="AS346" s="300">
        <v>110.783202536</v>
      </c>
      <c r="AT346" s="300">
        <v>133.354979214</v>
      </c>
      <c r="AU346" s="300">
        <v>133.75618990999999</v>
      </c>
      <c r="AV346" s="300">
        <v>144.68735394999999</v>
      </c>
      <c r="AW346" s="301">
        <v>156.33819406000001</v>
      </c>
      <c r="AX346" s="301">
        <v>178.228120389</v>
      </c>
      <c r="AY346" s="301">
        <v>136.986550722</v>
      </c>
      <c r="AZ346" s="301">
        <v>132.17734065799999</v>
      </c>
      <c r="BA346" s="301">
        <v>146.611809252</v>
      </c>
      <c r="BB346" s="300">
        <v>152.70697401699999</v>
      </c>
      <c r="BC346" s="300">
        <v>169.881589077</v>
      </c>
      <c r="BD346" s="300">
        <v>163.93269429399999</v>
      </c>
      <c r="BE346" s="300">
        <v>187.425447131</v>
      </c>
      <c r="BF346" s="300">
        <v>200.47373672399999</v>
      </c>
      <c r="BG346" s="300">
        <v>365.962737941</v>
      </c>
      <c r="BH346" s="300">
        <v>434.63715038200002</v>
      </c>
      <c r="BI346" s="300">
        <v>361.07028405599999</v>
      </c>
      <c r="BJ346" s="300">
        <v>295.77872670599999</v>
      </c>
      <c r="BK346" s="300">
        <v>384.52097632599998</v>
      </c>
      <c r="BL346" s="300">
        <v>438.38348766199999</v>
      </c>
      <c r="BM346" s="300">
        <v>329.035164103</v>
      </c>
      <c r="BN346" s="300">
        <v>266.98</v>
      </c>
      <c r="BO346" s="300">
        <v>243.089634104</v>
      </c>
      <c r="BP346" s="300">
        <v>303.7</v>
      </c>
      <c r="BQ346" s="300">
        <v>323.470486929</v>
      </c>
      <c r="BR346" s="300">
        <v>322.79285049999999</v>
      </c>
      <c r="BS346" s="300">
        <v>375.17848203800003</v>
      </c>
      <c r="BT346" s="300">
        <v>388.038374707</v>
      </c>
      <c r="BU346" s="300"/>
    </row>
    <row r="347" spans="2:73">
      <c r="C347" s="127" t="s">
        <v>1185</v>
      </c>
      <c r="D347" s="127"/>
      <c r="E347" s="127"/>
      <c r="F347" s="127"/>
      <c r="G347" s="128"/>
      <c r="H347" s="128"/>
      <c r="I347" s="128"/>
      <c r="J347" s="128"/>
      <c r="K347" s="128"/>
      <c r="L347" s="128"/>
      <c r="M347" s="128"/>
      <c r="N347" s="128"/>
      <c r="O347" s="128"/>
      <c r="P347" s="128"/>
      <c r="Q347" s="128"/>
      <c r="R347" s="128"/>
      <c r="S347" s="128"/>
      <c r="T347" s="128"/>
      <c r="U347" s="128"/>
      <c r="V347" s="128"/>
      <c r="W347" s="128"/>
      <c r="X347" s="128"/>
      <c r="Y347" s="128"/>
      <c r="Z347" s="128">
        <v>0</v>
      </c>
      <c r="AA347" s="128">
        <v>0</v>
      </c>
      <c r="AB347" s="128">
        <v>0</v>
      </c>
      <c r="AC347" s="128">
        <v>0</v>
      </c>
      <c r="AD347" s="128">
        <v>0</v>
      </c>
      <c r="AE347" s="128">
        <v>0</v>
      </c>
      <c r="AF347" s="128">
        <v>0</v>
      </c>
      <c r="AG347" s="128">
        <v>0</v>
      </c>
      <c r="AH347" s="128">
        <v>0</v>
      </c>
      <c r="AI347" s="128">
        <v>0</v>
      </c>
      <c r="AJ347" s="128">
        <v>0</v>
      </c>
      <c r="AK347" s="128">
        <v>0</v>
      </c>
      <c r="AL347" s="128">
        <v>0</v>
      </c>
      <c r="AM347" s="128">
        <v>0</v>
      </c>
      <c r="AN347" s="128">
        <v>0</v>
      </c>
      <c r="AO347" s="128">
        <v>0</v>
      </c>
      <c r="AP347" s="128">
        <v>0</v>
      </c>
      <c r="AQ347" s="128">
        <v>0</v>
      </c>
      <c r="AR347" s="128">
        <v>0</v>
      </c>
      <c r="AS347" s="288">
        <v>0</v>
      </c>
      <c r="AT347" s="288">
        <v>0</v>
      </c>
      <c r="AU347" s="288">
        <v>0</v>
      </c>
      <c r="AV347" s="288">
        <v>0</v>
      </c>
      <c r="AW347" s="158">
        <v>0</v>
      </c>
      <c r="AX347" s="158">
        <v>0</v>
      </c>
      <c r="AY347" s="158">
        <v>0</v>
      </c>
      <c r="AZ347" s="158">
        <v>0</v>
      </c>
      <c r="BA347" s="158">
        <v>0</v>
      </c>
      <c r="BB347" s="288">
        <v>0</v>
      </c>
      <c r="BC347" s="288">
        <v>0</v>
      </c>
      <c r="BD347" s="288">
        <v>0</v>
      </c>
      <c r="BE347" s="288">
        <v>0</v>
      </c>
      <c r="BF347" s="288">
        <v>0</v>
      </c>
      <c r="BG347" s="288">
        <v>0</v>
      </c>
      <c r="BH347" s="288">
        <v>0</v>
      </c>
      <c r="BI347" s="288">
        <v>0</v>
      </c>
      <c r="BJ347" s="288">
        <v>0</v>
      </c>
      <c r="BK347" s="288">
        <v>0</v>
      </c>
      <c r="BL347" s="288">
        <v>0</v>
      </c>
      <c r="BM347" s="288">
        <v>0</v>
      </c>
      <c r="BN347" s="288">
        <v>0</v>
      </c>
      <c r="BO347" s="288">
        <v>0</v>
      </c>
      <c r="BP347" s="288">
        <v>0</v>
      </c>
      <c r="BQ347" s="288">
        <v>0</v>
      </c>
      <c r="BR347" s="288">
        <v>0</v>
      </c>
      <c r="BS347" s="288">
        <v>0</v>
      </c>
      <c r="BT347" s="288">
        <v>0</v>
      </c>
    </row>
    <row r="348" spans="2:73">
      <c r="C348" s="127" t="s">
        <v>1186</v>
      </c>
      <c r="D348" s="127"/>
      <c r="E348" s="127"/>
      <c r="F348" s="127"/>
      <c r="G348" s="128"/>
      <c r="H348" s="128"/>
      <c r="I348" s="128"/>
      <c r="J348" s="128"/>
      <c r="K348" s="128"/>
      <c r="L348" s="128"/>
      <c r="M348" s="128"/>
      <c r="N348" s="128"/>
      <c r="O348" s="128"/>
      <c r="P348" s="128"/>
      <c r="Q348" s="128"/>
      <c r="R348" s="128"/>
      <c r="S348" s="128"/>
      <c r="T348" s="128"/>
      <c r="U348" s="128"/>
      <c r="V348" s="128"/>
      <c r="W348" s="128"/>
      <c r="X348" s="128"/>
      <c r="Y348" s="128"/>
      <c r="Z348" s="128">
        <v>0</v>
      </c>
      <c r="AA348" s="128">
        <v>0</v>
      </c>
      <c r="AB348" s="128">
        <v>0</v>
      </c>
      <c r="AC348" s="128">
        <v>0</v>
      </c>
      <c r="AD348" s="128">
        <v>0</v>
      </c>
      <c r="AE348" s="128">
        <v>0</v>
      </c>
      <c r="AF348" s="128">
        <v>0</v>
      </c>
      <c r="AG348" s="128">
        <v>0</v>
      </c>
      <c r="AH348" s="128">
        <v>0</v>
      </c>
      <c r="AI348" s="128">
        <v>0</v>
      </c>
      <c r="AJ348" s="128">
        <v>0</v>
      </c>
      <c r="AK348" s="128">
        <v>0</v>
      </c>
      <c r="AL348" s="128">
        <v>0</v>
      </c>
      <c r="AM348" s="128">
        <v>0</v>
      </c>
      <c r="AN348" s="128">
        <v>0</v>
      </c>
      <c r="AO348" s="128">
        <v>0</v>
      </c>
      <c r="AP348" s="128">
        <v>0</v>
      </c>
      <c r="AQ348" s="128">
        <v>0</v>
      </c>
      <c r="AR348" s="128">
        <v>0</v>
      </c>
      <c r="AS348" s="288">
        <v>0</v>
      </c>
      <c r="AT348" s="288">
        <v>0</v>
      </c>
      <c r="AU348" s="288">
        <v>0</v>
      </c>
      <c r="AV348" s="288">
        <v>0</v>
      </c>
      <c r="AW348" s="158">
        <v>0</v>
      </c>
      <c r="AX348" s="158">
        <v>0</v>
      </c>
      <c r="AY348" s="158">
        <v>0</v>
      </c>
      <c r="AZ348" s="158">
        <v>0</v>
      </c>
      <c r="BA348" s="158">
        <v>0</v>
      </c>
      <c r="BB348" s="288">
        <v>0</v>
      </c>
      <c r="BC348" s="288">
        <v>0</v>
      </c>
      <c r="BD348" s="288">
        <v>0</v>
      </c>
      <c r="BE348" s="288">
        <v>0</v>
      </c>
      <c r="BF348" s="288">
        <v>0</v>
      </c>
      <c r="BG348" s="288">
        <v>0</v>
      </c>
      <c r="BH348" s="288">
        <v>0</v>
      </c>
      <c r="BI348" s="288">
        <v>0</v>
      </c>
      <c r="BJ348" s="288">
        <v>0</v>
      </c>
      <c r="BK348" s="288">
        <v>0</v>
      </c>
      <c r="BL348" s="288">
        <v>0</v>
      </c>
      <c r="BM348" s="288">
        <v>0</v>
      </c>
      <c r="BN348" s="288">
        <v>0</v>
      </c>
      <c r="BO348" s="288">
        <v>0</v>
      </c>
      <c r="BP348" s="288">
        <v>0</v>
      </c>
      <c r="BQ348" s="288">
        <v>0</v>
      </c>
      <c r="BR348" s="288">
        <v>0</v>
      </c>
      <c r="BS348" s="288">
        <v>0</v>
      </c>
      <c r="BT348" s="288">
        <v>0</v>
      </c>
    </row>
    <row r="349" spans="2:73">
      <c r="B349" s="148" t="s">
        <v>552</v>
      </c>
      <c r="C349" s="127" t="s">
        <v>1187</v>
      </c>
      <c r="D349" s="127"/>
      <c r="E349" s="127"/>
      <c r="F349" s="127"/>
      <c r="G349" s="128"/>
      <c r="H349" s="128"/>
      <c r="I349" s="128"/>
      <c r="J349" s="128"/>
      <c r="K349" s="128"/>
      <c r="L349" s="128"/>
      <c r="M349" s="128"/>
      <c r="N349" s="128"/>
      <c r="O349" s="128"/>
      <c r="P349" s="128"/>
      <c r="Q349" s="128"/>
      <c r="R349" s="128"/>
      <c r="S349" s="128"/>
      <c r="T349" s="128"/>
      <c r="U349" s="128"/>
      <c r="V349" s="128"/>
      <c r="W349" s="128"/>
      <c r="X349" s="128"/>
      <c r="Y349" s="128"/>
      <c r="Z349" s="128">
        <v>0</v>
      </c>
      <c r="AA349" s="128">
        <v>0</v>
      </c>
      <c r="AB349" s="128">
        <v>0</v>
      </c>
      <c r="AC349" s="128">
        <v>0</v>
      </c>
      <c r="AD349" s="128">
        <v>0</v>
      </c>
      <c r="AE349" s="128">
        <v>0</v>
      </c>
      <c r="AF349" s="128">
        <v>0</v>
      </c>
      <c r="AG349" s="128">
        <v>0</v>
      </c>
      <c r="AH349" s="128">
        <v>0</v>
      </c>
      <c r="AI349" s="128">
        <v>0</v>
      </c>
      <c r="AJ349" s="128">
        <v>0</v>
      </c>
      <c r="AK349" s="128">
        <v>0</v>
      </c>
      <c r="AL349" s="128">
        <v>0</v>
      </c>
      <c r="AM349" s="128">
        <v>0</v>
      </c>
      <c r="AN349" s="128">
        <v>0</v>
      </c>
      <c r="AO349" s="128">
        <v>0</v>
      </c>
      <c r="AP349" s="128">
        <v>0</v>
      </c>
      <c r="AQ349" s="128">
        <v>0</v>
      </c>
      <c r="AR349" s="128">
        <v>0</v>
      </c>
      <c r="AS349" s="288">
        <v>0</v>
      </c>
      <c r="AT349" s="288">
        <v>0</v>
      </c>
      <c r="AU349" s="288">
        <v>0</v>
      </c>
      <c r="AV349" s="288">
        <v>0</v>
      </c>
      <c r="AW349" s="158">
        <v>0</v>
      </c>
      <c r="AX349" s="158">
        <v>0</v>
      </c>
      <c r="AY349" s="158">
        <v>0</v>
      </c>
      <c r="AZ349" s="158">
        <v>0</v>
      </c>
      <c r="BA349" s="158">
        <v>0</v>
      </c>
      <c r="BB349" s="288">
        <v>0</v>
      </c>
      <c r="BC349" s="288">
        <v>0</v>
      </c>
      <c r="BD349" s="288">
        <v>0</v>
      </c>
      <c r="BE349" s="288">
        <v>0</v>
      </c>
      <c r="BF349" s="288">
        <v>0</v>
      </c>
      <c r="BG349" s="288">
        <v>0</v>
      </c>
      <c r="BH349" s="288">
        <v>0</v>
      </c>
      <c r="BI349" s="288">
        <v>0</v>
      </c>
      <c r="BJ349" s="288">
        <v>0</v>
      </c>
      <c r="BK349" s="288">
        <v>0</v>
      </c>
      <c r="BL349" s="288">
        <v>0</v>
      </c>
      <c r="BM349" s="288">
        <v>0</v>
      </c>
      <c r="BN349" s="288">
        <v>0</v>
      </c>
      <c r="BO349" s="288">
        <v>0</v>
      </c>
      <c r="BP349" s="288">
        <v>0</v>
      </c>
      <c r="BQ349" s="288">
        <v>0</v>
      </c>
      <c r="BR349" s="288">
        <v>0</v>
      </c>
      <c r="BS349" s="288">
        <v>0</v>
      </c>
      <c r="BT349" s="288">
        <v>0</v>
      </c>
    </row>
    <row r="350" spans="2:73">
      <c r="B350" s="148" t="s">
        <v>553</v>
      </c>
      <c r="C350" s="127" t="s">
        <v>1188</v>
      </c>
      <c r="D350" s="127"/>
      <c r="E350" s="127"/>
      <c r="F350" s="127"/>
      <c r="G350" s="128"/>
      <c r="H350" s="128"/>
      <c r="I350" s="128"/>
      <c r="J350" s="128"/>
      <c r="K350" s="128"/>
      <c r="L350" s="128"/>
      <c r="M350" s="128"/>
      <c r="N350" s="128"/>
      <c r="O350" s="128"/>
      <c r="P350" s="128"/>
      <c r="Q350" s="128"/>
      <c r="R350" s="128"/>
      <c r="S350" s="128"/>
      <c r="T350" s="128"/>
      <c r="U350" s="128"/>
      <c r="V350" s="128"/>
      <c r="W350" s="128"/>
      <c r="X350" s="128"/>
      <c r="Y350" s="128"/>
      <c r="Z350" s="128">
        <v>1.2711739999999999E-3</v>
      </c>
      <c r="AA350" s="128">
        <v>0</v>
      </c>
      <c r="AB350" s="128">
        <v>1.0791644E-2</v>
      </c>
      <c r="AC350" s="128">
        <v>4.80932E-4</v>
      </c>
      <c r="AD350" s="128">
        <v>5.4065242999999999E-2</v>
      </c>
      <c r="AE350" s="128">
        <v>1.168441458</v>
      </c>
      <c r="AF350" s="128">
        <v>0.37344471400000001</v>
      </c>
      <c r="AG350" s="128">
        <v>0.176290327</v>
      </c>
      <c r="AH350" s="128">
        <v>4.6223742999999998E-2</v>
      </c>
      <c r="AI350" s="128">
        <v>0.26689130300000002</v>
      </c>
      <c r="AJ350" s="128">
        <v>0.226356163</v>
      </c>
      <c r="AK350" s="128">
        <v>0</v>
      </c>
      <c r="AL350" s="128">
        <v>0</v>
      </c>
      <c r="AM350" s="128">
        <v>0</v>
      </c>
      <c r="AN350" s="128">
        <v>0</v>
      </c>
      <c r="AO350" s="128">
        <v>0</v>
      </c>
      <c r="AP350" s="128">
        <v>2.1647529589999999</v>
      </c>
      <c r="AQ350" s="128">
        <v>0.35399330400000001</v>
      </c>
      <c r="AR350" s="128">
        <v>-2.5176665850000002</v>
      </c>
      <c r="AS350" s="288">
        <v>4.35024E-4</v>
      </c>
      <c r="AT350" s="288">
        <v>3.2851000000000001E-5</v>
      </c>
      <c r="AU350" s="288">
        <v>2.6930327E-2</v>
      </c>
      <c r="AV350" s="288">
        <v>1.3981482E-2</v>
      </c>
      <c r="AW350" s="158">
        <v>0</v>
      </c>
      <c r="AX350" s="158">
        <v>0</v>
      </c>
      <c r="AY350" s="158">
        <v>0</v>
      </c>
      <c r="AZ350" s="158">
        <v>6.7206051000000003E-2</v>
      </c>
      <c r="BA350" s="158">
        <v>-7.7871770000000002E-3</v>
      </c>
      <c r="BB350" s="288">
        <v>0</v>
      </c>
      <c r="BC350" s="288">
        <v>1.056047865</v>
      </c>
      <c r="BD350" s="288">
        <v>0.74614643400000003</v>
      </c>
      <c r="BE350" s="288">
        <v>37.996243587000002</v>
      </c>
      <c r="BF350" s="288">
        <v>0</v>
      </c>
      <c r="BG350" s="288">
        <v>0</v>
      </c>
      <c r="BH350" s="288">
        <v>0</v>
      </c>
      <c r="BI350" s="288">
        <v>13.385429290999999</v>
      </c>
      <c r="BJ350" s="288">
        <v>5.01239E-4</v>
      </c>
      <c r="BK350" s="288">
        <v>-5.01239E-4</v>
      </c>
      <c r="BL350" s="288">
        <v>0</v>
      </c>
      <c r="BM350" s="288">
        <v>84.000285446999996</v>
      </c>
      <c r="BN350" s="288">
        <v>102</v>
      </c>
      <c r="BO350" s="288">
        <v>44.625241383999999</v>
      </c>
      <c r="BP350" s="288">
        <v>20.09</v>
      </c>
      <c r="BQ350" s="288">
        <v>-140.83006998499999</v>
      </c>
      <c r="BR350" s="288">
        <v>10.055765057</v>
      </c>
      <c r="BS350" s="288">
        <v>20.357158474999999</v>
      </c>
      <c r="BT350" s="288">
        <v>17.937322523999999</v>
      </c>
    </row>
    <row r="351" spans="2:73">
      <c r="C351" s="127" t="s">
        <v>1189</v>
      </c>
      <c r="D351" s="127"/>
      <c r="E351" s="127"/>
      <c r="F351" s="127"/>
      <c r="G351" s="128"/>
      <c r="H351" s="128"/>
      <c r="I351" s="128"/>
      <c r="J351" s="128"/>
      <c r="K351" s="128"/>
      <c r="L351" s="128"/>
      <c r="M351" s="128"/>
      <c r="N351" s="128"/>
      <c r="O351" s="128"/>
      <c r="P351" s="128"/>
      <c r="Q351" s="128"/>
      <c r="R351" s="128"/>
      <c r="S351" s="128"/>
      <c r="T351" s="128"/>
      <c r="U351" s="128"/>
      <c r="V351" s="128"/>
      <c r="W351" s="128"/>
      <c r="X351" s="128"/>
      <c r="Y351" s="128"/>
      <c r="Z351" s="128">
        <v>0</v>
      </c>
      <c r="AA351" s="128">
        <v>0</v>
      </c>
      <c r="AB351" s="128">
        <v>0</v>
      </c>
      <c r="AC351" s="128">
        <v>0</v>
      </c>
      <c r="AD351" s="128">
        <v>0</v>
      </c>
      <c r="AE351" s="128">
        <v>0.128613795</v>
      </c>
      <c r="AF351" s="128">
        <v>0.118338447</v>
      </c>
      <c r="AG351" s="128">
        <v>-0.24695224199999999</v>
      </c>
      <c r="AH351" s="128">
        <v>0</v>
      </c>
      <c r="AI351" s="128">
        <v>0</v>
      </c>
      <c r="AJ351" s="128">
        <v>0</v>
      </c>
      <c r="AK351" s="128">
        <v>0</v>
      </c>
      <c r="AL351" s="128">
        <v>0</v>
      </c>
      <c r="AM351" s="128">
        <v>0</v>
      </c>
      <c r="AN351" s="128">
        <v>0</v>
      </c>
      <c r="AO351" s="128">
        <v>0</v>
      </c>
      <c r="AP351" s="128">
        <v>0</v>
      </c>
      <c r="AQ351" s="128">
        <v>0</v>
      </c>
      <c r="AR351" s="128">
        <v>0</v>
      </c>
      <c r="AS351" s="288">
        <v>0</v>
      </c>
      <c r="AT351" s="288">
        <v>0</v>
      </c>
      <c r="AU351" s="288">
        <v>0</v>
      </c>
      <c r="AV351" s="288">
        <v>0</v>
      </c>
      <c r="AW351" s="158">
        <v>0</v>
      </c>
      <c r="AX351" s="158">
        <v>0</v>
      </c>
      <c r="AY351" s="158">
        <v>0</v>
      </c>
      <c r="AZ351" s="158">
        <v>0</v>
      </c>
      <c r="BA351" s="158">
        <v>0</v>
      </c>
      <c r="BB351" s="288">
        <v>0</v>
      </c>
      <c r="BC351" s="288">
        <v>0</v>
      </c>
      <c r="BD351" s="288">
        <v>0</v>
      </c>
      <c r="BE351" s="288">
        <v>0</v>
      </c>
      <c r="BF351" s="288">
        <v>0</v>
      </c>
      <c r="BG351" s="288">
        <v>0</v>
      </c>
      <c r="BH351" s="288">
        <v>0</v>
      </c>
      <c r="BI351" s="288">
        <v>0</v>
      </c>
      <c r="BJ351" s="288">
        <v>0</v>
      </c>
      <c r="BK351" s="288">
        <v>0</v>
      </c>
      <c r="BL351" s="288">
        <v>0</v>
      </c>
      <c r="BM351" s="288">
        <v>0</v>
      </c>
      <c r="BN351" s="288">
        <v>0</v>
      </c>
      <c r="BO351" s="288">
        <v>0</v>
      </c>
      <c r="BP351" s="288">
        <v>0</v>
      </c>
      <c r="BQ351" s="288">
        <v>0</v>
      </c>
      <c r="BR351" s="288">
        <v>0</v>
      </c>
      <c r="BS351" s="288">
        <v>0</v>
      </c>
      <c r="BT351" s="288">
        <v>0</v>
      </c>
    </row>
    <row r="352" spans="2:73">
      <c r="C352" s="127" t="s">
        <v>1190</v>
      </c>
      <c r="D352" s="127"/>
      <c r="E352" s="127"/>
      <c r="F352" s="127"/>
      <c r="G352" s="128"/>
      <c r="H352" s="128"/>
      <c r="I352" s="128"/>
      <c r="J352" s="128"/>
      <c r="K352" s="128"/>
      <c r="L352" s="128"/>
      <c r="M352" s="128"/>
      <c r="N352" s="128"/>
      <c r="O352" s="128"/>
      <c r="P352" s="128"/>
      <c r="Q352" s="128"/>
      <c r="R352" s="128"/>
      <c r="S352" s="128"/>
      <c r="T352" s="128"/>
      <c r="U352" s="128"/>
      <c r="V352" s="128"/>
      <c r="W352" s="128"/>
      <c r="X352" s="128"/>
      <c r="Y352" s="128"/>
      <c r="Z352" s="128">
        <v>0</v>
      </c>
      <c r="AA352" s="128">
        <v>0</v>
      </c>
      <c r="AB352" s="128">
        <v>0</v>
      </c>
      <c r="AC352" s="128">
        <v>0</v>
      </c>
      <c r="AD352" s="128">
        <v>0</v>
      </c>
      <c r="AE352" s="128">
        <v>0</v>
      </c>
      <c r="AF352" s="128">
        <v>0</v>
      </c>
      <c r="AG352" s="128">
        <v>0</v>
      </c>
      <c r="AH352" s="128">
        <v>0</v>
      </c>
      <c r="AI352" s="128">
        <v>0</v>
      </c>
      <c r="AJ352" s="128">
        <v>0</v>
      </c>
      <c r="AK352" s="128">
        <v>0</v>
      </c>
      <c r="AL352" s="128">
        <v>0</v>
      </c>
      <c r="AM352" s="128">
        <v>0</v>
      </c>
      <c r="AN352" s="128">
        <v>0</v>
      </c>
      <c r="AO352" s="128">
        <v>0</v>
      </c>
      <c r="AP352" s="128">
        <v>0</v>
      </c>
      <c r="AQ352" s="128">
        <v>0</v>
      </c>
      <c r="AR352" s="128">
        <v>0</v>
      </c>
      <c r="AS352" s="288">
        <v>0</v>
      </c>
      <c r="AT352" s="288">
        <v>0</v>
      </c>
      <c r="AU352" s="288">
        <v>0</v>
      </c>
      <c r="AV352" s="288">
        <v>0</v>
      </c>
      <c r="AW352" s="158">
        <v>0</v>
      </c>
      <c r="AX352" s="158">
        <v>0</v>
      </c>
      <c r="AY352" s="158">
        <v>0</v>
      </c>
      <c r="AZ352" s="158">
        <v>0</v>
      </c>
      <c r="BA352" s="158">
        <v>0</v>
      </c>
      <c r="BB352" s="288">
        <v>0</v>
      </c>
      <c r="BC352" s="288">
        <v>0</v>
      </c>
      <c r="BD352" s="288">
        <v>0</v>
      </c>
      <c r="BE352" s="288">
        <v>0</v>
      </c>
      <c r="BF352" s="288">
        <v>0</v>
      </c>
      <c r="BG352" s="288">
        <v>0</v>
      </c>
      <c r="BH352" s="288">
        <v>0</v>
      </c>
      <c r="BI352" s="288">
        <v>0</v>
      </c>
      <c r="BJ352" s="288">
        <v>0</v>
      </c>
      <c r="BK352" s="288">
        <v>0</v>
      </c>
      <c r="BL352" s="288">
        <v>0</v>
      </c>
      <c r="BM352" s="288">
        <v>0</v>
      </c>
      <c r="BN352" s="288">
        <v>0</v>
      </c>
      <c r="BO352" s="288">
        <v>0</v>
      </c>
      <c r="BP352" s="288">
        <v>0</v>
      </c>
      <c r="BQ352" s="288">
        <v>0</v>
      </c>
      <c r="BR352" s="288">
        <v>0</v>
      </c>
      <c r="BS352" s="288">
        <v>0</v>
      </c>
      <c r="BT352" s="288">
        <v>0</v>
      </c>
    </row>
    <row r="353" spans="2:112">
      <c r="B353" s="148" t="s">
        <v>554</v>
      </c>
      <c r="C353" s="127" t="s">
        <v>1191</v>
      </c>
      <c r="D353" s="127"/>
      <c r="E353" s="127"/>
      <c r="F353" s="127"/>
      <c r="G353" s="128"/>
      <c r="H353" s="128"/>
      <c r="I353" s="128"/>
      <c r="J353" s="128"/>
      <c r="K353" s="128"/>
      <c r="L353" s="128"/>
      <c r="M353" s="128"/>
      <c r="N353" s="128"/>
      <c r="O353" s="128"/>
      <c r="P353" s="128"/>
      <c r="Q353" s="128"/>
      <c r="R353" s="128"/>
      <c r="S353" s="128"/>
      <c r="T353" s="128"/>
      <c r="U353" s="128"/>
      <c r="V353" s="128"/>
      <c r="W353" s="128"/>
      <c r="X353" s="128"/>
      <c r="Y353" s="128"/>
      <c r="Z353" s="128">
        <v>0</v>
      </c>
      <c r="AA353" s="128">
        <v>1.7454484999999999E-2</v>
      </c>
      <c r="AB353" s="128">
        <v>0</v>
      </c>
      <c r="AC353" s="128">
        <v>0</v>
      </c>
      <c r="AD353" s="128">
        <v>0</v>
      </c>
      <c r="AE353" s="128">
        <v>0</v>
      </c>
      <c r="AF353" s="128">
        <v>0</v>
      </c>
      <c r="AG353" s="128">
        <v>0</v>
      </c>
      <c r="AH353" s="128">
        <v>0</v>
      </c>
      <c r="AI353" s="128">
        <v>0</v>
      </c>
      <c r="AJ353" s="128">
        <v>0</v>
      </c>
      <c r="AK353" s="128">
        <v>6.9483100000000003E-4</v>
      </c>
      <c r="AL353" s="128">
        <v>8.4686529999999996E-2</v>
      </c>
      <c r="AM353" s="128">
        <v>0.30770942699999998</v>
      </c>
      <c r="AN353" s="128">
        <v>46.022363187000003</v>
      </c>
      <c r="AO353" s="128">
        <v>4.6676540839999996</v>
      </c>
      <c r="AP353" s="128">
        <v>0</v>
      </c>
      <c r="AQ353" s="128">
        <v>0</v>
      </c>
      <c r="AR353" s="128">
        <v>0</v>
      </c>
      <c r="AS353" s="288">
        <v>0.15505785999999999</v>
      </c>
      <c r="AT353" s="288">
        <v>0</v>
      </c>
      <c r="AU353" s="288">
        <v>0</v>
      </c>
      <c r="AV353" s="288">
        <v>1.4402685550000001</v>
      </c>
      <c r="AW353" s="158">
        <v>0.136914495</v>
      </c>
      <c r="AX353" s="158">
        <v>2.0087276000000001E-2</v>
      </c>
      <c r="AY353" s="158">
        <v>9.4684940999999995E-2</v>
      </c>
      <c r="AZ353" s="158">
        <v>-9.8279217000000002E-2</v>
      </c>
      <c r="BA353" s="158">
        <v>7.1780856000000004E-2</v>
      </c>
      <c r="BB353" s="288">
        <v>9.5421173999999997E-2</v>
      </c>
      <c r="BC353" s="288">
        <v>-9.5421173999999997E-2</v>
      </c>
      <c r="BD353" s="288">
        <v>0</v>
      </c>
      <c r="BE353" s="288">
        <v>0</v>
      </c>
      <c r="BF353" s="288">
        <v>5.8053914009999996</v>
      </c>
      <c r="BG353" s="288">
        <v>-5.8053914009999996</v>
      </c>
      <c r="BH353" s="288">
        <v>0</v>
      </c>
      <c r="BI353" s="288">
        <v>7.0911161380000003</v>
      </c>
      <c r="BJ353" s="288">
        <v>0</v>
      </c>
      <c r="BK353" s="288">
        <v>12.354619752</v>
      </c>
      <c r="BL353" s="288">
        <v>6.5275711080000001</v>
      </c>
      <c r="BM353" s="288">
        <v>5.545275878</v>
      </c>
      <c r="BN353" s="288">
        <v>6.26</v>
      </c>
      <c r="BO353" s="288">
        <v>6.0023790699999999</v>
      </c>
      <c r="BP353" s="288">
        <v>6.65</v>
      </c>
      <c r="BQ353" s="288">
        <v>6.4315462270000001</v>
      </c>
      <c r="BR353" s="288">
        <v>6.1745471480000003</v>
      </c>
      <c r="BS353" s="288">
        <v>6.9188281309999997</v>
      </c>
      <c r="BT353" s="288">
        <v>4.7675784050000001</v>
      </c>
    </row>
    <row r="354" spans="2:112">
      <c r="C354" s="134" t="s">
        <v>1192</v>
      </c>
      <c r="D354" s="134"/>
      <c r="E354" s="134"/>
      <c r="F354" s="134"/>
      <c r="G354" s="135"/>
      <c r="H354" s="135"/>
      <c r="I354" s="135"/>
      <c r="J354" s="135"/>
      <c r="K354" s="135"/>
      <c r="L354" s="135"/>
      <c r="M354" s="135"/>
      <c r="N354" s="135"/>
      <c r="O354" s="135"/>
      <c r="P354" s="135"/>
      <c r="Q354" s="135"/>
      <c r="R354" s="135"/>
      <c r="S354" s="135"/>
      <c r="T354" s="135"/>
      <c r="U354" s="135"/>
      <c r="V354" s="135"/>
      <c r="W354" s="135"/>
      <c r="X354" s="135"/>
      <c r="Y354" s="135"/>
      <c r="Z354" s="135">
        <v>3278.273591315</v>
      </c>
      <c r="AA354" s="135">
        <v>3312.182677921</v>
      </c>
      <c r="AB354" s="135">
        <v>3738.9609881820002</v>
      </c>
      <c r="AC354" s="135">
        <v>4621.033537755</v>
      </c>
      <c r="AD354" s="135">
        <v>5203.1045384950003</v>
      </c>
      <c r="AE354" s="135">
        <v>5786.8797814400004</v>
      </c>
      <c r="AF354" s="135">
        <v>6303.5977177349996</v>
      </c>
      <c r="AG354" s="135">
        <v>7329.6146578090002</v>
      </c>
      <c r="AH354" s="135">
        <v>9106.7762783819999</v>
      </c>
      <c r="AI354" s="135">
        <v>9498.1627764570003</v>
      </c>
      <c r="AJ354" s="135">
        <v>10606.561487999001</v>
      </c>
      <c r="AK354" s="135">
        <v>42621.703161776</v>
      </c>
      <c r="AL354" s="135">
        <v>14864.298408508999</v>
      </c>
      <c r="AM354" s="135">
        <v>15003.514387218</v>
      </c>
      <c r="AN354" s="135">
        <v>15671.494994703</v>
      </c>
      <c r="AO354" s="135">
        <v>18022.680926771001</v>
      </c>
      <c r="AP354" s="135">
        <v>21686.034321304</v>
      </c>
      <c r="AQ354" s="135">
        <v>20807.37772353</v>
      </c>
      <c r="AR354" s="135">
        <v>20032.177669613</v>
      </c>
      <c r="AS354" s="155">
        <v>20119.924613824001</v>
      </c>
      <c r="AT354" s="155">
        <v>23662.765272272001</v>
      </c>
      <c r="AU354" s="155">
        <v>25238.091787347999</v>
      </c>
      <c r="AV354" s="155">
        <v>24036.468852794002</v>
      </c>
      <c r="AW354" s="155">
        <v>24260.184358867999</v>
      </c>
      <c r="AX354" s="155">
        <v>27755.775493996</v>
      </c>
      <c r="AY354" s="155">
        <v>25054.430796204</v>
      </c>
      <c r="AZ354" s="155">
        <v>24557.657353126</v>
      </c>
      <c r="BA354" s="158">
        <v>0</v>
      </c>
      <c r="BB354" s="288">
        <v>29136.694772007999</v>
      </c>
      <c r="BC354" s="288">
        <v>30160.689278107999</v>
      </c>
      <c r="BD354" s="288">
        <v>23490.114887209998</v>
      </c>
      <c r="BE354" s="288">
        <v>34282.408217049</v>
      </c>
      <c r="BF354" s="288">
        <v>34617.885478131997</v>
      </c>
      <c r="BG354" s="288">
        <v>32572.144128038999</v>
      </c>
      <c r="BH354" s="288">
        <v>30016.167135347001</v>
      </c>
      <c r="BI354" s="288">
        <v>29554.404000212999</v>
      </c>
      <c r="BJ354" s="288">
        <v>27000.690373293</v>
      </c>
      <c r="BK354" s="288">
        <v>29463.952741884001</v>
      </c>
      <c r="BL354" s="288">
        <v>30265.027401803</v>
      </c>
      <c r="BM354" s="288">
        <v>31143.083651945999</v>
      </c>
      <c r="BN354" s="288">
        <v>30463.68</v>
      </c>
      <c r="BO354" s="288">
        <v>32696.129382231</v>
      </c>
      <c r="BP354" s="288">
        <v>33071.33</v>
      </c>
      <c r="BQ354" s="288">
        <v>34026.416795935002</v>
      </c>
      <c r="BR354" s="288">
        <v>34552.153933369998</v>
      </c>
      <c r="BS354" s="288">
        <v>35956.217299094998</v>
      </c>
      <c r="BT354" s="288">
        <v>38064.568028729998</v>
      </c>
    </row>
    <row r="355" spans="2:112">
      <c r="C355" s="134" t="s">
        <v>1193</v>
      </c>
      <c r="D355" s="134"/>
      <c r="E355" s="134"/>
      <c r="F355" s="134"/>
      <c r="G355" s="135"/>
      <c r="H355" s="135"/>
      <c r="I355" s="135"/>
      <c r="J355" s="135"/>
      <c r="K355" s="135"/>
      <c r="L355" s="135"/>
      <c r="M355" s="135"/>
      <c r="N355" s="135"/>
      <c r="O355" s="135"/>
      <c r="P355" s="135"/>
      <c r="Q355" s="135"/>
      <c r="R355" s="135"/>
      <c r="S355" s="135"/>
      <c r="T355" s="135"/>
      <c r="U355" s="135"/>
      <c r="V355" s="135"/>
      <c r="W355" s="135"/>
      <c r="X355" s="135"/>
      <c r="Y355" s="135"/>
      <c r="Z355" s="135">
        <v>2943.2242803439999</v>
      </c>
      <c r="AA355" s="135">
        <v>2960.1898342939999</v>
      </c>
      <c r="AB355" s="135">
        <v>3311.1798224939998</v>
      </c>
      <c r="AC355" s="135">
        <v>4146.0125202339996</v>
      </c>
      <c r="AD355" s="135">
        <v>0</v>
      </c>
      <c r="AE355" s="135">
        <v>9245.7336701090007</v>
      </c>
      <c r="AF355" s="135">
        <v>5622.8483000050001</v>
      </c>
      <c r="AG355" s="135">
        <v>6461.7202152560003</v>
      </c>
      <c r="AH355" s="135">
        <v>8037.820417725</v>
      </c>
      <c r="AI355" s="135">
        <v>8427.8879149330005</v>
      </c>
      <c r="AJ355" s="135">
        <v>9292.0280242230001</v>
      </c>
      <c r="AK355" s="135">
        <v>37399.226360426001</v>
      </c>
      <c r="AL355" s="135">
        <v>12934.074171216</v>
      </c>
      <c r="AM355" s="135">
        <v>13036.552825786001</v>
      </c>
      <c r="AN355" s="135">
        <v>13557.089585624</v>
      </c>
      <c r="AO355" s="135">
        <v>15674.485404309</v>
      </c>
      <c r="AP355" s="135">
        <v>18788.756341781998</v>
      </c>
      <c r="AQ355" s="135">
        <v>17945.292260386999</v>
      </c>
      <c r="AR355" s="135">
        <v>17205.031495333998</v>
      </c>
      <c r="AS355" s="155">
        <v>17285.079141932001</v>
      </c>
      <c r="AT355" s="155">
        <v>20583.631772567998</v>
      </c>
      <c r="AU355" s="155">
        <v>21855.341767099999</v>
      </c>
      <c r="AV355" s="155">
        <v>20201.528951239001</v>
      </c>
      <c r="AW355" s="155">
        <v>20045.942182104998</v>
      </c>
      <c r="AX355" s="155">
        <v>23193.243003251999</v>
      </c>
      <c r="AY355" s="155">
        <v>20515.417227876998</v>
      </c>
      <c r="AZ355" s="155">
        <v>19963.833875799999</v>
      </c>
      <c r="BA355" s="158">
        <v>0</v>
      </c>
      <c r="BB355" s="288">
        <v>23803.198263370999</v>
      </c>
      <c r="BC355" s="288">
        <v>24514.835467434001</v>
      </c>
      <c r="BD355" s="288">
        <v>18244.500199926999</v>
      </c>
      <c r="BE355" s="288">
        <v>28763.440176908</v>
      </c>
      <c r="BF355" s="288">
        <v>0</v>
      </c>
      <c r="BG355" s="288">
        <v>55343.734259664001</v>
      </c>
      <c r="BH355" s="288">
        <v>24619.955468037999</v>
      </c>
      <c r="BI355" s="288">
        <v>22658.872494961</v>
      </c>
      <c r="BJ355" s="288">
        <v>21891.312170662</v>
      </c>
      <c r="BK355" s="288">
        <v>24023.662436242001</v>
      </c>
      <c r="BL355" s="288">
        <v>24609.172513201</v>
      </c>
      <c r="BM355" s="288">
        <v>25235.028171606999</v>
      </c>
      <c r="BN355" s="288">
        <v>24773.88</v>
      </c>
      <c r="BO355" s="288">
        <v>26826.357532252001</v>
      </c>
      <c r="BP355" s="288">
        <v>27254.76</v>
      </c>
      <c r="BQ355" s="288">
        <v>27986.951875212999</v>
      </c>
      <c r="BR355" s="288">
        <v>28934.547803003999</v>
      </c>
      <c r="BS355" s="288">
        <v>30051.267999814001</v>
      </c>
      <c r="BT355" s="288">
        <v>32374.320274746002</v>
      </c>
    </row>
    <row r="356" spans="2:112">
      <c r="C356" s="134" t="s">
        <v>1194</v>
      </c>
      <c r="D356" s="134"/>
      <c r="E356" s="134"/>
      <c r="F356" s="134"/>
      <c r="G356" s="135"/>
      <c r="H356" s="135"/>
      <c r="I356" s="135"/>
      <c r="J356" s="135"/>
      <c r="K356" s="135"/>
      <c r="L356" s="135"/>
      <c r="M356" s="135"/>
      <c r="N356" s="135"/>
      <c r="O356" s="135"/>
      <c r="P356" s="135"/>
      <c r="Q356" s="135"/>
      <c r="R356" s="135"/>
      <c r="S356" s="135"/>
      <c r="T356" s="135"/>
      <c r="U356" s="135"/>
      <c r="V356" s="135"/>
      <c r="W356" s="135"/>
      <c r="X356" s="135"/>
      <c r="Y356" s="135"/>
      <c r="Z356" s="135">
        <v>203.09324249599999</v>
      </c>
      <c r="AA356" s="135">
        <v>213.89900261400001</v>
      </c>
      <c r="AB356" s="135">
        <v>261.21778359699999</v>
      </c>
      <c r="AC356" s="135">
        <v>272.358825298</v>
      </c>
      <c r="AD356" s="135">
        <v>290.74838597899998</v>
      </c>
      <c r="AE356" s="135">
        <v>276.22794514100002</v>
      </c>
      <c r="AF356" s="135">
        <v>361.96601037800002</v>
      </c>
      <c r="AG356" s="135">
        <v>456.933259384</v>
      </c>
      <c r="AH356" s="135">
        <v>603.06525579300001</v>
      </c>
      <c r="AI356" s="135">
        <v>650.96212163200005</v>
      </c>
      <c r="AJ356" s="135">
        <v>769.07617883900002</v>
      </c>
      <c r="AK356" s="135">
        <v>3046.4892302769999</v>
      </c>
      <c r="AL356" s="135">
        <v>1172.638576947</v>
      </c>
      <c r="AM356" s="135">
        <v>1161.405987336</v>
      </c>
      <c r="AN356" s="135">
        <v>1254.057319884</v>
      </c>
      <c r="AO356" s="135">
        <v>1331.9492092840001</v>
      </c>
      <c r="AP356" s="135">
        <v>1734.2781226750001</v>
      </c>
      <c r="AQ356" s="135">
        <v>1526.237807214</v>
      </c>
      <c r="AR356" s="135">
        <v>1542.088072427</v>
      </c>
      <c r="AS356" s="155">
        <v>1487.293896877</v>
      </c>
      <c r="AT356" s="155">
        <v>1807.8121288540001</v>
      </c>
      <c r="AU356" s="155">
        <v>1835.62708993</v>
      </c>
      <c r="AV356" s="155">
        <v>2015.918352998</v>
      </c>
      <c r="AW356" s="155">
        <v>2269.7352855129998</v>
      </c>
      <c r="AX356" s="155">
        <v>2565.0286552110001</v>
      </c>
      <c r="AY356" s="155">
        <v>2430.0460102050001</v>
      </c>
      <c r="AZ356" s="155">
        <v>2445.8129961660002</v>
      </c>
      <c r="BA356" s="158">
        <v>0</v>
      </c>
      <c r="BB356" s="288">
        <v>2818.2734573769999</v>
      </c>
      <c r="BC356" s="288">
        <v>2172.6667848389998</v>
      </c>
      <c r="BD356" s="288">
        <v>2422.1532202839999</v>
      </c>
      <c r="BE356" s="288">
        <v>2286.2758089650001</v>
      </c>
      <c r="BF356" s="288">
        <v>3022.9973763100002</v>
      </c>
      <c r="BG356" s="288">
        <v>2015.667837036</v>
      </c>
      <c r="BH356" s="288">
        <v>2400.7397556400001</v>
      </c>
      <c r="BI356" s="288">
        <v>2052.662935628</v>
      </c>
      <c r="BJ356" s="288">
        <v>2141.1065328190002</v>
      </c>
      <c r="BK356" s="288">
        <v>1561.0355418619999</v>
      </c>
      <c r="BL356" s="288">
        <v>3110.090245591</v>
      </c>
      <c r="BM356" s="288">
        <v>1198.7222980419999</v>
      </c>
      <c r="BN356" s="288">
        <v>2264.0500000000002</v>
      </c>
      <c r="BO356" s="288">
        <v>2496.2545815580002</v>
      </c>
      <c r="BP356" s="288">
        <v>2717.79</v>
      </c>
      <c r="BQ356" s="288">
        <v>3325.6415420200001</v>
      </c>
      <c r="BR356" s="288">
        <v>2651.446089646</v>
      </c>
      <c r="BS356" s="288">
        <v>2882.1358086290002</v>
      </c>
      <c r="BT356" s="288">
        <v>3309.439917532</v>
      </c>
    </row>
    <row r="357" spans="2:112">
      <c r="C357" s="134" t="s">
        <v>1195</v>
      </c>
      <c r="D357" s="134"/>
      <c r="E357" s="134"/>
      <c r="F357" s="134"/>
      <c r="G357" s="135"/>
      <c r="H357" s="135"/>
      <c r="I357" s="135"/>
      <c r="J357" s="135"/>
      <c r="K357" s="135"/>
      <c r="L357" s="135"/>
      <c r="M357" s="135"/>
      <c r="N357" s="135"/>
      <c r="O357" s="135"/>
      <c r="P357" s="135"/>
      <c r="Q357" s="135"/>
      <c r="R357" s="135"/>
      <c r="S357" s="135"/>
      <c r="T357" s="135"/>
      <c r="U357" s="135"/>
      <c r="V357" s="135"/>
      <c r="W357" s="135"/>
      <c r="X357" s="135"/>
      <c r="Y357" s="135"/>
      <c r="Z357" s="135">
        <v>22.434770637</v>
      </c>
      <c r="AA357" s="135">
        <v>28.616983152</v>
      </c>
      <c r="AB357" s="135">
        <v>30.524158805999999</v>
      </c>
      <c r="AC357" s="135">
        <v>34.812537560999999</v>
      </c>
      <c r="AD357" s="135">
        <v>36.384608776</v>
      </c>
      <c r="AE357" s="135">
        <v>742.85942265000006</v>
      </c>
      <c r="AF357" s="135">
        <v>49.074367813999999</v>
      </c>
      <c r="AG357" s="135">
        <v>61.222096161000003</v>
      </c>
      <c r="AH357" s="135">
        <v>70.010742956000001</v>
      </c>
      <c r="AI357" s="135">
        <v>82.427538987999995</v>
      </c>
      <c r="AJ357" s="135">
        <v>106.416842786</v>
      </c>
      <c r="AK357" s="135">
        <v>369.54763630799999</v>
      </c>
      <c r="AL357" s="135">
        <v>143.02494904700001</v>
      </c>
      <c r="AM357" s="135">
        <v>158.01873921200001</v>
      </c>
      <c r="AN357" s="135">
        <v>179.416362892</v>
      </c>
      <c r="AO357" s="135">
        <v>209.253657481</v>
      </c>
      <c r="AP357" s="135">
        <v>275.19569600599999</v>
      </c>
      <c r="AQ357" s="135">
        <v>288.37529260100001</v>
      </c>
      <c r="AR357" s="135">
        <v>322.21817756399997</v>
      </c>
      <c r="AS357" s="155">
        <v>337.080211991</v>
      </c>
      <c r="AT357" s="155">
        <v>311.44202938000001</v>
      </c>
      <c r="AU357" s="155">
        <v>327.18293036799997</v>
      </c>
      <c r="AV357" s="155">
        <v>368.93608641700001</v>
      </c>
      <c r="AW357" s="155">
        <v>435.26589278900002</v>
      </c>
      <c r="AX357" s="155">
        <v>470.79241999999999</v>
      </c>
      <c r="AY357" s="155">
        <v>513.38884257999996</v>
      </c>
      <c r="AZ357" s="155">
        <v>602.42694325499997</v>
      </c>
      <c r="BA357" s="158">
        <v>0</v>
      </c>
      <c r="BB357" s="288">
        <v>656.01939727199999</v>
      </c>
      <c r="BC357" s="288">
        <v>719.00372970900003</v>
      </c>
      <c r="BD357" s="288">
        <v>748.163282149</v>
      </c>
      <c r="BE357" s="288">
        <v>797.51523421700006</v>
      </c>
      <c r="BF357" s="288">
        <v>857.82523033300004</v>
      </c>
      <c r="BG357" s="288">
        <v>1131.8118082410001</v>
      </c>
      <c r="BH357" s="288">
        <v>603.84316945700004</v>
      </c>
      <c r="BI357" s="288">
        <v>996.66234757500001</v>
      </c>
      <c r="BJ357" s="288">
        <v>876.11056511899994</v>
      </c>
      <c r="BK357" s="288">
        <v>794.4028892</v>
      </c>
      <c r="BL357" s="288">
        <v>1006.840609129</v>
      </c>
      <c r="BM357" s="288">
        <v>701.82929787700004</v>
      </c>
      <c r="BN357" s="288">
        <v>719.23</v>
      </c>
      <c r="BO357" s="288">
        <v>678.48570584799995</v>
      </c>
      <c r="BP357" s="288">
        <v>709.54</v>
      </c>
      <c r="BQ357" s="288">
        <v>806.16394258800005</v>
      </c>
      <c r="BR357" s="288">
        <v>508.91946675000003</v>
      </c>
      <c r="BS357" s="288">
        <v>489.299387395</v>
      </c>
      <c r="BT357" s="288">
        <v>459.32140115999999</v>
      </c>
    </row>
    <row r="358" spans="2:112">
      <c r="C358" s="134" t="s">
        <v>1196</v>
      </c>
      <c r="D358" s="134"/>
      <c r="E358" s="134"/>
      <c r="F358" s="134"/>
      <c r="G358" s="135"/>
      <c r="H358" s="135"/>
      <c r="I358" s="135"/>
      <c r="J358" s="135"/>
      <c r="K358" s="135"/>
      <c r="L358" s="135"/>
      <c r="M358" s="135"/>
      <c r="N358" s="135"/>
      <c r="O358" s="135"/>
      <c r="P358" s="135"/>
      <c r="Q358" s="135"/>
      <c r="R358" s="135"/>
      <c r="S358" s="135"/>
      <c r="T358" s="135"/>
      <c r="U358" s="135"/>
      <c r="V358" s="135"/>
      <c r="W358" s="135"/>
      <c r="X358" s="135"/>
      <c r="Y358" s="135"/>
      <c r="Z358" s="135">
        <v>0</v>
      </c>
      <c r="AA358" s="135">
        <v>0</v>
      </c>
      <c r="AB358" s="135">
        <v>0</v>
      </c>
      <c r="AC358" s="135">
        <v>0</v>
      </c>
      <c r="AD358" s="135">
        <v>0</v>
      </c>
      <c r="AE358" s="135">
        <v>0</v>
      </c>
      <c r="AF358" s="135">
        <v>0</v>
      </c>
      <c r="AG358" s="135">
        <v>0</v>
      </c>
      <c r="AH358" s="135">
        <v>0</v>
      </c>
      <c r="AI358" s="135">
        <v>0</v>
      </c>
      <c r="AJ358" s="135">
        <v>0</v>
      </c>
      <c r="AK358" s="135">
        <v>0</v>
      </c>
      <c r="AL358" s="135">
        <v>0</v>
      </c>
      <c r="AM358" s="135">
        <v>0</v>
      </c>
      <c r="AN358" s="135">
        <v>0</v>
      </c>
      <c r="AO358" s="135">
        <v>2269.9190104220002</v>
      </c>
      <c r="AP358" s="135">
        <v>0</v>
      </c>
      <c r="AQ358" s="135">
        <v>0</v>
      </c>
      <c r="AR358" s="135">
        <v>0</v>
      </c>
      <c r="AS358" s="155">
        <v>3344.4003418570001</v>
      </c>
      <c r="AT358" s="155">
        <v>0</v>
      </c>
      <c r="AU358" s="155">
        <v>0</v>
      </c>
      <c r="AV358" s="155">
        <v>0</v>
      </c>
      <c r="AW358" s="155">
        <v>0</v>
      </c>
      <c r="AX358" s="155">
        <v>0</v>
      </c>
      <c r="AY358" s="155">
        <v>0</v>
      </c>
      <c r="AZ358" s="155">
        <v>0</v>
      </c>
      <c r="BA358" s="158">
        <v>0</v>
      </c>
      <c r="BB358" s="288">
        <v>0</v>
      </c>
      <c r="BC358" s="288">
        <v>0</v>
      </c>
      <c r="BD358" s="288">
        <v>0</v>
      </c>
      <c r="BE358" s="288">
        <v>0</v>
      </c>
      <c r="BF358" s="288">
        <v>0</v>
      </c>
      <c r="BG358" s="288">
        <v>0</v>
      </c>
      <c r="BH358" s="288">
        <v>0</v>
      </c>
      <c r="BI358" s="288">
        <v>0</v>
      </c>
      <c r="BJ358" s="288">
        <v>0</v>
      </c>
      <c r="BK358" s="288">
        <v>0</v>
      </c>
      <c r="BL358" s="288">
        <v>0</v>
      </c>
      <c r="BM358" s="288">
        <v>0</v>
      </c>
      <c r="BN358" s="288">
        <v>0</v>
      </c>
      <c r="BO358" s="288">
        <v>0</v>
      </c>
      <c r="BP358" s="288">
        <v>0</v>
      </c>
      <c r="BQ358" s="288">
        <v>0</v>
      </c>
      <c r="BR358" s="288">
        <v>0</v>
      </c>
      <c r="BS358" s="288">
        <v>0</v>
      </c>
      <c r="BT358" s="288">
        <v>0</v>
      </c>
    </row>
    <row r="359" spans="2:112">
      <c r="C359" s="134" t="s">
        <v>1197</v>
      </c>
      <c r="D359" s="134"/>
      <c r="E359" s="134"/>
      <c r="F359" s="134"/>
      <c r="G359" s="135"/>
      <c r="H359" s="135"/>
      <c r="I359" s="135"/>
      <c r="J359" s="135"/>
      <c r="K359" s="135"/>
      <c r="L359" s="135"/>
      <c r="M359" s="135"/>
      <c r="N359" s="135"/>
      <c r="O359" s="135"/>
      <c r="P359" s="135"/>
      <c r="Q359" s="135"/>
      <c r="R359" s="135"/>
      <c r="S359" s="135"/>
      <c r="T359" s="135"/>
      <c r="U359" s="135"/>
      <c r="V359" s="135"/>
      <c r="W359" s="135"/>
      <c r="X359" s="135"/>
      <c r="Y359" s="135"/>
      <c r="Z359" s="135">
        <v>109.521297838</v>
      </c>
      <c r="AA359" s="135">
        <v>109.476857861</v>
      </c>
      <c r="AB359" s="135">
        <v>136.03922328499999</v>
      </c>
      <c r="AC359" s="135">
        <v>167.84965466200001</v>
      </c>
      <c r="AD359" s="135">
        <v>4875.97154374</v>
      </c>
      <c r="AE359" s="135">
        <v>-4477.9412564599997</v>
      </c>
      <c r="AF359" s="135">
        <v>269.70903953800001</v>
      </c>
      <c r="AG359" s="135">
        <v>349.73908700800001</v>
      </c>
      <c r="AH359" s="135">
        <v>395.87986190800001</v>
      </c>
      <c r="AI359" s="135">
        <v>336.88520090399999</v>
      </c>
      <c r="AJ359" s="135">
        <v>439.04044215099998</v>
      </c>
      <c r="AK359" s="135">
        <v>1806.4399347650001</v>
      </c>
      <c r="AL359" s="135">
        <v>614.56071129899999</v>
      </c>
      <c r="AM359" s="135">
        <v>647.53683488399997</v>
      </c>
      <c r="AN359" s="135">
        <v>680.931726303</v>
      </c>
      <c r="AO359" s="135">
        <v>-1462.926354725</v>
      </c>
      <c r="AP359" s="135">
        <v>887.804160841</v>
      </c>
      <c r="AQ359" s="135">
        <v>1047.472363328</v>
      </c>
      <c r="AR359" s="135">
        <v>962.83992428800002</v>
      </c>
      <c r="AS359" s="155">
        <v>-2333.9289788330002</v>
      </c>
      <c r="AT359" s="155">
        <v>959.87934146999999</v>
      </c>
      <c r="AU359" s="155">
        <v>1219.9399999499999</v>
      </c>
      <c r="AV359" s="155">
        <v>1450.0854621399999</v>
      </c>
      <c r="AW359" s="155">
        <v>1509.2409984609999</v>
      </c>
      <c r="AX359" s="155">
        <v>1526.711415533</v>
      </c>
      <c r="AY359" s="155">
        <v>1595.5787155420001</v>
      </c>
      <c r="AZ359" s="155">
        <v>1545.583537905</v>
      </c>
      <c r="BA359" s="158">
        <v>0</v>
      </c>
      <c r="BB359" s="288">
        <v>1859.203653988</v>
      </c>
      <c r="BC359" s="288">
        <v>2754.1832961260002</v>
      </c>
      <c r="BD359" s="288">
        <v>2075.2981848499999</v>
      </c>
      <c r="BE359" s="288">
        <v>2435.176996959</v>
      </c>
      <c r="BF359" s="288">
        <v>30737.062871489001</v>
      </c>
      <c r="BG359" s="288">
        <v>-25919.069776902001</v>
      </c>
      <c r="BH359" s="288">
        <v>2391.6287422119999</v>
      </c>
      <c r="BI359" s="288">
        <v>3846.2062220490002</v>
      </c>
      <c r="BJ359" s="288">
        <v>2092.1611046930002</v>
      </c>
      <c r="BK359" s="288">
        <v>3084.8518745800002</v>
      </c>
      <c r="BL359" s="288">
        <v>1538.924033882</v>
      </c>
      <c r="BM359" s="288">
        <v>4007.5038844199998</v>
      </c>
      <c r="BN359" s="288">
        <v>2706.52</v>
      </c>
      <c r="BO359" s="288">
        <v>2695.031562573</v>
      </c>
      <c r="BP359" s="288">
        <v>2389.2399999999998</v>
      </c>
      <c r="BQ359" s="288">
        <v>1907.6594361140001</v>
      </c>
      <c r="BR359" s="288">
        <v>2457.2405739699998</v>
      </c>
      <c r="BS359" s="288">
        <v>2533.514103257</v>
      </c>
      <c r="BT359" s="288">
        <v>1921.4864352919999</v>
      </c>
    </row>
    <row r="360" spans="2:112">
      <c r="AW360" s="179"/>
    </row>
    <row r="361" spans="2:112">
      <c r="AT361" s="402">
        <f>AT356/AT4</f>
        <v>7.2262162737990979E-2</v>
      </c>
      <c r="AU361" s="402">
        <f t="shared" ref="AU361:BT361" si="96">AU356/AU4</f>
        <v>6.8998786662493317E-2</v>
      </c>
      <c r="AV361" s="402">
        <f t="shared" si="96"/>
        <v>8.0181030236775114E-2</v>
      </c>
      <c r="AW361" s="402">
        <f t="shared" si="96"/>
        <v>8.9321011887527918E-2</v>
      </c>
      <c r="AX361" s="402">
        <f t="shared" si="96"/>
        <v>8.7384935289762711E-2</v>
      </c>
      <c r="AY361" s="402">
        <f t="shared" si="96"/>
        <v>9.2447948663564164E-2</v>
      </c>
      <c r="AZ361" s="402">
        <f t="shared" si="96"/>
        <v>9.5117656899934289E-2</v>
      </c>
      <c r="BA361" s="402">
        <f t="shared" si="96"/>
        <v>0</v>
      </c>
      <c r="BB361" s="402">
        <f t="shared" si="96"/>
        <v>9.1418850070931854E-2</v>
      </c>
      <c r="BC361" s="402">
        <f t="shared" si="96"/>
        <v>6.8628404814535096E-2</v>
      </c>
      <c r="BD361" s="402">
        <f t="shared" si="96"/>
        <v>9.9541033399739492E-2</v>
      </c>
      <c r="BE361" s="402">
        <f t="shared" si="96"/>
        <v>6.3264567418866713E-2</v>
      </c>
      <c r="BF361" s="402">
        <f t="shared" si="96"/>
        <v>8.2897528829483771E-2</v>
      </c>
      <c r="BG361" s="402">
        <f t="shared" si="96"/>
        <v>5.8701237725399515E-2</v>
      </c>
      <c r="BH361" s="402">
        <f t="shared" si="96"/>
        <v>7.4995041452206937E-2</v>
      </c>
      <c r="BI361" s="402">
        <f t="shared" si="96"/>
        <v>6.7105968288942275E-2</v>
      </c>
      <c r="BJ361" s="402">
        <f t="shared" si="96"/>
        <v>7.8990680339911537E-2</v>
      </c>
      <c r="BK361" s="402">
        <f t="shared" si="96"/>
        <v>5.2979620732406162E-2</v>
      </c>
      <c r="BL361" s="402">
        <f t="shared" si="96"/>
        <v>0.1026850712197781</v>
      </c>
      <c r="BM361" s="402">
        <f t="shared" si="96"/>
        <v>3.8149761438897582E-2</v>
      </c>
      <c r="BN361" s="402">
        <f t="shared" si="96"/>
        <v>7.1905442619993529E-2</v>
      </c>
      <c r="BO361" s="288">
        <f t="shared" si="96"/>
        <v>7.3130876844711021E-2</v>
      </c>
      <c r="BP361" s="288">
        <f t="shared" si="96"/>
        <v>7.9591655643141773E-2</v>
      </c>
      <c r="BQ361" s="288">
        <f t="shared" si="96"/>
        <v>9.6189308798336204E-2</v>
      </c>
      <c r="BR361" s="288">
        <f t="shared" si="96"/>
        <v>7.3376204255154009E-2</v>
      </c>
      <c r="BS361" s="288">
        <f t="shared" si="96"/>
        <v>7.6611860968820347E-2</v>
      </c>
      <c r="BT361" s="288">
        <f t="shared" si="96"/>
        <v>8.3042201205960273E-2</v>
      </c>
      <c r="BV361" s="402"/>
      <c r="BW361" s="402"/>
      <c r="BX361" s="402"/>
      <c r="BY361" s="402"/>
      <c r="BZ361" s="402"/>
      <c r="CA361" s="402"/>
      <c r="CB361" s="402"/>
      <c r="CC361" s="402"/>
      <c r="CD361" s="402"/>
      <c r="CE361" s="402"/>
      <c r="CF361" s="402"/>
      <c r="CG361" s="402"/>
      <c r="CH361" s="402"/>
      <c r="CI361" s="402"/>
      <c r="CJ361" s="402"/>
      <c r="CK361" s="402"/>
      <c r="CL361" s="402"/>
      <c r="CM361" s="402"/>
      <c r="CN361" s="402"/>
      <c r="CO361" s="402"/>
      <c r="CP361" s="402"/>
      <c r="CQ361" s="402"/>
      <c r="CR361" s="402"/>
      <c r="CS361" s="402"/>
      <c r="CT361" s="402"/>
      <c r="CU361" s="402"/>
      <c r="CV361" s="402"/>
      <c r="CW361" s="402"/>
      <c r="CX361" s="402"/>
      <c r="CY361" s="402"/>
      <c r="CZ361" s="402"/>
      <c r="DA361" s="402"/>
      <c r="DB361" s="402"/>
      <c r="DC361" s="402"/>
      <c r="DD361" s="402"/>
      <c r="DE361" s="402"/>
      <c r="DF361" s="402"/>
      <c r="DG361" s="402"/>
      <c r="DH361" s="402"/>
    </row>
  </sheetData>
  <pageMargins left="0.7" right="0.7" top="0.75" bottom="0.75" header="0.3" footer="0.3"/>
  <pageSetup orientation="portrait" r:id="rId1"/>
  <ignoredErrors>
    <ignoredError sqref="AT27:AZ27 AZ29" formulaRange="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B52A17-1497-49CC-9263-5592D381C43D}">
  <sheetPr>
    <tabColor theme="8"/>
  </sheetPr>
  <dimension ref="A1:AV49"/>
  <sheetViews>
    <sheetView topLeftCell="A8" zoomScaleNormal="100" workbookViewId="0">
      <pane xSplit="5" topLeftCell="M1" activePane="topRight" state="frozen"/>
      <selection activeCell="M19" sqref="M19"/>
      <selection pane="topRight" activeCell="T29" sqref="T29"/>
    </sheetView>
  </sheetViews>
  <sheetFormatPr baseColWidth="10" defaultColWidth="8.6640625" defaultRowHeight="14" outlineLevelCol="3"/>
  <cols>
    <col min="1" max="1" width="9.83203125" style="1045" customWidth="1"/>
    <col min="2" max="2" width="22.33203125" style="1071" customWidth="1"/>
    <col min="3" max="3" width="9.83203125" style="1079" hidden="1" customWidth="1" outlineLevel="3"/>
    <col min="4" max="4" width="9.1640625" style="1079" hidden="1" customWidth="1" outlineLevel="3"/>
    <col min="5" max="5" width="8.83203125" style="1079" hidden="1" customWidth="1" outlineLevel="3"/>
    <col min="6" max="6" width="9.1640625" style="1124" hidden="1" customWidth="1" outlineLevel="2" collapsed="1"/>
    <col min="7" max="7" width="9.1640625" style="1124" hidden="1" customWidth="1" outlineLevel="2"/>
    <col min="8" max="8" width="8.6640625" style="1071" hidden="1" customWidth="1" outlineLevel="2"/>
    <col min="9" max="9" width="11.1640625" style="1071" hidden="1" customWidth="1" outlineLevel="2"/>
    <col min="10" max="10" width="8.83203125" style="1071" hidden="1" customWidth="1" outlineLevel="2"/>
    <col min="11" max="11" width="8.6640625" style="1071" hidden="1" customWidth="1" outlineLevel="2"/>
    <col min="12" max="12" width="9.1640625" style="1071" hidden="1" customWidth="1" outlineLevel="2"/>
    <col min="13" max="13" width="8.83203125" style="1071" customWidth="1" outlineLevel="1" collapsed="1"/>
    <col min="14" max="14" width="8.83203125" style="1071" customWidth="1" outlineLevel="1"/>
    <col min="15" max="15" width="8.6640625" style="1088" customWidth="1" outlineLevel="1"/>
    <col min="16" max="17" width="10.5" style="1071" customWidth="1" outlineLevel="1"/>
    <col min="18" max="18" width="8.6640625" style="1088" customWidth="1" outlineLevel="1"/>
    <col min="19" max="19" width="14" style="1076" customWidth="1" outlineLevel="1"/>
    <col min="20" max="20" width="11.1640625" style="1170" customWidth="1"/>
    <col min="21" max="21" width="11.1640625" style="1170" hidden="1" customWidth="1"/>
    <col min="22" max="22" width="11.1640625" style="1078" customWidth="1"/>
    <col min="23" max="23" width="9.6640625" style="1170" bestFit="1" customWidth="1"/>
    <col min="24" max="24" width="13.6640625" style="1170" hidden="1" customWidth="1"/>
    <col min="25" max="26" width="11.1640625" style="1080" customWidth="1"/>
    <col min="27" max="27" width="8.6640625" style="1115"/>
    <col min="28" max="28" width="14" style="1057" customWidth="1"/>
    <col min="29" max="29" width="48.83203125" style="1057" customWidth="1"/>
    <col min="30" max="30" width="64.83203125" style="1057" bestFit="1" customWidth="1"/>
    <col min="31" max="31" width="70" style="1057" bestFit="1" customWidth="1"/>
    <col min="32" max="32" width="26.1640625" style="1047" customWidth="1"/>
    <col min="33" max="33" width="17.5" style="1047" bestFit="1" customWidth="1"/>
    <col min="34" max="42" width="9.5" style="1047" customWidth="1"/>
    <col min="43" max="45" width="9.5" style="1058" customWidth="1"/>
    <col min="46" max="16384" width="8.6640625" style="1047"/>
  </cols>
  <sheetData>
    <row r="1" spans="1:48" s="1046" customFormat="1" ht="18.5" customHeight="1">
      <c r="A1" s="1045"/>
      <c r="B1" s="1160"/>
      <c r="C1" s="1161">
        <v>29</v>
      </c>
      <c r="D1" s="1161">
        <v>25</v>
      </c>
      <c r="E1" s="1161"/>
      <c r="F1" s="1162">
        <v>26</v>
      </c>
      <c r="G1" s="1162">
        <v>22</v>
      </c>
      <c r="H1" s="1160"/>
      <c r="I1" s="1160"/>
      <c r="J1" s="1160"/>
      <c r="K1" s="1160"/>
      <c r="L1" s="1160"/>
      <c r="M1" s="1160">
        <v>27</v>
      </c>
      <c r="N1" s="1160">
        <v>23</v>
      </c>
      <c r="O1" s="1163"/>
      <c r="P1" s="1160"/>
      <c r="Q1" s="1160"/>
      <c r="R1" s="1163"/>
      <c r="S1" s="1164"/>
      <c r="T1" s="1165">
        <v>28</v>
      </c>
      <c r="U1" s="1165">
        <v>24</v>
      </c>
      <c r="V1" s="1166"/>
      <c r="W1" s="1165"/>
      <c r="X1" s="1165"/>
      <c r="Y1" s="1167"/>
      <c r="Z1" s="1167"/>
      <c r="AA1" s="1047"/>
      <c r="AB1" s="1048"/>
      <c r="AC1" s="1048"/>
      <c r="AD1" s="1048"/>
      <c r="AE1" s="1048"/>
      <c r="AF1" s="1048"/>
      <c r="AQ1" s="1049"/>
      <c r="AR1" s="1049"/>
      <c r="AS1" s="1049"/>
    </row>
    <row r="2" spans="1:48" s="1052" customFormat="1" ht="19" customHeight="1">
      <c r="A2" s="1050"/>
      <c r="B2" s="1116" t="s">
        <v>1250</v>
      </c>
      <c r="C2" s="1117" t="str">
        <f>C11</f>
        <v>Q1/2025</v>
      </c>
      <c r="D2" s="1117" t="str">
        <f>D11</f>
        <v>Q1/2024</v>
      </c>
      <c r="E2" s="1117" t="s">
        <v>31</v>
      </c>
      <c r="F2" s="1168" t="str">
        <f>F11</f>
        <v>Q2/2025</v>
      </c>
      <c r="G2" s="1168" t="str">
        <f>G11</f>
        <v>Q2/2024</v>
      </c>
      <c r="H2" s="1168" t="str">
        <f>H11</f>
        <v>%YoY</v>
      </c>
      <c r="I2" s="1168" t="str">
        <f>I11</f>
        <v>1H/2025</v>
      </c>
      <c r="J2" s="1168" t="str">
        <f>J11</f>
        <v>1H/2024</v>
      </c>
      <c r="K2" s="1069" t="s">
        <v>31</v>
      </c>
      <c r="L2" s="1069"/>
      <c r="M2" s="1069" t="str">
        <f t="shared" ref="M2:R2" si="0">M11</f>
        <v>Q3/2025</v>
      </c>
      <c r="N2" s="1069" t="str">
        <f t="shared" si="0"/>
        <v>Q3/2024</v>
      </c>
      <c r="O2" s="1122" t="str">
        <f t="shared" si="0"/>
        <v>%YoY</v>
      </c>
      <c r="P2" s="1069" t="str">
        <f t="shared" si="0"/>
        <v>9T/2025</v>
      </c>
      <c r="Q2" s="1069" t="str">
        <f t="shared" si="0"/>
        <v>9T/2024</v>
      </c>
      <c r="R2" s="1122" t="str">
        <f t="shared" si="0"/>
        <v>%YoY</v>
      </c>
      <c r="S2" s="1063"/>
      <c r="T2" s="1064" t="str">
        <f>T11</f>
        <v>Q4/2024</v>
      </c>
      <c r="U2" s="1064" t="str">
        <f t="shared" ref="U2:Y2" si="1">U11</f>
        <v>Q4/2023</v>
      </c>
      <c r="V2" s="1064" t="str">
        <f t="shared" si="1"/>
        <v>%YoY</v>
      </c>
      <c r="W2" s="1064">
        <f t="shared" si="1"/>
        <v>2024</v>
      </c>
      <c r="X2" s="1064">
        <f t="shared" si="1"/>
        <v>2023</v>
      </c>
      <c r="Y2" s="1064" t="str">
        <f t="shared" si="1"/>
        <v>%YoY</v>
      </c>
      <c r="Z2" s="1064"/>
      <c r="AA2" s="1051"/>
      <c r="AC2" s="1052" t="str">
        <f>"Doanh thu thuần và Lợi nhuận sau thuế " &amp;T2 &amp;" lần lượt đạt: "</f>
        <v xml:space="preserve">Doanh thu thuần và Lợi nhuận sau thuế Q4/2024 lần lượt đạt: </v>
      </c>
      <c r="AD2" s="1053"/>
      <c r="AE2" s="1053"/>
      <c r="AF2" s="1053"/>
      <c r="AG2" s="1054"/>
      <c r="AH2" s="1055" t="e">
        <f>'FS Quarter'!#REF!</f>
        <v>#REF!</v>
      </c>
      <c r="AI2" s="1055" t="e">
        <f>'FS Quarter'!#REF!</f>
        <v>#REF!</v>
      </c>
      <c r="AJ2" s="1055" t="e">
        <f>'FS Quarter'!#REF!</f>
        <v>#REF!</v>
      </c>
      <c r="AK2" s="1055" t="e">
        <f>'FS Quarter'!#REF!</f>
        <v>#REF!</v>
      </c>
      <c r="AL2" s="1055" t="e">
        <f>'FS Quarter'!#REF!</f>
        <v>#REF!</v>
      </c>
      <c r="AM2" s="1055" t="e">
        <f>'FS Quarter'!#REF!</f>
        <v>#REF!</v>
      </c>
      <c r="AN2" s="1055" t="e">
        <f>'FS Quarter'!#REF!</f>
        <v>#REF!</v>
      </c>
      <c r="AO2" s="1055"/>
      <c r="AQ2" s="1056"/>
      <c r="AR2" s="1056"/>
      <c r="AS2" s="1056"/>
    </row>
    <row r="3" spans="1:48" ht="19" customHeight="1">
      <c r="A3" s="1045">
        <v>5</v>
      </c>
      <c r="B3" s="1118" t="s">
        <v>513</v>
      </c>
      <c r="C3" s="1079">
        <f ca="1">OFFSET(Rev_Year!$T$3,$A3,C$1)</f>
        <v>7398.9782305248882</v>
      </c>
      <c r="D3" s="1079">
        <f ca="1">OFFSET(Rev_Year!$T$3,$A3,D$1)</f>
        <v>5813.0250229594021</v>
      </c>
      <c r="E3" s="1119">
        <f ca="1">C3/D3-1</f>
        <v>0.27282752117899522</v>
      </c>
      <c r="F3" s="1124">
        <f ca="1">OFFSET(Rev_Year!$T$3,$A3,F$1)</f>
        <v>5696.8590060868719</v>
      </c>
      <c r="G3" s="1124">
        <f ca="1">OFFSET(Rev_Year!$T$3,$A3,G$1)</f>
        <v>5719.7407833691668</v>
      </c>
      <c r="H3" s="1088">
        <f ca="1">F3/G3-1</f>
        <v>-4.0004920063556604E-3</v>
      </c>
      <c r="I3" s="1124">
        <f ca="1">C3+F3</f>
        <v>13095.83723661176</v>
      </c>
      <c r="J3" s="1124">
        <f ca="1">D3+G3</f>
        <v>11532.765806328569</v>
      </c>
      <c r="K3" s="1088">
        <f ca="1">I3/J3-1</f>
        <v>0.135533093841675</v>
      </c>
      <c r="M3" s="1075">
        <f ca="1">OFFSET(Rev_Year!$T$3,$A3,M$1)</f>
        <v>7242.1599520584823</v>
      </c>
      <c r="N3" s="1075">
        <f ca="1">OFFSET(Rev_Year!$T$3,$A3,N$1)</f>
        <v>6373.5489140912687</v>
      </c>
      <c r="O3" s="1088">
        <f ca="1">M3/N3-1</f>
        <v>0.13628373292104223</v>
      </c>
      <c r="P3" s="1075">
        <f ca="1">M3+I3</f>
        <v>20337.997188670241</v>
      </c>
      <c r="Q3" s="1075">
        <f ca="1">N3+J3</f>
        <v>17906.314720419839</v>
      </c>
      <c r="R3" s="1088">
        <f ca="1">P3/Q3-1</f>
        <v>0.13580027527816108</v>
      </c>
      <c r="S3" s="1076" t="e">
        <f ca="1">#REF!/10^3-P3</f>
        <v>#REF!</v>
      </c>
      <c r="T3" s="1077">
        <f ca="1">OFFSET(Rev_Year!$T$3,$A3,T$1)</f>
        <v>8231.852577040896</v>
      </c>
      <c r="U3" s="1077">
        <f ca="1">OFFSET(Rev_Year!$T$3,$A3,U$1)</f>
        <v>6511.4930894849967</v>
      </c>
      <c r="V3" s="1078">
        <f ca="1">T3/U3-1</f>
        <v>0.26420353426067522</v>
      </c>
      <c r="W3" s="1077">
        <f ca="1">P3+T3</f>
        <v>28569.849765711137</v>
      </c>
      <c r="X3" s="1077">
        <f ca="1">Q3+U3</f>
        <v>24417.807809904836</v>
      </c>
      <c r="Y3" s="1080">
        <f ca="1">W3/X3-1</f>
        <v>0.1700415527933703</v>
      </c>
      <c r="AA3" s="1047"/>
      <c r="AB3" s="1057" t="s">
        <v>1251</v>
      </c>
      <c r="AC3" s="1057" t="str">
        <f>CONCATENATE(TEXT(T12,"#,##0")," tỷ VND"," (",TEXT(V12,"+#,##0%;-#,##0%")," YoY)")</f>
        <v>34,574 tỷ VND (+10% YoY)</v>
      </c>
      <c r="AF3" s="1057"/>
    </row>
    <row r="4" spans="1:48" s="1059" customFormat="1" ht="19" customHeight="1">
      <c r="A4" s="1045">
        <v>6</v>
      </c>
      <c r="B4" s="1120" t="s">
        <v>1252</v>
      </c>
      <c r="C4" s="1078">
        <f ca="1">OFFSET(Rev_Year!$T$3,$A4,C$1)</f>
        <v>0.20412403396614728</v>
      </c>
      <c r="D4" s="1078">
        <f ca="1">OFFSET(Rev_Year!$T$3,$A4,D$1)</f>
        <v>0.18512832345520033</v>
      </c>
      <c r="E4" s="1078"/>
      <c r="F4" s="1088">
        <f ca="1">OFFSET(Rev_Year!$T$3,$A4,F$1)</f>
        <v>0.1663103282375846</v>
      </c>
      <c r="G4" s="1088">
        <f ca="1">OFFSET(Rev_Year!$T$3,$A4,G$1)</f>
        <v>0.19227879979927831</v>
      </c>
      <c r="H4" s="1088"/>
      <c r="I4" s="1088">
        <f ca="1">I3/I12</f>
        <v>0.17755881207407867</v>
      </c>
      <c r="J4" s="1088">
        <f ca="1">J3/J12</f>
        <v>0.17574927030091825</v>
      </c>
      <c r="K4" s="1088"/>
      <c r="L4" s="1088" t="e">
        <f>L3/L12</f>
        <v>#DIV/0!</v>
      </c>
      <c r="M4" s="1088">
        <f ca="1">OFFSET(Rev_Year!$T$3,$A4,M$1)</f>
        <v>0.21207490085595007</v>
      </c>
      <c r="N4" s="1088">
        <f ca="1">OFFSET(Rev_Year!$T$3,$A4,N$1)</f>
        <v>0.21090950493813698</v>
      </c>
      <c r="O4" s="1088"/>
      <c r="P4" s="1088">
        <f ca="1">P3/P12</f>
        <v>0.17901994993873344</v>
      </c>
      <c r="Q4" s="1088">
        <f ca="1">Q3/Q12</f>
        <v>0.17948092219363734</v>
      </c>
      <c r="R4" s="1088"/>
      <c r="S4" s="1088" t="e">
        <f ca="1">S3/S12</f>
        <v>#REF!</v>
      </c>
      <c r="T4" s="1078">
        <f ca="1">OFFSET(Rev_Year!$T$3,$A4,T$1)</f>
        <v>0.23054484218681276</v>
      </c>
      <c r="U4" s="1078">
        <f ca="1">OFFSET(Rev_Year!$T$3,$A4,U$1)</f>
        <v>0.2084799312457962</v>
      </c>
      <c r="V4" s="1078"/>
      <c r="W4" s="1078">
        <f ca="1">W3/W12</f>
        <v>0.19280326977802598</v>
      </c>
      <c r="X4" s="1078">
        <f ca="1">X3/X12</f>
        <v>0.18612734024994246</v>
      </c>
      <c r="Y4" s="1078"/>
      <c r="Z4" s="1078"/>
      <c r="AA4" s="1047"/>
      <c r="AB4" s="1059" t="b">
        <v>1</v>
      </c>
      <c r="AC4" s="1059" t="s">
        <v>1253</v>
      </c>
      <c r="AQ4" s="1060"/>
      <c r="AR4" s="1060"/>
      <c r="AS4" s="1060"/>
    </row>
    <row r="5" spans="1:48" ht="19" customHeight="1">
      <c r="A5" s="1045">
        <v>12</v>
      </c>
      <c r="B5" s="1118" t="s">
        <v>1254</v>
      </c>
      <c r="C5" s="1079">
        <f ca="1">OFFSET(Rev_Year!$T$3,$A5,C$1)</f>
        <v>15971.651620848377</v>
      </c>
      <c r="D5" s="1079">
        <f ca="1">OFFSET(Rev_Year!$T$3,$A5,D$1)</f>
        <v>14546.758380000001</v>
      </c>
      <c r="E5" s="1119">
        <f ca="1">C5/D5-1</f>
        <v>9.7952629969260352E-2</v>
      </c>
      <c r="F5" s="1124">
        <f ca="1">OFFSET(Rev_Year!$T$3,$A5,F$1)</f>
        <v>16229.490619999999</v>
      </c>
      <c r="G5" s="1124">
        <f ca="1">OFFSET(Rev_Year!$T$3,$A5,G$1)</f>
        <v>14922.36</v>
      </c>
      <c r="H5" s="1088">
        <f ca="1">F5/G5-1</f>
        <v>8.7595435306479619E-2</v>
      </c>
      <c r="I5" s="1124">
        <f ca="1">C5+F5</f>
        <v>32201.142240848378</v>
      </c>
      <c r="J5" s="1124">
        <f ca="1">D5+G5</f>
        <v>29469.11838</v>
      </c>
      <c r="K5" s="1088">
        <f ca="1">I5/J5-1</f>
        <v>9.2708028303369217E-2</v>
      </c>
      <c r="M5" s="1075">
        <f ca="1">OFFSET(Rev_Year!$T$3,$A5,M$1)</f>
        <v>14318.435000000001</v>
      </c>
      <c r="N5" s="1075">
        <f ca="1">OFFSET(Rev_Year!$T$3,$A5,N$1)</f>
        <v>13463.409999999996</v>
      </c>
      <c r="O5" s="1088">
        <f ca="1">M5/N5-1</f>
        <v>6.3507313526068421E-2</v>
      </c>
      <c r="P5" s="1075">
        <f ca="1">M5+I5</f>
        <v>46519.577240848375</v>
      </c>
      <c r="Q5" s="1075">
        <f ca="1">N5+J5</f>
        <v>42932.528379999996</v>
      </c>
      <c r="R5" s="1088">
        <f ca="1">P5/Q5-1</f>
        <v>8.3550841196657677E-2</v>
      </c>
      <c r="S5" s="1076" t="e">
        <f ca="1">#REF!/10^3-'2024_Q'!P5</f>
        <v>#REF!</v>
      </c>
      <c r="T5" s="1077">
        <f ca="1">OFFSET(Rev_Year!$T$3,$A5,T$1)</f>
        <v>14810.035875453446</v>
      </c>
      <c r="U5" s="1077">
        <f ca="1">OFFSET(Rev_Year!$T$3,$A5,U$1)</f>
        <v>13544.920000000006</v>
      </c>
      <c r="V5" s="1078">
        <f ca="1">T5/U5-1</f>
        <v>9.3401502220274546E-2</v>
      </c>
      <c r="W5" s="1077">
        <f ca="1">P5+T5</f>
        <v>61329.613116301822</v>
      </c>
      <c r="X5" s="1077">
        <f ca="1">Q5+U5</f>
        <v>56477.448380000002</v>
      </c>
      <c r="Y5" s="1080">
        <f ca="1">W5/X5-1</f>
        <v>8.5913313640778588E-2</v>
      </c>
      <c r="AA5" s="1061"/>
      <c r="AC5" s="1057" t="str">
        <f>CONCATENATE(TEXT(T22,"#,##0")," tỷ VND"," (",TEXT(V22,"+#,##0%;-#,##0%")," YoY)")</f>
        <v>847 tỷ VND (+838% YoY)</v>
      </c>
      <c r="AF5" s="1057"/>
    </row>
    <row r="6" spans="1:48" s="1059" customFormat="1" ht="19" customHeight="1">
      <c r="A6" s="1045">
        <v>13</v>
      </c>
      <c r="B6" s="1120" t="str">
        <f>B4</f>
        <v>%Tỷ trọng</v>
      </c>
      <c r="C6" s="1078">
        <f ca="1">OFFSET(Rev_Year!$T$3,$A6,C$1)</f>
        <v>0.44062813220606611</v>
      </c>
      <c r="D6" s="1078">
        <f ca="1">OFFSET(Rev_Year!$T$3,$A6,D$1)</f>
        <v>0.46327290523622683</v>
      </c>
      <c r="E6" s="1078"/>
      <c r="F6" s="1088">
        <f ca="1">OFFSET(Rev_Year!$T$3,$A6,F$1)</f>
        <v>0.47379299878355469</v>
      </c>
      <c r="G6" s="1088">
        <f ca="1">OFFSET(Rev_Year!$T$3,$A6,G$1)</f>
        <v>0.50164047281923296</v>
      </c>
      <c r="H6" s="1088"/>
      <c r="I6" s="1088">
        <f ca="1">I5/I12</f>
        <v>0.4365964894347425</v>
      </c>
      <c r="J6" s="1088">
        <f ca="1">J5/J12</f>
        <v>0.44908360567369898</v>
      </c>
      <c r="K6" s="1088"/>
      <c r="L6" s="1088" t="e">
        <f>L5/L12</f>
        <v>#DIV/0!</v>
      </c>
      <c r="M6" s="1088">
        <f ca="1">OFFSET(Rev_Year!$T$3,$A6,M$1)</f>
        <v>0.41929213151033212</v>
      </c>
      <c r="N6" s="1088">
        <f ca="1">OFFSET(Rev_Year!$T$3,$A6,N$1)</f>
        <v>0.44552276544095881</v>
      </c>
      <c r="O6" s="1088"/>
      <c r="P6" s="1088">
        <f ca="1">P5/P12</f>
        <v>0.40947652374870963</v>
      </c>
      <c r="Q6" s="1088">
        <f ca="1">Q5/Q12</f>
        <v>0.4303269492387341</v>
      </c>
      <c r="R6" s="1088"/>
      <c r="S6" s="1088" t="e">
        <f ca="1">S5/S12</f>
        <v>#REF!</v>
      </c>
      <c r="T6" s="1078">
        <f ca="1">OFFSET(Rev_Year!$T$3,$A6,T$1)</f>
        <v>0.41477630360027856</v>
      </c>
      <c r="U6" s="1078">
        <f ca="1">OFFSET(Rev_Year!$T$3,$A6,U$1)</f>
        <v>0.43367073442646514</v>
      </c>
      <c r="V6" s="1078"/>
      <c r="W6" s="1078">
        <f ca="1">W5/W12</f>
        <v>0.41388211838747047</v>
      </c>
      <c r="X6" s="1078">
        <f ca="1">X5/X12</f>
        <v>0.43050536448275006</v>
      </c>
      <c r="Y6" s="1078"/>
      <c r="Z6" s="1078"/>
      <c r="AA6" s="1047"/>
      <c r="AC6" s="1059" t="str">
        <f>"- "&amp;CONCATENATE(AC2,AC3,AC4,AC5)</f>
        <v>- Doanh thu thuần và Lợi nhuận sau thuế Q4/2024 lần lượt đạt: 34,574 tỷ VND (+10% YoY) và 847 tỷ VND (+838% YoY)</v>
      </c>
      <c r="AQ6" s="1060"/>
      <c r="AR6" s="1060"/>
      <c r="AS6" s="1060"/>
    </row>
    <row r="7" spans="1:48" ht="19" customHeight="1">
      <c r="A7" s="1045">
        <v>20</v>
      </c>
      <c r="B7" s="1118" t="str">
        <f>FS!AA63</f>
        <v>BHX</v>
      </c>
      <c r="C7" s="1079">
        <f ca="1">OFFSET(Rev_Year!$T$3,$A7,C$1)</f>
        <v>11021.162317553744</v>
      </c>
      <c r="D7" s="1079">
        <f ca="1">OFFSET(Rev_Year!$T$3,$A7,D$1)</f>
        <v>9162.5685900000008</v>
      </c>
      <c r="E7" s="1119">
        <f ca="1">C7/D7-1</f>
        <v>0.20284636445529114</v>
      </c>
      <c r="F7" s="1124">
        <f ca="1">OFFSET(Rev_Year!$T$3,$A7,F$1)</f>
        <v>10326.868409999997</v>
      </c>
      <c r="G7" s="1124">
        <f ca="1">OFFSET(Rev_Year!$T$3,$A7,G$1)</f>
        <v>7320.2999999999984</v>
      </c>
      <c r="H7" s="1088">
        <f ca="1">F7/G7-1</f>
        <v>0.41071655669849583</v>
      </c>
      <c r="I7" s="1124">
        <f ca="1">C7+F7</f>
        <v>21348.030727553742</v>
      </c>
      <c r="J7" s="1075">
        <f ca="1">D7+G7</f>
        <v>16482.868589999998</v>
      </c>
      <c r="K7" s="1088">
        <f ca="1">I7/J7-1</f>
        <v>0.29516477128898488</v>
      </c>
      <c r="M7" s="1075">
        <f ca="1">OFFSET(Rev_Year!$T$3,$A7,M$1)</f>
        <v>10839.731</v>
      </c>
      <c r="N7" s="1075">
        <f ca="1">OFFSET(Rev_Year!$T$3,$A7,N$1)</f>
        <v>8632.5660000000025</v>
      </c>
      <c r="O7" s="1088">
        <f ca="1">M7/N7-1</f>
        <v>0.25567890242599911</v>
      </c>
      <c r="P7" s="1075">
        <f ca="1">M7+I7</f>
        <v>32187.761727553741</v>
      </c>
      <c r="Q7" s="1075">
        <f ca="1">N7+J7</f>
        <v>25115.434590000001</v>
      </c>
      <c r="R7" s="1088">
        <f ca="1">P7/Q7-1</f>
        <v>0.28159286323357779</v>
      </c>
      <c r="S7" s="1076" t="e">
        <f ca="1">#REF!/10^3-P7</f>
        <v>#REF!</v>
      </c>
      <c r="T7" s="1077">
        <f ca="1">OFFSET(Rev_Year!$T$3,$A7,T$1)</f>
        <v>10754.249042057003</v>
      </c>
      <c r="U7" s="1077">
        <f ca="1">OFFSET(Rev_Year!$T$3,$A7,U$1)</f>
        <v>9258.2540000000008</v>
      </c>
      <c r="V7" s="1078">
        <f ca="1">T7/U7-1</f>
        <v>0.16158500750325078</v>
      </c>
      <c r="W7" s="1077">
        <f ca="1">P7+T7</f>
        <v>42942.010769610744</v>
      </c>
      <c r="X7" s="1077">
        <f ca="1">Q7+U7</f>
        <v>34373.688590000005</v>
      </c>
      <c r="Y7" s="1080">
        <f ca="1">W7/X7-1</f>
        <v>0.24926979125840565</v>
      </c>
      <c r="AA7" s="1047"/>
      <c r="AF7" s="1057"/>
    </row>
    <row r="8" spans="1:48" s="1059" customFormat="1" ht="19" customHeight="1">
      <c r="A8" s="1045">
        <v>21</v>
      </c>
      <c r="B8" s="1120" t="str">
        <f>B6</f>
        <v>%Tỷ trọng</v>
      </c>
      <c r="C8" s="1078">
        <f ca="1">OFFSET(Rev_Year!$T$3,$A8,C$1)</f>
        <v>0.30405334914671983</v>
      </c>
      <c r="D8" s="1078">
        <f ca="1">OFFSET(Rev_Year!$T$3,$A8,D$1)</f>
        <v>0.29180176498645455</v>
      </c>
      <c r="E8" s="1078"/>
      <c r="F8" s="1088">
        <f ca="1">OFFSET(Rev_Year!$T$3,$A8,F$1)</f>
        <v>0.30147575586799646</v>
      </c>
      <c r="G8" s="1088">
        <f ca="1">OFFSET(Rev_Year!$T$3,$A8,G$1)</f>
        <v>0.24608431596467514</v>
      </c>
      <c r="H8" s="1088"/>
      <c r="I8" s="1088">
        <f ca="1">I7/I12</f>
        <v>0.28944548619680938</v>
      </c>
      <c r="J8" s="1088">
        <f ca="1">J7/J12</f>
        <v>0.25118450992638613</v>
      </c>
      <c r="K8" s="1088"/>
      <c r="L8" s="1088" t="e">
        <f>L7/L12</f>
        <v>#DIV/0!</v>
      </c>
      <c r="M8" s="1088">
        <f ca="1">OFFSET(Rev_Year!$T$3,$A8,M$1)</f>
        <v>0.31742393047764111</v>
      </c>
      <c r="N8" s="1088">
        <f ca="1">OFFSET(Rev_Year!$T$3,$A8,N$1)</f>
        <v>0.28566348920307694</v>
      </c>
      <c r="O8" s="1088"/>
      <c r="P8" s="1088">
        <f ca="1">P7/P12</f>
        <v>0.28332443158742043</v>
      </c>
      <c r="Q8" s="1088">
        <f ca="1">Q7/Q12</f>
        <v>0.25174031797657848</v>
      </c>
      <c r="R8" s="1088"/>
      <c r="S8" s="1088" t="e">
        <f ca="1">S7/S12</f>
        <v>#REF!</v>
      </c>
      <c r="T8" s="1078">
        <f ca="1">OFFSET(Rev_Year!$T$3,$A8,T$1)</f>
        <v>0.30118817423355282</v>
      </c>
      <c r="U8" s="1078">
        <f ca="1">OFFSET(Rev_Year!$T$3,$A8,U$1)</f>
        <v>0.29642358992794032</v>
      </c>
      <c r="V8" s="1078"/>
      <c r="W8" s="1078">
        <f ca="1">W7/W12</f>
        <v>0.28979361652649821</v>
      </c>
      <c r="X8" s="1078">
        <f ca="1">X7/X12</f>
        <v>0.26201710168433956</v>
      </c>
      <c r="Y8" s="1078"/>
      <c r="Z8" s="1078"/>
      <c r="AA8" s="1047"/>
      <c r="AC8" s="1059" t="str">
        <f>" Lũy kế cả năm " &amp;W2&amp; "," &amp;"  Doanh thu thuần và Lợi nhuận sau thuế lần lượt đạt: "</f>
        <v xml:space="preserve"> Lũy kế cả năm 2024,  Doanh thu thuần và Lợi nhuận sau thuế lần lượt đạt: </v>
      </c>
      <c r="AQ8" s="1060"/>
      <c r="AR8" s="1060"/>
      <c r="AS8" s="1060"/>
    </row>
    <row r="9" spans="1:48" ht="19" hidden="1" customHeight="1">
      <c r="B9" s="1118" t="str">
        <f>FS!AA65</f>
        <v>Khác</v>
      </c>
      <c r="C9" s="1079" t="e">
        <f>#REF!</f>
        <v>#REF!</v>
      </c>
      <c r="D9" s="1079" t="e">
        <f>#REF!</f>
        <v>#REF!</v>
      </c>
      <c r="E9" s="1119" t="e">
        <f>C9/D9-1</f>
        <v>#REF!</v>
      </c>
      <c r="F9" s="1124">
        <f ca="1">F12-SUM(F3:F7)</f>
        <v>5366.1105205561107</v>
      </c>
      <c r="G9" s="1124">
        <f ca="1">G12-SUM(G3:G7)</f>
        <v>6170.9768313102177</v>
      </c>
      <c r="H9" s="1088">
        <f ca="1">F9/G9-1</f>
        <v>-0.13042769933446963</v>
      </c>
      <c r="I9" s="1124" t="e">
        <f>SUM(#REF!)</f>
        <v>#REF!</v>
      </c>
      <c r="J9" s="1075" t="e">
        <f>SUM(#REF!)</f>
        <v>#REF!</v>
      </c>
      <c r="K9" s="1088" t="e">
        <f>I9/J9-1</f>
        <v>#REF!</v>
      </c>
      <c r="M9" s="1075">
        <f ca="1">M12-SUM(M3:M7)</f>
        <v>7451.5498335551492</v>
      </c>
      <c r="N9" s="1075">
        <f ca="1">N12-SUM(N3:N7)</f>
        <v>5676.4886536383528</v>
      </c>
      <c r="O9" s="1088">
        <f ca="1">M9/N9-1</f>
        <v>0.31270408314461595</v>
      </c>
      <c r="P9" s="1075">
        <f ca="1">P12-SUM(P3:P7)</f>
        <v>14561.50957727895</v>
      </c>
      <c r="Q9" s="1075">
        <f ca="1">Q12-SUM(Q3:Q7)</f>
        <v>13812.344035660732</v>
      </c>
      <c r="R9" s="1088">
        <f ca="1">P9/Q9-1</f>
        <v>5.4238841697254347E-2</v>
      </c>
      <c r="S9" s="1076" t="e">
        <f ca="1">#REF!/10^3-'2024_Q'!P9</f>
        <v>#REF!</v>
      </c>
      <c r="T9" s="1077">
        <f ca="1">T12-SUM(T3:T7)</f>
        <v>777.13796163486404</v>
      </c>
      <c r="U9" s="1077">
        <f ca="1">U12-SUM(U3:U7)</f>
        <v>2106.1807598493251</v>
      </c>
      <c r="V9" s="1078">
        <f ca="1">T9/U9-1</f>
        <v>-0.63102029206151333</v>
      </c>
      <c r="W9" s="1077">
        <v>60661.266521362508</v>
      </c>
      <c r="X9" s="1077">
        <v>54520.574096835502</v>
      </c>
      <c r="Y9" s="1080">
        <f>W9/X9-1</f>
        <v>0.1126307366760364</v>
      </c>
      <c r="AA9" s="1047"/>
      <c r="AB9" s="1057" t="s">
        <v>1255</v>
      </c>
      <c r="AC9" s="1057" t="str">
        <f>CONCATENATE(TEXT(W12,"#,##0")," tỷ VND"," (",TEXT(Y12,"+#,##0%;-#,##0%")," YoY)")</f>
        <v>148,181 tỷ VND (+13% YoY)</v>
      </c>
      <c r="AE9" s="1060"/>
      <c r="AF9" s="1057"/>
    </row>
    <row r="10" spans="1:48" s="1059" customFormat="1" ht="19" hidden="1" customHeight="1">
      <c r="A10" s="1045"/>
      <c r="B10" s="1121" t="str">
        <f>B8</f>
        <v>%Tỷ trọng</v>
      </c>
      <c r="C10" s="1080" t="e">
        <f>C9/C$12</f>
        <v>#REF!</v>
      </c>
      <c r="D10" s="1080" t="e">
        <f>D9/D$12</f>
        <v>#REF!</v>
      </c>
      <c r="E10" s="1078"/>
      <c r="F10" s="1088">
        <f ca="1">F9/F12</f>
        <v>0.14263995191112394</v>
      </c>
      <c r="G10" s="1088">
        <f ca="1">G9/G12</f>
        <v>0.18078642699193256</v>
      </c>
      <c r="H10" s="1088"/>
      <c r="I10" s="1088" t="e">
        <f>I9/I12</f>
        <v>#REF!</v>
      </c>
      <c r="J10" s="1088" t="e">
        <f>J9/J12</f>
        <v>#REF!</v>
      </c>
      <c r="K10" s="1088"/>
      <c r="L10" s="1088" t="e">
        <f>L9/L12</f>
        <v>#DIV/0!</v>
      </c>
      <c r="M10" s="1088">
        <f ca="1">M9/M12</f>
        <v>0.18697819449636319</v>
      </c>
      <c r="N10" s="1088">
        <f ca="1">N9/N12</f>
        <v>0.16623842540541592</v>
      </c>
      <c r="O10" s="1088"/>
      <c r="P10" s="1072">
        <f ca="1">P9/P12</f>
        <v>0.12817391463742775</v>
      </c>
      <c r="Q10" s="1072">
        <f ca="1">Q9/Q12</f>
        <v>0.13844569828481432</v>
      </c>
      <c r="R10" s="1088"/>
      <c r="S10" s="1088" t="e">
        <f ca="1">S9/S12</f>
        <v>#REF!</v>
      </c>
      <c r="T10" s="1078">
        <f ca="1">T9/T12</f>
        <v>2.247757686031333E-2</v>
      </c>
      <c r="U10" s="1078">
        <f ca="1">U9/U12</f>
        <v>6.7029945424272527E-2</v>
      </c>
      <c r="V10" s="1078"/>
      <c r="W10" s="1078">
        <f>W9/W12</f>
        <v>0.40937178984510747</v>
      </c>
      <c r="X10" s="1078">
        <f>X9/X12</f>
        <v>0.4155888818744638</v>
      </c>
      <c r="Y10" s="1080"/>
      <c r="Z10" s="1080"/>
      <c r="AA10" s="1047"/>
      <c r="AB10" s="1057" t="b">
        <v>1</v>
      </c>
      <c r="AC10" s="1057" t="s">
        <v>1253</v>
      </c>
      <c r="AD10" s="1057"/>
      <c r="AE10" s="1057"/>
      <c r="AF10" s="1057"/>
      <c r="AQ10" s="1060"/>
      <c r="AR10" s="1060"/>
      <c r="AS10" s="1060"/>
    </row>
    <row r="11" spans="1:48" s="1069" customFormat="1" ht="17.25" customHeight="1">
      <c r="A11" s="1062"/>
      <c r="B11" s="2028"/>
      <c r="C11" s="2029" t="str">
        <f>AP11</f>
        <v>Q1/2025</v>
      </c>
      <c r="D11" s="2029" t="str">
        <f>AL11</f>
        <v>Q1/2024</v>
      </c>
      <c r="E11" s="2029" t="s">
        <v>31</v>
      </c>
      <c r="F11" s="2029" t="s">
        <v>104</v>
      </c>
      <c r="G11" s="2029" t="s">
        <v>100</v>
      </c>
      <c r="H11" s="1181" t="s">
        <v>31</v>
      </c>
      <c r="I11" s="1181" t="s">
        <v>1256</v>
      </c>
      <c r="J11" s="1181" t="s">
        <v>1257</v>
      </c>
      <c r="K11" s="1181" t="s">
        <v>31</v>
      </c>
      <c r="L11" s="1182"/>
      <c r="M11" s="1182" t="s">
        <v>105</v>
      </c>
      <c r="N11" s="1182" t="s">
        <v>101</v>
      </c>
      <c r="O11" s="1183" t="s">
        <v>31</v>
      </c>
      <c r="P11" s="1182" t="s">
        <v>1258</v>
      </c>
      <c r="Q11" s="1182" t="s">
        <v>1259</v>
      </c>
      <c r="R11" s="1183" t="s">
        <v>31</v>
      </c>
      <c r="S11" s="1184"/>
      <c r="T11" s="1181" t="s">
        <v>102</v>
      </c>
      <c r="U11" s="1181" t="s">
        <v>98</v>
      </c>
      <c r="V11" s="1185" t="s">
        <v>31</v>
      </c>
      <c r="W11" s="1181">
        <v>2024</v>
      </c>
      <c r="X11" s="1181">
        <v>2023</v>
      </c>
      <c r="Y11" s="1186" t="s">
        <v>31</v>
      </c>
      <c r="Z11" s="1186"/>
      <c r="AA11" s="1065"/>
      <c r="AB11" s="1066"/>
      <c r="AC11" s="1066" t="str">
        <f>CONCATENATE(TEXT(W22,"#,##0")," tỷ VND"," (",TEXT(Y22,"+#,##0%;-#,##0%")," YoY)")</f>
        <v>5,812 tỷ VND (+96% YoY)</v>
      </c>
      <c r="AD11" s="1066"/>
      <c r="AE11" s="1066"/>
      <c r="AF11" s="1066"/>
      <c r="AG11" s="1067"/>
      <c r="AH11" s="1068" t="s">
        <v>95</v>
      </c>
      <c r="AI11" s="1068" t="s">
        <v>96</v>
      </c>
      <c r="AJ11" s="1068" t="s">
        <v>97</v>
      </c>
      <c r="AK11" s="1068" t="s">
        <v>98</v>
      </c>
      <c r="AL11" s="1068" t="s">
        <v>99</v>
      </c>
      <c r="AM11" s="1068" t="s">
        <v>100</v>
      </c>
      <c r="AN11" s="1068" t="s">
        <v>101</v>
      </c>
      <c r="AO11" s="1068" t="s">
        <v>102</v>
      </c>
      <c r="AP11" s="1068" t="s">
        <v>103</v>
      </c>
      <c r="AQ11" s="1068" t="s">
        <v>104</v>
      </c>
      <c r="AR11" s="1068" t="s">
        <v>105</v>
      </c>
      <c r="AS11" s="1068" t="s">
        <v>106</v>
      </c>
      <c r="AT11" s="1068" t="s">
        <v>107</v>
      </c>
      <c r="AU11" s="1068" t="s">
        <v>108</v>
      </c>
      <c r="AV11" s="1068" t="s">
        <v>109</v>
      </c>
    </row>
    <row r="12" spans="1:48" s="1071" customFormat="1" ht="17.25" customHeight="1">
      <c r="A12" s="1070"/>
      <c r="B12" s="2030" t="s">
        <v>394</v>
      </c>
      <c r="C12" s="1125">
        <f>INDEX($AH$12:$BI$36,MATCH('2024_Q'!B12,$AG$12:$AG$36,0),MATCH('2024_Q'!$C$11,$AH$11:$BI$11,0))</f>
        <v>36134.958418208997</v>
      </c>
      <c r="D12" s="1125">
        <f>INDEX($AH$12:$BI$36,MATCH('2024_Q'!B12,$AG$12:$AG$36,0),MATCH('2024_Q'!$D$11,$AH$11:$BI$11,0))</f>
        <v>31486.49</v>
      </c>
      <c r="E12" s="1940">
        <f>C12/D12-1</f>
        <v>0.14763374444750732</v>
      </c>
      <c r="F12" s="1125">
        <f>INDEX($AH$12:$BI$36,MATCH('2024_Q'!B12,$AG$12:$AG$36,0),MATCH('2024_Q'!$F$11,$AH$11:$BI$11,0))</f>
        <v>37619.96865997</v>
      </c>
      <c r="G12" s="1125">
        <f>INDEX($AH$12:$BI$36,MATCH('2024_Q'!B12,$AG$12:$AG$36,0),MATCH('2024_Q'!$G$11,$AH$11:$BI$11,0))</f>
        <v>34134.071533952003</v>
      </c>
      <c r="H12" s="1940">
        <f>F12/G12-1</f>
        <v>0.10212368373783631</v>
      </c>
      <c r="I12" s="1125">
        <f>C12+F12</f>
        <v>73754.927078178996</v>
      </c>
      <c r="J12" s="1125">
        <f>D12+G12</f>
        <v>65620.561533952001</v>
      </c>
      <c r="K12" s="1940">
        <f>I12/J12-1</f>
        <v>0.12396062078832237</v>
      </c>
      <c r="L12" s="1128"/>
      <c r="M12" s="1127">
        <f>INDEX($AH$12:$BI$36,MATCH('2024_Q'!B12,$AG$12:$AG$36,0),MATCH('2024_Q'!$M$11,$AH$11:$BI$11,0))</f>
        <v>39852.507152646001</v>
      </c>
      <c r="N12" s="1127">
        <f>INDEX($AH$12:$BI$36,MATCH('2024_Q'!B12,$AG$12:$AG$36,0),MATCH('2024_Q'!$N$11,$AH$11:$BI$11,0))</f>
        <v>34146.67</v>
      </c>
      <c r="O12" s="1128">
        <f>M12/N12-1</f>
        <v>0.16709790889260945</v>
      </c>
      <c r="P12" s="1129">
        <f t="shared" ref="P12:Q15" si="2">I12+M12</f>
        <v>113607.43423082499</v>
      </c>
      <c r="Q12" s="1129">
        <f t="shared" si="2"/>
        <v>99767.231533951999</v>
      </c>
      <c r="R12" s="1128">
        <f t="shared" ref="R12:R20" si="3">P12/Q12-1</f>
        <v>0.13872493487165682</v>
      </c>
      <c r="S12" s="1130">
        <f ca="1">FS!AB67-'2024_Q'!P12</f>
        <v>19797.347229175008</v>
      </c>
      <c r="T12" s="1131">
        <f>INDEX($AH$12:$BI$36,MATCH('2024_Q'!B12,$AG$12:$AG$36,0),MATCH('2024_Q'!$T$11,$AH$11:$BI$11,0))</f>
        <v>34573.920777332001</v>
      </c>
      <c r="U12" s="1131">
        <f>INDEX($AH$12:$BI$36,MATCH('2024_Q'!B12,$AG$12:$AG$36,0),MATCH('2024_Q'!$U$11,$AH$11:$BI$11,0))</f>
        <v>31421.49</v>
      </c>
      <c r="V12" s="1126">
        <f t="shared" ref="V12:V22" si="4">T12/U12-1</f>
        <v>0.10032722118944704</v>
      </c>
      <c r="W12" s="1125">
        <f>P12+T12</f>
        <v>148181.355008157</v>
      </c>
      <c r="X12" s="1125">
        <f>U12+Q12</f>
        <v>131188.72153395199</v>
      </c>
      <c r="Y12" s="1126">
        <f t="shared" ref="Y12:Y22" si="5">W12/X12-1</f>
        <v>0.12952815817941543</v>
      </c>
      <c r="Z12" s="1126">
        <f>P12/150000</f>
        <v>0.75738289487216659</v>
      </c>
      <c r="AB12" s="1072"/>
      <c r="AC12" s="1072" t="str">
        <f>"- "&amp;CONCATENATE(AC8,AC9,AC10,AC11)</f>
        <v>-  Lũy kế cả năm 2024,  Doanh thu thuần và Lợi nhuận sau thuế lần lượt đạt: 148,181 tỷ VND (+13% YoY) và 5,812 tỷ VND (+96% YoY)</v>
      </c>
      <c r="AD12" s="1072" t="s">
        <v>1260</v>
      </c>
      <c r="AE12" s="1072" t="e">
        <f>C12/FS!#REF!</f>
        <v>#REF!</v>
      </c>
      <c r="AF12" s="1072"/>
      <c r="AG12" s="1073" t="str">
        <f>'FS Quarter'!C2</f>
        <v>Doanh số</v>
      </c>
      <c r="AH12" s="1074">
        <v>27335.09</v>
      </c>
      <c r="AI12" s="1074">
        <v>29725.05</v>
      </c>
      <c r="AJ12" s="1074">
        <v>30520.84</v>
      </c>
      <c r="AK12" s="1074">
        <v>31653.21</v>
      </c>
      <c r="AL12" s="1074">
        <v>31685.02</v>
      </c>
      <c r="AM12" s="1074">
        <v>34384.590572936999</v>
      </c>
      <c r="AN12" s="1075">
        <v>34361.57</v>
      </c>
      <c r="AO12" s="1075">
        <v>34793.923302149</v>
      </c>
      <c r="AP12" s="1075">
        <v>36332.913479242001</v>
      </c>
      <c r="AQ12" s="1075">
        <v>37844.160678840002</v>
      </c>
      <c r="AR12" s="1075">
        <v>40091.343632319004</v>
      </c>
      <c r="AS12" s="1075"/>
    </row>
    <row r="13" spans="1:48" s="1071" customFormat="1" ht="17.25" customHeight="1">
      <c r="A13" s="1070"/>
      <c r="B13" s="2030" t="s">
        <v>529</v>
      </c>
      <c r="C13" s="1125">
        <f>INDEX($AH$12:$BI$36,MATCH('2024_Q'!B13,$AG$12:$AG$36,0),MATCH('2024_Q'!$C$11,$AH$11:$BI$11,0))</f>
        <v>7200.4106152049999</v>
      </c>
      <c r="D13" s="1125">
        <f>INDEX($AH$12:$BI$36,MATCH('2024_Q'!B13,$AG$12:$AG$36,0),MATCH('2024_Q'!$D$11,$AH$11:$BI$11,0))</f>
        <v>6712.62</v>
      </c>
      <c r="E13" s="1940">
        <f t="shared" ref="E13" si="6">C13/D13-1</f>
        <v>7.2667693866925287E-2</v>
      </c>
      <c r="F13" s="1125">
        <f>INDEX($AH$12:$BI$36,MATCH('2024_Q'!B13,$AG$12:$AG$36,0),MATCH('2024_Q'!$F$11,$AH$11:$BI$11,0))</f>
        <v>7568.7006601559997</v>
      </c>
      <c r="G13" s="1125">
        <f>INDEX($AH$12:$BI$36,MATCH('2024_Q'!B13,$AG$12:$AG$36,0),MATCH('2024_Q'!$G$11,$AH$11:$BI$11,0))</f>
        <v>7307.7140017000002</v>
      </c>
      <c r="H13" s="1940">
        <f t="shared" ref="H13" si="7">F13/G13-1</f>
        <v>3.5713857766640267E-2</v>
      </c>
      <c r="I13" s="1125">
        <f t="shared" ref="I13:J13" si="8">C13+F13</f>
        <v>14769.111275361</v>
      </c>
      <c r="J13" s="1125">
        <f t="shared" si="8"/>
        <v>14020.334001700001</v>
      </c>
      <c r="K13" s="1940">
        <f t="shared" ref="K13" si="9">I13/J13-1</f>
        <v>5.3406521811121488E-2</v>
      </c>
      <c r="L13" s="1128"/>
      <c r="M13" s="1127">
        <f>INDEX($AH$12:$BI$36,MATCH('2024_Q'!B13,$AG$12:$AG$36,0),MATCH('2024_Q'!$M$11,$AH$11:$BI$11,0))</f>
        <v>7478.1868778999997</v>
      </c>
      <c r="N13" s="1127">
        <f>INDEX($AH$12:$BI$36,MATCH('2024_Q'!B13,$AG$12:$AG$36,0),MATCH('2024_Q'!$N$11,$AH$11:$BI$11,0))</f>
        <v>6891.91</v>
      </c>
      <c r="O13" s="1128">
        <f t="shared" ref="O13" si="10">M13/N13-1</f>
        <v>8.5067401910355667E-2</v>
      </c>
      <c r="P13" s="1129">
        <f t="shared" si="2"/>
        <v>22247.298153260999</v>
      </c>
      <c r="Q13" s="1129">
        <f t="shared" si="2"/>
        <v>20912.244001700001</v>
      </c>
      <c r="R13" s="1128">
        <f t="shared" si="3"/>
        <v>6.3840788748087851E-2</v>
      </c>
      <c r="S13" s="1130">
        <f>FS!AB69-'2024_Q'!P13</f>
        <v>8534.9172146000019</v>
      </c>
      <c r="T13" s="1131">
        <f>INDEX($AH$12:$BI$36,MATCH('2024_Q'!B13,$AG$12:$AG$36,0),MATCH('2024_Q'!$T$11,$AH$11:$BI$11,0))</f>
        <v>6586.9689021189997</v>
      </c>
      <c r="U13" s="1131">
        <f>INDEX($AH$12:$BI$36,MATCH('2024_Q'!B13,$AG$12:$AG$36,0),MATCH('2024_Q'!$U$11,$AH$11:$BI$11,0))</f>
        <v>6186.46</v>
      </c>
      <c r="V13" s="1126">
        <f t="shared" si="4"/>
        <v>6.473959293667142E-2</v>
      </c>
      <c r="W13" s="1125">
        <f>P13+T13</f>
        <v>28834.267055379998</v>
      </c>
      <c r="X13" s="1125">
        <f>U13+Q13</f>
        <v>27098.7040017</v>
      </c>
      <c r="Y13" s="1126">
        <f t="shared" si="5"/>
        <v>6.4045979969046485E-2</v>
      </c>
      <c r="Z13" s="1126"/>
      <c r="AB13" s="1072" t="s">
        <v>1261</v>
      </c>
      <c r="AC13" s="1072" t="str">
        <f>"Biên lợi nhuận gộp " &amp;T11 &amp;" đạt " &amp;TEXT(T24,"0%")</f>
        <v>Biên lợi nhuận gộp Q4/2024 đạt 19%</v>
      </c>
      <c r="AD13" s="1072">
        <f>P12/140000</f>
        <v>0.81148167307732133</v>
      </c>
      <c r="AE13" s="1072"/>
      <c r="AF13" s="1072"/>
      <c r="AG13" s="1073" t="str">
        <f>'FS Quarter'!C3</f>
        <v>Các khoản giảm trừ</v>
      </c>
      <c r="AH13" s="1074">
        <v>-229.27</v>
      </c>
      <c r="AI13" s="1074">
        <v>-260.22000000000003</v>
      </c>
      <c r="AJ13" s="1074">
        <v>-233.18</v>
      </c>
      <c r="AK13" s="1074">
        <v>-231.72</v>
      </c>
      <c r="AL13" s="1074">
        <v>-198.53</v>
      </c>
      <c r="AM13" s="1074">
        <v>-250.51903898500001</v>
      </c>
      <c r="AN13" s="1075">
        <v>-214.9</v>
      </c>
      <c r="AO13" s="1075">
        <v>-220.00252481699999</v>
      </c>
      <c r="AP13" s="1075">
        <v>-197.95506103299999</v>
      </c>
      <c r="AQ13" s="1075">
        <v>-224.19201887</v>
      </c>
      <c r="AR13" s="1075">
        <v>-238.83647967300001</v>
      </c>
      <c r="AS13" s="1075"/>
    </row>
    <row r="14" spans="1:48" s="1084" customFormat="1" ht="17.25" customHeight="1">
      <c r="A14" s="1081"/>
      <c r="B14" s="2031" t="s">
        <v>331</v>
      </c>
      <c r="C14" s="1132">
        <f>INDEX($AH$12:$BI$36,MATCH('2024_Q'!B14,$AG$12:$AG$36,0),MATCH('2024_Q'!$C$11,$AH$11:$BI$11,0))</f>
        <v>-4403.0063437500003</v>
      </c>
      <c r="D14" s="1132">
        <f>INDEX($AH$12:$BI$36,MATCH('2024_Q'!B14,$AG$12:$AG$36,0),MATCH('2024_Q'!$D$11,$AH$11:$BI$11,0))</f>
        <v>-4821.34</v>
      </c>
      <c r="E14" s="1878">
        <f t="shared" ref="E14:E20" si="11">C14/D14-1</f>
        <v>-8.6767093017708796E-2</v>
      </c>
      <c r="F14" s="1132">
        <f>INDEX($AH$12:$BI$36,MATCH('2024_Q'!B14,$AG$12:$AG$36,0),MATCH('2024_Q'!$F$11,$AH$11:$BI$11,0))</f>
        <v>-4703.2832052009999</v>
      </c>
      <c r="G14" s="1132">
        <f>INDEX($AH$12:$BI$36,MATCH('2024_Q'!B14,$AG$12:$AG$36,0),MATCH('2024_Q'!$G$11,$AH$11:$BI$11,0))</f>
        <v>-5056.4360838120001</v>
      </c>
      <c r="H14" s="1878">
        <f t="shared" ref="H14:H20" si="12">F14/G14-1</f>
        <v>-6.9842251094917707E-2</v>
      </c>
      <c r="I14" s="1132">
        <f t="shared" ref="I14:J20" si="13">C14+F14</f>
        <v>-9106.2895489510011</v>
      </c>
      <c r="J14" s="1132">
        <f t="shared" si="13"/>
        <v>-9877.7760838120012</v>
      </c>
      <c r="K14" s="1878">
        <f>I14/J14-1</f>
        <v>-7.8103262142714014E-2</v>
      </c>
      <c r="L14" s="1140"/>
      <c r="M14" s="1136">
        <f>INDEX($AH$12:$BI$36,MATCH('2024_Q'!B14,$AG$12:$AG$36,0),MATCH('2024_Q'!$M$11,$AH$11:$BI$11,0))</f>
        <v>-4570.8334915080004</v>
      </c>
      <c r="N14" s="1136">
        <f>INDEX($AH$12:$BI$36,MATCH('2024_Q'!B14,$AG$12:$AG$36,0),MATCH('2024_Q'!$N$11,$AH$11:$BI$11,0))</f>
        <v>-4848.95</v>
      </c>
      <c r="O14" s="1135">
        <f t="shared" ref="O14:O20" si="14">M14/N14-1</f>
        <v>-5.7356027282607469E-2</v>
      </c>
      <c r="P14" s="1137">
        <f t="shared" si="2"/>
        <v>-13677.123040459002</v>
      </c>
      <c r="Q14" s="1137">
        <f t="shared" si="2"/>
        <v>-14726.726083812002</v>
      </c>
      <c r="R14" s="1135">
        <f t="shared" si="3"/>
        <v>-7.1271987906853962E-2</v>
      </c>
      <c r="S14" s="1134">
        <f>FS!AB71-'2024_Q'!P14</f>
        <v>-8112.8759353219975</v>
      </c>
      <c r="T14" s="1138">
        <f>INDEX($AH$12:$BI$36,MATCH('2024_Q'!B14,$AG$12:$AG$36,0),MATCH('2024_Q'!$T$11,$AH$11:$BI$11,0))</f>
        <v>-5123.1081970819996</v>
      </c>
      <c r="U14" s="1138">
        <f>INDEX($AH$12:$BI$36,MATCH('2024_Q'!B14,$AG$12:$AG$36,0),MATCH('2024_Q'!$U$11,$AH$11:$BI$11,0))</f>
        <v>-5607.08</v>
      </c>
      <c r="V14" s="1133">
        <f t="shared" si="4"/>
        <v>-8.6314410159655353E-2</v>
      </c>
      <c r="W14" s="1132">
        <f>P14+T14</f>
        <v>-18800.231237541004</v>
      </c>
      <c r="X14" s="1132">
        <f>U14+Q14</f>
        <v>-20333.806083812</v>
      </c>
      <c r="Y14" s="1133">
        <f t="shared" si="5"/>
        <v>-7.5419960235181716E-2</v>
      </c>
      <c r="Z14" s="1133"/>
      <c r="AA14" s="1082"/>
      <c r="AB14" s="1083" t="b">
        <v>1</v>
      </c>
      <c r="AC14" s="1083" t="str">
        <f>IF(Y24&gt;0," tăng "," giảm ") &amp;TEXT(V24,"0.00") &amp; " điểm phần trăm svck"</f>
        <v xml:space="preserve"> giảm -0.64 điểm phần trăm svck</v>
      </c>
      <c r="AD14" s="1083"/>
      <c r="AE14" s="1083"/>
      <c r="AF14" s="1083"/>
      <c r="AG14" s="1084" t="str">
        <f>'FS Quarter'!C4</f>
        <v>Doanh thu thuần</v>
      </c>
      <c r="AH14" s="1084">
        <v>27105.81</v>
      </c>
      <c r="AI14" s="1084">
        <v>29464.83</v>
      </c>
      <c r="AJ14" s="1084">
        <v>30287.66</v>
      </c>
      <c r="AK14" s="1084">
        <v>31421.49</v>
      </c>
      <c r="AL14" s="1085">
        <v>31486.49</v>
      </c>
      <c r="AM14" s="1084">
        <v>34134.071533952003</v>
      </c>
      <c r="AN14" s="1086">
        <v>34146.67</v>
      </c>
      <c r="AO14" s="1086">
        <v>34573.920777332001</v>
      </c>
      <c r="AP14" s="1086">
        <v>36134.958418208997</v>
      </c>
      <c r="AQ14" s="1086">
        <v>37619.96865997</v>
      </c>
      <c r="AR14" s="1086">
        <v>39852.507152646001</v>
      </c>
      <c r="AS14" s="1086"/>
    </row>
    <row r="15" spans="1:48" s="1071" customFormat="1" ht="17.25" customHeight="1">
      <c r="A15" s="1070"/>
      <c r="B15" s="2031" t="s">
        <v>333</v>
      </c>
      <c r="C15" s="1132">
        <f>INDEX($AH$12:$BI$36,MATCH('2024_Q'!B15,$AG$12:$AG$36,0),MATCH('2024_Q'!$C$11,$AH$11:$BI$11,0))</f>
        <v>-1214.5997866160001</v>
      </c>
      <c r="D15" s="1132">
        <f>INDEX($AH$12:$BI$36,MATCH('2024_Q'!B15,$AG$12:$AG$36,0),MATCH('2024_Q'!$D$11,$AH$11:$BI$11,0))</f>
        <v>-868.46</v>
      </c>
      <c r="E15" s="1878">
        <f t="shared" si="11"/>
        <v>0.39856733368951947</v>
      </c>
      <c r="F15" s="1132">
        <f>INDEX($AH$12:$BI$36,MATCH('2024_Q'!B15,$AG$12:$AG$36,0),MATCH('2024_Q'!$F$11,$AH$11:$BI$11,0))</f>
        <v>-1201.66609408</v>
      </c>
      <c r="G15" s="1132">
        <f>INDEX($AH$12:$BI$36,MATCH('2024_Q'!B15,$AG$12:$AG$36,0),MATCH('2024_Q'!$G$11,$AH$11:$BI$11,0))</f>
        <v>-813.33576616699997</v>
      </c>
      <c r="H15" s="1878">
        <f t="shared" si="12"/>
        <v>0.47745389304970676</v>
      </c>
      <c r="I15" s="1132">
        <f t="shared" si="13"/>
        <v>-2416.2658806959998</v>
      </c>
      <c r="J15" s="1132">
        <f t="shared" si="13"/>
        <v>-1681.795766167</v>
      </c>
      <c r="K15" s="1878">
        <f>I15/J15-1</f>
        <v>0.43671778066306999</v>
      </c>
      <c r="L15" s="1140"/>
      <c r="M15" s="1136">
        <f>INDEX($AH$12:$BI$36,MATCH('2024_Q'!B15,$AG$12:$AG$36,0),MATCH('2024_Q'!$M$11,$AH$11:$BI$11,0))</f>
        <v>-1119.4142625090001</v>
      </c>
      <c r="N15" s="1136">
        <f>INDEX($AH$12:$BI$36,MATCH('2024_Q'!B15,$AG$12:$AG$36,0),MATCH('2024_Q'!$N$11,$AH$11:$BI$11,0))</f>
        <v>-967.62</v>
      </c>
      <c r="O15" s="1135">
        <f t="shared" si="14"/>
        <v>0.1568738373628078</v>
      </c>
      <c r="P15" s="1137">
        <f t="shared" si="2"/>
        <v>-3535.6801432049997</v>
      </c>
      <c r="Q15" s="1137">
        <f t="shared" si="2"/>
        <v>-2649.4157661670001</v>
      </c>
      <c r="R15" s="1135">
        <f t="shared" si="3"/>
        <v>0.33451313619990586</v>
      </c>
      <c r="S15" s="1134">
        <f>FS!AB72-'2024_Q'!P15</f>
        <v>1187.6405999179997</v>
      </c>
      <c r="T15" s="1138">
        <f>INDEX($AH$12:$BI$36,MATCH('2024_Q'!B15,$AG$12:$AG$36,0),MATCH('2024_Q'!$T$11,$AH$11:$BI$11,0))</f>
        <v>-916.35672364000004</v>
      </c>
      <c r="U15" s="1138">
        <f>INDEX($AH$12:$BI$36,MATCH('2024_Q'!B15,$AG$12:$AG$36,0),MATCH('2024_Q'!$U$11,$AH$11:$BI$11,0))</f>
        <v>-300.98</v>
      </c>
      <c r="V15" s="1133">
        <f t="shared" si="4"/>
        <v>2.0445767946042928</v>
      </c>
      <c r="W15" s="1132">
        <f>P15+T15</f>
        <v>-4452.0368668450001</v>
      </c>
      <c r="X15" s="1132">
        <f>U15+Q15</f>
        <v>-2950.3957661670001</v>
      </c>
      <c r="Y15" s="1133">
        <f t="shared" si="5"/>
        <v>0.50896260016968964</v>
      </c>
      <c r="Z15" s="1133"/>
      <c r="AB15" s="1072"/>
      <c r="AC15" s="1072" t="str">
        <f>"- "&amp;CONCATENATE(AC13,AC14)</f>
        <v>- Biên lợi nhuận gộp Q4/2024 đạt 19% giảm -0.64 điểm phần trăm svck</v>
      </c>
      <c r="AD15" s="1072"/>
      <c r="AE15" s="1072"/>
      <c r="AF15" s="1072"/>
      <c r="AG15" s="1073" t="str">
        <f>'FS Quarter'!C5</f>
        <v>Giá vốn hàng bán</v>
      </c>
      <c r="AH15" s="1074">
        <v>-21891.31</v>
      </c>
      <c r="AI15" s="1074">
        <v>-24023.66</v>
      </c>
      <c r="AJ15" s="1074">
        <v>-24609.17</v>
      </c>
      <c r="AK15" s="1074">
        <v>-25235.03</v>
      </c>
      <c r="AL15" s="1074">
        <v>-24773.88</v>
      </c>
      <c r="AM15" s="1074">
        <v>-26826.357532252001</v>
      </c>
      <c r="AN15" s="1075">
        <v>-27254.76</v>
      </c>
      <c r="AO15" s="1075">
        <v>-27986.951875212999</v>
      </c>
      <c r="AP15" s="1075">
        <v>-28934.547803003999</v>
      </c>
      <c r="AQ15" s="1075">
        <v>-30051.267999814001</v>
      </c>
      <c r="AR15" s="1075">
        <v>-32374.320274746002</v>
      </c>
      <c r="AS15" s="1075"/>
    </row>
    <row r="16" spans="1:48" s="1071" customFormat="1" ht="17.25" customHeight="1">
      <c r="A16" s="1070"/>
      <c r="B16" s="2030" t="s">
        <v>1262</v>
      </c>
      <c r="C16" s="1125">
        <f>C13+SUM(C14:C15)</f>
        <v>1582.8044848389991</v>
      </c>
      <c r="D16" s="1125">
        <f>D13+SUM(D14:D15)</f>
        <v>1022.8199999999997</v>
      </c>
      <c r="E16" s="1940">
        <f t="shared" si="11"/>
        <v>0.54749074601493875</v>
      </c>
      <c r="F16" s="1125">
        <f>F13+SUM(F14:F15)</f>
        <v>1663.7513608749996</v>
      </c>
      <c r="G16" s="1125">
        <f>G13+SUM(G14:G15)</f>
        <v>1437.9421517210003</v>
      </c>
      <c r="H16" s="1940">
        <f t="shared" si="12"/>
        <v>0.15703636539462984</v>
      </c>
      <c r="I16" s="1125">
        <f t="shared" si="13"/>
        <v>3246.5558457139987</v>
      </c>
      <c r="J16" s="1125">
        <f t="shared" si="13"/>
        <v>2460.762151721</v>
      </c>
      <c r="K16" s="1125"/>
      <c r="L16" s="1129"/>
      <c r="M16" s="1127">
        <f>M13+SUM(M14:M15)</f>
        <v>1787.9391238829994</v>
      </c>
      <c r="N16" s="1127">
        <f>N13+SUM(N14:N15)</f>
        <v>1075.3400000000001</v>
      </c>
      <c r="O16" s="1128">
        <f t="shared" si="14"/>
        <v>0.66267331623765435</v>
      </c>
      <c r="P16" s="1129">
        <f>P13+SUM(P14:P15)</f>
        <v>5034.494969596999</v>
      </c>
      <c r="Q16" s="1129">
        <f>J16+N16</f>
        <v>3536.1021517210002</v>
      </c>
      <c r="R16" s="1128">
        <f t="shared" si="3"/>
        <v>0.42374138347410018</v>
      </c>
      <c r="S16" s="1130">
        <f>FS!M78-'2024_Q'!P16</f>
        <v>1609.6818791960031</v>
      </c>
      <c r="T16" s="1131">
        <f>T13+SUM(T14:T15)</f>
        <v>547.50398139699973</v>
      </c>
      <c r="U16" s="1131">
        <f>U13+SUM(U14:U15)</f>
        <v>278.40000000000055</v>
      </c>
      <c r="V16" s="1126">
        <f t="shared" si="4"/>
        <v>0.96660912858117332</v>
      </c>
      <c r="W16" s="1125">
        <f>W13+SUM(W14:W15)</f>
        <v>5581.9989509939951</v>
      </c>
      <c r="X16" s="1125">
        <f>X13+SUM(X14:X15)</f>
        <v>3814.5021517210007</v>
      </c>
      <c r="Y16" s="1126">
        <f t="shared" si="5"/>
        <v>0.46336238097953286</v>
      </c>
      <c r="Z16" s="1126"/>
      <c r="AB16" s="1072" t="s">
        <v>1263</v>
      </c>
      <c r="AC16" s="1072" t="str">
        <f>" Lũy kế cả năm " &amp;W11&amp; "," &amp;" biên lợi nhuận gộp đạt " &amp;TEXT(W24,"0%")</f>
        <v xml:space="preserve"> Lũy kế cả năm 2024, biên lợi nhuận gộp đạt 19%</v>
      </c>
      <c r="AD16" s="1072"/>
      <c r="AE16" s="1072"/>
      <c r="AF16" s="1072"/>
      <c r="AG16" s="1073" t="str">
        <f>'FS Quarter'!C6</f>
        <v>Lãi gộp</v>
      </c>
      <c r="AH16" s="1074">
        <v>5214.5</v>
      </c>
      <c r="AI16" s="1074">
        <v>5441.17</v>
      </c>
      <c r="AJ16" s="1074">
        <v>5678.48</v>
      </c>
      <c r="AK16" s="1074">
        <v>6186.46</v>
      </c>
      <c r="AL16" s="1074">
        <v>6712.62</v>
      </c>
      <c r="AM16" s="1074">
        <v>7307.7140017000002</v>
      </c>
      <c r="AN16" s="1075">
        <v>6891.91</v>
      </c>
      <c r="AO16" s="1075">
        <v>6586.9689021189997</v>
      </c>
      <c r="AP16" s="1075">
        <v>7200.4106152049999</v>
      </c>
      <c r="AQ16" s="1075">
        <v>7568.7006601559997</v>
      </c>
      <c r="AR16" s="1075">
        <v>7478.1868778999997</v>
      </c>
      <c r="AS16" s="1075"/>
    </row>
    <row r="17" spans="1:45" s="1084" customFormat="1" ht="17.25" customHeight="1">
      <c r="A17" s="1081"/>
      <c r="B17" s="2031" t="s">
        <v>569</v>
      </c>
      <c r="C17" s="1132">
        <f>INDEX($AH$12:$BI$36,MATCH('2024_Q'!B17,$AG$12:$AG$36,0),MATCH('2024_Q'!$C$11,$AH$11:$BI$11,0))</f>
        <v>693.29366793099996</v>
      </c>
      <c r="D17" s="1132">
        <f>INDEX($AH$12:$BI$36,MATCH('2024_Q'!B17,$AG$12:$AG$36,0),MATCH('2024_Q'!$D$11,$AH$11:$BI$11,0))</f>
        <v>585.30999999999995</v>
      </c>
      <c r="E17" s="1878">
        <f t="shared" si="11"/>
        <v>0.1844897027745982</v>
      </c>
      <c r="F17" s="1132">
        <f>INDEX($AH$12:$BI$36,MATCH('2024_Q'!B17,$AG$12:$AG$36,0),MATCH('2024_Q'!$F$11,$AH$11:$BI$11,0))</f>
        <v>768.83224696499997</v>
      </c>
      <c r="G17" s="1132">
        <f>INDEX($AH$12:$BI$36,MATCH('2024_Q'!B17,$AG$12:$AG$36,0),MATCH('2024_Q'!$G$11,$AH$11:$BI$11,0))</f>
        <v>580.10878495099996</v>
      </c>
      <c r="H17" s="1878">
        <f t="shared" si="12"/>
        <v>0.32532426143131232</v>
      </c>
      <c r="I17" s="1132">
        <f t="shared" si="13"/>
        <v>1462.1259148959998</v>
      </c>
      <c r="J17" s="2032">
        <f t="shared" si="13"/>
        <v>1165.4187849509999</v>
      </c>
      <c r="K17" s="1878">
        <f t="shared" ref="K17:K22" si="15">I17/J17-1</f>
        <v>0.25459271274529427</v>
      </c>
      <c r="L17" s="1135"/>
      <c r="M17" s="1136">
        <f>INDEX($AH$12:$BI$36,MATCH('2024_Q'!B17,$AG$12:$AG$36,0),MATCH('2024_Q'!$M$11,$AH$11:$BI$11,0))</f>
        <v>809.06889743099998</v>
      </c>
      <c r="N17" s="1136">
        <f>INDEX($AH$12:$BI$36,MATCH('2024_Q'!B17,$AG$12:$AG$36,0),MATCH('2024_Q'!$N$11,$AH$11:$BI$11,0))</f>
        <v>575.39</v>
      </c>
      <c r="O17" s="1135">
        <f t="shared" si="14"/>
        <v>0.40612262540363919</v>
      </c>
      <c r="P17" s="1137">
        <f>I17+M17</f>
        <v>2271.1948123269999</v>
      </c>
      <c r="Q17" s="1137">
        <f>J17+N17</f>
        <v>1740.8087849509998</v>
      </c>
      <c r="R17" s="1135">
        <f t="shared" si="3"/>
        <v>0.30467793588882275</v>
      </c>
      <c r="S17" s="1134">
        <f>FS!AB76-'2024_Q'!P17</f>
        <v>-958.05750800399983</v>
      </c>
      <c r="T17" s="1138">
        <f>INDEX($AH$12:$BI$36,MATCH('2024_Q'!B17,$AG$12:$AG$36,0),MATCH('2024_Q'!$T$11,$AH$11:$BI$11,0))</f>
        <v>635.69558438800004</v>
      </c>
      <c r="U17" s="1138">
        <f>INDEX($AH$12:$BI$36,MATCH('2024_Q'!B17,$AG$12:$AG$36,0),MATCH('2024_Q'!$U$11,$AH$11:$BI$11,0))</f>
        <v>603.39</v>
      </c>
      <c r="V17" s="1133">
        <f t="shared" si="4"/>
        <v>5.3540138862095965E-2</v>
      </c>
      <c r="W17" s="1132">
        <f t="shared" ref="W17:W20" si="16">P17+T17</f>
        <v>2906.890396715</v>
      </c>
      <c r="X17" s="1132">
        <f t="shared" ref="X17:X22" si="17">U17+Q17</f>
        <v>2344.1987849509997</v>
      </c>
      <c r="Y17" s="1133">
        <f t="shared" si="5"/>
        <v>0.24003579192016433</v>
      </c>
      <c r="Z17" s="1133"/>
      <c r="AA17" s="1082"/>
      <c r="AB17" s="1083" t="b">
        <f>AB14</f>
        <v>1</v>
      </c>
      <c r="AC17" s="1083" t="str">
        <f>IF(Y24&gt;0," tăng "," giảm ") &amp;TEXT(Y24,"0.00") &amp; " điểm phẩn trăm svck"</f>
        <v xml:space="preserve"> giảm -1.20 điểm phẩn trăm svck</v>
      </c>
      <c r="AD17" s="1083"/>
      <c r="AE17" s="1083"/>
      <c r="AF17" s="1083"/>
      <c r="AG17" s="1084" t="s">
        <v>569</v>
      </c>
      <c r="AH17" s="1086">
        <v>359.08</v>
      </c>
      <c r="AI17" s="1086">
        <v>585.37</v>
      </c>
      <c r="AJ17" s="1086">
        <v>619.12</v>
      </c>
      <c r="AK17" s="1086">
        <v>603.39</v>
      </c>
      <c r="AL17" s="1087">
        <v>585.30999999999995</v>
      </c>
      <c r="AM17" s="1086">
        <v>580.10878495099996</v>
      </c>
      <c r="AN17" s="1086">
        <v>575.39</v>
      </c>
      <c r="AO17" s="1086">
        <v>635.69558438800004</v>
      </c>
      <c r="AP17" s="1086">
        <v>693.29366793099996</v>
      </c>
      <c r="AQ17" s="1086">
        <v>768.83224696499997</v>
      </c>
      <c r="AR17" s="1086">
        <v>809.06889743099998</v>
      </c>
      <c r="AS17" s="1086"/>
    </row>
    <row r="18" spans="1:45" s="1071" customFormat="1" ht="17.25" customHeight="1">
      <c r="A18" s="1070"/>
      <c r="B18" s="2031" t="s">
        <v>338</v>
      </c>
      <c r="C18" s="1132">
        <f>INDEX($AH$12:$BI$36,MATCH('2024_Q'!B18,$AG$12:$AG$36,0),MATCH('2024_Q'!$C$11,$AH$11:$BI$11,0))</f>
        <v>-339.023162705</v>
      </c>
      <c r="D18" s="1132">
        <f>INDEX($AH$12:$BI$36,MATCH('2024_Q'!B18,$AG$12:$AG$36,0),MATCH('2024_Q'!$D$11,$AH$11:$BI$11,0))</f>
        <v>-375.24</v>
      </c>
      <c r="E18" s="1878">
        <f t="shared" si="11"/>
        <v>-9.6516462250826107E-2</v>
      </c>
      <c r="F18" s="1132">
        <f>INDEX($AH$12:$BI$36,MATCH('2024_Q'!B18,$AG$12:$AG$36,0),MATCH('2024_Q'!$F$11,$AH$11:$BI$11,0))</f>
        <v>-402.45446864399997</v>
      </c>
      <c r="G18" s="1132">
        <f>INDEX($AH$12:$BI$36,MATCH('2024_Q'!B18,$AG$12:$AG$36,0),MATCH('2024_Q'!$G$11,$AH$11:$BI$11,0))</f>
        <v>-293.71725455799998</v>
      </c>
      <c r="H18" s="1878">
        <f t="shared" si="12"/>
        <v>0.37021050823055335</v>
      </c>
      <c r="I18" s="1132">
        <f t="shared" si="13"/>
        <v>-741.47763134899992</v>
      </c>
      <c r="J18" s="1132">
        <f t="shared" si="13"/>
        <v>-668.95725455799993</v>
      </c>
      <c r="K18" s="1878">
        <f t="shared" si="15"/>
        <v>0.10840808780662137</v>
      </c>
      <c r="L18" s="1134"/>
      <c r="M18" s="1136">
        <f>INDEX($AH$12:$BI$36,MATCH('2024_Q'!B18,$AG$12:$AG$36,0),MATCH('2024_Q'!$M$11,$AH$11:$BI$11,0))</f>
        <v>-410.74327563600002</v>
      </c>
      <c r="N18" s="1136">
        <f>INDEX($AH$12:$BI$36,MATCH('2024_Q'!B18,$AG$12:$AG$36,0),MATCH('2024_Q'!$N$11,$AH$11:$BI$11,0))</f>
        <v>-330.44</v>
      </c>
      <c r="O18" s="1135">
        <f t="shared" si="14"/>
        <v>0.24301923385788649</v>
      </c>
      <c r="P18" s="1137">
        <f>I18+M18</f>
        <v>-1152.2209069850001</v>
      </c>
      <c r="Q18" s="1137">
        <f>J18+N18</f>
        <v>-999.39725455799999</v>
      </c>
      <c r="R18" s="1135">
        <f t="shared" si="3"/>
        <v>0.15291582174156448</v>
      </c>
      <c r="S18" s="1134">
        <f>FS!AB77-'2024_Q'!P18</f>
        <v>1152.2209069850001</v>
      </c>
      <c r="T18" s="1138">
        <f>INDEX($AH$12:$BI$36,MATCH('2024_Q'!B18,$AG$12:$AG$36,0),MATCH('2024_Q'!$T$11,$AH$11:$BI$11,0))</f>
        <v>-189.07196317099999</v>
      </c>
      <c r="U18" s="1138">
        <f>INDEX($AH$12:$BI$36,MATCH('2024_Q'!B18,$AG$12:$AG$36,0),MATCH('2024_Q'!$U$11,$AH$11:$BI$11,0))</f>
        <v>-418.58</v>
      </c>
      <c r="V18" s="1133">
        <f t="shared" si="4"/>
        <v>-0.54830148795690192</v>
      </c>
      <c r="W18" s="1132">
        <f t="shared" si="16"/>
        <v>-1341.2928701559999</v>
      </c>
      <c r="X18" s="1132">
        <f t="shared" si="17"/>
        <v>-1417.9772545579999</v>
      </c>
      <c r="Y18" s="1133">
        <f t="shared" si="5"/>
        <v>-5.4080123045347039E-2</v>
      </c>
      <c r="Z18" s="1133"/>
      <c r="AB18" s="1072"/>
      <c r="AC18" s="1072" t="str">
        <f>"- "&amp;CONCATENATE(AC16,AC17)</f>
        <v>-  Lũy kế cả năm 2024, biên lợi nhuận gộp đạt 19% giảm -1.20 điểm phẩn trăm svck</v>
      </c>
      <c r="AD18" s="1072"/>
      <c r="AE18" s="1072"/>
      <c r="AF18" s="1072"/>
      <c r="AG18" s="1073" t="str">
        <f>'FS Quarter'!C8</f>
        <v>Chi phí tài chính</v>
      </c>
      <c r="AH18" s="1074">
        <v>-295.77999999999997</v>
      </c>
      <c r="AI18" s="1074">
        <v>-396.88</v>
      </c>
      <c r="AJ18" s="1074">
        <v>-444.91</v>
      </c>
      <c r="AK18" s="1074">
        <v>-418.58</v>
      </c>
      <c r="AL18" s="1074">
        <v>-375.24</v>
      </c>
      <c r="AM18" s="1074">
        <v>-293.71725455799998</v>
      </c>
      <c r="AN18" s="1075">
        <v>-330.44</v>
      </c>
      <c r="AO18" s="1075">
        <v>-189.07196317099999</v>
      </c>
      <c r="AP18" s="1075">
        <v>-339.023162705</v>
      </c>
      <c r="AQ18" s="1075">
        <v>-402.45446864399997</v>
      </c>
      <c r="AR18" s="1075">
        <v>-410.74327563600002</v>
      </c>
      <c r="AS18" s="1075"/>
    </row>
    <row r="19" spans="1:45" s="1088" customFormat="1" ht="17.25" customHeight="1">
      <c r="A19" s="1070"/>
      <c r="B19" s="2031" t="s">
        <v>541</v>
      </c>
      <c r="C19" s="1132">
        <f>INDEX($AH$12:$BI$36,MATCH('2024_Q'!B19,$AG$12:$AG$36,0),MATCH('2024_Q'!$C$11,$AH$11:$BI$11,0))</f>
        <v>-5.543377145</v>
      </c>
      <c r="D19" s="1132">
        <f>INDEX($AH$12:$BI$36,MATCH('2024_Q'!B19,$AG$12:$AG$36,0),MATCH('2024_Q'!$D$11,$AH$11:$BI$11,0))</f>
        <v>-6.2</v>
      </c>
      <c r="E19" s="1878">
        <f t="shared" si="11"/>
        <v>-0.10590691209677416</v>
      </c>
      <c r="F19" s="1132">
        <f>INDEX($AH$12:$BI$36,MATCH('2024_Q'!B19,$AG$12:$AG$36,0),MATCH('2024_Q'!$F$11,$AH$11:$BI$11,0))</f>
        <v>-13.046014594000001</v>
      </c>
      <c r="G19" s="1132">
        <f>INDEX($AH$12:$BI$36,MATCH('2024_Q'!B19,$AG$12:$AG$36,0),MATCH('2024_Q'!$G$11,$AH$11:$BI$11,0))</f>
        <v>-181.60930927499999</v>
      </c>
      <c r="H19" s="1878">
        <f t="shared" si="12"/>
        <v>-0.9281643950627817</v>
      </c>
      <c r="I19" s="1132">
        <f t="shared" si="13"/>
        <v>-18.589391739</v>
      </c>
      <c r="J19" s="1132">
        <f t="shared" si="13"/>
        <v>-187.80930927499998</v>
      </c>
      <c r="K19" s="1878">
        <f t="shared" si="15"/>
        <v>-0.90101985992728151</v>
      </c>
      <c r="L19" s="1135"/>
      <c r="M19" s="1136">
        <f>INDEX($AH$12:$BI$36,MATCH('2024_Q'!B19,$AG$12:$AG$36,0),MATCH('2024_Q'!$M$11,$AH$11:$BI$11,0))</f>
        <v>-18.090280954000001</v>
      </c>
      <c r="N19" s="1136">
        <f>INDEX($AH$12:$BI$36,MATCH('2024_Q'!B19,$AG$12:$AG$36,0),MATCH('2024_Q'!$N$11,$AH$11:$BI$11,0))</f>
        <v>-252.39</v>
      </c>
      <c r="O19" s="1135">
        <f t="shared" si="14"/>
        <v>-0.92832409780894642</v>
      </c>
      <c r="P19" s="1137">
        <f>I19+M19</f>
        <v>-36.679672693000001</v>
      </c>
      <c r="Q19" s="1137">
        <f>J19+N19</f>
        <v>-440.19930927499996</v>
      </c>
      <c r="R19" s="1135">
        <f t="shared" si="3"/>
        <v>-0.91667485177700359</v>
      </c>
      <c r="S19" s="1134"/>
      <c r="T19" s="1138">
        <f>INDEX($AH$12:$BI$36,MATCH('2024_Q'!B19,$AG$12:$AG$36,0),MATCH('2024_Q'!$T$11,$AH$11:$BI$11,0))</f>
        <v>38.921131266000003</v>
      </c>
      <c r="U19" s="1138">
        <f>INDEX($AH$12:$BI$36,MATCH('2024_Q'!B19,$AG$12:$AG$36,0),MATCH('2024_Q'!$U$11,$AH$11:$BI$11,0))</f>
        <v>-244.29</v>
      </c>
      <c r="V19" s="1133">
        <f t="shared" si="4"/>
        <v>-1.1593234731916984</v>
      </c>
      <c r="W19" s="1132">
        <f t="shared" si="16"/>
        <v>2.2414585730000027</v>
      </c>
      <c r="X19" s="1132">
        <f t="shared" si="17"/>
        <v>-684.48930927499998</v>
      </c>
      <c r="Y19" s="1133">
        <f t="shared" si="5"/>
        <v>-1.0032746436542217</v>
      </c>
      <c r="Z19" s="1133"/>
      <c r="AA19" s="1071"/>
      <c r="AD19" s="1072"/>
      <c r="AE19" s="1072"/>
      <c r="AF19" s="1072"/>
      <c r="AG19" s="1088" t="str">
        <f>'FS Quarter'!C9</f>
        <v xml:space="preserve">    Trong đó: Chi phí lãi vay</v>
      </c>
      <c r="AH19" s="1089">
        <v>-295.77999999999997</v>
      </c>
      <c r="AI19" s="1089">
        <v>-384.52</v>
      </c>
      <c r="AJ19" s="1089">
        <v>-438.38</v>
      </c>
      <c r="AK19" s="1089">
        <v>-329.04</v>
      </c>
      <c r="AL19" s="1075">
        <v>-266.98</v>
      </c>
      <c r="AM19" s="1089">
        <v>-243.089634104</v>
      </c>
      <c r="AN19" s="1090">
        <v>-303.7</v>
      </c>
      <c r="AO19" s="1089">
        <v>-323.470486929</v>
      </c>
      <c r="AP19" s="1089">
        <v>-322.79285049999999</v>
      </c>
      <c r="AQ19" s="1089">
        <v>-375.17848203800003</v>
      </c>
      <c r="AR19" s="1089">
        <v>-388.038374707</v>
      </c>
      <c r="AS19" s="1089"/>
    </row>
    <row r="20" spans="1:45" s="1071" customFormat="1" ht="17.25" customHeight="1">
      <c r="A20" s="1070"/>
      <c r="B20" s="2031" t="s">
        <v>8</v>
      </c>
      <c r="C20" s="1132">
        <f>INDEX($AH$12:$BI$36,MATCH('2024_Q'!B20,$AG$12:$AG$36,0),MATCH('2024_Q'!$C$11,$AH$11:$BI$11,0))</f>
        <v>1934.6613872200001</v>
      </c>
      <c r="D20" s="1132">
        <f>INDEX($AH$12:$BI$36,MATCH('2024_Q'!B20,$AG$12:$AG$36,0),MATCH('2024_Q'!$D$11,$AH$11:$BI$11,0))</f>
        <v>1206.2</v>
      </c>
      <c r="E20" s="1878">
        <f t="shared" si="11"/>
        <v>0.60393084664234786</v>
      </c>
      <c r="F20" s="1132">
        <f>INDEX($AH$12:$BI$36,MATCH('2024_Q'!B20,$AG$12:$AG$36,0),MATCH('2024_Q'!$F$11,$AH$11:$BI$11,0))</f>
        <v>2028.2047553760001</v>
      </c>
      <c r="G20" s="1132">
        <f>INDEX($AH$12:$BI$36,MATCH('2024_Q'!B20,$AG$12:$AG$36,0),MATCH('2024_Q'!$G$11,$AH$11:$BI$11,0))</f>
        <v>1516.0430932920001</v>
      </c>
      <c r="H20" s="1878">
        <f t="shared" si="12"/>
        <v>0.33782790499171789</v>
      </c>
      <c r="I20" s="1132">
        <f t="shared" si="13"/>
        <v>3962.8661425959999</v>
      </c>
      <c r="J20" s="1132">
        <f t="shared" si="13"/>
        <v>2722.2430932920001</v>
      </c>
      <c r="K20" s="1878">
        <f t="shared" si="15"/>
        <v>0.45573558524625302</v>
      </c>
      <c r="L20" s="1135"/>
      <c r="M20" s="1136">
        <f>INDEX($AH$12:$BI$36,MATCH('2024_Q'!B20,$AG$12:$AG$36,0),MATCH('2024_Q'!$M$11,$AH$11:$BI$11,0))</f>
        <v>2172.351166079</v>
      </c>
      <c r="N20" s="1136">
        <f>INDEX($AH$12:$BI$36,MATCH('2024_Q'!B20,$AG$12:$AG$36,0),MATCH('2024_Q'!$N$11,$AH$11:$BI$11,0))</f>
        <v>1068.05</v>
      </c>
      <c r="O20" s="1135">
        <f t="shared" si="14"/>
        <v>1.0339414503806004</v>
      </c>
      <c r="P20" s="1137">
        <f>I20+M20</f>
        <v>6135.2173086749999</v>
      </c>
      <c r="Q20" s="1137">
        <f>J20+N20</f>
        <v>3790.2930932919999</v>
      </c>
      <c r="R20" s="1128">
        <f t="shared" si="3"/>
        <v>0.61866566982194837</v>
      </c>
      <c r="S20" s="1130">
        <f>FS!M96-'2024_Q'!P20</f>
        <v>-78.861935116998211</v>
      </c>
      <c r="T20" s="1138">
        <f>INDEX($AH$12:$BI$36,MATCH('2024_Q'!B20,$AG$12:$AG$36,0),MATCH('2024_Q'!$T$11,$AH$11:$BI$11,0))</f>
        <v>1035.4712539980001</v>
      </c>
      <c r="U20" s="1138">
        <f>INDEX($AH$12:$BI$36,MATCH('2024_Q'!B20,$AG$12:$AG$36,0),MATCH('2024_Q'!$U$11,$AH$11:$BI$11,0))</f>
        <v>218.93</v>
      </c>
      <c r="V20" s="1133">
        <f t="shared" si="4"/>
        <v>3.7296910153839127</v>
      </c>
      <c r="W20" s="1132">
        <f t="shared" si="16"/>
        <v>7170.688562673</v>
      </c>
      <c r="X20" s="1132">
        <f t="shared" si="17"/>
        <v>4009.2230932919997</v>
      </c>
      <c r="Y20" s="1133">
        <f t="shared" si="5"/>
        <v>0.78854815404774592</v>
      </c>
      <c r="Z20" s="1133"/>
      <c r="AB20" s="1072" t="s">
        <v>1264</v>
      </c>
      <c r="AC20" s="1072" t="str">
        <f>"DT tài chính " &amp;W11&amp;" là: " &amp; TEXT(W17,"#,##0") &amp;" tỷ VND " &amp; IF(Y17&gt;0,"tăng ","giảm ") &amp;TEXT(Y17,"0%") &amp; " svck"</f>
        <v>DT tài chính 2024 là: 2,907 tỷ VND tăng 24% svck</v>
      </c>
      <c r="AD20" s="1072"/>
      <c r="AE20" s="1072"/>
      <c r="AF20" s="1072"/>
      <c r="AG20" s="1073" t="str">
        <f>'FS Quarter'!C10</f>
        <v>Lãi/(lỗ) từ công ty liên doanh (từ năm 2015)</v>
      </c>
      <c r="AH20" s="1074">
        <v>0</v>
      </c>
      <c r="AI20" s="1074">
        <v>0</v>
      </c>
      <c r="AJ20" s="1074">
        <v>0</v>
      </c>
      <c r="AK20" s="1074">
        <v>0</v>
      </c>
      <c r="AL20" s="1074">
        <v>-20.49</v>
      </c>
      <c r="AM20" s="1074">
        <v>-26.681279546999999</v>
      </c>
      <c r="AN20" s="1075">
        <v>0.15</v>
      </c>
      <c r="AO20" s="1075">
        <v>2.422520118</v>
      </c>
      <c r="AP20" s="1075">
        <v>3.1297742999999998</v>
      </c>
      <c r="AQ20" s="1075">
        <v>11.121630774</v>
      </c>
      <c r="AR20" s="1075">
        <v>4.1767013549999996</v>
      </c>
      <c r="AS20" s="1075"/>
    </row>
    <row r="21" spans="1:45" s="1071" customFormat="1" ht="17.25" customHeight="1">
      <c r="A21" s="1070"/>
      <c r="B21" s="1141" t="s">
        <v>9</v>
      </c>
      <c r="C21" s="1132">
        <f>INDEX($AH$12:$BI$36,MATCH('2024_Q'!B21,$AG$12:$AG$36,0),MATCH('2024_Q'!$C$11,$AH$11:$BI$11,0))</f>
        <v>1547.8337686760001</v>
      </c>
      <c r="D21" s="1132">
        <f>INDEX($AH$12:$BI$36,MATCH('2024_Q'!B21,$AG$12:$AG$36,0),MATCH('2024_Q'!$D$11,$AH$11:$BI$11,0))</f>
        <v>902.97</v>
      </c>
      <c r="E21" s="1878">
        <f t="shared" ref="E21" si="18">C21/D21-1</f>
        <v>0.71415857523062787</v>
      </c>
      <c r="F21" s="1132">
        <f>INDEX($AH$12:$BI$36,MATCH('2024_Q'!B21,$AG$12:$AG$36,0),MATCH('2024_Q'!$F$11,$AH$11:$BI$11,0))</f>
        <v>1657.5291209100001</v>
      </c>
      <c r="G21" s="1132">
        <f>INDEX($AH$12:$BI$36,MATCH('2024_Q'!B21,$AG$12:$AG$36,0),MATCH('2024_Q'!$G$11,$AH$11:$BI$11,0))</f>
        <v>1172.384028448</v>
      </c>
      <c r="H21" s="1878">
        <f t="shared" ref="H21" si="19">F21/G21-1</f>
        <v>0.41381073154351511</v>
      </c>
      <c r="I21" s="1132">
        <f>C21+F21</f>
        <v>3205.3628895860002</v>
      </c>
      <c r="J21" s="1132">
        <f t="shared" ref="J21" si="20">D21+G21</f>
        <v>2075.354028448</v>
      </c>
      <c r="K21" s="1878">
        <f t="shared" si="15"/>
        <v>0.54448968496379768</v>
      </c>
      <c r="L21" s="1141"/>
      <c r="M21" s="1136">
        <f>INDEX($AH$12:$BI$36,MATCH('2024_Q'!B21,$AG$12:$AG$36,0),MATCH('2024_Q'!$M$11,$AH$11:$BI$11,0))</f>
        <v>1783.6656339850001</v>
      </c>
      <c r="N21" s="1136">
        <f>INDEX($AH$12:$BI$36,MATCH('2024_Q'!B21,$AG$12:$AG$36,0),MATCH('2024_Q'!$N$11,$AH$11:$BI$11,0))</f>
        <v>805.79</v>
      </c>
      <c r="O21" s="1135">
        <f t="shared" ref="O21" si="21">M21/N21-1</f>
        <v>1.2135613919073212</v>
      </c>
      <c r="P21" s="1137">
        <f>M21+I21</f>
        <v>4989.0285235709998</v>
      </c>
      <c r="Q21" s="1137">
        <f>N21+J21</f>
        <v>2881.144028448</v>
      </c>
      <c r="R21" s="1128">
        <f>P21/Q21-1</f>
        <v>0.73161371813073317</v>
      </c>
      <c r="S21" s="1141"/>
      <c r="T21" s="1138">
        <f>INDEX($AH$12:$BI$36,MATCH('2024_Q'!B21,$AG$12:$AG$36,0),MATCH('2024_Q'!$T$11,$AH$11:$BI$11,0))</f>
        <v>852.14412629000003</v>
      </c>
      <c r="U21" s="1138">
        <f>INDEX($AH$12:$BI$36,MATCH('2024_Q'!B21,$AG$12:$AG$36,0),MATCH('2024_Q'!$U$11,$AH$11:$BI$11,0))</f>
        <v>90.32</v>
      </c>
      <c r="V21" s="1133">
        <f t="shared" si="4"/>
        <v>8.4347223902790098</v>
      </c>
      <c r="W21" s="1132">
        <f>P21+T21</f>
        <v>5841.1726498609996</v>
      </c>
      <c r="X21" s="1132">
        <f t="shared" si="17"/>
        <v>2971.4640284480001</v>
      </c>
      <c r="Y21" s="1133">
        <f t="shared" si="5"/>
        <v>0.96575580048729459</v>
      </c>
      <c r="Z21" s="1133"/>
      <c r="AB21" s="1072" t="b">
        <f>AB17</f>
        <v>1</v>
      </c>
      <c r="AC21" s="1072"/>
      <c r="AD21" s="1072"/>
      <c r="AE21" s="1072"/>
      <c r="AF21" s="1072"/>
      <c r="AG21" s="1073" t="str">
        <f>'FS Quarter'!C11</f>
        <v>Chi phí bán hàng</v>
      </c>
      <c r="AH21" s="1074">
        <v>-4784.6899999999996</v>
      </c>
      <c r="AI21" s="1074">
        <v>-5211.13</v>
      </c>
      <c r="AJ21" s="1074">
        <v>-5314.32</v>
      </c>
      <c r="AK21" s="1074">
        <v>-5607.08</v>
      </c>
      <c r="AL21" s="1074">
        <v>-4821.34</v>
      </c>
      <c r="AM21" s="1074">
        <v>-5056.4360838120001</v>
      </c>
      <c r="AN21" s="1075">
        <v>-4848.95</v>
      </c>
      <c r="AO21" s="1075">
        <v>-5123.1081970819996</v>
      </c>
      <c r="AP21" s="1075">
        <v>-4403.0063437500003</v>
      </c>
      <c r="AQ21" s="1075">
        <v>-4703.2832052009999</v>
      </c>
      <c r="AR21" s="1075">
        <v>-4570.8334915080004</v>
      </c>
      <c r="AS21" s="1075"/>
    </row>
    <row r="22" spans="1:45" s="1071" customFormat="1" ht="17.25" customHeight="1">
      <c r="A22" s="1070"/>
      <c r="B22" s="2030" t="s">
        <v>404</v>
      </c>
      <c r="C22" s="1125">
        <f>INDEX($AH$12:$BI$36,MATCH('2024_Q'!B22,$AG$12:$AG$36,0),MATCH('2024_Q'!$C$11,$AH$11:$BI$11,0))</f>
        <v>1545.937090941</v>
      </c>
      <c r="D22" s="1125">
        <f>INDEX($AH$12:$BI$36,MATCH('2024_Q'!B22,$AG$12:$AG$36,0),MATCH('2024_Q'!$D$11,$AH$11:$BI$11,0))</f>
        <v>902.44</v>
      </c>
      <c r="E22" s="1941">
        <f>C22/D22-1</f>
        <v>0.71306357313616409</v>
      </c>
      <c r="F22" s="1125">
        <f>INDEX($AH$12:$BI$36,MATCH('2024_Q'!B22,$AG$12:$AG$36,0),MATCH('2024_Q'!$F$11,$AH$11:$BI$11,0))</f>
        <v>1648.1462467040001</v>
      </c>
      <c r="G22" s="1125">
        <f>INDEX($AH$12:$BI$36,MATCH('2024_Q'!B22,$AG$12:$AG$36,0),MATCH('2024_Q'!$G$11,$AH$11:$BI$11,0))</f>
        <v>1172.2769124670001</v>
      </c>
      <c r="H22" s="1940">
        <f>F22/G22-1</f>
        <v>0.40593594327090865</v>
      </c>
      <c r="I22" s="1125">
        <f>C22+F22</f>
        <v>3194.083337645</v>
      </c>
      <c r="J22" s="1125">
        <f>D22+G22</f>
        <v>2074.7169124669999</v>
      </c>
      <c r="K22" s="1940">
        <f t="shared" si="15"/>
        <v>0.53952730536475269</v>
      </c>
      <c r="L22" s="1128"/>
      <c r="M22" s="1127">
        <f>INDEX($AH$12:$BI$36,MATCH('2024_Q'!B22,$AG$12:$AG$36,0),MATCH('2024_Q'!$M$11,$AH$11:$BI$11,0))</f>
        <v>1770.898917304</v>
      </c>
      <c r="N22" s="1127">
        <f>INDEX($AH$12:$BI$36,MATCH('2024_Q'!B22,$AG$12:$AG$36,0),MATCH('2024_Q'!$N$11,$AH$11:$BI$11,0))</f>
        <v>800.15</v>
      </c>
      <c r="O22" s="1128">
        <f>M22/N22-1</f>
        <v>1.213208670004374</v>
      </c>
      <c r="P22" s="1129">
        <f>I22+M22</f>
        <v>4964.982254949</v>
      </c>
      <c r="Q22" s="1129">
        <f>J22+N22</f>
        <v>2874.866912467</v>
      </c>
      <c r="R22" s="1128">
        <f>P22/Q22-1</f>
        <v>0.72703029605235403</v>
      </c>
      <c r="S22" s="1130">
        <f>FS!AB80-'2024_Q'!P22</f>
        <v>-865.21922764399824</v>
      </c>
      <c r="T22" s="1131">
        <f>INDEX($AH$12:$BI$36,MATCH('2024_Q'!B22,$AG$12:$AG$36,0),MATCH('2024_Q'!$T$11,$AH$11:$BI$11,0))</f>
        <v>847.00438220499996</v>
      </c>
      <c r="U22" s="1131">
        <f>INDEX($AH$12:$BI$36,MATCH('2024_Q'!B22,$AG$12:$AG$36,0),MATCH('2024_Q'!$U$11,$AH$11:$BI$11,0))</f>
        <v>90.26</v>
      </c>
      <c r="V22" s="1126">
        <f t="shared" si="4"/>
        <v>8.3840503235652548</v>
      </c>
      <c r="W22" s="1125">
        <f>P22+T22</f>
        <v>5811.9866371540002</v>
      </c>
      <c r="X22" s="1125">
        <f t="shared" si="17"/>
        <v>2965.1269124670002</v>
      </c>
      <c r="Y22" s="1126">
        <f t="shared" si="5"/>
        <v>0.96011395421803325</v>
      </c>
      <c r="Z22" s="1126">
        <f>P21/4850</f>
        <v>1.0286656749630927</v>
      </c>
      <c r="AB22" s="1072" t="s">
        <v>1265</v>
      </c>
      <c r="AC22" s="1072" t="str">
        <f>"CP lãi vay " &amp;W11 &amp;" là: " &amp; TEXT(W18,"#,##0") &amp;" tỷ VND, tương ứng "&amp;TEXT(AB24,"0%")&amp;" DTT, "</f>
        <v xml:space="preserve">CP lãi vay 2024 là: -1,341 tỷ VND, tương ứng -547% DTT, </v>
      </c>
      <c r="AD22" s="1072"/>
      <c r="AE22" s="1072"/>
      <c r="AF22" s="1072"/>
      <c r="AG22" s="1073" t="str">
        <f>'FS Quarter'!C12</f>
        <v>Chi phí QLDN</v>
      </c>
      <c r="AH22" s="1074">
        <v>-324.69</v>
      </c>
      <c r="AI22" s="1074">
        <v>-229.16</v>
      </c>
      <c r="AJ22" s="1074">
        <v>-341.53</v>
      </c>
      <c r="AK22" s="1074">
        <v>-300.98</v>
      </c>
      <c r="AL22" s="1074">
        <v>-868.46</v>
      </c>
      <c r="AM22" s="1074">
        <v>-813.33576616699997</v>
      </c>
      <c r="AN22" s="1075">
        <v>-967.62</v>
      </c>
      <c r="AO22" s="1075">
        <v>-916.35672364000004</v>
      </c>
      <c r="AP22" s="1075">
        <v>-1214.5997866160001</v>
      </c>
      <c r="AQ22" s="1075">
        <v>-1201.66609408</v>
      </c>
      <c r="AR22" s="1075">
        <v>-1119.4142625090001</v>
      </c>
      <c r="AS22" s="1075"/>
    </row>
    <row r="23" spans="1:45" s="1071" customFormat="1" ht="17.25" customHeight="1">
      <c r="A23" s="1070"/>
      <c r="B23" s="1150" t="s">
        <v>1266</v>
      </c>
      <c r="C23" s="1150"/>
      <c r="D23" s="1150"/>
      <c r="E23" s="1150"/>
      <c r="F23" s="2033"/>
      <c r="G23" s="2033"/>
      <c r="H23" s="2033"/>
      <c r="I23" s="2033"/>
      <c r="J23" s="2033"/>
      <c r="K23" s="2033"/>
      <c r="L23" s="1150"/>
      <c r="M23" s="1150"/>
      <c r="N23" s="1150"/>
      <c r="O23" s="1150"/>
      <c r="P23" s="1150"/>
      <c r="Q23" s="1150"/>
      <c r="R23" s="1150"/>
      <c r="S23" s="1150"/>
      <c r="T23" s="1150"/>
      <c r="U23" s="1150"/>
      <c r="V23" s="1150"/>
      <c r="W23" s="1150"/>
      <c r="X23" s="1150"/>
      <c r="Y23" s="1150"/>
      <c r="Z23" s="1150"/>
      <c r="AA23" s="1091"/>
      <c r="AB23" s="1072" t="b">
        <v>1</v>
      </c>
      <c r="AC23" s="1072" t="str">
        <f>IF(Y18&gt;0,"tăng ","giảm ") &amp;TEXT(Y18,"0%") &amp; " svck"</f>
        <v>giảm -5% svck</v>
      </c>
      <c r="AD23" s="1092"/>
      <c r="AE23" s="1092"/>
      <c r="AF23" s="1092"/>
      <c r="AG23" s="1073" t="str">
        <f>'FS Quarter'!C13</f>
        <v>Lãi/lỗ từ hoạt động kinh doanh</v>
      </c>
      <c r="AH23" s="1074">
        <v>168.43</v>
      </c>
      <c r="AI23" s="1074">
        <v>189.37</v>
      </c>
      <c r="AJ23" s="1074">
        <v>196.83</v>
      </c>
      <c r="AK23" s="1074">
        <v>463.22</v>
      </c>
      <c r="AL23" s="1074">
        <v>1212.4000000000001</v>
      </c>
      <c r="AM23" s="1074">
        <v>1697.6524025670001</v>
      </c>
      <c r="AN23" s="1075">
        <v>1320.44</v>
      </c>
      <c r="AO23" s="1075">
        <v>996.55012273199998</v>
      </c>
      <c r="AP23" s="1075">
        <v>1940.2047643650001</v>
      </c>
      <c r="AQ23" s="1075">
        <v>2041.25076997</v>
      </c>
      <c r="AR23" s="1075">
        <v>2190.4414470329998</v>
      </c>
      <c r="AS23" s="1075"/>
    </row>
    <row r="24" spans="1:45" s="1091" customFormat="1" ht="17.25" customHeight="1">
      <c r="A24" s="1093"/>
      <c r="B24" s="1142" t="s">
        <v>243</v>
      </c>
      <c r="C24" s="1876">
        <f>C13/C12</f>
        <v>0.19926439465823753</v>
      </c>
      <c r="D24" s="1876">
        <f>D13/D12</f>
        <v>0.21319048264827231</v>
      </c>
      <c r="E24" s="1942">
        <f>(C24-D24)*100</f>
        <v>-1.3926087990034781</v>
      </c>
      <c r="F24" s="1876">
        <f>F13/F12</f>
        <v>0.2011883829188186</v>
      </c>
      <c r="G24" s="1878">
        <f>G13/G12</f>
        <v>0.21408855355656195</v>
      </c>
      <c r="H24" s="1942">
        <f>(F24-G24)*100</f>
        <v>-1.2900170637743347</v>
      </c>
      <c r="I24" s="1876">
        <f>I13/I12</f>
        <v>0.20024575795059749</v>
      </c>
      <c r="J24" s="1876">
        <f>J13/J12</f>
        <v>0.21365763525881895</v>
      </c>
      <c r="K24" s="1942">
        <f>(I24-J24)*100</f>
        <v>-1.3411877308221465</v>
      </c>
      <c r="L24" s="1135"/>
      <c r="M24" s="1135">
        <f>M13/M12</f>
        <v>0.18764658517609692</v>
      </c>
      <c r="N24" s="1135">
        <f>N13/N12</f>
        <v>0.20183256522524745</v>
      </c>
      <c r="O24" s="1942">
        <f>(M24-N24)*100</f>
        <v>-1.4185980049150531</v>
      </c>
      <c r="P24" s="1135">
        <f>P13/P12</f>
        <v>0.19582607691024381</v>
      </c>
      <c r="Q24" s="1135">
        <f>Q13/Q12</f>
        <v>0.2096103468059381</v>
      </c>
      <c r="R24" s="1942">
        <f>(P24-Q24)*100</f>
        <v>-1.3784269895694283</v>
      </c>
      <c r="S24" s="1140">
        <f ca="1">S13/S12</f>
        <v>0.43111418493596165</v>
      </c>
      <c r="T24" s="1139">
        <f>T13/T12</f>
        <v>0.19051842411918959</v>
      </c>
      <c r="U24" s="1139">
        <f>U13/U12</f>
        <v>0.196886271147549</v>
      </c>
      <c r="V24" s="1158">
        <f>(T24-U24)*100</f>
        <v>-0.6367847028359408</v>
      </c>
      <c r="W24" s="1139">
        <f>W13/W12</f>
        <v>0.194587686512873</v>
      </c>
      <c r="X24" s="1139">
        <f>X13/X12</f>
        <v>0.20656275695686829</v>
      </c>
      <c r="Y24" s="1158">
        <f>(W24-X24)*100</f>
        <v>-1.1975070443995288</v>
      </c>
      <c r="Z24" s="1158"/>
      <c r="AA24" s="1071"/>
      <c r="AB24" s="1072">
        <f>V18/V12</f>
        <v>-5.4651318102546558</v>
      </c>
      <c r="AC24" s="1072" t="str">
        <f>"- "&amp;CONCATENATE(AC22,AC23)</f>
        <v>- CP lãi vay 2024 là: -1,341 tỷ VND, tương ứng -547% DTT, giảm -5% svck</v>
      </c>
      <c r="AD24" s="1094">
        <f>P22/6350</f>
        <v>0.78188696928330703</v>
      </c>
      <c r="AE24" s="1094" t="e">
        <f>C22/FS!#REF!</f>
        <v>#REF!</v>
      </c>
      <c r="AF24" s="1094"/>
      <c r="AG24" s="1095" t="str">
        <f>'FS Quarter'!C14</f>
        <v>Thu nhập khác</v>
      </c>
      <c r="AH24" s="1096">
        <v>13.47</v>
      </c>
      <c r="AI24" s="1096">
        <v>5.46</v>
      </c>
      <c r="AJ24" s="1096">
        <v>11</v>
      </c>
      <c r="AK24" s="1096">
        <v>6.95</v>
      </c>
      <c r="AL24" s="1074">
        <v>24.63</v>
      </c>
      <c r="AM24" s="1096">
        <v>-13.729722841999999</v>
      </c>
      <c r="AN24" s="1097">
        <v>6.07</v>
      </c>
      <c r="AO24" s="1097">
        <v>8.8332266179999994</v>
      </c>
      <c r="AP24" s="1097">
        <v>12.08754957</v>
      </c>
      <c r="AQ24" s="1097">
        <v>1.1863768180000001</v>
      </c>
      <c r="AR24" s="1097">
        <v>6.9157155789999996</v>
      </c>
      <c r="AS24" s="1097"/>
    </row>
    <row r="25" spans="1:45" s="1099" customFormat="1" ht="17.25" customHeight="1">
      <c r="A25" s="1098"/>
      <c r="B25" s="1142" t="s">
        <v>283</v>
      </c>
      <c r="C25" s="1876">
        <f>-SUM(C14:C15)/C12</f>
        <v>0.15546181250163546</v>
      </c>
      <c r="D25" s="1876">
        <f>-SUM(D14:D15)/D12</f>
        <v>0.18070607425597454</v>
      </c>
      <c r="E25" s="1942">
        <f t="shared" ref="E25:E27" si="22">(C25-D25)*100</f>
        <v>-2.5244261754339083</v>
      </c>
      <c r="F25" s="1876">
        <f>-SUM(F14:F15)/F12</f>
        <v>0.15696316370311694</v>
      </c>
      <c r="G25" s="1878">
        <f>-SUM(G14:G15)/G12</f>
        <v>0.17196225314464866</v>
      </c>
      <c r="H25" s="1942">
        <f t="shared" ref="H25:H27" si="23">(F25-G25)*100</f>
        <v>-1.4999089441531721</v>
      </c>
      <c r="I25" s="1943">
        <f>-SUM(I14:I15)/I12</f>
        <v>0.15622760249540052</v>
      </c>
      <c r="J25" s="1876">
        <f>-SUM(J14:J15)/J12</f>
        <v>0.17615777097546007</v>
      </c>
      <c r="K25" s="1942">
        <f t="shared" ref="K25:K27" si="24">(I25-J25)*100</f>
        <v>-1.9930168480059547</v>
      </c>
      <c r="L25" s="1135"/>
      <c r="M25" s="1135">
        <f>-SUM(M14:M15)/M12</f>
        <v>0.14278267944904433</v>
      </c>
      <c r="N25" s="1135">
        <f>-SUM(N14:N15)/N12</f>
        <v>0.17034076822132291</v>
      </c>
      <c r="O25" s="1942">
        <f t="shared" ref="O25:O27" si="25">(M25-N25)*100</f>
        <v>-2.7558088772278584</v>
      </c>
      <c r="P25" s="1144">
        <f>-SUM(P14:P15)/P12</f>
        <v>0.15151123956106094</v>
      </c>
      <c r="Q25" s="1135">
        <f>-SUM(Q14:Q15)/Q12</f>
        <v>0.17416682394424957</v>
      </c>
      <c r="R25" s="1942">
        <f t="shared" ref="R25:R27" si="26">(P25-Q25)*100</f>
        <v>-2.2655584383188625</v>
      </c>
      <c r="S25" s="1140">
        <f ca="1">-SUM(S14:S15)/S12</f>
        <v>0.34980622682610724</v>
      </c>
      <c r="T25" s="1139">
        <f>-SUM(T14:T15)/T12</f>
        <v>0.17468267367239723</v>
      </c>
      <c r="U25" s="1139">
        <f>-SUM(U14:U15)/U12</f>
        <v>0.18802609297012965</v>
      </c>
      <c r="V25" s="1158">
        <f t="shared" ref="V25:V27" si="27">(T25-U25)*100</f>
        <v>-1.3343419297732417</v>
      </c>
      <c r="W25" s="1143">
        <f>-SUM(W14:W15)/W12</f>
        <v>0.15691763719602933</v>
      </c>
      <c r="X25" s="1143">
        <f>-SUM(X14:X15)/X12</f>
        <v>0.17748630810426022</v>
      </c>
      <c r="Y25" s="1158">
        <f t="shared" ref="Y25:Y27" si="28">(W25-X25)*100</f>
        <v>-2.0568670908230891</v>
      </c>
      <c r="Z25" s="1158"/>
      <c r="AB25" s="1100" t="s">
        <v>1267</v>
      </c>
      <c r="AC25" s="1100" t="str">
        <f>"CPBH " &amp;W11&amp;" là: " &amp; TEXT(W14,"#,##0") &amp;" tỷ VND, tương ứng "&amp;TEXT(W14/W12,"0%")&amp;" DTT, "</f>
        <v xml:space="preserve">CPBH 2024 là: -18,800 tỷ VND, tương ứng -13% DTT, </v>
      </c>
      <c r="AD25" s="1101"/>
      <c r="AE25" s="1101"/>
      <c r="AF25" s="1101"/>
      <c r="AG25" s="1102" t="str">
        <f>'FS Quarter'!C15</f>
        <v>Chi phí khác</v>
      </c>
      <c r="AH25" s="1103">
        <v>-22.93</v>
      </c>
      <c r="AI25" s="1103">
        <v>-65.05</v>
      </c>
      <c r="AJ25" s="1103">
        <v>-25.82</v>
      </c>
      <c r="AK25" s="1103">
        <v>-251.24</v>
      </c>
      <c r="AL25" s="1103">
        <v>-30.83</v>
      </c>
      <c r="AM25" s="1103">
        <v>-167.87958643299999</v>
      </c>
      <c r="AN25" s="1104">
        <v>-258.45999999999998</v>
      </c>
      <c r="AO25" s="1104">
        <v>30.087904647999999</v>
      </c>
      <c r="AP25" s="1104">
        <v>-17.630926715000001</v>
      </c>
      <c r="AQ25" s="1104">
        <v>-14.232391412</v>
      </c>
      <c r="AR25" s="1104">
        <v>-25.005996533000001</v>
      </c>
      <c r="AS25" s="1104"/>
    </row>
    <row r="26" spans="1:45" s="1157" customFormat="1" ht="17.25" customHeight="1">
      <c r="A26" s="1151"/>
      <c r="B26" s="1142" t="s">
        <v>1268</v>
      </c>
      <c r="C26" s="1943">
        <f>C16/C12</f>
        <v>4.3802582156602071E-2</v>
      </c>
      <c r="D26" s="1943">
        <f>D16/D12</f>
        <v>3.2484408392297763E-2</v>
      </c>
      <c r="E26" s="1942">
        <f t="shared" si="22"/>
        <v>1.1318173764304309</v>
      </c>
      <c r="F26" s="1876">
        <f>F16/F12</f>
        <v>4.4225219215701661E-2</v>
      </c>
      <c r="G26" s="1876">
        <f>G16/G12</f>
        <v>4.2126300411913301E-2</v>
      </c>
      <c r="H26" s="1942">
        <f t="shared" si="23"/>
        <v>0.20989188037883605</v>
      </c>
      <c r="I26" s="1876">
        <f>I16/I12</f>
        <v>4.401815545519696E-2</v>
      </c>
      <c r="J26" s="1876">
        <f>J16/J12</f>
        <v>3.7499864283358879E-2</v>
      </c>
      <c r="K26" s="1942">
        <f t="shared" si="24"/>
        <v>0.65182911718380809</v>
      </c>
      <c r="L26" s="1135"/>
      <c r="M26" s="1144">
        <f>M16/M12</f>
        <v>4.4863905727052594E-2</v>
      </c>
      <c r="N26" s="1144">
        <f>N16/N12</f>
        <v>3.149179700392455E-2</v>
      </c>
      <c r="O26" s="1942">
        <f t="shared" si="25"/>
        <v>1.3372108723128044</v>
      </c>
      <c r="P26" s="1144">
        <f>P16/P12</f>
        <v>4.4314837349182866E-2</v>
      </c>
      <c r="Q26" s="1144">
        <f>Q16/Q12</f>
        <v>3.5443522861688524E-2</v>
      </c>
      <c r="R26" s="1942">
        <f t="shared" si="26"/>
        <v>0.88713144874943417</v>
      </c>
      <c r="S26" s="1144">
        <f ca="1">S16/S12</f>
        <v>8.1307958109854375E-2</v>
      </c>
      <c r="T26" s="1139">
        <f>T16/T12</f>
        <v>1.5835750446792383E-2</v>
      </c>
      <c r="U26" s="1139">
        <f>U16/U12</f>
        <v>8.8601781774193568E-3</v>
      </c>
      <c r="V26" s="1158">
        <f t="shared" si="27"/>
        <v>0.69755722693730271</v>
      </c>
      <c r="W26" s="1139">
        <f>W16/W12</f>
        <v>3.767004931684368E-2</v>
      </c>
      <c r="X26" s="1139">
        <f>X16/X12</f>
        <v>2.907644885260809E-2</v>
      </c>
      <c r="Y26" s="1158">
        <f t="shared" si="28"/>
        <v>0.85936004642355912</v>
      </c>
      <c r="Z26" s="1158"/>
      <c r="AA26" s="1091"/>
      <c r="AB26" s="1152" t="b">
        <f>AB21</f>
        <v>1</v>
      </c>
      <c r="AC26" s="1152" t="str">
        <f>IF(Y14&gt;0,"tăng","giảm") &amp; " " &amp;TEXT(Y14,"0%") &amp; " svck"</f>
        <v>giảm -8% svck</v>
      </c>
      <c r="AD26" s="1153"/>
      <c r="AE26" s="1153"/>
      <c r="AF26" s="1153"/>
      <c r="AG26" s="1154" t="str">
        <f>'FS Quarter'!C16</f>
        <v>Thu nhập khác, ròng</v>
      </c>
      <c r="AH26" s="1155">
        <v>-9.4600000000000009</v>
      </c>
      <c r="AI26" s="1155">
        <v>-59.59</v>
      </c>
      <c r="AJ26" s="1155">
        <v>-14.82</v>
      </c>
      <c r="AK26" s="1155">
        <v>-244.29</v>
      </c>
      <c r="AL26" s="1155">
        <v>-6.2</v>
      </c>
      <c r="AM26" s="1155">
        <v>-181.60930927499999</v>
      </c>
      <c r="AN26" s="1156">
        <v>-252.39</v>
      </c>
      <c r="AO26" s="1156">
        <v>38.921131266000003</v>
      </c>
      <c r="AP26" s="1156">
        <v>-5.543377145</v>
      </c>
      <c r="AQ26" s="1156">
        <v>-13.046014594000001</v>
      </c>
      <c r="AR26" s="1156">
        <v>-18.090280954000001</v>
      </c>
      <c r="AS26" s="1156"/>
    </row>
    <row r="27" spans="1:45" s="1071" customFormat="1" ht="17.25" customHeight="1">
      <c r="A27" s="1070"/>
      <c r="B27" s="1145" t="s">
        <v>548</v>
      </c>
      <c r="C27" s="1146">
        <f>C22/C12</f>
        <v>4.2782312713606913E-2</v>
      </c>
      <c r="D27" s="1146">
        <f>D22/D12</f>
        <v>2.866118135111281E-2</v>
      </c>
      <c r="E27" s="1944">
        <f t="shared" si="22"/>
        <v>1.4121131362494104</v>
      </c>
      <c r="F27" s="1147">
        <f>F22/F12</f>
        <v>4.3810409881009038E-2</v>
      </c>
      <c r="G27" s="1147">
        <f>G22/G12</f>
        <v>3.4343307428209263E-2</v>
      </c>
      <c r="H27" s="1944">
        <f t="shared" si="23"/>
        <v>0.94671024527997749</v>
      </c>
      <c r="I27" s="1147">
        <f>I22/I12</f>
        <v>4.3306711350406799E-2</v>
      </c>
      <c r="J27" s="1147">
        <f>J22/J12</f>
        <v>3.161687227247429E-2</v>
      </c>
      <c r="K27" s="1944">
        <f t="shared" si="24"/>
        <v>1.1689839077932509</v>
      </c>
      <c r="L27" s="1148"/>
      <c r="M27" s="1148">
        <f>M22/M12</f>
        <v>4.4436323931163799E-2</v>
      </c>
      <c r="N27" s="1148">
        <f>N22/N12</f>
        <v>2.3432738829291408E-2</v>
      </c>
      <c r="O27" s="1944">
        <f t="shared" si="25"/>
        <v>2.1003585101872391</v>
      </c>
      <c r="P27" s="1148">
        <f>P22/P12</f>
        <v>4.3702969691765611E-2</v>
      </c>
      <c r="Q27" s="1148">
        <f>Q22/Q12</f>
        <v>2.8815743087835889E-2</v>
      </c>
      <c r="R27" s="1944">
        <f t="shared" si="26"/>
        <v>1.4887226603929722</v>
      </c>
      <c r="S27" s="1149"/>
      <c r="T27" s="1147">
        <f>T22/T12</f>
        <v>2.4498360705457762E-2</v>
      </c>
      <c r="U27" s="1147">
        <f>U22/U12</f>
        <v>2.8725563300785544E-3</v>
      </c>
      <c r="V27" s="1159">
        <f t="shared" si="27"/>
        <v>2.1625804375379207</v>
      </c>
      <c r="W27" s="1147">
        <f>W22/W12</f>
        <v>3.9222118307894169E-2</v>
      </c>
      <c r="X27" s="1147">
        <f>X22/X12</f>
        <v>2.2601995642587441E-2</v>
      </c>
      <c r="Y27" s="1159">
        <f t="shared" si="28"/>
        <v>1.6620122665306727</v>
      </c>
      <c r="Z27" s="2167"/>
      <c r="AB27" s="1072"/>
      <c r="AC27" s="1072" t="str">
        <f>"- "&amp;CONCATENATE(AC25,AC26)</f>
        <v>- CPBH 2024 là: -18,800 tỷ VND, tương ứng -13% DTT, giảm -8% svck</v>
      </c>
      <c r="AD27" s="1072"/>
      <c r="AE27" s="1072"/>
      <c r="AF27" s="1072"/>
      <c r="AG27" s="1073" t="str">
        <f>'FS Quarter'!C17</f>
        <v>Lãi/lỗ từ công ty liên doanh</v>
      </c>
      <c r="AH27" s="1074">
        <v>0</v>
      </c>
      <c r="AI27" s="1074">
        <v>0</v>
      </c>
      <c r="AJ27" s="1074">
        <v>0</v>
      </c>
      <c r="AK27" s="1074">
        <v>0</v>
      </c>
      <c r="AL27" s="1071">
        <v>0</v>
      </c>
      <c r="AM27" s="1074">
        <v>0</v>
      </c>
      <c r="AN27" s="1075">
        <v>0</v>
      </c>
      <c r="AO27" s="1075">
        <v>0</v>
      </c>
      <c r="AP27" s="1075">
        <v>0</v>
      </c>
      <c r="AQ27" s="1075">
        <v>0</v>
      </c>
      <c r="AS27" s="1075"/>
    </row>
    <row r="28" spans="1:45">
      <c r="B28" s="1141"/>
      <c r="C28" s="1133">
        <f>1-C21/C20</f>
        <v>0.19994590324658801</v>
      </c>
      <c r="D28" s="1133">
        <f>1-D21/D20</f>
        <v>0.25139280384679163</v>
      </c>
      <c r="E28" s="1132"/>
      <c r="F28" s="1135">
        <f>1-F21/F20</f>
        <v>0.18276046019687109</v>
      </c>
      <c r="G28" s="1135">
        <f>1-G21/G20</f>
        <v>0.22668159392340514</v>
      </c>
      <c r="H28" s="1141"/>
      <c r="I28" s="1141"/>
      <c r="J28" s="1141"/>
      <c r="K28" s="1141"/>
      <c r="L28" s="1141"/>
      <c r="M28" s="1137">
        <f>M17+M18</f>
        <v>398.32562179499996</v>
      </c>
      <c r="N28" s="1137">
        <f>N17+N18</f>
        <v>244.95</v>
      </c>
      <c r="O28" s="1135"/>
      <c r="P28" s="1137">
        <f ca="1">FS!P104-'2024_Q'!P22</f>
        <v>1792.4226667748035</v>
      </c>
      <c r="Q28" s="1141"/>
      <c r="R28" s="1135"/>
      <c r="S28" s="1134"/>
      <c r="T28" s="1169"/>
      <c r="U28" s="1132">
        <f>T17+T18</f>
        <v>446.62362121700005</v>
      </c>
      <c r="V28" s="1133"/>
      <c r="W28" s="1169"/>
      <c r="X28" s="1169"/>
      <c r="Y28" s="1139"/>
      <c r="Z28" s="1139"/>
      <c r="AA28" s="1047"/>
      <c r="AB28" s="1057" t="s">
        <v>1269</v>
      </c>
      <c r="AC28" s="1057" t="str">
        <f>"Chi phí QLDN " &amp;W11 &amp;" là: " &amp; TEXT(W15,"#,##0") &amp;" tỷ VND, tương ứng "&amp;TEXT(W15/W12,"0%")&amp;" DTT, "</f>
        <v xml:space="preserve">Chi phí QLDN 2024 là: -4,452 tỷ VND, tương ứng -3% DTT, </v>
      </c>
      <c r="AF28" s="1057"/>
      <c r="AG28" s="1105" t="str">
        <f>'FS Quarter'!C18</f>
        <v>LNTT</v>
      </c>
      <c r="AH28" s="1106">
        <v>158.97</v>
      </c>
      <c r="AI28" s="1106">
        <v>129.78</v>
      </c>
      <c r="AJ28" s="1106">
        <v>182.02</v>
      </c>
      <c r="AK28" s="1106">
        <v>218.93</v>
      </c>
      <c r="AL28" s="1106">
        <v>1206.2</v>
      </c>
      <c r="AM28" s="1106">
        <v>1516.0430932920001</v>
      </c>
      <c r="AN28" s="1058">
        <v>1068.05</v>
      </c>
      <c r="AO28" s="1058">
        <v>1035.4712539980001</v>
      </c>
      <c r="AP28" s="1058">
        <v>1934.6613872200001</v>
      </c>
      <c r="AQ28" s="1058">
        <v>2028.2047553760001</v>
      </c>
      <c r="AR28" s="1075">
        <v>2172.351166079</v>
      </c>
    </row>
    <row r="29" spans="1:45">
      <c r="C29" s="1079">
        <f>C17+C18</f>
        <v>354.27050522599995</v>
      </c>
      <c r="D29" s="1079">
        <f>D17+D18</f>
        <v>210.06999999999994</v>
      </c>
      <c r="E29" s="1119">
        <f>C29/D29-1</f>
        <v>0.68644025908506712</v>
      </c>
      <c r="N29" s="1071">
        <f>M28/N28-1</f>
        <v>0.62615073196570714</v>
      </c>
      <c r="U29" s="1170">
        <f>U28/T20</f>
        <v>0.43132401743898402</v>
      </c>
      <c r="AA29" s="1061"/>
      <c r="AB29" s="1057" t="b">
        <v>1</v>
      </c>
      <c r="AC29" s="1057" t="str">
        <f>IF(Y15&gt;0,"tăng ","giảm ") &amp;TEXT(Y15,"0%") &amp; " svck"</f>
        <v>tăng 51% svck</v>
      </c>
      <c r="AF29" s="1057"/>
      <c r="AG29" s="1105" t="str">
        <f>'FS Quarter'!C19</f>
        <v>Thuế thu nhập doanh nghiệp – hiện thời</v>
      </c>
      <c r="AH29" s="1106">
        <v>-140.46</v>
      </c>
      <c r="AI29" s="1106">
        <v>-99.5</v>
      </c>
      <c r="AJ29" s="1106">
        <v>-127.02</v>
      </c>
      <c r="AK29" s="1106">
        <v>-66.28</v>
      </c>
      <c r="AL29" s="1106">
        <v>-311.26</v>
      </c>
      <c r="AM29" s="1106">
        <v>-340.74793523300002</v>
      </c>
      <c r="AN29" s="1058">
        <v>-273.57</v>
      </c>
      <c r="AO29" s="1058">
        <v>-200.117379723</v>
      </c>
      <c r="AP29" s="1058">
        <v>-397.72241558299999</v>
      </c>
      <c r="AQ29" s="1058">
        <v>-370.11085835199998</v>
      </c>
      <c r="AR29" s="1058">
        <v>-477.28965619100001</v>
      </c>
    </row>
    <row r="30" spans="1:45">
      <c r="B30" s="1071" t="s">
        <v>1270</v>
      </c>
      <c r="C30" s="1171"/>
      <c r="L30" s="1124"/>
      <c r="M30" s="1124"/>
      <c r="N30" s="1124"/>
      <c r="O30" s="1172">
        <f>P22+452</f>
        <v>5416.982254949</v>
      </c>
      <c r="P30" s="1071">
        <f>P14/$P$12</f>
        <v>-0.12038933132377706</v>
      </c>
      <c r="Q30" s="1071">
        <f>Q14/Q12</f>
        <v>-0.14761085235486682</v>
      </c>
      <c r="V30" s="1078">
        <f>T22/M22-1</f>
        <v>-0.521709356796902</v>
      </c>
      <c r="AA30" s="1105"/>
      <c r="AC30" s="1057" t="str">
        <f>"- "&amp;CONCATENATE(AC28,AC29)</f>
        <v>- Chi phí QLDN 2024 là: -4,452 tỷ VND, tương ứng -3% DTT, tăng 51% svck</v>
      </c>
      <c r="AF30" s="1057"/>
      <c r="AG30" s="1105" t="str">
        <f>'FS Quarter'!C20</f>
        <v>Thuế thu nhập doanh nghiệp – hoãn lại</v>
      </c>
      <c r="AH30" s="1106">
        <v>2.77</v>
      </c>
      <c r="AI30" s="1106">
        <v>-12.87</v>
      </c>
      <c r="AJ30" s="1106">
        <v>-16.18</v>
      </c>
      <c r="AK30" s="1106">
        <v>-62.32</v>
      </c>
      <c r="AL30" s="1106">
        <v>8.0299999999999994</v>
      </c>
      <c r="AM30" s="1106">
        <v>-2.9111296109999998</v>
      </c>
      <c r="AN30" s="1058">
        <v>11.31</v>
      </c>
      <c r="AO30" s="1058">
        <v>16.790252015</v>
      </c>
      <c r="AP30" s="1058">
        <v>10.894797039</v>
      </c>
      <c r="AQ30" s="1058">
        <v>-0.56477611400000005</v>
      </c>
      <c r="AR30" s="1058">
        <v>88.604124096999996</v>
      </c>
    </row>
    <row r="31" spans="1:45">
      <c r="C31" s="1171">
        <f>C14/C12</f>
        <v>-0.12184893899120286</v>
      </c>
      <c r="D31" s="1171">
        <f>D14/D12</f>
        <v>-0.15312408591748397</v>
      </c>
      <c r="G31" s="1173"/>
      <c r="O31" s="1172">
        <f>O30+800</f>
        <v>6216.982254949</v>
      </c>
      <c r="P31" s="1071">
        <f>P15/$P$12</f>
        <v>-3.1121908237283887E-2</v>
      </c>
      <c r="Q31" s="1071">
        <f>Q15/Q12</f>
        <v>-2.6555971589382752E-2</v>
      </c>
      <c r="R31" s="1088">
        <f>SUM(P14:P15)/P13</f>
        <v>-0.77370308363224571</v>
      </c>
      <c r="T31" s="1170">
        <f>T14/T12</f>
        <v>-0.14817839810753855</v>
      </c>
      <c r="U31" s="1170">
        <f>U14/U12</f>
        <v>-0.17844729832990094</v>
      </c>
      <c r="X31" s="1174">
        <f>T26-U26</f>
        <v>6.9755722693730267E-3</v>
      </c>
      <c r="Y31" s="1080">
        <f>P15+P14-1200</f>
        <v>-18412.803183664</v>
      </c>
      <c r="AA31" s="1108"/>
      <c r="AE31" s="1060">
        <f>C22+AK32+AI32*2</f>
        <v>1671.0770909409998</v>
      </c>
      <c r="AF31" s="1057"/>
      <c r="AG31" s="1105" t="str">
        <f>'FS Quarter'!C21</f>
        <v>Chi phí thuế thu nhập doanh nghiệp</v>
      </c>
      <c r="AH31" s="1106">
        <v>-137.69</v>
      </c>
      <c r="AI31" s="1106">
        <v>-112.37</v>
      </c>
      <c r="AJ31" s="1106">
        <v>-143.19999999999999</v>
      </c>
      <c r="AK31" s="1106">
        <v>-128.61000000000001</v>
      </c>
      <c r="AL31" s="1109">
        <v>-303.23</v>
      </c>
      <c r="AM31" s="1106">
        <v>-343.659064844</v>
      </c>
      <c r="AN31" s="1058">
        <v>-262.26</v>
      </c>
      <c r="AO31" s="1058">
        <v>-183.32712770800001</v>
      </c>
      <c r="AP31" s="1058">
        <v>-386.82761854400002</v>
      </c>
      <c r="AQ31" s="1058">
        <v>-370.67563446600002</v>
      </c>
      <c r="AR31" s="1058">
        <f>SUM(AR29:AR30)</f>
        <v>-388.685532094</v>
      </c>
    </row>
    <row r="32" spans="1:45">
      <c r="C32" s="1171">
        <f>C15/C12</f>
        <v>-3.3612873510432587E-2</v>
      </c>
      <c r="D32" s="1171">
        <f>D15/D12</f>
        <v>-2.7581988338490571E-2</v>
      </c>
      <c r="I32" s="1173"/>
      <c r="P32" s="1071">
        <f>P15/P12</f>
        <v>-3.1121908237283887E-2</v>
      </c>
      <c r="X32" s="1170">
        <f>90/120-1</f>
        <v>-0.25</v>
      </c>
      <c r="Y32" s="1080">
        <f>Y31/P12</f>
        <v>-0.16207392859743042</v>
      </c>
      <c r="AA32" s="1108"/>
      <c r="AC32" s="1057" t="str">
        <f>IF(AB4=TRUE,AC6,"")</f>
        <v>- Doanh thu thuần và Lợi nhuận sau thuế Q4/2024 lần lượt đạt: 34,574 tỷ VND (+10% YoY) và 847 tỷ VND (+838% YoY)</v>
      </c>
      <c r="AF32" s="1057"/>
      <c r="AG32" s="1110" t="str">
        <f>'FS Quarter'!C22</f>
        <v>LNST</v>
      </c>
      <c r="AH32" s="1106">
        <v>21.28</v>
      </c>
      <c r="AI32" s="1106">
        <v>17.41</v>
      </c>
      <c r="AJ32" s="1106">
        <v>38.82</v>
      </c>
      <c r="AK32" s="1106">
        <v>90.32</v>
      </c>
      <c r="AL32" s="1106">
        <v>902.97</v>
      </c>
      <c r="AM32" s="1106">
        <v>1172.384028448</v>
      </c>
      <c r="AN32" s="1058">
        <v>805.79</v>
      </c>
      <c r="AO32" s="1111">
        <v>852.14412629000003</v>
      </c>
      <c r="AP32" s="1058">
        <v>1547.8337686760001</v>
      </c>
      <c r="AQ32" s="1058">
        <v>1657.5291209100001</v>
      </c>
      <c r="AR32" s="1058">
        <v>1783.6656339850001</v>
      </c>
    </row>
    <row r="33" spans="2:46">
      <c r="I33" s="1175"/>
      <c r="J33" s="2049"/>
      <c r="P33" s="1071">
        <f t="shared" ref="P33:U33" si="29">1-P22/P20</f>
        <v>0.1907406037714956</v>
      </c>
      <c r="Q33" s="1071">
        <f t="shared" si="29"/>
        <v>0.2415185734435964</v>
      </c>
      <c r="R33" s="1123">
        <f t="shared" si="29"/>
        <v>-0.17515862204151866</v>
      </c>
      <c r="S33" s="1071">
        <f t="shared" si="29"/>
        <v>-9.9713162168842793</v>
      </c>
      <c r="T33" s="1170">
        <f t="shared" si="29"/>
        <v>0.18201072320001277</v>
      </c>
      <c r="U33" s="1170">
        <f t="shared" si="29"/>
        <v>0.58772210295528249</v>
      </c>
      <c r="AA33" s="1108"/>
      <c r="AC33" s="1057" t="str">
        <f>IF(AB10=TRUE,AC12,"")</f>
        <v>-  Lũy kế cả năm 2024,  Doanh thu thuần và Lợi nhuận sau thuế lần lượt đạt: 148,181 tỷ VND (+13% YoY) và 5,812 tỷ VND (+96% YoY)</v>
      </c>
      <c r="AF33" s="1057"/>
      <c r="AG33" s="1105" t="str">
        <f>'FS Quarter'!C23</f>
        <v>Lợi ích của cổ đông thiểu số</v>
      </c>
      <c r="AH33" s="1106">
        <v>0.01</v>
      </c>
      <c r="AI33" s="1106">
        <v>0.01</v>
      </c>
      <c r="AJ33" s="1106">
        <v>0.08</v>
      </c>
      <c r="AK33" s="1106">
        <v>0.06</v>
      </c>
      <c r="AL33" s="1106">
        <v>0.54</v>
      </c>
      <c r="AM33" s="1106">
        <v>0.107115981</v>
      </c>
      <c r="AN33" s="1058">
        <v>5.64</v>
      </c>
      <c r="AO33" s="1058">
        <v>5.1397440850000002</v>
      </c>
      <c r="AP33" s="1058">
        <v>1.8966777349999999</v>
      </c>
      <c r="AQ33" s="1058">
        <v>9.3828742060000003</v>
      </c>
      <c r="AR33" s="1058">
        <v>12.766716681</v>
      </c>
    </row>
    <row r="34" spans="2:46">
      <c r="I34" s="1175"/>
      <c r="K34" s="1173"/>
      <c r="P34" s="1071">
        <f>P14/P12</f>
        <v>-0.12038933132377706</v>
      </c>
      <c r="S34" s="1076">
        <f>SUM(AK19:AN19)</f>
        <v>-1142.809634104</v>
      </c>
      <c r="X34" s="1170">
        <f>10326/(1-3%)</f>
        <v>10645.360824742269</v>
      </c>
      <c r="AA34" s="1113"/>
      <c r="AC34" s="1057" t="str">
        <f>IF(AB14=TRUE,AC15,"")</f>
        <v>- Biên lợi nhuận gộp Q4/2024 đạt 19% giảm -0.64 điểm phần trăm svck</v>
      </c>
      <c r="AF34" s="1057"/>
      <c r="AG34" s="1105" t="s">
        <v>404</v>
      </c>
      <c r="AH34" s="1106">
        <v>21.27</v>
      </c>
      <c r="AI34" s="1106">
        <v>17.41</v>
      </c>
      <c r="AJ34" s="1106">
        <v>38.74</v>
      </c>
      <c r="AK34" s="1106">
        <v>90.26</v>
      </c>
      <c r="AL34" s="1106">
        <v>902.44</v>
      </c>
      <c r="AM34" s="1106">
        <v>1172.2769124670001</v>
      </c>
      <c r="AN34" s="1058">
        <v>800.15</v>
      </c>
      <c r="AO34" s="1058">
        <v>847.00438220499996</v>
      </c>
      <c r="AP34" s="1047">
        <v>1545.937090941</v>
      </c>
      <c r="AQ34" s="1058">
        <v>1648.1462467040001</v>
      </c>
      <c r="AR34" s="1058">
        <v>1770.898917304</v>
      </c>
      <c r="AT34" s="1112">
        <f>AR34/1650-1</f>
        <v>7.3272071093333224E-2</v>
      </c>
    </row>
    <row r="35" spans="2:46">
      <c r="B35" s="1071" t="s">
        <v>1271</v>
      </c>
      <c r="C35" s="1079">
        <v>460075487523</v>
      </c>
      <c r="D35" s="1079">
        <v>376509558180</v>
      </c>
      <c r="E35" s="1119">
        <f>C35/D35-1</f>
        <v>0.22194902500469627</v>
      </c>
      <c r="J35" s="1175"/>
      <c r="P35" s="1124" t="e">
        <f>P12+#REF!</f>
        <v>#REF!</v>
      </c>
      <c r="Q35" s="1124" t="e">
        <f>Q12+#REF!</f>
        <v>#REF!</v>
      </c>
      <c r="S35" s="1076">
        <f>AVERAGE(SUM(T35:T36),U35)</f>
        <v>23736.177</v>
      </c>
      <c r="T35" s="1170">
        <v>16857.38</v>
      </c>
      <c r="U35" s="1170">
        <v>24647.473999999998</v>
      </c>
      <c r="W35" s="1079"/>
      <c r="X35" s="1171">
        <f>120/X34</f>
        <v>1.1272515979081929E-2</v>
      </c>
      <c r="Y35" s="1080">
        <f>T27-X35</f>
        <v>1.3225844726375833E-2</v>
      </c>
      <c r="AA35" s="1113"/>
      <c r="AC35" s="1057" t="str">
        <f>IF(AB17=TRUE,AC18,"")</f>
        <v>-  Lũy kế cả năm 2024, biên lợi nhuận gộp đạt 19% giảm -1.20 điểm phẩn trăm svck</v>
      </c>
      <c r="AF35" s="1057"/>
      <c r="AG35" s="1105" t="str">
        <f>'FS Quarter'!C25</f>
        <v>Lãi cơ bản trên cổ phiếu</v>
      </c>
      <c r="AH35" s="1106">
        <v>15</v>
      </c>
      <c r="AI35" s="1106">
        <v>11</v>
      </c>
      <c r="AJ35" s="1106">
        <v>26</v>
      </c>
      <c r="AK35" s="1106">
        <v>62</v>
      </c>
      <c r="AL35" s="1106">
        <v>617</v>
      </c>
      <c r="AM35" s="1106">
        <v>802</v>
      </c>
      <c r="AN35" s="1058">
        <v>547</v>
      </c>
      <c r="AO35" s="1058">
        <v>580</v>
      </c>
      <c r="AP35" s="1047">
        <v>1058</v>
      </c>
      <c r="AQ35" s="1058">
        <v>1117</v>
      </c>
      <c r="AR35" s="1058">
        <v>1198</v>
      </c>
    </row>
    <row r="36" spans="2:46">
      <c r="B36" s="1071" t="s">
        <v>1272</v>
      </c>
      <c r="C36" s="1079">
        <v>15472606313</v>
      </c>
      <c r="D36" s="1079">
        <v>14881585158</v>
      </c>
      <c r="E36" s="1119">
        <f t="shared" ref="E36:E41" si="30">C36/D36-1</f>
        <v>3.9714932833098127E-2</v>
      </c>
      <c r="P36" s="1176" t="e">
        <f>P13+17.8%*#REF!</f>
        <v>#REF!</v>
      </c>
      <c r="Q36" s="1176" t="e">
        <f>Q13+21.8%*#REF!</f>
        <v>#REF!</v>
      </c>
      <c r="R36" s="1088" t="s">
        <v>1273</v>
      </c>
      <c r="S36" s="1177">
        <f>S34/S35</f>
        <v>-4.8146322556661084E-2</v>
      </c>
      <c r="T36" s="1170">
        <v>5967.5</v>
      </c>
      <c r="W36" s="1178"/>
      <c r="X36" s="1178"/>
      <c r="AA36" s="1113"/>
      <c r="AC36" s="1057" t="str">
        <f>IF(AB21=TRUE,"- " &amp; AC20,"")</f>
        <v>- DT tài chính 2024 là: 2,907 tỷ VND tăng 24% svck</v>
      </c>
      <c r="AF36" s="1057"/>
      <c r="AG36" s="1105" t="str">
        <f>'FS Quarter'!C26</f>
        <v>Lãi trên cổ phiếu pha loãng</v>
      </c>
      <c r="AH36" s="1106">
        <v>15</v>
      </c>
      <c r="AI36" s="1106">
        <v>11</v>
      </c>
      <c r="AJ36" s="1106">
        <v>26</v>
      </c>
      <c r="AK36" s="1106">
        <v>62</v>
      </c>
      <c r="AL36" s="1106">
        <v>617</v>
      </c>
      <c r="AM36" s="1106">
        <v>802</v>
      </c>
      <c r="AN36" s="1058">
        <v>547</v>
      </c>
      <c r="AO36" s="1058">
        <v>580</v>
      </c>
      <c r="AP36" s="1047">
        <v>1058</v>
      </c>
      <c r="AQ36" s="1058">
        <v>1117</v>
      </c>
      <c r="AR36" s="1058">
        <f>AR35</f>
        <v>1198</v>
      </c>
    </row>
    <row r="37" spans="2:46">
      <c r="B37" s="1071" t="s">
        <v>1274</v>
      </c>
      <c r="C37" s="1079">
        <v>25309805494</v>
      </c>
      <c r="D37" s="1079">
        <v>18464757506</v>
      </c>
      <c r="E37" s="1119">
        <f t="shared" si="30"/>
        <v>0.37070879407843549</v>
      </c>
      <c r="O37" s="1123"/>
      <c r="P37" s="1075">
        <f>0.9*FS!L101-'2024_Q'!P22</f>
        <v>-551.70879801060073</v>
      </c>
      <c r="W37" s="1179"/>
      <c r="X37" s="1179"/>
      <c r="AA37" s="1113"/>
      <c r="AC37" s="1057" t="str">
        <f>IF(AB23=TRUE,AC24,"")</f>
        <v>- CP lãi vay 2024 là: -1,341 tỷ VND, tương ứng -547% DTT, giảm -5% svck</v>
      </c>
      <c r="AF37" s="1057"/>
      <c r="AG37" s="1105">
        <f>'FS Quarter'!C27</f>
        <v>0</v>
      </c>
    </row>
    <row r="38" spans="2:46">
      <c r="B38" s="1071" t="s">
        <v>1275</v>
      </c>
      <c r="C38" s="1079">
        <v>12224074672</v>
      </c>
      <c r="D38" s="1079">
        <v>11734022575</v>
      </c>
      <c r="E38" s="1119">
        <f t="shared" si="30"/>
        <v>4.1763350451028192E-2</v>
      </c>
      <c r="AA38" s="1108"/>
      <c r="AC38" s="1057" t="str">
        <f>IF(AB26=TRUE,AC27,"")</f>
        <v>- CPBH 2024 là: -18,800 tỷ VND, tương ứng -13% DTT, giảm -8% svck</v>
      </c>
      <c r="AF38" s="1057"/>
      <c r="AG38" s="1105">
        <f>'FS Quarter'!C28</f>
        <v>0</v>
      </c>
      <c r="AH38" s="1114">
        <v>-7.2969031720965692E-3</v>
      </c>
      <c r="AI38" s="1114">
        <v>-1.2942799204298939E-2</v>
      </c>
      <c r="AJ38" s="1114">
        <v>-1.4753114443547519E-2</v>
      </c>
      <c r="AK38" s="1114"/>
      <c r="AL38" s="1114"/>
      <c r="AM38" s="1114"/>
      <c r="AN38" s="1114"/>
      <c r="AO38" s="1114"/>
    </row>
    <row r="39" spans="2:46">
      <c r="B39" s="1071" t="s">
        <v>1276</v>
      </c>
      <c r="C39" s="1079">
        <v>219298742426</v>
      </c>
      <c r="D39" s="1079">
        <v>201630023257</v>
      </c>
      <c r="E39" s="1119">
        <f t="shared" si="30"/>
        <v>8.7629405996145993E-2</v>
      </c>
      <c r="R39" s="1088">
        <f ca="1">0.19*Rev_Year!AK20+0.15*Rev_Year!AL20+0.15*Rev_Year!AM20</f>
        <v>11983.110544442316</v>
      </c>
      <c r="AC39" s="1057" t="str">
        <f>IF(AB29=TRUE,AC30,"")</f>
        <v>- Chi phí QLDN 2024 là: -4,452 tỷ VND, tương ứng -3% DTT, tăng 51% svck</v>
      </c>
      <c r="AF39" s="1105">
        <f>'FS Quarter'!C29</f>
        <v>0</v>
      </c>
      <c r="AO39" s="1107">
        <f>SUM(AO34:AR34)</f>
        <v>5811.9866371540002</v>
      </c>
    </row>
    <row r="40" spans="2:46">
      <c r="B40" s="1071" t="s">
        <v>1277</v>
      </c>
      <c r="C40" s="1079">
        <v>85781616464</v>
      </c>
      <c r="D40" s="1079">
        <v>32965744077</v>
      </c>
      <c r="E40" s="1119">
        <f t="shared" si="30"/>
        <v>1.6021441003617243</v>
      </c>
      <c r="M40" s="1123">
        <f>M12/29707-1</f>
        <v>0.34151907471794529</v>
      </c>
      <c r="N40" s="1071">
        <f>M12/F12-1</f>
        <v>5.934450697859206E-2</v>
      </c>
      <c r="R40" s="1088">
        <f ca="1">R39/(P3+P5)</f>
        <v>0.17923340244828856</v>
      </c>
      <c r="AF40" s="1105">
        <f>'FS Quarter'!C30</f>
        <v>0</v>
      </c>
      <c r="AO40" s="1112">
        <f>59223/AO39</f>
        <v>10.189803194213843</v>
      </c>
      <c r="AR40" s="1058" t="e" vm="2">
        <v>#VALUE!</v>
      </c>
    </row>
    <row r="41" spans="2:46">
      <c r="B41" s="1180"/>
      <c r="C41" s="1079">
        <v>818162332892</v>
      </c>
      <c r="D41" s="1079">
        <v>656185690753</v>
      </c>
      <c r="E41" s="1119">
        <f t="shared" si="30"/>
        <v>0.24684573958497191</v>
      </c>
      <c r="N41" s="1071">
        <f>M22/F22-1</f>
        <v>7.4479234379523973E-2</v>
      </c>
    </row>
    <row r="42" spans="2:46">
      <c r="P42" s="1071">
        <f>(1001.073-566)/SUM(AVERAGE('FS Quarter'!BF113:BJ113),AVERAGE('FS Quarter'!BF126:BJ126))</f>
        <v>1.9944684691324117E-2</v>
      </c>
      <c r="Q42" s="1071">
        <f>((P42+1)^4)-1</f>
        <v>8.219737490734369E-2</v>
      </c>
    </row>
    <row r="43" spans="2:46">
      <c r="B43" s="1180"/>
      <c r="C43" s="1179">
        <f>C35/10^9/$C$12</f>
        <v>1.2732143820349892E-2</v>
      </c>
      <c r="D43" s="1179">
        <f>D35/10^9/$D$12</f>
        <v>1.1957812959780528E-2</v>
      </c>
      <c r="P43" s="1071">
        <f>2%*SUM('FS Quarter'!BJ113,'FS Quarter'!BJ126)</f>
        <v>456.49760326382</v>
      </c>
    </row>
    <row r="44" spans="2:46">
      <c r="C44" s="1179">
        <f t="shared" ref="C44:C49" si="31">C36/10^9/$C$12</f>
        <v>4.2818940412016912E-4</v>
      </c>
      <c r="D44" s="1179">
        <f t="shared" ref="D44:D49" si="32">D36/10^9/$D$12</f>
        <v>4.726339823206715E-4</v>
      </c>
    </row>
    <row r="45" spans="2:46">
      <c r="B45" s="1180"/>
      <c r="C45" s="1179">
        <f t="shared" si="31"/>
        <v>7.0042437024767611E-4</v>
      </c>
      <c r="D45" s="1179">
        <f t="shared" si="32"/>
        <v>5.8643429312063686E-4</v>
      </c>
    </row>
    <row r="46" spans="2:46">
      <c r="C46" s="1179">
        <f t="shared" si="31"/>
        <v>3.3828943513714103E-4</v>
      </c>
      <c r="D46" s="1179">
        <f t="shared" si="32"/>
        <v>3.7266848654772246E-4</v>
      </c>
    </row>
    <row r="47" spans="2:46">
      <c r="B47" s="1180"/>
      <c r="C47" s="1179">
        <f t="shared" si="31"/>
        <v>6.0688804422559337E-3</v>
      </c>
      <c r="D47" s="1179">
        <f t="shared" si="32"/>
        <v>6.4036995948738651E-3</v>
      </c>
    </row>
    <row r="48" spans="2:46">
      <c r="C48" s="1179">
        <f>C40/10^9/$C$12</f>
        <v>2.3739232095192683E-3</v>
      </c>
      <c r="D48" s="1179">
        <f>D40/10^9/$D$12</f>
        <v>1.0469805963446543E-3</v>
      </c>
    </row>
    <row r="49" spans="3:4">
      <c r="C49" s="1179">
        <f t="shared" si="31"/>
        <v>2.264185068163008E-2</v>
      </c>
      <c r="D49" s="1179">
        <f t="shared" si="32"/>
        <v>2.0840229912988079E-2</v>
      </c>
    </row>
  </sheetData>
  <phoneticPr fontId="64" type="noConversion"/>
  <conditionalFormatting sqref="E24:E27">
    <cfRule type="cellIs" dxfId="39" priority="9" operator="lessThan">
      <formula>0</formula>
    </cfRule>
    <cfRule type="cellIs" dxfId="38" priority="10" operator="greaterThan">
      <formula>0</formula>
    </cfRule>
  </conditionalFormatting>
  <conditionalFormatting sqref="H24:H27">
    <cfRule type="cellIs" dxfId="37" priority="7" operator="lessThan">
      <formula>0</formula>
    </cfRule>
    <cfRule type="cellIs" dxfId="36" priority="8" operator="greaterThan">
      <formula>0</formula>
    </cfRule>
  </conditionalFormatting>
  <conditionalFormatting sqref="K24:K27">
    <cfRule type="cellIs" dxfId="35" priority="5" operator="lessThan">
      <formula>0</formula>
    </cfRule>
    <cfRule type="cellIs" dxfId="34" priority="6" operator="greaterThan">
      <formula>0</formula>
    </cfRule>
  </conditionalFormatting>
  <conditionalFormatting sqref="O24:O27">
    <cfRule type="cellIs" dxfId="33" priority="3" operator="lessThan">
      <formula>0</formula>
    </cfRule>
    <cfRule type="cellIs" dxfId="32" priority="4" operator="greaterThan">
      <formula>0</formula>
    </cfRule>
  </conditionalFormatting>
  <conditionalFormatting sqref="R24:R27">
    <cfRule type="cellIs" dxfId="31" priority="1" operator="lessThan">
      <formula>0</formula>
    </cfRule>
    <cfRule type="cellIs" dxfId="30" priority="2" operator="greaterThan">
      <formula>0</formula>
    </cfRule>
  </conditionalFormatting>
  <conditionalFormatting sqref="V12:V22">
    <cfRule type="cellIs" dxfId="29" priority="14" operator="lessThan">
      <formula>0</formula>
    </cfRule>
    <cfRule type="cellIs" dxfId="28" priority="15" operator="greaterThan">
      <formula>0</formula>
    </cfRule>
    <cfRule type="cellIs" dxfId="27" priority="16" operator="greaterThan">
      <formula>0</formula>
    </cfRule>
  </conditionalFormatting>
  <conditionalFormatting sqref="V24:V27">
    <cfRule type="cellIs" dxfId="26" priority="17" operator="greaterThan">
      <formula>0</formula>
    </cfRule>
    <cfRule type="cellIs" dxfId="25" priority="18" operator="lessThan">
      <formula>0</formula>
    </cfRule>
  </conditionalFormatting>
  <conditionalFormatting sqref="Y12:Z22">
    <cfRule type="cellIs" dxfId="24" priority="11" operator="lessThan">
      <formula>0</formula>
    </cfRule>
    <cfRule type="cellIs" dxfId="23" priority="12" operator="greaterThan">
      <formula>0</formula>
    </cfRule>
    <cfRule type="cellIs" dxfId="22" priority="13" operator="greaterThan">
      <formula>0</formula>
    </cfRule>
  </conditionalFormatting>
  <conditionalFormatting sqref="Y24:Z27">
    <cfRule type="cellIs" dxfId="21" priority="19" operator="greaterThan">
      <formula>0</formula>
    </cfRule>
    <cfRule type="cellIs" dxfId="20" priority="20" operator="lessThan">
      <formula>0</formula>
    </cfRule>
  </conditionalFormatting>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B957CD-BAAB-411D-BD04-960909C59267}">
  <sheetPr>
    <tabColor theme="8"/>
  </sheetPr>
  <dimension ref="A1:CE545"/>
  <sheetViews>
    <sheetView showGridLines="0" topLeftCell="A413" zoomScale="90" zoomScaleNormal="145" zoomScaleSheetLayoutView="50" workbookViewId="0">
      <selection activeCell="D421" sqref="D421"/>
    </sheetView>
  </sheetViews>
  <sheetFormatPr baseColWidth="10" defaultColWidth="8.6640625" defaultRowHeight="14" outlineLevelRow="1"/>
  <cols>
    <col min="1" max="1" width="9.5" style="1253" customWidth="1"/>
    <col min="2" max="2" width="32.83203125" style="1254" customWidth="1"/>
    <col min="3" max="3" width="7.5" style="1255" hidden="1" customWidth="1"/>
    <col min="4" max="6" width="18" style="1255" customWidth="1"/>
    <col min="7" max="7" width="18.6640625" style="1254" customWidth="1"/>
    <col min="8" max="8" width="28" style="1254" customWidth="1"/>
    <col min="9" max="9" width="15.5" style="1254" customWidth="1"/>
    <col min="10" max="10" width="18.1640625" style="1254" customWidth="1"/>
    <col min="11" max="11" width="13" style="1254" customWidth="1"/>
    <col min="12" max="12" width="9.5" style="1254" customWidth="1"/>
    <col min="13" max="13" width="12.33203125" style="1254" customWidth="1"/>
    <col min="14" max="14" width="10.83203125" style="1254" customWidth="1"/>
    <col min="15" max="15" width="12.5" style="1254" customWidth="1"/>
    <col min="16" max="17" width="10.1640625" style="1254" customWidth="1"/>
    <col min="18" max="20" width="11.33203125" style="1254" bestFit="1" customWidth="1"/>
    <col min="21" max="21" width="14" style="1256" bestFit="1" customWidth="1"/>
    <col min="22" max="22" width="10.5" style="1254" bestFit="1" customWidth="1"/>
    <col min="23" max="23" width="9.1640625" style="1254" bestFit="1" customWidth="1"/>
    <col min="24" max="24" width="13.83203125" style="1256" bestFit="1" customWidth="1"/>
    <col min="25" max="25" width="9.83203125" style="1256" bestFit="1" customWidth="1"/>
    <col min="26" max="26" width="9" style="1254" bestFit="1" customWidth="1"/>
    <col min="27" max="27" width="9" style="1254" customWidth="1"/>
    <col min="28" max="28" width="9" style="1257" bestFit="1" customWidth="1"/>
    <col min="29" max="29" width="9.1640625" style="1256" bestFit="1" customWidth="1"/>
    <col min="30" max="32" width="9" style="1254" bestFit="1" customWidth="1"/>
    <col min="33" max="33" width="8.6640625" style="999"/>
    <col min="34" max="37" width="9" style="1254" bestFit="1" customWidth="1"/>
    <col min="38" max="38" width="26.83203125" style="1254" customWidth="1"/>
    <col min="39" max="40" width="9" style="1254" bestFit="1" customWidth="1"/>
    <col min="41" max="43" width="8.83203125" style="1254" bestFit="1" customWidth="1"/>
    <col min="44" max="16384" width="8.6640625" style="1254"/>
  </cols>
  <sheetData>
    <row r="1" spans="1:83">
      <c r="B1" s="1254" t="s">
        <v>1278</v>
      </c>
      <c r="D1" s="1255" t="s">
        <v>1279</v>
      </c>
      <c r="F1" s="1255" t="s">
        <v>1280</v>
      </c>
      <c r="U1" s="1256" t="s">
        <v>1281</v>
      </c>
      <c r="X1" s="1256" t="s">
        <v>1282</v>
      </c>
      <c r="Y1" s="1256" t="s">
        <v>1283</v>
      </c>
      <c r="Z1" s="1254" t="s">
        <v>1284</v>
      </c>
      <c r="AA1" s="1254" t="s">
        <v>1285</v>
      </c>
      <c r="AB1" s="1257" t="s">
        <v>1286</v>
      </c>
      <c r="AC1" s="1256" t="s">
        <v>1287</v>
      </c>
      <c r="AD1" s="1254" t="s">
        <v>1288</v>
      </c>
    </row>
    <row r="2" spans="1:83">
      <c r="A2" s="1253" t="s">
        <v>1289</v>
      </c>
      <c r="B2" s="1258">
        <v>30588.381152474001</v>
      </c>
      <c r="C2" s="1259">
        <v>-0.1535751311952458</v>
      </c>
      <c r="D2" s="1260">
        <v>619.04075346900004</v>
      </c>
      <c r="E2" s="1261">
        <v>-0.6038102623865087</v>
      </c>
      <c r="F2" s="1259">
        <v>0.69259146389027304</v>
      </c>
      <c r="G2" s="1262">
        <v>-0.61635171407839617</v>
      </c>
      <c r="U2" s="1256">
        <v>290467.5</v>
      </c>
      <c r="W2" s="1254" t="s">
        <v>1290</v>
      </c>
      <c r="X2" s="1256">
        <f t="shared" ref="X2:X33" si="0">U2/1000</f>
        <v>290.46749999999997</v>
      </c>
      <c r="Y2" s="1256">
        <v>0</v>
      </c>
      <c r="AB2" s="1257">
        <v>1.0023696682464456</v>
      </c>
      <c r="AC2" s="1256">
        <v>423</v>
      </c>
      <c r="AE2" s="1254">
        <v>423</v>
      </c>
      <c r="AF2" s="1254">
        <v>611.10500000000002</v>
      </c>
      <c r="AH2" s="1254">
        <v>802.93599999999969</v>
      </c>
      <c r="AI2" s="1254">
        <v>963.20100000000002</v>
      </c>
      <c r="AJ2" s="1254">
        <v>970.67399999999998</v>
      </c>
      <c r="AK2" s="1254">
        <v>1062.893</v>
      </c>
      <c r="AL2" s="1254">
        <v>1018.9590000000007</v>
      </c>
      <c r="AM2" s="1254">
        <v>1085.0409999999993</v>
      </c>
      <c r="AN2" s="1254">
        <v>1197</v>
      </c>
      <c r="AO2" s="1254">
        <v>1307.2700000000004</v>
      </c>
      <c r="AP2" s="1254">
        <v>1318.8</v>
      </c>
      <c r="AQ2" s="1254">
        <v>1269.3660000000002</v>
      </c>
      <c r="AR2" s="1254">
        <v>1902.8429999999998</v>
      </c>
      <c r="AS2" s="1254">
        <v>1682.0330000000004</v>
      </c>
      <c r="AT2" s="1254">
        <v>1663.1379999999999</v>
      </c>
      <c r="AU2" s="1254">
        <v>1622.4500000000007</v>
      </c>
      <c r="AW2" s="1254">
        <v>1795.2699999999986</v>
      </c>
      <c r="AX2" s="1254">
        <v>1953.6700000000019</v>
      </c>
      <c r="AY2" s="1254">
        <v>1923.902</v>
      </c>
      <c r="AZ2" s="1254">
        <v>1987.9079999999994</v>
      </c>
      <c r="BA2" s="1254">
        <v>2046.2920000000013</v>
      </c>
      <c r="BB2" s="1254">
        <v>2109.3439999999973</v>
      </c>
      <c r="BC2" s="1254">
        <v>2320.29</v>
      </c>
      <c r="BD2" s="1254">
        <v>1654.2869999999998</v>
      </c>
      <c r="BE2" s="1254">
        <v>1975.0340000000001</v>
      </c>
      <c r="BF2" s="1254">
        <v>2140.1890000000003</v>
      </c>
      <c r="BG2" s="1254">
        <v>2535.3499999999995</v>
      </c>
      <c r="BH2" s="1254">
        <v>2747.0679999999993</v>
      </c>
      <c r="BI2" s="1254">
        <v>4192.366</v>
      </c>
      <c r="BJ2" s="1254">
        <v>3079.6010000000024</v>
      </c>
      <c r="BK2" s="1254">
        <v>1929.0149999999994</v>
      </c>
      <c r="BL2" s="1254">
        <v>2000</v>
      </c>
      <c r="BM2" s="1254">
        <v>1796.7999999999993</v>
      </c>
      <c r="BN2" s="1254">
        <v>1787.3819999999978</v>
      </c>
      <c r="BO2" s="1254">
        <v>3900</v>
      </c>
      <c r="BP2" s="1254">
        <v>2140</v>
      </c>
      <c r="BQ2" s="1254">
        <v>2160</v>
      </c>
      <c r="BR2" s="1254">
        <v>2300</v>
      </c>
      <c r="BS2" s="1254">
        <v>2315.5240000000013</v>
      </c>
      <c r="BT2" s="1254">
        <v>4615.5240000000013</v>
      </c>
      <c r="BU2" s="1254">
        <v>2384.4759999999987</v>
      </c>
      <c r="BV2" s="1254">
        <v>2370.7850000000003</v>
      </c>
      <c r="BW2" s="1254">
        <v>2365.9900000000002</v>
      </c>
      <c r="BX2" s="1254">
        <v>2367.36</v>
      </c>
      <c r="BY2" s="1254">
        <v>2295.864999999998</v>
      </c>
      <c r="BZ2" s="1254">
        <v>2481.1697310000018</v>
      </c>
      <c r="CA2" s="1254">
        <v>2062.585</v>
      </c>
      <c r="CB2" s="1254">
        <v>2062.585</v>
      </c>
      <c r="CC2" s="1254">
        <v>2244.4700000000003</v>
      </c>
      <c r="CD2" s="1254">
        <v>2311.8041000000003</v>
      </c>
      <c r="CE2" s="1254">
        <v>2311.8041000000003</v>
      </c>
    </row>
    <row r="3" spans="1:83">
      <c r="A3" s="1253" t="s">
        <v>1291</v>
      </c>
      <c r="B3" s="1258">
        <v>8457.8199720049997</v>
      </c>
      <c r="C3" s="1259">
        <v>-2.3121700348999186E-3</v>
      </c>
      <c r="D3" s="1260">
        <v>94.542948194999994</v>
      </c>
      <c r="E3" s="1261">
        <v>-0.71799581247322708</v>
      </c>
      <c r="F3" s="1259">
        <v>0.68079504061731555</v>
      </c>
      <c r="G3" s="1262">
        <v>-0.82098522736891899</v>
      </c>
      <c r="U3" s="1256">
        <v>298556</v>
      </c>
      <c r="W3" s="1254" t="s">
        <v>1292</v>
      </c>
      <c r="X3" s="1256">
        <f t="shared" si="0"/>
        <v>298.55599999999998</v>
      </c>
      <c r="Y3" s="1256">
        <v>0</v>
      </c>
      <c r="AB3" s="1257">
        <v>1.3701905829596412</v>
      </c>
      <c r="AC3" s="1256">
        <v>611.10500000000002</v>
      </c>
    </row>
    <row r="4" spans="1:83">
      <c r="A4" s="1253" t="s">
        <v>1293</v>
      </c>
      <c r="B4" s="1258">
        <v>4835.1398956029998</v>
      </c>
      <c r="C4" s="1259">
        <v>-0.1976153395430108</v>
      </c>
      <c r="D4" s="1260">
        <v>0.52785088700000005</v>
      </c>
      <c r="E4" s="1261">
        <v>-0.98796108980605657</v>
      </c>
      <c r="F4" s="1259">
        <v>4.0059691348148139</v>
      </c>
      <c r="G4" s="1262">
        <v>-294.24619724282098</v>
      </c>
      <c r="U4" s="1256">
        <v>312982</v>
      </c>
      <c r="W4" s="1254" t="s">
        <v>1294</v>
      </c>
      <c r="X4" s="1256">
        <f t="shared" si="0"/>
        <v>312.98200000000003</v>
      </c>
      <c r="Y4" s="1256">
        <v>0</v>
      </c>
      <c r="AB4" s="1257">
        <v>1.4152721712538232</v>
      </c>
      <c r="AC4" s="1256">
        <v>694.19100000000026</v>
      </c>
    </row>
    <row r="5" spans="1:83">
      <c r="A5" s="1253" t="s">
        <v>1295</v>
      </c>
      <c r="B5" s="1258">
        <v>4075.1226889730001</v>
      </c>
      <c r="C5" s="1259">
        <v>-0.4855652140115172</v>
      </c>
      <c r="D5" s="1260">
        <v>155.75438674700001</v>
      </c>
      <c r="E5" s="1261">
        <v>-0.52370788557572934</v>
      </c>
      <c r="F5" s="1259">
        <v>2.3784107935108159</v>
      </c>
      <c r="G5" s="1262">
        <v>-0.47189585134696493</v>
      </c>
      <c r="U5" s="1256">
        <v>320676</v>
      </c>
      <c r="W5" s="1254" t="s">
        <v>1296</v>
      </c>
      <c r="X5" s="1256">
        <f t="shared" si="0"/>
        <v>320.67599999999999</v>
      </c>
      <c r="Y5" s="1256">
        <v>0</v>
      </c>
      <c r="AB5" s="1257">
        <v>1.5192734153263949</v>
      </c>
      <c r="AC5" s="1256">
        <v>802.93599999999969</v>
      </c>
    </row>
    <row r="6" spans="1:83">
      <c r="A6" s="1253" t="s">
        <v>1297</v>
      </c>
      <c r="B6" s="1258">
        <v>20642.780999999999</v>
      </c>
      <c r="C6" s="1259">
        <v>-0.1336683033681284</v>
      </c>
      <c r="D6" s="1260">
        <v>447.05</v>
      </c>
      <c r="E6" s="1261">
        <v>-0.93054792798858688</v>
      </c>
      <c r="F6" s="1259">
        <v>0.16774820151720249</v>
      </c>
      <c r="G6" s="1262">
        <v>-4.077255340565932</v>
      </c>
      <c r="U6" s="1256">
        <v>326414</v>
      </c>
      <c r="W6" s="1254" t="s">
        <v>1298</v>
      </c>
      <c r="X6" s="1256">
        <f t="shared" si="0"/>
        <v>326.41399999999999</v>
      </c>
      <c r="Y6" s="1256">
        <v>0</v>
      </c>
      <c r="AB6" s="1257">
        <v>1.6824471615720524</v>
      </c>
      <c r="AC6" s="1256">
        <v>963.20100000000002</v>
      </c>
    </row>
    <row r="7" spans="1:83">
      <c r="A7" s="1253" t="s">
        <v>1299</v>
      </c>
      <c r="B7" s="1258">
        <v>8070.8075450329998</v>
      </c>
      <c r="C7" s="1259">
        <v>-0.16716155960823087</v>
      </c>
      <c r="D7" s="1260">
        <v>1849.1981428290001</v>
      </c>
      <c r="E7" s="1261">
        <v>-8.3390585684890994E-2</v>
      </c>
      <c r="F7" s="1259">
        <v>0.37023842365684145</v>
      </c>
      <c r="G7" s="1262">
        <v>-5.8930613626014837E-2</v>
      </c>
      <c r="U7" s="1256">
        <v>338066</v>
      </c>
      <c r="W7" s="1254" t="s">
        <v>1300</v>
      </c>
      <c r="X7" s="1256">
        <f t="shared" si="0"/>
        <v>338.06599999999997</v>
      </c>
      <c r="Y7" s="1256">
        <v>0</v>
      </c>
      <c r="AB7" s="1257">
        <v>1.541976171564734</v>
      </c>
      <c r="AC7" s="1256">
        <v>970.67399999999998</v>
      </c>
    </row>
    <row r="8" spans="1:83">
      <c r="A8" s="1253" t="s">
        <v>1301</v>
      </c>
      <c r="B8" s="1258">
        <v>1552.662398384</v>
      </c>
      <c r="C8" s="1259">
        <v>-0.58333599813241266</v>
      </c>
      <c r="D8" s="1260">
        <v>-142.59302612799999</v>
      </c>
      <c r="E8" s="1261">
        <v>-1.1532953780123996</v>
      </c>
      <c r="F8" s="1259">
        <v>-0.38001667641153847</v>
      </c>
      <c r="G8" s="1262">
        <v>0.80808927843052136</v>
      </c>
      <c r="U8" s="1256">
        <v>335806</v>
      </c>
      <c r="W8" s="1254" t="s">
        <v>1302</v>
      </c>
      <c r="X8" s="1256">
        <f t="shared" si="0"/>
        <v>335.80599999999998</v>
      </c>
      <c r="Y8" s="1256">
        <v>0</v>
      </c>
      <c r="AB8" s="1257">
        <v>1.5359725433526012</v>
      </c>
      <c r="AC8" s="1256">
        <v>1062.893</v>
      </c>
    </row>
    <row r="9" spans="1:83">
      <c r="A9" s="1253" t="s">
        <v>1303</v>
      </c>
      <c r="B9" s="1258">
        <v>3898.0975790000002</v>
      </c>
      <c r="C9" s="1259">
        <v>-1.5759099852349912E-2</v>
      </c>
      <c r="D9" s="1260">
        <v>-192.83683199999999</v>
      </c>
      <c r="E9" s="1261">
        <v>-1.4135199502357749</v>
      </c>
      <c r="F9" s="1259">
        <v>0.33482065112486947</v>
      </c>
      <c r="G9" s="1262">
        <v>2.5567052097184422</v>
      </c>
      <c r="U9" s="1256">
        <v>339132</v>
      </c>
      <c r="W9" s="1254" t="s">
        <v>1304</v>
      </c>
      <c r="X9" s="1256">
        <f t="shared" si="0"/>
        <v>339.13200000000001</v>
      </c>
      <c r="Y9" s="1256">
        <v>0</v>
      </c>
      <c r="AB9" s="1257">
        <v>1.3435457348406994</v>
      </c>
      <c r="AC9" s="1256">
        <v>1307.2700000000004</v>
      </c>
    </row>
    <row r="10" spans="1:83">
      <c r="B10" s="3433" t="s">
        <v>1305</v>
      </c>
      <c r="C10" s="3433"/>
      <c r="D10" s="3433"/>
      <c r="E10" s="3433"/>
      <c r="F10" s="3433"/>
      <c r="H10" s="1254" t="s">
        <v>1306</v>
      </c>
      <c r="U10" s="1256">
        <v>386999.5</v>
      </c>
      <c r="W10" s="1254" t="s">
        <v>1307</v>
      </c>
      <c r="X10" s="1256">
        <f t="shared" si="0"/>
        <v>386.99950000000001</v>
      </c>
      <c r="Y10" s="1256">
        <v>0</v>
      </c>
      <c r="Z10" s="1256">
        <f t="shared" ref="Z10:Z50" si="1">AD10</f>
        <v>13.188000000000001</v>
      </c>
      <c r="AA10" s="1256"/>
      <c r="AB10" s="1257">
        <v>1.2872620790629574</v>
      </c>
      <c r="AC10" s="1256">
        <v>1318.8</v>
      </c>
      <c r="AD10" s="1256">
        <f t="shared" ref="AD10:AD20" si="2">AC10*1%</f>
        <v>13.188000000000001</v>
      </c>
      <c r="AE10" s="1262"/>
    </row>
    <row r="11" spans="1:83">
      <c r="B11" s="1263">
        <v>2018</v>
      </c>
      <c r="C11" s="1264">
        <v>2019</v>
      </c>
      <c r="D11" s="1264">
        <v>2020</v>
      </c>
      <c r="E11" s="1264">
        <v>2021</v>
      </c>
      <c r="F11" s="1264">
        <v>2022</v>
      </c>
      <c r="H11" s="1263">
        <f>B11</f>
        <v>2018</v>
      </c>
      <c r="I11" s="1263">
        <f>C11</f>
        <v>2019</v>
      </c>
      <c r="J11" s="1263">
        <f>D11</f>
        <v>2020</v>
      </c>
      <c r="K11" s="1263">
        <f>E11</f>
        <v>2021</v>
      </c>
      <c r="L11" s="1263">
        <f>F11</f>
        <v>2022</v>
      </c>
      <c r="U11" s="1256">
        <v>522503</v>
      </c>
      <c r="W11" s="1254" t="s">
        <v>1308</v>
      </c>
      <c r="X11" s="1256">
        <f t="shared" si="0"/>
        <v>522.50300000000004</v>
      </c>
      <c r="Y11" s="1256">
        <v>0</v>
      </c>
      <c r="Z11" s="1256">
        <f t="shared" si="1"/>
        <v>12.693660000000003</v>
      </c>
      <c r="AA11" s="1256"/>
      <c r="AB11" s="1257">
        <v>1.2037610241820771</v>
      </c>
      <c r="AC11" s="1256">
        <v>1269.3660000000002</v>
      </c>
      <c r="AD11" s="1256">
        <f t="shared" si="2"/>
        <v>12.693660000000003</v>
      </c>
      <c r="AE11" s="1262"/>
      <c r="AF11" s="1254">
        <f>1%*Rev_Year!G102</f>
        <v>212.75015999999999</v>
      </c>
    </row>
    <row r="12" spans="1:83">
      <c r="A12" s="1265" t="s">
        <v>1309</v>
      </c>
      <c r="B12" s="1258">
        <f>Rev_Year!E218</f>
        <v>91.488742283708802</v>
      </c>
      <c r="C12" s="1260">
        <f>Rev_Year!F218</f>
        <v>120.3062326061134</v>
      </c>
      <c r="D12" s="1260">
        <f>Rev_Year!G218</f>
        <v>88.2007003243409</v>
      </c>
      <c r="E12" s="1260">
        <f>Rev_Year!H218</f>
        <v>121.54055539184164</v>
      </c>
      <c r="F12" s="1260">
        <f ca="1">Rev_Year!I218</f>
        <v>75.935745830294707</v>
      </c>
      <c r="G12" s="1266" t="str">
        <f>A2</f>
        <v>MWG</v>
      </c>
      <c r="H12" s="1267">
        <v>0.827373557908195</v>
      </c>
      <c r="I12" s="1267">
        <v>0.64183585822608569</v>
      </c>
      <c r="J12" s="1267">
        <v>0.49670281728907539</v>
      </c>
      <c r="K12" s="1267">
        <v>0.42359251167409884</v>
      </c>
      <c r="L12" s="1267">
        <v>0.53739499075235864</v>
      </c>
      <c r="U12" s="1256">
        <v>525861</v>
      </c>
      <c r="W12" s="1254" t="s">
        <v>1310</v>
      </c>
      <c r="X12" s="1256">
        <f t="shared" si="0"/>
        <v>525.86099999999999</v>
      </c>
      <c r="Y12" s="1256">
        <v>0</v>
      </c>
      <c r="Z12" s="1256">
        <f t="shared" si="1"/>
        <v>19.02843</v>
      </c>
      <c r="AA12" s="1256"/>
      <c r="AB12" s="1257">
        <v>1.7096522911051211</v>
      </c>
      <c r="AC12" s="1256">
        <v>1902.8429999999998</v>
      </c>
      <c r="AD12" s="1256">
        <f t="shared" si="2"/>
        <v>19.02843</v>
      </c>
      <c r="AE12" s="1262"/>
      <c r="AF12" s="1254">
        <f ca="1">3.5%*Rev_Year!J102</f>
        <v>1105.3266000000001</v>
      </c>
    </row>
    <row r="13" spans="1:83">
      <c r="A13" s="1253" t="str">
        <f>A3</f>
        <v>FRT</v>
      </c>
      <c r="B13" s="1258">
        <v>57.648847277520801</v>
      </c>
      <c r="C13" s="1260">
        <v>73.992196099362801</v>
      </c>
      <c r="D13" s="1260">
        <v>75.602487013821403</v>
      </c>
      <c r="E13" s="1260">
        <v>63.978209541918503</v>
      </c>
      <c r="F13" s="1260">
        <v>81.965322787993102</v>
      </c>
      <c r="G13" s="1266" t="str">
        <f>A3</f>
        <v>FRT</v>
      </c>
      <c r="H13" s="1267">
        <v>0.21397083763169808</v>
      </c>
      <c r="I13" s="1267">
        <v>9.9359800869740028E-2</v>
      </c>
      <c r="J13" s="1267">
        <v>2.4565814377476857E-2</v>
      </c>
      <c r="K13" s="1267">
        <v>0.1133622685400963</v>
      </c>
      <c r="L13" s="1267">
        <v>9.5044607764703512E-2</v>
      </c>
      <c r="U13" s="1256">
        <v>556700</v>
      </c>
      <c r="W13" s="1254" t="s">
        <v>1311</v>
      </c>
      <c r="X13" s="1256">
        <f t="shared" si="0"/>
        <v>556.70000000000005</v>
      </c>
      <c r="Y13" s="1256">
        <v>0</v>
      </c>
      <c r="Z13" s="1256">
        <f t="shared" si="1"/>
        <v>16.820330000000006</v>
      </c>
      <c r="AA13" s="1268">
        <v>0.54039999999999999</v>
      </c>
      <c r="AB13" s="1257">
        <v>1.4063821070234117</v>
      </c>
      <c r="AC13" s="1256">
        <v>1682.0330000000004</v>
      </c>
      <c r="AD13" s="1256">
        <f t="shared" si="2"/>
        <v>16.820330000000006</v>
      </c>
      <c r="AE13" s="1262"/>
      <c r="AF13" s="1254">
        <f ca="1">(AF12/AF11-1)^(1/4)</f>
        <v>1.4311787556703333</v>
      </c>
    </row>
    <row r="14" spans="1:83">
      <c r="A14" s="1253" t="str">
        <f>A4</f>
        <v>PET</v>
      </c>
      <c r="B14" s="1258">
        <v>26.239592066986599</v>
      </c>
      <c r="C14" s="1260">
        <v>35.394863144315302</v>
      </c>
      <c r="D14" s="1260">
        <v>20.716028738682599</v>
      </c>
      <c r="E14" s="1260">
        <v>13.092606346851399</v>
      </c>
      <c r="F14" s="1260">
        <v>33.446418780280297</v>
      </c>
      <c r="G14" s="1266" t="str">
        <f>A4</f>
        <v>PET</v>
      </c>
      <c r="H14" s="1267">
        <v>0.14979854799271497</v>
      </c>
      <c r="I14" s="1267">
        <v>0.13399234845494071</v>
      </c>
      <c r="J14" s="1267">
        <v>0.15199850901887479</v>
      </c>
      <c r="K14" s="1267">
        <v>0.14290664727971308</v>
      </c>
      <c r="L14" s="1267">
        <v>0.13360793173427155</v>
      </c>
      <c r="U14" s="1256">
        <v>603934</v>
      </c>
      <c r="W14" s="1254" t="s">
        <v>1312</v>
      </c>
      <c r="X14" s="1256">
        <f t="shared" si="0"/>
        <v>603.93399999999997</v>
      </c>
      <c r="Y14" s="1256">
        <v>0</v>
      </c>
      <c r="Z14" s="1256">
        <f t="shared" si="1"/>
        <v>16.63138</v>
      </c>
      <c r="AA14" s="1268">
        <v>0.54069999999999996</v>
      </c>
      <c r="AB14" s="1257">
        <v>1.2798291650634859</v>
      </c>
      <c r="AC14" s="1256">
        <v>1663.1379999999999</v>
      </c>
      <c r="AD14" s="1256">
        <f t="shared" si="2"/>
        <v>16.63138</v>
      </c>
      <c r="AE14" s="1262"/>
    </row>
    <row r="15" spans="1:83">
      <c r="A15" s="1269" t="str">
        <f>A5</f>
        <v>DGW</v>
      </c>
      <c r="B15" s="1258">
        <v>58.3468824703019</v>
      </c>
      <c r="C15" s="1260">
        <v>53.459168777751898</v>
      </c>
      <c r="D15" s="1260">
        <v>27.390585155102599</v>
      </c>
      <c r="E15" s="1260">
        <v>18.100419331306099</v>
      </c>
      <c r="F15" s="1260">
        <v>37.116430713539401</v>
      </c>
      <c r="G15" s="1266" t="str">
        <f>A5</f>
        <v>DGW</v>
      </c>
      <c r="H15" s="1267">
        <v>0.19525676357609226</v>
      </c>
      <c r="I15" s="1267">
        <v>0.26480696511329421</v>
      </c>
      <c r="J15" s="1267">
        <v>0.43637153908521542</v>
      </c>
      <c r="K15" s="1267">
        <v>0.76471800872657902</v>
      </c>
      <c r="L15" s="1267">
        <v>0.50626155725825961</v>
      </c>
      <c r="U15" s="1256">
        <v>570312</v>
      </c>
      <c r="W15" s="1254" t="s">
        <v>1313</v>
      </c>
      <c r="X15" s="1256">
        <f t="shared" si="0"/>
        <v>570.31200000000001</v>
      </c>
      <c r="Y15" s="1256">
        <v>0</v>
      </c>
      <c r="Z15" s="1256">
        <f t="shared" si="1"/>
        <v>16.224500000000006</v>
      </c>
      <c r="AA15" s="1268">
        <v>0.54100000000000004</v>
      </c>
      <c r="AB15" s="1257">
        <v>1.1381620484040693</v>
      </c>
      <c r="AC15" s="1256">
        <v>1622.4500000000007</v>
      </c>
      <c r="AD15" s="1256">
        <f t="shared" si="2"/>
        <v>16.224500000000006</v>
      </c>
      <c r="AE15" s="1262"/>
    </row>
    <row r="16" spans="1:83">
      <c r="A16" s="1270" t="s">
        <v>1314</v>
      </c>
      <c r="B16" s="1258">
        <f>Rev_Year!E221</f>
        <v>61.831686789600248</v>
      </c>
      <c r="C16" s="1260">
        <f>Rev_Year!F221</f>
        <v>68.851790996712026</v>
      </c>
      <c r="D16" s="1260">
        <f>Rev_Year!G221</f>
        <v>71.032457072578708</v>
      </c>
      <c r="E16" s="1260">
        <f>Rev_Year!H221</f>
        <v>81.796724852074462</v>
      </c>
      <c r="F16" s="1260">
        <f>Rev_Year!I221</f>
        <v>70.464383759752181</v>
      </c>
      <c r="G16" s="1266" t="str">
        <f>A6</f>
        <v>MSN</v>
      </c>
      <c r="H16" s="1267">
        <v>0.69546854986672202</v>
      </c>
      <c r="I16" s="1267">
        <v>0.48482765707516745</v>
      </c>
      <c r="J16" s="1267">
        <v>0.25877529697652679</v>
      </c>
      <c r="K16" s="1267">
        <v>0.43066682777787368</v>
      </c>
      <c r="L16" s="1267">
        <v>0.26280254199779324</v>
      </c>
      <c r="U16" s="1256">
        <v>639972.5</v>
      </c>
      <c r="W16" s="1254" t="s">
        <v>1315</v>
      </c>
      <c r="X16" s="1256">
        <f t="shared" si="0"/>
        <v>639.97249999999997</v>
      </c>
      <c r="Y16" s="1256">
        <v>0</v>
      </c>
      <c r="Z16" s="1256">
        <f t="shared" si="1"/>
        <v>17.952699999999986</v>
      </c>
      <c r="AA16" s="1268">
        <v>0.5413</v>
      </c>
      <c r="AB16" s="1257">
        <v>1.178385297013455</v>
      </c>
      <c r="AC16" s="1256">
        <v>1795.2699999999986</v>
      </c>
      <c r="AD16" s="1256">
        <f t="shared" si="2"/>
        <v>17.952699999999986</v>
      </c>
      <c r="AE16" s="1262"/>
    </row>
    <row r="17" spans="1:31">
      <c r="A17" s="1253" t="s">
        <v>1316</v>
      </c>
      <c r="B17" s="1258">
        <v>0</v>
      </c>
      <c r="C17" s="1260">
        <v>0</v>
      </c>
      <c r="D17" s="1260">
        <v>46.897382117610498</v>
      </c>
      <c r="E17" s="1260">
        <v>55.974157485417997</v>
      </c>
      <c r="F17" s="1260">
        <v>62.068445784200698</v>
      </c>
      <c r="G17" s="1266"/>
      <c r="H17" s="1267"/>
      <c r="I17" s="1267"/>
      <c r="J17" s="1267"/>
      <c r="K17" s="1267"/>
      <c r="L17" s="1267"/>
      <c r="U17" s="1256">
        <v>679902.5</v>
      </c>
      <c r="W17" s="1254" t="s">
        <v>1317</v>
      </c>
      <c r="X17" s="1256">
        <f t="shared" si="0"/>
        <v>679.90250000000003</v>
      </c>
      <c r="Y17" s="1256">
        <v>0</v>
      </c>
      <c r="Z17" s="1256">
        <f t="shared" si="1"/>
        <v>19.536700000000021</v>
      </c>
      <c r="AA17" s="1268">
        <v>0.54159999999999997</v>
      </c>
      <c r="AB17" s="1257">
        <v>1.2380671736375171</v>
      </c>
      <c r="AC17" s="1256">
        <v>1953.6700000000019</v>
      </c>
      <c r="AD17" s="1256">
        <f t="shared" si="2"/>
        <v>19.536700000000021</v>
      </c>
      <c r="AE17" s="1262"/>
    </row>
    <row r="18" spans="1:31">
      <c r="A18" s="1253" t="s">
        <v>1318</v>
      </c>
      <c r="B18" s="1258">
        <v>53.630368245807297</v>
      </c>
      <c r="C18" s="1260">
        <v>75.022997274401504</v>
      </c>
      <c r="D18" s="1260">
        <v>62.512959784266997</v>
      </c>
      <c r="E18" s="1260">
        <v>56.056879619121901</v>
      </c>
      <c r="F18" s="1260">
        <v>68.199582085917399</v>
      </c>
      <c r="G18" s="1266"/>
      <c r="H18" s="1267"/>
      <c r="I18" s="1267"/>
      <c r="J18" s="1267"/>
      <c r="K18" s="1267"/>
      <c r="L18" s="1267"/>
      <c r="U18" s="1256">
        <v>673436</v>
      </c>
      <c r="W18" s="1254" t="s">
        <v>1319</v>
      </c>
      <c r="X18" s="1256">
        <f t="shared" si="0"/>
        <v>673.43600000000004</v>
      </c>
      <c r="Y18" s="1256">
        <v>0</v>
      </c>
      <c r="Z18" s="1256">
        <f t="shared" si="1"/>
        <v>19.23902</v>
      </c>
      <c r="AA18" s="1268">
        <v>0.54190000000000005</v>
      </c>
      <c r="AB18" s="1257">
        <v>1.1957128651336233</v>
      </c>
      <c r="AC18" s="1256">
        <v>1923.902</v>
      </c>
      <c r="AD18" s="1256">
        <f t="shared" si="2"/>
        <v>19.23902</v>
      </c>
      <c r="AE18" s="1262"/>
    </row>
    <row r="19" spans="1:31">
      <c r="B19" s="1271"/>
      <c r="C19" s="1272"/>
      <c r="D19" s="1272"/>
      <c r="E19" s="1272"/>
      <c r="F19" s="1272"/>
      <c r="G19" s="1266" t="str">
        <f>A20</f>
        <v>MCH</v>
      </c>
      <c r="H19" s="1267">
        <v>1.2027345013378479</v>
      </c>
      <c r="I19" s="1267">
        <v>1.0850237140072281</v>
      </c>
      <c r="J19" s="1267">
        <v>0.92961796235888872</v>
      </c>
      <c r="K19" s="1267">
        <v>0.93105452332964034</v>
      </c>
      <c r="L19" s="1267">
        <v>0.88761057019107636</v>
      </c>
      <c r="U19" s="1256">
        <v>721976</v>
      </c>
      <c r="W19" s="1254" t="s">
        <v>1320</v>
      </c>
      <c r="X19" s="1256">
        <f t="shared" si="0"/>
        <v>721.976</v>
      </c>
      <c r="Y19" s="1256">
        <v>0</v>
      </c>
      <c r="Z19" s="1256">
        <f t="shared" si="1"/>
        <v>19.879079999999995</v>
      </c>
      <c r="AA19" s="1268">
        <v>0.54220000000000002</v>
      </c>
      <c r="AB19" s="1257">
        <v>1.2125086916742907</v>
      </c>
      <c r="AC19" s="1256">
        <v>1987.9079999999994</v>
      </c>
      <c r="AD19" s="1256">
        <f t="shared" si="2"/>
        <v>19.879079999999995</v>
      </c>
      <c r="AE19" s="1262"/>
    </row>
    <row r="20" spans="1:31">
      <c r="A20" s="1253" t="str">
        <f>A7</f>
        <v>MCH</v>
      </c>
      <c r="B20" s="1271">
        <v>0.28068479192957502</v>
      </c>
      <c r="C20" s="1272">
        <v>0.61523297159382095</v>
      </c>
      <c r="D20" s="1272">
        <v>1.0107205411231801</v>
      </c>
      <c r="E20" s="1272">
        <v>1.1191549160565299</v>
      </c>
      <c r="F20" s="1272">
        <v>1.36010231729857</v>
      </c>
      <c r="H20" s="1267">
        <v>0.95561814965704284</v>
      </c>
      <c r="I20" s="1267">
        <v>1.0521337051802595</v>
      </c>
      <c r="J20" s="1267">
        <v>0.44849892913896622</v>
      </c>
      <c r="K20" s="1267">
        <v>0.355365681038249</v>
      </c>
      <c r="L20" s="1267">
        <v>-5.4220027481093648E-2</v>
      </c>
      <c r="U20" s="1256">
        <v>815005.5</v>
      </c>
      <c r="W20" s="1254" t="s">
        <v>1321</v>
      </c>
      <c r="X20" s="1256">
        <f t="shared" si="0"/>
        <v>815.00549999999998</v>
      </c>
      <c r="Y20" s="1256">
        <v>0</v>
      </c>
      <c r="Z20" s="1256">
        <f t="shared" si="1"/>
        <v>20.462920000000015</v>
      </c>
      <c r="AA20" s="1268">
        <v>0.54249999999999998</v>
      </c>
      <c r="AB20" s="1257">
        <v>1.2242249476518106</v>
      </c>
      <c r="AC20" s="1256">
        <v>2046.2920000000013</v>
      </c>
      <c r="AD20" s="1256">
        <f t="shared" si="2"/>
        <v>20.462920000000015</v>
      </c>
      <c r="AE20" s="1262"/>
    </row>
    <row r="21" spans="1:31">
      <c r="A21" s="1253" t="str">
        <f>A8</f>
        <v>MML</v>
      </c>
      <c r="B21" s="1271">
        <v>9.1964495502795604E-2</v>
      </c>
      <c r="C21" s="1272">
        <v>8.8445055531074804E-2</v>
      </c>
      <c r="D21" s="1272">
        <v>4.4078314757409198E-2</v>
      </c>
      <c r="E21" s="1272">
        <v>2.4910880682663498E-2</v>
      </c>
      <c r="F21" s="1272">
        <v>0.89648038376785899</v>
      </c>
      <c r="U21" s="1256">
        <v>819025.5</v>
      </c>
      <c r="W21" s="1254" t="s">
        <v>1322</v>
      </c>
      <c r="X21" s="1256">
        <f t="shared" si="0"/>
        <v>819.02549999999997</v>
      </c>
      <c r="Y21" s="1256">
        <v>0</v>
      </c>
      <c r="Z21" s="1256">
        <f t="shared" si="1"/>
        <v>63.280319999999918</v>
      </c>
      <c r="AA21" s="1268">
        <v>0.54279999999999995</v>
      </c>
      <c r="AB21" s="1257">
        <v>1.2386048150322944</v>
      </c>
      <c r="AC21" s="1256">
        <v>2109.3439999999973</v>
      </c>
      <c r="AD21" s="1256">
        <f t="shared" ref="AD21:AD39" si="3">AC21*3%</f>
        <v>63.280319999999918</v>
      </c>
      <c r="AE21" s="1262"/>
    </row>
    <row r="22" spans="1:31">
      <c r="U22" s="1256">
        <v>834115</v>
      </c>
      <c r="W22" s="1254" t="s">
        <v>1323</v>
      </c>
      <c r="X22" s="1256">
        <f t="shared" si="0"/>
        <v>834.11500000000001</v>
      </c>
      <c r="Y22" s="1256">
        <v>0</v>
      </c>
      <c r="Z22" s="1256">
        <f t="shared" si="1"/>
        <v>69.608699999999999</v>
      </c>
      <c r="AA22" s="1268">
        <v>0.54310000000000003</v>
      </c>
      <c r="AB22" s="1257">
        <v>1.338114186851211</v>
      </c>
      <c r="AC22" s="1256">
        <v>2320.29</v>
      </c>
      <c r="AD22" s="1256">
        <f t="shared" si="3"/>
        <v>69.608699999999999</v>
      </c>
      <c r="AE22" s="1262"/>
    </row>
    <row r="23" spans="1:31">
      <c r="B23" s="1266" t="str">
        <f>Rev_Year!AG5</f>
        <v>Q1/2021</v>
      </c>
      <c r="C23" s="1273" t="str">
        <f>Rev_Year!AH5</f>
        <v>Q2/2021</v>
      </c>
      <c r="D23" s="1273" t="str">
        <f>Rev_Year!AI5</f>
        <v>Q3/2021</v>
      </c>
      <c r="E23" s="1273" t="str">
        <f>Rev_Year!AJ5</f>
        <v>Q4/2021</v>
      </c>
      <c r="F23" s="1273" t="str">
        <f>Rev_Year!AK5</f>
        <v>Q1/2022</v>
      </c>
      <c r="G23" s="1266" t="str">
        <f>Rev_Year!AL5</f>
        <v>Q2/2022</v>
      </c>
      <c r="H23" s="1266" t="str">
        <f>Rev_Year!AM5</f>
        <v>Q3/2022</v>
      </c>
      <c r="I23" s="1266" t="str">
        <f>Rev_Year!AN5</f>
        <v>Q4/2022</v>
      </c>
      <c r="J23" s="1266" t="str">
        <f>Rev_Year!AO5</f>
        <v>Q1/2023</v>
      </c>
      <c r="K23" s="1266" t="str">
        <f>Rev_Year!AP5</f>
        <v>Q2/2023</v>
      </c>
      <c r="L23" s="1266" t="str">
        <f>Rev_Year!AQ5</f>
        <v>Q3/2023</v>
      </c>
      <c r="M23" s="1266" t="str">
        <f>Rev_Year!AR5</f>
        <v>Q4/2023</v>
      </c>
      <c r="U23" s="1256">
        <v>869204</v>
      </c>
      <c r="W23" s="1254" t="s">
        <v>1324</v>
      </c>
      <c r="X23" s="1256">
        <f t="shared" si="0"/>
        <v>869.20399999999995</v>
      </c>
      <c r="Y23" s="1256">
        <v>0</v>
      </c>
      <c r="Z23" s="1256">
        <f t="shared" si="1"/>
        <v>49.628609999999995</v>
      </c>
      <c r="AA23" s="1268">
        <v>0.54339999999999999</v>
      </c>
      <c r="AB23" s="1257">
        <v>0.94395834522111255</v>
      </c>
      <c r="AC23" s="1256">
        <v>1654.2869999999998</v>
      </c>
      <c r="AD23" s="1256">
        <f t="shared" si="3"/>
        <v>49.628609999999995</v>
      </c>
      <c r="AE23" s="1262"/>
    </row>
    <row r="24" spans="1:31">
      <c r="A24" s="1253" t="s">
        <v>1289</v>
      </c>
      <c r="B24" s="1256">
        <f>Rev_Year!AG6</f>
        <v>31156.445464032</v>
      </c>
      <c r="C24" s="1274">
        <f>Rev_Year!AH6</f>
        <v>31982.973207654999</v>
      </c>
      <c r="D24" s="1274">
        <f>Rev_Year!AI6</f>
        <v>24504.825927283</v>
      </c>
      <c r="E24" s="1274">
        <f>Rev_Year!AJ6</f>
        <v>36497.281090978002</v>
      </c>
      <c r="F24" s="1274">
        <f>Rev_Year!AK6</f>
        <v>36819.173885618999</v>
      </c>
      <c r="G24" s="1256">
        <f>Rev_Year!AL6</f>
        <v>34702.840342035997</v>
      </c>
      <c r="H24" s="1256">
        <f>Rev_Year!AM6</f>
        <v>32322.456456197</v>
      </c>
      <c r="I24" s="1256">
        <f>Rev_Year!AN6</f>
        <v>30877.778203704998</v>
      </c>
      <c r="J24" s="1256">
        <f ca="1">Rev_Year!AO6</f>
        <v>27080.330372074233</v>
      </c>
      <c r="K24" s="1256">
        <f ca="1">Rev_Year!AP6</f>
        <v>29747.121312074236</v>
      </c>
      <c r="L24" s="1256">
        <f ca="1">Rev_Year!AQ6</f>
        <v>30219.353632074235</v>
      </c>
      <c r="M24" s="1256">
        <f ca="1">Rev_Year!AR6</f>
        <v>31233.188972074237</v>
      </c>
      <c r="U24" s="1256">
        <v>909661.5</v>
      </c>
      <c r="W24" s="1254" t="s">
        <v>1325</v>
      </c>
      <c r="X24" s="1256">
        <f t="shared" si="0"/>
        <v>909.66150000000005</v>
      </c>
      <c r="Y24" s="1256">
        <v>0</v>
      </c>
      <c r="Z24" s="1256">
        <f t="shared" si="1"/>
        <v>59.251020000000004</v>
      </c>
      <c r="AA24" s="1268">
        <v>0.54369999999999996</v>
      </c>
      <c r="AB24" s="1257">
        <v>1.1212228214589839</v>
      </c>
      <c r="AC24" s="1256">
        <v>1975.0340000000001</v>
      </c>
      <c r="AD24" s="1256">
        <f t="shared" si="3"/>
        <v>59.251020000000004</v>
      </c>
      <c r="AE24" s="1262"/>
    </row>
    <row r="25" spans="1:31">
      <c r="A25" s="1253" t="s">
        <v>1326</v>
      </c>
      <c r="B25" s="1256">
        <f>Rev_Year!AG8+Rev_Year!AG15</f>
        <v>24877.389000000003</v>
      </c>
      <c r="C25" s="1274">
        <f>Rev_Year!AH8+Rev_Year!AH15</f>
        <v>24049.931999999993</v>
      </c>
      <c r="D25" s="1274">
        <f>Rev_Year!AI8+Rev_Year!AI15</f>
        <v>14972.199000000004</v>
      </c>
      <c r="E25" s="1274">
        <f>Rev_Year!AJ8+Rev_Year!AJ15</f>
        <v>30409.266000000003</v>
      </c>
      <c r="F25" s="1274">
        <f>Rev_Year!AK8+Rev_Year!AK15</f>
        <v>29818.095463204831</v>
      </c>
      <c r="G25" s="1256">
        <f>Rev_Year!AL8+Rev_Year!AL15</f>
        <v>26660.748191273553</v>
      </c>
      <c r="H25" s="1256">
        <f ca="1">Rev_Year!AM8+Rev_Year!AM15</f>
        <v>23050.733218611182</v>
      </c>
      <c r="I25" s="1256">
        <f ca="1">Rev_Year!AN8+Rev_Year!AN15</f>
        <v>21522.736142550006</v>
      </c>
      <c r="J25" s="1256">
        <f ca="1">Rev_Year!AO8+Rev_Year!AO15</f>
        <v>19012.864963616921</v>
      </c>
      <c r="K25" s="1256">
        <f ca="1">Rev_Year!AP8+Rev_Year!AP15</f>
        <v>20642.100783369169</v>
      </c>
      <c r="L25" s="1256">
        <f ca="1">Rev_Year!AQ8+Rev_Year!AQ15</f>
        <v>19836.958914091265</v>
      </c>
      <c r="M25" s="1256">
        <f ca="1">Rev_Year!AR8+Rev_Year!AR15</f>
        <v>20056.413089485002</v>
      </c>
      <c r="U25" s="1256">
        <v>1095714</v>
      </c>
      <c r="W25" s="1254" t="s">
        <v>1327</v>
      </c>
      <c r="X25" s="1256">
        <f t="shared" si="0"/>
        <v>1095.7139999999999</v>
      </c>
      <c r="Y25" s="1256">
        <v>0</v>
      </c>
      <c r="Z25" s="1256">
        <f t="shared" si="1"/>
        <v>64.205670000000012</v>
      </c>
      <c r="AA25" s="1268">
        <v>0.54400000000000004</v>
      </c>
      <c r="AB25" s="1257">
        <v>1.1989854341736697</v>
      </c>
      <c r="AC25" s="1256">
        <v>2140.1890000000003</v>
      </c>
      <c r="AD25" s="1256">
        <f t="shared" si="3"/>
        <v>64.205670000000012</v>
      </c>
      <c r="AE25" s="1262"/>
    </row>
    <row r="26" spans="1:31">
      <c r="A26" s="1253" t="s">
        <v>7</v>
      </c>
      <c r="B26" s="1256">
        <f>Rev_Year!AG23</f>
        <v>5949.6109999999999</v>
      </c>
      <c r="C26" s="1274">
        <f>Rev_Year!AH23</f>
        <v>7422.6069999999991</v>
      </c>
      <c r="D26" s="1274">
        <f>Rev_Year!AI23</f>
        <v>9200.9820000000018</v>
      </c>
      <c r="E26" s="1274">
        <f>Rev_Year!AJ23</f>
        <v>5584.1819999999971</v>
      </c>
      <c r="F26" s="1274">
        <f>Rev_Year!AK23</f>
        <v>6040</v>
      </c>
      <c r="G26" s="1256">
        <f>Rev_Year!AL23</f>
        <v>6775.5240000000013</v>
      </c>
      <c r="H26" s="1256">
        <f>Rev_Year!AM23</f>
        <v>7121.2509999999984</v>
      </c>
      <c r="I26" s="1256">
        <f>Rev_Year!AN23</f>
        <v>7144.3947310000003</v>
      </c>
      <c r="J26" s="1256">
        <f>Rev_Year!AO23</f>
        <v>6369.64</v>
      </c>
      <c r="K26" s="1256">
        <f ca="1">Rev_Year!AP23</f>
        <v>7320.2999999999984</v>
      </c>
      <c r="L26" s="1256">
        <f ca="1">Rev_Year!AQ23</f>
        <v>8632.5660000000025</v>
      </c>
      <c r="M26" s="1256">
        <f ca="1">Rev_Year!AR23</f>
        <v>9258.2540000000008</v>
      </c>
      <c r="U26" s="1256">
        <v>1681483.5</v>
      </c>
      <c r="W26" s="1254" t="s">
        <v>1328</v>
      </c>
      <c r="X26" s="1256">
        <f t="shared" si="0"/>
        <v>1681.4835</v>
      </c>
      <c r="Y26" s="1256">
        <v>0</v>
      </c>
      <c r="Z26" s="1256">
        <f t="shared" si="1"/>
        <v>76.060499999999976</v>
      </c>
      <c r="AA26" s="1268">
        <v>0.54430000000000001</v>
      </c>
      <c r="AB26" s="1257">
        <v>1.3877120963327856</v>
      </c>
      <c r="AC26" s="1256">
        <v>2535.3499999999995</v>
      </c>
      <c r="AD26" s="1256">
        <f t="shared" si="3"/>
        <v>76.060499999999976</v>
      </c>
      <c r="AE26" s="1262"/>
    </row>
    <row r="27" spans="1:31">
      <c r="A27" s="1253" t="s">
        <v>49</v>
      </c>
      <c r="B27" s="1275">
        <f t="shared" ref="B27:M27" si="4">B24-B25-B26</f>
        <v>329.44546403199729</v>
      </c>
      <c r="C27" s="1276">
        <f t="shared" si="4"/>
        <v>510.4342076550065</v>
      </c>
      <c r="D27" s="1276">
        <f t="shared" si="4"/>
        <v>331.6449272829941</v>
      </c>
      <c r="E27" s="1276">
        <f t="shared" si="4"/>
        <v>503.83309097800156</v>
      </c>
      <c r="F27" s="1276">
        <f t="shared" si="4"/>
        <v>961.07842241416802</v>
      </c>
      <c r="G27" s="1275">
        <f t="shared" si="4"/>
        <v>1266.5681507624431</v>
      </c>
      <c r="H27" s="1275">
        <f t="shared" ca="1" si="4"/>
        <v>2150.47223758582</v>
      </c>
      <c r="I27" s="1275">
        <f t="shared" ca="1" si="4"/>
        <v>2210.6473301549922</v>
      </c>
      <c r="J27" s="1275">
        <f t="shared" ca="1" si="4"/>
        <v>1697.8254084573118</v>
      </c>
      <c r="K27" s="1275">
        <f t="shared" ca="1" si="4"/>
        <v>1784.7205287050683</v>
      </c>
      <c r="L27" s="1275">
        <f t="shared" ca="1" si="4"/>
        <v>1749.8287179829676</v>
      </c>
      <c r="M27" s="1275">
        <f t="shared" ca="1" si="4"/>
        <v>1918.5218825892334</v>
      </c>
      <c r="U27" s="1256">
        <v>2509397</v>
      </c>
      <c r="W27" s="1254" t="s">
        <v>1329</v>
      </c>
      <c r="X27" s="1256">
        <f t="shared" si="0"/>
        <v>2509.3969999999999</v>
      </c>
      <c r="Y27" s="1256">
        <v>0</v>
      </c>
      <c r="Z27" s="1256">
        <f t="shared" si="1"/>
        <v>82.412039999999976</v>
      </c>
      <c r="AA27" s="1268">
        <v>0.54459999999999997</v>
      </c>
      <c r="AB27" s="1257">
        <v>1.4694132120887935</v>
      </c>
      <c r="AC27" s="1256">
        <v>2747.0679999999993</v>
      </c>
      <c r="AD27" s="1256">
        <f t="shared" si="3"/>
        <v>82.412039999999976</v>
      </c>
      <c r="AE27" s="1262"/>
    </row>
    <row r="28" spans="1:31">
      <c r="A28" s="1253" t="s">
        <v>1330</v>
      </c>
      <c r="B28" s="1262">
        <f>'quý 1.22'!AH16/'quý 1.22'!AH14</f>
        <v>0.22787442519042692</v>
      </c>
      <c r="C28" s="1259">
        <f>'quý 1.22'!AI16/'quý 1.22'!AI14</f>
        <v>0.22564561479893272</v>
      </c>
      <c r="D28" s="1259">
        <f>'quý 1.22'!AJ16/'quý 1.22'!AJ14</f>
        <v>0.25022232757449142</v>
      </c>
      <c r="E28" s="1259">
        <f>'quý 1.22'!AK16/'quý 1.22'!AK14</f>
        <v>0.20407389470025525</v>
      </c>
      <c r="F28" s="1259">
        <f>'quý 1.22'!AL16/'quý 1.22'!AL14</f>
        <v>0.22278597461617988</v>
      </c>
      <c r="G28" s="1262">
        <f>'quý 1.22'!AM16/'quý 1.22'!AM14</f>
        <v>0.21365466234210026</v>
      </c>
      <c r="H28" s="1262">
        <f>'quý 1.22'!AN16/'quý 1.22'!AN14</f>
        <v>0.23091431474038354</v>
      </c>
      <c r="I28" s="1262">
        <f>'quý 1.22'!AO16/'quý 1.22'!AO14</f>
        <v>0.25923270074302895</v>
      </c>
      <c r="J28" s="1262">
        <f>'quý 1.22'!AP16/'quý 1.22'!AP14</f>
        <v>0.19237571069512166</v>
      </c>
      <c r="K28" s="1262" t="e">
        <f>'quý 1.22'!AQ16/'quý 1.22'!AQ14</f>
        <v>#DIV/0!</v>
      </c>
      <c r="L28" s="1262" t="e">
        <f>'quý 1.22'!AR16/'quý 1.22'!AR14</f>
        <v>#DIV/0!</v>
      </c>
      <c r="M28" s="1262" t="e">
        <f>'quý 1.22'!AS16/'quý 1.22'!AS14</f>
        <v>#DIV/0!</v>
      </c>
      <c r="U28" s="1256">
        <v>3252480.5</v>
      </c>
      <c r="W28" s="1254" t="s">
        <v>1331</v>
      </c>
      <c r="X28" s="1256">
        <f t="shared" si="0"/>
        <v>3252.4805000000001</v>
      </c>
      <c r="Y28" s="1256">
        <v>0</v>
      </c>
      <c r="Z28" s="1256">
        <f t="shared" si="1"/>
        <v>125.77097999999999</v>
      </c>
      <c r="AA28" s="1268">
        <v>0.54490000000000005</v>
      </c>
      <c r="AB28" s="1257">
        <v>2.2024512739690043</v>
      </c>
      <c r="AC28" s="1256">
        <v>4192.366</v>
      </c>
      <c r="AD28" s="1256">
        <f t="shared" si="3"/>
        <v>125.77097999999999</v>
      </c>
      <c r="AE28" s="1262"/>
    </row>
    <row r="29" spans="1:31">
      <c r="A29" s="1253" t="s">
        <v>1332</v>
      </c>
      <c r="B29" s="1268">
        <f>('quý 1.22'!AH16+SUM('quý 1.22'!AH21:AH22))/'quý 1.22'!AH12</f>
        <v>5.4288896492305665E-2</v>
      </c>
      <c r="C29" s="1277">
        <f>('quý 1.22'!AI16+SUM('quý 1.22'!AI21:AI22))/'quý 1.22'!AI12</f>
        <v>4.6828966315068048E-2</v>
      </c>
      <c r="D29" s="1277">
        <f>('quý 1.22'!AJ16+SUM('quý 1.22'!AJ21:AJ22))/'quý 1.22'!AJ12</f>
        <v>3.4405412263888664E-2</v>
      </c>
      <c r="E29" s="1277">
        <f>('quý 1.22'!AK16+SUM('quý 1.22'!AK21:AK22))/'quý 1.22'!AK12</f>
        <v>5.0850957577570834E-2</v>
      </c>
      <c r="F29" s="1277">
        <f>('quý 1.22'!AL16+SUM('quý 1.22'!AL21:AL22))/'quý 1.22'!AL12</f>
        <v>5.0212727375724978E-2</v>
      </c>
      <c r="G29" s="1268">
        <f>('quý 1.22'!AM16+SUM('quý 1.22'!AM21:AM22))/'quý 1.22'!AM12</f>
        <v>5.8445107730856295E-2</v>
      </c>
      <c r="H29" s="1268">
        <f>('quý 1.22'!AN16+SUM('quý 1.22'!AN21:AN22))/'quý 1.22'!AN12</f>
        <v>5.3622104922967505E-2</v>
      </c>
      <c r="I29" s="1268">
        <f>('quý 1.22'!AO16+SUM('quý 1.22'!AO21:AO22))/'quý 1.22'!AO12</f>
        <v>3.348612537598103E-2</v>
      </c>
      <c r="J29" s="1268">
        <f>('quý 1.22'!AP16+SUM('quý 1.22'!AP21:AP22))/'quý 1.22'!AP12</f>
        <v>3.8456673154789464E-3</v>
      </c>
      <c r="K29" s="1268" t="e">
        <f>('quý 1.22'!AQ16+SUM('quý 1.22'!AQ21:AQ22))/'quý 1.22'!AQ12</f>
        <v>#DIV/0!</v>
      </c>
      <c r="L29" s="1268" t="e">
        <f>('quý 1.22'!AR16+SUM('quý 1.22'!AR21:AR22))/'quý 1.22'!AR12</f>
        <v>#DIV/0!</v>
      </c>
      <c r="M29" s="1268" t="e">
        <f>('quý 1.22'!AS16+SUM('quý 1.22'!AS21:AS22))/'quý 1.22'!AS12</f>
        <v>#DIV/0!</v>
      </c>
      <c r="U29" s="1256">
        <v>3279297</v>
      </c>
      <c r="W29" s="1254" t="s">
        <v>1333</v>
      </c>
      <c r="X29" s="1256">
        <f t="shared" si="0"/>
        <v>3279.297</v>
      </c>
      <c r="Y29" s="1256">
        <v>0</v>
      </c>
      <c r="Z29" s="1256">
        <f t="shared" si="1"/>
        <v>92.388030000000072</v>
      </c>
      <c r="AA29" s="1268">
        <v>0.54520000000000002</v>
      </c>
      <c r="AB29" s="1257">
        <v>1.6010402911359514</v>
      </c>
      <c r="AC29" s="1256">
        <v>3079.6010000000024</v>
      </c>
      <c r="AD29" s="1256">
        <f t="shared" si="3"/>
        <v>92.388030000000072</v>
      </c>
      <c r="AE29" s="1262"/>
    </row>
    <row r="30" spans="1:31">
      <c r="A30" s="1253" t="s">
        <v>1334</v>
      </c>
      <c r="B30" s="1262">
        <f>'quý 1.22'!AH32/'quý 1.22'!AH14</f>
        <v>4.3422432157857592E-2</v>
      </c>
      <c r="C30" s="1259">
        <f>'quý 1.22'!AI32/'quý 1.22'!AI14</f>
        <v>3.8336671456950057E-2</v>
      </c>
      <c r="D30" s="1259">
        <f>'quý 1.22'!AJ32/'quý 1.22'!AJ14</f>
        <v>3.2293398405980597E-2</v>
      </c>
      <c r="E30" s="1259">
        <f>'quý 1.22'!AK32/'quý 1.22'!AK14</f>
        <v>4.3259141558279597E-2</v>
      </c>
      <c r="F30" s="1259">
        <f>'quý 1.22'!AL32/'quý 1.22'!AL14</f>
        <v>3.9631918978513786E-2</v>
      </c>
      <c r="G30" s="1262">
        <f>'quý 1.22'!AM32/'quý 1.22'!AM14</f>
        <v>3.2927874117412943E-2</v>
      </c>
      <c r="H30" s="1262">
        <f>'quý 1.22'!AN32/'quý 1.22'!AN14</f>
        <v>2.8326244570477957E-2</v>
      </c>
      <c r="I30" s="1262">
        <f>'quý 1.22'!AO32/'quý 1.22'!AO14</f>
        <v>2.023716456413167E-2</v>
      </c>
      <c r="J30" s="1262">
        <f>'quý 1.22'!AP32/'quý 1.22'!AP14</f>
        <v>7.8511997443112349E-4</v>
      </c>
      <c r="K30" s="1262" t="e">
        <f>'quý 1.22'!AQ32/'quý 1.22'!AQ14</f>
        <v>#DIV/0!</v>
      </c>
      <c r="L30" s="1262" t="e">
        <f>'quý 1.22'!AR32/'quý 1.22'!AR14</f>
        <v>#DIV/0!</v>
      </c>
      <c r="M30" s="1262" t="e">
        <f>'quý 1.22'!AS32/'quý 1.22'!AS14</f>
        <v>#DIV/0!</v>
      </c>
      <c r="U30" s="1256">
        <v>3638764.5</v>
      </c>
      <c r="W30" s="1254" t="s">
        <v>1335</v>
      </c>
      <c r="X30" s="1256">
        <f t="shared" si="0"/>
        <v>3638.7645000000002</v>
      </c>
      <c r="Y30" s="1256">
        <v>0</v>
      </c>
      <c r="Z30" s="1256">
        <f t="shared" si="1"/>
        <v>57.870449999999977</v>
      </c>
      <c r="AA30" s="1268">
        <v>0.54549999999999998</v>
      </c>
      <c r="AB30" s="1257">
        <v>0.99897203521491429</v>
      </c>
      <c r="AC30" s="1256">
        <v>1929.0149999999994</v>
      </c>
      <c r="AD30" s="1256">
        <f t="shared" si="3"/>
        <v>57.870449999999977</v>
      </c>
      <c r="AE30" s="1262"/>
    </row>
    <row r="31" spans="1:31">
      <c r="U31" s="1256">
        <v>3823984</v>
      </c>
      <c r="W31" s="1254" t="s">
        <v>1336</v>
      </c>
      <c r="X31" s="1256">
        <f t="shared" si="0"/>
        <v>3823.9839999999999</v>
      </c>
      <c r="Y31" s="1256">
        <v>0</v>
      </c>
      <c r="Z31" s="1256">
        <f t="shared" si="1"/>
        <v>60</v>
      </c>
      <c r="AA31" s="1268">
        <v>0.54579999999999995</v>
      </c>
      <c r="AB31" s="1257">
        <v>1.0341261633919339</v>
      </c>
      <c r="AC31" s="1256">
        <v>2000</v>
      </c>
      <c r="AD31" s="1256">
        <f t="shared" si="3"/>
        <v>60</v>
      </c>
      <c r="AE31" s="1262"/>
    </row>
    <row r="32" spans="1:31">
      <c r="C32" s="1255" t="s">
        <v>87</v>
      </c>
      <c r="D32" s="1255" t="s">
        <v>88</v>
      </c>
      <c r="E32" s="1255" t="s">
        <v>89</v>
      </c>
      <c r="F32" s="1255" t="s">
        <v>90</v>
      </c>
      <c r="G32" s="1254" t="s">
        <v>91</v>
      </c>
      <c r="H32" s="1254" t="s">
        <v>92</v>
      </c>
      <c r="I32" s="1254" t="s">
        <v>93</v>
      </c>
      <c r="J32" s="1254" t="s">
        <v>94</v>
      </c>
      <c r="U32" s="1256">
        <v>3951378.5</v>
      </c>
      <c r="W32" s="1254" t="s">
        <v>1337</v>
      </c>
      <c r="X32" s="1256">
        <f t="shared" si="0"/>
        <v>3951.3784999999998</v>
      </c>
      <c r="Y32" s="1256">
        <v>0</v>
      </c>
      <c r="Z32" s="1256">
        <f t="shared" si="1"/>
        <v>53.903999999999975</v>
      </c>
      <c r="AA32" s="1268">
        <v>0.54610000000000003</v>
      </c>
      <c r="AB32" s="1257">
        <v>0.9074747474747471</v>
      </c>
      <c r="AC32" s="1256">
        <v>1796.7999999999993</v>
      </c>
      <c r="AD32" s="1256">
        <f t="shared" si="3"/>
        <v>53.903999999999975</v>
      </c>
      <c r="AE32" s="1262"/>
    </row>
    <row r="33" spans="1:31">
      <c r="A33" s="3431" t="s">
        <v>7</v>
      </c>
      <c r="B33" s="1254" t="s">
        <v>1338</v>
      </c>
      <c r="C33" s="1278">
        <v>1.1514633249467776</v>
      </c>
      <c r="D33" s="1278">
        <v>1.3727773256889215</v>
      </c>
      <c r="E33" s="1278">
        <v>1.6251844917424716</v>
      </c>
      <c r="F33" s="1278">
        <v>0.94271663712332188</v>
      </c>
      <c r="G33" s="1257">
        <v>0.97110012460307893</v>
      </c>
      <c r="H33" s="1257">
        <v>1.0913302730128052</v>
      </c>
      <c r="I33" s="1257">
        <v>1.2679725795682169</v>
      </c>
      <c r="J33" s="1257">
        <v>1.3774982610623734</v>
      </c>
      <c r="U33" s="1256">
        <v>4751019.5</v>
      </c>
      <c r="W33" s="1254" t="s">
        <v>1339</v>
      </c>
      <c r="X33" s="1256">
        <f t="shared" si="0"/>
        <v>4751.0195000000003</v>
      </c>
      <c r="Y33" s="1256">
        <v>42192.333333333336</v>
      </c>
      <c r="Z33" s="1256">
        <f t="shared" si="1"/>
        <v>53.621459999999935</v>
      </c>
      <c r="AA33" s="1268">
        <v>0.5464</v>
      </c>
      <c r="AB33" s="1257">
        <v>0.86514133591481013</v>
      </c>
      <c r="AC33" s="1256">
        <v>1787.3819999999978</v>
      </c>
      <c r="AD33" s="1256">
        <f t="shared" si="3"/>
        <v>53.621459999999935</v>
      </c>
      <c r="AE33" s="1262"/>
    </row>
    <row r="34" spans="1:31">
      <c r="A34" s="3431"/>
      <c r="B34" s="1254" t="s">
        <v>1340</v>
      </c>
      <c r="C34" s="1279">
        <f>Rev_Year!AG131</f>
        <v>-5.8572575738835828E-2</v>
      </c>
      <c r="D34" s="1279">
        <f>Rev_Year!AH131</f>
        <v>-1.8015980311784113E-2</v>
      </c>
      <c r="E34" s="1279">
        <f>Rev_Year!AI131</f>
        <v>3.8135708400026135E-2</v>
      </c>
      <c r="F34" s="1279">
        <f>Rev_Year!AJ131</f>
        <v>4.9341945276119119E-2</v>
      </c>
      <c r="G34" s="1280">
        <f>Rev_Year!AK131</f>
        <v>-7.3563929528429536E-2</v>
      </c>
      <c r="H34" s="1280">
        <f>Rev_Year!AL131</f>
        <v>-0.10077015066166309</v>
      </c>
      <c r="I34" s="1280">
        <f>Rev_Year!AM131</f>
        <v>-7.4924686242166499E-2</v>
      </c>
      <c r="J34" s="1280">
        <f>Rev_Year!AN131</f>
        <v>-2.3986594227997583E-3</v>
      </c>
      <c r="U34" s="1256">
        <v>5725437</v>
      </c>
      <c r="W34" s="1254" t="s">
        <v>1341</v>
      </c>
      <c r="X34" s="1256">
        <f t="shared" ref="X34:X50" si="5">U34/1000</f>
        <v>5725.4369999999999</v>
      </c>
      <c r="Y34" s="1256">
        <v>36804</v>
      </c>
      <c r="Z34" s="1256">
        <f t="shared" si="1"/>
        <v>58.5</v>
      </c>
      <c r="AA34" s="1268">
        <v>0.54669999999999996</v>
      </c>
      <c r="AB34" s="1257">
        <v>0.92242194891201512</v>
      </c>
      <c r="AC34" s="1256">
        <f>3900/2</f>
        <v>1950</v>
      </c>
      <c r="AD34" s="1256">
        <f t="shared" si="3"/>
        <v>58.5</v>
      </c>
      <c r="AE34" s="1262"/>
    </row>
    <row r="35" spans="1:31">
      <c r="A35" s="3431"/>
      <c r="B35" s="1254" t="s">
        <v>1342</v>
      </c>
      <c r="C35" s="1281"/>
      <c r="D35" s="1281"/>
      <c r="E35" s="1281"/>
      <c r="F35" s="1281"/>
      <c r="G35" s="1282">
        <v>-0.13</v>
      </c>
      <c r="H35" s="1282">
        <v>-0.19</v>
      </c>
      <c r="I35" s="1282">
        <v>-0.21</v>
      </c>
      <c r="J35" s="1282">
        <v>0.35</v>
      </c>
      <c r="U35" s="1256">
        <v>6450844</v>
      </c>
      <c r="W35" s="1254" t="s">
        <v>1343</v>
      </c>
      <c r="X35" s="1256">
        <f t="shared" si="5"/>
        <v>6450.8440000000001</v>
      </c>
      <c r="Y35" s="1256">
        <v>35107</v>
      </c>
      <c r="Z35" s="1256">
        <f t="shared" si="1"/>
        <v>58.5</v>
      </c>
      <c r="AA35" s="1268">
        <v>0.54700000000000004</v>
      </c>
      <c r="AB35" s="1257">
        <v>0.92242194891201512</v>
      </c>
      <c r="AC35" s="1256">
        <f>AC34</f>
        <v>1950</v>
      </c>
      <c r="AD35" s="1256">
        <f t="shared" si="3"/>
        <v>58.5</v>
      </c>
      <c r="AE35" s="1262"/>
    </row>
    <row r="36" spans="1:31">
      <c r="A36" s="3431" t="s">
        <v>1344</v>
      </c>
      <c r="B36" s="1254" t="s">
        <v>1338</v>
      </c>
      <c r="C36" s="1278">
        <v>0.68467251856853473</v>
      </c>
      <c r="D36" s="1278">
        <v>0.74456156088809156</v>
      </c>
      <c r="E36" s="1278">
        <v>0.96412719202503094</v>
      </c>
      <c r="F36" s="1278">
        <v>0.6433811158220607</v>
      </c>
      <c r="G36" s="1257">
        <v>0.59520680808460047</v>
      </c>
      <c r="H36" s="1257">
        <v>0.57002926596189452</v>
      </c>
      <c r="I36" s="1257">
        <v>0.58710005078720162</v>
      </c>
      <c r="J36" s="1257">
        <v>0.53675267795894677</v>
      </c>
      <c r="U36" s="1256">
        <v>7813897.666666667</v>
      </c>
      <c r="W36" s="1254" t="s">
        <v>1345</v>
      </c>
      <c r="X36" s="1256">
        <f t="shared" si="5"/>
        <v>7813.8976666666667</v>
      </c>
      <c r="Y36" s="1256">
        <v>41906</v>
      </c>
      <c r="Z36" s="1256">
        <f t="shared" si="1"/>
        <v>64.2</v>
      </c>
      <c r="AA36" s="1268">
        <v>0.54730000000000001</v>
      </c>
      <c r="AB36" s="1257">
        <v>1.0072958343139562</v>
      </c>
      <c r="AC36" s="1256">
        <v>2140</v>
      </c>
      <c r="AD36" s="1256">
        <f t="shared" si="3"/>
        <v>64.2</v>
      </c>
      <c r="AE36" s="1262"/>
    </row>
    <row r="37" spans="1:31">
      <c r="A37" s="3431"/>
      <c r="B37" s="1254" t="s">
        <v>1340</v>
      </c>
      <c r="C37" s="1277">
        <v>1.8088925711129522E-2</v>
      </c>
      <c r="D37" s="1277">
        <v>2.1727096595626903E-2</v>
      </c>
      <c r="E37" s="1277">
        <v>5.5199916045755061E-2</v>
      </c>
      <c r="F37" s="1277">
        <v>4.9454545454545452E-2</v>
      </c>
      <c r="G37" s="1268">
        <v>2.257087806220754E-2</v>
      </c>
      <c r="H37" s="1268">
        <v>2.1546803652968037E-2</v>
      </c>
      <c r="I37" s="1268">
        <v>3.2892150438998818E-2</v>
      </c>
      <c r="J37" s="1268">
        <v>3.1886387995712757E-2</v>
      </c>
      <c r="U37" s="1256">
        <v>9423612.5</v>
      </c>
      <c r="W37" s="1254" t="s">
        <v>1346</v>
      </c>
      <c r="X37" s="1256">
        <f t="shared" si="5"/>
        <v>9423.6124999999993</v>
      </c>
      <c r="Y37" s="1256">
        <v>42162.5</v>
      </c>
      <c r="Z37" s="1256">
        <f t="shared" si="1"/>
        <v>64.8</v>
      </c>
      <c r="AA37" s="1268">
        <v>0.54759999999999998</v>
      </c>
      <c r="AB37" s="1257">
        <v>1.0124209046168269</v>
      </c>
      <c r="AC37" s="1256">
        <v>2160</v>
      </c>
      <c r="AD37" s="1256">
        <f t="shared" si="3"/>
        <v>64.8</v>
      </c>
      <c r="AE37" s="1262"/>
    </row>
    <row r="38" spans="1:31">
      <c r="A38" s="3431"/>
      <c r="B38" s="1254" t="s">
        <v>1342</v>
      </c>
      <c r="G38" s="1262">
        <f>(8022-3950)/(8871-4646)-1</f>
        <v>-3.6213017751479337E-2</v>
      </c>
      <c r="H38" s="1262">
        <f>3950/4646-1</f>
        <v>-0.14980628497632376</v>
      </c>
      <c r="I38" s="1262">
        <f>4091/6110-1</f>
        <v>-0.3304418985270049</v>
      </c>
      <c r="J38" s="1262">
        <f>3795/4298-1</f>
        <v>-0.1170311772917636</v>
      </c>
      <c r="U38" s="1256">
        <v>13189494</v>
      </c>
      <c r="W38" s="1254" t="s">
        <v>1347</v>
      </c>
      <c r="X38" s="1256">
        <f t="shared" si="5"/>
        <v>13189.494000000001</v>
      </c>
      <c r="Y38" s="1256">
        <v>44739.5</v>
      </c>
      <c r="Z38" s="1256">
        <f t="shared" si="1"/>
        <v>69</v>
      </c>
      <c r="AA38" s="1268">
        <v>0.54790000000000005</v>
      </c>
      <c r="AB38" s="1257">
        <v>1.0747663551401869</v>
      </c>
      <c r="AC38" s="1256">
        <v>2300</v>
      </c>
      <c r="AD38" s="1256">
        <f t="shared" si="3"/>
        <v>69</v>
      </c>
      <c r="AE38" s="1262"/>
    </row>
    <row r="39" spans="1:31">
      <c r="B39" s="1254" t="s">
        <v>1348</v>
      </c>
      <c r="C39" s="1255">
        <v>10.7</v>
      </c>
      <c r="D39" s="1255">
        <v>12.2</v>
      </c>
      <c r="E39" s="1255">
        <v>9.3000000000000007</v>
      </c>
      <c r="F39" s="1255">
        <v>7</v>
      </c>
      <c r="G39" s="1254">
        <v>7.6</v>
      </c>
      <c r="H39" s="1254">
        <v>10</v>
      </c>
      <c r="I39" s="1254">
        <v>11.5</v>
      </c>
      <c r="J39" s="1254">
        <v>12.65</v>
      </c>
      <c r="U39" s="1256">
        <v>13776852</v>
      </c>
      <c r="W39" s="1254" t="s">
        <v>1349</v>
      </c>
      <c r="X39" s="1256">
        <f t="shared" si="5"/>
        <v>13776.852000000001</v>
      </c>
      <c r="Y39" s="1256">
        <v>52723</v>
      </c>
      <c r="Z39" s="1256">
        <f t="shared" si="1"/>
        <v>69.465720000000033</v>
      </c>
      <c r="AA39" s="1268">
        <v>0.54820000000000002</v>
      </c>
      <c r="AB39" s="1257">
        <v>1.1494286423430138</v>
      </c>
      <c r="AC39" s="1256">
        <v>2315.5240000000013</v>
      </c>
      <c r="AD39" s="1256">
        <f t="shared" si="3"/>
        <v>69.465720000000033</v>
      </c>
      <c r="AE39" s="1262"/>
    </row>
    <row r="40" spans="1:31">
      <c r="U40" s="1256">
        <v>10836934</v>
      </c>
      <c r="W40" s="1254" t="s">
        <v>1350</v>
      </c>
      <c r="X40" s="1256">
        <f t="shared" si="5"/>
        <v>10836.933999999999</v>
      </c>
      <c r="Y40" s="1256">
        <v>61630</v>
      </c>
      <c r="Z40" s="1256">
        <f t="shared" si="1"/>
        <v>83.456659999999971</v>
      </c>
      <c r="AA40" s="1268">
        <v>0.54849999999999999</v>
      </c>
      <c r="AB40" s="1257">
        <v>1.2216844891476974</v>
      </c>
      <c r="AC40" s="1256">
        <v>2384.4759999999987</v>
      </c>
      <c r="AD40" s="1256">
        <f t="shared" ref="AD40:AD50" si="6">AC40*3.5%</f>
        <v>83.456659999999971</v>
      </c>
      <c r="AE40" s="1262"/>
    </row>
    <row r="41" spans="1:31">
      <c r="U41" s="1256">
        <v>11584731.5</v>
      </c>
      <c r="W41" s="1254" t="s">
        <v>1351</v>
      </c>
      <c r="X41" s="1256">
        <f t="shared" si="5"/>
        <v>11584.7315</v>
      </c>
      <c r="Y41" s="1256">
        <v>58268.333333333336</v>
      </c>
      <c r="Z41" s="1256">
        <f t="shared" si="1"/>
        <v>82.977475000000013</v>
      </c>
      <c r="AA41" s="1268">
        <v>0.54879999999999995</v>
      </c>
      <c r="AB41" s="1257">
        <v>1.36</v>
      </c>
      <c r="AC41" s="1256">
        <v>2370.7850000000003</v>
      </c>
      <c r="AD41" s="1256">
        <f t="shared" si="6"/>
        <v>82.977475000000013</v>
      </c>
      <c r="AE41" s="1262"/>
    </row>
    <row r="42" spans="1:31">
      <c r="U42" s="1256">
        <v>14773542</v>
      </c>
      <c r="W42" s="1254" t="s">
        <v>1352</v>
      </c>
      <c r="X42" s="1256">
        <f t="shared" si="5"/>
        <v>14773.541999999999</v>
      </c>
      <c r="Y42" s="1256">
        <v>52072</v>
      </c>
      <c r="Z42" s="1256">
        <f t="shared" si="1"/>
        <v>82.809650000000019</v>
      </c>
      <c r="AA42" s="1268">
        <v>0.54910000000000003</v>
      </c>
      <c r="AB42" s="1257">
        <v>1.37</v>
      </c>
      <c r="AC42" s="1256">
        <v>2365.9900000000002</v>
      </c>
      <c r="AD42" s="1256">
        <f t="shared" si="6"/>
        <v>82.809650000000019</v>
      </c>
      <c r="AE42" s="1262"/>
    </row>
    <row r="43" spans="1:31">
      <c r="B43" s="1254" t="str">
        <f t="shared" ref="B43:I43" si="7">C32</f>
        <v>Q1/2021</v>
      </c>
      <c r="C43" s="1255" t="str">
        <f t="shared" si="7"/>
        <v>Q2/2021</v>
      </c>
      <c r="D43" s="1255" t="str">
        <f t="shared" si="7"/>
        <v>Q3/2021</v>
      </c>
      <c r="E43" s="1255" t="str">
        <f t="shared" si="7"/>
        <v>Q4/2021</v>
      </c>
      <c r="F43" s="1255" t="str">
        <f t="shared" si="7"/>
        <v>Q1/2022</v>
      </c>
      <c r="G43" s="1254" t="str">
        <f t="shared" si="7"/>
        <v>Q2/2022</v>
      </c>
      <c r="H43" s="1254" t="str">
        <f t="shared" si="7"/>
        <v>Q3/2022</v>
      </c>
      <c r="I43" s="1254" t="str">
        <f t="shared" si="7"/>
        <v>Q4/2022</v>
      </c>
      <c r="U43" s="1256">
        <v>18274670.666666668</v>
      </c>
      <c r="W43" s="1254" t="s">
        <v>1353</v>
      </c>
      <c r="X43" s="1256">
        <f t="shared" si="5"/>
        <v>18274.670666666669</v>
      </c>
      <c r="Y43" s="1256">
        <v>53642</v>
      </c>
      <c r="Z43" s="1256">
        <f t="shared" si="1"/>
        <v>82.857600000000019</v>
      </c>
      <c r="AA43" s="1268">
        <v>0.5494</v>
      </c>
      <c r="AB43" s="1257">
        <v>1.37</v>
      </c>
      <c r="AC43" s="1256">
        <v>2367.36</v>
      </c>
      <c r="AD43" s="1256">
        <f t="shared" si="6"/>
        <v>82.857600000000019</v>
      </c>
      <c r="AE43" s="1262"/>
    </row>
    <row r="44" spans="1:31">
      <c r="A44" s="1253" t="s">
        <v>1354</v>
      </c>
      <c r="B44" s="1283">
        <f>B25/SUM(AVERAGE(Rev_Year!AF64:AG64),AVERAGE(Rev_Year!AF76:AG76))/3</f>
        <v>3.4537538525614333</v>
      </c>
      <c r="C44" s="1284">
        <f>C25/SUM(AVERAGE(Rev_Year!AG64:AH64),AVERAGE(Rev_Year!AG76:AH76))/3</f>
        <v>3.1260066289725081</v>
      </c>
      <c r="D44" s="1284">
        <f>D25/SUM(AVERAGE(Rev_Year!AH64:AI64),AVERAGE(Rev_Year!AH76:AI76))/3</f>
        <v>1.8491044831419048</v>
      </c>
      <c r="E44" s="1284">
        <f>E25/SUM(AVERAGE(Rev_Year!AI64:AJ64),AVERAGE(Rev_Year!AI76:AJ76))/3</f>
        <v>3.5610124714561748</v>
      </c>
      <c r="F44" s="1284">
        <f>F25/SUM(AVERAGE(Rev_Year!AJ64:AK64),AVERAGE(Rev_Year!AJ76:AK76))/3</f>
        <v>3.2808599288336722</v>
      </c>
      <c r="G44" s="1283">
        <f>G25/SUM(AVERAGE(Rev_Year!AK64:AL64),AVERAGE(Rev_Year!AK76:AL76))/3</f>
        <v>2.8234840552050362</v>
      </c>
      <c r="H44" s="1283">
        <f ca="1">H25/SUM(AVERAGE(Rev_Year!AL64:AM64),AVERAGE(Rev_Year!AL76:AM76))/3</f>
        <v>2.3425541888832502</v>
      </c>
      <c r="I44" s="1283">
        <f ca="1">I25/SUM(AVERAGE(Rev_Year!AM64:AN64),AVERAGE(Rev_Year!AM76:AN76))/3</f>
        <v>2.0989600295055593</v>
      </c>
      <c r="U44" s="1256">
        <v>19993720.5</v>
      </c>
      <c r="W44" s="1254" t="s">
        <v>1355</v>
      </c>
      <c r="X44" s="1256">
        <f t="shared" si="5"/>
        <v>19993.720499999999</v>
      </c>
      <c r="Y44" s="1256">
        <v>53981</v>
      </c>
      <c r="Z44" s="1256">
        <f t="shared" si="1"/>
        <v>80.355274999999935</v>
      </c>
      <c r="AA44" s="1268">
        <v>0.54969999999999997</v>
      </c>
      <c r="AB44" s="1257">
        <v>1.3286255787037025</v>
      </c>
      <c r="AC44" s="1256">
        <v>2295.864999999998</v>
      </c>
      <c r="AD44" s="1256">
        <f t="shared" si="6"/>
        <v>80.355274999999935</v>
      </c>
      <c r="AE44" s="1262"/>
    </row>
    <row r="45" spans="1:31">
      <c r="A45" s="1253" t="s">
        <v>1356</v>
      </c>
      <c r="B45" s="1262">
        <f>Valuation_Senario!B44/(Rev_Year!AC20/SUM(AVERAGE(Rev_Year!AB64:AC64),AVERAGE(Rev_Year!AB76:AC76))/3)-1</f>
        <v>-0.15545393984547595</v>
      </c>
      <c r="C45" s="1259">
        <f>Valuation_Senario!C44/(Rev_Year!AD20/SUM(AVERAGE(Rev_Year!AC64:AD64),AVERAGE(Rev_Year!AC76:AD76))/3)-1</f>
        <v>-0.10831652299727723</v>
      </c>
      <c r="D45" s="1259">
        <f>Valuation_Senario!D44/(Rev_Year!AE20/SUM(AVERAGE(Rev_Year!AD64:AE64),AVERAGE(Rev_Year!AD76:AE76))/3)-1</f>
        <v>-0.4324013698870327</v>
      </c>
      <c r="E45" s="1259">
        <f>Valuation_Senario!E44/(Rev_Year!AF20/SUM(AVERAGE(Rev_Year!AE64:AF64),AVERAGE(Rev_Year!AE76:AF76))/3)-1</f>
        <v>0.12309024555085868</v>
      </c>
      <c r="F45" s="1259">
        <f>Valuation_Senario!F44/(Rev_Year!AG20/SUM(AVERAGE(Rev_Year!AF64:AG64),AVERAGE(Rev_Year!AF76:AG76))/3)-1</f>
        <v>-5.0059712159144287E-2</v>
      </c>
      <c r="G45" s="1262">
        <f>Valuation_Senario!G44/(Rev_Year!AH20/SUM(AVERAGE(Rev_Year!AG64:AH64),AVERAGE(Rev_Year!AG76:AH76))/3)-1</f>
        <v>-9.6776049981349033E-2</v>
      </c>
      <c r="H45" s="1262">
        <f ca="1">Valuation_Senario!H44/(Rev_Year!AI20/SUM(AVERAGE(Rev_Year!AH64:AI64),AVERAGE(Rev_Year!AH76:AI76))/3)-1</f>
        <v>0.26685874716116675</v>
      </c>
      <c r="I45" s="1262">
        <f ca="1">Valuation_Senario!I44/(Rev_Year!AJ20/SUM(AVERAGE(Rev_Year!AI64:AJ64),AVERAGE(Rev_Year!AI76:AJ76))/3)-1</f>
        <v>-0.4105721206173566</v>
      </c>
      <c r="U45" s="1256">
        <v>20733903</v>
      </c>
      <c r="W45" s="1254" t="s">
        <v>1357</v>
      </c>
      <c r="X45" s="1256">
        <f t="shared" si="5"/>
        <v>20733.902999999998</v>
      </c>
      <c r="Y45" s="1256">
        <v>45032.5</v>
      </c>
      <c r="Z45" s="1256">
        <f t="shared" si="1"/>
        <v>86.84094058500007</v>
      </c>
      <c r="AA45" s="1268">
        <v>0.55000000000000004</v>
      </c>
      <c r="AB45" s="1257">
        <v>1.4358621128472233</v>
      </c>
      <c r="AC45" s="1256">
        <v>2481.1697310000018</v>
      </c>
      <c r="AD45" s="1256">
        <f t="shared" si="6"/>
        <v>86.84094058500007</v>
      </c>
      <c r="AE45" s="1262"/>
    </row>
    <row r="46" spans="1:31">
      <c r="A46" s="1253" t="s">
        <v>1358</v>
      </c>
      <c r="B46" s="1256">
        <f>Rev_Year!AG218</f>
        <v>108.97745441480599</v>
      </c>
      <c r="C46" s="1274">
        <f>Rev_Year!AH218</f>
        <v>99.991198732998399</v>
      </c>
      <c r="D46" s="1274">
        <f>Rev_Year!AI218</f>
        <v>102.01973205650452</v>
      </c>
      <c r="E46" s="1274">
        <f>Rev_Year!AJ218</f>
        <v>120.98819077279971</v>
      </c>
      <c r="F46" s="1274">
        <f>Rev_Year!AK218</f>
        <v>164.32301344034005</v>
      </c>
      <c r="G46" s="1256">
        <f>Rev_Year!AL218</f>
        <v>112.3755102590505</v>
      </c>
      <c r="H46" s="1256">
        <f ca="1">Rev_Year!AM218</f>
        <v>105.98205838194741</v>
      </c>
      <c r="I46" s="1256">
        <f ca="1">Rev_Year!AN218</f>
        <v>99.544029318368118</v>
      </c>
      <c r="U46" s="1256">
        <v>21315223</v>
      </c>
      <c r="W46" s="1254" t="s">
        <v>1359</v>
      </c>
      <c r="X46" s="1256">
        <f t="shared" si="5"/>
        <v>21315.223000000002</v>
      </c>
      <c r="Y46" s="1256">
        <v>50604.5</v>
      </c>
      <c r="Z46" s="1256">
        <f t="shared" si="1"/>
        <v>72.190475000000006</v>
      </c>
      <c r="AA46" s="1268">
        <v>0.55030000000000001</v>
      </c>
      <c r="AB46" s="1257">
        <v>1.1929352226720649</v>
      </c>
      <c r="AC46" s="1256">
        <v>2062.585</v>
      </c>
      <c r="AD46" s="1256">
        <f t="shared" si="6"/>
        <v>72.190475000000006</v>
      </c>
      <c r="AE46" s="1262"/>
    </row>
    <row r="47" spans="1:31">
      <c r="A47" s="1253" t="s">
        <v>174</v>
      </c>
      <c r="B47" s="1285"/>
      <c r="C47" s="1286"/>
      <c r="D47" s="1286"/>
      <c r="E47" s="1286"/>
      <c r="F47" s="1259">
        <v>0.09</v>
      </c>
      <c r="G47" s="1262">
        <v>0.03</v>
      </c>
      <c r="H47" s="1262">
        <v>0.52</v>
      </c>
      <c r="I47" s="1262">
        <v>-0.31</v>
      </c>
      <c r="U47" s="1256">
        <v>22189214.5</v>
      </c>
      <c r="W47" s="1254" t="s">
        <v>1360</v>
      </c>
      <c r="X47" s="1256">
        <f t="shared" si="5"/>
        <v>22189.214499999998</v>
      </c>
      <c r="Y47" s="1256">
        <v>42893</v>
      </c>
      <c r="Z47" s="1256">
        <f t="shared" si="1"/>
        <v>72.190475000000006</v>
      </c>
      <c r="AA47" s="1268">
        <v>0.55059999999999998</v>
      </c>
      <c r="AB47" s="1257">
        <v>1.1929352226720649</v>
      </c>
      <c r="AC47" s="1256">
        <v>2062.585</v>
      </c>
      <c r="AD47" s="1256">
        <f t="shared" si="6"/>
        <v>72.190475000000006</v>
      </c>
      <c r="AE47" s="1262"/>
    </row>
    <row r="48" spans="1:31">
      <c r="A48" s="1253" t="s">
        <v>1330</v>
      </c>
      <c r="B48" s="1262">
        <f>Rev_Year!AG87</f>
        <v>0.21834784697612436</v>
      </c>
      <c r="C48" s="1259">
        <f>Rev_Year!AH87</f>
        <v>0.21381535617644576</v>
      </c>
      <c r="D48" s="1259">
        <f>Rev_Year!AI87</f>
        <v>0.23456894915345294</v>
      </c>
      <c r="E48" s="1259">
        <f>Rev_Year!AJ87</f>
        <v>0.19245666040930023</v>
      </c>
      <c r="F48" s="1259">
        <f>Rev_Year!AK87</f>
        <v>0.22</v>
      </c>
      <c r="G48" s="1262">
        <f>Rev_Year!AL87</f>
        <v>0.21</v>
      </c>
      <c r="H48" s="1262">
        <f>Rev_Year!AM87</f>
        <v>0.23</v>
      </c>
      <c r="I48" s="1262">
        <f>Rev_Year!AN87</f>
        <v>0.21</v>
      </c>
      <c r="U48" s="1256">
        <v>22668784</v>
      </c>
      <c r="W48" s="1254" t="s">
        <v>1361</v>
      </c>
      <c r="X48" s="1256">
        <f t="shared" si="5"/>
        <v>22668.784</v>
      </c>
      <c r="Y48" s="1256">
        <v>31582</v>
      </c>
      <c r="Z48" s="1256">
        <f t="shared" si="1"/>
        <v>78.556450000000012</v>
      </c>
      <c r="AA48" s="1268">
        <v>0.55089999999999995</v>
      </c>
      <c r="AB48" s="1257">
        <v>1.3053038674033151</v>
      </c>
      <c r="AC48" s="1256">
        <v>2244.4700000000003</v>
      </c>
      <c r="AD48" s="1256">
        <f t="shared" si="6"/>
        <v>78.556450000000012</v>
      </c>
      <c r="AE48" s="1262"/>
    </row>
    <row r="49" spans="1:31">
      <c r="A49" s="1253" t="s">
        <v>1362</v>
      </c>
      <c r="B49" s="1262">
        <f>Rev_Year!AG89</f>
        <v>-0.11969306776287339</v>
      </c>
      <c r="C49" s="1259">
        <f>Rev_Year!AH89</f>
        <v>-0.12589115437138862</v>
      </c>
      <c r="D49" s="1259">
        <f>Rev_Year!AI89</f>
        <v>-0.17396404379582736</v>
      </c>
      <c r="E49" s="1259">
        <f>Rev_Year!AJ89</f>
        <v>-0.12468143612550331</v>
      </c>
      <c r="F49" s="1259">
        <f>Rev_Year!AK89</f>
        <v>-0.13251041526605234</v>
      </c>
      <c r="G49" s="1262">
        <f>Rev_Year!AL89</f>
        <v>-9.1808679914939864E-2</v>
      </c>
      <c r="H49" s="1262">
        <f ca="1">Rev_Year!AM89</f>
        <v>-0.10775298658908433</v>
      </c>
      <c r="I49" s="1262">
        <f ca="1">Rev_Year!AN89</f>
        <v>-0.1336276256889869</v>
      </c>
      <c r="U49" s="1256">
        <v>22565806</v>
      </c>
      <c r="W49" s="1254" t="s">
        <v>1363</v>
      </c>
      <c r="X49" s="1256">
        <f t="shared" si="5"/>
        <v>22565.806</v>
      </c>
      <c r="Y49" s="1256">
        <v>29726.5</v>
      </c>
      <c r="Z49" s="1256">
        <f t="shared" si="1"/>
        <v>80.913143500000018</v>
      </c>
      <c r="AA49" s="1268">
        <v>0.55120000000000002</v>
      </c>
      <c r="AB49" s="1257">
        <v>1.3519322222222223</v>
      </c>
      <c r="AC49" s="1256">
        <v>2311.8041000000003</v>
      </c>
      <c r="AD49" s="1256">
        <f t="shared" si="6"/>
        <v>80.913143500000018</v>
      </c>
      <c r="AE49" s="1262"/>
    </row>
    <row r="50" spans="1:31">
      <c r="A50" s="1253" t="s">
        <v>1364</v>
      </c>
      <c r="B50" s="1262">
        <f>AVERAGEIF(Rev_Month!$B$1:$DQ$1,Rev_Year!AG$4,Rev_Month!$B$27:$DQ$27)/AVERAGEIF(Rev_Month!$B$1:$DQ$1,Rev_Year!AG$4,Rev_Month!$B$23:$DQ$23)</f>
        <v>0.28359511343804539</v>
      </c>
      <c r="C50" s="1259">
        <f>AVERAGEIF(Rev_Month!$B$1:$DQ$1,Rev_Year!AH$4,Rev_Month!$B$27:$DQ$27)/AVERAGEIF(Rev_Month!$B$1:$DQ$1,Rev_Year!AH$4,Rev_Month!$B$23:$DQ$23)</f>
        <v>0.33610122578094104</v>
      </c>
      <c r="D50" s="1259">
        <f>AVERAGEIF(Rev_Month!$B$1:$DQ$1,Rev_Year!AI$4,Rev_Month!$B$27:$DQ$27)/AVERAGEIF(Rev_Month!$B$1:$DQ$1,Rev_Year!AI$4,Rev_Month!$B$23:$DQ$23)</f>
        <v>0.26355421686746988</v>
      </c>
      <c r="E50" s="1259">
        <f>AVERAGEIF(Rev_Month!$B$1:$DQ$1,Rev_Year!AJ$4,Rev_Month!$B$27:$DQ$27)/AVERAGEIF(Rev_Month!$B$1:$DQ$1,Rev_Year!AJ$4,Rev_Month!$B$23:$DQ$23)</f>
        <v>0.42583392476933996</v>
      </c>
      <c r="F50" s="1259">
        <f>AVERAGEIF(Rev_Month!$B$1:$DQ$1,Rev_Year!AK$4,Rev_Month!$B$27:$DQ$27)/AVERAGEIF(Rev_Month!$B$1:$DQ$1,Rev_Year!AK$4,Rev_Month!$B$23:$DQ$23)</f>
        <v>0.63183475091130015</v>
      </c>
      <c r="G50" s="1262">
        <f>AVERAGEIF(Rev_Month!$B$1:$DQ$1,Rev_Year!AL$4,Rev_Month!$B$27:$DQ$27)/AVERAGEIF(Rev_Month!$B$1:$DQ$1,Rev_Year!AL$4,Rev_Month!$B$23:$DQ$23)</f>
        <v>0.64163498098859317</v>
      </c>
      <c r="H50" s="1262">
        <f>AVERAGEIF(Rev_Month!$B$1:$DQ$1,Rev_Year!AM$4,Rev_Month!$B$27:$DQ$27)/AVERAGEIF(Rev_Month!$B$1:$DQ$1,Rev_Year!AM$4,Rev_Month!$B$23:$DQ$23)</f>
        <v>0.45436151670319402</v>
      </c>
      <c r="I50" s="1262">
        <f>AVERAGEIF(Rev_Month!$B$1:$DQ$1,Rev_Year!AN$4,Rev_Month!$B$27:$DQ$27)/AVERAGEIF(Rev_Month!$B$1:$DQ$1,Rev_Year!AN$4,Rev_Month!$B$23:$DQ$23)</f>
        <v>0.63491947291361639</v>
      </c>
      <c r="U50" s="1256">
        <v>22630460</v>
      </c>
      <c r="W50" s="1254" t="s">
        <v>1365</v>
      </c>
      <c r="X50" s="1256">
        <f t="shared" si="5"/>
        <v>22630.46</v>
      </c>
      <c r="Y50" s="1256">
        <v>51799</v>
      </c>
      <c r="Z50" s="1256">
        <f t="shared" si="1"/>
        <v>80.913143500000018</v>
      </c>
      <c r="AA50" s="1256"/>
      <c r="AB50" s="1257">
        <v>1.3519322222222223</v>
      </c>
      <c r="AC50" s="1256">
        <v>2311.8041000000003</v>
      </c>
      <c r="AD50" s="1256">
        <f t="shared" si="6"/>
        <v>80.913143500000018</v>
      </c>
      <c r="AE50" s="1262"/>
    </row>
    <row r="51" spans="1:31">
      <c r="B51" s="1262"/>
      <c r="C51" s="1259"/>
      <c r="D51" s="1259"/>
      <c r="E51" s="1259"/>
      <c r="F51" s="1259"/>
      <c r="G51" s="1262"/>
      <c r="H51" s="1262"/>
      <c r="I51" s="1262"/>
    </row>
    <row r="52" spans="1:31">
      <c r="A52" s="1253" t="s">
        <v>1366</v>
      </c>
      <c r="B52" s="1257">
        <v>0</v>
      </c>
      <c r="C52" s="1278">
        <v>2.1304588170259815</v>
      </c>
      <c r="D52" s="1278">
        <v>6.6053816500283551</v>
      </c>
      <c r="E52" s="1278">
        <v>4.5839077838783426</v>
      </c>
      <c r="F52" s="1278">
        <v>1.9935763161569613</v>
      </c>
      <c r="G52" s="1257">
        <v>2.2774431057563587</v>
      </c>
      <c r="H52" s="1257">
        <v>1.9603045133224579</v>
      </c>
      <c r="I52" s="1257">
        <v>2.0216170214782725</v>
      </c>
    </row>
    <row r="53" spans="1:31">
      <c r="A53" s="1253" t="str">
        <f>A45</f>
        <v xml:space="preserve">%YoY </v>
      </c>
      <c r="B53" s="1282">
        <v>0</v>
      </c>
      <c r="C53" s="1287">
        <v>0</v>
      </c>
      <c r="D53" s="1287">
        <v>0</v>
      </c>
      <c r="E53" s="1287">
        <v>0</v>
      </c>
      <c r="F53" s="1287">
        <v>0</v>
      </c>
      <c r="G53" s="1282">
        <v>6.8991846993578632E-2</v>
      </c>
      <c r="H53" s="1282">
        <v>-0.70322615449267145</v>
      </c>
      <c r="I53" s="1282">
        <v>-0.55897519828205899</v>
      </c>
    </row>
    <row r="54" spans="1:31">
      <c r="B54" s="1283">
        <f>Rev_Year!AC20/SUM(AVERAGE(Rev_Year!AB64:AC64),AVERAGE(Rev_Year!AB76:AC76))/3</f>
        <v>4.0894795624640183</v>
      </c>
      <c r="C54" s="1284">
        <f>Rev_Year!AD20/SUM(AVERAGE(Rev_Year!AC64:AD64),AVERAGE(Rev_Year!AC76:AD76))/3</f>
        <v>3.5057357342542335</v>
      </c>
      <c r="D54" s="1284">
        <f>Rev_Year!AE20/SUM(AVERAGE(Rev_Year!AD64:AE64),AVERAGE(Rev_Year!AD76:AE76))/3</f>
        <v>3.2577676989352207</v>
      </c>
      <c r="E54" s="1284">
        <f>Rev_Year!AF20/SUM(AVERAGE(Rev_Year!AE64:AF64),AVERAGE(Rev_Year!AE76:AF76))/3</f>
        <v>3.1707269167043228</v>
      </c>
    </row>
    <row r="57" spans="1:31">
      <c r="C57" s="1255">
        <v>2021</v>
      </c>
      <c r="D57" s="1255">
        <v>2022</v>
      </c>
    </row>
    <row r="58" spans="1:31">
      <c r="A58" s="1253" t="s">
        <v>1367</v>
      </c>
      <c r="C58" s="1287">
        <v>0.01</v>
      </c>
    </row>
    <row r="59" spans="1:31">
      <c r="A59" s="1253" t="s">
        <v>1368</v>
      </c>
      <c r="C59" s="1287">
        <v>0.02</v>
      </c>
    </row>
    <row r="63" spans="1:31">
      <c r="A63" s="1253" t="s">
        <v>311</v>
      </c>
      <c r="B63" s="3433" t="s">
        <v>30</v>
      </c>
      <c r="C63" s="3433"/>
      <c r="F63" s="1255" t="s">
        <v>1330</v>
      </c>
      <c r="G63" s="1254" t="s">
        <v>501</v>
      </c>
      <c r="H63" s="1254">
        <v>2021</v>
      </c>
    </row>
    <row r="64" spans="1:31">
      <c r="A64" s="1253" t="s">
        <v>1289</v>
      </c>
      <c r="B64" s="1256">
        <f ca="1">Rev_Year!I8+Rev_Year!I15</f>
        <v>103655.51172900001</v>
      </c>
      <c r="C64" s="1274">
        <f>Rev_Year!I23</f>
        <v>27081.169731000002</v>
      </c>
      <c r="F64" s="1274"/>
    </row>
    <row r="65" spans="1:10">
      <c r="A65" s="1253" t="s">
        <v>31</v>
      </c>
      <c r="B65" s="1262">
        <f ca="1">Rev_Year!I83</f>
        <v>9.9107687898771113E-2</v>
      </c>
      <c r="C65" s="1259">
        <f>Rev_Year!I103</f>
        <v>-3.8221318622590594E-2</v>
      </c>
      <c r="D65" s="1274"/>
      <c r="E65" s="1274"/>
      <c r="F65" s="1274"/>
    </row>
    <row r="66" spans="1:10">
      <c r="A66" s="1253" t="s">
        <v>1291</v>
      </c>
      <c r="B66" s="1256">
        <v>20689</v>
      </c>
      <c r="C66" s="1274">
        <v>9596</v>
      </c>
      <c r="D66" s="1274"/>
      <c r="E66" s="1274"/>
      <c r="F66" s="1274"/>
    </row>
    <row r="67" spans="1:10">
      <c r="A67" s="1253" t="s">
        <v>31</v>
      </c>
      <c r="B67" s="1262">
        <v>0.115</v>
      </c>
      <c r="C67" s="1259">
        <v>1.413</v>
      </c>
      <c r="D67" s="1274"/>
      <c r="E67" s="1274"/>
      <c r="F67" s="1274"/>
    </row>
    <row r="68" spans="1:10">
      <c r="A68" s="1253" t="s">
        <v>1293</v>
      </c>
      <c r="B68" s="3434">
        <f>'data DN cùng ngành'!CY20</f>
        <v>17665.363747059</v>
      </c>
      <c r="C68" s="3434"/>
      <c r="D68" s="1274"/>
      <c r="E68" s="1274"/>
      <c r="F68" s="1274"/>
    </row>
    <row r="69" spans="1:10">
      <c r="A69" s="1253" t="s">
        <v>31</v>
      </c>
      <c r="B69" s="3435">
        <f>B68/'data DN cùng ngành'!CX20-1</f>
        <v>3.8143676088666645E-3</v>
      </c>
      <c r="C69" s="3435"/>
      <c r="D69" s="1274"/>
      <c r="E69" s="1274"/>
      <c r="F69" s="1274"/>
    </row>
    <row r="70" spans="1:10">
      <c r="A70" s="1253" t="s">
        <v>1295</v>
      </c>
      <c r="B70" s="3434">
        <f>'data DN cùng ngành'!CY21</f>
        <v>22059.207686235</v>
      </c>
      <c r="C70" s="3434"/>
      <c r="D70" s="1274"/>
      <c r="E70" s="1274"/>
      <c r="F70" s="1274"/>
    </row>
    <row r="71" spans="1:10">
      <c r="A71" s="1253" t="s">
        <v>31</v>
      </c>
      <c r="B71" s="3435">
        <f>B70/'data DN cùng ngành'!CX21-1</f>
        <v>5.4313642816331775E-2</v>
      </c>
      <c r="C71" s="3435"/>
      <c r="D71" s="1274"/>
      <c r="E71" s="1274"/>
      <c r="F71" s="1274"/>
    </row>
    <row r="72" spans="1:10">
      <c r="A72" s="1253" t="s">
        <v>1297</v>
      </c>
      <c r="B72" s="1254">
        <v>29369</v>
      </c>
      <c r="C72" s="1274">
        <f>'data DN cùng ngành'!CY22-B72</f>
        <v>46820.225000000006</v>
      </c>
      <c r="D72" s="1274"/>
      <c r="E72" s="1274"/>
      <c r="F72" s="1274"/>
    </row>
    <row r="73" spans="1:10">
      <c r="A73" s="1253" t="s">
        <v>31</v>
      </c>
      <c r="B73" s="1282">
        <v>-0.05</v>
      </c>
      <c r="C73" s="1284">
        <f>C72/(74224-30900)-1</f>
        <v>8.069949681469879E-2</v>
      </c>
    </row>
    <row r="75" spans="1:10">
      <c r="B75" s="1254" t="s">
        <v>1369</v>
      </c>
      <c r="C75" s="1255" t="s">
        <v>191</v>
      </c>
      <c r="D75" s="1255" t="s">
        <v>1370</v>
      </c>
      <c r="E75" s="1255" t="s">
        <v>191</v>
      </c>
    </row>
    <row r="76" spans="1:10">
      <c r="A76" s="1253" t="str">
        <f>ExportData!B10</f>
        <v>MWG</v>
      </c>
      <c r="B76" s="1256">
        <f>ExportData!G10/10^9</f>
        <v>30588.381152474001</v>
      </c>
      <c r="C76" s="1277">
        <f>(ExportData!J10+ExportData!M10+ExportData!P10)/ExportData!G10</f>
        <v>3.3802938021039126E-2</v>
      </c>
      <c r="D76" s="1255">
        <f>ExportData!S10/10^9</f>
        <v>133404.777590524</v>
      </c>
      <c r="E76" s="1277">
        <f>(ExportData!V10+ExportData!Y10+ExportData!AB10)/ExportData!S10</f>
        <v>4.9804639449921383E-2</v>
      </c>
      <c r="F76" s="1274">
        <f>ExportData!F10/10^9</f>
        <v>36138.329909503002</v>
      </c>
      <c r="G76" s="1262">
        <f>(ExportData!I10+ExportData!O10+ExportData!L10)/ExportData!F10</f>
        <v>5.1356044872620514E-2</v>
      </c>
      <c r="H76" s="1288">
        <f>ExportData!R10/10^9</f>
        <v>122958.106103174</v>
      </c>
      <c r="I76" s="1262">
        <f>(ExportData!U10+ExportData!X10+ExportData!AA10)/ExportData!R10</f>
        <v>4.7939650383667057E-2</v>
      </c>
      <c r="J76" s="1262">
        <f>ExportData!AE10/ExportData!S10</f>
        <v>3.0746383293174896E-2</v>
      </c>
    </row>
    <row r="77" spans="1:10">
      <c r="A77" s="1253" t="str">
        <f>ExportData!B11</f>
        <v>FRT</v>
      </c>
      <c r="B77" s="1256">
        <f>ExportData!G11/10^9</f>
        <v>8457.8199720049997</v>
      </c>
      <c r="C77" s="1277">
        <f>(ExportData!J11+ExportData!M11+ExportData!P11)/ExportData!G11</f>
        <v>1.8502734803174346E-2</v>
      </c>
      <c r="D77" s="1255">
        <f>ExportData!S11/10^9</f>
        <v>30165.80075667</v>
      </c>
      <c r="E77" s="1277">
        <f>(ExportData!V11+ExportData!Y11+ExportData!AB11)/ExportData!S11</f>
        <v>1.8449399086379051E-2</v>
      </c>
      <c r="F77" s="1274">
        <f>ExportData!F11/10^9</f>
        <v>8477.4212113030007</v>
      </c>
      <c r="G77" s="1262">
        <f>(ExportData!I11+ExportData!O11+ExportData!L11)/ExportData!F11</f>
        <v>4.6853285476415554E-2</v>
      </c>
      <c r="H77" s="1288">
        <f>ExportData!R11/10^9</f>
        <v>22494.961408081999</v>
      </c>
      <c r="I77" s="1262">
        <f>(ExportData!U11+ExportData!X11+ExportData!AA11)/ExportData!R11</f>
        <v>2.1998705349821426E-2</v>
      </c>
      <c r="J77" s="1262">
        <f>ExportData!AE11/ExportData!S11</f>
        <v>1.3196208534924481E-2</v>
      </c>
    </row>
    <row r="78" spans="1:10">
      <c r="A78" s="1253" t="str">
        <f>ExportData!B12</f>
        <v>PET</v>
      </c>
      <c r="B78" s="1256">
        <f>ExportData!G12/10^9</f>
        <v>4835.1398956029998</v>
      </c>
      <c r="C78" s="1277">
        <f>(ExportData!J12+ExportData!M12+ExportData!P12)/ExportData!G12</f>
        <v>1.8094748396951785E-2</v>
      </c>
      <c r="D78" s="1255">
        <f>ExportData!S12/10^9</f>
        <v>17665.363747059</v>
      </c>
      <c r="E78" s="1277">
        <f>(ExportData!V12+ExportData!Y12+ExportData!AB12)/ExportData!S12</f>
        <v>2.6661616171555585E-2</v>
      </c>
      <c r="F78" s="1274">
        <f>ExportData!F12/10^9</f>
        <v>6025.9625263139997</v>
      </c>
      <c r="G78" s="1262">
        <f>(ExportData!I12+ExportData!O12+ExportData!L12)/ExportData!F12</f>
        <v>2.4023112395879634E-2</v>
      </c>
      <c r="H78" s="1288">
        <f>ExportData!R12/10^9</f>
        <v>17598.237599585998</v>
      </c>
      <c r="I78" s="1262">
        <f>(ExportData!U12+ExportData!X12+ExportData!AA12)/ExportData!R12</f>
        <v>2.1756851806967722E-2</v>
      </c>
      <c r="J78" s="1262">
        <f>ExportData!AE12/ExportData!S12</f>
        <v>9.5008588025220844E-3</v>
      </c>
    </row>
    <row r="79" spans="1:10">
      <c r="A79" s="1253" t="str">
        <f>ExportData!B13</f>
        <v>DGW</v>
      </c>
      <c r="B79" s="1256">
        <f>ExportData!G13/10^9</f>
        <v>4075.1226889730001</v>
      </c>
      <c r="C79" s="1277">
        <f>(ExportData!J13+ExportData!M13+ExportData!P13)/ExportData!G13</f>
        <v>5.0640277195435207E-2</v>
      </c>
      <c r="D79" s="1255">
        <f>ExportData!S13/10^9</f>
        <v>22059.207686235</v>
      </c>
      <c r="E79" s="1277">
        <f>(ExportData!V13+ExportData!Y13+ExportData!AB13)/ExportData!S13</f>
        <v>3.648681483584023E-2</v>
      </c>
      <c r="F79" s="1274">
        <f>ExportData!F13/10^9</f>
        <v>7921.5535184749997</v>
      </c>
      <c r="G79" s="1262">
        <f>(ExportData!I13+ExportData!O13+ExportData!L13)/ExportData!F13</f>
        <v>4.5414291198307373E-2</v>
      </c>
      <c r="H79" s="1288">
        <f>ExportData!R13/10^9</f>
        <v>20922.813468779001</v>
      </c>
      <c r="I79" s="1262">
        <f>(ExportData!U13+ExportData!X13+ExportData!AA13)/ExportData!R13</f>
        <v>3.278752817060953E-2</v>
      </c>
      <c r="J79" s="1262">
        <f>ExportData!AE13/ExportData!S13</f>
        <v>3.0989433370155427E-2</v>
      </c>
    </row>
    <row r="80" spans="1:10">
      <c r="A80" s="1253" t="str">
        <f>ExportData!B14</f>
        <v>MSN</v>
      </c>
      <c r="B80" s="1256">
        <f>ExportData!G14/10^9</f>
        <v>20642.780999999999</v>
      </c>
      <c r="C80" s="1277">
        <f>(ExportData!J14+ExportData!M14+ExportData!P14)/ExportData!G14</f>
        <v>6.6919810853004733E-2</v>
      </c>
      <c r="D80" s="1255">
        <f>ExportData!S14/10^9</f>
        <v>76189.225000000006</v>
      </c>
      <c r="E80" s="1277">
        <f>(ExportData!V14+ExportData!Y14+ExportData!AB14)/ExportData!S14</f>
        <v>6.1283875771147432E-2</v>
      </c>
      <c r="F80" s="1274">
        <f>ExportData!F14/10^9</f>
        <v>23827.803</v>
      </c>
      <c r="G80" s="1262">
        <f>(ExportData!I14+ExportData!O14+ExportData!L14)/ExportData!F14</f>
        <v>0.10437722688910933</v>
      </c>
      <c r="H80" s="1288">
        <f>ExportData!R14/10^9</f>
        <v>88628.767000000007</v>
      </c>
      <c r="I80" s="1262">
        <f>(ExportData!U14+ExportData!X14+ExportData!AA14)/ExportData!R14</f>
        <v>7.0896777792248872E-2</v>
      </c>
      <c r="J80" s="1262">
        <f>ExportData!AE14/ExportData!S14</f>
        <v>6.2402314763012751E-2</v>
      </c>
    </row>
    <row r="81" spans="1:7">
      <c r="B81" s="1256" t="s">
        <v>1371</v>
      </c>
      <c r="C81" s="1255" t="s">
        <v>1372</v>
      </c>
      <c r="D81" s="1255" t="s">
        <v>1373</v>
      </c>
      <c r="E81" s="1255" t="s">
        <v>1374</v>
      </c>
      <c r="F81" s="1255" t="s">
        <v>31</v>
      </c>
    </row>
    <row r="82" spans="1:7">
      <c r="A82" s="1253" t="s">
        <v>1289</v>
      </c>
      <c r="B82" s="1256">
        <f t="shared" ref="B82:B88" si="8">B76</f>
        <v>30588.381152474001</v>
      </c>
      <c r="C82" s="1277">
        <f>C76-G76</f>
        <v>-1.7553106851581388E-2</v>
      </c>
      <c r="D82" s="1274">
        <f>D76</f>
        <v>133404.777590524</v>
      </c>
      <c r="E82" s="1279">
        <f>E76-I76</f>
        <v>1.8649890662543259E-3</v>
      </c>
      <c r="F82" s="1259">
        <f>B76/F76-1</f>
        <v>-0.1535751311952458</v>
      </c>
      <c r="G82" s="1262">
        <f>D76/H76-1</f>
        <v>8.4961226375625865E-2</v>
      </c>
    </row>
    <row r="83" spans="1:7">
      <c r="A83" s="1253" t="s">
        <v>1291</v>
      </c>
      <c r="B83" s="1256">
        <f t="shared" si="8"/>
        <v>8457.8199720049997</v>
      </c>
      <c r="C83" s="1277">
        <f>C77-G77</f>
        <v>-2.8350550673241208E-2</v>
      </c>
      <c r="D83" s="1274">
        <f>D77</f>
        <v>30165.80075667</v>
      </c>
      <c r="E83" s="1279">
        <f>E77-I77</f>
        <v>-3.5493062634423742E-3</v>
      </c>
      <c r="F83" s="1277">
        <f>B77/F77-1</f>
        <v>-2.3121700349000296E-3</v>
      </c>
      <c r="G83" s="1262">
        <f>D77/H77-1</f>
        <v>0.34100255650280942</v>
      </c>
    </row>
    <row r="84" spans="1:7">
      <c r="A84" s="1253" t="s">
        <v>1293</v>
      </c>
      <c r="B84" s="1256">
        <f t="shared" si="8"/>
        <v>4835.1398956029998</v>
      </c>
      <c r="C84" s="1277">
        <f>C78-G78</f>
        <v>-5.9283639989278492E-3</v>
      </c>
      <c r="D84" s="1274">
        <f>D78</f>
        <v>17665.363747059</v>
      </c>
      <c r="E84" s="1279">
        <f>E78-I78</f>
        <v>4.9047643645878623E-3</v>
      </c>
      <c r="F84" s="1259">
        <f>B78/F78-1</f>
        <v>-0.19761533954301069</v>
      </c>
      <c r="G84" s="1268">
        <f>D78/H78-1</f>
        <v>3.8143676088666645E-3</v>
      </c>
    </row>
    <row r="85" spans="1:7">
      <c r="A85" s="1253" t="s">
        <v>1295</v>
      </c>
      <c r="B85" s="1256">
        <f t="shared" si="8"/>
        <v>4075.1226889730001</v>
      </c>
      <c r="C85" s="1277">
        <f>C79-G79</f>
        <v>5.2259859971278341E-3</v>
      </c>
      <c r="D85" s="1274">
        <f>D79</f>
        <v>22059.207686235</v>
      </c>
      <c r="E85" s="1279">
        <f>E79-I79</f>
        <v>3.6992866652306999E-3</v>
      </c>
      <c r="F85" s="1259">
        <f>B79/F79-1</f>
        <v>-0.48556521401151709</v>
      </c>
      <c r="G85" s="1262">
        <f>D79/H79-1</f>
        <v>5.4313642816331775E-2</v>
      </c>
    </row>
    <row r="86" spans="1:7">
      <c r="A86" s="1253" t="s">
        <v>1297</v>
      </c>
      <c r="B86" s="1256">
        <f t="shared" si="8"/>
        <v>20642.780999999999</v>
      </c>
      <c r="C86" s="1277">
        <f>C80-G80</f>
        <v>-3.7457416036104599E-2</v>
      </c>
      <c r="D86" s="1274">
        <f>D80</f>
        <v>76189.225000000006</v>
      </c>
      <c r="E86" s="1279">
        <f>E80-I80</f>
        <v>-9.6129020211014396E-3</v>
      </c>
      <c r="F86" s="1259">
        <f>B80/F80-1</f>
        <v>-0.1336683033681284</v>
      </c>
      <c r="G86" s="1262">
        <f>D80/H80-1</f>
        <v>-0.14035558003418913</v>
      </c>
    </row>
    <row r="87" spans="1:7">
      <c r="A87" s="1253">
        <f>A81</f>
        <v>0</v>
      </c>
      <c r="B87" s="1275" t="str">
        <f t="shared" si="8"/>
        <v>DTT Q4.22</v>
      </c>
      <c r="C87" s="1276" t="str">
        <f>B81</f>
        <v>DTT Q4.22</v>
      </c>
    </row>
    <row r="88" spans="1:7">
      <c r="A88" s="1253" t="str">
        <f t="shared" ref="A88:A97" si="9">A64</f>
        <v>MWG</v>
      </c>
      <c r="B88" s="1275">
        <f t="shared" si="8"/>
        <v>30588.381152474001</v>
      </c>
      <c r="C88" s="1276">
        <f>D82</f>
        <v>133404.777590524</v>
      </c>
    </row>
    <row r="89" spans="1:7">
      <c r="A89" s="1253" t="str">
        <f t="shared" si="9"/>
        <v>%YoY</v>
      </c>
      <c r="B89" s="1280">
        <f>C82</f>
        <v>-1.7553106851581388E-2</v>
      </c>
      <c r="C89" s="1279">
        <f>E82</f>
        <v>1.8649890662543259E-3</v>
      </c>
    </row>
    <row r="90" spans="1:7">
      <c r="A90" s="1253" t="str">
        <f t="shared" si="9"/>
        <v>FRT</v>
      </c>
      <c r="B90" s="1275">
        <f>B83</f>
        <v>8457.8199720049997</v>
      </c>
      <c r="C90" s="1276">
        <f>D83</f>
        <v>30165.80075667</v>
      </c>
    </row>
    <row r="91" spans="1:7">
      <c r="A91" s="1253" t="str">
        <f t="shared" si="9"/>
        <v>%YoY</v>
      </c>
      <c r="B91" s="1280">
        <f>C83</f>
        <v>-2.8350550673241208E-2</v>
      </c>
      <c r="C91" s="1279">
        <f>E83</f>
        <v>-3.5493062634423742E-3</v>
      </c>
    </row>
    <row r="92" spans="1:7">
      <c r="A92" s="1253" t="str">
        <f t="shared" si="9"/>
        <v>PET</v>
      </c>
      <c r="B92" s="1275">
        <f>B84</f>
        <v>4835.1398956029998</v>
      </c>
      <c r="C92" s="1276">
        <f>D84</f>
        <v>17665.363747059</v>
      </c>
    </row>
    <row r="93" spans="1:7">
      <c r="A93" s="1253" t="str">
        <f t="shared" si="9"/>
        <v>%YoY</v>
      </c>
      <c r="B93" s="1280">
        <f>C84</f>
        <v>-5.9283639989278492E-3</v>
      </c>
      <c r="C93" s="1279">
        <f>E84</f>
        <v>4.9047643645878623E-3</v>
      </c>
    </row>
    <row r="94" spans="1:7">
      <c r="A94" s="1253" t="str">
        <f t="shared" si="9"/>
        <v>DGW</v>
      </c>
      <c r="B94" s="1275">
        <f>B85</f>
        <v>4075.1226889730001</v>
      </c>
      <c r="C94" s="1276">
        <f>D85</f>
        <v>22059.207686235</v>
      </c>
    </row>
    <row r="95" spans="1:7">
      <c r="A95" s="1253" t="str">
        <f t="shared" si="9"/>
        <v>%YoY</v>
      </c>
      <c r="B95" s="1280">
        <f>C85</f>
        <v>5.2259859971278341E-3</v>
      </c>
      <c r="C95" s="1279">
        <f>E85</f>
        <v>3.6992866652306999E-3</v>
      </c>
    </row>
    <row r="96" spans="1:7">
      <c r="A96" s="1253" t="str">
        <f t="shared" si="9"/>
        <v>MSN</v>
      </c>
      <c r="B96" s="1275">
        <f>B86</f>
        <v>20642.780999999999</v>
      </c>
      <c r="C96" s="1276">
        <f>D86</f>
        <v>76189.225000000006</v>
      </c>
    </row>
    <row r="97" spans="1:9">
      <c r="A97" s="1253" t="str">
        <f t="shared" si="9"/>
        <v>%YoY</v>
      </c>
      <c r="B97" s="1280">
        <f>C86</f>
        <v>-3.7457416036104599E-2</v>
      </c>
      <c r="C97" s="1279">
        <f>E86</f>
        <v>-9.6129020211014396E-3</v>
      </c>
    </row>
    <row r="99" spans="1:9">
      <c r="B99" s="1266" t="str">
        <f>Rev_Year!AO5</f>
        <v>Q1/2023</v>
      </c>
      <c r="C99" s="1273" t="str">
        <f>Rev_Year!AP5</f>
        <v>Q2/2023</v>
      </c>
      <c r="D99" s="1273" t="str">
        <f>Rev_Year!AQ5</f>
        <v>Q3/2023</v>
      </c>
      <c r="E99" s="1273" t="str">
        <f>Rev_Year!AR5</f>
        <v>Q4/2023</v>
      </c>
      <c r="F99" s="1255">
        <v>2023</v>
      </c>
    </row>
    <row r="100" spans="1:9" s="1256" customFormat="1">
      <c r="A100" s="1256" t="s">
        <v>1326</v>
      </c>
      <c r="B100" s="1256">
        <f ca="1">Rev_Year!AO20</f>
        <v>19945.61</v>
      </c>
      <c r="C100" s="1274">
        <f ca="1">Rev_Year!AP20</f>
        <v>21633.34</v>
      </c>
      <c r="D100" s="1274">
        <f ca="1">Rev_Year!AQ20</f>
        <v>20644.035045759207</v>
      </c>
      <c r="E100" s="1274">
        <f ca="1">Rev_Year!AR20</f>
        <v>21141.636000000002</v>
      </c>
      <c r="F100" s="1274">
        <f ca="1">Rev_Year!I20</f>
        <v>103655.51172900001</v>
      </c>
    </row>
    <row r="101" spans="1:9" s="1262" customFormat="1">
      <c r="A101" s="1262" t="s">
        <v>1375</v>
      </c>
      <c r="B101" s="1262">
        <f>Rev_Year!AO87-Rev_Year!AK87</f>
        <v>-4.9999999999999989E-2</v>
      </c>
      <c r="C101" s="1259">
        <f>Rev_Year!AP87-Rev_Year!AL87</f>
        <v>-4.9999999999999989E-2</v>
      </c>
      <c r="D101" s="1259">
        <f>Rev_Year!AQ87-Rev_Year!AM87</f>
        <v>-0.06</v>
      </c>
      <c r="E101" s="1259">
        <f>Rev_Year!AR87-Rev_Year!AN87</f>
        <v>-3.999999999999998E-2</v>
      </c>
      <c r="F101" s="1277">
        <f ca="1">Rev_Year!J87-Rev_Year!I87</f>
        <v>-4.4928099586534209E-2</v>
      </c>
    </row>
    <row r="102" spans="1:9" s="1256" customFormat="1">
      <c r="A102" s="1256" t="s">
        <v>7</v>
      </c>
      <c r="B102" s="1256">
        <f>Rev_Year!AO23</f>
        <v>6369.64</v>
      </c>
      <c r="C102" s="1274">
        <f ca="1">Rev_Year!AP23</f>
        <v>7320.2999999999984</v>
      </c>
      <c r="D102" s="1274">
        <f ca="1">Rev_Year!AQ23</f>
        <v>8632.5660000000025</v>
      </c>
      <c r="E102" s="1274">
        <f ca="1">Rev_Year!AR23</f>
        <v>9258.2540000000008</v>
      </c>
      <c r="F102" s="1274">
        <f ca="1">Rev_Year!J23</f>
        <v>31580.760000000002</v>
      </c>
    </row>
    <row r="103" spans="1:9" s="1262" customFormat="1">
      <c r="A103" s="1262" t="s">
        <v>1376</v>
      </c>
      <c r="B103" s="1262">
        <f>Rev_Year!AO111-Rev_Year!AK111</f>
        <v>1.0000000000000009E-2</v>
      </c>
      <c r="C103" s="1259">
        <f>Rev_Year!AP111-Rev_Year!AL111</f>
        <v>1.0000000000000009E-2</v>
      </c>
      <c r="D103" s="1259">
        <f ca="1">Rev_Year!AQ111-Rev_Year!AM111</f>
        <v>0</v>
      </c>
      <c r="E103" s="1259">
        <f>Rev_Year!AR111-Rev_Year!AN111</f>
        <v>-3.0000000000000027E-2</v>
      </c>
      <c r="F103" s="1259">
        <f ca="1">Rev_Year!J111-Rev_Year!I111</f>
        <v>-2.7762822300262391E-3</v>
      </c>
    </row>
    <row r="104" spans="1:9" s="1256" customFormat="1">
      <c r="A104" s="1256" t="s">
        <v>49</v>
      </c>
      <c r="B104" s="1256">
        <f ca="1">B105-(B100+B102)</f>
        <v>765.08037207423331</v>
      </c>
      <c r="C104" s="1274">
        <f ca="1">C105-(C100+C102)</f>
        <v>793.48131207423648</v>
      </c>
      <c r="D104" s="1274">
        <f ca="1">D105-(D100+D102)</f>
        <v>942.75258631502584</v>
      </c>
      <c r="E104" s="1274">
        <f ca="1">E105-(E100+E102)</f>
        <v>833.29897207423346</v>
      </c>
      <c r="F104" s="1274">
        <f ca="1">F105-(F100+F102)</f>
        <v>-16956.483273557998</v>
      </c>
    </row>
    <row r="105" spans="1:9" s="1256" customFormat="1">
      <c r="A105" s="1256" t="s">
        <v>30</v>
      </c>
      <c r="B105" s="1256">
        <f ca="1">Rev_Year!AO6</f>
        <v>27080.330372074233</v>
      </c>
      <c r="C105" s="1274">
        <f ca="1">Rev_Year!AP6</f>
        <v>29747.121312074236</v>
      </c>
      <c r="D105" s="1274">
        <f ca="1">Rev_Year!AQ6</f>
        <v>30219.353632074235</v>
      </c>
      <c r="E105" s="1274">
        <f ca="1">Rev_Year!AR6</f>
        <v>31233.188972074237</v>
      </c>
      <c r="F105" s="1274">
        <f>Rev_Year!J6</f>
        <v>118279.788455442</v>
      </c>
    </row>
    <row r="107" spans="1:9">
      <c r="B107" s="1262">
        <v>-0.16288091068385047</v>
      </c>
      <c r="C107" s="1259">
        <v>-0.13665634473483157</v>
      </c>
      <c r="D107" s="1259">
        <v>2.9488837845455196E-2</v>
      </c>
      <c r="E107" s="1259">
        <v>0.40118802152806143</v>
      </c>
      <c r="F107" s="1259">
        <v>2.9376083243962015E-2</v>
      </c>
    </row>
    <row r="108" spans="1:9">
      <c r="B108" s="1262">
        <v>-0.24275546665506598</v>
      </c>
      <c r="C108" s="1259">
        <v>-0.18849976925249001</v>
      </c>
      <c r="D108" s="1259">
        <v>7.739386463729625E-2</v>
      </c>
      <c r="E108" s="1259">
        <v>0.52114658742214459</v>
      </c>
      <c r="F108" s="1259">
        <v>1.1086581763949832E-2</v>
      </c>
    </row>
    <row r="109" spans="1:9">
      <c r="B109" s="1262">
        <v>0.23140329282257049</v>
      </c>
      <c r="C109" s="1259">
        <v>0.23834600474129533</v>
      </c>
      <c r="D109" s="1259">
        <v>0.21576885901577841</v>
      </c>
      <c r="E109" s="1259">
        <v>0.18603706021000899</v>
      </c>
      <c r="F109" s="1259">
        <v>8.9396074580512686E-2</v>
      </c>
    </row>
    <row r="111" spans="1:9">
      <c r="B111" s="1254" t="s">
        <v>91</v>
      </c>
      <c r="C111" s="1255" t="s">
        <v>92</v>
      </c>
      <c r="D111" s="1255" t="s">
        <v>93</v>
      </c>
      <c r="E111" s="1255" t="s">
        <v>94</v>
      </c>
      <c r="F111" s="1255" t="s">
        <v>95</v>
      </c>
      <c r="G111" s="1254" t="s">
        <v>96</v>
      </c>
      <c r="H111" s="1254" t="s">
        <v>97</v>
      </c>
      <c r="I111" s="1254" t="s">
        <v>98</v>
      </c>
    </row>
    <row r="112" spans="1:9">
      <c r="A112" s="1253" t="s">
        <v>1354</v>
      </c>
      <c r="B112" s="1283">
        <f>F25/SUM(AVERAGE(Rev_Year!AJ64:AK64),AVERAGE(Rev_Year!AJ76:AK76))/3</f>
        <v>3.2808599288336722</v>
      </c>
      <c r="C112" s="1284">
        <f>G25/SUM(AVERAGE(Rev_Year!AK64:AL64),AVERAGE(Rev_Year!AK76:AL76))/3</f>
        <v>2.8234840552050362</v>
      </c>
      <c r="D112" s="1284">
        <f ca="1">H25/SUM(AVERAGE(Rev_Year!AL64:AM64),AVERAGE(Rev_Year!AL76:AM76))/3</f>
        <v>2.3425541888832502</v>
      </c>
      <c r="E112" s="1284">
        <f ca="1">I25/SUM(AVERAGE(Rev_Year!AM64:AN64),AVERAGE(Rev_Year!AM76:AN76))/3</f>
        <v>2.0989600295055593</v>
      </c>
      <c r="F112" s="1284">
        <f ca="1">J25/SUM(AVERAGE(Rev_Year!AN64:AO64),AVERAGE(Rev_Year!AN76:AO76))/3</f>
        <v>1.8229891139188765</v>
      </c>
      <c r="G112" s="1283">
        <f ca="1">K25/SUM(AVERAGE(Rev_Year!AO64:AP64),AVERAGE(Rev_Year!AO76:AP76))/3</f>
        <v>1.9806275938753759</v>
      </c>
      <c r="H112" s="1283">
        <f ca="1">L25/SUM(AVERAGE(Rev_Year!AP64:AQ64),AVERAGE(Rev_Year!AP76:AQ76))/3</f>
        <v>1.9110750398931853</v>
      </c>
      <c r="I112" s="1283">
        <f ca="1">M25/SUM(AVERAGE(Rev_Year!AQ64:AR64),AVERAGE(Rev_Year!AQ76:AR76))/3</f>
        <v>1.9900196546594238</v>
      </c>
    </row>
    <row r="113" spans="1:6">
      <c r="A113" s="1253" t="s">
        <v>1356</v>
      </c>
      <c r="B113" s="1262">
        <v>-4.8915942066380613E-2</v>
      </c>
      <c r="C113" s="1259">
        <v>-8.8502811418812555E-2</v>
      </c>
      <c r="D113" s="1259">
        <v>0.29238195840385739</v>
      </c>
      <c r="E113" s="1259">
        <v>-0.40665560027816594</v>
      </c>
    </row>
    <row r="114" spans="1:6" s="1262" customFormat="1">
      <c r="A114" s="1253" t="s">
        <v>1330</v>
      </c>
      <c r="B114" s="1262">
        <v>0.22</v>
      </c>
      <c r="C114" s="1259">
        <v>0.21</v>
      </c>
      <c r="D114" s="1259">
        <v>0.23</v>
      </c>
      <c r="E114" s="1259">
        <v>0.21</v>
      </c>
      <c r="F114" s="1259"/>
    </row>
    <row r="115" spans="1:6" s="1262" customFormat="1">
      <c r="C115" s="1259"/>
      <c r="D115" s="1259"/>
      <c r="E115" s="1259"/>
      <c r="F115" s="1259"/>
    </row>
    <row r="116" spans="1:6">
      <c r="B116" s="1256"/>
      <c r="C116" s="1274"/>
      <c r="D116" s="1274"/>
    </row>
    <row r="117" spans="1:6">
      <c r="B117" s="1256"/>
      <c r="C117" s="1274"/>
      <c r="D117" s="1274"/>
    </row>
    <row r="118" spans="1:6">
      <c r="A118" s="1253" t="s">
        <v>1377</v>
      </c>
      <c r="B118" s="1256"/>
      <c r="C118" s="1274"/>
      <c r="D118" s="1274"/>
    </row>
    <row r="119" spans="1:6">
      <c r="A119" s="1253" t="s">
        <v>7</v>
      </c>
      <c r="B119" s="1257">
        <v>22.7</v>
      </c>
      <c r="C119" s="1278">
        <v>18.399999999999999</v>
      </c>
      <c r="D119" s="1278">
        <v>19.600000000000001</v>
      </c>
      <c r="E119" s="1289">
        <v>19.600000000000001</v>
      </c>
    </row>
    <row r="120" spans="1:6">
      <c r="A120" s="1253" t="s">
        <v>1378</v>
      </c>
      <c r="B120" s="1256"/>
      <c r="C120" s="1274"/>
      <c r="D120" s="1274"/>
    </row>
    <row r="121" spans="1:6">
      <c r="A121" s="1253" t="s">
        <v>1379</v>
      </c>
      <c r="B121" s="1256"/>
      <c r="C121" s="1274"/>
      <c r="D121" s="1274"/>
    </row>
    <row r="122" spans="1:6">
      <c r="A122" s="1253" t="s">
        <v>1380</v>
      </c>
      <c r="B122" s="1256"/>
      <c r="C122" s="1274"/>
      <c r="D122" s="1274"/>
    </row>
    <row r="123" spans="1:6">
      <c r="B123" s="1256"/>
      <c r="C123" s="1274"/>
      <c r="D123" s="1274"/>
    </row>
    <row r="124" spans="1:6">
      <c r="A124" s="1253" t="s">
        <v>1381</v>
      </c>
      <c r="B124" s="1262">
        <v>0.28999999999999998</v>
      </c>
      <c r="C124" s="1274"/>
      <c r="D124" s="1274"/>
    </row>
    <row r="125" spans="1:6">
      <c r="A125" s="1253" t="s">
        <v>1382</v>
      </c>
      <c r="B125" s="1262">
        <v>0.25</v>
      </c>
      <c r="C125" s="1274"/>
      <c r="D125" s="1274"/>
    </row>
    <row r="126" spans="1:6">
      <c r="A126" s="1253" t="s">
        <v>1383</v>
      </c>
      <c r="B126" s="1262">
        <v>0.34</v>
      </c>
      <c r="C126" s="1274"/>
      <c r="D126" s="1274"/>
    </row>
    <row r="127" spans="1:6">
      <c r="A127" s="1253" t="s">
        <v>1384</v>
      </c>
      <c r="B127" s="1262">
        <v>0.12</v>
      </c>
      <c r="C127" s="1274"/>
      <c r="D127" s="1274"/>
    </row>
    <row r="128" spans="1:6">
      <c r="B128" s="1290">
        <v>2022</v>
      </c>
      <c r="C128" s="1291" t="s">
        <v>515</v>
      </c>
      <c r="D128" s="1274"/>
    </row>
    <row r="129" spans="1:43">
      <c r="A129" s="1253" t="s">
        <v>497</v>
      </c>
      <c r="B129" s="1256">
        <f ca="1">Rev_Year!I82</f>
        <v>103655.51172900001</v>
      </c>
      <c r="C129" s="1274">
        <f ca="1">Rev_Year!J82</f>
        <v>83505.679999999993</v>
      </c>
      <c r="D129" s="1274"/>
    </row>
    <row r="130" spans="1:43">
      <c r="A130" s="1253" t="s">
        <v>7</v>
      </c>
      <c r="B130" s="1256">
        <f>Rev_Year!I102</f>
        <v>27081.169731000002</v>
      </c>
      <c r="C130" s="1274">
        <f ca="1">Rev_Year!J102</f>
        <v>31580.760000000002</v>
      </c>
      <c r="D130" s="1274"/>
    </row>
    <row r="131" spans="1:43">
      <c r="A131" s="1253" t="s">
        <v>1385</v>
      </c>
      <c r="B131" s="1256">
        <f ca="1">Rev_Year!I6-SUM(Valuation_Senario!B129:B130)</f>
        <v>2668.0999999999913</v>
      </c>
      <c r="C131" s="1274">
        <f ca="1">Rev_Year!J6-SUM(Valuation_Senario!C129:C130)</f>
        <v>3193.3484554419992</v>
      </c>
      <c r="D131" s="1274"/>
    </row>
    <row r="132" spans="1:43">
      <c r="A132" s="1253" t="s">
        <v>1289</v>
      </c>
      <c r="B132" s="1256"/>
      <c r="C132" s="1274"/>
      <c r="D132" s="1274"/>
    </row>
    <row r="133" spans="1:43">
      <c r="AN133" s="1254" t="s">
        <v>1386</v>
      </c>
      <c r="AO133" s="1254" t="s">
        <v>1387</v>
      </c>
      <c r="AP133" s="1254" t="s">
        <v>1388</v>
      </c>
      <c r="AQ133" s="1254" t="s">
        <v>1389</v>
      </c>
    </row>
    <row r="134" spans="1:43">
      <c r="B134" s="1254" t="s">
        <v>226</v>
      </c>
      <c r="C134" s="1255" t="s">
        <v>515</v>
      </c>
    </row>
    <row r="135" spans="1:43">
      <c r="A135" s="1253" t="s">
        <v>497</v>
      </c>
      <c r="B135" s="1256">
        <f>Rev_Year!I192</f>
        <v>10221.467566597996</v>
      </c>
      <c r="C135" s="1274">
        <f>Rev_Year!J192</f>
        <v>2087.4460145259982</v>
      </c>
      <c r="D135" s="1276">
        <f>C135-B135</f>
        <v>-8134.0215520719976</v>
      </c>
    </row>
    <row r="136" spans="1:43">
      <c r="A136" s="1253" t="s">
        <v>7</v>
      </c>
      <c r="B136" s="1256">
        <f>Rev_Year!I124</f>
        <v>-2940.4532178049999</v>
      </c>
      <c r="C136" s="1274">
        <f ca="1">Rev_Year!J124</f>
        <v>-986.36495939999895</v>
      </c>
      <c r="D136" s="1276">
        <f ca="1">C136-B136</f>
        <v>1954.0882584050009</v>
      </c>
    </row>
    <row r="137" spans="1:43">
      <c r="A137" s="1253" t="s">
        <v>1390</v>
      </c>
      <c r="B137" s="1256">
        <f>Rev_Year!I193-Rev_Year!I128</f>
        <v>-636.84064729300007</v>
      </c>
      <c r="C137" s="1274">
        <f ca="1">Rev_Year!J193-Rev_Year!J128</f>
        <v>-1012.7455657750008</v>
      </c>
      <c r="D137" s="1276">
        <f ca="1">C137-B137</f>
        <v>-375.90491848200077</v>
      </c>
    </row>
    <row r="138" spans="1:43">
      <c r="A138" s="1253" t="s">
        <v>344</v>
      </c>
      <c r="B138" s="1256">
        <f>B139-SUM(B135:B137)</f>
        <v>-2542.4592765609941</v>
      </c>
      <c r="C138" s="1274">
        <f ca="1">C139-SUM(C135:C137)</f>
        <v>79.493665587999544</v>
      </c>
      <c r="D138" s="1276">
        <f ca="1">C138-B138</f>
        <v>2621.9529421489938</v>
      </c>
    </row>
    <row r="139" spans="1:43">
      <c r="A139" s="1253" t="s">
        <v>1391</v>
      </c>
      <c r="B139" s="1256">
        <f>Rev_Year!I197</f>
        <v>4101.7144249390021</v>
      </c>
      <c r="C139" s="1274">
        <f ca="1">Rev_Year!J197</f>
        <v>167.82915493899793</v>
      </c>
      <c r="D139" s="1276">
        <f ca="1">C139-B139</f>
        <v>-3933.8852700000043</v>
      </c>
    </row>
    <row r="140" spans="1:43">
      <c r="B140" s="1254" t="s">
        <v>1392</v>
      </c>
    </row>
    <row r="141" spans="1:43">
      <c r="A141" s="1253" t="str">
        <f>A135</f>
        <v>TGDĐ+ĐMX</v>
      </c>
      <c r="B141" s="1275">
        <f>D135</f>
        <v>-8134.0215520719976</v>
      </c>
    </row>
    <row r="142" spans="1:43">
      <c r="B142" s="1275"/>
    </row>
    <row r="143" spans="1:43">
      <c r="A143" s="1253" t="str">
        <f>A136</f>
        <v>BHX</v>
      </c>
      <c r="B143" s="1275">
        <f ca="1">D136</f>
        <v>1954.0882584050009</v>
      </c>
    </row>
    <row r="145" spans="1:16">
      <c r="A145" s="1253" t="str">
        <f>A137</f>
        <v>An Khang và khác</v>
      </c>
      <c r="B145" s="1275">
        <f ca="1">D137</f>
        <v>-375.90491848200077</v>
      </c>
    </row>
    <row r="146" spans="1:16">
      <c r="B146" s="1275"/>
    </row>
    <row r="147" spans="1:16">
      <c r="A147" s="1253" t="str">
        <f>A138</f>
        <v>Lãi/lỗ khác</v>
      </c>
      <c r="B147" s="1275">
        <f ca="1">D138</f>
        <v>2621.9529421489938</v>
      </c>
    </row>
    <row r="148" spans="1:16">
      <c r="B148" s="1275"/>
    </row>
    <row r="149" spans="1:16">
      <c r="A149" s="1253" t="str">
        <f>A139</f>
        <v>NPAT_MWG</v>
      </c>
      <c r="B149" s="1275">
        <f ca="1">D139</f>
        <v>-3933.8852700000043</v>
      </c>
    </row>
    <row r="151" spans="1:16">
      <c r="B151" s="1254">
        <f>510+64</f>
        <v>574</v>
      </c>
    </row>
    <row r="152" spans="1:16">
      <c r="B152" s="1254">
        <f>3479+1714+510+64</f>
        <v>5767</v>
      </c>
    </row>
    <row r="153" spans="1:16">
      <c r="B153" s="1254">
        <f>B151/B152</f>
        <v>9.953181897000174E-2</v>
      </c>
    </row>
    <row r="155" spans="1:16">
      <c r="B155" s="1253"/>
      <c r="C155" s="1292">
        <v>44682</v>
      </c>
      <c r="D155" s="1292">
        <v>44713</v>
      </c>
      <c r="E155" s="1292">
        <f>Rev_Month!BD4</f>
        <v>44743</v>
      </c>
      <c r="F155" s="1292">
        <f>Rev_Month!BE4</f>
        <v>44774</v>
      </c>
      <c r="G155" s="1293">
        <f>Rev_Month!BF4</f>
        <v>44805</v>
      </c>
      <c r="H155" s="1293">
        <f>Rev_Month!BG4</f>
        <v>44835</v>
      </c>
      <c r="I155" s="1293">
        <f>Rev_Month!BH4</f>
        <v>44866</v>
      </c>
      <c r="J155" s="1293">
        <f>Rev_Month!BI4</f>
        <v>44896</v>
      </c>
      <c r="K155" s="1293">
        <f>Rev_Month!BJ4</f>
        <v>44927</v>
      </c>
      <c r="L155" s="1293">
        <f>Rev_Month!BK4</f>
        <v>44958</v>
      </c>
      <c r="M155" s="1293">
        <f>Rev_Month!BL4</f>
        <v>44986</v>
      </c>
      <c r="N155" s="1293">
        <f>Rev_Month!BM4</f>
        <v>45017</v>
      </c>
      <c r="O155" s="1293">
        <f>Rev_Month!BN4</f>
        <v>45047</v>
      </c>
      <c r="P155" s="1293">
        <f>Rev_Month!BO4</f>
        <v>45078</v>
      </c>
    </row>
    <row r="156" spans="1:16">
      <c r="A156" s="1253" t="s">
        <v>1393</v>
      </c>
      <c r="B156" s="1256">
        <f>C156</f>
        <v>9189.4218272391918</v>
      </c>
      <c r="C156" s="1274">
        <f>D156</f>
        <v>9189.4218272391918</v>
      </c>
      <c r="D156" s="1274">
        <f>(Rev_Month!BC7+Rev_Month!BC14+Rev_Month!BC20)/2</f>
        <v>9189.4218272391918</v>
      </c>
      <c r="E156" s="1274">
        <f>Rev_Month!BD7+Rev_Month!BD14+Rev_Month!BD20</f>
        <v>8021.1563455216165</v>
      </c>
      <c r="F156" s="1274">
        <f>Rev_Month!BE7+Rev_Month!BE14+Rev_Month!BE20</f>
        <v>7800</v>
      </c>
      <c r="G156" s="1256">
        <f ca="1">Rev_Month!BF7+Rev_Month!BF14+Rev_Month!BF20</f>
        <v>7699.9999999999982</v>
      </c>
      <c r="H156" s="1256">
        <f ca="1">Rev_Month!BG7+Rev_Month!BG14+Rev_Month!BG20</f>
        <v>8600</v>
      </c>
      <c r="I156" s="1256">
        <f ca="1">Rev_Month!BH7+Rev_Month!BH14+Rev_Month!BH20</f>
        <v>7099.9999999999982</v>
      </c>
      <c r="J156" s="1256">
        <f ca="1">Rev_Month!BI7+Rev_Month!BI14+Rev_Month!BI20</f>
        <v>6955.5117290000062</v>
      </c>
      <c r="K156" s="1256">
        <f ca="1">Rev_Month!BJ7+Rev_Month!BJ14+Rev_Month!BJ20</f>
        <v>7271.3250000000007</v>
      </c>
      <c r="L156" s="1256">
        <f ca="1">Rev_Month!BK7+Rev_Month!BK14+Rev_Month!BK20</f>
        <v>7271.3250000000007</v>
      </c>
      <c r="M156" s="1256">
        <f ca="1">Rev_Month!BL7+Rev_Month!BL14+Rev_Month!BL20</f>
        <v>5402.96</v>
      </c>
      <c r="N156" s="1256">
        <f ca="1">Rev_Month!BM7+Rev_Month!BM14+Rev_Month!BM20</f>
        <v>7358.0169999999998</v>
      </c>
    </row>
    <row r="157" spans="1:16">
      <c r="A157" s="1253" t="s">
        <v>1394</v>
      </c>
      <c r="B157" s="1262">
        <f>B156/(Rev_Month!AY7+Rev_Month!AY14+Rev_Month!AY20)-1</f>
        <v>2.2399224046801169E-2</v>
      </c>
      <c r="C157" s="1259">
        <f>C156/(Rev_Month!AZ7+Rev_Month!AZ14+Rev_Month!AZ20)-1</f>
        <v>4.2841736297488886E-2</v>
      </c>
      <c r="D157" s="1259">
        <f t="shared" ref="D157:N157" si="10">D156/C156-1</f>
        <v>0</v>
      </c>
      <c r="E157" s="1259">
        <f t="shared" si="10"/>
        <v>-0.12713155448524682</v>
      </c>
      <c r="F157" s="1259">
        <f t="shared" si="10"/>
        <v>-2.7571628826944972E-2</v>
      </c>
      <c r="G157" s="1262">
        <f t="shared" ca="1" si="10"/>
        <v>-1.2820512820513108E-2</v>
      </c>
      <c r="H157" s="1262">
        <f t="shared" ca="1" si="10"/>
        <v>0.11688311688311726</v>
      </c>
      <c r="I157" s="1262">
        <f t="shared" ca="1" si="10"/>
        <v>-0.17441860465116299</v>
      </c>
      <c r="J157" s="1262">
        <f t="shared" ca="1" si="10"/>
        <v>-2.0350460704224194E-2</v>
      </c>
      <c r="K157" s="1262">
        <f t="shared" ca="1" si="10"/>
        <v>4.540474997450672E-2</v>
      </c>
      <c r="L157" s="1262">
        <f t="shared" ca="1" si="10"/>
        <v>0</v>
      </c>
      <c r="M157" s="1262">
        <f t="shared" ca="1" si="10"/>
        <v>-0.2569497306199352</v>
      </c>
      <c r="N157" s="1262">
        <f t="shared" ca="1" si="10"/>
        <v>0.36184924559870879</v>
      </c>
    </row>
    <row r="158" spans="1:16">
      <c r="A158" s="1253" t="s">
        <v>1395</v>
      </c>
      <c r="B158" s="1254">
        <f>Rev_Month!AY10+Rev_Month!AY16+Rev_Month!AY23</f>
        <v>3091</v>
      </c>
      <c r="C158" s="1255">
        <f>Rev_Month!AZ10+Rev_Month!AZ16+Rev_Month!AZ23</f>
        <v>3097</v>
      </c>
      <c r="D158" s="1255">
        <f>Rev_Month!BA10+Rev_Month!BA16+Rev_Month!BA23</f>
        <v>3108</v>
      </c>
      <c r="E158" s="1255">
        <f>Rev_Month!BB10+Rev_Month!BB16+Rev_Month!BB23</f>
        <v>3198</v>
      </c>
      <c r="F158" s="1255">
        <f>Rev_Month!BC10+Rev_Month!BC16+Rev_Month!BC23</f>
        <v>3198</v>
      </c>
      <c r="G158" s="1254">
        <f>Rev_Month!BD10+Rev_Month!BD16+Rev_Month!BD23</f>
        <v>3255</v>
      </c>
      <c r="H158" s="1254">
        <f>Rev_Month!BE10+Rev_Month!BE16+Rev_Month!BE23</f>
        <v>3308</v>
      </c>
      <c r="I158" s="1254">
        <f>Rev_Month!BF10+Rev_Month!BF16+Rev_Month!BF23</f>
        <v>3362</v>
      </c>
      <c r="J158" s="1254">
        <f>Rev_Month!BG10+Rev_Month!BG16+Rev_Month!BG23</f>
        <v>3432</v>
      </c>
      <c r="K158" s="1254">
        <f>Rev_Month!BH10+Rev_Month!BH16+Rev_Month!BH23</f>
        <v>3446</v>
      </c>
      <c r="L158" s="1254">
        <f>Rev_Month!BI10+Rev_Month!BI16+Rev_Month!BI23</f>
        <v>3474</v>
      </c>
      <c r="M158" s="1254">
        <f>Rev_Month!BJ10+Rev_Month!BJ16+Rev_Month!BJ23</f>
        <v>3476</v>
      </c>
      <c r="N158" s="1254">
        <f>Rev_Month!BK10+Rev_Month!BK16+Rev_Month!BK23</f>
        <v>3476</v>
      </c>
    </row>
    <row r="159" spans="1:16">
      <c r="C159" s="1259">
        <f t="shared" ref="C159:N159" si="11">C158/B158-1</f>
        <v>1.9411193788418935E-3</v>
      </c>
      <c r="D159" s="1259">
        <f t="shared" si="11"/>
        <v>3.5518243461414301E-3</v>
      </c>
      <c r="E159" s="1259">
        <f t="shared" si="11"/>
        <v>2.8957528957529011E-2</v>
      </c>
      <c r="F159" s="1259">
        <f t="shared" si="11"/>
        <v>0</v>
      </c>
      <c r="G159" s="1262">
        <f t="shared" si="11"/>
        <v>1.7823639774859235E-2</v>
      </c>
      <c r="H159" s="1262">
        <f t="shared" si="11"/>
        <v>1.6282642089093802E-2</v>
      </c>
      <c r="I159" s="1262">
        <f t="shared" si="11"/>
        <v>1.6324062877871803E-2</v>
      </c>
      <c r="J159" s="1262">
        <f t="shared" si="11"/>
        <v>2.0820939916716297E-2</v>
      </c>
      <c r="K159" s="1262">
        <f t="shared" si="11"/>
        <v>4.0792540792540244E-3</v>
      </c>
      <c r="L159" s="1262">
        <f t="shared" si="11"/>
        <v>8.1253627394080041E-3</v>
      </c>
      <c r="M159" s="1262">
        <f t="shared" si="11"/>
        <v>5.7570523891770087E-4</v>
      </c>
      <c r="N159" s="1268">
        <f t="shared" si="11"/>
        <v>0</v>
      </c>
    </row>
    <row r="161" spans="1:49">
      <c r="B161" s="1293">
        <f>Rev_Month!Z4</f>
        <v>43831</v>
      </c>
      <c r="C161" s="1292">
        <f>Rev_Month!AA4</f>
        <v>43862</v>
      </c>
      <c r="D161" s="1292">
        <f>Rev_Month!AB4</f>
        <v>43891</v>
      </c>
      <c r="E161" s="1292">
        <f>Rev_Month!AC4</f>
        <v>43922</v>
      </c>
      <c r="F161" s="1292">
        <f>Rev_Month!AD4</f>
        <v>43952</v>
      </c>
      <c r="G161" s="1293">
        <f>Rev_Month!AE4</f>
        <v>43983</v>
      </c>
      <c r="H161" s="1293">
        <f>Rev_Month!AF4</f>
        <v>44013</v>
      </c>
      <c r="I161" s="1293">
        <f>Rev_Month!AG4</f>
        <v>44044</v>
      </c>
      <c r="J161" s="1293">
        <f>Rev_Month!AH4</f>
        <v>44075</v>
      </c>
      <c r="K161" s="1293">
        <f>Rev_Month!AI4</f>
        <v>44105</v>
      </c>
      <c r="L161" s="1293">
        <f>Rev_Month!AJ4</f>
        <v>44136</v>
      </c>
      <c r="M161" s="1293">
        <f>Rev_Month!AK4</f>
        <v>44166</v>
      </c>
      <c r="N161" s="1293">
        <f>Rev_Month!AL4</f>
        <v>44197</v>
      </c>
      <c r="O161" s="1293">
        <f>Rev_Month!AM4</f>
        <v>44228</v>
      </c>
      <c r="P161" s="1293">
        <f>Rev_Month!AN4</f>
        <v>44256</v>
      </c>
      <c r="Q161" s="1293">
        <f>Rev_Month!AO4</f>
        <v>44287</v>
      </c>
      <c r="R161" s="1293">
        <f>Rev_Month!AP4</f>
        <v>44317</v>
      </c>
      <c r="S161" s="1293">
        <f>Rev_Month!AQ4</f>
        <v>44348</v>
      </c>
      <c r="T161" s="1293">
        <f>Rev_Month!AR4</f>
        <v>44378</v>
      </c>
      <c r="U161" s="1293">
        <f>Rev_Month!AS4</f>
        <v>44409</v>
      </c>
      <c r="V161" s="1293">
        <f>Rev_Month!AT4</f>
        <v>44440</v>
      </c>
      <c r="W161" s="1293">
        <f>Rev_Month!AU4</f>
        <v>44470</v>
      </c>
      <c r="X161" s="1293">
        <f>Rev_Month!AV4</f>
        <v>44501</v>
      </c>
      <c r="Y161" s="1293">
        <f>Rev_Month!AW4</f>
        <v>44531</v>
      </c>
      <c r="Z161" s="1293" t="s">
        <v>1396</v>
      </c>
      <c r="AA161" s="1293">
        <f>Rev_Month!AY4</f>
        <v>44621</v>
      </c>
      <c r="AB161" s="1293">
        <f>Rev_Month!AZ4</f>
        <v>44652</v>
      </c>
      <c r="AC161" s="1293">
        <f>Rev_Month!BA4</f>
        <v>44682</v>
      </c>
      <c r="AD161" s="1293">
        <f>Rev_Month!BB4</f>
        <v>44713</v>
      </c>
      <c r="AE161" s="1293">
        <f>Rev_Month!BD4</f>
        <v>44743</v>
      </c>
      <c r="AF161" s="1293">
        <f>Rev_Month!BE4</f>
        <v>44774</v>
      </c>
      <c r="AG161" s="1293">
        <f>Rev_Month!BF4</f>
        <v>44805</v>
      </c>
      <c r="AH161" s="1293">
        <f>Rev_Month!BG4</f>
        <v>44835</v>
      </c>
      <c r="AI161" s="1293">
        <f>Rev_Month!BH4</f>
        <v>44866</v>
      </c>
      <c r="AJ161" s="1293">
        <f>Rev_Month!BI4</f>
        <v>44896</v>
      </c>
      <c r="AK161" s="1293" t="s">
        <v>1397</v>
      </c>
      <c r="AL161" s="1293">
        <f>Rev_Month!BL4</f>
        <v>44986</v>
      </c>
      <c r="AM161" s="1293">
        <f>Rev_Month!BM4</f>
        <v>45017</v>
      </c>
      <c r="AN161" s="1293">
        <f>Rev_Month!BN4</f>
        <v>45047</v>
      </c>
      <c r="AO161" s="1293">
        <f>Rev_Month!BO4</f>
        <v>45078</v>
      </c>
      <c r="AP161" s="1293">
        <f>Rev_Month!BP4</f>
        <v>45108</v>
      </c>
      <c r="AQ161" s="1293">
        <f>Rev_Month!BQ4</f>
        <v>45139</v>
      </c>
      <c r="AR161" s="1293">
        <f>Rev_Month!BR4</f>
        <v>45170</v>
      </c>
      <c r="AS161" s="1293">
        <f>Rev_Month!BS4</f>
        <v>45200</v>
      </c>
      <c r="AU161" s="1254">
        <v>2022</v>
      </c>
      <c r="AV161" s="1254" t="s">
        <v>1398</v>
      </c>
      <c r="AW161" s="1254" t="s">
        <v>1399</v>
      </c>
    </row>
    <row r="162" spans="1:49" s="1257" customFormat="1">
      <c r="A162" s="1257" t="s">
        <v>1400</v>
      </c>
      <c r="B162" s="1257">
        <f>Rev_Month!Z43</f>
        <v>1.2872620790629574</v>
      </c>
      <c r="C162" s="1278">
        <f>Rev_Month!AA43</f>
        <v>1.2037610241820771</v>
      </c>
      <c r="D162" s="1278">
        <f>Rev_Month!AB43</f>
        <v>1.7096522911051211</v>
      </c>
      <c r="E162" s="1278">
        <f>Rev_Month!AC43</f>
        <v>1.4063821070234117</v>
      </c>
      <c r="F162" s="1278">
        <f>Rev_Month!AD43</f>
        <v>1.2798291650634859</v>
      </c>
      <c r="G162" s="1257">
        <f>Rev_Month!AE43</f>
        <v>1.1381620484040693</v>
      </c>
      <c r="H162" s="1257">
        <f>Rev_Month!AF43</f>
        <v>1.178385297013455</v>
      </c>
      <c r="I162" s="1257">
        <f>Rev_Month!AG43</f>
        <v>1.2380671736375171</v>
      </c>
      <c r="J162" s="1257">
        <f>Rev_Month!AH43</f>
        <v>1.1957128651336233</v>
      </c>
      <c r="K162" s="1257">
        <f>Rev_Month!AI43</f>
        <v>1.2125086916742907</v>
      </c>
      <c r="L162" s="1257">
        <f>Rev_Month!AJ43</f>
        <v>1.2242249476518106</v>
      </c>
      <c r="M162" s="1257">
        <f>Rev_Month!AK43</f>
        <v>1.2386048150322944</v>
      </c>
      <c r="N162" s="1257">
        <f>Rev_Month!AL43</f>
        <v>1.338114186851211</v>
      </c>
      <c r="O162" s="1257">
        <f>Rev_Month!AM43</f>
        <v>0.94395834522111255</v>
      </c>
      <c r="P162" s="1257">
        <f>Rev_Month!AN43</f>
        <v>1.1212228214589839</v>
      </c>
      <c r="Q162" s="1257">
        <f>Rev_Month!AO43</f>
        <v>1.1989854341736697</v>
      </c>
      <c r="R162" s="1257">
        <f>Rev_Month!AP43</f>
        <v>1.3877120963327856</v>
      </c>
      <c r="S162" s="1257">
        <f>Rev_Month!AQ43</f>
        <v>1.4694132120887935</v>
      </c>
      <c r="T162" s="1257">
        <f>Rev_Month!AR43</f>
        <v>2.2024512739690043</v>
      </c>
      <c r="U162" s="1257">
        <f>Rev_Month!AS43</f>
        <v>1.6010402911359514</v>
      </c>
      <c r="V162" s="1257">
        <f>Rev_Month!AT43</f>
        <v>0.99897203521491429</v>
      </c>
      <c r="W162" s="1257">
        <f>Rev_Month!AU43</f>
        <v>1.0341261633919339</v>
      </c>
      <c r="X162" s="1257">
        <f>Rev_Month!AV43</f>
        <v>0.9074747474747471</v>
      </c>
      <c r="Y162" s="1257">
        <f>Rev_Month!AW43</f>
        <v>0.86514133591481013</v>
      </c>
      <c r="Z162" s="1257">
        <f>Rev_Month!AX43</f>
        <v>0.92242194891201512</v>
      </c>
      <c r="AA162" s="1257">
        <f>Rev_Month!AY43</f>
        <v>1.0072958343139562</v>
      </c>
      <c r="AB162" s="1257">
        <f>Rev_Month!AZ43</f>
        <v>1.0124209046168269</v>
      </c>
      <c r="AC162" s="1257">
        <f>Rev_Month!BA43</f>
        <v>1.0747663551401869</v>
      </c>
      <c r="AD162" s="1257">
        <f>Rev_Month!BB43</f>
        <v>1.1494286423430138</v>
      </c>
      <c r="AE162" s="1257">
        <f>Rev_Month!BD43</f>
        <v>1.3159359823399552</v>
      </c>
      <c r="AF162" s="1257">
        <f>Rev_Month!BE43</f>
        <v>1.36</v>
      </c>
      <c r="AG162" s="1257">
        <f>Rev_Month!BF43</f>
        <v>1.37</v>
      </c>
      <c r="AH162" s="1257">
        <f>Rev_Month!BG43</f>
        <v>1.37</v>
      </c>
      <c r="AI162" s="1257">
        <f>Rev_Month!BH43</f>
        <v>1.3286255787037025</v>
      </c>
      <c r="AJ162" s="1257">
        <f>Rev_Month!BI43</f>
        <v>1.4358621128472233</v>
      </c>
      <c r="AK162" s="1257">
        <f>Rev_Month!BK43</f>
        <v>1.1929352226720649</v>
      </c>
      <c r="AL162" s="1257">
        <f>Rev_Month!BL43</f>
        <v>1.3053038674033151</v>
      </c>
      <c r="AM162" s="1257">
        <f>Rev_Month!BM43</f>
        <v>1.3527232884727913</v>
      </c>
      <c r="AN162" s="1257">
        <f ca="1">Rev_Month!BN43</f>
        <v>1.4329073270808907</v>
      </c>
      <c r="AO162" s="1257">
        <f ca="1">Rev_Month!BO43</f>
        <v>1.5037865102639287</v>
      </c>
      <c r="AP162" s="1257">
        <f ca="1">Rev_Month!BP43</f>
        <v>1.6410199296600245</v>
      </c>
      <c r="AQ162" s="1257">
        <f ca="1">Rev_Month!BQ43</f>
        <v>1.7174970691676432</v>
      </c>
      <c r="AR162" s="1257">
        <f ca="1">Rev_Month!BR43</f>
        <v>1.701603751465417</v>
      </c>
      <c r="AS162" s="1257">
        <f ca="1">Rev_Month!BS43</f>
        <v>1.8003563892145367</v>
      </c>
      <c r="AU162" s="1257">
        <f>Rev_Year!I106</f>
        <v>1.1772374252738655</v>
      </c>
      <c r="AV162" s="1257">
        <f ca="1">Rev_Year!J106</f>
        <v>1.5363280793928782</v>
      </c>
      <c r="AW162" s="1257">
        <f ca="1">Rev_Year!K106</f>
        <v>1.9744048943702903</v>
      </c>
    </row>
    <row r="163" spans="1:49" s="1262" customFormat="1">
      <c r="A163" s="1262" t="s">
        <v>1401</v>
      </c>
      <c r="B163" s="1262">
        <f>C163</f>
        <v>-6.4867175254369025E-2</v>
      </c>
      <c r="C163" s="1259">
        <f t="shared" ref="C163:Z163" si="12">C162/B162-1</f>
        <v>-6.4867175254369025E-2</v>
      </c>
      <c r="D163" s="1259">
        <f t="shared" si="12"/>
        <v>0.420258885908674</v>
      </c>
      <c r="E163" s="1259">
        <f t="shared" si="12"/>
        <v>-0.17738705446689118</v>
      </c>
      <c r="F163" s="1259">
        <f t="shared" si="12"/>
        <v>-8.9984749754654758E-2</v>
      </c>
      <c r="G163" s="1262">
        <f t="shared" si="12"/>
        <v>-0.11069220840297789</v>
      </c>
      <c r="H163" s="1262">
        <f t="shared" si="12"/>
        <v>3.5340528763708745E-2</v>
      </c>
      <c r="I163" s="1262">
        <f t="shared" si="12"/>
        <v>5.0647166741915495E-2</v>
      </c>
      <c r="J163" s="1262">
        <f t="shared" si="12"/>
        <v>-3.4210024630129121E-2</v>
      </c>
      <c r="K163" s="1262">
        <f t="shared" si="12"/>
        <v>1.4046705551495675E-2</v>
      </c>
      <c r="L163" s="1262">
        <f t="shared" si="12"/>
        <v>9.6628222609618231E-3</v>
      </c>
      <c r="M163" s="1262">
        <f t="shared" si="12"/>
        <v>1.1746098956785467E-2</v>
      </c>
      <c r="N163" s="1262">
        <f t="shared" si="12"/>
        <v>8.033988776018286E-2</v>
      </c>
      <c r="O163" s="1262">
        <f t="shared" si="12"/>
        <v>-0.29456069258006146</v>
      </c>
      <c r="P163" s="1262">
        <f t="shared" si="12"/>
        <v>0.18778845182659931</v>
      </c>
      <c r="Q163" s="1262">
        <f t="shared" si="12"/>
        <v>6.9355181883916428E-2</v>
      </c>
      <c r="R163" s="1262">
        <f t="shared" si="12"/>
        <v>0.15740530016462184</v>
      </c>
      <c r="S163" s="1262">
        <f t="shared" si="12"/>
        <v>5.8874687315844554E-2</v>
      </c>
      <c r="T163" s="1262">
        <f t="shared" si="12"/>
        <v>0.49886448267209049</v>
      </c>
      <c r="U163" s="1262">
        <f t="shared" si="12"/>
        <v>-0.27306437601648248</v>
      </c>
      <c r="V163" s="1262">
        <f t="shared" si="12"/>
        <v>-0.3760481602207929</v>
      </c>
      <c r="W163" s="1262">
        <f t="shared" si="12"/>
        <v>3.5190302568836929E-2</v>
      </c>
      <c r="X163" s="1262">
        <f t="shared" si="12"/>
        <v>-0.12247191919191958</v>
      </c>
      <c r="Y163" s="1262">
        <f t="shared" si="12"/>
        <v>-4.6649685490135373E-2</v>
      </c>
      <c r="Z163" s="1262">
        <f t="shared" si="12"/>
        <v>6.6209543596290832E-2</v>
      </c>
      <c r="AA163" s="1262">
        <f t="shared" ref="AA163:AP163" si="13">AA162/Z162-1</f>
        <v>9.2011996789591599E-2</v>
      </c>
      <c r="AB163" s="1262">
        <f t="shared" si="13"/>
        <v>5.0879494665647673E-3</v>
      </c>
      <c r="AC163" s="1262">
        <f t="shared" si="13"/>
        <v>6.1580564209068767E-2</v>
      </c>
      <c r="AD163" s="1262">
        <f t="shared" si="13"/>
        <v>6.946838896263019E-2</v>
      </c>
      <c r="AE163" s="1262">
        <f t="shared" si="13"/>
        <v>0.14486096297159445</v>
      </c>
      <c r="AF163" s="1262">
        <f t="shared" si="13"/>
        <v>3.3484924989809706E-2</v>
      </c>
      <c r="AG163" s="1262">
        <f t="shared" si="13"/>
        <v>7.3529411764705621E-3</v>
      </c>
      <c r="AH163" s="1262">
        <f t="shared" si="13"/>
        <v>0</v>
      </c>
      <c r="AI163" s="1262">
        <f t="shared" si="13"/>
        <v>-3.0200307515545699E-2</v>
      </c>
      <c r="AJ163" s="1262">
        <f t="shared" si="13"/>
        <v>8.0712381172239667E-2</v>
      </c>
      <c r="AK163" s="1262">
        <f>AK162/AJ162-1</f>
        <v>-0.1691853890436944</v>
      </c>
      <c r="AL163" s="1262">
        <f t="shared" si="13"/>
        <v>9.4195093409644493E-2</v>
      </c>
      <c r="AM163" s="1262">
        <f t="shared" si="13"/>
        <v>3.6328262141603229E-2</v>
      </c>
      <c r="AN163" s="1262">
        <f t="shared" ca="1" si="13"/>
        <v>5.9276009581106681E-2</v>
      </c>
      <c r="AO163" s="1262">
        <f t="shared" ca="1" si="13"/>
        <v>4.9465294679895688E-2</v>
      </c>
      <c r="AP163" s="1262">
        <f t="shared" ca="1" si="13"/>
        <v>9.1258578567784854E-2</v>
      </c>
      <c r="AQ163" s="1262">
        <f ca="1">AQ162/AP162-1</f>
        <v>4.6603419084290332E-2</v>
      </c>
      <c r="AR163" s="1262">
        <f ca="1">AR162/AQ162-1</f>
        <v>-9.2537670005624628E-3</v>
      </c>
      <c r="AS163" s="1262">
        <f ca="1">AS162/AR162-1</f>
        <v>5.8035037630866926E-2</v>
      </c>
      <c r="AU163" s="1262">
        <f xml:space="preserve"> Rev_Year!I106/Rev_Year!H106-1</f>
        <v>-4.0479015057748757E-2</v>
      </c>
      <c r="AV163" s="1262">
        <f ca="1" xml:space="preserve"> Rev_Year!J106/Rev_Year!I106-1</f>
        <v>0.30502823509495203</v>
      </c>
      <c r="AW163" s="1262">
        <f ca="1" xml:space="preserve"> Rev_Year!K106/Rev_Year!J106-1</f>
        <v>0.28514535459804269</v>
      </c>
    </row>
    <row r="164" spans="1:49" s="1256" customFormat="1">
      <c r="A164" s="1256" t="s">
        <v>1402</v>
      </c>
      <c r="B164" s="1256">
        <f>Rev_Month!Z41</f>
        <v>1041</v>
      </c>
      <c r="C164" s="1274">
        <f>Rev_Month!AA41</f>
        <v>1068</v>
      </c>
      <c r="D164" s="1274">
        <f>Rev_Month!AB41</f>
        <v>1158</v>
      </c>
      <c r="E164" s="1274">
        <f>Rev_Month!AC41</f>
        <v>1234</v>
      </c>
      <c r="F164" s="1274">
        <f>Rev_Month!AD41</f>
        <v>1365</v>
      </c>
      <c r="G164" s="1256">
        <f>Rev_Month!AE41</f>
        <v>1486</v>
      </c>
      <c r="H164" s="1256">
        <f>Rev_Month!AF41</f>
        <v>1561</v>
      </c>
      <c r="I164" s="1256">
        <f>Rev_Month!AG41</f>
        <v>1595</v>
      </c>
      <c r="J164" s="1256">
        <f>Rev_Month!AH41</f>
        <v>1623</v>
      </c>
      <c r="K164" s="1256">
        <f>Rev_Month!AI41</f>
        <v>1656</v>
      </c>
      <c r="L164" s="1256">
        <f>Rev_Month!AJ41</f>
        <v>1687</v>
      </c>
      <c r="M164" s="1256">
        <f>Rev_Month!AK41</f>
        <v>1719</v>
      </c>
      <c r="N164" s="1256">
        <f>Rev_Month!AL41</f>
        <v>1749</v>
      </c>
      <c r="O164" s="1256">
        <f>Rev_Month!AM41</f>
        <v>1756</v>
      </c>
      <c r="P164" s="1256">
        <f>Rev_Month!AN41</f>
        <v>1767</v>
      </c>
      <c r="Q164" s="1256">
        <f>Rev_Month!AO41</f>
        <v>1803</v>
      </c>
      <c r="R164" s="1256">
        <f>Rev_Month!AP41</f>
        <v>1851</v>
      </c>
      <c r="S164" s="1256">
        <f>Rev_Month!AQ41</f>
        <v>1888</v>
      </c>
      <c r="T164" s="1256">
        <f>Rev_Month!AR41</f>
        <v>1919</v>
      </c>
      <c r="U164" s="1256">
        <f>Rev_Month!AS41</f>
        <v>1928</v>
      </c>
      <c r="V164" s="1256">
        <f>Rev_Month!AT41</f>
        <v>1934</v>
      </c>
      <c r="W164" s="1256">
        <f>Rev_Month!AU41</f>
        <v>1934</v>
      </c>
      <c r="X164" s="1256">
        <f>Rev_Month!AV41</f>
        <v>2026</v>
      </c>
      <c r="Y164" s="1256">
        <f>Rev_Month!AW41</f>
        <v>2106</v>
      </c>
      <c r="Z164" s="1256">
        <f>Rev_Month!AX41</f>
        <v>2122</v>
      </c>
      <c r="AA164" s="1256">
        <f>Rev_Month!AY41</f>
        <v>2127</v>
      </c>
      <c r="AB164" s="1256">
        <f>Rev_Month!AZ41</f>
        <v>2140</v>
      </c>
      <c r="AC164" s="1256">
        <f>Rev_Month!BA41</f>
        <v>2140</v>
      </c>
      <c r="AD164" s="1256">
        <f>Rev_Month!BB41</f>
        <v>1889</v>
      </c>
      <c r="AE164" s="1256">
        <f>Rev_Month!BD41</f>
        <v>1735</v>
      </c>
      <c r="AF164" s="1256">
        <f>Rev_Month!BE41</f>
        <v>1726</v>
      </c>
      <c r="AG164" s="1256">
        <f>Rev_Month!BF41</f>
        <v>1728</v>
      </c>
      <c r="AH164" s="1256">
        <f>Rev_Month!BG41</f>
        <v>1728</v>
      </c>
      <c r="AI164" s="1256">
        <f>Rev_Month!BH41</f>
        <v>1728</v>
      </c>
      <c r="AJ164" s="1256">
        <f>Rev_Month!BI41</f>
        <v>1728</v>
      </c>
      <c r="AK164" s="1256">
        <f>Rev_Month!BK41</f>
        <v>1729</v>
      </c>
      <c r="AL164" s="1256">
        <f>Rev_Month!BL41</f>
        <v>1710</v>
      </c>
      <c r="AM164" s="1256">
        <f>Rev_Month!BM41</f>
        <v>1708</v>
      </c>
      <c r="AN164" s="1256">
        <f>Rev_Month!BN41</f>
        <v>1704</v>
      </c>
      <c r="AO164" s="1256">
        <f>Rev_Month!BO41</f>
        <v>1706</v>
      </c>
      <c r="AP164" s="1256">
        <f>Rev_Month!BP41</f>
        <v>1706</v>
      </c>
      <c r="AQ164" s="1256">
        <f>Rev_Month!BQ41</f>
        <v>1706</v>
      </c>
      <c r="AR164" s="1256">
        <f>Rev_Month!BR41</f>
        <v>1706</v>
      </c>
      <c r="AS164" s="1256">
        <f>Rev_Month!BS41</f>
        <v>1706</v>
      </c>
      <c r="AU164" s="1256">
        <f>Rev_Year!I107</f>
        <v>1728</v>
      </c>
      <c r="AV164" s="1256">
        <f>Rev_Year!J107</f>
        <v>1698</v>
      </c>
      <c r="AW164" s="1256">
        <f>Rev_Year!K107</f>
        <v>1770</v>
      </c>
    </row>
    <row r="165" spans="1:49">
      <c r="A165" s="1253" t="s">
        <v>501</v>
      </c>
      <c r="AA165" s="1257"/>
      <c r="AB165" s="1256"/>
      <c r="AC165" s="1254"/>
      <c r="AG165" s="1254"/>
      <c r="AU165" s="1268">
        <f>Rev_Year!I125</f>
        <v>-0.10857925440491747</v>
      </c>
      <c r="AV165" s="1268">
        <f ca="1">Rev_Year!J125</f>
        <v>-3.1233097601197655E-2</v>
      </c>
      <c r="AW165" s="1268">
        <f ca="1">Rev_Year!K125</f>
        <v>2.5007340188092425E-3</v>
      </c>
    </row>
    <row r="166" spans="1:49" s="1262" customFormat="1">
      <c r="A166" s="1262" t="s">
        <v>31</v>
      </c>
      <c r="B166" s="1262">
        <f>B162/Rev_Month!N43-1</f>
        <v>-0.15344070278184496</v>
      </c>
      <c r="C166" s="1259">
        <f>C162/Rev_Month!O43-1</f>
        <v>0.2009152534393297</v>
      </c>
      <c r="D166" s="1259">
        <f>D162/Rev_Month!P43-1</f>
        <v>0.24774780411366959</v>
      </c>
      <c r="E166" s="1259">
        <f>E162/Rev_Month!Q43-1</f>
        <v>-6.2815226717385375E-3</v>
      </c>
      <c r="F166" s="1259">
        <f>F162/Rev_Month!R43-1</f>
        <v>-0.15760444950026842</v>
      </c>
      <c r="G166" s="1262">
        <f>G162/Rev_Month!S43-1</f>
        <v>-0.32350799811116304</v>
      </c>
      <c r="H166" s="1262">
        <f>H162/Rev_Month!T43-1</f>
        <v>-0.23579539117152637</v>
      </c>
      <c r="I166" s="1262">
        <f>I162/Rev_Month!U43-1</f>
        <v>-0.19395227538692816</v>
      </c>
      <c r="J166" s="1262">
        <f>J162/Rev_Month!V43-1</f>
        <v>-0.11227362192827639</v>
      </c>
      <c r="K166" s="1262">
        <f>K162/Rev_Month!W43-1</f>
        <v>-7.5846269390152932E-2</v>
      </c>
      <c r="L166" s="1262">
        <f>L162/Rev_Month!X43-1</f>
        <v>-7.7484625913172067E-2</v>
      </c>
      <c r="M166" s="1262">
        <f>M162/Rev_Month!Y43-1</f>
        <v>-7.8107441441766512E-2</v>
      </c>
      <c r="N166" s="1262">
        <f>N162/Rev_Month!Z43-1</f>
        <v>3.9504082824587394E-2</v>
      </c>
      <c r="O166" s="1262">
        <f>O162/Rev_Month!AA43-1</f>
        <v>-0.21582579410850533</v>
      </c>
      <c r="P166" s="1262">
        <f>P162/Rev_Month!AB43-1</f>
        <v>-0.34418078617949599</v>
      </c>
      <c r="Q166" s="1262">
        <f>Q162/Rev_Month!AC43-1</f>
        <v>-0.1474682248970689</v>
      </c>
      <c r="R166" s="1262">
        <f>R162/Rev_Month!AD43-1</f>
        <v>8.4294790440994749E-2</v>
      </c>
      <c r="S166" s="1262">
        <f>S162/Rev_Month!AE43-1</f>
        <v>0.29104042271415098</v>
      </c>
      <c r="T166" s="1262">
        <f>T162/Rev_Month!AF43-1</f>
        <v>0.86904171288540488</v>
      </c>
      <c r="U166" s="1262">
        <f>U162/Rev_Month!AG43-1</f>
        <v>0.29317724048203053</v>
      </c>
      <c r="V166" s="1262">
        <f>V162/Rev_Month!AH43-1</f>
        <v>-0.16453852396806223</v>
      </c>
      <c r="W166" s="1262">
        <f>W162/Rev_Month!AI43-1</f>
        <v>-0.14711855635116111</v>
      </c>
      <c r="X166" s="1262">
        <f>X162/Rev_Month!AJ43-1</f>
        <v>-0.25873529271284901</v>
      </c>
      <c r="Y166" s="1262">
        <f>Y162/Rev_Month!AK43-1</f>
        <v>-0.30151947948607549</v>
      </c>
      <c r="Z166" s="1262">
        <f>Z162/AVERAGE(N162:O162)-1</f>
        <v>-0.19159278598881824</v>
      </c>
      <c r="AA166" s="1262">
        <f>AA162/P162-1</f>
        <v>-0.10160958639495132</v>
      </c>
      <c r="AB166" s="1262">
        <f>AB162/Q162-1</f>
        <v>-0.15560199835573596</v>
      </c>
      <c r="AC166" s="1262">
        <f>AC162/R162-1</f>
        <v>-0.22551200787223769</v>
      </c>
      <c r="AD166" s="1262">
        <f>AD162/S162-1</f>
        <v>-0.21776350390297416</v>
      </c>
      <c r="AE166" s="1262">
        <f>AE162/T162-1</f>
        <v>-0.40251300998431316</v>
      </c>
      <c r="AG166" s="1262">
        <f t="shared" ref="AG166:AN166" si="14">AG162/V162-1</f>
        <v>0.37140976094016942</v>
      </c>
      <c r="AH166" s="1262">
        <f t="shared" si="14"/>
        <v>0.32479000000000013</v>
      </c>
      <c r="AI166" s="1262">
        <f t="shared" si="14"/>
        <v>0.46409096495621771</v>
      </c>
      <c r="AJ166" s="1262">
        <f t="shared" si="14"/>
        <v>0.65968501704860349</v>
      </c>
      <c r="AK166" s="1262">
        <f t="shared" si="14"/>
        <v>0.29326413370704874</v>
      </c>
      <c r="AL166" s="1262">
        <f t="shared" si="14"/>
        <v>0.2958495636908145</v>
      </c>
      <c r="AM166" s="1262">
        <f t="shared" si="14"/>
        <v>0.3361273777577316</v>
      </c>
      <c r="AN166" s="1262">
        <f t="shared" ca="1" si="14"/>
        <v>0.33322681737091564</v>
      </c>
    </row>
    <row r="168" spans="1:49">
      <c r="B168" s="1294">
        <f>B162</f>
        <v>1.2872620790629574</v>
      </c>
      <c r="C168" s="1295">
        <f>C162</f>
        <v>1.2037610241820771</v>
      </c>
      <c r="E168" s="1295"/>
      <c r="F168" s="1295">
        <f t="shared" ref="F168:Q168" si="15">F162</f>
        <v>1.2798291650634859</v>
      </c>
      <c r="G168" s="1294">
        <f t="shared" si="15"/>
        <v>1.1381620484040693</v>
      </c>
      <c r="H168" s="1294">
        <f t="shared" si="15"/>
        <v>1.178385297013455</v>
      </c>
      <c r="I168" s="1294">
        <f t="shared" si="15"/>
        <v>1.2380671736375171</v>
      </c>
      <c r="J168" s="1294">
        <f t="shared" si="15"/>
        <v>1.1957128651336233</v>
      </c>
      <c r="K168" s="1294">
        <f t="shared" si="15"/>
        <v>1.2125086916742907</v>
      </c>
      <c r="L168" s="1294">
        <f t="shared" si="15"/>
        <v>1.2242249476518106</v>
      </c>
      <c r="M168" s="1294">
        <f t="shared" si="15"/>
        <v>1.2386048150322944</v>
      </c>
      <c r="N168" s="1294">
        <f t="shared" si="15"/>
        <v>1.338114186851211</v>
      </c>
      <c r="O168" s="1294">
        <f t="shared" si="15"/>
        <v>0.94395834522111255</v>
      </c>
      <c r="P168" s="1294">
        <f t="shared" si="15"/>
        <v>1.1212228214589839</v>
      </c>
      <c r="Q168" s="1294">
        <f t="shared" si="15"/>
        <v>1.1989854341736697</v>
      </c>
      <c r="V168" s="1256">
        <f>V162</f>
        <v>0.99897203521491429</v>
      </c>
      <c r="W168" s="1256">
        <f>W162</f>
        <v>1.0341261633919339</v>
      </c>
      <c r="X168" s="1256">
        <f>X162</f>
        <v>0.9074747474747471</v>
      </c>
    </row>
    <row r="171" spans="1:49">
      <c r="A171" s="1296"/>
      <c r="B171" s="3437" t="s">
        <v>497</v>
      </c>
      <c r="C171" s="3437"/>
      <c r="D171" s="3437"/>
      <c r="E171" s="3438" t="s">
        <v>7</v>
      </c>
      <c r="F171" s="3438"/>
      <c r="G171" s="3438"/>
    </row>
    <row r="172" spans="1:49">
      <c r="A172" s="1296"/>
      <c r="B172" s="1296">
        <v>2022</v>
      </c>
      <c r="C172" s="1297" t="s">
        <v>515</v>
      </c>
      <c r="D172" s="1297" t="s">
        <v>516</v>
      </c>
      <c r="E172" s="1297">
        <f>B172</f>
        <v>2022</v>
      </c>
      <c r="F172" s="1297" t="str">
        <f>C172</f>
        <v>2023F</v>
      </c>
      <c r="G172" s="1298" t="str">
        <f>D172</f>
        <v>2024F</v>
      </c>
      <c r="U172" s="1254"/>
      <c r="V172" s="1256"/>
      <c r="X172" s="1254"/>
      <c r="Z172" s="1256"/>
      <c r="AA172" s="1256"/>
      <c r="AB172" s="1254"/>
      <c r="AC172" s="1257"/>
      <c r="AD172" s="1256"/>
    </row>
    <row r="173" spans="1:49">
      <c r="A173" s="1299" t="s">
        <v>6</v>
      </c>
      <c r="B173" s="1220">
        <f ca="1">Rev_Year!I85</f>
        <v>2.6842633035270356</v>
      </c>
      <c r="C173" s="1300">
        <f ca="1">Rev_Year!J85</f>
        <v>2.0643152378127163</v>
      </c>
      <c r="D173" s="1300">
        <f ca="1">Rev_Year!K85</f>
        <v>2.3963812660062023</v>
      </c>
      <c r="E173" s="1300">
        <f>Rev_Year!I106</f>
        <v>1.1772374252738655</v>
      </c>
      <c r="F173" s="1300">
        <f ca="1">Rev_Year!J106</f>
        <v>1.5363280793928782</v>
      </c>
      <c r="G173" s="1220">
        <f ca="1">Rev_Year!K106</f>
        <v>1.9744048943702903</v>
      </c>
      <c r="U173" s="1254"/>
      <c r="V173" s="1256"/>
      <c r="X173" s="1254"/>
      <c r="Z173" s="1256"/>
      <c r="AA173" s="1256"/>
      <c r="AB173" s="1254"/>
      <c r="AC173" s="1257"/>
      <c r="AD173" s="1256"/>
    </row>
    <row r="174" spans="1:49">
      <c r="A174" s="1299" t="s">
        <v>31</v>
      </c>
      <c r="B174" s="1219">
        <f ca="1">Rev_Year!I85/Rev_Year!H85-1</f>
        <v>-9.4551124729756797E-2</v>
      </c>
      <c r="C174" s="1205">
        <f ca="1">Rev_Year!J85/Rev_Year!I85-1</f>
        <v>-0.23095650300018167</v>
      </c>
      <c r="D174" s="1205">
        <f ca="1">Rev_Year!K85/Rev_Year!J85-1</f>
        <v>0.1608601351726362</v>
      </c>
      <c r="E174" s="1205">
        <f>Rev_Year!I106/Rev_Year!H106-1</f>
        <v>-4.0479015057748757E-2</v>
      </c>
      <c r="F174" s="1205">
        <f ca="1">Rev_Year!J106/Rev_Year!I106-1</f>
        <v>0.30502823509495203</v>
      </c>
      <c r="G174" s="1219">
        <f ca="1">Rev_Year!K106/Rev_Year!J106-1</f>
        <v>0.28514535459804269</v>
      </c>
      <c r="U174" s="1254"/>
      <c r="V174" s="1256"/>
      <c r="X174" s="1254"/>
      <c r="Z174" s="1256"/>
      <c r="AA174" s="1256"/>
      <c r="AB174" s="1254"/>
      <c r="AC174" s="1257"/>
      <c r="AD174" s="1256"/>
    </row>
    <row r="175" spans="1:49" s="1256" customFormat="1">
      <c r="A175" s="1190" t="s">
        <v>4</v>
      </c>
      <c r="B175" s="1190">
        <f>Rev_Year!I84</f>
        <v>3474</v>
      </c>
      <c r="C175" s="1187">
        <f>Rev_Year!J84</f>
        <v>3268</v>
      </c>
      <c r="D175" s="1187">
        <f>Rev_Year!K84</f>
        <v>3047</v>
      </c>
      <c r="E175" s="1187">
        <f>Rev_Month!BI41</f>
        <v>1728</v>
      </c>
      <c r="F175" s="1187">
        <f>Rev_Month!BU41</f>
        <v>1698</v>
      </c>
      <c r="G175" s="1190">
        <f>Rev_Month!CG41</f>
        <v>1770</v>
      </c>
    </row>
    <row r="176" spans="1:49">
      <c r="A176" s="1299" t="s">
        <v>31</v>
      </c>
      <c r="B176" s="1219">
        <f>B175/(Rev_Month!AW10+Rev_Month!AW22)-1</f>
        <v>2.5796010919680854</v>
      </c>
      <c r="C176" s="1205">
        <f>C175/B175-1</f>
        <v>-5.9297639608520414E-2</v>
      </c>
      <c r="D176" s="1205">
        <f>D175/C175-1</f>
        <v>-6.7625458996327992E-2</v>
      </c>
      <c r="E176" s="1205">
        <f>E175/Rev_Year!H107-1</f>
        <v>-0.17948717948717952</v>
      </c>
      <c r="F176" s="1205">
        <f>F175/E175-1</f>
        <v>-1.736111111111116E-2</v>
      </c>
      <c r="G176" s="1219">
        <f>G175/F175-1</f>
        <v>4.2402826855123754E-2</v>
      </c>
      <c r="U176" s="1254"/>
      <c r="V176" s="1256"/>
      <c r="X176" s="1254"/>
      <c r="Z176" s="1256"/>
      <c r="AA176" s="1256"/>
      <c r="AB176" s="1254"/>
      <c r="AC176" s="1257"/>
      <c r="AD176" s="1256"/>
    </row>
    <row r="177" spans="1:24">
      <c r="A177" s="1301" t="s">
        <v>1403</v>
      </c>
      <c r="B177" s="1302">
        <f ca="1">Rev_Year!I99</f>
        <v>9.860997641226546E-2</v>
      </c>
      <c r="C177" s="1303">
        <f ca="1">Rev_Year!J99</f>
        <v>2.4997653028225125E-2</v>
      </c>
      <c r="D177" s="1303">
        <f ca="1">Rev_Year!K99</f>
        <v>4.9214513186483143E-2</v>
      </c>
      <c r="E177" s="1304">
        <f>Rev_Year!I125</f>
        <v>-0.10857925440491747</v>
      </c>
      <c r="F177" s="1304">
        <f ca="1">Rev_Year!J125</f>
        <v>-3.1233097601197655E-2</v>
      </c>
      <c r="G177" s="1305">
        <f ca="1">Rev_Year!K125</f>
        <v>2.5007340188092425E-3</v>
      </c>
      <c r="U177" s="1254"/>
      <c r="V177" s="1256"/>
      <c r="X177" s="1254"/>
    </row>
    <row r="178" spans="1:24">
      <c r="A178" s="1299"/>
      <c r="B178" s="1306"/>
      <c r="C178" s="1307"/>
      <c r="D178" s="1307"/>
      <c r="E178" s="1307"/>
      <c r="F178" s="1307"/>
      <c r="G178" s="1306"/>
    </row>
    <row r="181" spans="1:24">
      <c r="B181" s="1254" t="s">
        <v>1404</v>
      </c>
      <c r="C181" s="1255" t="s">
        <v>1405</v>
      </c>
      <c r="D181" s="1255" t="s">
        <v>1406</v>
      </c>
      <c r="E181" s="1255">
        <v>2021</v>
      </c>
      <c r="F181" s="1255" t="s">
        <v>226</v>
      </c>
      <c r="G181" s="1254" t="s">
        <v>515</v>
      </c>
      <c r="H181" s="1254" t="s">
        <v>516</v>
      </c>
      <c r="I181" s="1254" t="s">
        <v>495</v>
      </c>
      <c r="J181" s="1254" t="s">
        <v>2</v>
      </c>
    </row>
    <row r="182" spans="1:24">
      <c r="A182" s="1282" t="s">
        <v>1407</v>
      </c>
      <c r="B182" s="1256">
        <f>Rev_Year!E192</f>
        <v>4482.0231993790003</v>
      </c>
      <c r="C182" s="1274">
        <f>Rev_Year!F192</f>
        <v>6008.3488080699972</v>
      </c>
      <c r="D182" s="1274">
        <f>Rev_Year!G192</f>
        <v>7121.3625952399998</v>
      </c>
      <c r="E182" s="1274">
        <f>Rev_Year!H192</f>
        <v>7094.302021962998</v>
      </c>
      <c r="F182" s="1274">
        <f>Rev_Year!I192</f>
        <v>10221.467566597996</v>
      </c>
      <c r="G182" s="1256">
        <f>Rev_Year!J192</f>
        <v>2087.4460145259982</v>
      </c>
      <c r="H182" s="1256">
        <f>Rev_Year!K192</f>
        <v>4468.6229806810024</v>
      </c>
      <c r="I182" s="1256">
        <f ca="1">Rev_Year!L192</f>
        <v>5263.9950834085575</v>
      </c>
      <c r="J182" s="1256">
        <f ca="1">Rev_Year!M192</f>
        <v>6099.4368968141589</v>
      </c>
    </row>
    <row r="183" spans="1:24">
      <c r="A183" s="1282" t="s">
        <v>7</v>
      </c>
      <c r="B183" s="1256">
        <f>Rev_Year!E124</f>
        <v>-555.57734015100004</v>
      </c>
      <c r="C183" s="1274">
        <f>Rev_Year!F124</f>
        <v>-1028.17694704</v>
      </c>
      <c r="D183" s="1274">
        <f>Rev_Year!G124</f>
        <v>-1839.626637822</v>
      </c>
      <c r="E183" s="1274">
        <f>Rev_Year!H124</f>
        <v>-1012.39304963</v>
      </c>
      <c r="F183" s="1274">
        <f>Rev_Year!I124</f>
        <v>-2940.4532178049999</v>
      </c>
      <c r="G183" s="1256">
        <f ca="1">Rev_Year!J124</f>
        <v>-986.36495939999895</v>
      </c>
      <c r="H183" s="1256">
        <f ca="1">Rev_Year!K124</f>
        <v>102.73869860599933</v>
      </c>
      <c r="I183" s="1256">
        <f ca="1">Rev_Year!L124</f>
        <v>720.5086663896243</v>
      </c>
      <c r="J183" s="1256">
        <f ca="1">Rev_Year!M124</f>
        <v>1666.8605919733013</v>
      </c>
    </row>
    <row r="184" spans="1:24">
      <c r="A184" s="1282" t="s">
        <v>49</v>
      </c>
      <c r="B184" s="1275">
        <f t="shared" ref="B184:J184" si="16">B186-(B182+B183)</f>
        <v>349.13426168120031</v>
      </c>
      <c r="C184" s="1276">
        <f t="shared" si="16"/>
        <v>974.93724858299902</v>
      </c>
      <c r="D184" s="1276">
        <f t="shared" si="16"/>
        <v>240.81641789920013</v>
      </c>
      <c r="E184" s="1276">
        <f t="shared" si="16"/>
        <v>223.01364469500004</v>
      </c>
      <c r="F184" s="1276">
        <f t="shared" si="16"/>
        <v>-3179.2999238539942</v>
      </c>
      <c r="G184" s="1275">
        <f t="shared" ca="1" si="16"/>
        <v>-933.2519001870013</v>
      </c>
      <c r="H184" s="1275">
        <f t="shared" ca="1" si="16"/>
        <v>-838.07345056699887</v>
      </c>
      <c r="I184" s="1275">
        <f t="shared" ca="1" si="16"/>
        <v>812.55249913464377</v>
      </c>
      <c r="J184" s="1275">
        <f t="shared" ca="1" si="16"/>
        <v>920.60951657909027</v>
      </c>
    </row>
    <row r="185" spans="1:24">
      <c r="A185" s="1282" t="s">
        <v>1408</v>
      </c>
      <c r="B185" s="1262">
        <f>Rev_Year!E125</f>
        <v>-0.12843300149625</v>
      </c>
      <c r="C185" s="1259">
        <f>Rev_Year!F125</f>
        <v>-9.5837864996698885E-2</v>
      </c>
      <c r="D185" s="1259">
        <f>Rev_Year!G125</f>
        <v>-8.6468872118451057E-2</v>
      </c>
      <c r="E185" s="1259">
        <f>Rev_Year!H125</f>
        <v>-3.595480040118787E-2</v>
      </c>
      <c r="F185" s="1259">
        <f>Rev_Year!I125</f>
        <v>-0.10857925440491747</v>
      </c>
      <c r="G185" s="1262">
        <f ca="1">Rev_Year!J125</f>
        <v>-3.1233097601197655E-2</v>
      </c>
      <c r="H185" s="1262">
        <f ca="1">Rev_Year!K125</f>
        <v>2.5007340188092425E-3</v>
      </c>
      <c r="I185" s="1268">
        <f ca="1">Rev_Year!L125</f>
        <v>1.512188431466545E-2</v>
      </c>
      <c r="J185" s="1268">
        <f ca="1">Rev_Year!M125</f>
        <v>2.4386839277590971E-2</v>
      </c>
      <c r="X185" s="1256">
        <v>3795</v>
      </c>
    </row>
    <row r="186" spans="1:24">
      <c r="A186" s="1282" t="s">
        <v>50</v>
      </c>
      <c r="B186" s="1256">
        <f>Rev_Year!E197</f>
        <v>4275.5801209092006</v>
      </c>
      <c r="C186" s="1274">
        <f>Rev_Year!F197</f>
        <v>5955.1091096129967</v>
      </c>
      <c r="D186" s="1274">
        <f>Rev_Year!G197</f>
        <v>5522.5523753172001</v>
      </c>
      <c r="E186" s="1274">
        <f>Rev_Year!H197</f>
        <v>6304.9226170279981</v>
      </c>
      <c r="F186" s="1274">
        <f>Rev_Year!I197</f>
        <v>4101.7144249390021</v>
      </c>
      <c r="G186" s="1256">
        <f ca="1">Rev_Year!J197</f>
        <v>167.82915493899793</v>
      </c>
      <c r="H186" s="1256">
        <f ca="1">Rev_Year!K197</f>
        <v>3733.2882287200027</v>
      </c>
      <c r="I186" s="1256">
        <f ca="1">Rev_Year!L197</f>
        <v>6797.0562489328258</v>
      </c>
      <c r="J186" s="1256">
        <f ca="1">Rev_Year!M197</f>
        <v>8686.9070053665509</v>
      </c>
    </row>
    <row r="187" spans="1:24">
      <c r="A187" s="1253" t="s">
        <v>4</v>
      </c>
      <c r="B187" s="1254">
        <f>'biểu đồ'!F77</f>
        <v>2014</v>
      </c>
      <c r="C187" s="1255">
        <f>'biểu đồ'!G77</f>
        <v>2340</v>
      </c>
      <c r="D187" s="1255">
        <f>'biểu đồ'!H77</f>
        <v>4059</v>
      </c>
      <c r="E187" s="1255">
        <f>'biểu đồ'!I77</f>
        <v>5068</v>
      </c>
      <c r="F187" s="1255">
        <f>'biểu đồ'!J77</f>
        <v>5735</v>
      </c>
      <c r="G187" s="1256">
        <f>'biểu đồ'!K77</f>
        <v>5478</v>
      </c>
      <c r="H187" s="1254">
        <f>'biểu đồ'!L77</f>
        <v>5195</v>
      </c>
      <c r="I187" s="1254">
        <f>'biểu đồ'!M77</f>
        <v>5971</v>
      </c>
      <c r="J187" s="1254">
        <f>'biểu đồ'!N77</f>
        <v>0</v>
      </c>
    </row>
    <row r="188" spans="1:24">
      <c r="B188" s="1283">
        <f t="shared" ref="B188:J188" si="17">B186/B187</f>
        <v>2.1229295535795436</v>
      </c>
      <c r="C188" s="1284">
        <f t="shared" si="17"/>
        <v>2.5449184229115369</v>
      </c>
      <c r="D188" s="1284">
        <f t="shared" si="17"/>
        <v>1.3605696908886917</v>
      </c>
      <c r="E188" s="1284">
        <f t="shared" si="17"/>
        <v>1.2440652361933697</v>
      </c>
      <c r="F188" s="1284">
        <f t="shared" si="17"/>
        <v>0.71520739754821305</v>
      </c>
      <c r="G188" s="1283">
        <f t="shared" ca="1" si="17"/>
        <v>3.0636939565351941E-2</v>
      </c>
      <c r="H188" s="1283">
        <f t="shared" ca="1" si="17"/>
        <v>0.71863103536477435</v>
      </c>
      <c r="I188" s="1283">
        <f t="shared" ca="1" si="17"/>
        <v>1.1383447075754187</v>
      </c>
      <c r="J188" s="1283" t="e">
        <f t="shared" ca="1" si="17"/>
        <v>#DIV/0!</v>
      </c>
    </row>
    <row r="189" spans="1:24">
      <c r="C189" s="1308">
        <f>Valuation!AH118</f>
        <v>16.69021981807229</v>
      </c>
    </row>
    <row r="190" spans="1:24">
      <c r="S190" s="1282">
        <v>0.06</v>
      </c>
      <c r="X190" s="1256">
        <v>5.8999999999999997E-2</v>
      </c>
    </row>
    <row r="192" spans="1:24">
      <c r="B192" s="1254" t="str">
        <f t="shared" ref="B192:J192" si="18">B181</f>
        <v>2018E</v>
      </c>
      <c r="C192" s="1255" t="str">
        <f t="shared" si="18"/>
        <v>2019E</v>
      </c>
      <c r="D192" s="1255" t="str">
        <f t="shared" si="18"/>
        <v>2020E</v>
      </c>
      <c r="E192" s="1255">
        <f t="shared" si="18"/>
        <v>2021</v>
      </c>
      <c r="F192" s="1255" t="str">
        <f t="shared" si="18"/>
        <v>2022E</v>
      </c>
      <c r="G192" s="1254" t="str">
        <f t="shared" si="18"/>
        <v>2023F</v>
      </c>
      <c r="H192" s="1254" t="str">
        <f t="shared" si="18"/>
        <v>2024F</v>
      </c>
      <c r="I192" s="1254" t="str">
        <f t="shared" si="18"/>
        <v>2025F</v>
      </c>
      <c r="J192" s="1254" t="str">
        <f t="shared" si="18"/>
        <v>2026F</v>
      </c>
    </row>
    <row r="193" spans="1:14">
      <c r="A193" s="1282" t="s">
        <v>1409</v>
      </c>
      <c r="B193" s="1256">
        <f t="shared" ref="B193:J193" si="19">B183</f>
        <v>-555.57734015100004</v>
      </c>
      <c r="C193" s="1274">
        <f t="shared" si="19"/>
        <v>-1028.17694704</v>
      </c>
      <c r="D193" s="1274">
        <f t="shared" si="19"/>
        <v>-1839.626637822</v>
      </c>
      <c r="E193" s="1274">
        <f t="shared" si="19"/>
        <v>-1012.39304963</v>
      </c>
      <c r="F193" s="1274">
        <f t="shared" si="19"/>
        <v>-2940.4532178049999</v>
      </c>
      <c r="G193" s="1256">
        <f t="shared" ca="1" si="19"/>
        <v>-986.36495939999895</v>
      </c>
      <c r="H193" s="1256">
        <f t="shared" ca="1" si="19"/>
        <v>102.73869860599933</v>
      </c>
      <c r="I193" s="1256">
        <f t="shared" ca="1" si="19"/>
        <v>720.5086663896243</v>
      </c>
      <c r="J193" s="1256">
        <f t="shared" ca="1" si="19"/>
        <v>1666.8605919733013</v>
      </c>
    </row>
    <row r="194" spans="1:14">
      <c r="A194" s="1282" t="s">
        <v>1410</v>
      </c>
      <c r="B194" s="1282">
        <f t="shared" ref="B194:J194" si="20">B185</f>
        <v>-0.12843300149625</v>
      </c>
      <c r="C194" s="1287">
        <f t="shared" si="20"/>
        <v>-9.5837864996698885E-2</v>
      </c>
      <c r="D194" s="1287">
        <f t="shared" si="20"/>
        <v>-8.6468872118451057E-2</v>
      </c>
      <c r="E194" s="1287">
        <f t="shared" si="20"/>
        <v>-3.595480040118787E-2</v>
      </c>
      <c r="F194" s="1287">
        <f t="shared" si="20"/>
        <v>-0.10857925440491747</v>
      </c>
      <c r="G194" s="1282">
        <f t="shared" ca="1" si="20"/>
        <v>-3.1233097601197655E-2</v>
      </c>
      <c r="H194" s="1280">
        <f t="shared" ca="1" si="20"/>
        <v>2.5007340188092425E-3</v>
      </c>
      <c r="I194" s="1282">
        <f t="shared" ca="1" si="20"/>
        <v>1.512188431466545E-2</v>
      </c>
      <c r="J194" s="1282">
        <f t="shared" ca="1" si="20"/>
        <v>2.4386839277590971E-2</v>
      </c>
    </row>
    <row r="195" spans="1:14">
      <c r="B195" s="3433" t="s">
        <v>311</v>
      </c>
      <c r="C195" s="3433"/>
      <c r="E195" s="3436" t="s">
        <v>501</v>
      </c>
      <c r="F195" s="3436"/>
    </row>
    <row r="196" spans="1:14">
      <c r="B196" s="1254" t="s">
        <v>1411</v>
      </c>
      <c r="C196" s="1255" t="s">
        <v>1412</v>
      </c>
      <c r="D196" s="1255" t="s">
        <v>31</v>
      </c>
      <c r="E196" s="1255" t="str">
        <f>B196</f>
        <v>Q1/22</v>
      </c>
      <c r="F196" s="1255" t="str">
        <f>C196</f>
        <v>Q1/23</v>
      </c>
    </row>
    <row r="197" spans="1:14">
      <c r="A197" s="1253" t="s">
        <v>1289</v>
      </c>
      <c r="B197" s="1256">
        <f>Rev_Year!AK82</f>
        <v>29818.095463204831</v>
      </c>
      <c r="C197" s="1274">
        <f ca="1">Rev_Year!AO82</f>
        <v>19945.61</v>
      </c>
      <c r="D197" s="1259">
        <f ca="1">C197/B197-1</f>
        <v>-0.33109041036465114</v>
      </c>
      <c r="E197" s="1259">
        <f>Rev_Year!AK99</f>
        <v>6.9991667787158152E-2</v>
      </c>
      <c r="F197" s="1259">
        <f ca="1">Rev_Year!AO99</f>
        <v>2.5092371304837876E-2</v>
      </c>
      <c r="H197" s="1254">
        <v>706.02034760000004</v>
      </c>
      <c r="I197" s="1254">
        <v>427.11200000000002</v>
      </c>
    </row>
    <row r="198" spans="1:14">
      <c r="A198" s="1253" t="s">
        <v>1291</v>
      </c>
      <c r="B198" s="1256">
        <v>5646</v>
      </c>
      <c r="C198" s="1274">
        <f>4513.0595</f>
        <v>4513.0595000000003</v>
      </c>
      <c r="D198" s="1259">
        <f>C198/B198-1</f>
        <v>-0.20066250442791356</v>
      </c>
      <c r="E198" s="1259">
        <f>H201</f>
        <v>2.8354803152674465E-2</v>
      </c>
      <c r="F198" s="1259">
        <f>I201</f>
        <v>-9.0733623166279909E-3</v>
      </c>
      <c r="H198" s="1254">
        <v>-406.500629</v>
      </c>
      <c r="I198" s="1254">
        <v>-357.00662399999999</v>
      </c>
      <c r="J198" s="1254">
        <v>-357.00662399999999</v>
      </c>
    </row>
    <row r="199" spans="1:14">
      <c r="A199" s="1253" t="s">
        <v>1295</v>
      </c>
      <c r="B199" s="1256">
        <v>7008.7001923730004</v>
      </c>
      <c r="C199" s="1274">
        <v>3959.9272131719999</v>
      </c>
      <c r="D199" s="1259">
        <f>C199/B199-1</f>
        <v>-0.43499834427483897</v>
      </c>
      <c r="H199" s="1254">
        <v>-139.42850000000001</v>
      </c>
      <c r="I199" s="1254">
        <v>-111.054</v>
      </c>
      <c r="J199" s="1254">
        <v>-111.054</v>
      </c>
    </row>
    <row r="200" spans="1:14">
      <c r="A200" s="1253" t="s">
        <v>1413</v>
      </c>
      <c r="B200" s="1256">
        <v>2234.9339661150002</v>
      </c>
      <c r="C200" s="1274">
        <v>1849.928186717</v>
      </c>
      <c r="D200" s="1259">
        <f>C200/B200-1</f>
        <v>-0.17226718338674596</v>
      </c>
      <c r="H200" s="1254">
        <f>SUM(H197:H199)</f>
        <v>160.09121860000002</v>
      </c>
      <c r="I200" s="1254">
        <f>SUM(I197:I199)</f>
        <v>-40.948623999999967</v>
      </c>
    </row>
    <row r="201" spans="1:14">
      <c r="H201" s="1283">
        <f>H200/B198</f>
        <v>2.8354803152674465E-2</v>
      </c>
      <c r="I201" s="1283">
        <f>I200/C198</f>
        <v>-9.0733623166279909E-3</v>
      </c>
    </row>
    <row r="202" spans="1:14">
      <c r="B202" s="1275">
        <f>SUM(B197:B200)</f>
        <v>44707.72962169283</v>
      </c>
      <c r="C202" s="1276">
        <f ca="1">SUM(C197:C200)</f>
        <v>30268.524899888998</v>
      </c>
      <c r="D202" s="1259">
        <f ca="1">C202/B202-1</f>
        <v>-0.32296886565220984</v>
      </c>
    </row>
    <row r="205" spans="1:14">
      <c r="B205" s="3433" t="s">
        <v>1414</v>
      </c>
      <c r="C205" s="3433"/>
      <c r="D205" s="3433"/>
      <c r="E205" s="3433"/>
    </row>
    <row r="206" spans="1:14">
      <c r="A206" s="1253" t="s">
        <v>1415</v>
      </c>
      <c r="B206" s="1254" t="s">
        <v>497</v>
      </c>
      <c r="C206" s="1255" t="s">
        <v>1416</v>
      </c>
      <c r="D206" s="1255" t="s">
        <v>1417</v>
      </c>
      <c r="E206" s="1255" t="s">
        <v>1418</v>
      </c>
      <c r="F206" s="1255" t="str">
        <f>B206</f>
        <v>TGDĐ+ĐMX</v>
      </c>
      <c r="G206" s="1254" t="str">
        <f>C206</f>
        <v>BHX + CT con</v>
      </c>
      <c r="H206" s="1254" t="str">
        <f>D206</f>
        <v>TNTC</v>
      </c>
      <c r="I206" s="1254" t="str">
        <f>E206</f>
        <v>lỗ cty con</v>
      </c>
      <c r="L206" s="1254" t="e" vm="2">
        <v>#VALUE!</v>
      </c>
      <c r="M206" s="1309" cm="1">
        <f t="array" aca="1" ref="M206" ca="1">_FV(L206,"Shares outstanding",TRUE)/10^9</f>
        <v>1.4684569999999999</v>
      </c>
      <c r="N206" s="1309">
        <f ca="1">M206</f>
        <v>1.4684569999999999</v>
      </c>
    </row>
    <row r="207" spans="1:14">
      <c r="A207" s="1253" t="s">
        <v>1419</v>
      </c>
      <c r="B207" s="1256">
        <f ca="1">Rev_Year!AQ82</f>
        <v>20644.035045759207</v>
      </c>
      <c r="C207" s="1274">
        <f ca="1">Rev_Year!AQ102</f>
        <v>8632.5660000000025</v>
      </c>
      <c r="D207" s="1274">
        <f>Rev_Year!AQ54</f>
        <v>619.11561073500002</v>
      </c>
      <c r="E207" s="1274">
        <f>Rev_Year!AQ52</f>
        <v>-83.856799999999978</v>
      </c>
      <c r="F207" s="1274">
        <f ca="1">Rev_Year!AR82</f>
        <v>21141.636000000002</v>
      </c>
      <c r="G207" s="1256">
        <f ca="1">Rev_Year!AR102</f>
        <v>9258.2540000000008</v>
      </c>
      <c r="H207" s="1256">
        <f>Rev_Year!AR54</f>
        <v>603.39449175300001</v>
      </c>
      <c r="I207" s="1256">
        <f>Rev_Year!AR52</f>
        <v>-108.52420000000001</v>
      </c>
      <c r="L207" s="1254" t="s">
        <v>50</v>
      </c>
      <c r="M207" s="1254" t="s">
        <v>97</v>
      </c>
      <c r="N207" s="1254" t="s">
        <v>98</v>
      </c>
    </row>
    <row r="208" spans="1:14">
      <c r="A208" s="1253" t="s">
        <v>1420</v>
      </c>
      <c r="B208" s="1268">
        <f ca="1">Rev_Year!AP99</f>
        <v>1.2541239863235139E-2</v>
      </c>
      <c r="C208" s="1259">
        <f ca="1">Rev_Year!AP125+1%</f>
        <v>-3.7748580705435575E-2</v>
      </c>
      <c r="D208" s="1259">
        <f>80%*0.8</f>
        <v>0.64000000000000012</v>
      </c>
      <c r="F208" s="1279">
        <f ca="1">B208</f>
        <v>1.2541239863235139E-2</v>
      </c>
      <c r="G208" s="1262">
        <f ca="1">C208</f>
        <v>-3.7748580705435575E-2</v>
      </c>
      <c r="H208" s="1282">
        <f>D208</f>
        <v>0.64000000000000012</v>
      </c>
      <c r="L208" s="1253" t="s">
        <v>1421</v>
      </c>
      <c r="M208" s="1256">
        <f ca="1">B208*B207+C208*C207+D208*D207+E207</f>
        <v>245.41187177829948</v>
      </c>
      <c r="N208" s="1256">
        <f ca="1">F208*$F$207+G208*$G$207+H208*$H$207+$I$207</f>
        <v>193.30465458870543</v>
      </c>
    </row>
    <row r="209" spans="1:21">
      <c r="A209" s="1253" t="s">
        <v>1422</v>
      </c>
      <c r="B209" s="1310">
        <f ca="1">Rev_Year!AQ99</f>
        <v>1.6954626688868785E-2</v>
      </c>
      <c r="C209" s="1259">
        <f ca="1">Rev_Year!AQ125</f>
        <v>-2.3359540444753045E-2</v>
      </c>
      <c r="D209" s="1287">
        <v>0.8</v>
      </c>
      <c r="F209" s="1311">
        <f ca="1">Rev_Year!AR99</f>
        <v>2.5489372307675916E-2</v>
      </c>
      <c r="G209" s="1262">
        <f ca="1">Rev_Year!AR125</f>
        <v>-1.2539079446621353E-2</v>
      </c>
      <c r="H209" s="1282">
        <f>D209</f>
        <v>0.8</v>
      </c>
      <c r="L209" s="1253" t="s">
        <v>1423</v>
      </c>
      <c r="M209" s="1256">
        <f ca="1">B209*B207+C209*C207+D209*D207+E207</f>
        <v>559.7948215217715</v>
      </c>
      <c r="N209" s="1256">
        <f ca="1">F209*$F$207+G209*$G$207+H209*$H$207+$I$207</f>
        <v>796.98844215676445</v>
      </c>
    </row>
    <row r="210" spans="1:21">
      <c r="L210" s="1254" t="s">
        <v>356</v>
      </c>
      <c r="M210" s="1254" t="str">
        <f>M207</f>
        <v>Q3/2023</v>
      </c>
      <c r="N210" s="1254" t="str">
        <f>N207</f>
        <v>Q4/2023</v>
      </c>
    </row>
    <row r="211" spans="1:21">
      <c r="L211" s="1254" t="str">
        <f>L208</f>
        <v>Senario 1</v>
      </c>
      <c r="M211" s="1256">
        <f ca="1">M208/$M$206</f>
        <v>167.12227309229993</v>
      </c>
      <c r="N211" s="1256">
        <f ca="1">N208/$M$206</f>
        <v>131.63794008861373</v>
      </c>
    </row>
    <row r="212" spans="1:21">
      <c r="L212" s="1254" t="str">
        <f>L209</f>
        <v>Senario 2</v>
      </c>
      <c r="M212" s="1256">
        <f ca="1">M209/$M$206</f>
        <v>381.21294768711073</v>
      </c>
      <c r="N212" s="1256">
        <f ca="1">N209/$M$206</f>
        <v>542.73869929917214</v>
      </c>
    </row>
    <row r="216" spans="1:21">
      <c r="B216" s="1254" t="s">
        <v>78</v>
      </c>
      <c r="C216" s="1255" t="s">
        <v>79</v>
      </c>
      <c r="D216" s="1255" t="s">
        <v>80</v>
      </c>
      <c r="E216" s="1255" t="s">
        <v>81</v>
      </c>
      <c r="F216" s="1255" t="s">
        <v>82</v>
      </c>
      <c r="G216" s="1254" t="s">
        <v>83</v>
      </c>
      <c r="H216" s="1254" t="s">
        <v>84</v>
      </c>
      <c r="I216" s="1254" t="s">
        <v>85</v>
      </c>
      <c r="J216" s="1254" t="s">
        <v>86</v>
      </c>
      <c r="K216" s="1254" t="s">
        <v>87</v>
      </c>
      <c r="L216" s="1254" t="s">
        <v>88</v>
      </c>
      <c r="M216" s="1254" t="s">
        <v>89</v>
      </c>
      <c r="N216" s="1254" t="s">
        <v>90</v>
      </c>
      <c r="O216" s="1254" t="s">
        <v>91</v>
      </c>
      <c r="P216" s="1254" t="s">
        <v>92</v>
      </c>
      <c r="Q216" s="1254" t="s">
        <v>93</v>
      </c>
      <c r="R216" s="1254" t="s">
        <v>94</v>
      </c>
      <c r="S216" s="1254" t="s">
        <v>95</v>
      </c>
      <c r="T216" s="1254" t="s">
        <v>96</v>
      </c>
      <c r="U216" s="1254" t="s">
        <v>97</v>
      </c>
    </row>
    <row r="217" spans="1:21">
      <c r="A217" s="1253" t="s">
        <v>1091</v>
      </c>
      <c r="B217" s="1256">
        <v>2501.247309584</v>
      </c>
      <c r="C217" s="1274">
        <v>2326.7097637229999</v>
      </c>
      <c r="D217" s="1274">
        <v>2066.6316594139998</v>
      </c>
      <c r="E217" s="1274">
        <v>2243.3500863039999</v>
      </c>
      <c r="F217" s="1274">
        <v>3242.9567188629999</v>
      </c>
      <c r="G217" s="1256">
        <v>2781.873048512</v>
      </c>
      <c r="H217" s="1256">
        <v>2107.439898569</v>
      </c>
      <c r="I217" s="1254">
        <v>1764.21</v>
      </c>
      <c r="J217" s="1256">
        <v>1441.1448716370001</v>
      </c>
      <c r="K217" s="1256">
        <v>2020.4323034290001</v>
      </c>
      <c r="L217" s="1256">
        <v>1838.86044032</v>
      </c>
      <c r="M217" s="1254">
        <v>1749.5</v>
      </c>
      <c r="N217" s="1254">
        <v>3332.9</v>
      </c>
      <c r="O217" s="1256">
        <v>3299.4555513079999</v>
      </c>
      <c r="P217" s="1254">
        <v>3075.54</v>
      </c>
      <c r="Q217" s="1254">
        <v>3224.3146710000001</v>
      </c>
      <c r="R217" s="1254">
        <v>3654.9865</v>
      </c>
      <c r="S217" s="1256">
        <v>3499.9363977329999</v>
      </c>
      <c r="T217" s="1256">
        <v>3035.9442248189998</v>
      </c>
      <c r="U217" s="1256">
        <v>3903.201904477</v>
      </c>
    </row>
    <row r="218" spans="1:21" s="1256" customFormat="1">
      <c r="A218" s="1256" t="s">
        <v>1086</v>
      </c>
      <c r="B218" s="1256">
        <v>4.5365300419999999</v>
      </c>
      <c r="C218" s="1274">
        <v>7.7112938990000002</v>
      </c>
      <c r="D218" s="1274">
        <v>8.5240085939999997</v>
      </c>
      <c r="E218" s="1274">
        <v>8.4207786440000003</v>
      </c>
      <c r="F218" s="1274">
        <v>11.162601645000001</v>
      </c>
      <c r="G218" s="1256">
        <v>9.288371562</v>
      </c>
      <c r="H218" s="1256">
        <v>5.3483769490000004</v>
      </c>
      <c r="I218" s="1256">
        <v>5.0060000000000002</v>
      </c>
      <c r="J218" s="1256">
        <v>3.0345736310000002</v>
      </c>
      <c r="K218" s="1256">
        <v>14.350595161999999</v>
      </c>
      <c r="L218" s="1256">
        <v>16.604476227999999</v>
      </c>
      <c r="M218" s="1256">
        <v>127.38</v>
      </c>
      <c r="N218" s="1256">
        <v>25.979669999999999</v>
      </c>
      <c r="O218" s="1256">
        <v>63.53800141</v>
      </c>
      <c r="P218" s="1256">
        <v>36.628999999999998</v>
      </c>
      <c r="Q218" s="1256">
        <v>37.3232</v>
      </c>
      <c r="R218" s="1256">
        <v>6.883985</v>
      </c>
      <c r="S218" s="1256">
        <v>50.13792977</v>
      </c>
      <c r="T218" s="1256">
        <v>11.294831204999999</v>
      </c>
      <c r="U218" s="1256">
        <v>12.928711111</v>
      </c>
    </row>
    <row r="219" spans="1:21">
      <c r="A219" s="1253" t="s">
        <v>1424</v>
      </c>
      <c r="B219" s="1254">
        <v>-3703.0028423540002</v>
      </c>
      <c r="C219" s="1274">
        <v>-3538.3052984559999</v>
      </c>
      <c r="D219" s="1274">
        <v>-3441.2237659379998</v>
      </c>
      <c r="E219" s="1274">
        <v>-3869.5431530740002</v>
      </c>
      <c r="F219" s="1274">
        <v>-3695.7638217690001</v>
      </c>
      <c r="G219" s="1256">
        <v>-3529.4356469899999</v>
      </c>
      <c r="H219" s="1256">
        <v>-2741.2027340589998</v>
      </c>
      <c r="I219" s="1256">
        <v>-2955.9450626980001</v>
      </c>
      <c r="J219" s="1256">
        <v>-3398.5395981040001</v>
      </c>
      <c r="K219" s="1256">
        <v>-4079.4979899069999</v>
      </c>
      <c r="L219" s="1256">
        <v>-3754.3734049730001</v>
      </c>
      <c r="M219" s="1256">
        <v>-4298.6014078790004</v>
      </c>
      <c r="N219" s="1256">
        <v>-7210.9753437230002</v>
      </c>
      <c r="O219" s="1256">
        <v>-6552.8789208930002</v>
      </c>
      <c r="P219" s="1256">
        <v>-5269.9997376490001</v>
      </c>
      <c r="Q219" s="1256">
        <v>-6512.5341686060001</v>
      </c>
      <c r="R219" s="1256">
        <v>-7127.2105502650002</v>
      </c>
      <c r="S219" s="1256">
        <v>-6566.4879262069999</v>
      </c>
      <c r="T219" s="1256">
        <v>-6089.4804572909998</v>
      </c>
      <c r="U219" s="1256">
        <v>-6864.6453293249997</v>
      </c>
    </row>
    <row r="221" spans="1:21">
      <c r="B221" s="1254" t="str">
        <f>B216</f>
        <v>Q4/2018</v>
      </c>
      <c r="C221" s="1255" t="str">
        <f t="shared" ref="C221:U221" si="21">C216</f>
        <v>Q1/2019</v>
      </c>
      <c r="D221" s="1255" t="str">
        <f t="shared" si="21"/>
        <v>Q2/2019</v>
      </c>
      <c r="E221" s="1255" t="str">
        <f t="shared" si="21"/>
        <v>Q3/2019</v>
      </c>
      <c r="F221" s="1255" t="str">
        <f t="shared" si="21"/>
        <v>Q4/2019</v>
      </c>
      <c r="G221" s="1254" t="str">
        <f t="shared" si="21"/>
        <v>Q1/2020</v>
      </c>
      <c r="H221" s="1254" t="str">
        <f t="shared" si="21"/>
        <v>Q2/2020</v>
      </c>
      <c r="I221" s="1254" t="str">
        <f t="shared" si="21"/>
        <v>Q3/2020</v>
      </c>
      <c r="J221" s="1254" t="str">
        <f t="shared" si="21"/>
        <v>Q4/2020</v>
      </c>
      <c r="K221" s="1254" t="str">
        <f t="shared" si="21"/>
        <v>Q1/2021</v>
      </c>
      <c r="L221" s="1254" t="str">
        <f t="shared" si="21"/>
        <v>Q2/2021</v>
      </c>
      <c r="M221" s="1254" t="str">
        <f t="shared" si="21"/>
        <v>Q3/2021</v>
      </c>
      <c r="N221" s="1254" t="str">
        <f t="shared" si="21"/>
        <v>Q4/2021</v>
      </c>
      <c r="O221" s="1254" t="str">
        <f t="shared" si="21"/>
        <v>Q1/2022</v>
      </c>
      <c r="P221" s="1254" t="str">
        <f t="shared" si="21"/>
        <v>Q2/2022</v>
      </c>
      <c r="Q221" s="1254" t="str">
        <f t="shared" si="21"/>
        <v>Q3/2022</v>
      </c>
      <c r="R221" s="1254" t="str">
        <f t="shared" si="21"/>
        <v>Q4/2022</v>
      </c>
      <c r="S221" s="1254" t="str">
        <f t="shared" si="21"/>
        <v>Q1/2023</v>
      </c>
      <c r="T221" s="1254" t="str">
        <f t="shared" si="21"/>
        <v>Q2/2023</v>
      </c>
      <c r="U221" s="1254" t="str">
        <f t="shared" si="21"/>
        <v>Q3/2023</v>
      </c>
    </row>
    <row r="222" spans="1:21">
      <c r="A222" s="1253" t="s">
        <v>1425</v>
      </c>
      <c r="B222" s="1256" t="e">
        <f>-(B218+B217)/SUM(#REF!)*365</f>
        <v>#REF!</v>
      </c>
      <c r="C222" s="1274" t="e">
        <f>-(C218+C217)/SUM(#REF!)*365</f>
        <v>#REF!</v>
      </c>
      <c r="D222" s="1274">
        <f t="shared" ref="D222:U222" si="22">-(D218+D217)/SUM(A219:D219)*365</f>
        <v>70.903773134949517</v>
      </c>
      <c r="E222" s="1274">
        <f t="shared" si="22"/>
        <v>56.479667836187843</v>
      </c>
      <c r="F222" s="1274">
        <f t="shared" si="22"/>
        <v>81.661529135238553</v>
      </c>
      <c r="G222" s="1256">
        <f t="shared" si="22"/>
        <v>70.086425019811344</v>
      </c>
      <c r="H222" s="1256">
        <f t="shared" si="22"/>
        <v>55.736539913094575</v>
      </c>
      <c r="I222" s="1256">
        <f t="shared" si="22"/>
        <v>49.972642487580934</v>
      </c>
      <c r="J222" s="1256">
        <f t="shared" si="22"/>
        <v>41.752107743857437</v>
      </c>
      <c r="K222" s="1256">
        <f t="shared" si="22"/>
        <v>56.370801343285464</v>
      </c>
      <c r="L222" s="1256">
        <f t="shared" si="22"/>
        <v>47.732428752293977</v>
      </c>
      <c r="M222" s="1256">
        <f t="shared" si="22"/>
        <v>44.109242998346566</v>
      </c>
      <c r="N222" s="1256">
        <f t="shared" si="22"/>
        <v>63.38017246283836</v>
      </c>
      <c r="O222" s="1256">
        <f t="shared" si="22"/>
        <v>56.263568018223175</v>
      </c>
      <c r="P222" s="1256">
        <f t="shared" si="22"/>
        <v>48.685046859926231</v>
      </c>
      <c r="Q222" s="1256">
        <f t="shared" si="22"/>
        <v>46.601414452492058</v>
      </c>
      <c r="R222" s="1256">
        <f t="shared" si="22"/>
        <v>52.491948972179969</v>
      </c>
      <c r="S222" s="1256">
        <f t="shared" si="22"/>
        <v>50.862196186322187</v>
      </c>
      <c r="T222" s="1256">
        <f t="shared" si="22"/>
        <v>42.297474539625902</v>
      </c>
      <c r="U222" s="1256">
        <f t="shared" si="22"/>
        <v>53.639939252735829</v>
      </c>
    </row>
    <row r="223" spans="1:21">
      <c r="A223" s="1253" t="s">
        <v>497</v>
      </c>
      <c r="H223" s="1256">
        <f>Rev_Year!AD218</f>
        <v>0</v>
      </c>
      <c r="I223" s="1256">
        <f>Rev_Year!AE218</f>
        <v>0</v>
      </c>
      <c r="J223" s="1256">
        <f>Rev_Year!AF218</f>
        <v>87.84502325402147</v>
      </c>
      <c r="K223" s="1256">
        <f>Rev_Year!AG218</f>
        <v>108.97745441480599</v>
      </c>
      <c r="L223" s="1256">
        <f>Rev_Year!AH218</f>
        <v>99.991198732998399</v>
      </c>
      <c r="M223" s="1256">
        <f>Rev_Year!AI218</f>
        <v>102.01973205650452</v>
      </c>
      <c r="N223" s="1256">
        <f>Rev_Year!AJ218</f>
        <v>120.98819077279971</v>
      </c>
      <c r="O223" s="1256">
        <f>Rev_Year!AK218</f>
        <v>164.32301344034005</v>
      </c>
      <c r="P223" s="1256">
        <f>Rev_Year!AL218</f>
        <v>112.3755102590505</v>
      </c>
      <c r="Q223" s="1256">
        <f ca="1">Rev_Year!AM218</f>
        <v>105.98205838194741</v>
      </c>
      <c r="R223" s="1256">
        <f ca="1">Rev_Year!AN218</f>
        <v>99.544029318368118</v>
      </c>
      <c r="S223" s="1256">
        <f ca="1">Rev_Year!AO218</f>
        <v>88.520984229752074</v>
      </c>
      <c r="T223" s="1256">
        <f ca="1">Rev_Year!AP218</f>
        <v>96.82797798910002</v>
      </c>
      <c r="U223" s="1256">
        <f ca="1">Rev_Year!AQ218</f>
        <v>101.42178942214014</v>
      </c>
    </row>
    <row r="224" spans="1:21">
      <c r="B224" s="1254" t="str">
        <f>J221</f>
        <v>Q4/2020</v>
      </c>
      <c r="C224" s="1255" t="str">
        <f t="shared" ref="C224:J226" si="23">K221</f>
        <v>Q1/2021</v>
      </c>
      <c r="D224" s="1255" t="str">
        <f t="shared" si="23"/>
        <v>Q2/2021</v>
      </c>
      <c r="E224" s="1255" t="str">
        <f t="shared" si="23"/>
        <v>Q3/2021</v>
      </c>
      <c r="F224" s="1255" t="str">
        <f t="shared" si="23"/>
        <v>Q4/2021</v>
      </c>
      <c r="G224" s="1254" t="str">
        <f t="shared" si="23"/>
        <v>Q1/2022</v>
      </c>
      <c r="H224" s="1254" t="str">
        <f t="shared" si="23"/>
        <v>Q2/2022</v>
      </c>
      <c r="I224" s="1254" t="str">
        <f t="shared" si="23"/>
        <v>Q3/2022</v>
      </c>
      <c r="J224" s="1254" t="str">
        <f t="shared" si="23"/>
        <v>Q4/2022</v>
      </c>
      <c r="K224" s="1254" t="str">
        <f t="shared" ref="K224:M226" si="24">S221</f>
        <v>Q1/2023</v>
      </c>
      <c r="L224" s="1254" t="str">
        <f t="shared" si="24"/>
        <v>Q2/2023</v>
      </c>
      <c r="M224" s="1254" t="str">
        <f t="shared" si="24"/>
        <v>Q3/2023</v>
      </c>
    </row>
    <row r="225" spans="1:21">
      <c r="A225" s="1253" t="s">
        <v>1425</v>
      </c>
      <c r="B225" s="1256">
        <f>J222</f>
        <v>41.752107743857437</v>
      </c>
      <c r="C225" s="1274">
        <f t="shared" si="23"/>
        <v>56.370801343285464</v>
      </c>
      <c r="D225" s="1274">
        <f t="shared" si="23"/>
        <v>47.732428752293977</v>
      </c>
      <c r="E225" s="1274">
        <f t="shared" si="23"/>
        <v>44.109242998346566</v>
      </c>
      <c r="F225" s="1274">
        <f t="shared" si="23"/>
        <v>63.38017246283836</v>
      </c>
      <c r="G225" s="1256">
        <f t="shared" si="23"/>
        <v>56.263568018223175</v>
      </c>
      <c r="H225" s="1256">
        <f t="shared" si="23"/>
        <v>48.685046859926231</v>
      </c>
      <c r="I225" s="1256">
        <f t="shared" si="23"/>
        <v>46.601414452492058</v>
      </c>
      <c r="J225" s="1256">
        <f t="shared" si="23"/>
        <v>52.491948972179969</v>
      </c>
      <c r="K225" s="1256">
        <f t="shared" si="24"/>
        <v>50.862196186322187</v>
      </c>
      <c r="L225" s="1256">
        <f t="shared" si="24"/>
        <v>42.297474539625902</v>
      </c>
      <c r="M225" s="1256">
        <f t="shared" si="24"/>
        <v>53.639939252735829</v>
      </c>
    </row>
    <row r="226" spans="1:21">
      <c r="A226" s="1253" t="s">
        <v>497</v>
      </c>
      <c r="B226" s="1256">
        <f>J223</f>
        <v>87.84502325402147</v>
      </c>
      <c r="C226" s="1274">
        <f t="shared" si="23"/>
        <v>108.97745441480599</v>
      </c>
      <c r="D226" s="1274">
        <f t="shared" si="23"/>
        <v>99.991198732998399</v>
      </c>
      <c r="E226" s="1274">
        <f t="shared" si="23"/>
        <v>102.01973205650452</v>
      </c>
      <c r="F226" s="1274">
        <f t="shared" si="23"/>
        <v>120.98819077279971</v>
      </c>
      <c r="G226" s="1256">
        <f t="shared" si="23"/>
        <v>164.32301344034005</v>
      </c>
      <c r="H226" s="1256">
        <f t="shared" si="23"/>
        <v>112.3755102590505</v>
      </c>
      <c r="I226" s="1256">
        <f t="shared" ca="1" si="23"/>
        <v>105.98205838194741</v>
      </c>
      <c r="J226" s="1256">
        <f t="shared" ca="1" si="23"/>
        <v>99.544029318368118</v>
      </c>
      <c r="K226" s="1256">
        <f t="shared" ca="1" si="24"/>
        <v>88.520984229752074</v>
      </c>
      <c r="L226" s="1256">
        <f t="shared" ca="1" si="24"/>
        <v>96.82797798910002</v>
      </c>
      <c r="M226" s="1256">
        <f t="shared" ca="1" si="24"/>
        <v>101.42178942214014</v>
      </c>
    </row>
    <row r="227" spans="1:21">
      <c r="A227" s="1254"/>
      <c r="B227" s="1256">
        <f t="shared" ref="B227:M227" si="25">A224</f>
        <v>0</v>
      </c>
      <c r="C227" s="1274" t="str">
        <f t="shared" si="25"/>
        <v>Q4/2020</v>
      </c>
      <c r="D227" s="1274" t="str">
        <f t="shared" si="25"/>
        <v>Q1/2021</v>
      </c>
      <c r="E227" s="1274" t="str">
        <f t="shared" si="25"/>
        <v>Q2/2021</v>
      </c>
      <c r="F227" s="1274" t="str">
        <f t="shared" si="25"/>
        <v>Q3/2021</v>
      </c>
      <c r="G227" s="1256" t="str">
        <f t="shared" si="25"/>
        <v>Q4/2021</v>
      </c>
      <c r="H227" s="1256" t="str">
        <f t="shared" si="25"/>
        <v>Q1/2022</v>
      </c>
      <c r="I227" s="1256" t="str">
        <f t="shared" si="25"/>
        <v>Q2/2022</v>
      </c>
      <c r="J227" s="1256" t="str">
        <f t="shared" si="25"/>
        <v>Q3/2022</v>
      </c>
      <c r="K227" s="1256" t="str">
        <f t="shared" si="25"/>
        <v>Q4/2022</v>
      </c>
      <c r="L227" s="1256" t="str">
        <f t="shared" si="25"/>
        <v>Q1/2023</v>
      </c>
      <c r="M227" s="1256" t="str">
        <f t="shared" si="25"/>
        <v>Q2/2023</v>
      </c>
      <c r="N227" s="1256" t="str">
        <f>M224</f>
        <v>Q3/2023</v>
      </c>
      <c r="U227" s="1254"/>
    </row>
    <row r="228" spans="1:21">
      <c r="A228" s="3433" t="s">
        <v>1426</v>
      </c>
      <c r="B228" s="1253" t="str">
        <f>A226</f>
        <v>TGDĐ+ĐMX</v>
      </c>
      <c r="C228" s="1287">
        <f>Rev_Year!AF83</f>
        <v>-3.5342498007372436E-2</v>
      </c>
      <c r="D228" s="1287">
        <f>Rev_Year!AG83</f>
        <v>6.193389740991595E-4</v>
      </c>
      <c r="E228" s="1287">
        <f>Rev_Year!AH83</f>
        <v>0.12813136495978417</v>
      </c>
      <c r="F228" s="1287">
        <f>Rev_Year!AI83</f>
        <v>-0.25289017182399476</v>
      </c>
      <c r="G228" s="1282">
        <f>Rev_Year!AJ83</f>
        <v>0.44458941887054637</v>
      </c>
      <c r="H228" s="1282">
        <f>Rev_Year!AK83</f>
        <v>0.19860229155096731</v>
      </c>
      <c r="I228" s="1282">
        <f>Rev_Year!AL83</f>
        <v>0.10855815273297065</v>
      </c>
      <c r="J228" s="1282">
        <f ca="1">Rev_Year!AM83</f>
        <v>0.53956898506432993</v>
      </c>
      <c r="K228" s="1282">
        <f ca="1">Rev_Year!AN83</f>
        <v>-0.29223098832605809</v>
      </c>
      <c r="L228" s="1282">
        <f ca="1">Rev_Year!AO83</f>
        <v>-0.33109041036465114</v>
      </c>
      <c r="M228" s="1282">
        <f ca="1">Rev_Year!AP83</f>
        <v>-0.18856965885597676</v>
      </c>
      <c r="N228" s="1282">
        <f ca="1">Rev_Year!AQ83</f>
        <v>-0.10440874700284175</v>
      </c>
      <c r="U228" s="1254"/>
    </row>
    <row r="229" spans="1:21">
      <c r="A229" s="3433"/>
      <c r="B229" s="1253" t="str">
        <f>A225</f>
        <v>FPT Shop</v>
      </c>
      <c r="C229" s="1259">
        <v>-0.12050983360697065</v>
      </c>
      <c r="D229" s="1259">
        <v>5.9417364961038333E-2</v>
      </c>
      <c r="E229" s="1259">
        <v>0.21338261101257561</v>
      </c>
      <c r="F229" s="1259">
        <v>0.22425275607897222</v>
      </c>
      <c r="G229" s="1262">
        <v>0.99810183648798145</v>
      </c>
      <c r="H229" s="1262">
        <v>0.38259978738963007</v>
      </c>
      <c r="I229" s="1262">
        <v>0.2213346037201056</v>
      </c>
      <c r="J229" s="1262">
        <v>0.35494764527273537</v>
      </c>
      <c r="K229" s="1262">
        <v>-0.22537869027817414</v>
      </c>
      <c r="L229" s="1262">
        <v>-0.20062683870793718</v>
      </c>
      <c r="M229" s="1262">
        <v>-0.18112517567074204</v>
      </c>
      <c r="N229" s="1262">
        <v>-0.2084865490884571</v>
      </c>
      <c r="U229" s="1254"/>
    </row>
    <row r="230" spans="1:21">
      <c r="A230" s="3431" t="s">
        <v>1427</v>
      </c>
      <c r="B230" s="1254" t="str">
        <f>B228</f>
        <v>TGDĐ+ĐMX</v>
      </c>
      <c r="C230" s="1279">
        <f>Rev_Year!AF99</f>
        <v>5.5092444562748775E-2</v>
      </c>
      <c r="D230" s="1279">
        <f>Rev_Year!AG99</f>
        <v>7.889166565501414E-2</v>
      </c>
      <c r="E230" s="1279">
        <f>Rev_Year!AH99</f>
        <v>7.033936144404572E-2</v>
      </c>
      <c r="F230" s="1279">
        <f>Rev_Year!AI99</f>
        <v>4.8483924286100467E-2</v>
      </c>
      <c r="G230" s="1280">
        <f>Rev_Year!AJ99</f>
        <v>5.4220179427037538E-2</v>
      </c>
      <c r="H230" s="1280">
        <f>Rev_Year!AK99</f>
        <v>6.9991667787158152E-2</v>
      </c>
      <c r="I230" s="1280">
        <f>Rev_Year!AL99</f>
        <v>9.4553056068048091E-2</v>
      </c>
      <c r="J230" s="1280">
        <f ca="1">Rev_Year!AM99</f>
        <v>9.779761072873254E-2</v>
      </c>
      <c r="K230" s="1280">
        <f ca="1">Rev_Year!AN99</f>
        <v>6.10978994488105E-2</v>
      </c>
      <c r="L230" s="1280">
        <f ca="1">Rev_Year!AO99</f>
        <v>2.5092371304837876E-2</v>
      </c>
      <c r="M230" s="1280">
        <f ca="1">Rev_Year!AP99</f>
        <v>1.2541239863235139E-2</v>
      </c>
      <c r="N230" s="1280">
        <f ca="1">Rev_Year!AQ99</f>
        <v>1.6954626688868785E-2</v>
      </c>
    </row>
    <row r="231" spans="1:21">
      <c r="A231" s="3431"/>
      <c r="B231" s="1254" t="str">
        <f>B229</f>
        <v>FPT Shop</v>
      </c>
      <c r="C231" s="1277">
        <v>1.2065023248000574E-2</v>
      </c>
      <c r="D231" s="1277">
        <v>7.3759602232860702E-3</v>
      </c>
      <c r="E231" s="1277">
        <v>4.1671551796168957E-3</v>
      </c>
      <c r="F231" s="1277">
        <v>1.0125596886221732E-2</v>
      </c>
      <c r="G231" s="1268">
        <v>5.4655318135617796E-2</v>
      </c>
      <c r="H231" s="1268">
        <v>2.8356067275638289E-2</v>
      </c>
      <c r="I231" s="1268">
        <v>1.1685653675396035E-2</v>
      </c>
      <c r="J231" s="1268">
        <v>1.8415952850667033E-2</v>
      </c>
      <c r="K231" s="1268">
        <v>1.9067260072091669E-2</v>
      </c>
      <c r="L231" s="1268">
        <v>-9.0734072251221383E-3</v>
      </c>
      <c r="M231" s="1268">
        <v>-6.2238845171723088E-2</v>
      </c>
      <c r="N231" s="1268">
        <v>-1.440332466277236E-2</v>
      </c>
    </row>
    <row r="233" spans="1:21">
      <c r="C233" s="1276" t="str">
        <f t="shared" ref="C233:M233" si="26">D227</f>
        <v>Q1/2021</v>
      </c>
      <c r="D233" s="1276" t="str">
        <f t="shared" si="26"/>
        <v>Q2/2021</v>
      </c>
      <c r="E233" s="1276" t="str">
        <f t="shared" si="26"/>
        <v>Q3/2021</v>
      </c>
      <c r="F233" s="1276" t="str">
        <f t="shared" si="26"/>
        <v>Q4/2021</v>
      </c>
      <c r="G233" s="1275" t="str">
        <f t="shared" si="26"/>
        <v>Q1/2022</v>
      </c>
      <c r="H233" s="1275" t="str">
        <f t="shared" si="26"/>
        <v>Q2/2022</v>
      </c>
      <c r="I233" s="1275" t="str">
        <f t="shared" si="26"/>
        <v>Q3/2022</v>
      </c>
      <c r="J233" s="1275" t="str">
        <f t="shared" si="26"/>
        <v>Q4/2022</v>
      </c>
      <c r="K233" s="1275" t="str">
        <f t="shared" si="26"/>
        <v>Q1/2023</v>
      </c>
      <c r="L233" s="1275" t="str">
        <f t="shared" si="26"/>
        <v>Q2/2023</v>
      </c>
      <c r="M233" s="1275" t="str">
        <f t="shared" si="26"/>
        <v>Q3/2023</v>
      </c>
    </row>
    <row r="234" spans="1:21">
      <c r="B234" s="1254" t="s">
        <v>1428</v>
      </c>
      <c r="C234" s="1295">
        <f>Rev_Year!AG106</f>
        <v>1.1378104800152993</v>
      </c>
      <c r="D234" s="1295">
        <f>Rev_Year!AH106</f>
        <v>1.3538726858185133</v>
      </c>
      <c r="E234" s="1295">
        <f>Rev_Year!AI106</f>
        <v>1.6049157509157512</v>
      </c>
      <c r="F234" s="1295">
        <f>Rev_Year!AJ106</f>
        <v>0.92148217821782119</v>
      </c>
      <c r="G234" s="1294">
        <f>Rev_Year!AK106</f>
        <v>0.9483435390171141</v>
      </c>
      <c r="H234" s="1294">
        <f>Rev_Year!AL106</f>
        <v>1.1211258376768432</v>
      </c>
      <c r="I234" s="1294">
        <f>Rev_Year!AM106</f>
        <v>1.312552022855036</v>
      </c>
      <c r="J234" s="1294">
        <f>Rev_Year!AN106</f>
        <v>1.3781625638503086</v>
      </c>
      <c r="K234" s="1294">
        <f>Rev_Year!AO106</f>
        <v>1.2351444638355633</v>
      </c>
      <c r="L234" s="1294">
        <f ca="1">Rev_Year!AP106</f>
        <v>1.4286299765807959</v>
      </c>
      <c r="M234" s="1294">
        <f ca="1">Rev_Year!AQ106</f>
        <v>1.6867069167643616</v>
      </c>
    </row>
    <row r="235" spans="1:21">
      <c r="B235" s="1254" t="s">
        <v>1429</v>
      </c>
      <c r="C235" s="1259">
        <f>Rev_Year!AG131</f>
        <v>-5.8572575738835828E-2</v>
      </c>
      <c r="D235" s="1259">
        <f>Rev_Year!AH131</f>
        <v>-1.8015980311784113E-2</v>
      </c>
      <c r="E235" s="1259">
        <f>Rev_Year!AI131</f>
        <v>3.8135708400026135E-2</v>
      </c>
      <c r="F235" s="1259">
        <f>Rev_Year!AJ131</f>
        <v>4.9341945276119119E-2</v>
      </c>
      <c r="G235" s="1262">
        <f>Rev_Year!AK131</f>
        <v>-7.3563929528429536E-2</v>
      </c>
      <c r="H235" s="1262">
        <f>Rev_Year!AL131</f>
        <v>-0.10077015066166309</v>
      </c>
      <c r="I235" s="1262">
        <f>Rev_Year!AM131</f>
        <v>-7.4924686242166499E-2</v>
      </c>
      <c r="J235" s="1268">
        <f>Rev_Year!AN131</f>
        <v>-2.3986594227997583E-3</v>
      </c>
      <c r="K235" s="1268">
        <f>Rev_Year!AO131</f>
        <v>8.8784618307762679E-3</v>
      </c>
      <c r="L235" s="1268">
        <f ca="1">Rev_Year!AP131</f>
        <v>8.0427083371290477E-3</v>
      </c>
      <c r="M235" s="1268">
        <f ca="1">(Rev_Year!AQ124-Rev_Year!AQ117+90)/Rev_Year!AQ102</f>
        <v>2.9210159014050469E-2</v>
      </c>
    </row>
    <row r="236" spans="1:21">
      <c r="B236" s="1254" t="s">
        <v>1430</v>
      </c>
      <c r="C236" s="1259">
        <v>-5.8572575738835828E-2</v>
      </c>
      <c r="D236" s="1259">
        <v>-1.8015980311784113E-2</v>
      </c>
      <c r="E236" s="1259">
        <v>3.8135708400026135E-2</v>
      </c>
      <c r="F236" s="1259">
        <v>4.9341945276119119E-2</v>
      </c>
      <c r="G236" s="1262">
        <v>-7.0059552641604628E-2</v>
      </c>
      <c r="H236" s="1262">
        <v>-9.7646195024221255E-2</v>
      </c>
      <c r="I236" s="1262">
        <v>-7.1952394379904874E-2</v>
      </c>
      <c r="J236" s="1268">
        <v>5.6400392285495921E-4</v>
      </c>
      <c r="K236" s="1268">
        <v>-2.7764215782795547E-3</v>
      </c>
      <c r="L236" s="1268">
        <v>1.7846752944725526E-3</v>
      </c>
      <c r="M236" s="1268">
        <f ca="1">Rev_Year!AQ131</f>
        <v>3.4515610563016323E-2</v>
      </c>
    </row>
    <row r="237" spans="1:21">
      <c r="B237" s="1254" t="s">
        <v>1344</v>
      </c>
      <c r="C237" s="1278">
        <v>1.0261424017003187</v>
      </c>
      <c r="D237" s="1278">
        <v>0.99820417184694021</v>
      </c>
      <c r="E237" s="1278">
        <v>1.2223718812135207</v>
      </c>
      <c r="F237" s="1278">
        <v>0.82241760870865477</v>
      </c>
      <c r="G237" s="1257">
        <v>0.83058984910836753</v>
      </c>
      <c r="H237" s="1257">
        <v>0.75635421725756835</v>
      </c>
      <c r="I237" s="1257">
        <v>0.77385660683500657</v>
      </c>
      <c r="J237" s="1257">
        <v>0.72759175318028957</v>
      </c>
      <c r="K237" s="1257">
        <v>0.70329354235581765</v>
      </c>
      <c r="L237" s="1257">
        <v>0.6676998215459754</v>
      </c>
      <c r="M237" s="1257">
        <v>0.71415424259157001</v>
      </c>
    </row>
    <row r="238" spans="1:21">
      <c r="B238" s="1254" t="str">
        <f>B237</f>
        <v>WCM</v>
      </c>
      <c r="L238" s="1310">
        <v>2.1999999999999999E-2</v>
      </c>
      <c r="M238" s="1310">
        <v>2.9000000000000001E-2</v>
      </c>
    </row>
    <row r="241" spans="1:15">
      <c r="E241" s="1255">
        <v>6110</v>
      </c>
      <c r="F241" s="1255">
        <v>4298</v>
      </c>
      <c r="G241" s="1254">
        <v>4594</v>
      </c>
      <c r="H241" s="1254">
        <v>4397</v>
      </c>
      <c r="I241" s="1254">
        <v>4582</v>
      </c>
      <c r="J241" s="1256">
        <v>3795</v>
      </c>
      <c r="K241" s="1254">
        <f>8078-L241</f>
        <v>3981</v>
      </c>
      <c r="L241" s="1254">
        <v>4097</v>
      </c>
      <c r="M241" s="1254">
        <v>4311</v>
      </c>
      <c r="O241" s="1312"/>
    </row>
    <row r="242" spans="1:15">
      <c r="G242" s="1254">
        <v>2708</v>
      </c>
      <c r="H242" s="1254">
        <v>2873</v>
      </c>
      <c r="I242" s="1254">
        <v>3034</v>
      </c>
      <c r="J242" s="1254">
        <v>3268</v>
      </c>
      <c r="K242" s="1254">
        <v>3311</v>
      </c>
      <c r="L242" s="1254">
        <v>3379</v>
      </c>
      <c r="M242" s="1254">
        <f>3455</f>
        <v>3455</v>
      </c>
    </row>
    <row r="243" spans="1:15">
      <c r="K243" s="1313">
        <f>K241/$J$242/3</f>
        <v>0.40605875152998777</v>
      </c>
      <c r="L243" s="1313">
        <f>L241/$J$242/3</f>
        <v>0.41789065687474497</v>
      </c>
      <c r="M243" s="1313">
        <f>M241/$J$242/3</f>
        <v>0.439718482252142</v>
      </c>
    </row>
    <row r="245" spans="1:15">
      <c r="B245" s="1266"/>
      <c r="F245" s="1274">
        <f>455.854-259.355</f>
        <v>196.49899999999997</v>
      </c>
      <c r="G245" s="1282">
        <v>0.06</v>
      </c>
      <c r="H245" s="1310">
        <v>6.7000000000000004E-2</v>
      </c>
      <c r="I245" s="1310">
        <v>7.0999999999999994E-2</v>
      </c>
      <c r="J245" s="1310">
        <v>5.8999999999999997E-2</v>
      </c>
      <c r="K245" s="1310">
        <v>3.5000000000000003E-2</v>
      </c>
      <c r="L245" s="1310">
        <v>5.5E-2</v>
      </c>
      <c r="M245" s="1310">
        <v>6.9000000000000006E-2</v>
      </c>
    </row>
    <row r="246" spans="1:15">
      <c r="B246" s="1266">
        <f>B256</f>
        <v>2017</v>
      </c>
      <c r="C246" s="1273">
        <f t="shared" ref="C246:H246" si="27">C256</f>
        <v>2018</v>
      </c>
      <c r="D246" s="1273">
        <f t="shared" si="27"/>
        <v>2019</v>
      </c>
      <c r="E246" s="1273">
        <f t="shared" si="27"/>
        <v>2020</v>
      </c>
      <c r="F246" s="1273">
        <f t="shared" si="27"/>
        <v>2021</v>
      </c>
      <c r="G246" s="1266">
        <f t="shared" si="27"/>
        <v>2022</v>
      </c>
      <c r="H246" s="1266">
        <f t="shared" si="27"/>
        <v>2023</v>
      </c>
      <c r="I246" s="1310"/>
      <c r="J246" s="1310"/>
      <c r="K246" s="1310"/>
      <c r="L246" s="1310"/>
      <c r="M246" s="1310"/>
      <c r="N246" s="1254">
        <f>6802-7273</f>
        <v>-471</v>
      </c>
    </row>
    <row r="247" spans="1:15">
      <c r="A247" s="1253" t="s">
        <v>1431</v>
      </c>
      <c r="B247" s="1254">
        <v>1038</v>
      </c>
      <c r="C247" s="1255">
        <v>1806</v>
      </c>
      <c r="D247" s="1255">
        <v>3022</v>
      </c>
      <c r="E247" s="1255">
        <v>3008</v>
      </c>
      <c r="F247" s="1274">
        <v>2354</v>
      </c>
      <c r="G247" s="1256">
        <v>2741</v>
      </c>
      <c r="H247" s="1256">
        <v>3651</v>
      </c>
      <c r="I247" s="1310"/>
      <c r="J247" s="1310"/>
      <c r="K247" s="1310"/>
      <c r="L247" s="1310"/>
      <c r="M247" s="1310"/>
      <c r="N247" s="1254">
        <f>804</f>
        <v>804</v>
      </c>
    </row>
    <row r="248" spans="1:15">
      <c r="C248" s="1255">
        <f t="shared" ref="C248:H248" si="28">C247-B247</f>
        <v>768</v>
      </c>
      <c r="D248" s="1255">
        <f t="shared" si="28"/>
        <v>1216</v>
      </c>
      <c r="E248" s="1255">
        <f t="shared" si="28"/>
        <v>-14</v>
      </c>
      <c r="F248" s="1255">
        <f t="shared" si="28"/>
        <v>-654</v>
      </c>
      <c r="G248" s="1254">
        <f t="shared" si="28"/>
        <v>387</v>
      </c>
      <c r="H248" s="1254">
        <f t="shared" si="28"/>
        <v>910</v>
      </c>
      <c r="I248" s="1310"/>
      <c r="J248" s="1310"/>
      <c r="K248" s="1310"/>
      <c r="L248" s="1310"/>
      <c r="M248" s="1310"/>
      <c r="N248" s="1254">
        <f>N247-N246</f>
        <v>1275</v>
      </c>
    </row>
    <row r="249" spans="1:15">
      <c r="G249" s="1256">
        <f>6802-7273-804</f>
        <v>-1275</v>
      </c>
      <c r="H249" s="1254">
        <v>-998.15881464264965</v>
      </c>
      <c r="I249" s="1310"/>
      <c r="J249" s="1310"/>
      <c r="K249" s="1310"/>
      <c r="L249" s="1310"/>
      <c r="M249" s="1310"/>
      <c r="N249" s="1254">
        <f>5291-5601-452</f>
        <v>-762</v>
      </c>
    </row>
    <row r="250" spans="1:15">
      <c r="B250" s="1266">
        <f>B246</f>
        <v>2017</v>
      </c>
      <c r="C250" s="1273">
        <f t="shared" ref="C250:M250" si="29">C246</f>
        <v>2018</v>
      </c>
      <c r="D250" s="1273">
        <f t="shared" si="29"/>
        <v>2019</v>
      </c>
      <c r="E250" s="1273">
        <f t="shared" si="29"/>
        <v>2020</v>
      </c>
      <c r="F250" s="1273">
        <f t="shared" si="29"/>
        <v>2021</v>
      </c>
      <c r="G250" s="1266">
        <f t="shared" si="29"/>
        <v>2022</v>
      </c>
      <c r="H250" s="1266">
        <f t="shared" si="29"/>
        <v>2023</v>
      </c>
      <c r="I250" s="1266">
        <f>I246</f>
        <v>0</v>
      </c>
      <c r="J250" s="1266">
        <f t="shared" si="29"/>
        <v>0</v>
      </c>
      <c r="K250" s="1266">
        <f t="shared" si="29"/>
        <v>0</v>
      </c>
      <c r="L250" s="1266">
        <f t="shared" si="29"/>
        <v>0</v>
      </c>
      <c r="M250" s="1266">
        <f t="shared" si="29"/>
        <v>0</v>
      </c>
    </row>
    <row r="251" spans="1:15">
      <c r="C251" s="1259"/>
      <c r="D251" s="1259">
        <f>D248/($D$248+$G$248)</f>
        <v>0.75857766687461015</v>
      </c>
      <c r="G251" s="1262">
        <f>G248/($D$248+$G$248)</f>
        <v>0.24142233312538988</v>
      </c>
      <c r="I251" s="1310"/>
      <c r="J251" s="1310"/>
      <c r="K251" s="1310"/>
      <c r="L251" s="1310"/>
      <c r="M251" s="1310"/>
    </row>
    <row r="252" spans="1:15">
      <c r="D252" s="1274">
        <f>A251*D249</f>
        <v>0</v>
      </c>
      <c r="E252" s="1274">
        <f>B251*E249</f>
        <v>0</v>
      </c>
      <c r="F252" s="1274">
        <f>G252</f>
        <v>-967.1865252651279</v>
      </c>
      <c r="G252" s="1256">
        <f>D251*$G$249</f>
        <v>-967.1865252651279</v>
      </c>
      <c r="H252" s="1275">
        <f>H249-H253</f>
        <v>-690.34533990777754</v>
      </c>
      <c r="I252" s="1310"/>
      <c r="J252" s="1310"/>
      <c r="K252" s="1310"/>
      <c r="L252" s="1310"/>
      <c r="M252" s="1310"/>
    </row>
    <row r="253" spans="1:15">
      <c r="G253" s="1256">
        <f>G251*G249</f>
        <v>-307.8134747348721</v>
      </c>
      <c r="H253" s="1256">
        <f>G253</f>
        <v>-307.8134747348721</v>
      </c>
      <c r="I253" s="1256">
        <f>H253</f>
        <v>-307.8134747348721</v>
      </c>
      <c r="J253" s="1256">
        <f>I253</f>
        <v>-307.8134747348721</v>
      </c>
    </row>
    <row r="254" spans="1:15">
      <c r="G254" s="1294"/>
      <c r="I254" s="1256">
        <f>G253/G248*H248</f>
        <v>-723.79912663755454</v>
      </c>
      <c r="J254" s="1256">
        <f>I254</f>
        <v>-723.79912663755454</v>
      </c>
      <c r="K254" s="1256">
        <f>J254</f>
        <v>-723.79912663755454</v>
      </c>
    </row>
    <row r="255" spans="1:15">
      <c r="G255" s="1256">
        <f>SUM(G252:G254)</f>
        <v>-1275</v>
      </c>
      <c r="H255" s="1256">
        <f>SUM(H252:H254)</f>
        <v>-998.15881464264965</v>
      </c>
      <c r="I255" s="1256">
        <f>SUM(I252:I254)</f>
        <v>-1031.6126013724265</v>
      </c>
      <c r="J255" s="1256">
        <f>SUM(J252:J254)</f>
        <v>-1031.6126013724265</v>
      </c>
      <c r="K255" s="1256">
        <f>SUM(K252:K254)</f>
        <v>-723.79912663755454</v>
      </c>
    </row>
    <row r="256" spans="1:15" s="1317" customFormat="1">
      <c r="A256" s="1314" t="s">
        <v>7</v>
      </c>
      <c r="B256" s="1315">
        <f>Rev_Year!D5</f>
        <v>2017</v>
      </c>
      <c r="C256" s="1316">
        <f>Rev_Year!E5</f>
        <v>2018</v>
      </c>
      <c r="D256" s="1316">
        <f>Rev_Year!F5</f>
        <v>2019</v>
      </c>
      <c r="E256" s="1316">
        <f>Rev_Year!G5</f>
        <v>2020</v>
      </c>
      <c r="F256" s="1316">
        <f>Rev_Year!H5</f>
        <v>2021</v>
      </c>
      <c r="G256" s="1315">
        <f>Rev_Year!I5</f>
        <v>2022</v>
      </c>
      <c r="H256" s="1315">
        <f>Rev_Year!J5</f>
        <v>2023</v>
      </c>
      <c r="I256" s="1315">
        <f>Rev_Year!K5</f>
        <v>2024</v>
      </c>
      <c r="J256" s="1315">
        <f>Rev_Year!L5</f>
        <v>2025</v>
      </c>
      <c r="K256" s="1315">
        <f>Rev_Year!M5</f>
        <v>2026</v>
      </c>
      <c r="L256" s="1315">
        <f>Rev_Year!N5</f>
        <v>2027</v>
      </c>
      <c r="M256" s="1315">
        <f>Rev_Year!O5</f>
        <v>2028</v>
      </c>
    </row>
    <row r="257" spans="1:16">
      <c r="A257" s="1253" t="s">
        <v>4</v>
      </c>
      <c r="B257" s="1254">
        <f>Rev_Year!D107</f>
        <v>283</v>
      </c>
      <c r="C257" s="1255">
        <f>Rev_Year!E107</f>
        <v>405</v>
      </c>
      <c r="D257" s="1255">
        <f>Rev_Year!F107</f>
        <v>1008</v>
      </c>
      <c r="E257" s="1255">
        <f>Rev_Year!G107</f>
        <v>1719</v>
      </c>
      <c r="F257" s="1255">
        <f>Rev_Year!H107</f>
        <v>2106</v>
      </c>
      <c r="G257" s="1254">
        <f>Rev_Year!I107</f>
        <v>1728</v>
      </c>
      <c r="H257" s="1254">
        <f>Rev_Year!J107</f>
        <v>1698</v>
      </c>
      <c r="M257" s="1254">
        <f>D258*2</f>
        <v>1206</v>
      </c>
      <c r="N257" s="1254">
        <f>E258*2</f>
        <v>1422</v>
      </c>
    </row>
    <row r="258" spans="1:16">
      <c r="A258" s="1253" t="s">
        <v>304</v>
      </c>
      <c r="C258" s="1255">
        <f t="shared" ref="C258:H258" si="30">C257-B257</f>
        <v>122</v>
      </c>
      <c r="D258" s="1255">
        <f t="shared" si="30"/>
        <v>603</v>
      </c>
      <c r="E258" s="1255">
        <f t="shared" si="30"/>
        <v>711</v>
      </c>
      <c r="F258" s="1255">
        <f t="shared" si="30"/>
        <v>387</v>
      </c>
      <c r="G258" s="1254">
        <f t="shared" si="30"/>
        <v>-378</v>
      </c>
      <c r="H258" s="1254">
        <f t="shared" si="30"/>
        <v>-30</v>
      </c>
    </row>
    <row r="259" spans="1:16">
      <c r="A259" s="1253" t="s">
        <v>1432</v>
      </c>
      <c r="C259" s="1259"/>
      <c r="D259" s="1259">
        <f>D258/SUM($D$258:$F$258)</f>
        <v>0.35449735449735448</v>
      </c>
      <c r="E259" s="1259">
        <f>E258/SUM($D$258:$F$258)</f>
        <v>0.41798941798941797</v>
      </c>
      <c r="F259" s="1259">
        <f>F258/SUM($D$258:$F$258)</f>
        <v>0.2275132275132275</v>
      </c>
      <c r="H259" s="1256">
        <f>'Fixed Asset &amp; Interest'!E115</f>
        <v>-1187.3913066298342</v>
      </c>
    </row>
    <row r="260" spans="1:16">
      <c r="C260" s="1318">
        <f>C256</f>
        <v>2018</v>
      </c>
      <c r="D260" s="1318">
        <f t="shared" ref="D260:M260" si="31">D256</f>
        <v>2019</v>
      </c>
      <c r="E260" s="1318">
        <f t="shared" si="31"/>
        <v>2020</v>
      </c>
      <c r="F260" s="1318">
        <f t="shared" si="31"/>
        <v>2021</v>
      </c>
      <c r="G260" s="1319">
        <f t="shared" si="31"/>
        <v>2022</v>
      </c>
      <c r="H260" s="1319">
        <f t="shared" si="31"/>
        <v>2023</v>
      </c>
      <c r="I260" s="1319">
        <f t="shared" si="31"/>
        <v>2024</v>
      </c>
      <c r="J260" s="1319">
        <f t="shared" si="31"/>
        <v>2025</v>
      </c>
      <c r="K260" s="1319">
        <f t="shared" si="31"/>
        <v>2026</v>
      </c>
      <c r="L260" s="1319">
        <f t="shared" si="31"/>
        <v>2027</v>
      </c>
      <c r="M260" s="1319">
        <f t="shared" si="31"/>
        <v>2028</v>
      </c>
      <c r="N260" s="1313">
        <f>17.144/20.75*5+0.559/20.75*6+3.056/20.75*5</f>
        <v>5.0291084337349394</v>
      </c>
    </row>
    <row r="261" spans="1:16">
      <c r="C261" s="1274" t="s">
        <v>1433</v>
      </c>
      <c r="D261" s="1274">
        <f>D259*$H$259</f>
        <v>-420.92707695343324</v>
      </c>
      <c r="E261" s="1276">
        <f>D261</f>
        <v>-420.92707695343324</v>
      </c>
      <c r="F261" s="1276">
        <f>E261</f>
        <v>-420.92707695343324</v>
      </c>
      <c r="G261" s="1275">
        <f>F261</f>
        <v>-420.92707695343324</v>
      </c>
      <c r="H261" s="1275">
        <f>G261</f>
        <v>-420.92707695343324</v>
      </c>
      <c r="I261" s="1256">
        <f>H261*($N$260-5)</f>
        <v>-12.252527926740763</v>
      </c>
      <c r="J261" s="1256"/>
      <c r="K261" s="1256"/>
      <c r="L261" s="1256"/>
    </row>
    <row r="262" spans="1:16">
      <c r="C262" s="1259"/>
      <c r="D262" s="1259"/>
      <c r="E262" s="1274">
        <f>E259*$H$259</f>
        <v>-496.31700118389892</v>
      </c>
      <c r="F262" s="1276">
        <f>E262</f>
        <v>-496.31700118389892</v>
      </c>
      <c r="G262" s="1275">
        <f>F262</f>
        <v>-496.31700118389892</v>
      </c>
      <c r="H262" s="1275">
        <f>G262</f>
        <v>-496.31700118389892</v>
      </c>
      <c r="I262" s="1275">
        <f>H262</f>
        <v>-496.31700118389892</v>
      </c>
      <c r="J262" s="1256">
        <f>I262*($N$260-5)</f>
        <v>-14.447010540485378</v>
      </c>
      <c r="K262" s="1256"/>
      <c r="L262" s="1256"/>
      <c r="N262" s="1275">
        <f>I265-H265</f>
        <v>408.6745490266926</v>
      </c>
      <c r="O262" s="1275">
        <f>J265-I265</f>
        <v>494.12251857015423</v>
      </c>
      <c r="P262" s="1275">
        <f>K265-J265</f>
        <v>276.7306763337358</v>
      </c>
    </row>
    <row r="263" spans="1:16">
      <c r="C263" s="1259"/>
      <c r="D263" s="1259"/>
      <c r="E263" s="1259"/>
      <c r="F263" s="1274">
        <f>F259*$H$259</f>
        <v>-270.14722849250194</v>
      </c>
      <c r="G263" s="1275">
        <f>F263</f>
        <v>-270.14722849250194</v>
      </c>
      <c r="H263" s="1275">
        <f>G263</f>
        <v>-270.14722849250194</v>
      </c>
      <c r="I263" s="1275">
        <f>H263</f>
        <v>-270.14722849250194</v>
      </c>
      <c r="J263" s="1256">
        <f>I263</f>
        <v>-270.14722849250194</v>
      </c>
      <c r="K263" s="1256">
        <f>J263*($N$260-5)</f>
        <v>-7.8635626992515339</v>
      </c>
      <c r="L263" s="1256"/>
    </row>
    <row r="264" spans="1:16">
      <c r="C264" s="1259"/>
      <c r="D264" s="1259"/>
      <c r="E264" s="1259"/>
      <c r="F264" s="1274"/>
      <c r="G264" s="1275"/>
      <c r="H264" s="1275"/>
      <c r="I264" s="1275">
        <f>H264</f>
        <v>0</v>
      </c>
      <c r="J264" s="1275">
        <f t="shared" ref="J264:L264" si="32">I264</f>
        <v>0</v>
      </c>
      <c r="K264" s="1275"/>
      <c r="L264" s="1275">
        <f t="shared" si="32"/>
        <v>0</v>
      </c>
    </row>
    <row r="265" spans="1:16" s="1263" customFormat="1">
      <c r="A265" s="1320"/>
      <c r="C265" s="1321"/>
      <c r="D265" s="1264"/>
      <c r="E265" s="1264"/>
      <c r="F265" s="1322">
        <f>SUM(F261:F263)</f>
        <v>-1187.3913066298342</v>
      </c>
      <c r="G265" s="1323">
        <f>SUM(G261:G263)</f>
        <v>-1187.3913066298342</v>
      </c>
      <c r="H265" s="1323">
        <f>SUM(H261:H264)</f>
        <v>-1187.3913066298342</v>
      </c>
      <c r="I265" s="1323">
        <f t="shared" ref="I265" si="33">SUM(I261:I264)</f>
        <v>-778.71675760314156</v>
      </c>
      <c r="J265" s="1323">
        <f>SUM(J261:J264)</f>
        <v>-284.59423903298733</v>
      </c>
      <c r="K265" s="1323">
        <f>SUM(K261:K264)</f>
        <v>-7.8635626992515339</v>
      </c>
      <c r="L265" s="1323">
        <f>SUM(L261:L264)</f>
        <v>0</v>
      </c>
    </row>
    <row r="266" spans="1:16">
      <c r="C266" s="1259"/>
      <c r="D266" s="1277">
        <f>D265/Rev_Year!F102</f>
        <v>0</v>
      </c>
      <c r="E266" s="1277">
        <f>E265/Rev_Year!G102</f>
        <v>0</v>
      </c>
      <c r="F266" s="1277">
        <f>F265/Rev_Year!H102</f>
        <v>-4.2169804942442241E-2</v>
      </c>
      <c r="G266" s="1268">
        <f>G265/Rev_Year!I102</f>
        <v>-4.3845643243047183E-2</v>
      </c>
      <c r="H266" s="1268">
        <f ca="1">H265/Rev_Year!J102</f>
        <v>-3.7598566552224648E-2</v>
      </c>
      <c r="I266" s="1268">
        <f ca="1">I265/Rev_Year!K102</f>
        <v>-1.8954527487476783E-2</v>
      </c>
      <c r="J266" s="1268">
        <f ca="1">J265/Rev_Year!L102</f>
        <v>-5.9730040179001177E-3</v>
      </c>
      <c r="K266" s="1268">
        <f ca="1">K265/Rev_Year!M102</f>
        <v>-1.1504707749367573E-4</v>
      </c>
      <c r="L266" s="1268">
        <f ca="1">L265/Rev_Year!N102</f>
        <v>0</v>
      </c>
    </row>
    <row r="267" spans="1:16" s="1317" customFormat="1">
      <c r="A267" s="1314" t="s">
        <v>497</v>
      </c>
      <c r="B267" s="1315">
        <f>B256</f>
        <v>2017</v>
      </c>
      <c r="C267" s="1316">
        <f t="shared" ref="C267:L267" si="34">C256</f>
        <v>2018</v>
      </c>
      <c r="D267" s="1316">
        <f t="shared" si="34"/>
        <v>2019</v>
      </c>
      <c r="E267" s="1316">
        <f t="shared" si="34"/>
        <v>2020</v>
      </c>
      <c r="F267" s="1316">
        <f t="shared" si="34"/>
        <v>2021</v>
      </c>
      <c r="G267" s="1315">
        <f t="shared" si="34"/>
        <v>2022</v>
      </c>
      <c r="H267" s="1315">
        <f t="shared" si="34"/>
        <v>2023</v>
      </c>
      <c r="I267" s="1315">
        <f t="shared" si="34"/>
        <v>2024</v>
      </c>
      <c r="J267" s="1315">
        <f t="shared" si="34"/>
        <v>2025</v>
      </c>
      <c r="K267" s="1315">
        <f t="shared" si="34"/>
        <v>2026</v>
      </c>
      <c r="L267" s="1315">
        <f t="shared" si="34"/>
        <v>2027</v>
      </c>
      <c r="M267" s="1315"/>
    </row>
    <row r="268" spans="1:16">
      <c r="B268" s="1254">
        <f>Rev_Year!D234+Rev_Year!D235</f>
        <v>1714</v>
      </c>
      <c r="C268" s="1255">
        <f>Rev_Year!E234+Rev_Year!E235</f>
        <v>1782</v>
      </c>
      <c r="D268" s="1255">
        <f>Rev_Year!F234+Rev_Year!F235</f>
        <v>2014</v>
      </c>
      <c r="E268" s="1255">
        <f>Rev_Year!G234+Rev_Year!G235</f>
        <v>2340</v>
      </c>
      <c r="F268" s="1255">
        <f>Rev_Year!H234+Rev_Year!H235</f>
        <v>2962</v>
      </c>
      <c r="G268" s="1254">
        <f>Rev_Year!I234+Rev_Year!I235</f>
        <v>3474</v>
      </c>
      <c r="H268" s="1254">
        <f>Rev_Year!J234+Rev_Year!J235</f>
        <v>3249</v>
      </c>
      <c r="I268" s="1275"/>
      <c r="J268" s="1275"/>
      <c r="O268" s="1254">
        <f>9.5/3.4</f>
        <v>2.7941176470588238</v>
      </c>
    </row>
    <row r="269" spans="1:16">
      <c r="C269" s="1274">
        <f>C268-B268</f>
        <v>68</v>
      </c>
      <c r="D269" s="1274">
        <f>D268-C268</f>
        <v>232</v>
      </c>
      <c r="E269" s="1274">
        <f>E268-D268</f>
        <v>326</v>
      </c>
      <c r="F269" s="1274">
        <f>F268-E268</f>
        <v>622</v>
      </c>
      <c r="G269" s="1256">
        <f>G268-F268</f>
        <v>512</v>
      </c>
      <c r="H269" s="1256">
        <f>'Fixed Asset &amp; Interest'!F63</f>
        <v>-1722.6441555591214</v>
      </c>
      <c r="I269" s="1275"/>
      <c r="J269" s="1275"/>
    </row>
    <row r="270" spans="1:16">
      <c r="C270" s="1259"/>
      <c r="D270" s="1259">
        <f>D269/SUM($D$269:$G$269)</f>
        <v>0.13711583924349882</v>
      </c>
      <c r="E270" s="1259">
        <f>E269/SUM($D$269:$G$269)</f>
        <v>0.19267139479905437</v>
      </c>
      <c r="F270" s="1259">
        <f>F269/SUM($D$269:$G$269)</f>
        <v>0.36761229314420801</v>
      </c>
      <c r="G270" s="1262">
        <f>G269/SUM($D$269:$G$269)</f>
        <v>0.30260047281323876</v>
      </c>
      <c r="H270" s="1275"/>
      <c r="I270" s="1275"/>
      <c r="J270" s="1275"/>
    </row>
    <row r="271" spans="1:16">
      <c r="C271" s="1259"/>
      <c r="D271" s="1273">
        <f t="shared" ref="D271:M271" si="35">D260</f>
        <v>2019</v>
      </c>
      <c r="E271" s="1273">
        <f t="shared" si="35"/>
        <v>2020</v>
      </c>
      <c r="F271" s="1273">
        <f t="shared" si="35"/>
        <v>2021</v>
      </c>
      <c r="G271" s="1266">
        <f t="shared" si="35"/>
        <v>2022</v>
      </c>
      <c r="H271" s="1266">
        <f t="shared" si="35"/>
        <v>2023</v>
      </c>
      <c r="I271" s="1266">
        <f t="shared" si="35"/>
        <v>2024</v>
      </c>
      <c r="J271" s="1266">
        <f t="shared" si="35"/>
        <v>2025</v>
      </c>
      <c r="K271" s="1266">
        <f t="shared" si="35"/>
        <v>2026</v>
      </c>
      <c r="L271" s="1266">
        <f t="shared" si="35"/>
        <v>2027</v>
      </c>
      <c r="M271" s="1266">
        <f t="shared" si="35"/>
        <v>2028</v>
      </c>
    </row>
    <row r="272" spans="1:16">
      <c r="B272" s="1275">
        <f>3*G269</f>
        <v>1536</v>
      </c>
      <c r="D272" s="1274">
        <f>D270*$H$269</f>
        <v>-236.20179910739725</v>
      </c>
      <c r="E272" s="1274">
        <f>D272</f>
        <v>-236.20179910739725</v>
      </c>
      <c r="F272" s="1274">
        <f>E272</f>
        <v>-236.20179910739725</v>
      </c>
      <c r="G272" s="1256">
        <f>F272</f>
        <v>-236.20179910739725</v>
      </c>
      <c r="H272" s="1256">
        <f>G272</f>
        <v>-236.20179910739725</v>
      </c>
      <c r="I272" s="1256">
        <f>H272</f>
        <v>-236.20179910739725</v>
      </c>
      <c r="J272" s="1256">
        <f>I272*0.4</f>
        <v>-94.480719642958903</v>
      </c>
      <c r="K272" s="1256"/>
      <c r="L272" s="1256"/>
      <c r="M272" s="1256"/>
    </row>
    <row r="273" spans="1:13">
      <c r="D273" s="1274"/>
      <c r="E273" s="1274">
        <f>E270*$H$269</f>
        <v>-331.9042521940151</v>
      </c>
      <c r="F273" s="1274">
        <f>E273</f>
        <v>-331.9042521940151</v>
      </c>
      <c r="G273" s="1256">
        <f>F273</f>
        <v>-331.9042521940151</v>
      </c>
      <c r="H273" s="1256">
        <f>G273</f>
        <v>-331.9042521940151</v>
      </c>
      <c r="I273" s="1256">
        <f>H273</f>
        <v>-331.9042521940151</v>
      </c>
      <c r="J273" s="1256">
        <f>I273</f>
        <v>-331.9042521940151</v>
      </c>
      <c r="K273" s="1256">
        <f>J273*0.4</f>
        <v>-132.76170087760605</v>
      </c>
      <c r="L273" s="1256"/>
      <c r="M273" s="1256"/>
    </row>
    <row r="274" spans="1:13">
      <c r="D274" s="1274"/>
      <c r="E274" s="1274"/>
      <c r="F274" s="1274">
        <f>F270*$H$269</f>
        <v>-633.26516829655634</v>
      </c>
      <c r="G274" s="1256">
        <f>F274</f>
        <v>-633.26516829655634</v>
      </c>
      <c r="H274" s="1256">
        <f>G274</f>
        <v>-633.26516829655634</v>
      </c>
      <c r="I274" s="1256">
        <f>H274</f>
        <v>-633.26516829655634</v>
      </c>
      <c r="J274" s="1256">
        <f>I274</f>
        <v>-633.26516829655634</v>
      </c>
      <c r="K274" s="1256">
        <f>J274</f>
        <v>-633.26516829655634</v>
      </c>
      <c r="L274" s="1256">
        <f>K274*0.4</f>
        <v>-253.30606731862255</v>
      </c>
      <c r="M274" s="1256"/>
    </row>
    <row r="275" spans="1:13">
      <c r="D275" s="1274"/>
      <c r="E275" s="1274"/>
      <c r="F275" s="1274"/>
      <c r="G275" s="1256">
        <f>G270*$H$269</f>
        <v>-521.2729359611526</v>
      </c>
      <c r="H275" s="1256">
        <f>G275</f>
        <v>-521.2729359611526</v>
      </c>
      <c r="I275" s="1256">
        <f>H275</f>
        <v>-521.2729359611526</v>
      </c>
      <c r="J275" s="1256">
        <f>I275</f>
        <v>-521.2729359611526</v>
      </c>
      <c r="K275" s="1256">
        <f>J275</f>
        <v>-521.2729359611526</v>
      </c>
      <c r="L275" s="1256">
        <f>K275</f>
        <v>-521.2729359611526</v>
      </c>
      <c r="M275" s="1256">
        <f>L275*0.4</f>
        <v>-208.50917438446106</v>
      </c>
    </row>
    <row r="276" spans="1:13">
      <c r="D276" s="1274"/>
      <c r="E276" s="1274"/>
      <c r="F276" s="1274"/>
      <c r="G276" s="1256"/>
      <c r="H276" s="1256"/>
      <c r="I276" s="1256"/>
      <c r="J276" s="1256"/>
      <c r="K276" s="1256"/>
      <c r="L276" s="1256"/>
      <c r="M276" s="1256"/>
    </row>
    <row r="277" spans="1:13" s="1263" customFormat="1">
      <c r="A277" s="1320"/>
      <c r="C277" s="1264"/>
      <c r="D277" s="1324">
        <f>SUM(D272:D275)</f>
        <v>-236.20179910739725</v>
      </c>
      <c r="E277" s="1324">
        <f>SUM(E272:E275)</f>
        <v>-568.10605130141232</v>
      </c>
      <c r="F277" s="1324">
        <f>SUM(F272:F275)</f>
        <v>-1201.3712195979688</v>
      </c>
      <c r="G277" s="1325">
        <f>SUM(G272:G275)</f>
        <v>-1722.6441555591214</v>
      </c>
      <c r="H277" s="1325">
        <f>SUM(H272:H275)</f>
        <v>-1722.6441555591214</v>
      </c>
      <c r="I277" s="1325">
        <f>SUM(I272:I276)</f>
        <v>-1722.6441555591214</v>
      </c>
      <c r="J277" s="1325">
        <f t="shared" ref="J277" si="36">SUM(J272:J276)</f>
        <v>-1580.923076094683</v>
      </c>
      <c r="K277" s="1325">
        <f>SUM(K272:K276)</f>
        <v>-1287.299805135315</v>
      </c>
      <c r="L277" s="1325">
        <f>SUM(L272:L276)</f>
        <v>-774.57900327977518</v>
      </c>
      <c r="M277" s="1325">
        <f>SUM(M272:M276)</f>
        <v>-208.50917438446106</v>
      </c>
    </row>
    <row r="278" spans="1:13">
      <c r="D278" s="1277">
        <f>D277/Rev_Year!F82</f>
        <v>-2.5829662587092518E-3</v>
      </c>
      <c r="E278" s="1277">
        <f>E277/Rev_Year!G82</f>
        <v>-6.5096785353240929E-3</v>
      </c>
      <c r="F278" s="1277">
        <f>F277/Rev_Year!H82</f>
        <v>-1.2738698805835212E-2</v>
      </c>
      <c r="G278" s="1268">
        <f ca="1">G277/Rev_Year!I82</f>
        <v>-1.6618934457270855E-2</v>
      </c>
      <c r="H278" s="1268">
        <f ca="1">H277/Rev_Year!J82</f>
        <v>-2.0629065658277636E-2</v>
      </c>
      <c r="I278" s="1268">
        <f ca="1">I277/Rev_Year!K82</f>
        <v>-1.8972084661405573E-2</v>
      </c>
      <c r="J278" s="1268">
        <f ca="1">J277/Rev_Year!L82</f>
        <v>-1.4684702880691585E-2</v>
      </c>
      <c r="K278" s="1268">
        <f ca="1">K277/Rev_Year!M82</f>
        <v>-1.0653673131583023E-2</v>
      </c>
      <c r="L278" s="1268">
        <f ca="1">L277/Rev_Year!N82</f>
        <v>-5.7675511508465272E-3</v>
      </c>
      <c r="M278" s="1268">
        <f ca="1">M277/Rev_Year!O82</f>
        <v>-1.3966339722511891E-3</v>
      </c>
    </row>
    <row r="279" spans="1:13">
      <c r="I279" s="1275">
        <f>I277-H277</f>
        <v>0</v>
      </c>
      <c r="J279" s="1275">
        <f>J277-I277</f>
        <v>141.72107946443839</v>
      </c>
      <c r="K279" s="1275">
        <f>K277-J277</f>
        <v>293.62327095936803</v>
      </c>
      <c r="L279" s="1275">
        <f>L277-K277</f>
        <v>512.72080185553978</v>
      </c>
      <c r="M279" s="1275">
        <f>M277-L277</f>
        <v>566.06982889531412</v>
      </c>
    </row>
    <row r="280" spans="1:13">
      <c r="C280" s="1273">
        <f>D267</f>
        <v>2019</v>
      </c>
      <c r="D280" s="1273">
        <f t="shared" ref="D280:J280" si="37">E267</f>
        <v>2020</v>
      </c>
      <c r="E280" s="1273">
        <f t="shared" si="37"/>
        <v>2021</v>
      </c>
      <c r="F280" s="1273">
        <f t="shared" si="37"/>
        <v>2022</v>
      </c>
      <c r="G280" s="1266">
        <f t="shared" si="37"/>
        <v>2023</v>
      </c>
      <c r="H280" s="1266">
        <f t="shared" si="37"/>
        <v>2024</v>
      </c>
      <c r="I280" s="1266">
        <f t="shared" si="37"/>
        <v>2025</v>
      </c>
      <c r="J280" s="1266">
        <f t="shared" si="37"/>
        <v>2026</v>
      </c>
      <c r="K280" s="1275"/>
    </row>
    <row r="281" spans="1:13">
      <c r="A281" s="3431" t="s">
        <v>1434</v>
      </c>
      <c r="B281" s="1254" t="s">
        <v>1344</v>
      </c>
      <c r="C281" s="1255">
        <f>D248</f>
        <v>1216</v>
      </c>
      <c r="D281" s="1255">
        <f>E248</f>
        <v>-14</v>
      </c>
      <c r="E281" s="1255">
        <f>F248</f>
        <v>-654</v>
      </c>
      <c r="F281" s="1255">
        <f>G248</f>
        <v>387</v>
      </c>
      <c r="G281" s="1254">
        <f>H248</f>
        <v>910</v>
      </c>
    </row>
    <row r="282" spans="1:13">
      <c r="A282" s="3431"/>
      <c r="B282" s="1254" t="s">
        <v>7</v>
      </c>
      <c r="C282" s="1255">
        <f>C258</f>
        <v>122</v>
      </c>
      <c r="D282" s="1255">
        <f>D258</f>
        <v>603</v>
      </c>
      <c r="E282" s="1255">
        <f>E258</f>
        <v>711</v>
      </c>
      <c r="F282" s="1255">
        <f>F258</f>
        <v>387</v>
      </c>
      <c r="G282" s="1254">
        <f>G258</f>
        <v>-378</v>
      </c>
    </row>
    <row r="283" spans="1:13">
      <c r="A283" s="3431" t="s">
        <v>568</v>
      </c>
      <c r="B283" s="1254" t="str">
        <f>B281</f>
        <v>WCM</v>
      </c>
      <c r="F283" s="1274">
        <f>G255</f>
        <v>-1275</v>
      </c>
      <c r="G283" s="1256">
        <f>H255</f>
        <v>-998.15881464264965</v>
      </c>
      <c r="H283" s="1256">
        <f>I255</f>
        <v>-1031.6126013724265</v>
      </c>
      <c r="I283" s="1256">
        <f>J255</f>
        <v>-1031.6126013724265</v>
      </c>
      <c r="J283" s="1256">
        <f>K255</f>
        <v>-723.79912663755454</v>
      </c>
    </row>
    <row r="284" spans="1:13">
      <c r="A284" s="3431"/>
      <c r="B284" s="1254" t="str">
        <f>B282</f>
        <v>BHX</v>
      </c>
      <c r="F284" s="1276">
        <f>G265</f>
        <v>-1187.3913066298342</v>
      </c>
      <c r="G284" s="1275">
        <f>H265</f>
        <v>-1187.3913066298342</v>
      </c>
      <c r="H284" s="1275">
        <f>I265</f>
        <v>-778.71675760314156</v>
      </c>
      <c r="I284" s="1275">
        <f>J265</f>
        <v>-284.59423903298733</v>
      </c>
      <c r="J284" s="1275">
        <f>K265</f>
        <v>-7.8635626992515339</v>
      </c>
    </row>
    <row r="285" spans="1:13">
      <c r="B285" s="1254" t="e">
        <f>#REF!</f>
        <v>#REF!</v>
      </c>
    </row>
    <row r="287" spans="1:13">
      <c r="A287" s="1254" t="e" vm="2">
        <v>#VALUE!</v>
      </c>
      <c r="B287" s="1256">
        <f>Valuation!AH82</f>
        <v>84000</v>
      </c>
      <c r="D287" s="1326" cm="1">
        <f t="array" aca="1" ref="D287" ca="1">_FV(A287,"Shares outstanding",TRUE)/10^9</f>
        <v>1.4684569999999999</v>
      </c>
    </row>
    <row r="288" spans="1:13" ht="17" customHeight="1" thickBot="1">
      <c r="A288" s="1327" t="s">
        <v>1435</v>
      </c>
      <c r="B288" s="1328" t="s">
        <v>1436</v>
      </c>
      <c r="C288" s="1328" t="s">
        <v>676</v>
      </c>
      <c r="D288" s="1328" t="s">
        <v>1437</v>
      </c>
      <c r="F288" s="1328" t="s">
        <v>1438</v>
      </c>
      <c r="G288" s="1329" t="s">
        <v>1436</v>
      </c>
      <c r="H288" s="1329" t="s">
        <v>676</v>
      </c>
      <c r="I288" s="1329" t="s">
        <v>1437</v>
      </c>
    </row>
    <row r="289" spans="1:16" s="1335" customFormat="1" ht="17" customHeight="1">
      <c r="A289" s="1330" t="s">
        <v>1439</v>
      </c>
      <c r="B289" s="1331"/>
      <c r="C289" s="1331"/>
      <c r="D289" s="1331"/>
      <c r="E289" s="1332"/>
      <c r="F289" s="1333" t="s">
        <v>1440</v>
      </c>
      <c r="G289" s="1334">
        <f ca="1">Rev_Year!K82</f>
        <v>90798.886168975005</v>
      </c>
      <c r="H289" s="1334">
        <f ca="1">Rev_Year!K82</f>
        <v>90798.886168975005</v>
      </c>
      <c r="I289" s="1334">
        <f ca="1">H289</f>
        <v>90798.886168975005</v>
      </c>
    </row>
    <row r="290" spans="1:16" ht="17" customHeight="1">
      <c r="A290" s="1270" t="str">
        <f>A293</f>
        <v>-          TGDĐ+ĐMX:</v>
      </c>
      <c r="B290" s="1279">
        <f ca="1">C290</f>
        <v>8.7337845389379609E-2</v>
      </c>
      <c r="C290" s="1277">
        <f ca="1">Rev_Year!K83</f>
        <v>8.7337845389379609E-2</v>
      </c>
      <c r="D290" s="1279">
        <f ca="1">C290</f>
        <v>8.7337845389379609E-2</v>
      </c>
      <c r="E290" s="1277"/>
      <c r="F290" s="1277" t="s">
        <v>315</v>
      </c>
      <c r="G290" s="1256">
        <f>[1]Milestones!Q80+200</f>
        <v>2287.4460145259982</v>
      </c>
      <c r="H290" s="1256">
        <f>[1]Milestones!R80</f>
        <v>4468.6229806810024</v>
      </c>
      <c r="I290" s="1275">
        <f>H290+200</f>
        <v>4668.6229806810024</v>
      </c>
    </row>
    <row r="291" spans="1:16" ht="17" customHeight="1">
      <c r="A291" s="1270" t="str">
        <f>A294</f>
        <v>-          BHX:</v>
      </c>
      <c r="B291" s="1287">
        <f ca="1">C291</f>
        <v>0.30090020132691553</v>
      </c>
      <c r="C291" s="1259">
        <f ca="1">Rev_Year!K103</f>
        <v>0.30090020132691553</v>
      </c>
      <c r="D291" s="1287">
        <f ca="1">C291</f>
        <v>0.30090020132691553</v>
      </c>
      <c r="E291" s="1277"/>
      <c r="F291" s="1277" t="s">
        <v>1441</v>
      </c>
      <c r="G291" s="1256">
        <f ca="1">Rev_Year!K102</f>
        <v>41083.417042057001</v>
      </c>
      <c r="H291" s="1275">
        <f ca="1">G291</f>
        <v>41083.417042057001</v>
      </c>
      <c r="I291" s="1275">
        <f ca="1">H291</f>
        <v>41083.417042057001</v>
      </c>
    </row>
    <row r="292" spans="1:16" ht="17" customHeight="1">
      <c r="A292" s="1336" t="s">
        <v>1442</v>
      </c>
      <c r="B292" s="1333"/>
      <c r="C292" s="1333"/>
      <c r="D292" s="1333"/>
      <c r="E292" s="1277"/>
      <c r="F292" s="1277" t="s">
        <v>315</v>
      </c>
      <c r="G292" s="1256">
        <f ca="1">Rev_Year!J124+180+(Rev_Year!K117-Rev_Year!J117)</f>
        <v>-458.06776886387229</v>
      </c>
      <c r="H292" s="1256">
        <f ca="1">Rev_Year!K128</f>
        <v>102.73869860599933</v>
      </c>
      <c r="I292" s="1256">
        <f ca="1">H292+I291*1%</f>
        <v>513.57286902656938</v>
      </c>
      <c r="K292" s="1268"/>
      <c r="L292" s="1337">
        <f>72/65-1</f>
        <v>0.10769230769230775</v>
      </c>
      <c r="M292" s="1256"/>
      <c r="N292" s="1256"/>
    </row>
    <row r="293" spans="1:16" ht="17" customHeight="1">
      <c r="A293" s="1338" t="s">
        <v>1443</v>
      </c>
      <c r="B293" s="1339">
        <f ca="1">G290/G289</f>
        <v>2.5192445756097762E-2</v>
      </c>
      <c r="C293" s="1339">
        <f ca="1">H290/H289</f>
        <v>4.9214513186483143E-2</v>
      </c>
      <c r="D293" s="1339">
        <f ca="1">I290/I289</f>
        <v>5.1417183378139504E-2</v>
      </c>
      <c r="E293" s="1277">
        <f ca="1">C293-Rev_Year!J99</f>
        <v>2.4216860158258018E-2</v>
      </c>
      <c r="F293" s="1277"/>
      <c r="G293" s="1268"/>
    </row>
    <row r="294" spans="1:16" ht="17" customHeight="1">
      <c r="A294" s="1340" t="s">
        <v>1444</v>
      </c>
      <c r="B294" s="1341">
        <f ca="1">G292/G291</f>
        <v>-1.114969985079258E-2</v>
      </c>
      <c r="C294" s="1341">
        <f ca="1">H292/H291</f>
        <v>2.5007340188092425E-3</v>
      </c>
      <c r="D294" s="1341">
        <f ca="1">I292/I291</f>
        <v>1.2500734018809244E-2</v>
      </c>
      <c r="E294" s="1277">
        <f ca="1">D293-Rev_Year!J99</f>
        <v>2.6419530349914379E-2</v>
      </c>
      <c r="F294" s="1277"/>
      <c r="G294" s="1268"/>
    </row>
    <row r="295" spans="1:16" ht="17" customHeight="1">
      <c r="A295" s="1342" t="s">
        <v>318</v>
      </c>
      <c r="B295" s="1343"/>
      <c r="C295" s="1343"/>
      <c r="D295" s="1343"/>
    </row>
    <row r="296" spans="1:16" ht="17" customHeight="1">
      <c r="A296" s="1338" t="s">
        <v>1443</v>
      </c>
      <c r="B296" s="1274">
        <f>G290*$E$296</f>
        <v>29279.308985932777</v>
      </c>
      <c r="C296" s="1274">
        <f>H290*$E$296</f>
        <v>57198.374152716831</v>
      </c>
      <c r="D296" s="1274">
        <f>I290*$E$296</f>
        <v>59758.374152716831</v>
      </c>
      <c r="E296" s="1255">
        <v>12.8</v>
      </c>
      <c r="I296" s="1275">
        <f>-(Rev_Year!K117-Rev_Year!J117)</f>
        <v>-348.29719053612666</v>
      </c>
    </row>
    <row r="297" spans="1:16" ht="19.5" customHeight="1">
      <c r="A297" s="1344" t="s">
        <v>1445</v>
      </c>
      <c r="B297" s="1274">
        <f ca="1">D313</f>
        <v>30067.224633411377</v>
      </c>
      <c r="C297" s="1274">
        <f ca="1">G313</f>
        <v>40635.70276799157</v>
      </c>
      <c r="D297" s="1274">
        <f ca="1">K313</f>
        <v>55850.323408870812</v>
      </c>
      <c r="E297" s="1255">
        <f>M302</f>
        <v>25.5</v>
      </c>
      <c r="I297" s="1275">
        <f ca="1">I309+I296</f>
        <v>165.27567849044271</v>
      </c>
    </row>
    <row r="298" spans="1:16" ht="22.5" customHeight="1">
      <c r="A298" s="1338" t="s">
        <v>49</v>
      </c>
      <c r="B298" s="1345">
        <f ca="1">Valuation!AH77+Valuation!AH79</f>
        <v>16594.666921372002</v>
      </c>
      <c r="C298" s="1345">
        <f ca="1">B298</f>
        <v>16594.666921372002</v>
      </c>
      <c r="D298" s="1345">
        <f ca="1">C298</f>
        <v>16594.666921372002</v>
      </c>
      <c r="I298" s="1268">
        <f ca="1">I297/E305</f>
        <v>4.0229292106167894E-3</v>
      </c>
    </row>
    <row r="299" spans="1:16" ht="17" customHeight="1">
      <c r="A299" s="1346" t="s">
        <v>1446</v>
      </c>
      <c r="B299" s="1347">
        <f ca="1">B296+B298+B297*0.9499</f>
        <v>74434.832586582241</v>
      </c>
      <c r="C299" s="1347">
        <f ca="1">C296+C298+C297*0.9499</f>
        <v>112392.89513340403</v>
      </c>
      <c r="D299" s="1347">
        <f ca="1">D296+D298+D297*0.9499</f>
        <v>129405.26328017522</v>
      </c>
    </row>
    <row r="300" spans="1:16" s="1263" customFormat="1" ht="17" customHeight="1">
      <c r="A300" s="1348" t="s">
        <v>1447</v>
      </c>
      <c r="B300" s="1349">
        <f ca="1">ROUND(B299*10^3/Valuation!$AH$72,-2)</f>
        <v>50800</v>
      </c>
      <c r="C300" s="1350">
        <f ca="1">ROUND(C299*10^3/Valuation!$AH$72,-2)</f>
        <v>76800</v>
      </c>
      <c r="D300" s="1350">
        <f ca="1">ROUND(D299*10^3/Valuation!$AH$72,-2)</f>
        <v>88400</v>
      </c>
      <c r="E300" s="1264"/>
      <c r="F300" s="1351">
        <f ca="1">C300/63800-1</f>
        <v>0.20376175548589348</v>
      </c>
    </row>
    <row r="301" spans="1:16" ht="17" customHeight="1">
      <c r="A301" s="1352" t="s">
        <v>1448</v>
      </c>
      <c r="B301" s="1353">
        <f ca="1">B300/$B$287-1</f>
        <v>-0.39523809523809528</v>
      </c>
      <c r="C301" s="1354">
        <f ca="1">C300/$B$287-1</f>
        <v>-8.5714285714285743E-2</v>
      </c>
      <c r="D301" s="1354">
        <f ca="1">D300/$B$287-1</f>
        <v>5.2380952380952417E-2</v>
      </c>
      <c r="M301" s="1254">
        <f>25.5*1.03</f>
        <v>26.265000000000001</v>
      </c>
    </row>
    <row r="302" spans="1:16">
      <c r="A302" s="1253">
        <f ca="1">YEARFRAC(E302,G302,3)</f>
        <v>0.96986301369863015</v>
      </c>
      <c r="E302" s="1355">
        <f ca="1">TODAY()</f>
        <v>46033</v>
      </c>
      <c r="F302" s="1356"/>
      <c r="G302" s="1357">
        <v>46387</v>
      </c>
      <c r="L302" s="1254" t="s">
        <v>1449</v>
      </c>
      <c r="M302" s="1254">
        <v>25.5</v>
      </c>
      <c r="N302" s="1262">
        <f>M302/21.5-1</f>
        <v>0.18604651162790709</v>
      </c>
    </row>
    <row r="303" spans="1:16" s="1359" customFormat="1" ht="18" customHeight="1">
      <c r="A303" s="1358"/>
      <c r="B303" s="3432" t="s">
        <v>1450</v>
      </c>
      <c r="C303" s="3432"/>
      <c r="D303" s="3432"/>
      <c r="E303" s="3432" t="s">
        <v>1451</v>
      </c>
      <c r="F303" s="3432"/>
      <c r="G303" s="3432"/>
      <c r="H303" s="1948"/>
      <c r="I303" s="3432" t="s">
        <v>1437</v>
      </c>
      <c r="J303" s="3432"/>
      <c r="K303" s="3432"/>
      <c r="M303" s="1360" t="s">
        <v>1452</v>
      </c>
      <c r="N303" s="1361">
        <v>4.5999999999999999E-2</v>
      </c>
    </row>
    <row r="304" spans="1:16" s="1358" customFormat="1" ht="18" customHeight="1">
      <c r="B304" s="1362">
        <v>2024</v>
      </c>
      <c r="C304" s="1362">
        <v>2025</v>
      </c>
      <c r="D304" s="1362" t="s">
        <v>1453</v>
      </c>
      <c r="E304" s="1362">
        <v>2024</v>
      </c>
      <c r="F304" s="1362">
        <v>2025</v>
      </c>
      <c r="G304" s="1362">
        <v>2026</v>
      </c>
      <c r="H304" s="1362">
        <v>2027</v>
      </c>
      <c r="I304" s="1362">
        <v>2024</v>
      </c>
      <c r="J304" s="1362">
        <v>2025</v>
      </c>
      <c r="K304" s="1362">
        <v>2026</v>
      </c>
      <c r="N304" s="1363">
        <v>46022</v>
      </c>
      <c r="O304" s="1363">
        <v>46387</v>
      </c>
      <c r="P304" s="1363">
        <v>46752</v>
      </c>
    </row>
    <row r="305" spans="1:16" s="1364" customFormat="1" ht="18" customHeight="1">
      <c r="A305" s="1364" t="s">
        <v>30</v>
      </c>
      <c r="B305" s="1365">
        <f ca="1">K399</f>
        <v>41936.359956424967</v>
      </c>
      <c r="C305" s="1366">
        <f ca="1">N399</f>
        <v>56131.789612632318</v>
      </c>
      <c r="D305" s="1366">
        <f ca="1">D330</f>
        <v>43508.213645316064</v>
      </c>
      <c r="E305" s="1366">
        <f ca="1">Rev_Year!K102</f>
        <v>41083.417042057001</v>
      </c>
      <c r="F305" s="1366">
        <f ca="1">Rev_Year!L102</f>
        <v>47646.751647932077</v>
      </c>
      <c r="G305" s="1366">
        <f ca="1">Rev_Year!M102</f>
        <v>68350.825336556707</v>
      </c>
      <c r="H305" s="1366">
        <f ca="1">Rev_Year!N102</f>
        <v>86871.088414002705</v>
      </c>
      <c r="I305" s="1365">
        <f ca="1">M399</f>
        <v>44305.645829669316</v>
      </c>
      <c r="J305" s="1366">
        <f ca="1">O399</f>
        <v>47646.751647932077</v>
      </c>
      <c r="K305" s="1366">
        <f ca="1">(K330+K333)</f>
        <v>55986.287104127652</v>
      </c>
      <c r="N305" s="1134">
        <f>YEARFRAC($N$304,O304,3)</f>
        <v>1</v>
      </c>
      <c r="O305" s="1134">
        <f>YEARFRAC($N$304,P304,3)</f>
        <v>2</v>
      </c>
      <c r="P305" s="1134"/>
    </row>
    <row r="306" spans="1:16" s="1371" customFormat="1" ht="18" customHeight="1">
      <c r="A306" s="1367" t="s">
        <v>31</v>
      </c>
      <c r="B306" s="1368"/>
      <c r="C306" s="1369">
        <f ca="1">F306-F307</f>
        <v>-0.27357703557562241</v>
      </c>
      <c r="D306" s="1369">
        <f ca="1">G306-G307</f>
        <v>0.11525800906246575</v>
      </c>
      <c r="E306" s="1370">
        <f ca="1">Rev_Year!K103</f>
        <v>0.30090020132691553</v>
      </c>
      <c r="F306" s="1370">
        <f ca="1">Rev_Year!L103</f>
        <v>0.15975629775771094</v>
      </c>
      <c r="G306" s="1370">
        <f ca="1">Rev_Year!M103</f>
        <v>0.43453274300018752</v>
      </c>
      <c r="H306" s="1370">
        <f ca="1">Rev_Year!N103</f>
        <v>0.27095887995869794</v>
      </c>
      <c r="I306" s="1368">
        <f ca="1">E306</f>
        <v>0.30090020132691553</v>
      </c>
      <c r="J306" s="1369">
        <f ca="1">J305/I305-1</f>
        <v>7.5410385193513729E-2</v>
      </c>
      <c r="K306" s="1369">
        <f ca="1">K305/J305-1</f>
        <v>0.17502841574211536</v>
      </c>
    </row>
    <row r="307" spans="1:16" s="1371" customFormat="1" ht="18" customHeight="1">
      <c r="A307" s="1371" t="s">
        <v>304</v>
      </c>
      <c r="B307" s="1368">
        <f>D402/C401</f>
        <v>4.2402826855123678E-2</v>
      </c>
      <c r="C307" s="1369">
        <f>B307</f>
        <v>4.2402826855123678E-2</v>
      </c>
      <c r="D307" s="1369">
        <f>C307</f>
        <v>4.2402826855123678E-2</v>
      </c>
      <c r="E307" s="1370">
        <f>Rev_Year!K107/Rev_Year!J107-1</f>
        <v>4.2402826855123754E-2</v>
      </c>
      <c r="F307" s="1370">
        <f>Rev_Year!L107/Rev_Year!K107-1</f>
        <v>0.43333333333333335</v>
      </c>
      <c r="G307" s="1370">
        <f>Rev_Year!M107/Rev_Year!L107-1</f>
        <v>0.31927473393772177</v>
      </c>
      <c r="H307" s="1370">
        <f>Rev_Year!N107/Rev_Year!M107-1</f>
        <v>0.21362414102181049</v>
      </c>
      <c r="I307" s="1368">
        <f>E307</f>
        <v>4.2402826855123754E-2</v>
      </c>
      <c r="J307" s="1369">
        <v>0.1</v>
      </c>
      <c r="K307" s="1369">
        <v>0.2</v>
      </c>
    </row>
    <row r="308" spans="1:16" s="1371" customFormat="1" ht="18" customHeight="1">
      <c r="A308" s="1372" t="s">
        <v>1454</v>
      </c>
      <c r="B308" s="1373">
        <f ca="1">D403</f>
        <v>-1.0120416277046965E-2</v>
      </c>
      <c r="C308" s="1374">
        <f>D427</f>
        <v>0.02</v>
      </c>
      <c r="D308" s="1374">
        <v>0.01</v>
      </c>
      <c r="E308" s="1374">
        <f ca="1">Rev_Year!K125</f>
        <v>2.5007340188092425E-3</v>
      </c>
      <c r="F308" s="1374">
        <f ca="1">Rev_Year!L125</f>
        <v>1.512188431466545E-2</v>
      </c>
      <c r="G308" s="1374">
        <f ca="1">Rev_Year!M125</f>
        <v>2.4386839277590971E-2</v>
      </c>
      <c r="H308" s="1374">
        <f ca="1">Rev_Year!N125</f>
        <v>2.8349361382910821E-2</v>
      </c>
      <c r="I308" s="1374">
        <v>0.01</v>
      </c>
      <c r="J308" s="1374">
        <f>F427</f>
        <v>0.03</v>
      </c>
      <c r="K308" s="1374">
        <v>0.04</v>
      </c>
    </row>
    <row r="309" spans="1:16" s="1371" customFormat="1" ht="18" customHeight="1">
      <c r="A309" s="1371" t="s">
        <v>315</v>
      </c>
      <c r="B309" s="1375">
        <f ca="1">B308*B305</f>
        <v>-424.41341990310383</v>
      </c>
      <c r="C309" s="1375">
        <f ca="1">C308*C305</f>
        <v>1122.6357922526463</v>
      </c>
      <c r="D309" s="1376">
        <f ca="1">C309-J284</f>
        <v>1130.4993549518979</v>
      </c>
      <c r="E309" s="1377">
        <f ca="1">E308*E305</f>
        <v>102.73869860599932</v>
      </c>
      <c r="F309" s="1377">
        <f ca="1">F308*F305</f>
        <v>720.5086663896243</v>
      </c>
      <c r="G309" s="1377">
        <f ca="1">G308*G305</f>
        <v>1666.8605919733013</v>
      </c>
      <c r="H309" s="1377">
        <f ca="1">H308*H305</f>
        <v>2462.7398791753599</v>
      </c>
      <c r="I309" s="1376">
        <f ca="1">I292</f>
        <v>513.57286902656938</v>
      </c>
      <c r="J309" s="1377">
        <f ca="1">I308*J305+(Rev_Year!L117-Rev_Year!K117)+0.5%*J305</f>
        <v>896.7483215910222</v>
      </c>
      <c r="K309" s="1377">
        <f ca="1">J308*K305+(Rev_Year!M117-Rev_Year!L117)+1%*K305</f>
        <v>2290.9583641442696</v>
      </c>
    </row>
    <row r="310" spans="1:16" s="1379" customFormat="1" ht="18" customHeight="1">
      <c r="A310" s="1378" t="s">
        <v>1455</v>
      </c>
      <c r="B310" s="3444" t="s">
        <v>426</v>
      </c>
      <c r="C310" s="3444"/>
      <c r="D310" s="3444"/>
      <c r="E310" s="1969" t="s">
        <v>424</v>
      </c>
      <c r="F310" s="1969"/>
      <c r="G310" s="1969"/>
      <c r="H310" s="1974"/>
      <c r="I310" s="1968" t="s">
        <v>424</v>
      </c>
      <c r="J310" s="1968"/>
      <c r="K310" s="1968"/>
    </row>
    <row r="311" spans="1:16" s="1371" customFormat="1" ht="18" customHeight="1">
      <c r="A311" s="1371" t="s">
        <v>1456</v>
      </c>
      <c r="B311" s="3445">
        <v>0.9</v>
      </c>
      <c r="C311" s="3445"/>
      <c r="D311" s="3445"/>
      <c r="F311" s="1972"/>
      <c r="G311" s="1972">
        <f>M302</f>
        <v>25.5</v>
      </c>
      <c r="H311" s="1972"/>
      <c r="I311" s="3446">
        <f>G311</f>
        <v>25.5</v>
      </c>
      <c r="J311" s="3446"/>
      <c r="K311" s="3446"/>
    </row>
    <row r="312" spans="1:16" s="1371" customFormat="1" ht="18" customHeight="1">
      <c r="A312" s="1371" t="s">
        <v>1446</v>
      </c>
      <c r="B312" s="1381"/>
      <c r="C312" s="1381"/>
      <c r="D312" s="1376">
        <f ca="1">D305*0.8</f>
        <v>34806.570916252851</v>
      </c>
      <c r="E312" s="1381"/>
      <c r="F312" s="1381"/>
      <c r="G312" s="1377">
        <f ca="1">G309*$M$302</f>
        <v>42504.945095319184</v>
      </c>
      <c r="H312" s="1377">
        <f ca="1">H309*$M$302</f>
        <v>62799.866918971675</v>
      </c>
      <c r="I312" s="1377"/>
      <c r="J312" s="1377"/>
      <c r="K312" s="1377">
        <f ca="1">K309*$M$302</f>
        <v>58419.438285678872</v>
      </c>
      <c r="M312" s="1489">
        <f ca="1">(Rev_Year!N124*G311*0.9499)/(1.05)^(O305)</f>
        <v>54107.567878758447</v>
      </c>
    </row>
    <row r="313" spans="1:16" s="1358" customFormat="1" ht="18" customHeight="1">
      <c r="A313" s="1358" t="s">
        <v>1457</v>
      </c>
      <c r="B313" s="1362"/>
      <c r="C313" s="1362"/>
      <c r="D313" s="1382">
        <f ca="1">D312/(1.05)^3</f>
        <v>30067.224633411377</v>
      </c>
      <c r="E313" s="1382"/>
      <c r="F313" s="1382"/>
      <c r="G313" s="1382">
        <f ca="1">G312/(1+$N$303)^$N$305</f>
        <v>40635.70276799157</v>
      </c>
      <c r="H313" s="1382">
        <f ca="1">H312/(1+$N$303)^O305</f>
        <v>57397.814234479403</v>
      </c>
      <c r="I313" s="1382"/>
      <c r="J313" s="1382"/>
      <c r="K313" s="1382">
        <f ca="1">K312/(1+$N$303)^$N$305</f>
        <v>55850.323408870812</v>
      </c>
    </row>
    <row r="314" spans="1:16" s="1371" customFormat="1" ht="18" customHeight="1">
      <c r="A314" s="1383" t="s">
        <v>1458</v>
      </c>
      <c r="B314" s="1384"/>
      <c r="C314" s="1384"/>
      <c r="D314" s="1385">
        <f t="shared" ref="D314:K314" ca="1" si="38">D313/24430</f>
        <v>1.2307500873275226</v>
      </c>
      <c r="E314" s="1385">
        <f t="shared" si="38"/>
        <v>0</v>
      </c>
      <c r="F314" s="1385">
        <f t="shared" si="38"/>
        <v>0</v>
      </c>
      <c r="G314" s="1385">
        <f ca="1">G313/24430</f>
        <v>1.6633525488330565</v>
      </c>
      <c r="H314" s="1385">
        <f ca="1">H313/24430</f>
        <v>2.3494807300237168</v>
      </c>
      <c r="I314" s="1385">
        <f t="shared" si="38"/>
        <v>0</v>
      </c>
      <c r="J314" s="1385">
        <f t="shared" si="38"/>
        <v>0</v>
      </c>
      <c r="K314" s="1385">
        <f t="shared" ca="1" si="38"/>
        <v>2.2861368566873028</v>
      </c>
    </row>
    <row r="315" spans="1:16" s="1371" customFormat="1" ht="15.75" customHeight="1">
      <c r="B315" s="1381"/>
      <c r="C315" s="1381"/>
      <c r="D315" s="1380"/>
      <c r="E315" s="1380"/>
      <c r="F315" s="1380"/>
      <c r="G315" s="1386"/>
      <c r="H315" s="1386"/>
      <c r="I315" s="1380"/>
      <c r="J315" s="1380"/>
      <c r="K315" s="1386"/>
    </row>
    <row r="316" spans="1:16" s="1371" customFormat="1" ht="15.75" customHeight="1">
      <c r="A316" s="1358"/>
      <c r="B316" s="3432" t="s">
        <v>1459</v>
      </c>
      <c r="C316" s="3432"/>
      <c r="D316" s="3432"/>
      <c r="E316" s="3432" t="s">
        <v>1460</v>
      </c>
      <c r="F316" s="3432"/>
      <c r="G316" s="3432"/>
      <c r="H316" s="1948"/>
      <c r="I316" s="3420"/>
      <c r="J316" s="3420"/>
      <c r="K316" s="3420"/>
    </row>
    <row r="317" spans="1:16" s="1371" customFormat="1" ht="15.75" customHeight="1">
      <c r="A317" s="1358"/>
      <c r="B317" s="1362">
        <f>E304</f>
        <v>2024</v>
      </c>
      <c r="C317" s="1362">
        <f>F304</f>
        <v>2025</v>
      </c>
      <c r="D317" s="1362">
        <f>G304</f>
        <v>2026</v>
      </c>
      <c r="E317" s="1362">
        <f t="shared" ref="E317:G317" si="39">B317</f>
        <v>2024</v>
      </c>
      <c r="F317" s="1362">
        <f t="shared" si="39"/>
        <v>2025</v>
      </c>
      <c r="G317" s="1362">
        <f t="shared" si="39"/>
        <v>2026</v>
      </c>
      <c r="H317" s="1362"/>
      <c r="I317" s="1371">
        <f>E317</f>
        <v>2024</v>
      </c>
      <c r="J317" s="1371">
        <f>F317</f>
        <v>2025</v>
      </c>
      <c r="K317" s="1371">
        <f>G317</f>
        <v>2026</v>
      </c>
    </row>
    <row r="318" spans="1:16" s="1371" customFormat="1" ht="15.75" customHeight="1">
      <c r="A318" s="1364" t="str">
        <f>A305</f>
        <v>DTT</v>
      </c>
      <c r="B318" s="1366">
        <v>36596.863770728931</v>
      </c>
      <c r="C318" s="1366">
        <v>39604.680065368222</v>
      </c>
      <c r="D318" s="1366">
        <v>43462.2332486347</v>
      </c>
      <c r="E318" s="1366">
        <f t="shared" ref="E318:G320" ca="1" si="40">E305</f>
        <v>41083.417042057001</v>
      </c>
      <c r="F318" s="1366">
        <f t="shared" ca="1" si="40"/>
        <v>47646.751647932077</v>
      </c>
      <c r="G318" s="1366">
        <f t="shared" ca="1" si="40"/>
        <v>68350.825336556707</v>
      </c>
      <c r="H318" s="1366"/>
      <c r="I318" s="1370">
        <f ca="1">E318/B318-1</f>
        <v>0.12259392770471567</v>
      </c>
      <c r="J318" s="1370">
        <f ca="1">F318/C318-1</f>
        <v>0.20305861754949861</v>
      </c>
      <c r="K318" s="1370">
        <f ca="1">G318/D318-1</f>
        <v>0.57264871654297345</v>
      </c>
    </row>
    <row r="319" spans="1:16" s="1371" customFormat="1" ht="15.75" customHeight="1">
      <c r="A319" s="1367" t="str">
        <f>A306</f>
        <v>%YoY</v>
      </c>
      <c r="B319" s="1370">
        <v>0.15611878295904602</v>
      </c>
      <c r="C319" s="1370">
        <v>8.2187815695972777E-2</v>
      </c>
      <c r="D319" s="1370">
        <v>9.7401447932403906E-2</v>
      </c>
      <c r="E319" s="1370">
        <f t="shared" ca="1" si="40"/>
        <v>0.30090020132691553</v>
      </c>
      <c r="F319" s="1370">
        <f t="shared" ca="1" si="40"/>
        <v>0.15975629775771094</v>
      </c>
      <c r="G319" s="1370">
        <f t="shared" ca="1" si="40"/>
        <v>0.43453274300018752</v>
      </c>
      <c r="H319" s="1370"/>
      <c r="I319" s="1380"/>
      <c r="J319" s="1380"/>
      <c r="K319" s="1386"/>
    </row>
    <row r="320" spans="1:16" s="1371" customFormat="1" ht="15.75" customHeight="1">
      <c r="A320" s="1371" t="str">
        <f>A307</f>
        <v>SLCH mới</v>
      </c>
      <c r="B320" s="1370">
        <v>0</v>
      </c>
      <c r="C320" s="1370">
        <v>2.3446658851113744E-2</v>
      </c>
      <c r="D320" s="1370">
        <v>6.8728522336769737E-2</v>
      </c>
      <c r="E320" s="1370">
        <f t="shared" si="40"/>
        <v>4.2402826855123754E-2</v>
      </c>
      <c r="F320" s="1370">
        <f t="shared" si="40"/>
        <v>0.43333333333333335</v>
      </c>
      <c r="G320" s="1370">
        <f t="shared" si="40"/>
        <v>0.31927473393772177</v>
      </c>
      <c r="H320" s="1370"/>
      <c r="I320" s="1370">
        <f>E320-B320</f>
        <v>4.2402826855123754E-2</v>
      </c>
      <c r="J320" s="1370">
        <f>F320-C320</f>
        <v>0.4098866744822196</v>
      </c>
      <c r="K320" s="1370">
        <f>G320-D320</f>
        <v>0.25054621160095203</v>
      </c>
    </row>
    <row r="321" spans="1:34" s="1371" customFormat="1" ht="15.75" customHeight="1">
      <c r="A321" s="1371" t="str">
        <f>A309</f>
        <v>LNHĐ</v>
      </c>
      <c r="B321" s="1377">
        <v>558.08139996588579</v>
      </c>
      <c r="C321" s="1377">
        <v>1388.0246919710899</v>
      </c>
      <c r="D321" s="1377">
        <v>2097.2532791986287</v>
      </c>
      <c r="E321" s="1377">
        <f t="shared" ref="E321:G327" ca="1" si="41">E309</f>
        <v>102.73869860599932</v>
      </c>
      <c r="F321" s="1377">
        <f t="shared" ca="1" si="41"/>
        <v>720.5086663896243</v>
      </c>
      <c r="G321" s="1377">
        <f t="shared" ca="1" si="41"/>
        <v>1666.8605919733013</v>
      </c>
      <c r="H321" s="1377"/>
      <c r="I321" s="1370">
        <f ca="1">E321/B321-1</f>
        <v>-0.81590732353330631</v>
      </c>
      <c r="J321" s="1370">
        <f ca="1">F321/C321-1</f>
        <v>-0.48091077157535811</v>
      </c>
      <c r="K321" s="1370">
        <f ca="1">G321/D321-1</f>
        <v>-0.20521731518750208</v>
      </c>
    </row>
    <row r="322" spans="1:34" s="1371" customFormat="1" ht="15.75" customHeight="1">
      <c r="A322" s="1378" t="str">
        <f>A310</f>
        <v>Phương pháp</v>
      </c>
      <c r="B322" s="3417" t="s">
        <v>424</v>
      </c>
      <c r="C322" s="3417">
        <f>C310</f>
        <v>0</v>
      </c>
      <c r="D322" s="3417">
        <f>D310</f>
        <v>0</v>
      </c>
      <c r="E322" s="3417" t="str">
        <f t="shared" si="41"/>
        <v>P/E</v>
      </c>
      <c r="F322" s="3417">
        <f t="shared" si="41"/>
        <v>0</v>
      </c>
      <c r="G322" s="3417">
        <f t="shared" si="41"/>
        <v>0</v>
      </c>
      <c r="H322" s="1971"/>
      <c r="I322" s="1380"/>
      <c r="J322" s="1387">
        <f>(D321/B321)^(1/2)-1</f>
        <v>0.93854848173618133</v>
      </c>
      <c r="K322" s="1387">
        <f ca="1">(G321/E321)^(1/2)-1</f>
        <v>3.027936445427768</v>
      </c>
    </row>
    <row r="323" spans="1:34" s="1371" customFormat="1" ht="15.75" customHeight="1">
      <c r="A323" s="1371" t="s">
        <v>1461</v>
      </c>
      <c r="B323" s="3416">
        <v>21.3</v>
      </c>
      <c r="C323" s="3416"/>
      <c r="D323" s="3416"/>
      <c r="E323" s="3416">
        <f>G311</f>
        <v>25.5</v>
      </c>
      <c r="F323" s="3416">
        <f t="shared" si="41"/>
        <v>0</v>
      </c>
      <c r="G323" s="3416" t="e">
        <f>#REF!</f>
        <v>#REF!</v>
      </c>
      <c r="H323" s="1949"/>
      <c r="I323" s="1387">
        <f>E323/B323-1</f>
        <v>0.19718309859154926</v>
      </c>
      <c r="J323" s="1380"/>
      <c r="K323" s="1386"/>
    </row>
    <row r="324" spans="1:34" s="1371" customFormat="1" ht="15.75" customHeight="1">
      <c r="A324" s="1371" t="str">
        <f>A312</f>
        <v>EV</v>
      </c>
      <c r="B324" s="1381"/>
      <c r="C324" s="1381"/>
      <c r="D324" s="1377">
        <v>44671.494846930793</v>
      </c>
      <c r="E324" s="1381">
        <f t="shared" si="41"/>
        <v>0</v>
      </c>
      <c r="F324" s="1381">
        <f t="shared" si="41"/>
        <v>0</v>
      </c>
      <c r="G324" s="1377">
        <f t="shared" ca="1" si="41"/>
        <v>42504.945095319184</v>
      </c>
      <c r="H324" s="1377"/>
      <c r="I324" s="1387">
        <f ca="1">G324/D324-1</f>
        <v>-4.8499602689263122E-2</v>
      </c>
      <c r="J324" s="1380"/>
      <c r="K324" s="1386"/>
    </row>
    <row r="325" spans="1:34" s="1371" customFormat="1" ht="15.75" customHeight="1">
      <c r="A325" s="1358" t="str">
        <f>A313</f>
        <v>EV (Discounted) _VND</v>
      </c>
      <c r="B325" s="1382"/>
      <c r="C325" s="1382"/>
      <c r="D325" s="1382">
        <v>38588.916831383904</v>
      </c>
      <c r="E325" s="1382">
        <f t="shared" si="41"/>
        <v>0</v>
      </c>
      <c r="F325" s="1382">
        <f t="shared" si="41"/>
        <v>0</v>
      </c>
      <c r="G325" s="1382">
        <f t="shared" ca="1" si="41"/>
        <v>40635.70276799157</v>
      </c>
      <c r="H325" s="1382"/>
      <c r="I325" s="1387">
        <f ca="1">G325/D325-1</f>
        <v>5.3040771928146935E-2</v>
      </c>
      <c r="J325" s="1380"/>
      <c r="K325" s="1386"/>
    </row>
    <row r="326" spans="1:34" s="1371" customFormat="1" ht="15.75" customHeight="1">
      <c r="A326" s="1383" t="str">
        <f>A314</f>
        <v>EV _USD</v>
      </c>
      <c r="B326" s="1385"/>
      <c r="C326" s="1385"/>
      <c r="D326" s="1385">
        <v>1.589853198392547</v>
      </c>
      <c r="E326" s="1385">
        <f t="shared" si="41"/>
        <v>0</v>
      </c>
      <c r="F326" s="1385">
        <f t="shared" si="41"/>
        <v>0</v>
      </c>
      <c r="G326" s="1385">
        <f t="shared" ca="1" si="41"/>
        <v>1.6633525488330565</v>
      </c>
      <c r="H326" s="1386"/>
      <c r="I326" s="1387">
        <f ca="1">G326/D326-1</f>
        <v>4.6230274917723468E-2</v>
      </c>
      <c r="J326" s="1380"/>
      <c r="K326" s="1386"/>
    </row>
    <row r="327" spans="1:34" s="1371" customFormat="1" ht="15.75" customHeight="1">
      <c r="B327" s="1380"/>
      <c r="C327" s="1380"/>
      <c r="D327" s="1380"/>
      <c r="E327" s="1380">
        <f t="shared" si="41"/>
        <v>0</v>
      </c>
      <c r="F327" s="1380">
        <f t="shared" si="41"/>
        <v>0</v>
      </c>
      <c r="G327" s="1380">
        <f t="shared" si="41"/>
        <v>0</v>
      </c>
      <c r="H327" s="1380"/>
      <c r="I327" s="1380"/>
      <c r="J327" s="1380"/>
      <c r="K327" s="1386"/>
    </row>
    <row r="328" spans="1:34" s="1371" customFormat="1" ht="15.75" customHeight="1">
      <c r="B328" s="1381"/>
      <c r="C328" s="1381"/>
      <c r="D328" s="1380"/>
      <c r="E328" s="1380"/>
      <c r="F328" s="1380"/>
      <c r="G328" s="1386"/>
      <c r="H328" s="1386"/>
      <c r="I328" s="1380"/>
      <c r="J328" s="1380"/>
      <c r="K328" s="1386"/>
    </row>
    <row r="329" spans="1:34">
      <c r="A329" s="1254"/>
      <c r="B329" s="1255"/>
      <c r="G329" s="1276"/>
      <c r="H329" s="1276"/>
      <c r="I329" s="1255"/>
      <c r="J329" s="1255"/>
      <c r="K329" s="1255"/>
      <c r="U329" s="1254"/>
      <c r="V329" s="1256"/>
      <c r="X329" s="1254"/>
      <c r="Z329" s="1256"/>
      <c r="AB329" s="1254"/>
      <c r="AC329" s="1257"/>
      <c r="AD329" s="1256"/>
      <c r="AG329" s="1254"/>
      <c r="AH329" s="999"/>
    </row>
    <row r="330" spans="1:34" s="1263" customFormat="1">
      <c r="A330" s="1320" t="s">
        <v>1462</v>
      </c>
      <c r="C330" s="1324">
        <f ca="1">C331*C332*12</f>
        <v>42416.390680372104</v>
      </c>
      <c r="D330" s="1324">
        <f ca="1">D331*D332*12</f>
        <v>43508.213645316064</v>
      </c>
      <c r="E330" s="1324"/>
      <c r="F330" s="1324">
        <f ca="1">SUMIF(Rev_Month!$BV$64:$DR$64,Valuation_Senario!F304,Rev_Month!$BV$45:$DR$45)</f>
        <v>42416.390680372111</v>
      </c>
      <c r="G330" s="1325">
        <f ca="1">SUMIF(Rev_Month!$BV$64:$DR$64,Valuation_Senario!G304,Rev_Month!$BV$45:$DR$45)</f>
        <v>59139.576925194218</v>
      </c>
      <c r="H330" s="1325"/>
      <c r="J330" s="1325">
        <f ca="1">J331*J332*12</f>
        <v>46658.029748409324</v>
      </c>
      <c r="K330" s="1325">
        <f ca="1">K331*K332*12</f>
        <v>51221.714203041811</v>
      </c>
    </row>
    <row r="331" spans="1:34">
      <c r="A331" s="1253" t="s">
        <v>1463</v>
      </c>
      <c r="C331" s="1276">
        <f>F331</f>
        <v>1840.75</v>
      </c>
      <c r="D331" s="1276">
        <f>C331</f>
        <v>1840.75</v>
      </c>
      <c r="E331" s="1274"/>
      <c r="F331" s="1274">
        <f>AVERAGEIF(Rev_Month!$BV$64:$DR$64,F$304,Rev_Month!$BV$49:$DR$49)</f>
        <v>1840.75</v>
      </c>
      <c r="G331" s="1256">
        <f>AVERAGEIF(Rev_Month!$BV$64:$DR$64,G$304,Rev_Month!$BV$49:$DR$49)</f>
        <v>2502.0833333333335</v>
      </c>
      <c r="H331" s="1256"/>
      <c r="J331" s="1275">
        <f>F331</f>
        <v>1840.75</v>
      </c>
      <c r="K331" s="1275">
        <f>J331+J334*G336</f>
        <v>1970.0850717079531</v>
      </c>
      <c r="U331" s="1254"/>
      <c r="V331" s="1256"/>
      <c r="X331" s="1254"/>
      <c r="Z331" s="1256"/>
      <c r="AB331" s="1254"/>
      <c r="AC331" s="1257"/>
      <c r="AD331" s="1256"/>
      <c r="AG331" s="1254"/>
      <c r="AH331" s="999"/>
    </row>
    <row r="332" spans="1:34">
      <c r="A332" s="1253" t="s">
        <v>6</v>
      </c>
      <c r="C332" s="1289">
        <f ca="1">F332</f>
        <v>1.9202494762267242</v>
      </c>
      <c r="D332" s="1289">
        <f ca="1">G332</f>
        <v>1.9696778326459354</v>
      </c>
      <c r="F332" s="1308">
        <f ca="1">F330/F331/12</f>
        <v>1.9202494762267242</v>
      </c>
      <c r="G332" s="1313">
        <f ca="1">G330/G331/12</f>
        <v>1.9696778326459354</v>
      </c>
      <c r="H332" s="1313"/>
      <c r="J332" s="1275">
        <f ca="1">F332*1.1</f>
        <v>2.1122744238493967</v>
      </c>
      <c r="K332" s="1275">
        <f ca="1">G332*1.1</f>
        <v>2.1666456159105292</v>
      </c>
      <c r="U332" s="1254"/>
      <c r="V332" s="1256"/>
      <c r="X332" s="1254"/>
      <c r="Z332" s="1256"/>
      <c r="AB332" s="1254"/>
      <c r="AC332" s="1257"/>
      <c r="AD332" s="1256"/>
      <c r="AG332" s="1254"/>
      <c r="AH332" s="999"/>
    </row>
    <row r="333" spans="1:34" s="1263" customFormat="1">
      <c r="A333" s="1320" t="s">
        <v>1464</v>
      </c>
      <c r="C333" s="1264"/>
      <c r="D333" s="1264"/>
      <c r="E333" s="1324"/>
      <c r="F333" s="1324">
        <f ca="1">SUMIF(Rev_Month!$BV$64:$DR$64,F$304,Rev_Month!$BV$50:$DR$50)</f>
        <v>5964.2979216710637</v>
      </c>
      <c r="G333" s="1325">
        <f ca="1">SUMIF(Rev_Month!$BV$64:$DR$64,G$304,Rev_Month!$BV$50:$DR$50)</f>
        <v>9211.2484113624796</v>
      </c>
      <c r="H333" s="1325"/>
      <c r="J333" s="1325">
        <f ca="1">J334*J335*12</f>
        <v>2483.4826340273335</v>
      </c>
      <c r="K333" s="1325">
        <f ca="1">K334*K335*12</f>
        <v>4764.5729010858404</v>
      </c>
    </row>
    <row r="334" spans="1:34">
      <c r="A334" s="1253" t="s">
        <v>1463</v>
      </c>
      <c r="C334" s="1295"/>
      <c r="E334" s="1278"/>
      <c r="F334" s="1274">
        <f>SUMIF(Rev_Month!$BV$64:$DR$64,F$304,Rev_Month!$BV$42:$DR$42)</f>
        <v>767</v>
      </c>
      <c r="G334" s="1256">
        <f>SUMIF(Rev_Month!$BV$64:$DR$64,G$304,Rev_Month!$BV$42:$DR$42)</f>
        <v>810</v>
      </c>
      <c r="H334" s="1256"/>
      <c r="J334" s="1254">
        <v>150</v>
      </c>
      <c r="K334" s="1254">
        <f>J334+100</f>
        <v>250</v>
      </c>
      <c r="U334" s="1254"/>
      <c r="V334" s="1256"/>
      <c r="X334" s="1254"/>
      <c r="Z334" s="1256"/>
      <c r="AB334" s="1254"/>
      <c r="AC334" s="1257"/>
      <c r="AD334" s="1256"/>
      <c r="AG334" s="1254"/>
      <c r="AH334" s="999"/>
    </row>
    <row r="335" spans="1:34">
      <c r="E335" s="1274"/>
      <c r="F335" s="1278">
        <f ca="1">AVERAGEIF(Rev_Month!$BV$64:$DR$64,F$304,Rev_Month!$BV$53:$DR$53)</f>
        <v>1.3797125744596297</v>
      </c>
      <c r="G335" s="1257">
        <f ca="1">AVERAGEIF(Rev_Month!$BV$64:$DR$64,G$304,Rev_Month!$BV$53:$DR$53)</f>
        <v>1.5881909670286134</v>
      </c>
      <c r="H335" s="1257"/>
      <c r="J335" s="1388">
        <f ca="1">F335</f>
        <v>1.3797125744596297</v>
      </c>
      <c r="K335" s="1388">
        <f ca="1">G335</f>
        <v>1.5881909670286134</v>
      </c>
      <c r="U335" s="1254"/>
      <c r="V335" s="1256"/>
      <c r="X335" s="1254"/>
      <c r="Z335" s="1256"/>
      <c r="AB335" s="1254"/>
      <c r="AC335" s="1257"/>
      <c r="AD335" s="1256"/>
      <c r="AG335" s="1254"/>
      <c r="AH335" s="999"/>
    </row>
    <row r="336" spans="1:34">
      <c r="B336" s="1294">
        <f ca="1">(B309+(Rev_Year!I113+B338)*Valuation_Senario!B305)/0.26/1706/12</f>
        <v>-2.9464616166855051</v>
      </c>
      <c r="C336" s="1295">
        <f ca="1">(C309+(Rev_Year!J113+C338)*Valuation_Senario!C305)/0.26/1706/12</f>
        <v>-2.6510891785392379</v>
      </c>
      <c r="D336" s="1295">
        <f ca="1">(D309+(Rev_Year!K113+D338)*Valuation_Senario!D305)/0.26/1706/12</f>
        <v>-1.7728468365566119</v>
      </c>
      <c r="G336" s="1337">
        <f>(G331-F331)/F334</f>
        <v>0.86223381138635391</v>
      </c>
      <c r="H336" s="1337"/>
      <c r="U336" s="1254"/>
      <c r="V336" s="1256"/>
      <c r="X336" s="1254"/>
      <c r="Z336" s="1256"/>
      <c r="AB336" s="1254"/>
      <c r="AC336" s="1257"/>
      <c r="AD336" s="1256"/>
      <c r="AG336" s="1254"/>
      <c r="AH336" s="999"/>
    </row>
    <row r="337" spans="1:36">
      <c r="C337" s="1255">
        <f>180+Rev_Year!L117-Rev_Year!K117</f>
        <v>362.04704687204116</v>
      </c>
      <c r="U337" s="1254"/>
      <c r="V337" s="1256"/>
      <c r="X337" s="1254"/>
      <c r="Z337" s="1256"/>
      <c r="AB337" s="1254"/>
      <c r="AC337" s="1257"/>
      <c r="AD337" s="1256"/>
      <c r="AG337" s="1254"/>
      <c r="AH337" s="999"/>
    </row>
    <row r="338" spans="1:36">
      <c r="C338" s="1295">
        <f ca="1">C337/C305</f>
        <v>6.4499466233045848E-3</v>
      </c>
      <c r="F338" s="1277">
        <f>F334/F331</f>
        <v>0.41667798451718052</v>
      </c>
      <c r="G338" s="1268">
        <f>G334/G331</f>
        <v>0.32373022481265612</v>
      </c>
      <c r="H338" s="1268"/>
      <c r="I338" s="1268"/>
      <c r="J338" s="1268">
        <f>J334/J331</f>
        <v>8.1488523699578971E-2</v>
      </c>
      <c r="K338" s="1268">
        <f>K334/K331</f>
        <v>0.12689807338282302</v>
      </c>
      <c r="U338" s="1254"/>
      <c r="V338" s="1256"/>
      <c r="X338" s="1254"/>
      <c r="Z338" s="1256"/>
      <c r="AB338" s="1254"/>
      <c r="AC338" s="1257"/>
      <c r="AD338" s="1256"/>
      <c r="AG338" s="1254"/>
      <c r="AH338" s="999"/>
    </row>
    <row r="339" spans="1:36">
      <c r="U339" s="1254"/>
      <c r="V339" s="1256"/>
      <c r="X339" s="1254"/>
      <c r="Z339" s="1256"/>
      <c r="AB339" s="1254"/>
      <c r="AC339" s="1257"/>
      <c r="AD339" s="1256"/>
      <c r="AG339" s="1254"/>
      <c r="AH339" s="999"/>
    </row>
    <row r="340" spans="1:36">
      <c r="U340" s="1254"/>
      <c r="V340" s="1256"/>
      <c r="X340" s="1254"/>
      <c r="Z340" s="1256"/>
      <c r="AB340" s="1254"/>
      <c r="AC340" s="1257"/>
      <c r="AD340" s="1256"/>
      <c r="AG340" s="1254"/>
      <c r="AH340" s="999"/>
    </row>
    <row r="341" spans="1:36" ht="15">
      <c r="A341" s="1389" t="s">
        <v>1438</v>
      </c>
      <c r="B341" s="1389" t="s">
        <v>1436</v>
      </c>
      <c r="C341" s="1390" t="s">
        <v>676</v>
      </c>
      <c r="D341" s="1390" t="s">
        <v>1437</v>
      </c>
      <c r="U341" s="1254"/>
      <c r="V341" s="1256"/>
      <c r="X341" s="1254"/>
      <c r="Z341" s="1256"/>
      <c r="AB341" s="1254"/>
      <c r="AC341" s="1257"/>
      <c r="AD341" s="1256"/>
      <c r="AG341" s="1254"/>
      <c r="AH341" s="999"/>
    </row>
    <row r="342" spans="1:36" ht="25.5" customHeight="1">
      <c r="A342" s="1391" t="s">
        <v>1465</v>
      </c>
      <c r="B342" s="3440" t="s">
        <v>1466</v>
      </c>
      <c r="C342" s="3440"/>
      <c r="D342" s="3440"/>
      <c r="U342" s="1254"/>
      <c r="Y342" s="1254"/>
      <c r="AA342" s="1256"/>
      <c r="AB342" s="1256"/>
      <c r="AC342" s="1254"/>
      <c r="AE342" s="1257"/>
      <c r="AF342" s="1256"/>
      <c r="AG342" s="1254"/>
      <c r="AJ342" s="999"/>
    </row>
    <row r="343" spans="1:36" ht="25.5" customHeight="1">
      <c r="A343" s="1392"/>
      <c r="B343" s="3441" t="s">
        <v>1467</v>
      </c>
      <c r="C343" s="3441"/>
      <c r="D343" s="3441"/>
      <c r="U343" s="1254"/>
      <c r="Y343" s="1254"/>
      <c r="AA343" s="1256"/>
      <c r="AB343" s="1256"/>
      <c r="AC343" s="1254"/>
      <c r="AE343" s="1257"/>
      <c r="AF343" s="1256"/>
      <c r="AG343" s="1254"/>
      <c r="AJ343" s="999"/>
    </row>
    <row r="344" spans="1:36" s="1396" customFormat="1" ht="25.5" customHeight="1">
      <c r="A344" s="1393" t="s">
        <v>497</v>
      </c>
      <c r="B344" s="3442" t="s">
        <v>1468</v>
      </c>
      <c r="C344" s="1394" t="s">
        <v>1469</v>
      </c>
      <c r="D344" s="1394" t="s">
        <v>1470</v>
      </c>
      <c r="E344" s="1395"/>
      <c r="F344" s="1395"/>
    </row>
    <row r="345" spans="1:36" s="1400" customFormat="1" ht="48" customHeight="1">
      <c r="A345" s="1397" t="s">
        <v>7</v>
      </c>
      <c r="B345" s="3443"/>
      <c r="C345" s="1398" t="s">
        <v>1471</v>
      </c>
      <c r="D345" s="1398" t="s">
        <v>1471</v>
      </c>
      <c r="E345" s="1399"/>
      <c r="F345" s="1399"/>
    </row>
    <row r="346" spans="1:36" s="1405" customFormat="1" ht="255">
      <c r="A346" s="1401" t="s">
        <v>1472</v>
      </c>
      <c r="B346" s="1402" t="s">
        <v>1473</v>
      </c>
      <c r="C346" s="1403" t="s">
        <v>1474</v>
      </c>
      <c r="D346" s="1403" t="s">
        <v>1475</v>
      </c>
      <c r="E346" s="1404"/>
      <c r="F346" s="1404"/>
    </row>
    <row r="349" spans="1:36">
      <c r="B349" s="1254">
        <v>2020</v>
      </c>
      <c r="C349" s="1255">
        <v>2021</v>
      </c>
      <c r="D349" s="1255">
        <v>2022</v>
      </c>
      <c r="E349" s="1255">
        <v>2023</v>
      </c>
      <c r="F349" s="1255">
        <v>2024</v>
      </c>
      <c r="G349" s="1254" t="s">
        <v>1</v>
      </c>
    </row>
    <row r="350" spans="1:36">
      <c r="A350" s="1253" t="s">
        <v>1476</v>
      </c>
      <c r="B350" s="1256">
        <f>Rev_Year!G95</f>
        <v>7121.3625952399998</v>
      </c>
      <c r="C350" s="1274">
        <f>Rev_Year!H95</f>
        <v>7094.302021962998</v>
      </c>
      <c r="D350" s="1274">
        <f ca="1">Rev_Year!I95</f>
        <v>10221.467566597996</v>
      </c>
      <c r="E350" s="1274">
        <f ca="1">Rev_Year!J95</f>
        <v>2087.4460145259982</v>
      </c>
      <c r="F350" s="1274">
        <f ca="1">Rev_Year!K95</f>
        <v>4468.6229806810024</v>
      </c>
      <c r="G350" s="1256">
        <f ca="1">Rev_Year!L95</f>
        <v>6616.7088803241168</v>
      </c>
    </row>
    <row r="351" spans="1:36">
      <c r="A351" s="1253" t="s">
        <v>1477</v>
      </c>
      <c r="B351" s="1256">
        <f>Rev_Year!G122</f>
        <v>-1839.626637822</v>
      </c>
      <c r="C351" s="1274">
        <f>Rev_Year!H122</f>
        <v>-1012.39304963</v>
      </c>
      <c r="D351" s="1274">
        <f>Rev_Year!I122</f>
        <v>-2940.4532178049976</v>
      </c>
      <c r="E351" s="1274">
        <f ca="1">Rev_Year!J122</f>
        <v>-800.27435277499899</v>
      </c>
      <c r="F351" s="1274">
        <f ca="1">Rev_Year!K122</f>
        <v>296.93615321537436</v>
      </c>
      <c r="G351" s="1256">
        <f ca="1">Rev_Year!L122</f>
        <v>935.96335933347473</v>
      </c>
    </row>
    <row r="352" spans="1:36">
      <c r="A352" s="1253" t="s">
        <v>1478</v>
      </c>
      <c r="B352" s="1275">
        <f>FS!K96-Valuation_Senario!B350-Valuation_Senario!B351</f>
        <v>131.70638940600134</v>
      </c>
      <c r="C352" s="1276">
        <f>FS!L96-Valuation_Senario!C350-Valuation_Senario!C351</f>
        <v>391.88527869600148</v>
      </c>
      <c r="D352" s="1276">
        <f ca="1">FS!M96-Valuation_Senario!D350-Valuation_Senario!D351</f>
        <v>-1224.6589752349964</v>
      </c>
      <c r="E352" s="1276">
        <f ca="1">FS!N96-Valuation_Senario!E350-Valuation_Senario!E351</f>
        <v>-597.47929385500129</v>
      </c>
      <c r="F352" s="1276">
        <f ca="1">FS!O96-Valuation_Senario!F350-Valuation_Senario!F351</f>
        <v>60.20387918162578</v>
      </c>
      <c r="G352" s="1275">
        <f ca="1">FS!P96-Valuation_Senario!G350-Valuation_Senario!G351</f>
        <v>1126.2611527492427</v>
      </c>
    </row>
    <row r="354" spans="1:13" ht="15">
      <c r="A354" s="1406" t="s">
        <v>1479</v>
      </c>
    </row>
    <row r="355" spans="1:13">
      <c r="A355" s="1253" t="s">
        <v>1480</v>
      </c>
      <c r="B355" s="1254" t="s">
        <v>1481</v>
      </c>
      <c r="C355" s="1255" t="s">
        <v>1482</v>
      </c>
      <c r="D355" s="1255" t="s">
        <v>1483</v>
      </c>
      <c r="E355" s="1255" t="s">
        <v>1484</v>
      </c>
      <c r="F355" s="1255" t="s">
        <v>1485</v>
      </c>
      <c r="G355" s="1254" t="s">
        <v>1486</v>
      </c>
      <c r="H355" s="1254" t="s">
        <v>1487</v>
      </c>
      <c r="I355" s="1254" t="s">
        <v>1488</v>
      </c>
      <c r="J355" s="1254" t="s">
        <v>1489</v>
      </c>
      <c r="K355" s="1254" t="s">
        <v>1490</v>
      </c>
      <c r="L355" s="1254" t="s">
        <v>1491</v>
      </c>
      <c r="M355" s="1254" t="s">
        <v>1492</v>
      </c>
    </row>
    <row r="356" spans="1:13">
      <c r="A356" s="1253" t="s">
        <v>1493</v>
      </c>
      <c r="B356" s="1254" t="s">
        <v>1494</v>
      </c>
      <c r="C356" s="1255" t="s">
        <v>1495</v>
      </c>
      <c r="D356" s="1255" t="s">
        <v>1496</v>
      </c>
      <c r="E356" s="1255" t="s">
        <v>1497</v>
      </c>
      <c r="F356" s="1255" t="s">
        <v>1498</v>
      </c>
      <c r="G356" s="1254" t="s">
        <v>1499</v>
      </c>
      <c r="H356" s="1254" t="s">
        <v>1500</v>
      </c>
      <c r="I356" s="1254" t="s">
        <v>1500</v>
      </c>
      <c r="J356" s="1254" t="s">
        <v>1501</v>
      </c>
      <c r="K356" s="1254" t="s">
        <v>1502</v>
      </c>
      <c r="L356" s="1254" t="s">
        <v>1503</v>
      </c>
      <c r="M356" s="1254" t="s">
        <v>1504</v>
      </c>
    </row>
    <row r="357" spans="1:13">
      <c r="A357" s="1253" t="s">
        <v>1505</v>
      </c>
      <c r="B357" s="1254" t="s">
        <v>1506</v>
      </c>
      <c r="C357" s="1255" t="s">
        <v>1502</v>
      </c>
      <c r="D357" s="1255" t="s">
        <v>1507</v>
      </c>
      <c r="E357" s="1255" t="s">
        <v>1498</v>
      </c>
      <c r="F357" s="1255" t="s">
        <v>1500</v>
      </c>
      <c r="G357" s="1254" t="s">
        <v>1508</v>
      </c>
      <c r="H357" s="1254" t="s">
        <v>1500</v>
      </c>
      <c r="I357" s="1254" t="s">
        <v>1500</v>
      </c>
      <c r="J357" s="1254" t="s">
        <v>1508</v>
      </c>
      <c r="K357" s="1254" t="s">
        <v>1509</v>
      </c>
      <c r="L357" s="1254" t="s">
        <v>1510</v>
      </c>
      <c r="M357" s="1254" t="s">
        <v>1511</v>
      </c>
    </row>
    <row r="358" spans="1:13">
      <c r="A358" s="1253" t="s">
        <v>1512</v>
      </c>
      <c r="B358" s="1254" t="s">
        <v>1513</v>
      </c>
      <c r="C358" s="1255" t="s">
        <v>1514</v>
      </c>
      <c r="D358" s="1255" t="s">
        <v>1515</v>
      </c>
      <c r="E358" s="1255" t="s">
        <v>1516</v>
      </c>
      <c r="F358" s="1255" t="s">
        <v>1517</v>
      </c>
      <c r="G358" s="1254" t="s">
        <v>1518</v>
      </c>
      <c r="H358" s="1254" t="s">
        <v>1509</v>
      </c>
      <c r="I358" s="1254" t="s">
        <v>1500</v>
      </c>
      <c r="J358" s="1254" t="s">
        <v>1518</v>
      </c>
      <c r="K358" s="1254" t="s">
        <v>1519</v>
      </c>
      <c r="L358" s="1254" t="s">
        <v>1520</v>
      </c>
      <c r="M358" s="1254" t="s">
        <v>1521</v>
      </c>
    </row>
    <row r="362" spans="1:13" s="1411" customFormat="1">
      <c r="A362" s="1407"/>
      <c r="B362" s="1408"/>
      <c r="C362" s="1409"/>
      <c r="D362" s="1409"/>
      <c r="E362" s="1409"/>
      <c r="F362" s="1410"/>
    </row>
    <row r="363" spans="1:13" s="1413" customFormat="1">
      <c r="A363" s="1412"/>
      <c r="C363" s="1414"/>
      <c r="D363" s="1415"/>
      <c r="E363" s="1415"/>
      <c r="F363" s="1415"/>
    </row>
    <row r="364" spans="1:13" s="1413" customFormat="1">
      <c r="A364" s="1412"/>
      <c r="C364" s="1416"/>
      <c r="D364" s="1415"/>
      <c r="E364" s="1415"/>
      <c r="F364" s="1415"/>
    </row>
    <row r="365" spans="1:13" s="1418" customFormat="1">
      <c r="A365" s="1417"/>
      <c r="C365" s="1419"/>
      <c r="D365" s="1420"/>
      <c r="E365" s="1420"/>
      <c r="F365" s="1420"/>
    </row>
    <row r="368" spans="1:13" s="1298" customFormat="1" ht="15" customHeight="1">
      <c r="A368" s="1421" t="s">
        <v>1522</v>
      </c>
      <c r="B368" s="1358"/>
      <c r="C368" s="1362"/>
      <c r="D368" s="1362"/>
      <c r="E368" s="1362"/>
      <c r="F368" s="1362"/>
      <c r="I368" s="1298" t="s">
        <v>1523</v>
      </c>
      <c r="K368" s="1298">
        <f>FS!AC80</f>
        <v>167.66939270399794</v>
      </c>
    </row>
    <row r="369" spans="1:13" ht="15" customHeight="1">
      <c r="A369" s="1422" t="s">
        <v>497</v>
      </c>
      <c r="B369" s="1371"/>
      <c r="C369" s="1381"/>
      <c r="D369" s="1381"/>
      <c r="E369" s="1381"/>
      <c r="F369" s="1381"/>
      <c r="I369" s="1256">
        <f ca="1">Rev_Year!K82</f>
        <v>90798.886168975005</v>
      </c>
      <c r="J369" s="1254">
        <f ca="1">Rev_Year!L82</f>
        <v>107657.81840730226</v>
      </c>
      <c r="K369" s="1423"/>
      <c r="L369" s="1423"/>
    </row>
    <row r="370" spans="1:13" ht="15" customHeight="1">
      <c r="A370" s="1424" t="s">
        <v>1524</v>
      </c>
      <c r="B370" s="1425">
        <f ca="1">FS!AD62</f>
        <v>8.7337845389379609E-2</v>
      </c>
      <c r="C370" s="1381"/>
      <c r="D370" s="1381"/>
      <c r="E370" s="1381"/>
      <c r="F370" s="1381"/>
      <c r="I370" s="1256"/>
      <c r="K370" s="1256">
        <f>FS!AD76+FS!AD77</f>
        <v>1143.4405408540001</v>
      </c>
    </row>
    <row r="371" spans="1:13" ht="15" customHeight="1">
      <c r="A371" s="1422" t="s">
        <v>7</v>
      </c>
      <c r="B371" s="1371"/>
      <c r="C371" s="1381"/>
      <c r="D371" s="1381"/>
      <c r="E371" s="1381"/>
      <c r="F371" s="1381"/>
      <c r="I371" s="1256">
        <f ca="1">FS!AD63</f>
        <v>41083.417042057001</v>
      </c>
    </row>
    <row r="372" spans="1:13" ht="15" customHeight="1">
      <c r="A372" s="1424" t="str">
        <f>A370</f>
        <v>Tăng trưởng doanh thu (%)</v>
      </c>
      <c r="B372" s="1426">
        <f ca="1">FS!AD64</f>
        <v>0.30090020132691553</v>
      </c>
      <c r="C372" s="1381"/>
      <c r="D372" s="1381"/>
      <c r="E372" s="1381"/>
      <c r="F372" s="1381"/>
      <c r="I372" s="1256"/>
      <c r="K372" s="1256" t="e" vm="2">
        <v>#VALUE!</v>
      </c>
      <c r="L372" s="1256" cm="1">
        <f t="array" aca="1" ref="L372" ca="1">_FV(K372,"Shares outstanding",TRUE)/10^9</f>
        <v>1.4684569999999999</v>
      </c>
      <c r="M372" s="1309" cm="1">
        <f t="array" aca="1" ref="M372" ca="1">_FV(K372,"Market cap",TRUE)/10^9</f>
        <v>126287.3</v>
      </c>
    </row>
    <row r="373" spans="1:13" ht="15" customHeight="1">
      <c r="A373" s="1424" t="s">
        <v>1525</v>
      </c>
      <c r="B373" s="1425">
        <f ca="1">Rev_Year!K125</f>
        <v>2.5007340188092425E-3</v>
      </c>
      <c r="C373" s="1381"/>
      <c r="D373" s="1381"/>
      <c r="E373" s="1381"/>
      <c r="F373" s="1381"/>
      <c r="K373" s="1256"/>
      <c r="L373" s="1256"/>
    </row>
    <row r="374" spans="1:13" ht="15" customHeight="1">
      <c r="A374" s="1424"/>
      <c r="B374" s="1425"/>
      <c r="C374" s="1381"/>
      <c r="D374" s="3448">
        <v>2024</v>
      </c>
      <c r="E374" s="3448"/>
      <c r="F374" s="3448"/>
      <c r="H374" s="3433">
        <v>2025</v>
      </c>
      <c r="I374" s="3433"/>
      <c r="J374" s="3433"/>
      <c r="K374" s="1256"/>
      <c r="L374" s="1256"/>
    </row>
    <row r="375" spans="1:13" s="1298" customFormat="1" ht="15" customHeight="1">
      <c r="A375" s="1421" t="s">
        <v>1438</v>
      </c>
      <c r="B375" s="1362" t="s">
        <v>1526</v>
      </c>
      <c r="C375" s="1362" t="s">
        <v>1527</v>
      </c>
      <c r="D375" s="1362" t="s">
        <v>1528</v>
      </c>
      <c r="E375" s="1362" t="s">
        <v>1529</v>
      </c>
      <c r="F375" s="1362" t="s">
        <v>1530</v>
      </c>
      <c r="H375" s="1298" t="str">
        <f>D375</f>
        <v>KB 1</v>
      </c>
      <c r="I375" s="1298" t="str">
        <f t="shared" ref="I375:J375" si="42">E375</f>
        <v>Cơ sở</v>
      </c>
      <c r="J375" s="1298" t="str">
        <f t="shared" si="42"/>
        <v>KB 2</v>
      </c>
    </row>
    <row r="376" spans="1:13" s="1423" customFormat="1" ht="15" customHeight="1">
      <c r="A376" s="1425" t="s">
        <v>1531</v>
      </c>
      <c r="B376" s="1427">
        <f ca="1">D376-2%</f>
        <v>3.3923895892694136E-2</v>
      </c>
      <c r="C376" s="1427">
        <f ca="1">D376-(E376-D376)</f>
        <v>4.6808261991446422E-2</v>
      </c>
      <c r="D376" s="1427">
        <f ca="1">D377/I369</f>
        <v>5.3923895892694133E-2</v>
      </c>
      <c r="E376" s="1427">
        <f ca="1">Rev_Year!AS101</f>
        <v>6.1039529793941845E-2</v>
      </c>
      <c r="F376" s="1427">
        <f ca="1">D376+2%</f>
        <v>7.392389589269413E-2</v>
      </c>
      <c r="G376" s="1423" t="s">
        <v>6</v>
      </c>
      <c r="H376" s="1423">
        <f ca="1">K380</f>
        <v>-2.937400781144733E-2</v>
      </c>
      <c r="I376" s="1423">
        <f t="shared" ref="I376:J376" ca="1" si="43">L380</f>
        <v>1.9643802084335929E-2</v>
      </c>
      <c r="J376" s="1423">
        <f t="shared" ca="1" si="43"/>
        <v>0.10876709280394191</v>
      </c>
      <c r="K376" s="1428">
        <f ca="1">L376/1.05</f>
        <v>1.7559731720577456</v>
      </c>
      <c r="L376" s="1428">
        <f ca="1">Rev_Year!L106</f>
        <v>1.843771830660633</v>
      </c>
      <c r="M376" s="1428">
        <f ca="1">L376*1.1</f>
        <v>2.0281490137266966</v>
      </c>
    </row>
    <row r="377" spans="1:13" ht="15" customHeight="1" outlineLevel="1">
      <c r="A377" s="1429" t="s">
        <v>497</v>
      </c>
      <c r="B377" s="1430">
        <f ca="1">B376*$I$369</f>
        <v>3080.2519615688934</v>
      </c>
      <c r="C377" s="1430">
        <f ca="1">C376*$I$369</f>
        <v>4250.1380523289026</v>
      </c>
      <c r="D377" s="1430">
        <v>4896.2296849483937</v>
      </c>
      <c r="E377" s="1430">
        <f ca="1">E376*$I$369</f>
        <v>5542.3213175678839</v>
      </c>
      <c r="F377" s="1430">
        <f ca="1">F376*$I$369</f>
        <v>6712.2074083278931</v>
      </c>
      <c r="H377" s="1256">
        <f ca="1">I377</f>
        <v>5263.9950834085575</v>
      </c>
      <c r="I377" s="1256">
        <f ca="1">Rev_Year!L98</f>
        <v>5263.9950834085575</v>
      </c>
      <c r="J377" s="1256">
        <f ca="1">I377</f>
        <v>5263.9950834085575</v>
      </c>
      <c r="K377" s="1256">
        <f>L377</f>
        <v>2153.5</v>
      </c>
      <c r="L377" s="1256">
        <f>AVERAGE(Rev_Year!K107:L107)</f>
        <v>2153.5</v>
      </c>
      <c r="M377" s="1256">
        <f>L377</f>
        <v>2153.5</v>
      </c>
    </row>
    <row r="378" spans="1:13" ht="15" customHeight="1" outlineLevel="1">
      <c r="A378" s="1429" t="s">
        <v>7</v>
      </c>
      <c r="B378" s="1430">
        <f ca="1">$I$371*$B$373</f>
        <v>102.73869860599932</v>
      </c>
      <c r="C378" s="1430">
        <f ca="1">$I$371*$B$373</f>
        <v>102.73869860599932</v>
      </c>
      <c r="D378" s="1430">
        <v>158.9040944089902</v>
      </c>
      <c r="E378" s="1430">
        <f ca="1">$I$371*$B$373</f>
        <v>102.73869860599932</v>
      </c>
      <c r="F378" s="1430">
        <f ca="1">$I$371*$B$373</f>
        <v>102.73869860599932</v>
      </c>
      <c r="H378" s="1256">
        <f ca="1">K380*K378</f>
        <v>-1332.9295762823313</v>
      </c>
      <c r="I378" s="1256">
        <f ca="1">Rev_Year!L124</f>
        <v>720.5086663896243</v>
      </c>
      <c r="J378" s="1256">
        <f ca="1">M378*M380</f>
        <v>5700.6385241267017</v>
      </c>
      <c r="K378" s="1256">
        <f ca="1">K376*K377*12</f>
        <v>45377.858712316265</v>
      </c>
      <c r="L378" s="1256">
        <f ca="1">L376*L377*12</f>
        <v>47646.751647932077</v>
      </c>
      <c r="M378" s="1256">
        <f ca="1">M376*M377*12</f>
        <v>52411.426812725294</v>
      </c>
    </row>
    <row r="379" spans="1:13" s="1256" customFormat="1" ht="15" customHeight="1" outlineLevel="1">
      <c r="A379" s="1431" t="s">
        <v>1532</v>
      </c>
      <c r="B379" s="1430">
        <f>FS!$AD$79-$D$377-$D$378</f>
        <v>-229.37076627938131</v>
      </c>
      <c r="C379" s="1430">
        <f>FS!$AD$79-$D$377-$D$378</f>
        <v>-229.37076627938131</v>
      </c>
      <c r="D379" s="1430">
        <v>-238.10258551642983</v>
      </c>
      <c r="E379" s="1430">
        <f>FS!$AD$79-$D$377-$D$378</f>
        <v>-229.37076627938131</v>
      </c>
      <c r="F379" s="1430">
        <f>FS!$AD$79-$D$377-$D$378</f>
        <v>-229.37076627938131</v>
      </c>
      <c r="H379" s="1256">
        <f ca="1">I379</f>
        <v>772.90117192562161</v>
      </c>
      <c r="I379" s="1256">
        <f ca="1">FS!P104-Valuation_Senario!I377-Valuation_Senario!I378</f>
        <v>772.90117192562161</v>
      </c>
      <c r="J379" s="1256">
        <f ca="1">I379</f>
        <v>772.90117192562161</v>
      </c>
      <c r="K379" s="1256">
        <f ca="1">L379</f>
        <v>1.8075531417304618</v>
      </c>
      <c r="L379" s="1257">
        <f ca="1">Rev_Year!L133</f>
        <v>1.8075531417304618</v>
      </c>
      <c r="M379" s="1313">
        <f ca="1">L379</f>
        <v>1.8075531417304618</v>
      </c>
    </row>
    <row r="380" spans="1:13" s="1256" customFormat="1" ht="15" customHeight="1" outlineLevel="1">
      <c r="A380" s="1431" t="s">
        <v>188</v>
      </c>
      <c r="B380" s="1430">
        <f ca="1">SUM(B377:B379)</f>
        <v>2953.6198938955113</v>
      </c>
      <c r="C380" s="1430">
        <f ca="1">SUM(C377:C379)</f>
        <v>4123.5059846555205</v>
      </c>
      <c r="D380" s="1430">
        <v>4817.0311938409541</v>
      </c>
      <c r="E380" s="1430">
        <f ca="1">SUM(E377:E379)</f>
        <v>5415.6892498945017</v>
      </c>
      <c r="F380" s="1430">
        <f ca="1">SUM(F377:F379)</f>
        <v>6585.5753406545109</v>
      </c>
      <c r="K380" s="1268">
        <f ca="1">(K376-K379)/K376</f>
        <v>-2.937400781144733E-2</v>
      </c>
      <c r="L380" s="1268">
        <f ca="1">(L376-L379)/L376</f>
        <v>1.9643802084335929E-2</v>
      </c>
      <c r="M380" s="1268">
        <f t="shared" ref="M380" ca="1" si="44">(M376-M379)/M376</f>
        <v>0.10876709280394191</v>
      </c>
    </row>
    <row r="381" spans="1:13" ht="15" customHeight="1">
      <c r="A381" s="1432" t="s">
        <v>50</v>
      </c>
      <c r="B381" s="1433">
        <f ca="1">B380-(B377*0.2+$K$370*0.2)</f>
        <v>2108.8813934109326</v>
      </c>
      <c r="C381" s="1433">
        <f ca="1">C380-(C377*0.2+$K$370*0.2)</f>
        <v>3044.7902660189402</v>
      </c>
      <c r="D381" s="1433">
        <v>3714.3770887263081</v>
      </c>
      <c r="E381" s="1433">
        <f>FS!O104</f>
        <v>3721.8684416610026</v>
      </c>
      <c r="F381" s="1433">
        <f ca="1">F380-(F377*0.2+$K$370*0.2)</f>
        <v>5014.4457508181322</v>
      </c>
      <c r="H381" s="1275">
        <f ca="1">H377+H378+H379</f>
        <v>4703.9666790518477</v>
      </c>
      <c r="I381" s="1275">
        <f t="shared" ref="I381:J381" ca="1" si="45">I377+I378+I379</f>
        <v>6757.4049217238035</v>
      </c>
      <c r="J381" s="1275">
        <f t="shared" ca="1" si="45"/>
        <v>11737.534779460881</v>
      </c>
      <c r="L381" s="1294">
        <f ca="1">L380*L378</f>
        <v>935.9633593334845</v>
      </c>
    </row>
    <row r="382" spans="1:13" ht="15" customHeight="1">
      <c r="A382" s="1434" t="s">
        <v>31</v>
      </c>
      <c r="B382" s="1435">
        <f ca="1">B381/Valuation_Senario!$K$368-1</f>
        <v>11.57761693652659</v>
      </c>
      <c r="C382" s="1435">
        <f ca="1">C381/Valuation_Senario!$K$368-1</f>
        <v>17.159487649568732</v>
      </c>
      <c r="D382" s="1435">
        <v>21.152982299420838</v>
      </c>
      <c r="E382" s="1435">
        <f>E381/Valuation_Senario!$K$368-1</f>
        <v>21.197661610378443</v>
      </c>
      <c r="F382" s="1435">
        <f ca="1">F381/Valuation_Senario!$K$368-1</f>
        <v>28.906744874245415</v>
      </c>
    </row>
    <row r="383" spans="1:13" ht="15" customHeight="1">
      <c r="A383" s="1436" t="s">
        <v>1533</v>
      </c>
      <c r="B383" s="1437">
        <f ca="1">$L$372*$B$391/B381</f>
        <v>45.817878094945065</v>
      </c>
      <c r="C383" s="1437">
        <f ca="1">$L$372*$B$391/C381</f>
        <v>31.734360057034859</v>
      </c>
      <c r="D383" s="1437">
        <v>25.037500549490542</v>
      </c>
      <c r="E383" s="1437">
        <f ca="1">$L$372*$B$391/E381</f>
        <v>25.961280500521465</v>
      </c>
      <c r="F383" s="1437">
        <f ca="1">$L$372*$B$391/F381</f>
        <v>19.269222442826354</v>
      </c>
      <c r="H383" s="1256">
        <f ca="1">$M$372/H381</f>
        <v>26.84698013750706</v>
      </c>
      <c r="I383" s="1256">
        <f t="shared" ref="I383:J383" ca="1" si="46">$M$372/I381</f>
        <v>18.688727619978753</v>
      </c>
      <c r="J383" s="1256">
        <f t="shared" ca="1" si="46"/>
        <v>10.759269503591668</v>
      </c>
    </row>
    <row r="384" spans="1:13" s="1298" customFormat="1" ht="15" customHeight="1">
      <c r="A384" s="1421" t="s">
        <v>318</v>
      </c>
      <c r="B384" s="1362" t="s">
        <v>1526</v>
      </c>
      <c r="C384" s="1362" t="s">
        <v>1527</v>
      </c>
      <c r="D384" s="1362"/>
      <c r="E384" s="1362" t="s">
        <v>1534</v>
      </c>
      <c r="F384" s="1362" t="s">
        <v>1535</v>
      </c>
    </row>
    <row r="385" spans="1:17" ht="15" customHeight="1">
      <c r="A385" s="1429" t="s">
        <v>497</v>
      </c>
      <c r="B385" s="1376">
        <f ca="1">B377*0.8*12.8</f>
        <v>31541.780086465471</v>
      </c>
      <c r="C385" s="1376">
        <f ca="1">C377*0.8*12.8</f>
        <v>43521.413655847966</v>
      </c>
      <c r="D385" s="1376">
        <v>50137.391973871556</v>
      </c>
      <c r="E385" s="1376">
        <f ca="1">E377*0.8*12.95</f>
        <v>57418.448850003268</v>
      </c>
      <c r="F385" s="1376">
        <f ca="1">F377*0.8*12.95</f>
        <v>69538.468750276981</v>
      </c>
      <c r="H385" s="1256">
        <f ca="1">H377*13/(1+$N$303)^(1.5)</f>
        <v>63967.783193567229</v>
      </c>
      <c r="I385" s="1256">
        <f ca="1">Rev_Year!L98*13</f>
        <v>68431.936084311252</v>
      </c>
      <c r="J385" s="1256">
        <f ca="1">J377*13/(1+$N$303)^(1.5)</f>
        <v>63967.783193567229</v>
      </c>
    </row>
    <row r="386" spans="1:17" ht="15" customHeight="1">
      <c r="A386" s="1429" t="s">
        <v>7</v>
      </c>
      <c r="B386" s="1376">
        <f ca="1">G313*0.9499</f>
        <v>38599.854059315192</v>
      </c>
      <c r="C386" s="1376">
        <f ca="1">B386</f>
        <v>38599.854059315192</v>
      </c>
      <c r="D386" s="1376">
        <v>42948.523622493543</v>
      </c>
      <c r="E386" s="1376">
        <f>D386</f>
        <v>42948.523622493543</v>
      </c>
      <c r="F386" s="1376">
        <f>E386</f>
        <v>42948.523622493543</v>
      </c>
      <c r="H386" s="1275">
        <f>E386</f>
        <v>42948.523622493543</v>
      </c>
      <c r="I386" s="1256">
        <f ca="1">G313*0.9499</f>
        <v>38599.854059315192</v>
      </c>
      <c r="J386" s="1275">
        <f ca="1">K313</f>
        <v>55850.323408870812</v>
      </c>
    </row>
    <row r="387" spans="1:17" ht="15" customHeight="1">
      <c r="A387" s="1429" t="s">
        <v>1536</v>
      </c>
      <c r="B387" s="1430">
        <f ca="1">Valuation!$AH$78+Valuation!$AH$79-$D$385-$D$386</f>
        <v>19306.979537038933</v>
      </c>
      <c r="C387" s="1430">
        <f ca="1">Valuation!$AH$78+Valuation!$AH$79-$D$385-$D$386</f>
        <v>19306.979537038933</v>
      </c>
      <c r="D387" s="1430">
        <v>8315.6159396103176</v>
      </c>
      <c r="E387" s="1430">
        <f>D387</f>
        <v>8315.6159396103176</v>
      </c>
      <c r="F387" s="1430">
        <f>E387</f>
        <v>8315.6159396103176</v>
      </c>
      <c r="H387" s="1275">
        <f ca="1">I387</f>
        <v>9633.5265752710002</v>
      </c>
      <c r="I387" s="1275">
        <f ca="1">Valuation!AH77+(FS!O7+FS!O8)-(FS!O29+FS!O36)</f>
        <v>9633.5265752710002</v>
      </c>
      <c r="J387" s="1275">
        <f ca="1">I387</f>
        <v>9633.5265752710002</v>
      </c>
    </row>
    <row r="388" spans="1:17" ht="15" customHeight="1">
      <c r="A388" s="1432" t="s">
        <v>704</v>
      </c>
      <c r="B388" s="1438">
        <f ca="1">SUM(B385:B387)</f>
        <v>89448.613682819603</v>
      </c>
      <c r="C388" s="1438">
        <f ca="1">SUM(C385:C387)</f>
        <v>101428.24725220208</v>
      </c>
      <c r="D388" s="1438">
        <v>101401.53153597542</v>
      </c>
      <c r="E388" s="1438">
        <f ca="1">SUM(E385:E387)</f>
        <v>108682.58841210713</v>
      </c>
      <c r="F388" s="1438">
        <f ca="1">SUM(F385:F387)</f>
        <v>120802.60831238085</v>
      </c>
      <c r="H388" s="1323">
        <f ca="1">H385+H386+H387</f>
        <v>116549.83339133176</v>
      </c>
      <c r="I388" s="1323">
        <f t="shared" ref="I388:J388" ca="1" si="47">I385+I386+I387</f>
        <v>116665.31671889745</v>
      </c>
      <c r="J388" s="1323">
        <f t="shared" ca="1" si="47"/>
        <v>129451.63317770904</v>
      </c>
      <c r="L388" s="1275">
        <f ca="1">I386+55000+'FS Quarter'!BP38+Valuation!AH77</f>
        <v>99595.694059315196</v>
      </c>
    </row>
    <row r="389" spans="1:17" s="1263" customFormat="1" ht="15" customHeight="1">
      <c r="A389" s="1439" t="s">
        <v>711</v>
      </c>
      <c r="B389" s="1440">
        <f ca="1">ROUND(B388/$L$372,-2)</f>
        <v>60900</v>
      </c>
      <c r="C389" s="1440">
        <f ca="1">ROUND(C388/$L$372,-2)</f>
        <v>69100</v>
      </c>
      <c r="D389" s="1441">
        <v>69300</v>
      </c>
      <c r="E389" s="1442">
        <f ca="1">ROUND(E388/$L$372,-2)</f>
        <v>74000</v>
      </c>
      <c r="F389" s="1442">
        <f ca="1">ROUND(F388/$L$372,-2)</f>
        <v>82300</v>
      </c>
      <c r="H389" s="1441">
        <f ca="1">ROUND(H388/$L$372,-2)</f>
        <v>79400</v>
      </c>
      <c r="I389" s="1442">
        <f ca="1">ROUND(I388/$L$372,-2)</f>
        <v>79400</v>
      </c>
      <c r="J389" s="1442">
        <f ca="1">ROUND(J388/$L$372,-M3754)</f>
        <v>88155</v>
      </c>
      <c r="L389" s="1443">
        <f ca="1">L388/Valuation!AH80</f>
        <v>68.03545580569677</v>
      </c>
    </row>
    <row r="390" spans="1:17" s="1448" customFormat="1" ht="15" customHeight="1">
      <c r="A390" s="1444" t="s">
        <v>713</v>
      </c>
      <c r="B390" s="1445">
        <f ca="1">B389/$B$391-1</f>
        <v>-7.4468085106383031E-2</v>
      </c>
      <c r="C390" s="1445">
        <f ca="1">C389/$B$391-1</f>
        <v>5.0151975683890626E-2</v>
      </c>
      <c r="D390" s="1446">
        <v>8.9622641509433887E-2</v>
      </c>
      <c r="E390" s="1447">
        <f ca="1">E389/$B$391-1</f>
        <v>0.12462006079027366</v>
      </c>
      <c r="F390" s="1447">
        <f ca="1">F389/$B$391-1</f>
        <v>0.25075987841945291</v>
      </c>
      <c r="H390" s="1446">
        <f ca="1">H389/H391-1</f>
        <v>0.20668693009118533</v>
      </c>
      <c r="I390" s="1447">
        <f t="shared" ref="I390:J390" ca="1" si="48">I389/I391-1</f>
        <v>0.20668693009118533</v>
      </c>
      <c r="J390" s="1447">
        <f t="shared" ca="1" si="48"/>
        <v>0.33974164133738594</v>
      </c>
    </row>
    <row r="391" spans="1:17" ht="15" customHeight="1">
      <c r="A391" s="1449" t="s">
        <v>717</v>
      </c>
      <c r="B391" s="1450">
        <f>D391</f>
        <v>65800</v>
      </c>
      <c r="C391" s="1451">
        <f>B391</f>
        <v>65800</v>
      </c>
      <c r="D391" s="1451">
        <v>65800</v>
      </c>
      <c r="E391" s="1451">
        <f>D391</f>
        <v>65800</v>
      </c>
      <c r="F391" s="1451">
        <f t="shared" ref="F391" si="49">E391</f>
        <v>65800</v>
      </c>
      <c r="H391" s="1275">
        <f>E391</f>
        <v>65800</v>
      </c>
      <c r="I391" s="1275">
        <f t="shared" ref="I391" si="50">F391</f>
        <v>65800</v>
      </c>
      <c r="J391" s="1275">
        <f>I391</f>
        <v>65800</v>
      </c>
    </row>
    <row r="393" spans="1:17" ht="15.75" customHeight="1">
      <c r="A393" s="1452"/>
      <c r="B393" s="1453"/>
      <c r="C393" s="1454">
        <v>2023</v>
      </c>
      <c r="D393" s="3447">
        <v>2024</v>
      </c>
      <c r="E393" s="3447"/>
      <c r="F393" s="3447"/>
      <c r="G393" s="3439">
        <v>2025</v>
      </c>
      <c r="H393" s="3439"/>
      <c r="I393" s="3439"/>
    </row>
    <row r="394" spans="1:17" ht="15.75" customHeight="1">
      <c r="A394" s="1269"/>
      <c r="B394" s="1455"/>
      <c r="C394" s="1456"/>
      <c r="D394" s="1456" t="s">
        <v>677</v>
      </c>
      <c r="E394" s="1456" t="s">
        <v>1537</v>
      </c>
      <c r="F394" s="1456" t="s">
        <v>1538</v>
      </c>
      <c r="G394" s="1456" t="str">
        <f>D394</f>
        <v>Thận trọng</v>
      </c>
      <c r="H394" s="1456" t="str">
        <f t="shared" ref="H394:I394" si="51">E394</f>
        <v>cơ sở</v>
      </c>
      <c r="I394" s="1456" t="str">
        <f t="shared" si="51"/>
        <v>lạc quan</v>
      </c>
      <c r="J394" s="1294">
        <f ca="1">I386/25</f>
        <v>1543.9941623726077</v>
      </c>
      <c r="M394" s="1254">
        <f>72.9/69-1</f>
        <v>5.65217391304349E-2</v>
      </c>
    </row>
    <row r="395" spans="1:17" ht="15.75" hidden="1" customHeight="1" outlineLevel="1">
      <c r="A395" s="3423" t="s">
        <v>497</v>
      </c>
      <c r="B395" s="1457" t="s">
        <v>6</v>
      </c>
      <c r="C395" s="1458">
        <f ca="1">Rev_Year!J85</f>
        <v>2.0643152378127163</v>
      </c>
      <c r="D395" s="1458">
        <f ca="1">E395</f>
        <v>2.3963812660062023</v>
      </c>
      <c r="E395" s="1458">
        <f ca="1">Rev_Year!K85</f>
        <v>2.3963812660062023</v>
      </c>
      <c r="F395" s="1458">
        <f ca="1">E395</f>
        <v>2.3963812660062023</v>
      </c>
      <c r="G395" s="1458">
        <f ca="1">H395</f>
        <v>2.9530891597350846</v>
      </c>
      <c r="H395" s="1458">
        <f ca="1">Rev_Year!L85</f>
        <v>2.9530891597350846</v>
      </c>
      <c r="I395" s="1458">
        <f ca="1">G395</f>
        <v>2.9530891597350846</v>
      </c>
    </row>
    <row r="396" spans="1:17" s="1262" customFormat="1" ht="15.75" hidden="1" customHeight="1" outlineLevel="1">
      <c r="A396" s="3424"/>
      <c r="B396" s="1460" t="s">
        <v>31</v>
      </c>
      <c r="C396" s="1370">
        <f ca="1">Rev_Year!J85/Rev_Year!I85-1</f>
        <v>-0.23095650300018167</v>
      </c>
      <c r="D396" s="1370">
        <f ca="1">E396</f>
        <v>0.1608601351726362</v>
      </c>
      <c r="E396" s="1370">
        <f ca="1">E395/C395-1</f>
        <v>0.1608601351726362</v>
      </c>
      <c r="F396" s="1370">
        <f ca="1">E396</f>
        <v>0.1608601351726362</v>
      </c>
      <c r="G396" s="1370">
        <f ca="1">H396</f>
        <v>0.23231190362987975</v>
      </c>
      <c r="H396" s="1370">
        <f ca="1">H395/E395-1</f>
        <v>0.23231190362987975</v>
      </c>
      <c r="I396" s="1370">
        <f ca="1">G396</f>
        <v>0.23231190362987975</v>
      </c>
    </row>
    <row r="397" spans="1:17" ht="15.75" hidden="1" customHeight="1" outlineLevel="1">
      <c r="A397" s="3425"/>
      <c r="B397" s="1461" t="s">
        <v>501</v>
      </c>
      <c r="C397" s="1462">
        <f ca="1">Rev_Year!J95/Rev_Year!J82</f>
        <v>2.4997653028225125E-2</v>
      </c>
      <c r="D397" s="1463">
        <f ca="1">E397</f>
        <v>4.9214513186483143E-2</v>
      </c>
      <c r="E397" s="1462">
        <f ca="1">Rev_Year!K95/Rev_Year!K82</f>
        <v>4.9214513186483143E-2</v>
      </c>
      <c r="F397" s="1463">
        <f ca="1">E397</f>
        <v>4.9214513186483143E-2</v>
      </c>
      <c r="G397" s="1464">
        <f ca="1">H397</f>
        <v>6.1460551385976406E-2</v>
      </c>
      <c r="H397" s="1464">
        <f ca="1">Rev_Year!L95/Rev_Year!L82</f>
        <v>6.1460551385976406E-2</v>
      </c>
      <c r="I397" s="1464">
        <f ca="1">H397</f>
        <v>6.1460551385976406E-2</v>
      </c>
    </row>
    <row r="398" spans="1:17" ht="15.75" customHeight="1" outlineLevel="1">
      <c r="A398" s="1459"/>
      <c r="B398" s="1465" t="s">
        <v>1539</v>
      </c>
      <c r="C398" s="1466"/>
      <c r="D398" s="1466"/>
      <c r="E398" s="1466"/>
      <c r="F398" s="1466"/>
      <c r="G398" s="1465"/>
      <c r="H398" s="1465"/>
      <c r="I398" s="1465"/>
    </row>
    <row r="399" spans="1:17" ht="15.75" customHeight="1">
      <c r="A399" s="3424"/>
      <c r="B399" s="1467" t="s">
        <v>6</v>
      </c>
      <c r="C399" s="1386">
        <f ca="1">Rev_Year!J106</f>
        <v>1.5363280793928782</v>
      </c>
      <c r="D399" s="1386">
        <f ca="1">E399</f>
        <v>1.9744048943702903</v>
      </c>
      <c r="E399" s="1386">
        <f ca="1">Rev_Year!K106</f>
        <v>1.9744048943702903</v>
      </c>
      <c r="F399" s="1386">
        <f ca="1">E399</f>
        <v>1.9744048943702903</v>
      </c>
      <c r="G399" s="1468">
        <f ca="1">H399</f>
        <v>1.843771830660633</v>
      </c>
      <c r="H399" s="1386">
        <f ca="1">Rev_Year!L106</f>
        <v>1.843771830660633</v>
      </c>
      <c r="I399" s="1386">
        <f ca="1">H399</f>
        <v>1.843771830660633</v>
      </c>
      <c r="J399" s="1254" t="s">
        <v>30</v>
      </c>
      <c r="K399" s="1325">
        <f ca="1">D401*D399*12</f>
        <v>41936.359956424967</v>
      </c>
      <c r="L399" s="1325">
        <f ca="1">Rev_Year!K102</f>
        <v>41083.417042057001</v>
      </c>
      <c r="M399" s="1325">
        <f t="shared" ref="M399:P399" ca="1" si="52">F401*F399*12</f>
        <v>44305.645829669316</v>
      </c>
      <c r="N399" s="1325">
        <f t="shared" ca="1" si="52"/>
        <v>56131.789612632318</v>
      </c>
      <c r="O399" s="1325">
        <f ca="1">Rev_Year!L102</f>
        <v>47646.751647932077</v>
      </c>
      <c r="P399" s="1325">
        <f t="shared" ca="1" si="52"/>
        <v>43586.766076817366</v>
      </c>
      <c r="Q399" s="1256" t="e">
        <f t="shared" ref="Q399" si="53">J401*J399</f>
        <v>#VALUE!</v>
      </c>
    </row>
    <row r="400" spans="1:17" ht="15.75" customHeight="1">
      <c r="A400" s="3424"/>
      <c r="B400" s="1469" t="s">
        <v>31</v>
      </c>
      <c r="C400" s="1470">
        <f ca="1">Rev_Year!J106/Rev_Year!I106-1</f>
        <v>0.30502823509495203</v>
      </c>
      <c r="D400" s="1471">
        <f ca="1">E400</f>
        <v>0.28514535459804269</v>
      </c>
      <c r="E400" s="1470">
        <f ca="1">E399/C399-1</f>
        <v>0.28514535459804269</v>
      </c>
      <c r="F400" s="1471">
        <f ca="1">E400</f>
        <v>0.28514535459804269</v>
      </c>
      <c r="G400" s="1472">
        <f ca="1">H400</f>
        <v>-6.6163259664791751E-2</v>
      </c>
      <c r="H400" s="1470">
        <f ca="1">H399/E399-1</f>
        <v>-6.6163259664791751E-2</v>
      </c>
      <c r="I400" s="1471">
        <f ca="1">H400</f>
        <v>-6.6163259664791751E-2</v>
      </c>
      <c r="K400" s="1294">
        <f ca="1">K401*K399</f>
        <v>-226.18418422917426</v>
      </c>
      <c r="L400" s="1294">
        <f t="shared" ref="L400:N400" ca="1" si="54">L401*L399</f>
        <v>296.93615321537436</v>
      </c>
      <c r="M400" s="1294">
        <f t="shared" ca="1" si="54"/>
        <v>879.41347824271338</v>
      </c>
      <c r="N400" s="1294">
        <f t="shared" ca="1" si="54"/>
        <v>394.19401271370822</v>
      </c>
      <c r="O400" s="1294">
        <f ca="1">O401*O399</f>
        <v>935.96335933347473</v>
      </c>
      <c r="P400" s="1294">
        <f ca="1">P401*P399</f>
        <v>1406.3249318750775</v>
      </c>
    </row>
    <row r="401" spans="1:33" ht="15.75" customHeight="1">
      <c r="A401" s="3424"/>
      <c r="B401" s="1467" t="s">
        <v>4</v>
      </c>
      <c r="C401" s="1430">
        <f>Rev_Year!J107</f>
        <v>1698</v>
      </c>
      <c r="D401" s="1430">
        <f>E401</f>
        <v>1770</v>
      </c>
      <c r="E401" s="1430">
        <f>Rev_Year!K107</f>
        <v>1770</v>
      </c>
      <c r="F401" s="1430">
        <f>F402+E401</f>
        <v>1870</v>
      </c>
      <c r="G401" s="1473">
        <f>H401</f>
        <v>2537</v>
      </c>
      <c r="H401" s="1430">
        <f>Rev_Year!L107</f>
        <v>2537</v>
      </c>
      <c r="I401" s="1430">
        <f>I402+E401</f>
        <v>1970</v>
      </c>
      <c r="K401" s="1280">
        <f ca="1">L401-E403+D403</f>
        <v>-5.3935101774259054E-3</v>
      </c>
      <c r="L401" s="1268">
        <f ca="1">Rev_Year!K122/Rev_Year!K102</f>
        <v>7.2276401184303025E-3</v>
      </c>
      <c r="M401" s="1280">
        <f ca="1">L401+E403-D403</f>
        <v>1.9848790414286509E-2</v>
      </c>
      <c r="N401" s="1268">
        <f ca="1">O401-(H403-G403)</f>
        <v>7.0226517884795156E-3</v>
      </c>
      <c r="O401" s="1268">
        <f ca="1">Rev_Year!L122/Rev_Year!L102</f>
        <v>1.9643802084335724E-2</v>
      </c>
      <c r="P401" s="1268">
        <f ca="1">O401+H403-G403</f>
        <v>3.2264952380191933E-2</v>
      </c>
    </row>
    <row r="402" spans="1:33" ht="15.75" customHeight="1">
      <c r="A402" s="3424"/>
      <c r="B402" s="1469" t="s">
        <v>506</v>
      </c>
      <c r="C402" s="1474">
        <f>C401-Rev_Year!I107</f>
        <v>-30</v>
      </c>
      <c r="D402" s="1475">
        <f>D401-C401</f>
        <v>72</v>
      </c>
      <c r="E402" s="1475">
        <f>E401-C401</f>
        <v>72</v>
      </c>
      <c r="F402" s="1474">
        <v>100</v>
      </c>
      <c r="G402" s="1476">
        <f>G401-E401</f>
        <v>767</v>
      </c>
      <c r="H402" s="1474">
        <f>H401-E401</f>
        <v>767</v>
      </c>
      <c r="I402" s="1474">
        <v>200</v>
      </c>
    </row>
    <row r="403" spans="1:33" ht="15.75" customHeight="1">
      <c r="A403" s="3424"/>
      <c r="B403" s="1477" t="s">
        <v>1540</v>
      </c>
      <c r="C403" s="1478">
        <f ca="1">Rev_Year!J124/Rev_Year!J102</f>
        <v>-3.1233097601197655E-2</v>
      </c>
      <c r="D403" s="1479">
        <f ca="1">E403-H403+G403</f>
        <v>-1.0120416277046965E-2</v>
      </c>
      <c r="E403" s="1480">
        <f ca="1">Rev_Year!K129</f>
        <v>2.5007340188092425E-3</v>
      </c>
      <c r="F403" s="1481">
        <f ca="1">E403+E403-D403</f>
        <v>1.512188431466545E-2</v>
      </c>
      <c r="G403" s="1482">
        <f ca="1">E403</f>
        <v>2.5007340188092425E-3</v>
      </c>
      <c r="H403" s="1480">
        <f ca="1">Rev_Year!L129</f>
        <v>1.512188431466545E-2</v>
      </c>
      <c r="I403" s="1480">
        <f ca="1">H403+H403-G403</f>
        <v>2.7743034610521657E-2</v>
      </c>
    </row>
    <row r="404" spans="1:33" s="1263" customFormat="1" ht="15.75" customHeight="1">
      <c r="A404" s="1483"/>
      <c r="B404" s="1421" t="s">
        <v>690</v>
      </c>
      <c r="C404" s="1484"/>
      <c r="D404" s="1484"/>
      <c r="E404" s="1484"/>
      <c r="F404" s="1382"/>
      <c r="G404" s="1485"/>
      <c r="H404" s="1486"/>
      <c r="I404" s="1486"/>
      <c r="L404" s="1254">
        <v>6.074910228764116E-2</v>
      </c>
      <c r="M404" s="1254"/>
      <c r="U404" s="1325"/>
      <c r="X404" s="1325"/>
      <c r="Y404" s="1325"/>
      <c r="AB404" s="1487"/>
      <c r="AC404" s="1325"/>
      <c r="AG404" s="1000"/>
    </row>
    <row r="405" spans="1:33" ht="15.75" customHeight="1">
      <c r="B405" s="1422" t="s">
        <v>497</v>
      </c>
      <c r="C405" s="1430"/>
      <c r="D405" s="1430">
        <f ca="1">E405</f>
        <v>4468.6229806810024</v>
      </c>
      <c r="E405" s="1430">
        <f ca="1">Rev_Year!K95</f>
        <v>4468.6229806810024</v>
      </c>
      <c r="F405" s="1430">
        <f ca="1">E405</f>
        <v>4468.6229806810024</v>
      </c>
      <c r="G405" s="1488">
        <f ca="1">H405</f>
        <v>6616.7088803241168</v>
      </c>
      <c r="H405" s="1489">
        <f ca="1">Rev_Year!L95</f>
        <v>6616.7088803241168</v>
      </c>
      <c r="I405" s="1489">
        <f ca="1">H405</f>
        <v>6616.7088803241168</v>
      </c>
      <c r="L405" s="1256">
        <v>5396.1109544752244</v>
      </c>
      <c r="M405" s="1268">
        <f ca="1">E405/L405-1</f>
        <v>-0.17188081965309043</v>
      </c>
    </row>
    <row r="406" spans="1:33" ht="15.75" customHeight="1">
      <c r="B406" s="1422" t="s">
        <v>7</v>
      </c>
      <c r="C406" s="1430"/>
      <c r="D406" s="1430">
        <f ca="1">K400</f>
        <v>-226.18418422917426</v>
      </c>
      <c r="E406" s="1430">
        <f t="shared" ref="E406:H406" ca="1" si="55">L400</f>
        <v>296.93615321537436</v>
      </c>
      <c r="F406" s="1430">
        <f t="shared" ca="1" si="55"/>
        <v>879.41347824271338</v>
      </c>
      <c r="G406" s="1488">
        <f t="shared" ca="1" si="55"/>
        <v>394.19401271370822</v>
      </c>
      <c r="H406" s="1489">
        <f t="shared" ca="1" si="55"/>
        <v>935.96335933347473</v>
      </c>
      <c r="I406" s="1489">
        <f ca="1">P400</f>
        <v>1406.3249318750775</v>
      </c>
      <c r="L406" s="1256">
        <v>158.9040944089902</v>
      </c>
      <c r="M406" s="1268">
        <f t="shared" ref="M406:M410" ca="1" si="56">E406/L406-1</f>
        <v>0.86865010822889666</v>
      </c>
    </row>
    <row r="407" spans="1:33" ht="15.75" customHeight="1">
      <c r="B407" s="1422" t="s">
        <v>1532</v>
      </c>
      <c r="C407" s="1430"/>
      <c r="D407" s="1430">
        <f ca="1">E407</f>
        <v>60.20387918162578</v>
      </c>
      <c r="E407" s="1430">
        <f ca="1">E408-E405-E406</f>
        <v>60.20387918162578</v>
      </c>
      <c r="F407" s="1430">
        <f ca="1">E407</f>
        <v>60.20387918162578</v>
      </c>
      <c r="G407" s="1488">
        <f ca="1">H407</f>
        <v>1126.2611527492427</v>
      </c>
      <c r="H407" s="1489">
        <f ca="1">H408-H405-H406</f>
        <v>1126.2611527492427</v>
      </c>
      <c r="I407" s="1489">
        <f ca="1">H407</f>
        <v>1126.2611527492427</v>
      </c>
      <c r="L407" s="1325">
        <v>-238.10258551642983</v>
      </c>
      <c r="M407" s="1268">
        <f t="shared" ca="1" si="56"/>
        <v>-1.2528484898685468</v>
      </c>
    </row>
    <row r="408" spans="1:33" ht="15.75" customHeight="1">
      <c r="B408" s="1436" t="s">
        <v>8</v>
      </c>
      <c r="C408" s="1437"/>
      <c r="D408" s="1437">
        <f ca="1">SUM(D405:D407)</f>
        <v>4302.642675633454</v>
      </c>
      <c r="E408" s="1437">
        <f>FS!O96</f>
        <v>4825.7630130780026</v>
      </c>
      <c r="F408" s="1437">
        <f ca="1">SUM(F405:F407)</f>
        <v>5408.2403381053418</v>
      </c>
      <c r="G408" s="1490">
        <f ca="1">SUM(G405:G407)</f>
        <v>8137.1640457870681</v>
      </c>
      <c r="H408" s="1491">
        <f ca="1">FS!P96</f>
        <v>8678.9333924068342</v>
      </c>
      <c r="I408" s="1491">
        <f ca="1">SUM(I405:I407)</f>
        <v>9149.2949649484362</v>
      </c>
      <c r="J408" s="1254">
        <f>SUM(J405:J407)</f>
        <v>0</v>
      </c>
      <c r="L408" s="1256">
        <v>5316.9124633677848</v>
      </c>
      <c r="M408" s="1268">
        <f t="shared" si="56"/>
        <v>-9.2374936332633051E-2</v>
      </c>
    </row>
    <row r="409" spans="1:33" ht="15.75" customHeight="1">
      <c r="B409" s="1492" t="s">
        <v>543</v>
      </c>
      <c r="C409" s="1493"/>
      <c r="D409" s="1493">
        <f ca="1">E409*D408/E408</f>
        <v>3318.412020396735</v>
      </c>
      <c r="E409" s="1493">
        <f>FS!O104</f>
        <v>3721.8684416610026</v>
      </c>
      <c r="F409" s="1493">
        <f ca="1">F408*E409/E408</f>
        <v>4171.1039238277126</v>
      </c>
      <c r="G409" s="1494">
        <f ca="1">H409*G408/H408</f>
        <v>6335.5840960805908</v>
      </c>
      <c r="H409" s="1495">
        <f ca="1">FS!P104</f>
        <v>6757.4049217238035</v>
      </c>
      <c r="I409" s="1495">
        <f ca="1">H409*I408/H408</f>
        <v>7123.6277582837847</v>
      </c>
      <c r="L409" s="1256">
        <v>4114.2821043477725</v>
      </c>
      <c r="M409" s="1268">
        <f t="shared" si="56"/>
        <v>-9.5378404478411061E-2</v>
      </c>
      <c r="N409" s="1254">
        <f ca="1">G409/$E$409-1</f>
        <v>0.702259011942167</v>
      </c>
      <c r="O409" s="1254">
        <f ca="1">H409/$E$409-1</f>
        <v>0.81559478193380097</v>
      </c>
    </row>
    <row r="410" spans="1:33" ht="15.75" customHeight="1">
      <c r="B410" s="1422" t="s">
        <v>409</v>
      </c>
      <c r="C410" s="1430"/>
      <c r="D410" s="1430">
        <f t="shared" ref="D410:I410" ca="1" si="57">$C$420/D409</f>
        <v>38.056546090048712</v>
      </c>
      <c r="E410" s="1430">
        <f t="shared" ca="1" si="57"/>
        <v>33.931156347815524</v>
      </c>
      <c r="F410" s="1430">
        <f t="shared" ca="1" si="57"/>
        <v>30.276709069408529</v>
      </c>
      <c r="G410" s="1488">
        <f t="shared" ca="1" si="57"/>
        <v>19.933016133133748</v>
      </c>
      <c r="H410" s="1489">
        <f t="shared" ca="1" si="57"/>
        <v>18.688727619978753</v>
      </c>
      <c r="I410" s="1489">
        <f t="shared" ca="1" si="57"/>
        <v>17.727947653236864</v>
      </c>
      <c r="L410" s="1256">
        <v>23.53806289864179</v>
      </c>
      <c r="M410" s="1268">
        <f t="shared" ca="1" si="56"/>
        <v>0.44154412765093953</v>
      </c>
    </row>
    <row r="411" spans="1:33" ht="15.75" customHeight="1">
      <c r="B411" s="1496" t="s">
        <v>318</v>
      </c>
      <c r="C411" s="1497"/>
      <c r="D411" s="1497"/>
      <c r="E411" s="1497"/>
      <c r="F411" s="1498"/>
      <c r="G411" s="1499"/>
      <c r="H411" s="1500"/>
      <c r="I411" s="1500"/>
      <c r="L411" s="1256" t="s">
        <v>1534</v>
      </c>
      <c r="M411" s="1268" t="e">
        <f ca="1">E412/L411-1</f>
        <v>#VALUE!</v>
      </c>
    </row>
    <row r="412" spans="1:33" ht="15.75" customHeight="1">
      <c r="B412" s="1422" t="s">
        <v>497</v>
      </c>
      <c r="C412" s="1430"/>
      <c r="D412" s="1430">
        <f t="shared" ref="D412:I412" ca="1" si="58">D405*12.8*0.8</f>
        <v>45758.699322173466</v>
      </c>
      <c r="E412" s="1430">
        <f t="shared" ca="1" si="58"/>
        <v>45758.699322173466</v>
      </c>
      <c r="F412" s="1430">
        <f t="shared" ca="1" si="58"/>
        <v>45758.699322173466</v>
      </c>
      <c r="G412" s="1488">
        <f ca="1">G405*12.8*0.8</f>
        <v>67755.098934518974</v>
      </c>
      <c r="H412" s="1489">
        <f ca="1">H405*12.8*0.8</f>
        <v>67755.098934518974</v>
      </c>
      <c r="I412" s="1489">
        <f t="shared" ca="1" si="58"/>
        <v>67755.098934518974</v>
      </c>
      <c r="L412" s="1256">
        <v>55256.176173826301</v>
      </c>
      <c r="M412" s="1268">
        <f ca="1">E412/L412-1</f>
        <v>-0.17188081965309054</v>
      </c>
    </row>
    <row r="413" spans="1:33" ht="15.75" customHeight="1">
      <c r="B413" s="1422" t="s">
        <v>1541</v>
      </c>
      <c r="C413" s="1430"/>
      <c r="D413" s="1430">
        <f ca="1">D313*0.9499</f>
        <v>28560.856679277465</v>
      </c>
      <c r="E413" s="1430">
        <f ca="1">G325*0.9499</f>
        <v>38599.854059315192</v>
      </c>
      <c r="F413" s="1430">
        <f ca="1">K313*0.9499</f>
        <v>53052.222206086386</v>
      </c>
      <c r="G413" s="1488">
        <f ca="1">(D312/(1+N303))*0.9499</f>
        <v>31608.758808172639</v>
      </c>
      <c r="H413" s="1489">
        <f ca="1">(G312/(1+N303))*0.9499</f>
        <v>38599.854059315192</v>
      </c>
      <c r="I413" s="1489">
        <f ca="1">(K312/(1+N303))*0.9499</f>
        <v>53052.222206086386</v>
      </c>
      <c r="L413" s="1256">
        <v>42948.523622493543</v>
      </c>
      <c r="M413" s="1268">
        <f t="shared" ref="M413:M414" ca="1" si="59">E413/L413-1</f>
        <v>-0.1012530628852818</v>
      </c>
    </row>
    <row r="414" spans="1:33" ht="15.75" customHeight="1">
      <c r="B414" s="1422" t="s">
        <v>1536</v>
      </c>
      <c r="C414" s="1430"/>
      <c r="D414" s="1430">
        <f ca="1">E414</f>
        <v>15345.381171372002</v>
      </c>
      <c r="E414" s="1430">
        <f ca="1">Rev_Year!K165+(SUM('Fixed Asset &amp; Interest'!G78:G80)-SUM('Fixed Asset &amp; Interest'!G88:G89))</f>
        <v>15345.381171372002</v>
      </c>
      <c r="F414" s="1430">
        <f ca="1">E414</f>
        <v>15345.381171372002</v>
      </c>
      <c r="G414" s="1501">
        <f ca="1">H414</f>
        <v>17096.179137373398</v>
      </c>
      <c r="H414" s="1502">
        <f ca="1">(SUM('Fixed Asset &amp; Interest'!H78:H80)-SUM('Fixed Asset &amp; Interest'!H88:H89))*0.86+Rev_Year!M165*0.9</f>
        <v>17096.179137373398</v>
      </c>
      <c r="I414" s="1503">
        <f ca="1">H414</f>
        <v>17096.179137373398</v>
      </c>
      <c r="L414" s="1256">
        <v>8315.6159396103176</v>
      </c>
      <c r="M414" s="1268">
        <f t="shared" ca="1" si="59"/>
        <v>0.84536915639361654</v>
      </c>
    </row>
    <row r="415" spans="1:33" ht="15.75" customHeight="1">
      <c r="B415" s="1439" t="s">
        <v>704</v>
      </c>
      <c r="C415" s="1504"/>
      <c r="D415" s="1504">
        <f t="shared" ref="D415:I415" ca="1" si="60">D412+D413+D414</f>
        <v>89664.937172822931</v>
      </c>
      <c r="E415" s="1504">
        <f t="shared" ca="1" si="60"/>
        <v>99703.934552860665</v>
      </c>
      <c r="F415" s="1504">
        <f t="shared" ca="1" si="60"/>
        <v>114156.30269963185</v>
      </c>
      <c r="G415" s="1505">
        <f t="shared" ca="1" si="60"/>
        <v>116460.03688006502</v>
      </c>
      <c r="H415" s="1506">
        <f t="shared" ca="1" si="60"/>
        <v>123451.13213120756</v>
      </c>
      <c r="I415" s="1507">
        <f t="shared" ca="1" si="60"/>
        <v>137903.50027797875</v>
      </c>
      <c r="L415" s="1256">
        <v>106520.31573593017</v>
      </c>
      <c r="M415" s="1268">
        <f ca="1">E415/L415-1</f>
        <v>-6.3991372312185879E-2</v>
      </c>
    </row>
    <row r="416" spans="1:33" ht="15.75" customHeight="1">
      <c r="B416" s="1508" t="s">
        <v>711</v>
      </c>
      <c r="C416" s="1509"/>
      <c r="D416" s="1509">
        <f ca="1">ROUND(D415/Diamond!$J$11,-2)</f>
        <v>61300</v>
      </c>
      <c r="E416" s="1509">
        <f ca="1">ROUND(E415/Diamond!$J$11,-2)</f>
        <v>68200</v>
      </c>
      <c r="F416" s="1509">
        <f ca="1">ROUND(F415/Diamond!$J$11,-2)</f>
        <v>78100</v>
      </c>
      <c r="G416" s="1510">
        <f ca="1">ROUND(G415/Diamond!$J$11,-2)</f>
        <v>79600</v>
      </c>
      <c r="H416" s="1511">
        <f ca="1">ROUND(H415/Diamond!$J$11,-2)</f>
        <v>84400</v>
      </c>
      <c r="I416" s="1511">
        <f ca="1">ROUND(I415/Diamond!$J$11,-2)</f>
        <v>94300</v>
      </c>
      <c r="L416" s="1256">
        <v>72900</v>
      </c>
      <c r="M416" s="1268">
        <f ca="1">E416/L416-1</f>
        <v>-6.4471879286694067E-2</v>
      </c>
    </row>
    <row r="417" spans="2:15" ht="15.75" customHeight="1">
      <c r="B417" s="1422" t="s">
        <v>713</v>
      </c>
      <c r="C417" s="1430"/>
      <c r="D417" s="1387">
        <f t="shared" ref="D417:I417" ca="1" si="61">D416/$E$418-1</f>
        <v>-0.3065610859728507</v>
      </c>
      <c r="E417" s="1512">
        <f t="shared" ca="1" si="61"/>
        <v>-0.22850678733031671</v>
      </c>
      <c r="F417" s="1387">
        <f t="shared" ca="1" si="61"/>
        <v>-0.11651583710407243</v>
      </c>
      <c r="G417" s="1513">
        <f t="shared" ca="1" si="61"/>
        <v>-9.9547511312217174E-2</v>
      </c>
      <c r="H417" s="1514">
        <f t="shared" ca="1" si="61"/>
        <v>-4.5248868778280493E-2</v>
      </c>
      <c r="I417" s="1514">
        <f t="shared" ca="1" si="61"/>
        <v>6.6742081447963786E-2</v>
      </c>
      <c r="L417" s="1256">
        <v>0.14622641509433953</v>
      </c>
      <c r="M417" s="1268">
        <f ca="1">E417/L417-1</f>
        <v>-2.5626915778718442</v>
      </c>
    </row>
    <row r="418" spans="2:15" ht="15.75" customHeight="1">
      <c r="B418" s="1449" t="s">
        <v>717</v>
      </c>
      <c r="C418" s="1450"/>
      <c r="D418" s="1450">
        <f>D420</f>
        <v>88400</v>
      </c>
      <c r="E418" s="1450">
        <f>D418</f>
        <v>88400</v>
      </c>
      <c r="F418" s="1450">
        <f t="shared" ref="F418:I418" si="62">E418</f>
        <v>88400</v>
      </c>
      <c r="G418" s="1501">
        <f t="shared" si="62"/>
        <v>88400</v>
      </c>
      <c r="H418" s="1502">
        <f t="shared" si="62"/>
        <v>88400</v>
      </c>
      <c r="I418" s="1502">
        <f t="shared" si="62"/>
        <v>88400</v>
      </c>
      <c r="L418" s="1256">
        <v>63600</v>
      </c>
    </row>
    <row r="419" spans="2:15">
      <c r="C419" s="1274"/>
      <c r="D419" s="1274"/>
      <c r="E419" s="1274"/>
      <c r="F419" s="1274"/>
      <c r="G419" s="1256"/>
      <c r="H419" s="1256"/>
      <c r="I419" s="1256"/>
    </row>
    <row r="420" spans="2:15">
      <c r="B420" s="1254" t="e" vm="2">
        <v>#VALUE!</v>
      </c>
      <c r="C420" s="1274" cm="1">
        <f t="array" aca="1" ref="C420" ca="1">_FV(B420,"Market cap",TRUE)/10^9</f>
        <v>126287.3</v>
      </c>
      <c r="D420" s="1274">
        <v>88400</v>
      </c>
      <c r="E420" s="1274">
        <f ca="1">F420*D420</f>
        <v>129811.57784920001</v>
      </c>
      <c r="F420" s="1891">
        <f ca="1">FS!P44/10000</f>
        <v>1.4684567630000001</v>
      </c>
      <c r="G420" s="1256"/>
      <c r="H420" s="1257">
        <f ca="1">H413/25000</f>
        <v>1.5439941623726077</v>
      </c>
      <c r="I420" s="1256"/>
    </row>
    <row r="421" spans="2:15">
      <c r="B421" s="1294">
        <f>80500/D420-1</f>
        <v>-8.9366515837104088E-2</v>
      </c>
      <c r="C421" s="1274"/>
      <c r="D421" s="1277">
        <f>500/D418</f>
        <v>5.6561085972850677E-3</v>
      </c>
      <c r="E421" s="1277">
        <f>D420/70000-1</f>
        <v>0.2628571428571429</v>
      </c>
      <c r="F421" s="1277">
        <f>D420/66000-1</f>
        <v>0.33939393939393936</v>
      </c>
      <c r="G421" s="1256"/>
      <c r="H421" s="1256"/>
      <c r="I421" s="1256"/>
    </row>
    <row r="422" spans="2:15" ht="15" customHeight="1">
      <c r="C422" s="1274"/>
      <c r="D422" s="1274"/>
      <c r="E422" s="1274"/>
      <c r="F422" s="1274"/>
      <c r="G422" s="1256">
        <f ca="1">E420/FS!P104</f>
        <v>19.210270710858225</v>
      </c>
      <c r="H422" s="1256"/>
      <c r="I422" s="1256"/>
    </row>
    <row r="423" spans="2:15" ht="15" customHeight="1">
      <c r="B423" s="2110"/>
      <c r="C423" s="2110"/>
      <c r="D423" s="3426" t="s">
        <v>1542</v>
      </c>
      <c r="E423" s="3426"/>
      <c r="F423" s="3426"/>
      <c r="H423" s="1256"/>
      <c r="I423" s="1256"/>
    </row>
    <row r="424" spans="2:15" ht="15" customHeight="1">
      <c r="B424" s="2110"/>
      <c r="C424" s="2110"/>
      <c r="D424" s="2110" t="s">
        <v>1543</v>
      </c>
      <c r="E424" s="2122" t="s">
        <v>676</v>
      </c>
      <c r="F424" s="2110" t="s">
        <v>678</v>
      </c>
      <c r="H424" s="1256"/>
      <c r="I424" s="1256"/>
    </row>
    <row r="425" spans="2:15" hidden="1">
      <c r="B425" s="3428" t="s">
        <v>681</v>
      </c>
      <c r="C425" s="3428"/>
      <c r="D425" s="3428"/>
      <c r="E425" s="3429"/>
      <c r="F425" s="3428"/>
      <c r="H425" s="1256"/>
    </row>
    <row r="426" spans="2:15" hidden="1" outlineLevel="1">
      <c r="B426" s="2070" t="s">
        <v>684</v>
      </c>
      <c r="C426" s="2112">
        <f ca="1">Rev_Year!L99</f>
        <v>6.1460551385976406E-2</v>
      </c>
      <c r="D426" s="2071">
        <v>4.4999999999999998E-2</v>
      </c>
      <c r="E426" s="2071">
        <f ca="1">Rev_Year!M95/Rev_Year!M82</f>
        <v>6.3450633009008883E-2</v>
      </c>
      <c r="F426" s="1368">
        <f ca="1">E426+0.5%</f>
        <v>6.8450633009008888E-2</v>
      </c>
      <c r="H426" s="1268"/>
      <c r="I426" s="1256">
        <f ca="1">Rev_Year!L82</f>
        <v>107657.81840730226</v>
      </c>
      <c r="J426" s="1256">
        <f ca="1">Rev_Year!M82</f>
        <v>120831.54694497708</v>
      </c>
      <c r="L426" s="1294">
        <f ca="1">C426*I426</f>
        <v>6616.7088803241168</v>
      </c>
      <c r="M426" s="1294">
        <f ca="1">D426*$J426+Rev_Year!$M$177+Rev_Year!$M$317</f>
        <v>5506.1317246760409</v>
      </c>
      <c r="N426" s="1294">
        <f ca="1">E426*$J426+Rev_Year!$M$177+Rev_Year!$M$317</f>
        <v>7735.5502532686423</v>
      </c>
      <c r="O426" s="1294">
        <f ca="1">F426*$J426+Rev_Year!$M$177+Rev_Year!$M$317</f>
        <v>8339.7079879935281</v>
      </c>
    </row>
    <row r="427" spans="2:15" hidden="1" outlineLevel="1">
      <c r="B427" s="2079" t="s">
        <v>687</v>
      </c>
      <c r="C427" s="2075">
        <f ca="1">Rev_Year!L129</f>
        <v>1.512188431466545E-2</v>
      </c>
      <c r="D427" s="2105">
        <v>0.02</v>
      </c>
      <c r="E427" s="2172">
        <f ca="1">Rev_Year!M129</f>
        <v>2.4386839277590971E-2</v>
      </c>
      <c r="F427" s="2173">
        <v>0.03</v>
      </c>
      <c r="I427" s="1256">
        <f ca="1">Rev_Year!L102</f>
        <v>47646.751647932077</v>
      </c>
      <c r="J427" s="1256">
        <f ca="1">Rev_Year!M102</f>
        <v>68350.825336556707</v>
      </c>
      <c r="L427" s="1294">
        <f ca="1">C427*I427</f>
        <v>720.5086663896243</v>
      </c>
      <c r="M427" s="1294">
        <f t="shared" ref="M427:O427" ca="1" si="63">D427*$J427</f>
        <v>1367.0165067311341</v>
      </c>
      <c r="N427" s="1294">
        <f t="shared" ca="1" si="63"/>
        <v>1666.8605919733013</v>
      </c>
      <c r="O427" s="1294">
        <f t="shared" ca="1" si="63"/>
        <v>2050.5247600967014</v>
      </c>
    </row>
    <row r="428" spans="2:15" collapsed="1">
      <c r="B428" s="3427" t="str">
        <f>B404</f>
        <v>Lợi nhuận các mảng kinh doanh</v>
      </c>
      <c r="C428" s="3427"/>
      <c r="D428" s="3427"/>
      <c r="E428" s="3427"/>
      <c r="F428" s="3427"/>
      <c r="L428" s="1254" t="s">
        <v>1544</v>
      </c>
      <c r="M428" s="1294">
        <f ca="1">M427-Rev_Year!$L$123</f>
        <v>1582.4711996749845</v>
      </c>
      <c r="N428" s="1294">
        <f ca="1">N427-Rev_Year!$L$123</f>
        <v>1882.3152849171518</v>
      </c>
      <c r="O428" s="1294">
        <f ca="1">O427-Rev_Year!$L$123</f>
        <v>2265.9794530405516</v>
      </c>
    </row>
    <row r="429" spans="2:15" hidden="1">
      <c r="B429" s="2117" t="s">
        <v>8</v>
      </c>
      <c r="C429" s="2115">
        <f ca="1">FS!P96</f>
        <v>8678.9333924068342</v>
      </c>
      <c r="D429" s="2136">
        <f ca="1">SUM(D430:D432)</f>
        <v>8346.0565933137368</v>
      </c>
      <c r="E429" s="2082">
        <f ca="1">FS!Q96</f>
        <v>10875.319207148506</v>
      </c>
      <c r="F429" s="1521">
        <f ca="1">SUM(F430:F432)</f>
        <v>11863.141109996792</v>
      </c>
      <c r="M429" s="1294"/>
      <c r="N429" s="1294"/>
      <c r="O429" s="1294"/>
    </row>
    <row r="430" spans="2:15">
      <c r="B430" s="2085" t="s">
        <v>699</v>
      </c>
      <c r="C430" s="2085">
        <f ca="1">Rev_Year!L95+Rev_Year!L177+Rev_Year!L317</f>
        <v>6563.509291375748</v>
      </c>
      <c r="D430" s="2113">
        <f ca="1">M426</f>
        <v>5506.1317246760409</v>
      </c>
      <c r="E430" s="2085">
        <f ca="1">N426</f>
        <v>7735.5502532686423</v>
      </c>
      <c r="F430" s="1520">
        <f ca="1">O426</f>
        <v>8339.7079879935281</v>
      </c>
      <c r="H430" s="1519" t="s">
        <v>497</v>
      </c>
    </row>
    <row r="431" spans="2:15">
      <c r="B431" s="2079" t="str">
        <f>B406</f>
        <v>BHX</v>
      </c>
      <c r="C431" s="2113">
        <f ca="1">Rev_Year!L122</f>
        <v>935.96335933347473</v>
      </c>
      <c r="D431" s="2113">
        <f ca="1">M427</f>
        <v>1367.0165067311341</v>
      </c>
      <c r="E431" s="2085">
        <f t="shared" ref="E431:F431" ca="1" si="64">N427</f>
        <v>1666.8605919733013</v>
      </c>
      <c r="F431" s="1520">
        <f t="shared" ca="1" si="64"/>
        <v>2050.5247600967014</v>
      </c>
      <c r="H431" s="1519" t="s">
        <v>7</v>
      </c>
    </row>
    <row r="432" spans="2:15">
      <c r="B432" s="2116" t="s">
        <v>697</v>
      </c>
      <c r="C432" s="2113">
        <f ca="1">C429-C430-C431</f>
        <v>1179.4607416976114</v>
      </c>
      <c r="D432" s="2134">
        <f ca="1">E432</f>
        <v>1472.9083619065627</v>
      </c>
      <c r="E432" s="2085">
        <f ca="1">E429-E430-E431</f>
        <v>1472.9083619065627</v>
      </c>
      <c r="F432" s="1520">
        <f ca="1">E432</f>
        <v>1472.9083619065627</v>
      </c>
      <c r="H432" s="1519" t="s">
        <v>49</v>
      </c>
      <c r="L432" s="1256">
        <f ca="1">FS!P104</f>
        <v>6757.4049217238035</v>
      </c>
      <c r="M432" s="1256">
        <f ca="1">D429*FS!$AF$80/Valuation_Senario!$E$429</f>
        <v>6599.7860598426605</v>
      </c>
      <c r="N432" s="1256">
        <f ca="1">E429*FS!$AF$80/Valuation_Senario!$E$429</f>
        <v>8599.8434466857871</v>
      </c>
      <c r="O432" s="1256">
        <f ca="1">F429*FS!$AF$80/Valuation_Senario!$E$429</f>
        <v>9380.9804005435235</v>
      </c>
    </row>
    <row r="433" spans="1:28">
      <c r="B433" s="2079" t="s">
        <v>9</v>
      </c>
      <c r="C433" s="2113">
        <f ca="1">L432</f>
        <v>6757.4049217238035</v>
      </c>
      <c r="D433" s="2113">
        <f ca="1">M432</f>
        <v>6599.7860598426605</v>
      </c>
      <c r="E433" s="2085">
        <f ca="1">N432</f>
        <v>8599.8434466857871</v>
      </c>
      <c r="F433" s="1520">
        <f ca="1">O432</f>
        <v>9380.9804005435235</v>
      </c>
      <c r="G433" s="1254">
        <f>5044*1.1</f>
        <v>5548.4000000000005</v>
      </c>
    </row>
    <row r="434" spans="1:28">
      <c r="B434" s="2079" t="s">
        <v>409</v>
      </c>
      <c r="C434" s="2114">
        <f ca="1">$E$420/L432</f>
        <v>19.210270710858225</v>
      </c>
      <c r="D434" s="2114">
        <f ca="1">$E$420/M432</f>
        <v>19.669058462221535</v>
      </c>
      <c r="E434" s="2085">
        <f ca="1">$E$420/N432</f>
        <v>15.094644298347882</v>
      </c>
      <c r="F434" s="1520">
        <f ca="1">$E$420/O432</f>
        <v>13.837741078925916</v>
      </c>
    </row>
    <row r="435" spans="1:28">
      <c r="B435" s="3427" t="s">
        <v>1545</v>
      </c>
      <c r="C435" s="3427"/>
      <c r="D435" s="3427"/>
      <c r="E435" s="3427"/>
      <c r="F435" s="3427"/>
    </row>
    <row r="436" spans="1:28">
      <c r="B436" s="2070" t="s">
        <v>699</v>
      </c>
      <c r="C436" s="2115">
        <v>0.99990000000000001</v>
      </c>
      <c r="D436" s="2137">
        <f ca="1">(D430*15)/(1+$M$505)^(M$508)</f>
        <v>78669.539825184329</v>
      </c>
      <c r="E436" s="2082">
        <f ca="1">M513</f>
        <v>92815.821791136215</v>
      </c>
      <c r="F436" s="2082">
        <f ca="1">(F430*15)/(1+$M$505)^(O$508)</f>
        <v>108062.29981203144</v>
      </c>
      <c r="G436" s="1268">
        <f ca="1">E436/I436-1</f>
        <v>0.39546323935788985</v>
      </c>
      <c r="H436" s="1256">
        <v>59102.078564969204</v>
      </c>
      <c r="I436" s="1275">
        <f>3882+H439+H436</f>
        <v>66512.552372103048</v>
      </c>
      <c r="O436" s="1254">
        <f>3300-2900</f>
        <v>400</v>
      </c>
    </row>
    <row r="437" spans="1:28">
      <c r="B437" s="2079" t="s">
        <v>701</v>
      </c>
      <c r="C437" s="2113">
        <v>0.95</v>
      </c>
      <c r="D437" s="2113">
        <f ca="1">E497</f>
        <v>33153.763101770041</v>
      </c>
      <c r="E437" s="2085">
        <f ca="1">O524*94.99%</f>
        <v>45292.98547276247</v>
      </c>
      <c r="F437" s="2085">
        <f ca="1">G497</f>
        <v>59123.302026802943</v>
      </c>
      <c r="G437" s="1268">
        <f ca="1">E437/I437-1</f>
        <v>1.7176098708952647E-2</v>
      </c>
      <c r="H437" s="1256">
        <v>44528.16531006818</v>
      </c>
      <c r="I437" s="1275">
        <f>H437</f>
        <v>44528.16531006818</v>
      </c>
      <c r="J437" s="1283">
        <f ca="1">E437/26000</f>
        <v>1.7420379027985566</v>
      </c>
    </row>
    <row r="438" spans="1:28">
      <c r="B438" s="2121" t="s">
        <v>703</v>
      </c>
      <c r="C438" s="2113"/>
      <c r="D438" s="2135">
        <f>E438</f>
        <v>17574.344482195003</v>
      </c>
      <c r="E438" s="2085">
        <f>('FS Quarter'!BS37+'FS Quarter'!BS40+'FS Quarter'!BS49+'FS Quarter'!BS68+'FS Quarter'!BS93-'FS Quarter'!BS113)</f>
        <v>17574.344482195003</v>
      </c>
      <c r="F438" s="2119">
        <f>E438</f>
        <v>17574.344482195003</v>
      </c>
      <c r="G438" s="1268" t="e">
        <f t="shared" ref="G438:G439" si="65">E438/I438-1</f>
        <v>#DIV/0!</v>
      </c>
      <c r="H438" s="1256">
        <v>18286.611223740787</v>
      </c>
    </row>
    <row r="439" spans="1:28" ht="15" hidden="1" customHeight="1">
      <c r="B439" s="1371"/>
      <c r="C439" s="1381"/>
      <c r="D439" s="1377"/>
      <c r="E439" s="1377"/>
      <c r="F439" s="1377"/>
      <c r="G439" s="1268" t="e">
        <f t="shared" si="65"/>
        <v>#DIV/0!</v>
      </c>
      <c r="H439" s="1256">
        <v>3528.4738071338465</v>
      </c>
    </row>
    <row r="440" spans="1:28" ht="15" customHeight="1">
      <c r="B440" s="2106" t="s">
        <v>704</v>
      </c>
      <c r="C440" s="2120"/>
      <c r="D440" s="2107">
        <f ca="1">SUM(D436:D439)</f>
        <v>129397.64740914939</v>
      </c>
      <c r="E440" s="2118">
        <f ca="1">SUM(E436:E439)</f>
        <v>155683.1517460937</v>
      </c>
      <c r="F440" s="2118">
        <f t="shared" ref="F440" ca="1" si="66">SUM(F436:F439)</f>
        <v>184759.94632102939</v>
      </c>
      <c r="G440" s="1268">
        <f ca="1">E440/H440-1</f>
        <v>0.24104383243206295</v>
      </c>
      <c r="H440" s="1256">
        <v>125445.32890591203</v>
      </c>
    </row>
    <row r="441" spans="1:28" ht="2" customHeight="1">
      <c r="B441" s="1515"/>
      <c r="C441" s="1516"/>
      <c r="D441" s="1438"/>
      <c r="E441" s="1438"/>
      <c r="F441" s="1438"/>
      <c r="H441" s="1256">
        <v>84500</v>
      </c>
      <c r="I441" s="1254">
        <v>1094.3</v>
      </c>
      <c r="J441" s="1254">
        <v>1226.3</v>
      </c>
      <c r="K441" s="1254">
        <f>J441/I441-1</f>
        <v>0.12062505711413696</v>
      </c>
    </row>
    <row r="442" spans="1:28" ht="15" customHeight="1">
      <c r="B442" s="1517" t="s">
        <v>711</v>
      </c>
      <c r="C442" s="1518"/>
      <c r="D442" s="1509">
        <f ca="1">ROUND(D440/$F$420,-2)</f>
        <v>88100</v>
      </c>
      <c r="E442" s="1509">
        <f ca="1">ROUND(E440/$F$420,-2)</f>
        <v>106000</v>
      </c>
      <c r="F442" s="1509">
        <f t="shared" ref="F442" ca="1" si="67">ROUND(F440/$F$420,-2)</f>
        <v>125800</v>
      </c>
      <c r="G442" s="1262">
        <f ca="1">E442/E539-1</f>
        <v>5.1587301587301626E-2</v>
      </c>
      <c r="H442" s="1256">
        <v>0.21933621933621938</v>
      </c>
      <c r="I442" s="1254">
        <v>46.25</v>
      </c>
      <c r="J442" s="1254">
        <v>60.8</v>
      </c>
      <c r="K442" s="1254">
        <f>J442/I442-1</f>
        <v>0.31459459459459449</v>
      </c>
    </row>
    <row r="443" spans="1:28" ht="15" customHeight="1">
      <c r="B443" s="1371" t="s">
        <v>713</v>
      </c>
      <c r="C443" s="1381"/>
      <c r="D443" s="1387">
        <f ca="1">D442/$D$445-1</f>
        <v>-3.3936651583710287E-3</v>
      </c>
      <c r="E443" s="1387">
        <f ca="1">E442/$D$445-1</f>
        <v>0.19909502262443435</v>
      </c>
      <c r="F443" s="1387">
        <f ca="1">F442/$D$445-1</f>
        <v>0.42307692307692313</v>
      </c>
      <c r="I443" s="1254" t="s">
        <v>1546</v>
      </c>
      <c r="J443" s="1254" t="s">
        <v>1547</v>
      </c>
      <c r="K443" s="1254" t="s">
        <v>1548</v>
      </c>
      <c r="L443" s="1254" t="s">
        <v>115</v>
      </c>
      <c r="M443" s="1254" t="s">
        <v>116</v>
      </c>
      <c r="N443" s="1254" t="s">
        <v>117</v>
      </c>
      <c r="O443" s="1254" t="s">
        <v>118</v>
      </c>
      <c r="P443" s="1254" t="s">
        <v>119</v>
      </c>
      <c r="Q443" s="1254" t="s">
        <v>120</v>
      </c>
      <c r="R443" s="1254" t="s">
        <v>121</v>
      </c>
      <c r="S443" s="1254" t="s">
        <v>122</v>
      </c>
      <c r="T443" s="1254" t="s">
        <v>123</v>
      </c>
      <c r="U443" s="1256" t="s">
        <v>124</v>
      </c>
      <c r="V443" s="1254" t="s">
        <v>125</v>
      </c>
      <c r="W443" s="1254" t="s">
        <v>126</v>
      </c>
      <c r="X443" s="1256" t="s">
        <v>127</v>
      </c>
      <c r="Y443" s="1256" t="s">
        <v>128</v>
      </c>
      <c r="Z443" s="1254" t="s">
        <v>129</v>
      </c>
      <c r="AA443" s="1254" t="s">
        <v>130</v>
      </c>
      <c r="AB443" s="1257" t="s">
        <v>131</v>
      </c>
    </row>
    <row r="444" spans="1:28">
      <c r="B444" s="2111" t="s">
        <v>715</v>
      </c>
      <c r="C444" s="2110"/>
      <c r="D444" s="2110"/>
      <c r="E444" s="2110" t="s">
        <v>716</v>
      </c>
      <c r="F444" s="2110"/>
      <c r="H444" s="1263" t="s">
        <v>1549</v>
      </c>
      <c r="I444" s="1254" t="s">
        <v>120</v>
      </c>
      <c r="J444" s="2168">
        <f ca="1">SUM(Rev_Year!C124:N124)</f>
        <v>-3609.2975016737132</v>
      </c>
      <c r="K444" s="2169" t="str">
        <f>O443</f>
        <v>Q4/2028</v>
      </c>
      <c r="L444" s="1275">
        <f ca="1">$J$444+SUM(Rev_Year!$BI$124:BI124)</f>
        <v>-2713.3707915992113</v>
      </c>
      <c r="M444" s="1275">
        <f ca="1">$J$444+SUM(Rev_Year!$BI$124:BJ124)</f>
        <v>-1935.5592991253807</v>
      </c>
      <c r="N444" s="1275">
        <f ca="1">$J$444+SUM(Rev_Year!$BI$124:BK124)</f>
        <v>-1110.7566395941603</v>
      </c>
      <c r="O444" s="1275">
        <f ca="1">$J$444+SUM(Rev_Year!$BI$124:BL124)</f>
        <v>-26.346628587799842</v>
      </c>
      <c r="P444" s="1275">
        <f ca="1">$J$444+SUM(Rev_Year!$BI$124:BM124)</f>
        <v>1109.1962732468978</v>
      </c>
      <c r="Q444" s="1275">
        <f ca="1">$J$444+SUM(Rev_Year!$BI$124:BN124)</f>
        <v>2103.1695520300559</v>
      </c>
      <c r="R444" s="1275">
        <f ca="1">$J$444+SUM(Rev_Year!$BI$124:BO124)</f>
        <v>3149.5122990248251</v>
      </c>
    </row>
    <row r="445" spans="1:28">
      <c r="B445" s="2124" t="s">
        <v>717</v>
      </c>
      <c r="C445" s="1381"/>
      <c r="D445" s="2109">
        <f>D420</f>
        <v>88400</v>
      </c>
      <c r="E445" s="2123"/>
      <c r="F445" s="2108"/>
      <c r="L445" s="1254" t="str">
        <f ca="1">IF(AND(L444&lt;0,M444&gt;0),M443,"sai")</f>
        <v>sai</v>
      </c>
      <c r="M445" s="1254" t="str">
        <f t="shared" ref="M445:O445" ca="1" si="68">IF(AND(M444&lt;0,N444&gt;0),N443,"sai")</f>
        <v>sai</v>
      </c>
      <c r="N445" s="1254" t="str">
        <f t="shared" ca="1" si="68"/>
        <v>sai</v>
      </c>
      <c r="O445" s="1254" t="str">
        <f t="shared" ca="1" si="68"/>
        <v>Q1/2029</v>
      </c>
    </row>
    <row r="446" spans="1:28">
      <c r="B446" s="3430" t="s">
        <v>1550</v>
      </c>
      <c r="C446" s="3430"/>
      <c r="D446" s="3430"/>
      <c r="E446" s="3430"/>
      <c r="F446" s="3430"/>
      <c r="I446" s="1254">
        <f ca="1">F448/E448-1</f>
        <v>-0.14374697121069568</v>
      </c>
    </row>
    <row r="447" spans="1:28">
      <c r="B447" s="1922"/>
      <c r="C447" s="1923"/>
      <c r="D447" s="3418"/>
      <c r="E447" s="3418"/>
      <c r="F447" s="3418"/>
      <c r="G447" s="3418"/>
      <c r="I447" s="1254">
        <f ca="1">(E436+E438)/E420</f>
        <v>0.85038767806651006</v>
      </c>
      <c r="J447" s="1256">
        <f ca="1">E436/F420</f>
        <v>63206.370204266073</v>
      </c>
    </row>
    <row r="448" spans="1:28">
      <c r="A448" s="3422" t="s">
        <v>1551</v>
      </c>
      <c r="B448" s="3422"/>
      <c r="C448" s="1935">
        <f>D448/(1.1)</f>
        <v>4409.090909090909</v>
      </c>
      <c r="D448" s="1936">
        <v>4850</v>
      </c>
      <c r="E448" s="1936">
        <f ca="1">FS!P101</f>
        <v>6797.0562489328258</v>
      </c>
      <c r="F448" s="1936">
        <v>5820</v>
      </c>
      <c r="H448" s="1921"/>
    </row>
    <row r="449" spans="1:33">
      <c r="A449" s="1371"/>
      <c r="B449" s="1381" t="s">
        <v>31</v>
      </c>
      <c r="C449" s="1929">
        <f>C448/FS!$O$101-1</f>
        <v>0.18102076211849627</v>
      </c>
      <c r="D449" s="1925">
        <f>D448/FS!$O$101-1</f>
        <v>0.29912283833034592</v>
      </c>
      <c r="E449" s="1925">
        <f ca="1">E448/FS!$O$101-1</f>
        <v>0.82066206317621182</v>
      </c>
      <c r="F449" s="1925">
        <f>F448/FS!$O$101-1</f>
        <v>0.55894740599641524</v>
      </c>
      <c r="H449" s="1259"/>
    </row>
    <row r="450" spans="1:33">
      <c r="A450" s="3419" t="s">
        <v>1552</v>
      </c>
      <c r="B450" s="1950">
        <f t="shared" ref="B450:B451" ca="1" si="69">B451-2</f>
        <v>17.038896373606566</v>
      </c>
      <c r="C450" s="1930">
        <f ca="1">ROUND((C$448*(1-FS!$P$103/FS!$P$101)*FS!$P$107/FS!$P$104)*Valuation_Senario!$B450,-2)</f>
        <v>50900</v>
      </c>
      <c r="D450" s="1926">
        <f ca="1">ROUND((D$448*(1-FS!$P$103/FS!$P$101)*FS!$P$107/FS!$P$104)*Valuation_Senario!$B450,-2)</f>
        <v>55900</v>
      </c>
      <c r="E450" s="1926">
        <f ca="1">ROUND((E$448*(1-FS!$P$103/FS!$P$101)*FS!$P$107/FS!$P$104)*Valuation_Senario!$B450,-2)</f>
        <v>78400</v>
      </c>
      <c r="F450" s="1926">
        <f ca="1">ROUND((F$448*(1-FS!$P$103/FS!$P$101)*FS!$P$107/FS!$P$104)*Valuation_Senario!$B450,-2)</f>
        <v>67100</v>
      </c>
      <c r="H450" s="1283">
        <f ca="1">E$448*(1-FS!$P$103/FS!$P$101)*FS!$P$107/FS!$P$104</f>
        <v>4601.7050634290981</v>
      </c>
      <c r="T450" s="1256"/>
      <c r="U450" s="1254"/>
      <c r="W450" s="1256"/>
      <c r="Y450" s="1254"/>
      <c r="AA450" s="1257"/>
      <c r="AB450" s="1256"/>
      <c r="AC450" s="1254"/>
      <c r="AF450" s="999"/>
      <c r="AG450" s="1254"/>
    </row>
    <row r="451" spans="1:33">
      <c r="A451" s="3420"/>
      <c r="B451" s="1950">
        <f t="shared" ca="1" si="69"/>
        <v>19.038896373606566</v>
      </c>
      <c r="C451" s="1930">
        <f ca="1">ROUND((C$448*(1-FS!$P$103/FS!$P$101)*FS!$P$107/FS!$P$104)*Valuation_Senario!$B451,-2)</f>
        <v>56800</v>
      </c>
      <c r="D451" s="1926">
        <f ca="1">ROUND((D$448*(1-FS!$P$103/FS!$P$101)*FS!$P$107/FS!$P$104)*Valuation_Senario!$B451,-2)</f>
        <v>62500</v>
      </c>
      <c r="E451" s="1926">
        <f ca="1">ROUND((E$448*(1-FS!$P$103/FS!$P$101)*FS!$P$107/FS!$P$104)*Valuation_Senario!$B451,-2)</f>
        <v>87600</v>
      </c>
      <c r="F451" s="1926">
        <f ca="1">ROUND((F$448*(1-FS!$P$103/FS!$P$101)*FS!$P$107/FS!$P$104)*Valuation_Senario!$B451,-2)</f>
        <v>75000</v>
      </c>
      <c r="T451" s="1256"/>
      <c r="U451" s="1254"/>
      <c r="W451" s="1256"/>
      <c r="Y451" s="1254"/>
      <c r="AA451" s="1257"/>
      <c r="AB451" s="1256"/>
      <c r="AC451" s="1254"/>
      <c r="AF451" s="999"/>
      <c r="AG451" s="1254"/>
    </row>
    <row r="452" spans="1:33">
      <c r="A452" s="3420"/>
      <c r="B452" s="1950">
        <f ca="1">B453-2</f>
        <v>21.038896373606566</v>
      </c>
      <c r="C452" s="1930">
        <f ca="1">ROUND((C$448*(1-FS!$P$103/FS!$P$101)*FS!$P$107/FS!$P$104)*Valuation_Senario!$B452,-2)</f>
        <v>62800</v>
      </c>
      <c r="D452" s="1926">
        <f ca="1">ROUND((D$448*(1-FS!$P$103/FS!$P$101)*FS!$P$107/FS!$P$104)*Valuation_Senario!$B452,-2)</f>
        <v>69100</v>
      </c>
      <c r="E452" s="1926">
        <f ca="1">ROUND((E$448*(1-FS!$P$103/FS!$P$101)*FS!$P$107/FS!$P$104)*Valuation_Senario!$B452,-2)</f>
        <v>96800</v>
      </c>
      <c r="F452" s="1926">
        <f ca="1">ROUND((F$448*(1-FS!$P$103/FS!$P$101)*FS!$P$107/FS!$P$104)*Valuation_Senario!$B452,-2)</f>
        <v>82900</v>
      </c>
      <c r="I452" s="1921">
        <f ca="1">E440/F420</f>
        <v>106018.20609824362</v>
      </c>
      <c r="T452" s="1256"/>
      <c r="U452" s="1254"/>
      <c r="W452" s="1256"/>
      <c r="Y452" s="1254"/>
      <c r="AA452" s="1257"/>
      <c r="AB452" s="1256"/>
      <c r="AC452" s="1254"/>
      <c r="AF452" s="999"/>
      <c r="AG452" s="1254"/>
    </row>
    <row r="453" spans="1:33">
      <c r="A453" s="3420"/>
      <c r="B453" s="1933">
        <f ca="1">I454</f>
        <v>23.038896373606566</v>
      </c>
      <c r="C453" s="1930">
        <f ca="1">ROUND((C$448*(1-FS!$P$103/FS!$P$101)*FS!$P$107/FS!$P$104)*Valuation_Senario!$B453,-2)</f>
        <v>68800</v>
      </c>
      <c r="D453" s="1926">
        <f ca="1">ROUND((D$448*(1-FS!$P$103/FS!$P$101)*FS!$P$107/FS!$P$104)*Valuation_Senario!$B453,-2)</f>
        <v>75600</v>
      </c>
      <c r="E453" s="1926">
        <f ca="1">ROUND((E$448*(1-FS!$P$103/FS!$P$101)*FS!$P$107/FS!$P$104)*Valuation_Senario!$B453,-2)</f>
        <v>106000</v>
      </c>
      <c r="F453" s="1926">
        <f ca="1">ROUND((F$448*(1-FS!$P$103/FS!$P$101)*FS!$P$107/FS!$P$104)*Valuation_Senario!$B453,-2)</f>
        <v>90800</v>
      </c>
      <c r="G453" s="1294">
        <f ca="1">E453/76000-1</f>
        <v>0.39473684210526305</v>
      </c>
      <c r="I453" s="1294">
        <f ca="1">E442/78500-1</f>
        <v>0.35031847133757954</v>
      </c>
      <c r="T453" s="1256"/>
      <c r="U453" s="1254"/>
      <c r="W453" s="1256"/>
      <c r="Y453" s="1254"/>
      <c r="AA453" s="1257"/>
      <c r="AB453" s="1256"/>
      <c r="AC453" s="1254"/>
      <c r="AF453" s="999"/>
      <c r="AG453" s="1254"/>
    </row>
    <row r="454" spans="1:33">
      <c r="A454" s="3421"/>
      <c r="B454" s="1934">
        <f ca="1">B453+2</f>
        <v>25.038896373606566</v>
      </c>
      <c r="C454" s="1931">
        <f ca="1">ROUND((C$448*(1-FS!$P$103/FS!$P$101)*FS!$P$107/FS!$P$104)*Valuation_Senario!$B454,-2)</f>
        <v>74700</v>
      </c>
      <c r="D454" s="1927">
        <f ca="1">ROUND((D$448*(1-FS!$P$103/FS!$P$101)*FS!$P$107/FS!$P$104)*Valuation_Senario!$B454,-2)</f>
        <v>82200</v>
      </c>
      <c r="E454" s="1927">
        <f ca="1">ROUND((E$448*(1-FS!$P$103/FS!$P$101)*FS!$P$107/FS!$P$104)*Valuation_Senario!$B454,-2)</f>
        <v>115200</v>
      </c>
      <c r="F454" s="1927">
        <f ca="1">ROUND((F$448*(1-FS!$P$103/FS!$P$101)*FS!$P$107/FS!$P$104)*Valuation_Senario!$B454,-2)</f>
        <v>98700</v>
      </c>
      <c r="G454" s="1924"/>
      <c r="I454" s="1932">
        <f ca="1">I452/FS!P107</f>
        <v>23.038896373606566</v>
      </c>
      <c r="T454" s="1256"/>
      <c r="U454" s="1254"/>
      <c r="W454" s="1256"/>
      <c r="Y454" s="1254"/>
      <c r="AA454" s="1257"/>
      <c r="AB454" s="1256"/>
      <c r="AC454" s="1254"/>
      <c r="AF454" s="999"/>
      <c r="AG454" s="1254"/>
    </row>
    <row r="455" spans="1:33">
      <c r="A455" s="1381" t="s">
        <v>1553</v>
      </c>
      <c r="B455" s="1937" t="s">
        <v>1554</v>
      </c>
      <c r="C455" s="1937"/>
      <c r="D455" s="1937"/>
      <c r="E455" s="1938"/>
      <c r="F455" s="1939"/>
      <c r="G455" s="1928"/>
      <c r="T455" s="1256"/>
      <c r="U455" s="1254"/>
      <c r="W455" s="1256"/>
      <c r="Y455" s="1254"/>
      <c r="AA455" s="1257"/>
      <c r="AB455" s="1256"/>
      <c r="AC455" s="1254"/>
      <c r="AF455" s="999"/>
      <c r="AG455" s="1254"/>
    </row>
    <row r="457" spans="1:33" ht="20.25" customHeight="1">
      <c r="B457" s="1254" t="s">
        <v>1555</v>
      </c>
      <c r="K457" s="1982" t="s">
        <v>1556</v>
      </c>
      <c r="L457" s="1983" t="s">
        <v>1436</v>
      </c>
      <c r="M457" s="1983" t="s">
        <v>1529</v>
      </c>
      <c r="N457" s="1983" t="s">
        <v>1557</v>
      </c>
    </row>
    <row r="458" spans="1:33" ht="20.25" customHeight="1">
      <c r="B458" s="1523"/>
      <c r="C458" s="1523"/>
      <c r="D458" s="1523" t="s">
        <v>1436</v>
      </c>
      <c r="E458" s="1523" t="s">
        <v>1529</v>
      </c>
      <c r="F458" s="1523" t="s">
        <v>1557</v>
      </c>
      <c r="G458" s="1523" t="s">
        <v>1558</v>
      </c>
      <c r="K458" s="2006" t="s">
        <v>1559</v>
      </c>
      <c r="L458" s="1939"/>
      <c r="M458" s="1939"/>
      <c r="N458" s="1939"/>
    </row>
    <row r="459" spans="1:33" ht="20.25" customHeight="1">
      <c r="B459" s="2086" t="s">
        <v>294</v>
      </c>
      <c r="C459" s="2087"/>
      <c r="D459" s="2088">
        <f ca="1">Rev_Year!$K$82*(1+Valuation_Senario!D460)</f>
        <v>101301.896375474</v>
      </c>
      <c r="E459" s="2088">
        <f ca="1">Rev_Year!$K$82*(1+Valuation_Senario!E460)</f>
        <v>107657.81840730226</v>
      </c>
      <c r="F459" s="2088">
        <f ca="1">Rev_Year!$K$82*(1+Valuation_Senario!F460)</f>
        <v>114013.74043913052</v>
      </c>
      <c r="G459" s="3413" t="s">
        <v>1560</v>
      </c>
      <c r="K459" s="1263" t="s">
        <v>1561</v>
      </c>
      <c r="L459" s="1322">
        <f ca="1">D470</f>
        <v>77400</v>
      </c>
      <c r="M459" s="1322">
        <f t="shared" ref="M459:N459" ca="1" si="70">E470</f>
        <v>88500</v>
      </c>
      <c r="N459" s="1322">
        <f t="shared" ca="1" si="70"/>
        <v>93000</v>
      </c>
    </row>
    <row r="460" spans="1:33" ht="20.25" customHeight="1">
      <c r="B460" s="2089" t="s">
        <v>1562</v>
      </c>
      <c r="C460" s="2087"/>
      <c r="D460" s="2090">
        <f ca="1">E460-7%</f>
        <v>0.11567333752258918</v>
      </c>
      <c r="E460" s="2090">
        <f ca="1">Rev_Year!L83</f>
        <v>0.18567333752258919</v>
      </c>
      <c r="F460" s="2091">
        <f ca="1">E460+7%</f>
        <v>0.25567333752258919</v>
      </c>
      <c r="G460" s="3413"/>
      <c r="K460" s="1254" t="s">
        <v>1563</v>
      </c>
      <c r="L460" s="2003">
        <f ca="1">D471</f>
        <v>-0.1244343891402715</v>
      </c>
      <c r="M460" s="2003">
        <f t="shared" ref="M460:N460" ca="1" si="71">E471</f>
        <v>1.1312217194570096E-3</v>
      </c>
      <c r="N460" s="2003">
        <f t="shared" ca="1" si="71"/>
        <v>5.2036199095022662E-2</v>
      </c>
    </row>
    <row r="461" spans="1:33" ht="20.25" customHeight="1">
      <c r="B461" s="2086" t="s">
        <v>9</v>
      </c>
      <c r="C461" s="2087"/>
      <c r="D461" s="2088">
        <f ca="1">D462*D459</f>
        <v>3940.1994122948399</v>
      </c>
      <c r="E461" s="2088">
        <f t="shared" ref="E461:F461" ca="1" si="72">E462*E459</f>
        <v>5263.9950834085575</v>
      </c>
      <c r="F461" s="2088">
        <f t="shared" ca="1" si="72"/>
        <v>5802.7992716457957</v>
      </c>
      <c r="G461" s="3413"/>
      <c r="K461" s="2006" t="s">
        <v>1564</v>
      </c>
      <c r="L461" s="1939"/>
      <c r="M461" s="1939"/>
      <c r="N461" s="1939"/>
    </row>
    <row r="462" spans="1:33" ht="20.25" customHeight="1">
      <c r="B462" s="2089" t="s">
        <v>1565</v>
      </c>
      <c r="C462" s="2087"/>
      <c r="D462" s="2092">
        <f ca="1">E462-1%</f>
        <v>3.8895613540052089E-2</v>
      </c>
      <c r="E462" s="2092">
        <f ca="1">Rev_Year!L98/Rev_Year!L82</f>
        <v>4.8895613540052091E-2</v>
      </c>
      <c r="F462" s="2092">
        <f ca="1">E462+0.2%</f>
        <v>5.0895613540052093E-2</v>
      </c>
      <c r="G462" s="3413"/>
      <c r="K462" s="1263" t="s">
        <v>1566</v>
      </c>
      <c r="L462" s="1264" t="s">
        <v>1567</v>
      </c>
      <c r="M462" s="1264" t="s">
        <v>1568</v>
      </c>
      <c r="N462" s="1264" t="s">
        <v>1569</v>
      </c>
    </row>
    <row r="463" spans="1:33" ht="20.25" customHeight="1">
      <c r="B463" s="2093" t="s">
        <v>1570</v>
      </c>
      <c r="C463" s="2094"/>
      <c r="D463" s="2095">
        <f ca="1">D462*D459+SUM(Rev_Year!$L$193:$L$196)</f>
        <v>5473.2605778191082</v>
      </c>
      <c r="E463" s="2095">
        <f ca="1">E462*E459+SUM(Rev_Year!$L$193:$L$196)</f>
        <v>6797.0562489328258</v>
      </c>
      <c r="F463" s="2095">
        <f ca="1">F462*F459+SUM(Rev_Year!$L$193:$L$196)</f>
        <v>7335.860437170064</v>
      </c>
      <c r="G463" s="3414"/>
      <c r="H463" s="1294">
        <f ca="1">D463/FS!O101</f>
        <v>1.4660696529439072</v>
      </c>
      <c r="K463" s="1993" t="s">
        <v>1563</v>
      </c>
      <c r="L463" s="2004" t="str">
        <f ca="1">ROUND(J477*100,0)&amp;"% - +"&amp; ROUND(J481*100,0)&amp;"%"</f>
        <v>-16% - +1%</v>
      </c>
      <c r="M463" s="2005" t="str">
        <f ca="1">ROUND(L477*100,0)&amp;"% - +"&amp; ROUND(L481*100,0)&amp;"%"</f>
        <v>4% - +25%</v>
      </c>
      <c r="N463" s="2005" t="str">
        <f ca="1">ROUND(M477*100,0)&amp;"% - +"&amp; ROUND(M481*100,0)&amp;"%"</f>
        <v>13% - +35%</v>
      </c>
    </row>
    <row r="464" spans="1:33" ht="20.25" customHeight="1">
      <c r="B464" s="1523" t="s">
        <v>1571</v>
      </c>
      <c r="C464" s="1523" t="s">
        <v>1455</v>
      </c>
      <c r="D464" s="1523"/>
      <c r="E464" s="1523"/>
      <c r="F464" s="1523"/>
      <c r="G464" s="1523"/>
      <c r="H464" s="1257">
        <f>12.87/1.05</f>
        <v>12.257142857142856</v>
      </c>
    </row>
    <row r="465" spans="1:33" ht="20.25" customHeight="1">
      <c r="B465" s="2086" t="str">
        <f>B436</f>
        <v>MW</v>
      </c>
      <c r="C465" s="2087" t="s">
        <v>424</v>
      </c>
      <c r="D465" s="2088">
        <f ca="1">D461*$H$464</f>
        <v>48295.587082128179</v>
      </c>
      <c r="E465" s="2088">
        <f ca="1">E461*$H$464</f>
        <v>64521.539736636318</v>
      </c>
      <c r="F465" s="2088">
        <f ca="1">F461*$H$464</f>
        <v>71125.739643887035</v>
      </c>
      <c r="G465" s="1989" t="str">
        <f>"Đ/c giảm P/E mục tiêu từ 12.8 xuống "&amp; ROUND(H464,0)&amp; " do rủi ro từ thuế quan"</f>
        <v>Đ/c giảm P/E mục tiêu từ 12.8 xuống 12 do rủi ro từ thuế quan</v>
      </c>
      <c r="H465" s="1256">
        <v>51002.275798062219</v>
      </c>
      <c r="I465" s="1268">
        <f t="shared" ref="I465:I469" ca="1" si="73">E465/H465-1</f>
        <v>0.26507177821048811</v>
      </c>
    </row>
    <row r="466" spans="1:33" ht="20.25" customHeight="1">
      <c r="B466" s="2086" t="str">
        <f>B437</f>
        <v xml:space="preserve">BHX </v>
      </c>
      <c r="C466" s="2087" t="s">
        <v>1572</v>
      </c>
      <c r="D466" s="2088">
        <f ca="1">E466</f>
        <v>45292.985472762477</v>
      </c>
      <c r="E466" s="2088">
        <f ca="1">F497</f>
        <v>45292.985472762477</v>
      </c>
      <c r="F466" s="2088">
        <f ca="1">E466</f>
        <v>45292.985472762477</v>
      </c>
      <c r="G466" s="1989" t="s">
        <v>1573</v>
      </c>
      <c r="H466" s="1256">
        <v>44528.16531006818</v>
      </c>
      <c r="I466" s="1268">
        <f t="shared" ca="1" si="73"/>
        <v>1.7176098708952869E-2</v>
      </c>
    </row>
    <row r="467" spans="1:33" ht="20.25" customHeight="1">
      <c r="B467" s="2086" t="str">
        <f>B438</f>
        <v xml:space="preserve">Khác: tiền ròng </v>
      </c>
      <c r="C467" s="2087"/>
      <c r="D467" s="2088">
        <f t="shared" ref="D467:D468" ca="1" si="74">E467</f>
        <v>17434.948737373401</v>
      </c>
      <c r="E467" s="2088">
        <f ca="1">(SUM('Fixed Asset &amp; Interest'!H78:H80)-SUM('Fixed Asset &amp; Interest'!H88:H89))*0.86+Rev_Year!M165</f>
        <v>17434.948737373401</v>
      </c>
      <c r="F467" s="2088">
        <f t="shared" ref="F467:F468" ca="1" si="75">E467</f>
        <v>17434.948737373401</v>
      </c>
      <c r="G467" s="1989" t="s">
        <v>1574</v>
      </c>
      <c r="H467" s="1256">
        <v>17181.334427176647</v>
      </c>
      <c r="I467" s="1268">
        <f t="shared" ca="1" si="73"/>
        <v>1.4761036825847285E-2</v>
      </c>
    </row>
    <row r="468" spans="1:33" ht="20.25" customHeight="1">
      <c r="B468" s="2086">
        <f>B439</f>
        <v>0</v>
      </c>
      <c r="C468" s="2087" t="s">
        <v>1572</v>
      </c>
      <c r="D468" s="2088">
        <f t="shared" si="74"/>
        <v>2693.9454480152463</v>
      </c>
      <c r="E468" s="2088">
        <f>F502</f>
        <v>2693.9454480152463</v>
      </c>
      <c r="F468" s="2088">
        <f t="shared" si="75"/>
        <v>2693.9454480152463</v>
      </c>
      <c r="G468" s="1989"/>
      <c r="H468" s="1256">
        <v>3744.0836804961846</v>
      </c>
      <c r="I468" s="1268">
        <f t="shared" si="73"/>
        <v>-0.28047937014638757</v>
      </c>
    </row>
    <row r="469" spans="1:33" ht="20.25" customHeight="1">
      <c r="B469" s="2096" t="s">
        <v>1575</v>
      </c>
      <c r="C469" s="2097"/>
      <c r="D469" s="2098">
        <f ca="1">SUM(D465:D468)</f>
        <v>113717.4667402793</v>
      </c>
      <c r="E469" s="2098">
        <f t="shared" ref="E469:F469" ca="1" si="76">SUM(E465:E468)</f>
        <v>129943.41939478744</v>
      </c>
      <c r="F469" s="2098">
        <f t="shared" ca="1" si="76"/>
        <v>136547.61930203816</v>
      </c>
      <c r="G469" s="1989"/>
      <c r="H469" s="1256">
        <v>116455.85921580323</v>
      </c>
      <c r="I469" s="1268">
        <f t="shared" ca="1" si="73"/>
        <v>0.11581693072214216</v>
      </c>
    </row>
    <row r="470" spans="1:33" ht="20.25" customHeight="1">
      <c r="B470" s="2099" t="s">
        <v>711</v>
      </c>
      <c r="C470" s="2100"/>
      <c r="D470" s="2101">
        <f ca="1">ROUND(D469/$F$420,-2)</f>
        <v>77400</v>
      </c>
      <c r="E470" s="2101">
        <f ca="1">ROUND(E469/$F$420,-2)</f>
        <v>88500</v>
      </c>
      <c r="F470" s="2101">
        <f t="shared" ref="F470" ca="1" si="77">ROUND(F469/$F$420,-2)</f>
        <v>93000</v>
      </c>
      <c r="G470" s="1990"/>
      <c r="H470" s="1256">
        <v>78500</v>
      </c>
      <c r="I470" s="1268">
        <f ca="1">E470/H470-1</f>
        <v>0.12738853503184711</v>
      </c>
    </row>
    <row r="471" spans="1:33" ht="20.25" customHeight="1">
      <c r="B471" s="2102" t="s">
        <v>713</v>
      </c>
      <c r="C471" s="2103"/>
      <c r="D471" s="2104">
        <f ca="1">D470/$D$420-1</f>
        <v>-0.1244343891402715</v>
      </c>
      <c r="E471" s="2104">
        <f t="shared" ref="E471:F471" ca="1" si="78">E470/$D$420-1</f>
        <v>1.1312217194570096E-3</v>
      </c>
      <c r="F471" s="2104">
        <f t="shared" ca="1" si="78"/>
        <v>5.2036199095022662E-2</v>
      </c>
      <c r="G471" s="1990"/>
      <c r="H471" s="1256">
        <v>0.33050847457627119</v>
      </c>
    </row>
    <row r="472" spans="1:33" ht="20.25" customHeight="1">
      <c r="B472" s="1523" t="s">
        <v>715</v>
      </c>
      <c r="C472" s="1522"/>
      <c r="D472" s="1522" t="s">
        <v>1576</v>
      </c>
      <c r="E472" s="1522"/>
      <c r="F472" s="1522"/>
      <c r="G472" s="1990"/>
      <c r="H472" s="1256"/>
    </row>
    <row r="473" spans="1:33" s="1924" customFormat="1" ht="20.25" customHeight="1">
      <c r="A473" s="1997"/>
      <c r="B473" s="1995" t="s">
        <v>717</v>
      </c>
      <c r="C473" s="2000"/>
      <c r="D473" s="2001">
        <f>D445</f>
        <v>88400</v>
      </c>
      <c r="E473" s="2000"/>
      <c r="F473" s="2000"/>
      <c r="G473" s="1998"/>
      <c r="H473" s="1202"/>
      <c r="U473" s="1202"/>
      <c r="X473" s="1202"/>
      <c r="Y473" s="1202"/>
      <c r="AB473" s="1999"/>
      <c r="AC473" s="1202"/>
      <c r="AG473" s="999"/>
    </row>
    <row r="474" spans="1:33" s="1924" customFormat="1" ht="20.25" customHeight="1">
      <c r="A474" s="1997"/>
      <c r="B474" s="3415" t="s">
        <v>1577</v>
      </c>
      <c r="C474" s="3415"/>
      <c r="D474" s="3415"/>
      <c r="E474" s="3415"/>
      <c r="F474" s="3415"/>
      <c r="G474" s="2007"/>
      <c r="H474" s="1202"/>
      <c r="U474" s="1202"/>
      <c r="X474" s="1202"/>
      <c r="Y474" s="1202"/>
      <c r="AB474" s="1999"/>
      <c r="AC474" s="1202"/>
      <c r="AG474" s="999"/>
    </row>
    <row r="475" spans="1:33" ht="20.25" customHeight="1">
      <c r="B475" s="1996" t="s">
        <v>1578</v>
      </c>
      <c r="C475" s="1996"/>
      <c r="D475" s="1996"/>
      <c r="E475" s="1996"/>
      <c r="F475" s="1996"/>
      <c r="G475" s="1996"/>
    </row>
    <row r="476" spans="1:33" ht="34.5" customHeight="1">
      <c r="B476" s="2008" t="s">
        <v>1579</v>
      </c>
      <c r="C476" s="1992"/>
      <c r="D476" s="2009">
        <f ca="1">D463</f>
        <v>5473.2605778191082</v>
      </c>
      <c r="E476" s="2010">
        <v>4850</v>
      </c>
      <c r="F476" s="2009">
        <f ca="1">E463</f>
        <v>6797.0562489328258</v>
      </c>
      <c r="G476" s="2009">
        <f ca="1">F463</f>
        <v>7335.860437170064</v>
      </c>
      <c r="I476" s="2013" t="str">
        <f t="shared" ref="I476:I481" si="79">B476</f>
        <v>LNST của MWG/ PE mục tiêu</v>
      </c>
      <c r="J476" s="2011">
        <f ca="1">D476</f>
        <v>5473.2605778191082</v>
      </c>
      <c r="K476" s="2011">
        <f>E476</f>
        <v>4850</v>
      </c>
      <c r="L476" s="1437">
        <f ca="1">F476</f>
        <v>6797.0562489328258</v>
      </c>
      <c r="M476" s="2011">
        <f ca="1">G476</f>
        <v>7335.860437170064</v>
      </c>
    </row>
    <row r="477" spans="1:33">
      <c r="B477" s="1973">
        <f t="shared" ref="B477:B478" ca="1" si="80">B478-1</f>
        <v>20.034939992658053</v>
      </c>
      <c r="C477" s="1945"/>
      <c r="D477" s="2020">
        <f ca="1">ROUND((D$476*(1-FS!$P$103/FS!$P$101)*FS!$P$107/FS!$P$104)*Valuation_Senario!$B477,-2)</f>
        <v>74200</v>
      </c>
      <c r="E477" s="1926">
        <f ca="1">ROUND((E$476*(1-FS!$P$103/FS!$P$101)*FS!$P$107/FS!$P$104)*Valuation_Senario!$B477,-2)</f>
        <v>65800</v>
      </c>
      <c r="F477" s="1926">
        <f ca="1">ROUND((F$476*(1-FS!$P$103/FS!$P$101)*FS!$P$107/FS!$P$104)*Valuation_Senario!$B477,-2)</f>
        <v>92200</v>
      </c>
      <c r="G477" s="1926">
        <f ca="1">ROUND((G$476*(1-FS!$P$103/FS!$P$101)*FS!$P$107/FS!$P$104)*Valuation_Senario!$B477,-2)</f>
        <v>99500</v>
      </c>
      <c r="I477" s="1973">
        <f t="shared" ca="1" si="79"/>
        <v>20.034939992658053</v>
      </c>
      <c r="J477" s="1925">
        <f t="shared" ref="J477:M481" ca="1" si="81">D477/$D$473-1</f>
        <v>-0.16063348416289591</v>
      </c>
      <c r="K477" s="1925">
        <f t="shared" ca="1" si="81"/>
        <v>-0.25565610859728505</v>
      </c>
      <c r="L477" s="1925">
        <f t="shared" ca="1" si="81"/>
        <v>4.2986425339366585E-2</v>
      </c>
      <c r="M477" s="1925">
        <f t="shared" ca="1" si="81"/>
        <v>0.1255656108597285</v>
      </c>
    </row>
    <row r="478" spans="1:33">
      <c r="B478" s="1973">
        <f t="shared" ca="1" si="80"/>
        <v>21.034939992658053</v>
      </c>
      <c r="C478" s="1945"/>
      <c r="D478" s="2020">
        <f ca="1">ROUND((D$476*(1-FS!$P$103/FS!$P$101)*FS!$P$107/FS!$P$104)*Valuation_Senario!$B478,-2)</f>
        <v>77900</v>
      </c>
      <c r="E478" s="1926">
        <f ca="1">ROUND((E$476*(1-FS!$P$103/FS!$P$101)*FS!$P$107/FS!$P$104)*Valuation_Senario!$B478,-2)</f>
        <v>69100</v>
      </c>
      <c r="F478" s="1926">
        <f ca="1">ROUND((F$476*(1-FS!$P$103/FS!$P$101)*FS!$P$107/FS!$P$104)*Valuation_Senario!$B478,-2)</f>
        <v>96800</v>
      </c>
      <c r="G478" s="1926">
        <f ca="1">ROUND((G$476*(1-FS!$P$103/FS!$P$101)*FS!$P$107/FS!$P$104)*Valuation_Senario!$B478,-2)</f>
        <v>104500</v>
      </c>
      <c r="I478" s="1973">
        <f t="shared" ca="1" si="79"/>
        <v>21.034939992658053</v>
      </c>
      <c r="J478" s="1925">
        <f t="shared" ca="1" si="81"/>
        <v>-0.11877828054298645</v>
      </c>
      <c r="K478" s="1925">
        <f t="shared" ca="1" si="81"/>
        <v>-0.21832579185520362</v>
      </c>
      <c r="L478" s="1925">
        <f t="shared" ca="1" si="81"/>
        <v>9.5022624434389247E-2</v>
      </c>
      <c r="M478" s="1925">
        <f t="shared" ca="1" si="81"/>
        <v>0.1821266968325792</v>
      </c>
    </row>
    <row r="479" spans="1:33">
      <c r="B479" s="1973">
        <f ca="1">B480-1</f>
        <v>22.034939992658053</v>
      </c>
      <c r="C479" s="1945"/>
      <c r="D479" s="2020">
        <f ca="1">ROUND((D$476*(1-FS!$P$103/FS!$P$101)*FS!$P$107/FS!$P$104)*Valuation_Senario!$B479,-2)</f>
        <v>81600</v>
      </c>
      <c r="E479" s="1926">
        <f ca="1">ROUND((E$476*(1-FS!$P$103/FS!$P$101)*FS!$P$107/FS!$P$104)*Valuation_Senario!$B479,-2)</f>
        <v>72400</v>
      </c>
      <c r="F479" s="1926">
        <f ca="1">ROUND((F$476*(1-FS!$P$103/FS!$P$101)*FS!$P$107/FS!$P$104)*Valuation_Senario!$B479,-2)</f>
        <v>101400</v>
      </c>
      <c r="G479" s="1926">
        <f ca="1">ROUND((G$476*(1-FS!$P$103/FS!$P$101)*FS!$P$107/FS!$P$104)*Valuation_Senario!$B479,-2)</f>
        <v>109400</v>
      </c>
      <c r="I479" s="1973">
        <f t="shared" ca="1" si="79"/>
        <v>22.034939992658053</v>
      </c>
      <c r="J479" s="1925">
        <f t="shared" ca="1" si="81"/>
        <v>-7.6923076923076872E-2</v>
      </c>
      <c r="K479" s="1925">
        <f t="shared" ca="1" si="81"/>
        <v>-0.1809954751131222</v>
      </c>
      <c r="L479" s="1925">
        <f t="shared" ca="1" si="81"/>
        <v>0.14705882352941169</v>
      </c>
      <c r="M479" s="1925">
        <f t="shared" ca="1" si="81"/>
        <v>0.23755656108597289</v>
      </c>
    </row>
    <row r="480" spans="1:33">
      <c r="B480" s="1973">
        <f ca="1">E442/((F476-FS!P103)/$F$420)</f>
        <v>23.034939992658053</v>
      </c>
      <c r="C480" s="1945"/>
      <c r="D480" s="2020">
        <f ca="1">ROUND((D$476*(1-FS!$P$103/FS!$P$101)*FS!$P$107/FS!$P$104)*Valuation_Senario!$B480,-2)</f>
        <v>85400</v>
      </c>
      <c r="E480" s="1926">
        <f ca="1">ROUND((E$476*(1-FS!$P$103/FS!$P$101)*FS!$P$107/FS!$P$104)*Valuation_Senario!$B480,-2)</f>
        <v>75600</v>
      </c>
      <c r="F480" s="1926">
        <f ca="1">ROUND((F$476*(1-FS!$P$103/FS!$P$101)*FS!$P$107/FS!$P$104)*Valuation_Senario!$B480,-2)</f>
        <v>106000</v>
      </c>
      <c r="G480" s="1926">
        <f ca="1">ROUND((G$476*(1-FS!$P$103/FS!$P$101)*FS!$P$107/FS!$P$104)*Valuation_Senario!$B480,-2)</f>
        <v>114400</v>
      </c>
      <c r="I480" s="1973">
        <f t="shared" ca="1" si="79"/>
        <v>23.034939992658053</v>
      </c>
      <c r="J480" s="1925">
        <f t="shared" ca="1" si="81"/>
        <v>-3.3936651583710398E-2</v>
      </c>
      <c r="K480" s="1925">
        <f t="shared" ca="1" si="81"/>
        <v>-0.14479638009049778</v>
      </c>
      <c r="L480" s="1925">
        <f t="shared" ca="1" si="81"/>
        <v>0.19909502262443435</v>
      </c>
      <c r="M480" s="1925">
        <f t="shared" ca="1" si="81"/>
        <v>0.29411764705882359</v>
      </c>
    </row>
    <row r="481" spans="1:13">
      <c r="B481" s="1994">
        <f ca="1">B480+1</f>
        <v>24.034939992658053</v>
      </c>
      <c r="C481" s="1946"/>
      <c r="D481" s="2021">
        <f ca="1">ROUND((D$476*(1-FS!$P$103/FS!$P$101)*FS!$P$107/FS!$P$104)*Valuation_Senario!$B481,-2)</f>
        <v>89100</v>
      </c>
      <c r="E481" s="1927">
        <f ca="1">ROUND((E$476*(1-FS!$P$103/FS!$P$101)*FS!$P$107/FS!$P$104)*Valuation_Senario!$B481,-2)</f>
        <v>78900</v>
      </c>
      <c r="F481" s="1927">
        <f ca="1">ROUND((F$476*(1-FS!$P$103/FS!$P$101)*FS!$P$107/FS!$P$104)*Valuation_Senario!$B481,-2)</f>
        <v>110600</v>
      </c>
      <c r="G481" s="1927">
        <f ca="1">ROUND((G$476*(1-FS!$P$103/FS!$P$101)*FS!$P$107/FS!$P$104)*Valuation_Senario!$B481,-2)</f>
        <v>119400</v>
      </c>
      <c r="I481" s="1994">
        <f t="shared" ca="1" si="79"/>
        <v>24.034939992658053</v>
      </c>
      <c r="J481" s="2012">
        <f t="shared" ca="1" si="81"/>
        <v>7.9185520361990669E-3</v>
      </c>
      <c r="K481" s="2012">
        <f t="shared" ca="1" si="81"/>
        <v>-0.10746606334841624</v>
      </c>
      <c r="L481" s="2012">
        <f t="shared" ca="1" si="81"/>
        <v>0.25113122171945701</v>
      </c>
      <c r="M481" s="2012">
        <f t="shared" ca="1" si="81"/>
        <v>0.35067873303167429</v>
      </c>
    </row>
    <row r="482" spans="1:13">
      <c r="B482" s="2024"/>
      <c r="C482" s="2025"/>
      <c r="D482" s="2022" t="s">
        <v>1580</v>
      </c>
      <c r="E482" s="2023"/>
      <c r="F482" s="2023"/>
      <c r="G482" s="2026"/>
      <c r="H482" s="2002" t="e">
        <f t="shared" ref="H482" ca="1" si="82">D482/$D$471-1</f>
        <v>#VALUE!</v>
      </c>
      <c r="I482" s="2002">
        <f t="shared" ref="I482" ca="1" si="83">E482/$D$471-1</f>
        <v>-1</v>
      </c>
      <c r="J482" s="2002">
        <f t="shared" ref="J482" ca="1" si="84">F482/$D$471-1</f>
        <v>-1</v>
      </c>
    </row>
    <row r="483" spans="1:13">
      <c r="C483" s="1947"/>
      <c r="D483" s="1947"/>
      <c r="E483" s="1947"/>
      <c r="F483" s="1947"/>
      <c r="G483" s="1991"/>
    </row>
    <row r="484" spans="1:13">
      <c r="B484" s="1254" t="s">
        <v>1581</v>
      </c>
    </row>
    <row r="485" spans="1:13">
      <c r="A485" s="1320"/>
      <c r="B485" s="1982"/>
      <c r="C485" s="1983"/>
      <c r="D485" s="1984">
        <v>2025</v>
      </c>
      <c r="E485" s="3412">
        <v>2027</v>
      </c>
      <c r="F485" s="3412"/>
      <c r="G485" s="3412"/>
      <c r="H485" s="1371"/>
    </row>
    <row r="486" spans="1:13">
      <c r="A486" s="1320"/>
      <c r="B486" s="1978"/>
      <c r="C486" s="1979"/>
      <c r="D486" s="1980"/>
      <c r="E486" s="1981" t="s">
        <v>1582</v>
      </c>
      <c r="F486" s="1980" t="s">
        <v>1583</v>
      </c>
      <c r="G486" s="1980" t="s">
        <v>1584</v>
      </c>
      <c r="H486" s="1371"/>
    </row>
    <row r="487" spans="1:13">
      <c r="B487" s="1254" t="s">
        <v>497</v>
      </c>
      <c r="D487" s="1489">
        <f ca="1">Rev_Year!L98</f>
        <v>5263.9950834085575</v>
      </c>
      <c r="E487" s="1489">
        <f ca="1">D487</f>
        <v>5263.9950834085575</v>
      </c>
      <c r="F487" s="1489">
        <f ca="1">Rev_Year!N192</f>
        <v>6834.1840600322539</v>
      </c>
      <c r="G487" s="1489">
        <f ca="1">F487</f>
        <v>6834.1840600322539</v>
      </c>
      <c r="H487" s="1371"/>
    </row>
    <row r="488" spans="1:13">
      <c r="B488" s="1254" t="s">
        <v>1585</v>
      </c>
      <c r="D488" s="1489">
        <f ca="1">Rev_Year!L194+Rev_Year!L195+Rev_Year!L196+Rev_Year!L177+Rev_Year!L189</f>
        <v>812.55249913464388</v>
      </c>
      <c r="E488" s="1489">
        <f ca="1">D488</f>
        <v>812.55249913464388</v>
      </c>
      <c r="F488" s="1489">
        <f ca="1">Rev_Year!N195+Rev_Year!N194+Rev_Year!N177+Rev_Year!N189</f>
        <v>739.29473726082813</v>
      </c>
      <c r="G488" s="1489">
        <f ca="1">F488</f>
        <v>739.29473726082813</v>
      </c>
      <c r="H488" s="1371"/>
    </row>
    <row r="489" spans="1:13">
      <c r="B489" s="1254" t="s">
        <v>7</v>
      </c>
      <c r="D489" s="1489">
        <f ca="1">Rev_Year!L128</f>
        <v>720.5086663896243</v>
      </c>
      <c r="E489" s="1489">
        <f ca="1">E496</f>
        <v>1969.6251657077739</v>
      </c>
      <c r="F489" s="1489">
        <f t="shared" ref="F489:G489" ca="1" si="85">F496</f>
        <v>2690.8017573554648</v>
      </c>
      <c r="G489" s="1489">
        <f t="shared" ca="1" si="85"/>
        <v>3512.4442192058541</v>
      </c>
      <c r="H489" s="1371"/>
    </row>
    <row r="490" spans="1:13">
      <c r="B490" s="1254" t="s">
        <v>1586</v>
      </c>
      <c r="D490" s="1489">
        <f>FS!P85</f>
        <v>30.026059381131859</v>
      </c>
      <c r="E490" s="1489">
        <f>E501</f>
        <v>148.0323625011487</v>
      </c>
      <c r="F490" s="1489">
        <f t="shared" ref="F490:G490" si="86">F501</f>
        <v>230.27256389067574</v>
      </c>
      <c r="G490" s="1489">
        <f t="shared" si="86"/>
        <v>325.67119750252715</v>
      </c>
      <c r="H490" s="1371"/>
    </row>
    <row r="491" spans="1:13">
      <c r="B491" s="1263"/>
      <c r="C491" s="1977">
        <f t="shared" ref="C491:F491" si="87">SUM(C487:C490)</f>
        <v>0</v>
      </c>
      <c r="D491" s="1977">
        <f t="shared" ca="1" si="87"/>
        <v>6827.0823083139576</v>
      </c>
      <c r="E491" s="1977">
        <f t="shared" ca="1" si="87"/>
        <v>8194.2051107521238</v>
      </c>
      <c r="F491" s="1977">
        <f t="shared" ca="1" si="87"/>
        <v>10494.553118539223</v>
      </c>
      <c r="G491" s="1977">
        <f ca="1">SUM(G487:G490)</f>
        <v>11411.594214001461</v>
      </c>
      <c r="H491" s="1986"/>
    </row>
    <row r="492" spans="1:13">
      <c r="B492" s="1400"/>
      <c r="C492" s="1502"/>
      <c r="D492" s="1502"/>
      <c r="E492" s="1985">
        <f ca="1">(E491/$D$491)^(1/$O$305)-1</f>
        <v>9.5559189201842809E-2</v>
      </c>
      <c r="F492" s="1985">
        <f ca="1">(F491/$D$491)^(1/$O$305)-1</f>
        <v>0.23983646598171493</v>
      </c>
      <c r="G492" s="1985">
        <f ca="1">(G491/$D$491)^(1/$O$305)-1</f>
        <v>0.29287218075788268</v>
      </c>
      <c r="H492" s="1371"/>
    </row>
    <row r="493" spans="1:13">
      <c r="A493" s="1253" t="s">
        <v>7</v>
      </c>
      <c r="B493" s="1254" t="s">
        <v>30</v>
      </c>
      <c r="D493" s="1489">
        <f ca="1">Rev_Year!L102</f>
        <v>47646.751647932077</v>
      </c>
      <c r="E493" s="1489">
        <f ca="1">F493*0.9</f>
        <v>95188.212635465679</v>
      </c>
      <c r="F493" s="1489">
        <f ca="1">Rev_Year!O102</f>
        <v>105764.68070607298</v>
      </c>
      <c r="G493" s="1489">
        <f ca="1">F493*1.1</f>
        <v>116341.14877668029</v>
      </c>
      <c r="H493" s="1371"/>
      <c r="I493" s="1256">
        <f>50*25000</f>
        <v>1250000</v>
      </c>
    </row>
    <row r="494" spans="1:13">
      <c r="B494" s="1254" t="s">
        <v>9</v>
      </c>
      <c r="D494" s="1970">
        <f ca="1">D495*D493</f>
        <v>720.5086663896243</v>
      </c>
      <c r="E494" s="1489">
        <f ca="1">E495*E493</f>
        <v>2073.507912104194</v>
      </c>
      <c r="F494" s="1489">
        <f ca="1">F495*F493</f>
        <v>2832.7210836461363</v>
      </c>
      <c r="G494" s="1489">
        <f ca="1">G495*G493</f>
        <v>3697.6989358941514</v>
      </c>
      <c r="H494" s="1371"/>
      <c r="I494" s="1268">
        <f ca="1">D493/$I$493</f>
        <v>3.8117401318345664E-2</v>
      </c>
      <c r="J494" s="1268">
        <f t="shared" ref="J494:K494" ca="1" si="88">E493/$I$493</f>
        <v>7.6150570108372548E-2</v>
      </c>
      <c r="K494" s="1268">
        <f t="shared" ca="1" si="88"/>
        <v>8.4611744564858385E-2</v>
      </c>
    </row>
    <row r="495" spans="1:13">
      <c r="D495" s="1975">
        <f ca="1">Rev_Year!L125</f>
        <v>1.512188431466545E-2</v>
      </c>
      <c r="E495" s="1514">
        <f ca="1">F495-0.5%</f>
        <v>2.1783242427767118E-2</v>
      </c>
      <c r="F495" s="1514">
        <f ca="1">Rev_Year!O129</f>
        <v>2.6783242427767119E-2</v>
      </c>
      <c r="G495" s="1514">
        <f ca="1">F495+0.5%</f>
        <v>3.1783242427767117E-2</v>
      </c>
      <c r="H495" s="1371"/>
    </row>
    <row r="496" spans="1:13">
      <c r="A496" s="1310">
        <v>0.94989999999999997</v>
      </c>
      <c r="B496" s="1254" t="s">
        <v>1587</v>
      </c>
      <c r="D496" s="1489">
        <f ca="1">$A$496*D494</f>
        <v>684.41118220350404</v>
      </c>
      <c r="E496" s="1489">
        <f ca="1">$A$496*E494</f>
        <v>1969.6251657077739</v>
      </c>
      <c r="F496" s="1489">
        <f ca="1">$A$496*F494</f>
        <v>2690.8017573554648</v>
      </c>
      <c r="G496" s="1489">
        <f ca="1">$A$496*G494</f>
        <v>3512.4442192058541</v>
      </c>
      <c r="H496" s="1371"/>
    </row>
    <row r="497" spans="1:24">
      <c r="A497" s="1310"/>
      <c r="B497" s="1405" t="s">
        <v>691</v>
      </c>
      <c r="C497" s="1404"/>
      <c r="D497" s="1988"/>
      <c r="E497" s="1988">
        <f ca="1">E496*$L$524/(1+$N$527)^($O$508)</f>
        <v>33153.763101770041</v>
      </c>
      <c r="F497" s="1988">
        <f ca="1">F496*$L$524/(1+$N$527)^($O$508)</f>
        <v>45292.985472762477</v>
      </c>
      <c r="G497" s="1988">
        <f ca="1">G496*$L$524/(1+$N$527)^($O$508)</f>
        <v>59123.302026802943</v>
      </c>
      <c r="H497" s="1371"/>
    </row>
    <row r="498" spans="1:24">
      <c r="A498" s="1253" t="s">
        <v>1586</v>
      </c>
      <c r="B498" s="1254" t="str">
        <f>B493</f>
        <v>DTT</v>
      </c>
      <c r="D498" s="1489">
        <f>Rev_Year!L303</f>
        <v>3938.4959708254632</v>
      </c>
      <c r="E498" s="1489">
        <f>F498*0.9</f>
        <v>13158.432222324327</v>
      </c>
      <c r="F498" s="1489">
        <f>Rev_Year!N303</f>
        <v>14620.48024702703</v>
      </c>
      <c r="G498" s="1489">
        <f>F498*1.1</f>
        <v>16082.528271729734</v>
      </c>
      <c r="H498" s="1254">
        <f t="shared" ref="H498:H500" si="89">(F498/D498)^(1/2)-1</f>
        <v>0.92670673909657797</v>
      </c>
    </row>
    <row r="499" spans="1:24">
      <c r="B499" s="1254" t="str">
        <f>B494</f>
        <v>LNST</v>
      </c>
      <c r="D499" s="1489">
        <f>D498*D500</f>
        <v>74.389224656697039</v>
      </c>
      <c r="E499" s="1489">
        <f t="shared" ref="E499:G499" si="90">E498*E500</f>
        <v>328.96080555810818</v>
      </c>
      <c r="F499" s="1489">
        <f t="shared" si="90"/>
        <v>511.71680864594606</v>
      </c>
      <c r="G499" s="1489">
        <f t="shared" si="90"/>
        <v>723.71377222783815</v>
      </c>
      <c r="H499" s="1254">
        <f t="shared" si="89"/>
        <v>1.6227676920550627</v>
      </c>
    </row>
    <row r="500" spans="1:24">
      <c r="D500" s="1976">
        <f>Rev_Year!L313</f>
        <v>1.8887723945317611E-2</v>
      </c>
      <c r="E500" s="1514">
        <f>F500-1%</f>
        <v>2.5000000000000001E-2</v>
      </c>
      <c r="F500" s="1514">
        <f>Rev_Year!N313</f>
        <v>3.5000000000000003E-2</v>
      </c>
      <c r="G500" s="1514">
        <f>F500+1%</f>
        <v>4.5000000000000005E-2</v>
      </c>
      <c r="H500" s="1254">
        <f t="shared" si="89"/>
        <v>0.36126979723175912</v>
      </c>
      <c r="P500" s="1254">
        <f>20</f>
        <v>20</v>
      </c>
      <c r="Q500" s="1254">
        <v>1700</v>
      </c>
    </row>
    <row r="501" spans="1:24">
      <c r="A501" s="1282">
        <v>0.45</v>
      </c>
      <c r="B501" s="1254" t="s">
        <v>1587</v>
      </c>
      <c r="D501" s="1274">
        <f>$A$501*D499</f>
        <v>33.475151095513667</v>
      </c>
      <c r="E501" s="1274">
        <f t="shared" ref="E501:G501" si="91">$A$501*E499</f>
        <v>148.0323625011487</v>
      </c>
      <c r="F501" s="1274">
        <f t="shared" si="91"/>
        <v>230.27256389067574</v>
      </c>
      <c r="G501" s="1274">
        <f t="shared" si="91"/>
        <v>325.67119750252715</v>
      </c>
      <c r="H501" s="1254">
        <f>(F501/D501)^(1/2)-1</f>
        <v>1.6227676920550627</v>
      </c>
    </row>
    <row r="502" spans="1:24">
      <c r="A502" s="1282"/>
      <c r="B502" s="1405"/>
      <c r="C502" s="1404"/>
      <c r="D502" s="1987"/>
      <c r="E502" s="1987">
        <f>(E501*12.8)/(1+$N$303)^($O$305)</f>
        <v>1731.8220737240872</v>
      </c>
      <c r="F502" s="1987">
        <f t="shared" ref="F502:G502" si="92">(F501*12.8)/(1+$N$303)^($O$305)</f>
        <v>2693.9454480152463</v>
      </c>
      <c r="G502" s="1987">
        <f t="shared" si="92"/>
        <v>3810.0085621929916</v>
      </c>
    </row>
    <row r="503" spans="1:24">
      <c r="B503" s="1254" t="s">
        <v>1588</v>
      </c>
      <c r="D503" s="1274">
        <f ca="1">D496+D501</f>
        <v>717.88633329901768</v>
      </c>
      <c r="E503" s="1274">
        <f ca="1">E496+E501</f>
        <v>2117.6575282089225</v>
      </c>
      <c r="F503" s="1274">
        <f t="shared" ref="F503:G503" ca="1" si="93">F496+F501</f>
        <v>2921.0743212461407</v>
      </c>
      <c r="G503" s="1274">
        <f t="shared" ca="1" si="93"/>
        <v>3838.1154167083814</v>
      </c>
      <c r="M503" s="2059">
        <v>46022</v>
      </c>
    </row>
    <row r="504" spans="1:24">
      <c r="B504" s="1254" t="s">
        <v>1589</v>
      </c>
      <c r="D504" s="1259">
        <f ca="1">D503/D491</f>
        <v>0.10515272862973724</v>
      </c>
      <c r="E504" s="1259">
        <f ca="1">E503/E491</f>
        <v>0.25843355146556107</v>
      </c>
      <c r="F504" s="1259">
        <f t="shared" ref="F504:G504" ca="1" si="94">F503/F491</f>
        <v>0.27834194445934979</v>
      </c>
      <c r="G504" s="1259">
        <f t="shared" ca="1" si="94"/>
        <v>0.33633472630837186</v>
      </c>
      <c r="L504" s="1254" t="s">
        <v>1590</v>
      </c>
      <c r="M504" s="2072">
        <f>M506-L512</f>
        <v>2</v>
      </c>
    </row>
    <row r="505" spans="1:24">
      <c r="L505" s="1254" t="s">
        <v>1591</v>
      </c>
      <c r="M505" s="2060">
        <f>N516</f>
        <v>0.05</v>
      </c>
    </row>
    <row r="506" spans="1:24">
      <c r="L506" s="1254" t="s">
        <v>1592</v>
      </c>
      <c r="M506" s="1274">
        <f>ROUND(13*1.15,0)</f>
        <v>15</v>
      </c>
      <c r="N506" s="1254">
        <f>13.5*1.15</f>
        <v>15.524999999999999</v>
      </c>
    </row>
    <row r="507" spans="1:24">
      <c r="S507" s="1257" t="e">
        <f t="shared" ref="S507:T507" si="95">MEDIAN(S510:S516)</f>
        <v>#NUM!</v>
      </c>
      <c r="T507" s="1257">
        <f t="shared" si="95"/>
        <v>56134</v>
      </c>
      <c r="U507" s="1257">
        <f>MEDIAN(U510:U516)</f>
        <v>15</v>
      </c>
      <c r="V507" s="1257">
        <f t="shared" ref="V507:X507" si="96">MEDIAN(V510:V516)</f>
        <v>10</v>
      </c>
      <c r="W507" s="1257">
        <f t="shared" si="96"/>
        <v>13</v>
      </c>
      <c r="X507" s="1257">
        <f t="shared" si="96"/>
        <v>1</v>
      </c>
    </row>
    <row r="508" spans="1:24">
      <c r="M508" s="1257">
        <f>YEARFRAC($M$503,"30/12/"&amp;M509,3)</f>
        <v>0.99726027397260275</v>
      </c>
      <c r="N508" s="1257">
        <f>YEARFRAC($M$503,"30/12/"&amp;N509,3)</f>
        <v>1.9972602739726026</v>
      </c>
      <c r="O508" s="1257">
        <f>YEARFRAC($M$503,"30/12/"&amp;O509,3)</f>
        <v>3</v>
      </c>
      <c r="P508" s="1257"/>
      <c r="R508" s="2125" t="s">
        <v>1593</v>
      </c>
      <c r="S508" s="2126" t="s">
        <v>1594</v>
      </c>
      <c r="T508" s="2126" t="s">
        <v>1595</v>
      </c>
      <c r="U508" s="2127" t="s">
        <v>1596</v>
      </c>
      <c r="V508" s="2126" t="s">
        <v>1597</v>
      </c>
      <c r="W508" s="2126" t="s">
        <v>1598</v>
      </c>
      <c r="X508" s="2127" t="s">
        <v>1599</v>
      </c>
    </row>
    <row r="509" spans="1:24">
      <c r="K509" s="2078"/>
      <c r="L509" s="2139" t="s">
        <v>699</v>
      </c>
      <c r="M509" s="2141">
        <v>2026</v>
      </c>
      <c r="N509" s="2140">
        <v>2027</v>
      </c>
      <c r="O509" s="2140">
        <v>2028</v>
      </c>
      <c r="P509" s="1255"/>
      <c r="Q509" s="1255"/>
      <c r="R509" s="1254" t="s">
        <v>1600</v>
      </c>
      <c r="T509" s="2131">
        <f ca="1">MEDIAN(T509:T516)</f>
        <v>56134</v>
      </c>
      <c r="U509" s="2131">
        <f ca="1">MEDIAN(U509:U516)</f>
        <v>15</v>
      </c>
      <c r="V509" s="2131">
        <f t="shared" ref="V509:X509" ca="1" si="97">MEDIAN(V509:V516)</f>
        <v>10</v>
      </c>
      <c r="W509" s="2131">
        <f t="shared" ca="1" si="97"/>
        <v>13</v>
      </c>
      <c r="X509" s="2131">
        <f t="shared" ca="1" si="97"/>
        <v>1</v>
      </c>
    </row>
    <row r="510" spans="1:24">
      <c r="B510" s="2150"/>
      <c r="C510" s="2150" t="s">
        <v>677</v>
      </c>
      <c r="D510" s="2150" t="s">
        <v>677</v>
      </c>
      <c r="E510" s="2151" t="s">
        <v>676</v>
      </c>
      <c r="F510" s="2150" t="s">
        <v>678</v>
      </c>
      <c r="K510" s="2068"/>
      <c r="L510" s="2070" t="s">
        <v>1601</v>
      </c>
      <c r="M510" s="2113">
        <f ca="1">Rev_Year!M322</f>
        <v>6294.8053334565693</v>
      </c>
      <c r="N510" s="2143">
        <f ca="1">Rev_Year!N322</f>
        <v>7372.6967830000158</v>
      </c>
      <c r="O510" s="2082">
        <f ca="1">Rev_Year!O322</f>
        <v>9135.3339761058342</v>
      </c>
      <c r="P510" s="1274"/>
      <c r="Q510" s="1274"/>
      <c r="R510" s="1254" t="s">
        <v>1602</v>
      </c>
      <c r="S510" s="1254" t="s">
        <v>1603</v>
      </c>
      <c r="T510" s="1309">
        <v>156723</v>
      </c>
      <c r="U510" s="1613">
        <v>18</v>
      </c>
      <c r="V510" s="1254">
        <v>10</v>
      </c>
      <c r="W510" s="1254">
        <v>13</v>
      </c>
      <c r="X510" s="1613">
        <v>2</v>
      </c>
    </row>
    <row r="511" spans="1:24">
      <c r="B511" s="2152" t="s">
        <v>1604</v>
      </c>
      <c r="C511" s="2152">
        <f t="shared" ref="C511:F511" ca="1" si="98">C433</f>
        <v>6757.4049217238035</v>
      </c>
      <c r="D511" s="2153">
        <f t="shared" ca="1" si="98"/>
        <v>6599.7860598426605</v>
      </c>
      <c r="E511" s="2153">
        <f t="shared" ca="1" si="98"/>
        <v>8599.8434466857871</v>
      </c>
      <c r="F511" s="2153">
        <f t="shared" ca="1" si="98"/>
        <v>9380.9804005435235</v>
      </c>
      <c r="L511" s="3395">
        <f>L512-$M$504</f>
        <v>11</v>
      </c>
      <c r="M511" s="2115">
        <f ca="1">(M$510*$L511)/(1+$M$505)^(M$508)</f>
        <v>65954.395329618768</v>
      </c>
      <c r="N511" s="2144">
        <f t="shared" ref="N511:O515" ca="1" si="99">(N$510*$L511)/(1+$M$505)^(N$508)</f>
        <v>73569.620014705957</v>
      </c>
      <c r="O511" s="2144">
        <f t="shared" ca="1" si="99"/>
        <v>86805.894600724903</v>
      </c>
      <c r="P511" s="1274"/>
      <c r="Q511" s="1274"/>
      <c r="R511" s="1254" t="s">
        <v>1605</v>
      </c>
      <c r="S511" s="1254" t="s">
        <v>1606</v>
      </c>
      <c r="T511" s="1309">
        <v>11058</v>
      </c>
      <c r="U511" s="1613">
        <v>4</v>
      </c>
      <c r="V511" s="1254">
        <v>6</v>
      </c>
      <c r="W511" s="1254">
        <v>8</v>
      </c>
      <c r="X511" s="1613">
        <v>1</v>
      </c>
    </row>
    <row r="512" spans="1:24">
      <c r="B512" s="2154" t="s">
        <v>1607</v>
      </c>
      <c r="C512" s="2155"/>
      <c r="D512" s="2156">
        <f ca="1">D434</f>
        <v>19.669058462221535</v>
      </c>
      <c r="E512" s="2156">
        <f t="shared" ref="E512:F512" ca="1" si="100">E434</f>
        <v>15.094644298347882</v>
      </c>
      <c r="F512" s="2156">
        <f t="shared" ca="1" si="100"/>
        <v>13.837741078925916</v>
      </c>
      <c r="L512" s="3394">
        <v>13</v>
      </c>
      <c r="M512" s="2113">
        <f t="shared" ref="M512:M515" ca="1" si="101">(M$510*$L512)/(1+$M$505)^(M$508)</f>
        <v>77946.103571367625</v>
      </c>
      <c r="N512" s="2085">
        <f t="shared" ca="1" si="99"/>
        <v>86945.91456283431</v>
      </c>
      <c r="O512" s="2085">
        <f t="shared" ca="1" si="99"/>
        <v>102588.78452812943</v>
      </c>
      <c r="P512" s="1256"/>
      <c r="Q512" s="1256"/>
      <c r="R512" s="1254" t="s">
        <v>1608</v>
      </c>
      <c r="S512" s="1254" t="s">
        <v>1609</v>
      </c>
      <c r="T512" s="1309">
        <v>11921</v>
      </c>
      <c r="U512" s="1613">
        <v>12</v>
      </c>
      <c r="V512" s="1254">
        <v>10</v>
      </c>
      <c r="W512" s="1254">
        <v>21</v>
      </c>
      <c r="X512" s="1613">
        <v>1</v>
      </c>
    </row>
    <row r="513" spans="2:24">
      <c r="B513" s="2157" t="s">
        <v>711</v>
      </c>
      <c r="C513" s="2158">
        <f t="shared" ref="C513:F514" si="102">C442</f>
        <v>0</v>
      </c>
      <c r="D513" s="2159">
        <f t="shared" ca="1" si="102"/>
        <v>88100</v>
      </c>
      <c r="E513" s="2159">
        <f t="shared" ca="1" si="102"/>
        <v>106000</v>
      </c>
      <c r="F513" s="2160">
        <f t="shared" ca="1" si="102"/>
        <v>125800</v>
      </c>
      <c r="L513" s="3394">
        <v>15.48</v>
      </c>
      <c r="M513" s="2142">
        <f ca="1">(M$510*$L513)/(1+$M$505)^(M$508)</f>
        <v>92815.821791136215</v>
      </c>
      <c r="N513" s="2085">
        <f ca="1">(N$510*$L513)/(1+$M$505)^(N$508)</f>
        <v>103532.51980251347</v>
      </c>
      <c r="O513" s="2085">
        <f t="shared" ca="1" si="99"/>
        <v>122159.56803811104</v>
      </c>
      <c r="P513" s="2002"/>
      <c r="Q513" s="1256"/>
      <c r="R513" s="1254" t="s">
        <v>1610</v>
      </c>
      <c r="S513" s="1254" t="s">
        <v>1611</v>
      </c>
      <c r="T513" s="1309">
        <v>49629</v>
      </c>
      <c r="U513" s="1613">
        <v>15</v>
      </c>
      <c r="V513" s="1254">
        <v>11</v>
      </c>
      <c r="W513" s="1254">
        <v>13</v>
      </c>
      <c r="X513" s="1613">
        <v>7</v>
      </c>
    </row>
    <row r="514" spans="2:24">
      <c r="B514" s="2161" t="s">
        <v>713</v>
      </c>
      <c r="C514" s="2162">
        <f t="shared" si="102"/>
        <v>0</v>
      </c>
      <c r="D514" s="2163">
        <f t="shared" ca="1" si="102"/>
        <v>-3.3936651583710287E-3</v>
      </c>
      <c r="E514" s="2163">
        <f t="shared" ca="1" si="102"/>
        <v>0.19909502262443435</v>
      </c>
      <c r="F514" s="2164">
        <f t="shared" ca="1" si="102"/>
        <v>0.42307692307692313</v>
      </c>
      <c r="L514" s="3394">
        <f>L513+$M$504</f>
        <v>17.48</v>
      </c>
      <c r="M514" s="2113">
        <f t="shared" ca="1" si="101"/>
        <v>104807.53003288509</v>
      </c>
      <c r="N514" s="2085">
        <f t="shared" ca="1" si="99"/>
        <v>116908.81435064184</v>
      </c>
      <c r="O514" s="2085">
        <f t="shared" ca="1" si="99"/>
        <v>137942.45796551558</v>
      </c>
      <c r="P514" s="1256"/>
      <c r="Q514" s="1256"/>
      <c r="R514" s="1254" t="s">
        <v>1612</v>
      </c>
      <c r="S514" s="1254" t="s">
        <v>1613</v>
      </c>
      <c r="T514" s="1309">
        <v>60344</v>
      </c>
      <c r="U514" s="1613">
        <v>15</v>
      </c>
      <c r="V514" s="1254">
        <v>9</v>
      </c>
      <c r="W514" s="1254">
        <v>13</v>
      </c>
      <c r="X514" s="1613">
        <v>1</v>
      </c>
    </row>
    <row r="515" spans="2:24">
      <c r="L515" s="3396">
        <f>L514+$M$504</f>
        <v>19.48</v>
      </c>
      <c r="M515" s="2114">
        <f t="shared" ca="1" si="101"/>
        <v>116799.23827463396</v>
      </c>
      <c r="N515" s="2119">
        <f t="shared" ca="1" si="99"/>
        <v>130285.1088987702</v>
      </c>
      <c r="O515" s="2119">
        <f t="shared" ca="1" si="99"/>
        <v>153725.34789292011</v>
      </c>
      <c r="P515" s="1613"/>
      <c r="Q515" s="1256"/>
      <c r="R515" s="1254" t="s">
        <v>1614</v>
      </c>
      <c r="S515" s="1254" t="s">
        <v>1615</v>
      </c>
      <c r="T515" s="1309">
        <v>56134</v>
      </c>
      <c r="U515" s="1613">
        <v>16</v>
      </c>
      <c r="V515" s="1254">
        <v>9</v>
      </c>
      <c r="W515" s="1254">
        <v>12</v>
      </c>
      <c r="X515" s="1613">
        <v>2</v>
      </c>
    </row>
    <row r="516" spans="2:24">
      <c r="L516" s="3411" t="s">
        <v>1616</v>
      </c>
      <c r="M516" s="3411"/>
      <c r="N516" s="2138">
        <v>0.05</v>
      </c>
      <c r="O516" s="2119"/>
      <c r="P516" s="1256"/>
      <c r="Q516" s="1256"/>
      <c r="R516" s="1400" t="s">
        <v>1617</v>
      </c>
      <c r="S516" s="1400" t="s">
        <v>1618</v>
      </c>
      <c r="T516" s="2133">
        <v>84588</v>
      </c>
      <c r="U516" s="2166">
        <v>11</v>
      </c>
      <c r="V516" s="1400">
        <v>10</v>
      </c>
      <c r="W516" s="1400">
        <v>15</v>
      </c>
      <c r="X516" s="2166">
        <v>1</v>
      </c>
    </row>
    <row r="517" spans="2:24">
      <c r="L517" s="1947"/>
      <c r="R517" s="2128" t="s">
        <v>1619</v>
      </c>
      <c r="S517" s="2128" t="s">
        <v>1620</v>
      </c>
      <c r="T517" s="2129">
        <v>73369</v>
      </c>
      <c r="U517" s="2130" t="s">
        <v>1621</v>
      </c>
      <c r="V517" s="2128" t="s">
        <v>1621</v>
      </c>
      <c r="W517" s="2128" t="s">
        <v>1621</v>
      </c>
      <c r="X517" s="2130">
        <v>2</v>
      </c>
    </row>
    <row r="518" spans="2:24">
      <c r="L518" s="2069" t="s">
        <v>1622</v>
      </c>
      <c r="M518" s="2073">
        <f ca="1">M510/(1+$M$505)^M$508</f>
        <v>5995.8541208744327</v>
      </c>
      <c r="N518" s="2074">
        <f ca="1">N510/(1+$M$505)^N$508</f>
        <v>6688.1472740641784</v>
      </c>
      <c r="O518" s="2074">
        <f ca="1">O510/(1+$M$505)^O$508</f>
        <v>7891.4449637022635</v>
      </c>
    </row>
    <row r="519" spans="2:24">
      <c r="L519" s="1947"/>
      <c r="U519" s="1257"/>
    </row>
    <row r="520" spans="2:24">
      <c r="D520" s="1255" t="s">
        <v>1542</v>
      </c>
      <c r="K520" s="1275">
        <v>1</v>
      </c>
      <c r="L520" s="2147" t="s">
        <v>7</v>
      </c>
      <c r="M520" s="2139">
        <f>M509</f>
        <v>2026</v>
      </c>
      <c r="N520" s="2140">
        <f t="shared" ref="N520:O520" si="103">N509</f>
        <v>2027</v>
      </c>
      <c r="O520" s="2140">
        <f t="shared" si="103"/>
        <v>2028</v>
      </c>
    </row>
    <row r="521" spans="2:24">
      <c r="D521" s="1255" t="s">
        <v>1543</v>
      </c>
      <c r="E521" s="1255" t="s">
        <v>676</v>
      </c>
      <c r="F521" s="1255" t="s">
        <v>678</v>
      </c>
      <c r="L521" s="2146" t="str">
        <f>L510</f>
        <v>PE/LNST</v>
      </c>
      <c r="M521" s="2085">
        <f ca="1">Rev_Year!M124</f>
        <v>1666.8605919733013</v>
      </c>
      <c r="N521" s="2082">
        <f ca="1">Rev_Year!N124</f>
        <v>2462.7398791753599</v>
      </c>
      <c r="O521" s="2082">
        <f ca="1">Rev_Year!O124</f>
        <v>2832.7210836461363</v>
      </c>
      <c r="P521" s="1254">
        <f ca="1">N521/M521-1</f>
        <v>0.47747201597697053</v>
      </c>
    </row>
    <row r="522" spans="2:24">
      <c r="B522" s="1254" t="s">
        <v>681</v>
      </c>
      <c r="L522" s="2116">
        <f>L523-$K$520</f>
        <v>19.5</v>
      </c>
      <c r="M522" s="2085">
        <f t="shared" ref="M522:O526" ca="1" si="104">(M$521*$L522)/(1+$N$527)^M$508</f>
        <v>29964.098776085844</v>
      </c>
      <c r="N522" s="2085">
        <f t="shared" ca="1" si="104"/>
        <v>40802.87320335173</v>
      </c>
      <c r="O522" s="2085">
        <f t="shared" ca="1" si="104"/>
        <v>43246.32540114961</v>
      </c>
    </row>
    <row r="523" spans="2:24">
      <c r="B523" s="1254" t="s">
        <v>684</v>
      </c>
      <c r="C523" s="1255">
        <v>5.8548220430118592E-2</v>
      </c>
      <c r="D523" s="1255">
        <v>4.4999999999999998E-2</v>
      </c>
      <c r="E523" s="1255">
        <v>6.0081457170224652E-2</v>
      </c>
      <c r="F523" s="1255">
        <v>7.5162914340449305E-2</v>
      </c>
      <c r="L523" s="2116">
        <f>L524-$K$520</f>
        <v>20.5</v>
      </c>
      <c r="M523" s="2085">
        <f t="shared" ca="1" si="104"/>
        <v>31500.719226141526</v>
      </c>
      <c r="N523" s="2085">
        <f t="shared" ca="1" si="104"/>
        <v>42895.328239421047</v>
      </c>
      <c r="O523" s="2085">
        <f t="shared" ca="1" si="104"/>
        <v>45464.08567813164</v>
      </c>
      <c r="P523" s="1268">
        <f ca="1">N523/N534-1</f>
        <v>-8.4836270623618981E-2</v>
      </c>
      <c r="T523" s="1309">
        <f>MEDIAN(T526:T533)</f>
        <v>89496</v>
      </c>
      <c r="U523" s="1309">
        <f>MEDIAN(U526:U536)</f>
        <v>21.5</v>
      </c>
      <c r="V523" s="1309">
        <f t="shared" ref="V523:X523" si="105">MEDIAN(V526:V533)</f>
        <v>9</v>
      </c>
      <c r="W523" s="1309">
        <f t="shared" si="105"/>
        <v>25</v>
      </c>
      <c r="X523" s="1309">
        <f t="shared" si="105"/>
        <v>4.5</v>
      </c>
    </row>
    <row r="524" spans="2:24">
      <c r="B524" s="1254" t="s">
        <v>687</v>
      </c>
      <c r="C524" s="1255">
        <v>1.5843711378399173E-2</v>
      </c>
      <c r="D524" s="1255">
        <v>5.0000000000000001E-3</v>
      </c>
      <c r="E524" s="1255">
        <v>1.9527983203166666E-2</v>
      </c>
      <c r="F524" s="1255">
        <v>2.5000000000000001E-2</v>
      </c>
      <c r="L524" s="2116">
        <v>21.5</v>
      </c>
      <c r="M524" s="2085">
        <f t="shared" ca="1" si="104"/>
        <v>33037.339676197211</v>
      </c>
      <c r="N524" s="2085">
        <f t="shared" ca="1" si="104"/>
        <v>44987.783275490372</v>
      </c>
      <c r="O524" s="2080">
        <f ca="1">(O$521*$L524)/(1+$N$527)^O$508</f>
        <v>47681.845955113669</v>
      </c>
      <c r="R524" s="2125" t="s">
        <v>1593</v>
      </c>
      <c r="S524" s="2126" t="s">
        <v>1594</v>
      </c>
      <c r="T524" s="2126" t="s">
        <v>1595</v>
      </c>
      <c r="U524" s="2127" t="s">
        <v>1596</v>
      </c>
      <c r="V524" s="2126" t="s">
        <v>1597</v>
      </c>
      <c r="W524" s="2126" t="s">
        <v>1598</v>
      </c>
      <c r="X524" s="2127" t="s">
        <v>1599</v>
      </c>
    </row>
    <row r="525" spans="2:24">
      <c r="B525" s="1254" t="s">
        <v>690</v>
      </c>
      <c r="L525" s="2116">
        <f>L524+$K$520</f>
        <v>22.5</v>
      </c>
      <c r="M525" s="2085">
        <f t="shared" ca="1" si="104"/>
        <v>34573.960126252896</v>
      </c>
      <c r="N525" s="2085">
        <f t="shared" ca="1" si="104"/>
        <v>47080.238311559689</v>
      </c>
      <c r="O525" s="2085">
        <f t="shared" ca="1" si="104"/>
        <v>49899.606232095706</v>
      </c>
      <c r="R525" s="1254" t="s">
        <v>1600</v>
      </c>
      <c r="T525" s="2165">
        <f>MEDIAN(T526:T533)</f>
        <v>89496</v>
      </c>
      <c r="U525" s="2165">
        <f>MEDIAN(U526:U533)</f>
        <v>21.5</v>
      </c>
      <c r="V525" s="2165">
        <f t="shared" ref="V525:X525" si="106">MEDIAN(V526:V533)</f>
        <v>9</v>
      </c>
      <c r="W525" s="2165">
        <f t="shared" si="106"/>
        <v>25</v>
      </c>
      <c r="X525" s="2165">
        <f t="shared" si="106"/>
        <v>4.5</v>
      </c>
    </row>
    <row r="526" spans="2:24">
      <c r="B526" s="1254" t="s">
        <v>8</v>
      </c>
      <c r="C526" s="1255">
        <v>8144.0783953102555</v>
      </c>
      <c r="D526" s="1274">
        <v>7033.1678675306948</v>
      </c>
      <c r="E526" s="1274">
        <v>9686.5818391564808</v>
      </c>
      <c r="F526" s="1274">
        <v>11779.025050900782</v>
      </c>
      <c r="L526" s="2121">
        <f>L525+$K$520</f>
        <v>23.5</v>
      </c>
      <c r="M526" s="2119">
        <f t="shared" ca="1" si="104"/>
        <v>36110.580576308581</v>
      </c>
      <c r="N526" s="2119">
        <f t="shared" ca="1" si="104"/>
        <v>49172.693347629007</v>
      </c>
      <c r="O526" s="2119">
        <f t="shared" ca="1" si="104"/>
        <v>52117.366509077729</v>
      </c>
      <c r="R526" s="1254" t="s">
        <v>1623</v>
      </c>
      <c r="S526" s="1254" t="s">
        <v>1624</v>
      </c>
      <c r="T526" s="1309">
        <v>349024</v>
      </c>
      <c r="U526" s="1921">
        <v>14</v>
      </c>
      <c r="V526" s="1921">
        <v>11</v>
      </c>
      <c r="W526" s="1921">
        <v>18</v>
      </c>
      <c r="X526" s="1921">
        <v>3</v>
      </c>
    </row>
    <row r="527" spans="2:24">
      <c r="B527" s="1254" t="s">
        <v>699</v>
      </c>
      <c r="C527" s="1255">
        <v>6012.1726122624896</v>
      </c>
      <c r="D527" s="1274">
        <v>5301.6217574348193</v>
      </c>
      <c r="E527" s="1274">
        <v>7055.1015407749337</v>
      </c>
      <c r="F527" s="1274">
        <v>8808.5813241150499</v>
      </c>
      <c r="L527" s="3411" t="s">
        <v>1616</v>
      </c>
      <c r="M527" s="3411"/>
      <c r="N527" s="2148">
        <v>8.5000000000000006E-2</v>
      </c>
      <c r="O527" s="2145"/>
      <c r="R527" s="1254" t="s">
        <v>1625</v>
      </c>
      <c r="S527" s="1254" t="s">
        <v>1626</v>
      </c>
      <c r="T527" s="1309">
        <v>224830</v>
      </c>
      <c r="U527" s="1921">
        <v>21</v>
      </c>
      <c r="V527" s="1921">
        <v>9</v>
      </c>
      <c r="W527" s="1921">
        <v>22</v>
      </c>
      <c r="X527" s="1921">
        <v>7</v>
      </c>
    </row>
    <row r="528" spans="2:24">
      <c r="B528" s="1254" t="s">
        <v>7</v>
      </c>
      <c r="C528" s="1255">
        <v>965.09183047781153</v>
      </c>
      <c r="D528" s="1274">
        <v>309.72440417246389</v>
      </c>
      <c r="E528" s="1274">
        <v>1209.6585924581359</v>
      </c>
      <c r="F528" s="1274">
        <v>1548.6220208623197</v>
      </c>
      <c r="L528" s="2070"/>
      <c r="M528" s="2075"/>
      <c r="R528" s="1254" t="s">
        <v>1627</v>
      </c>
      <c r="S528" s="1254" t="s">
        <v>1628</v>
      </c>
      <c r="T528" s="1309">
        <v>161539</v>
      </c>
      <c r="U528" s="1921">
        <v>163</v>
      </c>
      <c r="V528" s="1921">
        <v>22</v>
      </c>
      <c r="W528" s="1921">
        <v>148</v>
      </c>
      <c r="X528" s="1921">
        <v>10</v>
      </c>
    </row>
    <row r="529" spans="2:26">
      <c r="B529" s="1254" t="s">
        <v>697</v>
      </c>
      <c r="C529" s="1255">
        <v>1166.8139525699544</v>
      </c>
      <c r="D529" s="1274">
        <v>1421.8217059234112</v>
      </c>
      <c r="E529" s="1274">
        <v>1421.8217059234112</v>
      </c>
      <c r="F529" s="1274">
        <v>1421.8217059234112</v>
      </c>
      <c r="L529" s="2070"/>
      <c r="M529" s="2075"/>
      <c r="N529" s="2076"/>
      <c r="O529" s="2076"/>
      <c r="R529" s="1254" t="s">
        <v>1629</v>
      </c>
      <c r="S529" s="1254" t="s">
        <v>1630</v>
      </c>
      <c r="T529" s="1309">
        <v>122376</v>
      </c>
      <c r="U529" s="1921">
        <v>19</v>
      </c>
      <c r="V529" s="1921">
        <v>9</v>
      </c>
      <c r="W529" s="1921">
        <v>15</v>
      </c>
      <c r="X529" s="1921">
        <v>5</v>
      </c>
    </row>
    <row r="530" spans="2:26">
      <c r="B530" s="1254" t="s">
        <v>9</v>
      </c>
      <c r="C530" s="1255">
        <v>6336.6146479884064</v>
      </c>
      <c r="D530" s="1274">
        <v>5515.5510548904913</v>
      </c>
      <c r="E530" s="1274">
        <v>7596.4114162400138</v>
      </c>
      <c r="F530" s="1274">
        <v>9237.347276325876</v>
      </c>
      <c r="L530" s="2081" t="str">
        <f>L518</f>
        <v>PE/LNST chiết khấu</v>
      </c>
      <c r="M530" s="2083">
        <f ca="1">M521/(1+M505)^(M508)</f>
        <v>1587.6984942151223</v>
      </c>
      <c r="N530" s="2084">
        <f ca="1">N521/(1+N505)^(N508)</f>
        <v>2462.7398791753599</v>
      </c>
      <c r="O530" s="2084">
        <f ca="1">O521/(1+O505)^(O508)</f>
        <v>2832.7210836461363</v>
      </c>
      <c r="R530" s="1254" t="s">
        <v>1631</v>
      </c>
      <c r="S530" s="1254" t="s">
        <v>1632</v>
      </c>
      <c r="T530" s="1309">
        <v>56616</v>
      </c>
      <c r="U530" s="1921">
        <v>35</v>
      </c>
      <c r="V530" s="1921">
        <v>1160</v>
      </c>
      <c r="W530" s="1921">
        <v>38</v>
      </c>
      <c r="X530" s="1921">
        <v>2</v>
      </c>
    </row>
    <row r="531" spans="2:26">
      <c r="B531" s="1254" t="s">
        <v>409</v>
      </c>
      <c r="C531" s="1255">
        <v>19.154741032347857</v>
      </c>
      <c r="D531" s="1274">
        <v>22.006180596656606</v>
      </c>
      <c r="E531" s="1274">
        <v>15.978098861854093</v>
      </c>
      <c r="F531" s="1274">
        <v>13.139726046142219</v>
      </c>
      <c r="L531" s="2070"/>
      <c r="M531" s="2077"/>
      <c r="N531" s="2076"/>
      <c r="O531" s="2076"/>
      <c r="R531" s="1254" t="s">
        <v>1633</v>
      </c>
      <c r="S531" s="1254" t="s">
        <v>1634</v>
      </c>
      <c r="T531" s="1309">
        <v>37074</v>
      </c>
      <c r="U531" s="1921">
        <v>22</v>
      </c>
      <c r="V531" s="1921">
        <v>8</v>
      </c>
      <c r="W531" s="1921">
        <v>28</v>
      </c>
      <c r="X531" s="1921">
        <v>5</v>
      </c>
    </row>
    <row r="532" spans="2:26">
      <c r="B532" s="1254" t="s">
        <v>1635</v>
      </c>
      <c r="D532" s="1274"/>
      <c r="E532" s="1274"/>
      <c r="F532" s="1274"/>
      <c r="N532" s="1256">
        <f>N534/L523</f>
        <v>2286.4269735593416</v>
      </c>
      <c r="O532" s="1294">
        <f ca="1">N521/N532-1</f>
        <v>7.7112852347760441E-2</v>
      </c>
      <c r="P532" s="1254">
        <f>500+2313</f>
        <v>2813</v>
      </c>
      <c r="R532" s="1254" t="s">
        <v>1636</v>
      </c>
      <c r="S532" s="1254" t="s">
        <v>1637</v>
      </c>
      <c r="T532" s="1309">
        <v>24450</v>
      </c>
      <c r="U532" s="1921">
        <v>32</v>
      </c>
      <c r="V532" s="1921">
        <v>6</v>
      </c>
      <c r="W532" s="1921">
        <v>28</v>
      </c>
      <c r="X532" s="1921">
        <v>3</v>
      </c>
    </row>
    <row r="533" spans="2:26">
      <c r="B533" s="1254" t="s">
        <v>699</v>
      </c>
      <c r="C533" s="1255">
        <v>0.99990000000000001</v>
      </c>
      <c r="D533" s="1274">
        <v>79524.326361522282</v>
      </c>
      <c r="E533" s="1274">
        <v>87686.347148278554</v>
      </c>
      <c r="F533" s="1274">
        <v>140937.3011858408</v>
      </c>
      <c r="G533" s="1262">
        <f ca="1">E436/E533-1</f>
        <v>5.8497985258567864E-2</v>
      </c>
      <c r="N533" s="1256">
        <v>44528.16531006818</v>
      </c>
      <c r="P533" s="1254">
        <f>500/P532</f>
        <v>0.17774617845716317</v>
      </c>
      <c r="R533" s="1254" t="s">
        <v>1638</v>
      </c>
      <c r="S533" s="1254" t="s">
        <v>1639</v>
      </c>
      <c r="T533" s="1309">
        <v>23080</v>
      </c>
      <c r="U533" s="1921">
        <v>17</v>
      </c>
      <c r="V533" s="1921">
        <v>8</v>
      </c>
      <c r="W533" s="1921">
        <v>16</v>
      </c>
      <c r="X533" s="1921">
        <v>4</v>
      </c>
    </row>
    <row r="534" spans="2:26">
      <c r="B534" s="1254" t="s">
        <v>701</v>
      </c>
      <c r="C534" s="1255">
        <v>0.95</v>
      </c>
      <c r="D534" s="1274">
        <v>32871.319869912339</v>
      </c>
      <c r="E534" s="1274">
        <v>44369.491734948431</v>
      </c>
      <c r="F534" s="1274">
        <v>57436.824198104827</v>
      </c>
      <c r="G534" s="1262">
        <f t="shared" ref="G534:G537" ca="1" si="107">E437/E534-1</f>
        <v>2.0813710090048954E-2</v>
      </c>
      <c r="N534" s="1256">
        <f>N533/0.95</f>
        <v>46871.752957966506</v>
      </c>
      <c r="R534" s="1254" t="s">
        <v>1640</v>
      </c>
      <c r="S534" s="1254" t="s">
        <v>1641</v>
      </c>
      <c r="T534" s="1309">
        <v>2954</v>
      </c>
      <c r="U534" s="1921"/>
      <c r="V534" s="1921" t="s">
        <v>1621</v>
      </c>
      <c r="W534" s="1921" t="s">
        <v>1621</v>
      </c>
      <c r="X534" s="1921">
        <v>1</v>
      </c>
    </row>
    <row r="535" spans="2:26">
      <c r="B535" s="1254" t="s">
        <v>703</v>
      </c>
      <c r="D535" s="1274">
        <v>17574.344482195003</v>
      </c>
      <c r="E535" s="1274">
        <v>17574.344482195003</v>
      </c>
      <c r="F535" s="1274">
        <v>17574.344482195003</v>
      </c>
      <c r="G535" s="1262">
        <f t="shared" si="107"/>
        <v>0</v>
      </c>
      <c r="R535" s="1254" t="s">
        <v>1642</v>
      </c>
      <c r="S535" s="1254" t="s">
        <v>1643</v>
      </c>
      <c r="T535" s="1309">
        <v>1997</v>
      </c>
      <c r="U535" s="1921"/>
      <c r="V535" s="1921" t="s">
        <v>1621</v>
      </c>
      <c r="W535" s="1921" t="s">
        <v>1621</v>
      </c>
      <c r="X535" s="1921">
        <v>4</v>
      </c>
    </row>
    <row r="536" spans="2:26">
      <c r="D536" s="1274"/>
      <c r="E536" s="1274"/>
      <c r="F536" s="1274"/>
      <c r="G536" s="1262" t="e">
        <f t="shared" si="107"/>
        <v>#DIV/0!</v>
      </c>
      <c r="R536" s="1400" t="s">
        <v>1644</v>
      </c>
      <c r="S536" s="1400" t="s">
        <v>1645</v>
      </c>
      <c r="T536" s="2133">
        <v>1410</v>
      </c>
      <c r="U536" s="2149"/>
      <c r="V536" s="2149">
        <v>3</v>
      </c>
      <c r="W536" s="2149">
        <v>15</v>
      </c>
      <c r="X536" s="2149">
        <v>10</v>
      </c>
    </row>
    <row r="537" spans="2:26">
      <c r="B537" s="1254" t="s">
        <v>704</v>
      </c>
      <c r="D537" s="1274">
        <v>129969.99071362964</v>
      </c>
      <c r="E537" s="1274">
        <v>149630.18336542198</v>
      </c>
      <c r="F537" s="1274">
        <v>215948.46986614063</v>
      </c>
      <c r="G537" s="1262">
        <f t="shared" ca="1" si="107"/>
        <v>4.0452856800217596E-2</v>
      </c>
    </row>
    <row r="538" spans="2:26">
      <c r="D538" s="1274"/>
      <c r="E538" s="1274"/>
      <c r="F538" s="1274"/>
    </row>
    <row r="539" spans="2:26">
      <c r="B539" s="1254" t="s">
        <v>711</v>
      </c>
      <c r="D539" s="1274">
        <v>87600</v>
      </c>
      <c r="E539" s="1274">
        <v>100800</v>
      </c>
      <c r="F539" s="1274">
        <v>145500</v>
      </c>
    </row>
    <row r="540" spans="2:26">
      <c r="B540" s="1254" t="s">
        <v>713</v>
      </c>
      <c r="D540" s="1274">
        <v>7.0904645476772554E-2</v>
      </c>
      <c r="E540" s="1274">
        <v>0.23227383863080675</v>
      </c>
      <c r="F540" s="1274">
        <v>0.77872860635696828</v>
      </c>
    </row>
    <row r="541" spans="2:26">
      <c r="B541" s="1254" t="s">
        <v>715</v>
      </c>
      <c r="D541" s="1274"/>
      <c r="E541" s="1274" t="s">
        <v>716</v>
      </c>
      <c r="F541" s="1274"/>
      <c r="S541" s="1254" t="s">
        <v>1646</v>
      </c>
      <c r="T541" s="1254" t="s">
        <v>1647</v>
      </c>
      <c r="U541" s="1254">
        <v>410</v>
      </c>
      <c r="V541" s="1613" t="s">
        <v>1621</v>
      </c>
      <c r="W541" s="1254" t="s">
        <v>1621</v>
      </c>
      <c r="X541" s="1254" t="s">
        <v>1621</v>
      </c>
      <c r="Y541" s="1613" t="s">
        <v>1621</v>
      </c>
      <c r="Z541" s="1613">
        <v>0</v>
      </c>
    </row>
    <row r="545" spans="7:7">
      <c r="G545" s="1254">
        <f>100800/84500-1</f>
        <v>0.19289940828402363</v>
      </c>
    </row>
  </sheetData>
  <mergeCells count="52">
    <mergeCell ref="E303:G303"/>
    <mergeCell ref="G393:I393"/>
    <mergeCell ref="I303:K303"/>
    <mergeCell ref="B342:D342"/>
    <mergeCell ref="B343:D343"/>
    <mergeCell ref="B344:B345"/>
    <mergeCell ref="B310:D310"/>
    <mergeCell ref="B311:D311"/>
    <mergeCell ref="I311:K311"/>
    <mergeCell ref="D393:F393"/>
    <mergeCell ref="D374:F374"/>
    <mergeCell ref="H374:J374"/>
    <mergeCell ref="B316:D316"/>
    <mergeCell ref="E316:G316"/>
    <mergeCell ref="I316:K316"/>
    <mergeCell ref="E322:G322"/>
    <mergeCell ref="B10:F10"/>
    <mergeCell ref="B205:E205"/>
    <mergeCell ref="B195:C195"/>
    <mergeCell ref="E195:F195"/>
    <mergeCell ref="B171:D171"/>
    <mergeCell ref="E171:G171"/>
    <mergeCell ref="A33:A35"/>
    <mergeCell ref="A36:A38"/>
    <mergeCell ref="B68:C68"/>
    <mergeCell ref="B71:C71"/>
    <mergeCell ref="B69:C69"/>
    <mergeCell ref="B70:C70"/>
    <mergeCell ref="B63:C63"/>
    <mergeCell ref="A281:A282"/>
    <mergeCell ref="A283:A284"/>
    <mergeCell ref="B303:D303"/>
    <mergeCell ref="A228:A229"/>
    <mergeCell ref="A230:A231"/>
    <mergeCell ref="E323:G323"/>
    <mergeCell ref="B322:D322"/>
    <mergeCell ref="B323:D323"/>
    <mergeCell ref="D447:G447"/>
    <mergeCell ref="A450:A454"/>
    <mergeCell ref="A448:B448"/>
    <mergeCell ref="A395:A397"/>
    <mergeCell ref="A399:A403"/>
    <mergeCell ref="D423:F423"/>
    <mergeCell ref="B428:F428"/>
    <mergeCell ref="B435:F435"/>
    <mergeCell ref="B425:F425"/>
    <mergeCell ref="B446:F446"/>
    <mergeCell ref="L516:M516"/>
    <mergeCell ref="L527:M527"/>
    <mergeCell ref="E485:G485"/>
    <mergeCell ref="G459:G463"/>
    <mergeCell ref="B474:F474"/>
  </mergeCells>
  <phoneticPr fontId="64" type="noConversion"/>
  <conditionalFormatting sqref="B363">
    <cfRule type="cellIs" dxfId="19" priority="20" operator="equal">
      <formula>"Tích cực"</formula>
    </cfRule>
  </conditionalFormatting>
  <conditionalFormatting sqref="B364">
    <cfRule type="cellIs" dxfId="18" priority="19" operator="equal">
      <formula>"Trung lập"</formula>
    </cfRule>
  </conditionalFormatting>
  <conditionalFormatting sqref="B365">
    <cfRule type="cellIs" dxfId="17" priority="18" operator="equal">
      <formula>"Tích cực"</formula>
    </cfRule>
  </conditionalFormatting>
  <conditionalFormatting sqref="C450:F454 D477:G481 D482:F482">
    <cfRule type="cellIs" dxfId="16" priority="11" operator="lessThan">
      <formula>$D$445</formula>
    </cfRule>
    <cfRule type="cellIs" dxfId="15" priority="12" operator="greaterThan">
      <formula>$D$445</formula>
    </cfRule>
  </conditionalFormatting>
  <conditionalFormatting sqref="D443:F443">
    <cfRule type="cellIs" dxfId="14" priority="15" operator="greaterThan">
      <formula>0</formula>
    </cfRule>
  </conditionalFormatting>
  <conditionalFormatting sqref="D471:F471">
    <cfRule type="cellIs" dxfId="13" priority="10" operator="greaterThan">
      <formula>0</formula>
    </cfRule>
  </conditionalFormatting>
  <conditionalFormatting sqref="D417:I417">
    <cfRule type="cellIs" dxfId="12" priority="16" operator="lessThan">
      <formula>0</formula>
    </cfRule>
    <cfRule type="cellIs" dxfId="11" priority="17" operator="greaterThan">
      <formula>0.15</formula>
    </cfRule>
  </conditionalFormatting>
  <conditionalFormatting sqref="J477:M481">
    <cfRule type="cellIs" dxfId="10" priority="3" operator="greaterThan">
      <formula>0</formula>
    </cfRule>
    <cfRule type="cellIs" dxfId="9" priority="4" operator="lessThan">
      <formula>$D$445</formula>
    </cfRule>
    <cfRule type="cellIs" dxfId="8" priority="5" operator="greaterThan">
      <formula>$D$445</formula>
    </cfRule>
  </conditionalFormatting>
  <hyperlinks>
    <hyperlink ref="A354" r:id="rId1" location="Figures-Humidity" xr:uid="{3D03D40C-7685-4024-B8FA-58581B10C90B}"/>
  </hyperlinks>
  <pageMargins left="0.7" right="0.7" top="0.75" bottom="0.75" header="0.3" footer="0.3"/>
  <pageSetup orientation="portrait" r:id="rId2"/>
  <drawing r:id="rId3"/>
  <legacyDrawing r:id="rId4"/>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DC1723-B905-4AA1-A92D-099B828541B4}">
  <dimension ref="A1:K22"/>
  <sheetViews>
    <sheetView zoomScaleNormal="100" zoomScaleSheetLayoutView="100" workbookViewId="0">
      <selection activeCell="B1" sqref="B1:B1048576"/>
    </sheetView>
  </sheetViews>
  <sheetFormatPr baseColWidth="10" defaultColWidth="9.1640625" defaultRowHeight="13"/>
  <cols>
    <col min="1" max="1" width="9.1640625" style="42"/>
    <col min="2" max="2" width="0" style="42" hidden="1" customWidth="1"/>
    <col min="3" max="16384" width="9.1640625" style="42"/>
  </cols>
  <sheetData>
    <row r="1" spans="1:11">
      <c r="A1" s="42" t="s">
        <v>2882</v>
      </c>
      <c r="B1" s="42" t="s">
        <v>2883</v>
      </c>
      <c r="C1" s="42" t="s">
        <v>2884</v>
      </c>
      <c r="D1" s="42" t="s">
        <v>2885</v>
      </c>
      <c r="E1" s="42" t="s">
        <v>2886</v>
      </c>
      <c r="F1" s="42" t="s">
        <v>2887</v>
      </c>
      <c r="G1" s="42" t="s">
        <v>2888</v>
      </c>
      <c r="H1" s="42" t="s">
        <v>2889</v>
      </c>
      <c r="I1" s="42" t="s">
        <v>2890</v>
      </c>
      <c r="J1" s="3391" t="s">
        <v>2891</v>
      </c>
      <c r="K1" s="3391" t="s">
        <v>2892</v>
      </c>
    </row>
    <row r="2" spans="1:11">
      <c r="A2" s="42" t="s">
        <v>1821</v>
      </c>
      <c r="B2" s="42" t="s">
        <v>2893</v>
      </c>
      <c r="C2" s="42">
        <v>110</v>
      </c>
      <c r="D2" s="42">
        <v>134</v>
      </c>
      <c r="E2" s="42">
        <v>139</v>
      </c>
      <c r="F2" s="42">
        <v>29</v>
      </c>
      <c r="G2" s="42">
        <v>5</v>
      </c>
      <c r="H2" s="42">
        <v>26.36363636363636</v>
      </c>
      <c r="I2" s="42">
        <v>3.7313432835820892</v>
      </c>
      <c r="J2" s="3391">
        <f>E2-C2</f>
        <v>29</v>
      </c>
      <c r="K2" s="3391">
        <f>E2-D2</f>
        <v>5</v>
      </c>
    </row>
    <row r="3" spans="1:11">
      <c r="A3" s="42" t="s">
        <v>1830</v>
      </c>
      <c r="B3" s="42" t="s">
        <v>2894</v>
      </c>
      <c r="C3" s="42">
        <v>50</v>
      </c>
      <c r="D3" s="42">
        <v>68</v>
      </c>
      <c r="E3" s="42">
        <v>68</v>
      </c>
      <c r="F3" s="42">
        <v>18</v>
      </c>
      <c r="G3" s="42">
        <v>0</v>
      </c>
      <c r="H3" s="42">
        <v>36</v>
      </c>
      <c r="I3" s="42">
        <v>0</v>
      </c>
      <c r="J3" s="3391">
        <f t="shared" ref="J3:J22" si="0">E3-C3</f>
        <v>18</v>
      </c>
      <c r="K3" s="3391">
        <f t="shared" ref="K3:K22" si="1">E3-D3</f>
        <v>0</v>
      </c>
    </row>
    <row r="4" spans="1:11">
      <c r="A4" s="42" t="s">
        <v>1843</v>
      </c>
      <c r="B4" s="42" t="s">
        <v>2895</v>
      </c>
      <c r="C4" s="42">
        <v>0</v>
      </c>
      <c r="D4" s="42">
        <v>49</v>
      </c>
      <c r="E4" s="42">
        <v>53</v>
      </c>
      <c r="F4" s="42">
        <v>4</v>
      </c>
      <c r="G4" s="42">
        <v>4</v>
      </c>
      <c r="I4" s="42">
        <v>8.1632653061224492</v>
      </c>
      <c r="J4" s="3391">
        <f t="shared" si="0"/>
        <v>53</v>
      </c>
      <c r="K4" s="3391">
        <f t="shared" si="1"/>
        <v>4</v>
      </c>
    </row>
    <row r="5" spans="1:11">
      <c r="A5" s="42" t="s">
        <v>1865</v>
      </c>
      <c r="B5" s="42" t="s">
        <v>1865</v>
      </c>
      <c r="C5" s="42">
        <v>0</v>
      </c>
      <c r="D5" s="42">
        <v>32</v>
      </c>
      <c r="E5" s="42">
        <v>38</v>
      </c>
      <c r="F5" s="42">
        <v>6</v>
      </c>
      <c r="G5" s="42">
        <v>6</v>
      </c>
      <c r="I5" s="42">
        <v>18.75</v>
      </c>
      <c r="J5" s="3391">
        <f t="shared" si="0"/>
        <v>38</v>
      </c>
      <c r="K5" s="3391">
        <f t="shared" si="1"/>
        <v>6</v>
      </c>
    </row>
    <row r="6" spans="1:11">
      <c r="A6" s="42" t="s">
        <v>1845</v>
      </c>
      <c r="B6" s="42" t="s">
        <v>2896</v>
      </c>
      <c r="C6" s="42">
        <v>52</v>
      </c>
      <c r="D6" s="42">
        <v>71</v>
      </c>
      <c r="E6" s="42">
        <v>71</v>
      </c>
      <c r="F6" s="42">
        <v>19</v>
      </c>
      <c r="G6" s="42">
        <v>0</v>
      </c>
      <c r="H6" s="42">
        <v>36.538461538461533</v>
      </c>
      <c r="I6" s="42">
        <v>0</v>
      </c>
      <c r="J6" s="3391">
        <f t="shared" si="0"/>
        <v>19</v>
      </c>
      <c r="K6" s="3391">
        <f t="shared" si="1"/>
        <v>0</v>
      </c>
    </row>
    <row r="7" spans="1:11">
      <c r="A7" s="42" t="s">
        <v>1841</v>
      </c>
      <c r="B7" s="42" t="s">
        <v>2897</v>
      </c>
      <c r="C7" s="42">
        <v>107</v>
      </c>
      <c r="D7" s="42">
        <v>128</v>
      </c>
      <c r="E7" s="42">
        <v>135</v>
      </c>
      <c r="F7" s="42">
        <v>28</v>
      </c>
      <c r="G7" s="42">
        <v>7</v>
      </c>
      <c r="H7" s="42">
        <v>26.168224299065422</v>
      </c>
      <c r="I7" s="42">
        <v>5.46875</v>
      </c>
      <c r="J7" s="3391">
        <f t="shared" si="0"/>
        <v>28</v>
      </c>
      <c r="K7" s="3391">
        <f t="shared" si="1"/>
        <v>7</v>
      </c>
    </row>
    <row r="8" spans="1:11">
      <c r="A8" s="42" t="s">
        <v>1862</v>
      </c>
      <c r="B8" s="42" t="s">
        <v>1862</v>
      </c>
      <c r="C8" s="42">
        <v>0</v>
      </c>
      <c r="D8" s="42">
        <v>44</v>
      </c>
      <c r="E8" s="42">
        <v>56</v>
      </c>
      <c r="F8" s="42">
        <v>12</v>
      </c>
      <c r="G8" s="42">
        <v>12</v>
      </c>
      <c r="I8" s="42">
        <v>27.27272727272727</v>
      </c>
      <c r="J8" s="3391">
        <f t="shared" si="0"/>
        <v>56</v>
      </c>
      <c r="K8" s="3391">
        <f t="shared" si="1"/>
        <v>12</v>
      </c>
    </row>
    <row r="9" spans="1:11">
      <c r="A9" s="42" t="s">
        <v>2080</v>
      </c>
      <c r="B9" s="42" t="s">
        <v>2080</v>
      </c>
      <c r="C9" s="42">
        <v>0</v>
      </c>
      <c r="D9" s="42">
        <v>0</v>
      </c>
      <c r="E9" s="42">
        <v>39</v>
      </c>
      <c r="F9" s="42">
        <v>39</v>
      </c>
      <c r="G9" s="42">
        <v>39</v>
      </c>
      <c r="J9" s="3391">
        <f t="shared" si="0"/>
        <v>39</v>
      </c>
      <c r="K9" s="3391">
        <f t="shared" si="1"/>
        <v>39</v>
      </c>
    </row>
    <row r="10" spans="1:11">
      <c r="A10" s="42" t="s">
        <v>1856</v>
      </c>
      <c r="B10" s="42" t="s">
        <v>2898</v>
      </c>
      <c r="C10" s="42">
        <v>0</v>
      </c>
      <c r="D10" s="42">
        <v>26</v>
      </c>
      <c r="E10" s="42">
        <v>29</v>
      </c>
      <c r="F10" s="42">
        <v>3</v>
      </c>
      <c r="G10" s="42">
        <v>3</v>
      </c>
      <c r="I10" s="42">
        <v>11.53846153846154</v>
      </c>
      <c r="J10" s="3391">
        <f t="shared" si="0"/>
        <v>29</v>
      </c>
      <c r="K10" s="3391">
        <f t="shared" si="1"/>
        <v>3</v>
      </c>
    </row>
    <row r="11" spans="1:11">
      <c r="A11" s="42" t="s">
        <v>1861</v>
      </c>
      <c r="B11" s="42" t="s">
        <v>2899</v>
      </c>
      <c r="C11" s="42">
        <v>0</v>
      </c>
      <c r="D11" s="42">
        <v>39</v>
      </c>
      <c r="E11" s="42">
        <v>40</v>
      </c>
      <c r="F11" s="42">
        <v>1</v>
      </c>
      <c r="G11" s="42">
        <v>1</v>
      </c>
      <c r="I11" s="42">
        <v>2.5641025641025639</v>
      </c>
      <c r="J11" s="3391">
        <f t="shared" si="0"/>
        <v>40</v>
      </c>
      <c r="K11" s="3391">
        <f t="shared" si="1"/>
        <v>1</v>
      </c>
    </row>
    <row r="12" spans="1:11">
      <c r="A12" s="42" t="s">
        <v>2900</v>
      </c>
      <c r="B12" s="42" t="s">
        <v>2901</v>
      </c>
      <c r="C12" s="42">
        <v>103</v>
      </c>
      <c r="D12" s="42">
        <v>150</v>
      </c>
      <c r="E12" s="42">
        <v>149</v>
      </c>
      <c r="F12" s="42">
        <v>46</v>
      </c>
      <c r="G12" s="42">
        <v>-1</v>
      </c>
      <c r="H12" s="42">
        <v>44.660194174757287</v>
      </c>
      <c r="I12" s="42">
        <v>-0.66666666666666674</v>
      </c>
      <c r="J12" s="3391">
        <f t="shared" si="0"/>
        <v>46</v>
      </c>
      <c r="K12" s="3391">
        <f t="shared" si="1"/>
        <v>-1</v>
      </c>
    </row>
    <row r="13" spans="1:11">
      <c r="A13" s="42" t="s">
        <v>2902</v>
      </c>
      <c r="B13" s="42" t="s">
        <v>2903</v>
      </c>
      <c r="C13" s="42">
        <v>0</v>
      </c>
      <c r="D13" s="42">
        <v>33</v>
      </c>
      <c r="E13" s="42">
        <v>35</v>
      </c>
      <c r="F13" s="42">
        <v>2</v>
      </c>
      <c r="G13" s="42">
        <v>2</v>
      </c>
      <c r="I13" s="42">
        <v>6.0606060606060614</v>
      </c>
      <c r="J13" s="3391">
        <f t="shared" si="0"/>
        <v>35</v>
      </c>
      <c r="K13" s="3391">
        <f t="shared" si="1"/>
        <v>2</v>
      </c>
    </row>
    <row r="14" spans="1:11">
      <c r="A14" s="42" t="s">
        <v>1819</v>
      </c>
      <c r="B14" s="42" t="s">
        <v>2904</v>
      </c>
      <c r="C14" s="42">
        <v>688</v>
      </c>
      <c r="D14" s="42">
        <v>817</v>
      </c>
      <c r="E14" s="42">
        <v>832</v>
      </c>
      <c r="F14" s="42">
        <v>144</v>
      </c>
      <c r="G14" s="42">
        <v>15</v>
      </c>
      <c r="H14" s="42">
        <v>20.93023255813954</v>
      </c>
      <c r="I14" s="42">
        <v>1.8359853121175029</v>
      </c>
      <c r="J14" s="3391">
        <f t="shared" si="0"/>
        <v>144</v>
      </c>
      <c r="K14" s="3391">
        <f t="shared" si="1"/>
        <v>15</v>
      </c>
    </row>
    <row r="15" spans="1:11">
      <c r="A15" s="42" t="s">
        <v>2905</v>
      </c>
      <c r="B15" s="42" t="s">
        <v>2906</v>
      </c>
      <c r="C15" s="42">
        <v>0</v>
      </c>
      <c r="D15" s="42">
        <v>85</v>
      </c>
      <c r="E15" s="42">
        <v>90</v>
      </c>
      <c r="F15" s="42">
        <v>5</v>
      </c>
      <c r="G15" s="42">
        <v>5</v>
      </c>
      <c r="I15" s="42">
        <v>5.8823529411764701</v>
      </c>
      <c r="J15" s="3391">
        <f t="shared" si="0"/>
        <v>90</v>
      </c>
      <c r="K15" s="3391">
        <f t="shared" si="1"/>
        <v>5</v>
      </c>
    </row>
    <row r="16" spans="1:11">
      <c r="A16" s="42" t="s">
        <v>1863</v>
      </c>
      <c r="B16" s="42" t="s">
        <v>1863</v>
      </c>
      <c r="C16" s="42">
        <v>0</v>
      </c>
      <c r="D16" s="42">
        <v>47</v>
      </c>
      <c r="E16" s="42">
        <v>51</v>
      </c>
      <c r="F16" s="42">
        <v>4</v>
      </c>
      <c r="G16" s="42">
        <v>4</v>
      </c>
      <c r="I16" s="42">
        <v>8.5106382978723403</v>
      </c>
      <c r="J16" s="3391">
        <f t="shared" si="0"/>
        <v>51</v>
      </c>
      <c r="K16" s="3391">
        <f t="shared" si="1"/>
        <v>4</v>
      </c>
    </row>
    <row r="17" spans="1:11">
      <c r="A17" s="42" t="s">
        <v>1850</v>
      </c>
      <c r="B17" s="42" t="s">
        <v>2907</v>
      </c>
      <c r="C17" s="42">
        <v>147</v>
      </c>
      <c r="D17" s="42">
        <v>173</v>
      </c>
      <c r="E17" s="42">
        <v>176</v>
      </c>
      <c r="F17" s="42">
        <v>29</v>
      </c>
      <c r="G17" s="42">
        <v>3</v>
      </c>
      <c r="H17" s="42">
        <v>19.727891156462579</v>
      </c>
      <c r="I17" s="42">
        <v>1.7341040462427739</v>
      </c>
      <c r="J17" s="3391">
        <f t="shared" si="0"/>
        <v>29</v>
      </c>
      <c r="K17" s="3391">
        <f t="shared" si="1"/>
        <v>3</v>
      </c>
    </row>
    <row r="18" spans="1:11">
      <c r="A18" s="42" t="s">
        <v>1853</v>
      </c>
      <c r="B18" s="42" t="s">
        <v>2908</v>
      </c>
      <c r="C18" s="42">
        <v>102</v>
      </c>
      <c r="D18" s="42">
        <v>120</v>
      </c>
      <c r="E18" s="42">
        <v>124</v>
      </c>
      <c r="F18" s="42">
        <v>22</v>
      </c>
      <c r="G18" s="42">
        <v>4</v>
      </c>
      <c r="H18" s="42">
        <v>21.56862745098039</v>
      </c>
      <c r="I18" s="42">
        <v>3.333333333333333</v>
      </c>
      <c r="J18" s="3391">
        <f t="shared" si="0"/>
        <v>22</v>
      </c>
      <c r="K18" s="3391">
        <f t="shared" si="1"/>
        <v>4</v>
      </c>
    </row>
    <row r="19" spans="1:11">
      <c r="A19" s="42" t="s">
        <v>1833</v>
      </c>
      <c r="B19" s="42" t="s">
        <v>2909</v>
      </c>
      <c r="C19" s="42">
        <v>50</v>
      </c>
      <c r="D19" s="42">
        <v>74</v>
      </c>
      <c r="E19" s="42">
        <v>77</v>
      </c>
      <c r="F19" s="42">
        <v>27</v>
      </c>
      <c r="G19" s="42">
        <v>3</v>
      </c>
      <c r="H19" s="42">
        <v>54</v>
      </c>
      <c r="I19" s="42">
        <v>4.0540540540540544</v>
      </c>
      <c r="J19" s="3391">
        <f t="shared" si="0"/>
        <v>27</v>
      </c>
      <c r="K19" s="3391">
        <f t="shared" si="1"/>
        <v>3</v>
      </c>
    </row>
    <row r="20" spans="1:11">
      <c r="A20" s="42" t="s">
        <v>1835</v>
      </c>
      <c r="B20" s="42" t="s">
        <v>2910</v>
      </c>
      <c r="C20" s="42">
        <v>193</v>
      </c>
      <c r="D20" s="42">
        <v>218</v>
      </c>
      <c r="E20" s="42">
        <v>219</v>
      </c>
      <c r="F20" s="42">
        <v>26</v>
      </c>
      <c r="G20" s="42">
        <v>1</v>
      </c>
      <c r="H20" s="42">
        <v>13.47150259067358</v>
      </c>
      <c r="I20" s="42">
        <v>0.45871559633027531</v>
      </c>
      <c r="J20" s="3391">
        <f t="shared" si="0"/>
        <v>26</v>
      </c>
      <c r="K20" s="3391">
        <f t="shared" si="1"/>
        <v>1</v>
      </c>
    </row>
    <row r="21" spans="1:11">
      <c r="A21" s="42" t="s">
        <v>1837</v>
      </c>
      <c r="B21" s="42" t="s">
        <v>2911</v>
      </c>
      <c r="C21" s="42">
        <v>107</v>
      </c>
      <c r="D21" s="42">
        <v>123</v>
      </c>
      <c r="E21" s="42">
        <v>126</v>
      </c>
      <c r="F21" s="42">
        <v>19</v>
      </c>
      <c r="G21" s="42">
        <v>3</v>
      </c>
      <c r="H21" s="42">
        <v>17.75700934579439</v>
      </c>
      <c r="I21" s="42">
        <v>2.4390243902439019</v>
      </c>
      <c r="J21" s="3391">
        <f t="shared" si="0"/>
        <v>19</v>
      </c>
      <c r="K21" s="3391">
        <f t="shared" si="1"/>
        <v>3</v>
      </c>
    </row>
    <row r="22" spans="1:11">
      <c r="A22" s="42" t="s">
        <v>2314</v>
      </c>
      <c r="B22" s="42" t="s">
        <v>2912</v>
      </c>
      <c r="C22" s="42">
        <v>1709</v>
      </c>
      <c r="D22" s="42">
        <v>2431</v>
      </c>
      <c r="E22" s="42">
        <v>2547</v>
      </c>
      <c r="F22" s="42">
        <v>483</v>
      </c>
      <c r="G22" s="42">
        <v>116</v>
      </c>
      <c r="H22" s="42">
        <v>49.034523112931538</v>
      </c>
      <c r="I22" s="42">
        <v>4.7716988893459478</v>
      </c>
      <c r="J22" s="3391">
        <f t="shared" si="0"/>
        <v>838</v>
      </c>
      <c r="K22" s="3391">
        <f t="shared" si="1"/>
        <v>116</v>
      </c>
    </row>
  </sheetData>
  <conditionalFormatting sqref="J2:J21">
    <cfRule type="colorScale" priority="2">
      <colorScale>
        <cfvo type="min"/>
        <cfvo type="percentile" val="50"/>
        <cfvo type="max"/>
        <color rgb="FFF8696B"/>
        <color rgb="FFFFEB84"/>
        <color rgb="FF63BE7B"/>
      </colorScale>
    </cfRule>
  </conditionalFormatting>
  <conditionalFormatting sqref="K2:K21">
    <cfRule type="colorScale" priority="1">
      <colorScale>
        <cfvo type="min"/>
        <cfvo type="percentile" val="50"/>
        <cfvo type="max"/>
        <color rgb="FFF8696B"/>
        <color rgb="FFFFEB84"/>
        <color rgb="FF63BE7B"/>
      </colorScale>
    </cfRule>
  </conditionalFormatting>
  <pageMargins left="0" right="0" top="0" bottom="0" header="0" footer="0"/>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4"/>
  <dimension ref="A1:AZ1250"/>
  <sheetViews>
    <sheetView showGridLines="0" zoomScale="80" zoomScaleNormal="80" zoomScalePageLayoutView="85" workbookViewId="0">
      <pane xSplit="2" ySplit="3" topLeftCell="N16" activePane="bottomRight" state="frozen"/>
      <selection pane="topRight" activeCell="C1" sqref="C1"/>
      <selection pane="bottomLeft" activeCell="A4" sqref="A4"/>
      <selection pane="bottomRight" activeCell="P34" sqref="P34"/>
    </sheetView>
  </sheetViews>
  <sheetFormatPr baseColWidth="10" defaultColWidth="8.83203125" defaultRowHeight="14" outlineLevelCol="1"/>
  <cols>
    <col min="1" max="1" width="3" style="499" customWidth="1"/>
    <col min="2" max="2" width="33.5" style="499" customWidth="1"/>
    <col min="3" max="3" width="12.1640625" style="499" customWidth="1" outlineLevel="1"/>
    <col min="4" max="4" width="7.83203125" style="499" customWidth="1" outlineLevel="1"/>
    <col min="5" max="5" width="12.6640625" style="499" customWidth="1"/>
    <col min="6" max="6" width="12.1640625" style="499" bestFit="1" customWidth="1"/>
    <col min="7" max="7" width="11.5" style="499" bestFit="1" customWidth="1"/>
    <col min="8" max="9" width="12.1640625" style="499" bestFit="1" customWidth="1"/>
    <col min="10" max="10" width="12.5" style="499" customWidth="1"/>
    <col min="11" max="11" width="11.5" style="499" customWidth="1"/>
    <col min="12" max="12" width="12.5" style="499" customWidth="1"/>
    <col min="13" max="13" width="14.33203125" style="499" customWidth="1"/>
    <col min="14" max="14" width="12.5" style="499" customWidth="1"/>
    <col min="15" max="15" width="13.5" style="499" customWidth="1"/>
    <col min="16" max="16" width="14" style="499" customWidth="1"/>
    <col min="17" max="17" width="14.83203125" style="499" customWidth="1"/>
    <col min="18" max="18" width="19.5" style="499" bestFit="1" customWidth="1"/>
    <col min="19" max="31" width="19.5" style="499" customWidth="1"/>
    <col min="32" max="32" width="18.1640625" style="499" customWidth="1"/>
    <col min="33" max="33" width="20.5" style="789" customWidth="1"/>
    <col min="34" max="34" width="22.5" style="499" customWidth="1"/>
    <col min="35" max="35" width="18.5" style="499" customWidth="1"/>
    <col min="36" max="36" width="19.5" style="499" customWidth="1"/>
    <col min="37" max="37" width="20.33203125" style="499" customWidth="1"/>
    <col min="38" max="38" width="15.1640625" style="499" customWidth="1"/>
    <col min="39" max="39" width="12.6640625" style="499" bestFit="1" customWidth="1"/>
    <col min="40" max="40" width="21" style="499" customWidth="1"/>
    <col min="41" max="41" width="15.5" style="499" customWidth="1"/>
    <col min="42" max="45" width="10.5" style="499" customWidth="1"/>
    <col min="46" max="46" width="13" style="499" bestFit="1" customWidth="1"/>
    <col min="47" max="47" width="11" style="499" bestFit="1" customWidth="1"/>
    <col min="48" max="48" width="10.5" style="499" bestFit="1" customWidth="1"/>
    <col min="49" max="49" width="12.83203125" style="499" bestFit="1" customWidth="1"/>
    <col min="50" max="50" width="9.83203125" style="499" bestFit="1" customWidth="1"/>
    <col min="51" max="51" width="11.5" style="499" bestFit="1" customWidth="1"/>
    <col min="52" max="52" width="9" style="499" bestFit="1" customWidth="1"/>
    <col min="53" max="263" width="8.83203125" style="499"/>
    <col min="264" max="264" width="2.5" style="499" customWidth="1"/>
    <col min="265" max="266" width="9.1640625" style="499" customWidth="1"/>
    <col min="267" max="267" width="15.83203125" style="499" bestFit="1" customWidth="1"/>
    <col min="268" max="269" width="15.5" style="499" bestFit="1" customWidth="1"/>
    <col min="270" max="274" width="14.83203125" style="499" bestFit="1" customWidth="1"/>
    <col min="275" max="275" width="2.5" style="499" customWidth="1"/>
    <col min="276" max="277" width="8.83203125" style="499"/>
    <col min="278" max="278" width="9.5" style="499" bestFit="1" customWidth="1"/>
    <col min="279" max="279" width="14.5" style="499" bestFit="1" customWidth="1"/>
    <col min="280" max="519" width="8.83203125" style="499"/>
    <col min="520" max="520" width="2.5" style="499" customWidth="1"/>
    <col min="521" max="522" width="9.1640625" style="499" customWidth="1"/>
    <col min="523" max="523" width="15.83203125" style="499" bestFit="1" customWidth="1"/>
    <col min="524" max="525" width="15.5" style="499" bestFit="1" customWidth="1"/>
    <col min="526" max="530" width="14.83203125" style="499" bestFit="1" customWidth="1"/>
    <col min="531" max="531" width="2.5" style="499" customWidth="1"/>
    <col min="532" max="533" width="8.83203125" style="499"/>
    <col min="534" max="534" width="9.5" style="499" bestFit="1" customWidth="1"/>
    <col min="535" max="535" width="14.5" style="499" bestFit="1" customWidth="1"/>
    <col min="536" max="775" width="8.83203125" style="499"/>
    <col min="776" max="776" width="2.5" style="499" customWidth="1"/>
    <col min="777" max="778" width="9.1640625" style="499" customWidth="1"/>
    <col min="779" max="779" width="15.83203125" style="499" bestFit="1" customWidth="1"/>
    <col min="780" max="781" width="15.5" style="499" bestFit="1" customWidth="1"/>
    <col min="782" max="786" width="14.83203125" style="499" bestFit="1" customWidth="1"/>
    <col min="787" max="787" width="2.5" style="499" customWidth="1"/>
    <col min="788" max="789" width="8.83203125" style="499"/>
    <col min="790" max="790" width="9.5" style="499" bestFit="1" customWidth="1"/>
    <col min="791" max="791" width="14.5" style="499" bestFit="1" customWidth="1"/>
    <col min="792" max="1031" width="8.83203125" style="499"/>
    <col min="1032" max="1032" width="2.5" style="499" customWidth="1"/>
    <col min="1033" max="1034" width="9.1640625" style="499" customWidth="1"/>
    <col min="1035" max="1035" width="15.83203125" style="499" bestFit="1" customWidth="1"/>
    <col min="1036" max="1037" width="15.5" style="499" bestFit="1" customWidth="1"/>
    <col min="1038" max="1042" width="14.83203125" style="499" bestFit="1" customWidth="1"/>
    <col min="1043" max="1043" width="2.5" style="499" customWidth="1"/>
    <col min="1044" max="1045" width="8.83203125" style="499"/>
    <col min="1046" max="1046" width="9.5" style="499" bestFit="1" customWidth="1"/>
    <col min="1047" max="1047" width="14.5" style="499" bestFit="1" customWidth="1"/>
    <col min="1048" max="1287" width="8.83203125" style="499"/>
    <col min="1288" max="1288" width="2.5" style="499" customWidth="1"/>
    <col min="1289" max="1290" width="9.1640625" style="499" customWidth="1"/>
    <col min="1291" max="1291" width="15.83203125" style="499" bestFit="1" customWidth="1"/>
    <col min="1292" max="1293" width="15.5" style="499" bestFit="1" customWidth="1"/>
    <col min="1294" max="1298" width="14.83203125" style="499" bestFit="1" customWidth="1"/>
    <col min="1299" max="1299" width="2.5" style="499" customWidth="1"/>
    <col min="1300" max="1301" width="8.83203125" style="499"/>
    <col min="1302" max="1302" width="9.5" style="499" bestFit="1" customWidth="1"/>
    <col min="1303" max="1303" width="14.5" style="499" bestFit="1" customWidth="1"/>
    <col min="1304" max="1543" width="8.83203125" style="499"/>
    <col min="1544" max="1544" width="2.5" style="499" customWidth="1"/>
    <col min="1545" max="1546" width="9.1640625" style="499" customWidth="1"/>
    <col min="1547" max="1547" width="15.83203125" style="499" bestFit="1" customWidth="1"/>
    <col min="1548" max="1549" width="15.5" style="499" bestFit="1" customWidth="1"/>
    <col min="1550" max="1554" width="14.83203125" style="499" bestFit="1" customWidth="1"/>
    <col min="1555" max="1555" width="2.5" style="499" customWidth="1"/>
    <col min="1556" max="1557" width="8.83203125" style="499"/>
    <col min="1558" max="1558" width="9.5" style="499" bestFit="1" customWidth="1"/>
    <col min="1559" max="1559" width="14.5" style="499" bestFit="1" customWidth="1"/>
    <col min="1560" max="1799" width="8.83203125" style="499"/>
    <col min="1800" max="1800" width="2.5" style="499" customWidth="1"/>
    <col min="1801" max="1802" width="9.1640625" style="499" customWidth="1"/>
    <col min="1803" max="1803" width="15.83203125" style="499" bestFit="1" customWidth="1"/>
    <col min="1804" max="1805" width="15.5" style="499" bestFit="1" customWidth="1"/>
    <col min="1806" max="1810" width="14.83203125" style="499" bestFit="1" customWidth="1"/>
    <col min="1811" max="1811" width="2.5" style="499" customWidth="1"/>
    <col min="1812" max="1813" width="8.83203125" style="499"/>
    <col min="1814" max="1814" width="9.5" style="499" bestFit="1" customWidth="1"/>
    <col min="1815" max="1815" width="14.5" style="499" bestFit="1" customWidth="1"/>
    <col min="1816" max="2055" width="8.83203125" style="499"/>
    <col min="2056" max="2056" width="2.5" style="499" customWidth="1"/>
    <col min="2057" max="2058" width="9.1640625" style="499" customWidth="1"/>
    <col min="2059" max="2059" width="15.83203125" style="499" bestFit="1" customWidth="1"/>
    <col min="2060" max="2061" width="15.5" style="499" bestFit="1" customWidth="1"/>
    <col min="2062" max="2066" width="14.83203125" style="499" bestFit="1" customWidth="1"/>
    <col min="2067" max="2067" width="2.5" style="499" customWidth="1"/>
    <col min="2068" max="2069" width="8.83203125" style="499"/>
    <col min="2070" max="2070" width="9.5" style="499" bestFit="1" customWidth="1"/>
    <col min="2071" max="2071" width="14.5" style="499" bestFit="1" customWidth="1"/>
    <col min="2072" max="2311" width="8.83203125" style="499"/>
    <col min="2312" max="2312" width="2.5" style="499" customWidth="1"/>
    <col min="2313" max="2314" width="9.1640625" style="499" customWidth="1"/>
    <col min="2315" max="2315" width="15.83203125" style="499" bestFit="1" customWidth="1"/>
    <col min="2316" max="2317" width="15.5" style="499" bestFit="1" customWidth="1"/>
    <col min="2318" max="2322" width="14.83203125" style="499" bestFit="1" customWidth="1"/>
    <col min="2323" max="2323" width="2.5" style="499" customWidth="1"/>
    <col min="2324" max="2325" width="8.83203125" style="499"/>
    <col min="2326" max="2326" width="9.5" style="499" bestFit="1" customWidth="1"/>
    <col min="2327" max="2327" width="14.5" style="499" bestFit="1" customWidth="1"/>
    <col min="2328" max="2567" width="8.83203125" style="499"/>
    <col min="2568" max="2568" width="2.5" style="499" customWidth="1"/>
    <col min="2569" max="2570" width="9.1640625" style="499" customWidth="1"/>
    <col min="2571" max="2571" width="15.83203125" style="499" bestFit="1" customWidth="1"/>
    <col min="2572" max="2573" width="15.5" style="499" bestFit="1" customWidth="1"/>
    <col min="2574" max="2578" width="14.83203125" style="499" bestFit="1" customWidth="1"/>
    <col min="2579" max="2579" width="2.5" style="499" customWidth="1"/>
    <col min="2580" max="2581" width="8.83203125" style="499"/>
    <col min="2582" max="2582" width="9.5" style="499" bestFit="1" customWidth="1"/>
    <col min="2583" max="2583" width="14.5" style="499" bestFit="1" customWidth="1"/>
    <col min="2584" max="2823" width="8.83203125" style="499"/>
    <col min="2824" max="2824" width="2.5" style="499" customWidth="1"/>
    <col min="2825" max="2826" width="9.1640625" style="499" customWidth="1"/>
    <col min="2827" max="2827" width="15.83203125" style="499" bestFit="1" customWidth="1"/>
    <col min="2828" max="2829" width="15.5" style="499" bestFit="1" customWidth="1"/>
    <col min="2830" max="2834" width="14.83203125" style="499" bestFit="1" customWidth="1"/>
    <col min="2835" max="2835" width="2.5" style="499" customWidth="1"/>
    <col min="2836" max="2837" width="8.83203125" style="499"/>
    <col min="2838" max="2838" width="9.5" style="499" bestFit="1" customWidth="1"/>
    <col min="2839" max="2839" width="14.5" style="499" bestFit="1" customWidth="1"/>
    <col min="2840" max="3079" width="8.83203125" style="499"/>
    <col min="3080" max="3080" width="2.5" style="499" customWidth="1"/>
    <col min="3081" max="3082" width="9.1640625" style="499" customWidth="1"/>
    <col min="3083" max="3083" width="15.83203125" style="499" bestFit="1" customWidth="1"/>
    <col min="3084" max="3085" width="15.5" style="499" bestFit="1" customWidth="1"/>
    <col min="3086" max="3090" width="14.83203125" style="499" bestFit="1" customWidth="1"/>
    <col min="3091" max="3091" width="2.5" style="499" customWidth="1"/>
    <col min="3092" max="3093" width="8.83203125" style="499"/>
    <col min="3094" max="3094" width="9.5" style="499" bestFit="1" customWidth="1"/>
    <col min="3095" max="3095" width="14.5" style="499" bestFit="1" customWidth="1"/>
    <col min="3096" max="3335" width="8.83203125" style="499"/>
    <col min="3336" max="3336" width="2.5" style="499" customWidth="1"/>
    <col min="3337" max="3338" width="9.1640625" style="499" customWidth="1"/>
    <col min="3339" max="3339" width="15.83203125" style="499" bestFit="1" customWidth="1"/>
    <col min="3340" max="3341" width="15.5" style="499" bestFit="1" customWidth="1"/>
    <col min="3342" max="3346" width="14.83203125" style="499" bestFit="1" customWidth="1"/>
    <col min="3347" max="3347" width="2.5" style="499" customWidth="1"/>
    <col min="3348" max="3349" width="8.83203125" style="499"/>
    <col min="3350" max="3350" width="9.5" style="499" bestFit="1" customWidth="1"/>
    <col min="3351" max="3351" width="14.5" style="499" bestFit="1" customWidth="1"/>
    <col min="3352" max="3591" width="8.83203125" style="499"/>
    <col min="3592" max="3592" width="2.5" style="499" customWidth="1"/>
    <col min="3593" max="3594" width="9.1640625" style="499" customWidth="1"/>
    <col min="3595" max="3595" width="15.83203125" style="499" bestFit="1" customWidth="1"/>
    <col min="3596" max="3597" width="15.5" style="499" bestFit="1" customWidth="1"/>
    <col min="3598" max="3602" width="14.83203125" style="499" bestFit="1" customWidth="1"/>
    <col min="3603" max="3603" width="2.5" style="499" customWidth="1"/>
    <col min="3604" max="3605" width="8.83203125" style="499"/>
    <col min="3606" max="3606" width="9.5" style="499" bestFit="1" customWidth="1"/>
    <col min="3607" max="3607" width="14.5" style="499" bestFit="1" customWidth="1"/>
    <col min="3608" max="3847" width="8.83203125" style="499"/>
    <col min="3848" max="3848" width="2.5" style="499" customWidth="1"/>
    <col min="3849" max="3850" width="9.1640625" style="499" customWidth="1"/>
    <col min="3851" max="3851" width="15.83203125" style="499" bestFit="1" customWidth="1"/>
    <col min="3852" max="3853" width="15.5" style="499" bestFit="1" customWidth="1"/>
    <col min="3854" max="3858" width="14.83203125" style="499" bestFit="1" customWidth="1"/>
    <col min="3859" max="3859" width="2.5" style="499" customWidth="1"/>
    <col min="3860" max="3861" width="8.83203125" style="499"/>
    <col min="3862" max="3862" width="9.5" style="499" bestFit="1" customWidth="1"/>
    <col min="3863" max="3863" width="14.5" style="499" bestFit="1" customWidth="1"/>
    <col min="3864" max="4103" width="8.83203125" style="499"/>
    <col min="4104" max="4104" width="2.5" style="499" customWidth="1"/>
    <col min="4105" max="4106" width="9.1640625" style="499" customWidth="1"/>
    <col min="4107" max="4107" width="15.83203125" style="499" bestFit="1" customWidth="1"/>
    <col min="4108" max="4109" width="15.5" style="499" bestFit="1" customWidth="1"/>
    <col min="4110" max="4114" width="14.83203125" style="499" bestFit="1" customWidth="1"/>
    <col min="4115" max="4115" width="2.5" style="499" customWidth="1"/>
    <col min="4116" max="4117" width="8.83203125" style="499"/>
    <col min="4118" max="4118" width="9.5" style="499" bestFit="1" customWidth="1"/>
    <col min="4119" max="4119" width="14.5" style="499" bestFit="1" customWidth="1"/>
    <col min="4120" max="4359" width="8.83203125" style="499"/>
    <col min="4360" max="4360" width="2.5" style="499" customWidth="1"/>
    <col min="4361" max="4362" width="9.1640625" style="499" customWidth="1"/>
    <col min="4363" max="4363" width="15.83203125" style="499" bestFit="1" customWidth="1"/>
    <col min="4364" max="4365" width="15.5" style="499" bestFit="1" customWidth="1"/>
    <col min="4366" max="4370" width="14.83203125" style="499" bestFit="1" customWidth="1"/>
    <col min="4371" max="4371" width="2.5" style="499" customWidth="1"/>
    <col min="4372" max="4373" width="8.83203125" style="499"/>
    <col min="4374" max="4374" width="9.5" style="499" bestFit="1" customWidth="1"/>
    <col min="4375" max="4375" width="14.5" style="499" bestFit="1" customWidth="1"/>
    <col min="4376" max="4615" width="8.83203125" style="499"/>
    <col min="4616" max="4616" width="2.5" style="499" customWidth="1"/>
    <col min="4617" max="4618" width="9.1640625" style="499" customWidth="1"/>
    <col min="4619" max="4619" width="15.83203125" style="499" bestFit="1" customWidth="1"/>
    <col min="4620" max="4621" width="15.5" style="499" bestFit="1" customWidth="1"/>
    <col min="4622" max="4626" width="14.83203125" style="499" bestFit="1" customWidth="1"/>
    <col min="4627" max="4627" width="2.5" style="499" customWidth="1"/>
    <col min="4628" max="4629" width="8.83203125" style="499"/>
    <col min="4630" max="4630" width="9.5" style="499" bestFit="1" customWidth="1"/>
    <col min="4631" max="4631" width="14.5" style="499" bestFit="1" customWidth="1"/>
    <col min="4632" max="4871" width="8.83203125" style="499"/>
    <col min="4872" max="4872" width="2.5" style="499" customWidth="1"/>
    <col min="4873" max="4874" width="9.1640625" style="499" customWidth="1"/>
    <col min="4875" max="4875" width="15.83203125" style="499" bestFit="1" customWidth="1"/>
    <col min="4876" max="4877" width="15.5" style="499" bestFit="1" customWidth="1"/>
    <col min="4878" max="4882" width="14.83203125" style="499" bestFit="1" customWidth="1"/>
    <col min="4883" max="4883" width="2.5" style="499" customWidth="1"/>
    <col min="4884" max="4885" width="8.83203125" style="499"/>
    <col min="4886" max="4886" width="9.5" style="499" bestFit="1" customWidth="1"/>
    <col min="4887" max="4887" width="14.5" style="499" bestFit="1" customWidth="1"/>
    <col min="4888" max="5127" width="8.83203125" style="499"/>
    <col min="5128" max="5128" width="2.5" style="499" customWidth="1"/>
    <col min="5129" max="5130" width="9.1640625" style="499" customWidth="1"/>
    <col min="5131" max="5131" width="15.83203125" style="499" bestFit="1" customWidth="1"/>
    <col min="5132" max="5133" width="15.5" style="499" bestFit="1" customWidth="1"/>
    <col min="5134" max="5138" width="14.83203125" style="499" bestFit="1" customWidth="1"/>
    <col min="5139" max="5139" width="2.5" style="499" customWidth="1"/>
    <col min="5140" max="5141" width="8.83203125" style="499"/>
    <col min="5142" max="5142" width="9.5" style="499" bestFit="1" customWidth="1"/>
    <col min="5143" max="5143" width="14.5" style="499" bestFit="1" customWidth="1"/>
    <col min="5144" max="5383" width="8.83203125" style="499"/>
    <col min="5384" max="5384" width="2.5" style="499" customWidth="1"/>
    <col min="5385" max="5386" width="9.1640625" style="499" customWidth="1"/>
    <col min="5387" max="5387" width="15.83203125" style="499" bestFit="1" customWidth="1"/>
    <col min="5388" max="5389" width="15.5" style="499" bestFit="1" customWidth="1"/>
    <col min="5390" max="5394" width="14.83203125" style="499" bestFit="1" customWidth="1"/>
    <col min="5395" max="5395" width="2.5" style="499" customWidth="1"/>
    <col min="5396" max="5397" width="8.83203125" style="499"/>
    <col min="5398" max="5398" width="9.5" style="499" bestFit="1" customWidth="1"/>
    <col min="5399" max="5399" width="14.5" style="499" bestFit="1" customWidth="1"/>
    <col min="5400" max="5639" width="8.83203125" style="499"/>
    <col min="5640" max="5640" width="2.5" style="499" customWidth="1"/>
    <col min="5641" max="5642" width="9.1640625" style="499" customWidth="1"/>
    <col min="5643" max="5643" width="15.83203125" style="499" bestFit="1" customWidth="1"/>
    <col min="5644" max="5645" width="15.5" style="499" bestFit="1" customWidth="1"/>
    <col min="5646" max="5650" width="14.83203125" style="499" bestFit="1" customWidth="1"/>
    <col min="5651" max="5651" width="2.5" style="499" customWidth="1"/>
    <col min="5652" max="5653" width="8.83203125" style="499"/>
    <col min="5654" max="5654" width="9.5" style="499" bestFit="1" customWidth="1"/>
    <col min="5655" max="5655" width="14.5" style="499" bestFit="1" customWidth="1"/>
    <col min="5656" max="5895" width="8.83203125" style="499"/>
    <col min="5896" max="5896" width="2.5" style="499" customWidth="1"/>
    <col min="5897" max="5898" width="9.1640625" style="499" customWidth="1"/>
    <col min="5899" max="5899" width="15.83203125" style="499" bestFit="1" customWidth="1"/>
    <col min="5900" max="5901" width="15.5" style="499" bestFit="1" customWidth="1"/>
    <col min="5902" max="5906" width="14.83203125" style="499" bestFit="1" customWidth="1"/>
    <col min="5907" max="5907" width="2.5" style="499" customWidth="1"/>
    <col min="5908" max="5909" width="8.83203125" style="499"/>
    <col min="5910" max="5910" width="9.5" style="499" bestFit="1" customWidth="1"/>
    <col min="5911" max="5911" width="14.5" style="499" bestFit="1" customWidth="1"/>
    <col min="5912" max="6151" width="8.83203125" style="499"/>
    <col min="6152" max="6152" width="2.5" style="499" customWidth="1"/>
    <col min="6153" max="6154" width="9.1640625" style="499" customWidth="1"/>
    <col min="6155" max="6155" width="15.83203125" style="499" bestFit="1" customWidth="1"/>
    <col min="6156" max="6157" width="15.5" style="499" bestFit="1" customWidth="1"/>
    <col min="6158" max="6162" width="14.83203125" style="499" bestFit="1" customWidth="1"/>
    <col min="6163" max="6163" width="2.5" style="499" customWidth="1"/>
    <col min="6164" max="6165" width="8.83203125" style="499"/>
    <col min="6166" max="6166" width="9.5" style="499" bestFit="1" customWidth="1"/>
    <col min="6167" max="6167" width="14.5" style="499" bestFit="1" customWidth="1"/>
    <col min="6168" max="6407" width="8.83203125" style="499"/>
    <col min="6408" max="6408" width="2.5" style="499" customWidth="1"/>
    <col min="6409" max="6410" width="9.1640625" style="499" customWidth="1"/>
    <col min="6411" max="6411" width="15.83203125" style="499" bestFit="1" customWidth="1"/>
    <col min="6412" max="6413" width="15.5" style="499" bestFit="1" customWidth="1"/>
    <col min="6414" max="6418" width="14.83203125" style="499" bestFit="1" customWidth="1"/>
    <col min="6419" max="6419" width="2.5" style="499" customWidth="1"/>
    <col min="6420" max="6421" width="8.83203125" style="499"/>
    <col min="6422" max="6422" width="9.5" style="499" bestFit="1" customWidth="1"/>
    <col min="6423" max="6423" width="14.5" style="499" bestFit="1" customWidth="1"/>
    <col min="6424" max="6663" width="8.83203125" style="499"/>
    <col min="6664" max="6664" width="2.5" style="499" customWidth="1"/>
    <col min="6665" max="6666" width="9.1640625" style="499" customWidth="1"/>
    <col min="6667" max="6667" width="15.83203125" style="499" bestFit="1" customWidth="1"/>
    <col min="6668" max="6669" width="15.5" style="499" bestFit="1" customWidth="1"/>
    <col min="6670" max="6674" width="14.83203125" style="499" bestFit="1" customWidth="1"/>
    <col min="6675" max="6675" width="2.5" style="499" customWidth="1"/>
    <col min="6676" max="6677" width="8.83203125" style="499"/>
    <col min="6678" max="6678" width="9.5" style="499" bestFit="1" customWidth="1"/>
    <col min="6679" max="6679" width="14.5" style="499" bestFit="1" customWidth="1"/>
    <col min="6680" max="6919" width="8.83203125" style="499"/>
    <col min="6920" max="6920" width="2.5" style="499" customWidth="1"/>
    <col min="6921" max="6922" width="9.1640625" style="499" customWidth="1"/>
    <col min="6923" max="6923" width="15.83203125" style="499" bestFit="1" customWidth="1"/>
    <col min="6924" max="6925" width="15.5" style="499" bestFit="1" customWidth="1"/>
    <col min="6926" max="6930" width="14.83203125" style="499" bestFit="1" customWidth="1"/>
    <col min="6931" max="6931" width="2.5" style="499" customWidth="1"/>
    <col min="6932" max="6933" width="8.83203125" style="499"/>
    <col min="6934" max="6934" width="9.5" style="499" bestFit="1" customWidth="1"/>
    <col min="6935" max="6935" width="14.5" style="499" bestFit="1" customWidth="1"/>
    <col min="6936" max="7175" width="8.83203125" style="499"/>
    <col min="7176" max="7176" width="2.5" style="499" customWidth="1"/>
    <col min="7177" max="7178" width="9.1640625" style="499" customWidth="1"/>
    <col min="7179" max="7179" width="15.83203125" style="499" bestFit="1" customWidth="1"/>
    <col min="7180" max="7181" width="15.5" style="499" bestFit="1" customWidth="1"/>
    <col min="7182" max="7186" width="14.83203125" style="499" bestFit="1" customWidth="1"/>
    <col min="7187" max="7187" width="2.5" style="499" customWidth="1"/>
    <col min="7188" max="7189" width="8.83203125" style="499"/>
    <col min="7190" max="7190" width="9.5" style="499" bestFit="1" customWidth="1"/>
    <col min="7191" max="7191" width="14.5" style="499" bestFit="1" customWidth="1"/>
    <col min="7192" max="7431" width="8.83203125" style="499"/>
    <col min="7432" max="7432" width="2.5" style="499" customWidth="1"/>
    <col min="7433" max="7434" width="9.1640625" style="499" customWidth="1"/>
    <col min="7435" max="7435" width="15.83203125" style="499" bestFit="1" customWidth="1"/>
    <col min="7436" max="7437" width="15.5" style="499" bestFit="1" customWidth="1"/>
    <col min="7438" max="7442" width="14.83203125" style="499" bestFit="1" customWidth="1"/>
    <col min="7443" max="7443" width="2.5" style="499" customWidth="1"/>
    <col min="7444" max="7445" width="8.83203125" style="499"/>
    <col min="7446" max="7446" width="9.5" style="499" bestFit="1" customWidth="1"/>
    <col min="7447" max="7447" width="14.5" style="499" bestFit="1" customWidth="1"/>
    <col min="7448" max="7687" width="8.83203125" style="499"/>
    <col min="7688" max="7688" width="2.5" style="499" customWidth="1"/>
    <col min="7689" max="7690" width="9.1640625" style="499" customWidth="1"/>
    <col min="7691" max="7691" width="15.83203125" style="499" bestFit="1" customWidth="1"/>
    <col min="7692" max="7693" width="15.5" style="499" bestFit="1" customWidth="1"/>
    <col min="7694" max="7698" width="14.83203125" style="499" bestFit="1" customWidth="1"/>
    <col min="7699" max="7699" width="2.5" style="499" customWidth="1"/>
    <col min="7700" max="7701" width="8.83203125" style="499"/>
    <col min="7702" max="7702" width="9.5" style="499" bestFit="1" customWidth="1"/>
    <col min="7703" max="7703" width="14.5" style="499" bestFit="1" customWidth="1"/>
    <col min="7704" max="7943" width="8.83203125" style="499"/>
    <col min="7944" max="7944" width="2.5" style="499" customWidth="1"/>
    <col min="7945" max="7946" width="9.1640625" style="499" customWidth="1"/>
    <col min="7947" max="7947" width="15.83203125" style="499" bestFit="1" customWidth="1"/>
    <col min="7948" max="7949" width="15.5" style="499" bestFit="1" customWidth="1"/>
    <col min="7950" max="7954" width="14.83203125" style="499" bestFit="1" customWidth="1"/>
    <col min="7955" max="7955" width="2.5" style="499" customWidth="1"/>
    <col min="7956" max="7957" width="8.83203125" style="499"/>
    <col min="7958" max="7958" width="9.5" style="499" bestFit="1" customWidth="1"/>
    <col min="7959" max="7959" width="14.5" style="499" bestFit="1" customWidth="1"/>
    <col min="7960" max="8199" width="8.83203125" style="499"/>
    <col min="8200" max="8200" width="2.5" style="499" customWidth="1"/>
    <col min="8201" max="8202" width="9.1640625" style="499" customWidth="1"/>
    <col min="8203" max="8203" width="15.83203125" style="499" bestFit="1" customWidth="1"/>
    <col min="8204" max="8205" width="15.5" style="499" bestFit="1" customWidth="1"/>
    <col min="8206" max="8210" width="14.83203125" style="499" bestFit="1" customWidth="1"/>
    <col min="8211" max="8211" width="2.5" style="499" customWidth="1"/>
    <col min="8212" max="8213" width="8.83203125" style="499"/>
    <col min="8214" max="8214" width="9.5" style="499" bestFit="1" customWidth="1"/>
    <col min="8215" max="8215" width="14.5" style="499" bestFit="1" customWidth="1"/>
    <col min="8216" max="8455" width="8.83203125" style="499"/>
    <col min="8456" max="8456" width="2.5" style="499" customWidth="1"/>
    <col min="8457" max="8458" width="9.1640625" style="499" customWidth="1"/>
    <col min="8459" max="8459" width="15.83203125" style="499" bestFit="1" customWidth="1"/>
    <col min="8460" max="8461" width="15.5" style="499" bestFit="1" customWidth="1"/>
    <col min="8462" max="8466" width="14.83203125" style="499" bestFit="1" customWidth="1"/>
    <col min="8467" max="8467" width="2.5" style="499" customWidth="1"/>
    <col min="8468" max="8469" width="8.83203125" style="499"/>
    <col min="8470" max="8470" width="9.5" style="499" bestFit="1" customWidth="1"/>
    <col min="8471" max="8471" width="14.5" style="499" bestFit="1" customWidth="1"/>
    <col min="8472" max="8711" width="8.83203125" style="499"/>
    <col min="8712" max="8712" width="2.5" style="499" customWidth="1"/>
    <col min="8713" max="8714" width="9.1640625" style="499" customWidth="1"/>
    <col min="8715" max="8715" width="15.83203125" style="499" bestFit="1" customWidth="1"/>
    <col min="8716" max="8717" width="15.5" style="499" bestFit="1" customWidth="1"/>
    <col min="8718" max="8722" width="14.83203125" style="499" bestFit="1" customWidth="1"/>
    <col min="8723" max="8723" width="2.5" style="499" customWidth="1"/>
    <col min="8724" max="8725" width="8.83203125" style="499"/>
    <col min="8726" max="8726" width="9.5" style="499" bestFit="1" customWidth="1"/>
    <col min="8727" max="8727" width="14.5" style="499" bestFit="1" customWidth="1"/>
    <col min="8728" max="8967" width="8.83203125" style="499"/>
    <col min="8968" max="8968" width="2.5" style="499" customWidth="1"/>
    <col min="8969" max="8970" width="9.1640625" style="499" customWidth="1"/>
    <col min="8971" max="8971" width="15.83203125" style="499" bestFit="1" customWidth="1"/>
    <col min="8972" max="8973" width="15.5" style="499" bestFit="1" customWidth="1"/>
    <col min="8974" max="8978" width="14.83203125" style="499" bestFit="1" customWidth="1"/>
    <col min="8979" max="8979" width="2.5" style="499" customWidth="1"/>
    <col min="8980" max="8981" width="8.83203125" style="499"/>
    <col min="8982" max="8982" width="9.5" style="499" bestFit="1" customWidth="1"/>
    <col min="8983" max="8983" width="14.5" style="499" bestFit="1" customWidth="1"/>
    <col min="8984" max="9223" width="8.83203125" style="499"/>
    <col min="9224" max="9224" width="2.5" style="499" customWidth="1"/>
    <col min="9225" max="9226" width="9.1640625" style="499" customWidth="1"/>
    <col min="9227" max="9227" width="15.83203125" style="499" bestFit="1" customWidth="1"/>
    <col min="9228" max="9229" width="15.5" style="499" bestFit="1" customWidth="1"/>
    <col min="9230" max="9234" width="14.83203125" style="499" bestFit="1" customWidth="1"/>
    <col min="9235" max="9235" width="2.5" style="499" customWidth="1"/>
    <col min="9236" max="9237" width="8.83203125" style="499"/>
    <col min="9238" max="9238" width="9.5" style="499" bestFit="1" customWidth="1"/>
    <col min="9239" max="9239" width="14.5" style="499" bestFit="1" customWidth="1"/>
    <col min="9240" max="9479" width="8.83203125" style="499"/>
    <col min="9480" max="9480" width="2.5" style="499" customWidth="1"/>
    <col min="9481" max="9482" width="9.1640625" style="499" customWidth="1"/>
    <col min="9483" max="9483" width="15.83203125" style="499" bestFit="1" customWidth="1"/>
    <col min="9484" max="9485" width="15.5" style="499" bestFit="1" customWidth="1"/>
    <col min="9486" max="9490" width="14.83203125" style="499" bestFit="1" customWidth="1"/>
    <col min="9491" max="9491" width="2.5" style="499" customWidth="1"/>
    <col min="9492" max="9493" width="8.83203125" style="499"/>
    <col min="9494" max="9494" width="9.5" style="499" bestFit="1" customWidth="1"/>
    <col min="9495" max="9495" width="14.5" style="499" bestFit="1" customWidth="1"/>
    <col min="9496" max="9735" width="8.83203125" style="499"/>
    <col min="9736" max="9736" width="2.5" style="499" customWidth="1"/>
    <col min="9737" max="9738" width="9.1640625" style="499" customWidth="1"/>
    <col min="9739" max="9739" width="15.83203125" style="499" bestFit="1" customWidth="1"/>
    <col min="9740" max="9741" width="15.5" style="499" bestFit="1" customWidth="1"/>
    <col min="9742" max="9746" width="14.83203125" style="499" bestFit="1" customWidth="1"/>
    <col min="9747" max="9747" width="2.5" style="499" customWidth="1"/>
    <col min="9748" max="9749" width="8.83203125" style="499"/>
    <col min="9750" max="9750" width="9.5" style="499" bestFit="1" customWidth="1"/>
    <col min="9751" max="9751" width="14.5" style="499" bestFit="1" customWidth="1"/>
    <col min="9752" max="9991" width="8.83203125" style="499"/>
    <col min="9992" max="9992" width="2.5" style="499" customWidth="1"/>
    <col min="9993" max="9994" width="9.1640625" style="499" customWidth="1"/>
    <col min="9995" max="9995" width="15.83203125" style="499" bestFit="1" customWidth="1"/>
    <col min="9996" max="9997" width="15.5" style="499" bestFit="1" customWidth="1"/>
    <col min="9998" max="10002" width="14.83203125" style="499" bestFit="1" customWidth="1"/>
    <col min="10003" max="10003" width="2.5" style="499" customWidth="1"/>
    <col min="10004" max="10005" width="8.83203125" style="499"/>
    <col min="10006" max="10006" width="9.5" style="499" bestFit="1" customWidth="1"/>
    <col min="10007" max="10007" width="14.5" style="499" bestFit="1" customWidth="1"/>
    <col min="10008" max="10247" width="8.83203125" style="499"/>
    <col min="10248" max="10248" width="2.5" style="499" customWidth="1"/>
    <col min="10249" max="10250" width="9.1640625" style="499" customWidth="1"/>
    <col min="10251" max="10251" width="15.83203125" style="499" bestFit="1" customWidth="1"/>
    <col min="10252" max="10253" width="15.5" style="499" bestFit="1" customWidth="1"/>
    <col min="10254" max="10258" width="14.83203125" style="499" bestFit="1" customWidth="1"/>
    <col min="10259" max="10259" width="2.5" style="499" customWidth="1"/>
    <col min="10260" max="10261" width="8.83203125" style="499"/>
    <col min="10262" max="10262" width="9.5" style="499" bestFit="1" customWidth="1"/>
    <col min="10263" max="10263" width="14.5" style="499" bestFit="1" customWidth="1"/>
    <col min="10264" max="10503" width="8.83203125" style="499"/>
    <col min="10504" max="10504" width="2.5" style="499" customWidth="1"/>
    <col min="10505" max="10506" width="9.1640625" style="499" customWidth="1"/>
    <col min="10507" max="10507" width="15.83203125" style="499" bestFit="1" customWidth="1"/>
    <col min="10508" max="10509" width="15.5" style="499" bestFit="1" customWidth="1"/>
    <col min="10510" max="10514" width="14.83203125" style="499" bestFit="1" customWidth="1"/>
    <col min="10515" max="10515" width="2.5" style="499" customWidth="1"/>
    <col min="10516" max="10517" width="8.83203125" style="499"/>
    <col min="10518" max="10518" width="9.5" style="499" bestFit="1" customWidth="1"/>
    <col min="10519" max="10519" width="14.5" style="499" bestFit="1" customWidth="1"/>
    <col min="10520" max="10759" width="8.83203125" style="499"/>
    <col min="10760" max="10760" width="2.5" style="499" customWidth="1"/>
    <col min="10761" max="10762" width="9.1640625" style="499" customWidth="1"/>
    <col min="10763" max="10763" width="15.83203125" style="499" bestFit="1" customWidth="1"/>
    <col min="10764" max="10765" width="15.5" style="499" bestFit="1" customWidth="1"/>
    <col min="10766" max="10770" width="14.83203125" style="499" bestFit="1" customWidth="1"/>
    <col min="10771" max="10771" width="2.5" style="499" customWidth="1"/>
    <col min="10772" max="10773" width="8.83203125" style="499"/>
    <col min="10774" max="10774" width="9.5" style="499" bestFit="1" customWidth="1"/>
    <col min="10775" max="10775" width="14.5" style="499" bestFit="1" customWidth="1"/>
    <col min="10776" max="11015" width="8.83203125" style="499"/>
    <col min="11016" max="11016" width="2.5" style="499" customWidth="1"/>
    <col min="11017" max="11018" width="9.1640625" style="499" customWidth="1"/>
    <col min="11019" max="11019" width="15.83203125" style="499" bestFit="1" customWidth="1"/>
    <col min="11020" max="11021" width="15.5" style="499" bestFit="1" customWidth="1"/>
    <col min="11022" max="11026" width="14.83203125" style="499" bestFit="1" customWidth="1"/>
    <col min="11027" max="11027" width="2.5" style="499" customWidth="1"/>
    <col min="11028" max="11029" width="8.83203125" style="499"/>
    <col min="11030" max="11030" width="9.5" style="499" bestFit="1" customWidth="1"/>
    <col min="11031" max="11031" width="14.5" style="499" bestFit="1" customWidth="1"/>
    <col min="11032" max="11271" width="8.83203125" style="499"/>
    <col min="11272" max="11272" width="2.5" style="499" customWidth="1"/>
    <col min="11273" max="11274" width="9.1640625" style="499" customWidth="1"/>
    <col min="11275" max="11275" width="15.83203125" style="499" bestFit="1" customWidth="1"/>
    <col min="11276" max="11277" width="15.5" style="499" bestFit="1" customWidth="1"/>
    <col min="11278" max="11282" width="14.83203125" style="499" bestFit="1" customWidth="1"/>
    <col min="11283" max="11283" width="2.5" style="499" customWidth="1"/>
    <col min="11284" max="11285" width="8.83203125" style="499"/>
    <col min="11286" max="11286" width="9.5" style="499" bestFit="1" customWidth="1"/>
    <col min="11287" max="11287" width="14.5" style="499" bestFit="1" customWidth="1"/>
    <col min="11288" max="11527" width="8.83203125" style="499"/>
    <col min="11528" max="11528" width="2.5" style="499" customWidth="1"/>
    <col min="11529" max="11530" width="9.1640625" style="499" customWidth="1"/>
    <col min="11531" max="11531" width="15.83203125" style="499" bestFit="1" customWidth="1"/>
    <col min="11532" max="11533" width="15.5" style="499" bestFit="1" customWidth="1"/>
    <col min="11534" max="11538" width="14.83203125" style="499" bestFit="1" customWidth="1"/>
    <col min="11539" max="11539" width="2.5" style="499" customWidth="1"/>
    <col min="11540" max="11541" width="8.83203125" style="499"/>
    <col min="11542" max="11542" width="9.5" style="499" bestFit="1" customWidth="1"/>
    <col min="11543" max="11543" width="14.5" style="499" bestFit="1" customWidth="1"/>
    <col min="11544" max="11783" width="8.83203125" style="499"/>
    <col min="11784" max="11784" width="2.5" style="499" customWidth="1"/>
    <col min="11785" max="11786" width="9.1640625" style="499" customWidth="1"/>
    <col min="11787" max="11787" width="15.83203125" style="499" bestFit="1" customWidth="1"/>
    <col min="11788" max="11789" width="15.5" style="499" bestFit="1" customWidth="1"/>
    <col min="11790" max="11794" width="14.83203125" style="499" bestFit="1" customWidth="1"/>
    <col min="11795" max="11795" width="2.5" style="499" customWidth="1"/>
    <col min="11796" max="11797" width="8.83203125" style="499"/>
    <col min="11798" max="11798" width="9.5" style="499" bestFit="1" customWidth="1"/>
    <col min="11799" max="11799" width="14.5" style="499" bestFit="1" customWidth="1"/>
    <col min="11800" max="12039" width="8.83203125" style="499"/>
    <col min="12040" max="12040" width="2.5" style="499" customWidth="1"/>
    <col min="12041" max="12042" width="9.1640625" style="499" customWidth="1"/>
    <col min="12043" max="12043" width="15.83203125" style="499" bestFit="1" customWidth="1"/>
    <col min="12044" max="12045" width="15.5" style="499" bestFit="1" customWidth="1"/>
    <col min="12046" max="12050" width="14.83203125" style="499" bestFit="1" customWidth="1"/>
    <col min="12051" max="12051" width="2.5" style="499" customWidth="1"/>
    <col min="12052" max="12053" width="8.83203125" style="499"/>
    <col min="12054" max="12054" width="9.5" style="499" bestFit="1" customWidth="1"/>
    <col min="12055" max="12055" width="14.5" style="499" bestFit="1" customWidth="1"/>
    <col min="12056" max="12295" width="8.83203125" style="499"/>
    <col min="12296" max="12296" width="2.5" style="499" customWidth="1"/>
    <col min="12297" max="12298" width="9.1640625" style="499" customWidth="1"/>
    <col min="12299" max="12299" width="15.83203125" style="499" bestFit="1" customWidth="1"/>
    <col min="12300" max="12301" width="15.5" style="499" bestFit="1" customWidth="1"/>
    <col min="12302" max="12306" width="14.83203125" style="499" bestFit="1" customWidth="1"/>
    <col min="12307" max="12307" width="2.5" style="499" customWidth="1"/>
    <col min="12308" max="12309" width="8.83203125" style="499"/>
    <col min="12310" max="12310" width="9.5" style="499" bestFit="1" customWidth="1"/>
    <col min="12311" max="12311" width="14.5" style="499" bestFit="1" customWidth="1"/>
    <col min="12312" max="12551" width="8.83203125" style="499"/>
    <col min="12552" max="12552" width="2.5" style="499" customWidth="1"/>
    <col min="12553" max="12554" width="9.1640625" style="499" customWidth="1"/>
    <col min="12555" max="12555" width="15.83203125" style="499" bestFit="1" customWidth="1"/>
    <col min="12556" max="12557" width="15.5" style="499" bestFit="1" customWidth="1"/>
    <col min="12558" max="12562" width="14.83203125" style="499" bestFit="1" customWidth="1"/>
    <col min="12563" max="12563" width="2.5" style="499" customWidth="1"/>
    <col min="12564" max="12565" width="8.83203125" style="499"/>
    <col min="12566" max="12566" width="9.5" style="499" bestFit="1" customWidth="1"/>
    <col min="12567" max="12567" width="14.5" style="499" bestFit="1" customWidth="1"/>
    <col min="12568" max="12807" width="8.83203125" style="499"/>
    <col min="12808" max="12808" width="2.5" style="499" customWidth="1"/>
    <col min="12809" max="12810" width="9.1640625" style="499" customWidth="1"/>
    <col min="12811" max="12811" width="15.83203125" style="499" bestFit="1" customWidth="1"/>
    <col min="12812" max="12813" width="15.5" style="499" bestFit="1" customWidth="1"/>
    <col min="12814" max="12818" width="14.83203125" style="499" bestFit="1" customWidth="1"/>
    <col min="12819" max="12819" width="2.5" style="499" customWidth="1"/>
    <col min="12820" max="12821" width="8.83203125" style="499"/>
    <col min="12822" max="12822" width="9.5" style="499" bestFit="1" customWidth="1"/>
    <col min="12823" max="12823" width="14.5" style="499" bestFit="1" customWidth="1"/>
    <col min="12824" max="13063" width="8.83203125" style="499"/>
    <col min="13064" max="13064" width="2.5" style="499" customWidth="1"/>
    <col min="13065" max="13066" width="9.1640625" style="499" customWidth="1"/>
    <col min="13067" max="13067" width="15.83203125" style="499" bestFit="1" customWidth="1"/>
    <col min="13068" max="13069" width="15.5" style="499" bestFit="1" customWidth="1"/>
    <col min="13070" max="13074" width="14.83203125" style="499" bestFit="1" customWidth="1"/>
    <col min="13075" max="13075" width="2.5" style="499" customWidth="1"/>
    <col min="13076" max="13077" width="8.83203125" style="499"/>
    <col min="13078" max="13078" width="9.5" style="499" bestFit="1" customWidth="1"/>
    <col min="13079" max="13079" width="14.5" style="499" bestFit="1" customWidth="1"/>
    <col min="13080" max="13319" width="8.83203125" style="499"/>
    <col min="13320" max="13320" width="2.5" style="499" customWidth="1"/>
    <col min="13321" max="13322" width="9.1640625" style="499" customWidth="1"/>
    <col min="13323" max="13323" width="15.83203125" style="499" bestFit="1" customWidth="1"/>
    <col min="13324" max="13325" width="15.5" style="499" bestFit="1" customWidth="1"/>
    <col min="13326" max="13330" width="14.83203125" style="499" bestFit="1" customWidth="1"/>
    <col min="13331" max="13331" width="2.5" style="499" customWidth="1"/>
    <col min="13332" max="13333" width="8.83203125" style="499"/>
    <col min="13334" max="13334" width="9.5" style="499" bestFit="1" customWidth="1"/>
    <col min="13335" max="13335" width="14.5" style="499" bestFit="1" customWidth="1"/>
    <col min="13336" max="13575" width="8.83203125" style="499"/>
    <col min="13576" max="13576" width="2.5" style="499" customWidth="1"/>
    <col min="13577" max="13578" width="9.1640625" style="499" customWidth="1"/>
    <col min="13579" max="13579" width="15.83203125" style="499" bestFit="1" customWidth="1"/>
    <col min="13580" max="13581" width="15.5" style="499" bestFit="1" customWidth="1"/>
    <col min="13582" max="13586" width="14.83203125" style="499" bestFit="1" customWidth="1"/>
    <col min="13587" max="13587" width="2.5" style="499" customWidth="1"/>
    <col min="13588" max="13589" width="8.83203125" style="499"/>
    <col min="13590" max="13590" width="9.5" style="499" bestFit="1" customWidth="1"/>
    <col min="13591" max="13591" width="14.5" style="499" bestFit="1" customWidth="1"/>
    <col min="13592" max="13831" width="8.83203125" style="499"/>
    <col min="13832" max="13832" width="2.5" style="499" customWidth="1"/>
    <col min="13833" max="13834" width="9.1640625" style="499" customWidth="1"/>
    <col min="13835" max="13835" width="15.83203125" style="499" bestFit="1" customWidth="1"/>
    <col min="13836" max="13837" width="15.5" style="499" bestFit="1" customWidth="1"/>
    <col min="13838" max="13842" width="14.83203125" style="499" bestFit="1" customWidth="1"/>
    <col min="13843" max="13843" width="2.5" style="499" customWidth="1"/>
    <col min="13844" max="13845" width="8.83203125" style="499"/>
    <col min="13846" max="13846" width="9.5" style="499" bestFit="1" customWidth="1"/>
    <col min="13847" max="13847" width="14.5" style="499" bestFit="1" customWidth="1"/>
    <col min="13848" max="14087" width="8.83203125" style="499"/>
    <col min="14088" max="14088" width="2.5" style="499" customWidth="1"/>
    <col min="14089" max="14090" width="9.1640625" style="499" customWidth="1"/>
    <col min="14091" max="14091" width="15.83203125" style="499" bestFit="1" customWidth="1"/>
    <col min="14092" max="14093" width="15.5" style="499" bestFit="1" customWidth="1"/>
    <col min="14094" max="14098" width="14.83203125" style="499" bestFit="1" customWidth="1"/>
    <col min="14099" max="14099" width="2.5" style="499" customWidth="1"/>
    <col min="14100" max="14101" width="8.83203125" style="499"/>
    <col min="14102" max="14102" width="9.5" style="499" bestFit="1" customWidth="1"/>
    <col min="14103" max="14103" width="14.5" style="499" bestFit="1" customWidth="1"/>
    <col min="14104" max="14343" width="8.83203125" style="499"/>
    <col min="14344" max="14344" width="2.5" style="499" customWidth="1"/>
    <col min="14345" max="14346" width="9.1640625" style="499" customWidth="1"/>
    <col min="14347" max="14347" width="15.83203125" style="499" bestFit="1" customWidth="1"/>
    <col min="14348" max="14349" width="15.5" style="499" bestFit="1" customWidth="1"/>
    <col min="14350" max="14354" width="14.83203125" style="499" bestFit="1" customWidth="1"/>
    <col min="14355" max="14355" width="2.5" style="499" customWidth="1"/>
    <col min="14356" max="14357" width="8.83203125" style="499"/>
    <col min="14358" max="14358" width="9.5" style="499" bestFit="1" customWidth="1"/>
    <col min="14359" max="14359" width="14.5" style="499" bestFit="1" customWidth="1"/>
    <col min="14360" max="14599" width="8.83203125" style="499"/>
    <col min="14600" max="14600" width="2.5" style="499" customWidth="1"/>
    <col min="14601" max="14602" width="9.1640625" style="499" customWidth="1"/>
    <col min="14603" max="14603" width="15.83203125" style="499" bestFit="1" customWidth="1"/>
    <col min="14604" max="14605" width="15.5" style="499" bestFit="1" customWidth="1"/>
    <col min="14606" max="14610" width="14.83203125" style="499" bestFit="1" customWidth="1"/>
    <col min="14611" max="14611" width="2.5" style="499" customWidth="1"/>
    <col min="14612" max="14613" width="8.83203125" style="499"/>
    <col min="14614" max="14614" width="9.5" style="499" bestFit="1" customWidth="1"/>
    <col min="14615" max="14615" width="14.5" style="499" bestFit="1" customWidth="1"/>
    <col min="14616" max="14855" width="8.83203125" style="499"/>
    <col min="14856" max="14856" width="2.5" style="499" customWidth="1"/>
    <col min="14857" max="14858" width="9.1640625" style="499" customWidth="1"/>
    <col min="14859" max="14859" width="15.83203125" style="499" bestFit="1" customWidth="1"/>
    <col min="14860" max="14861" width="15.5" style="499" bestFit="1" customWidth="1"/>
    <col min="14862" max="14866" width="14.83203125" style="499" bestFit="1" customWidth="1"/>
    <col min="14867" max="14867" width="2.5" style="499" customWidth="1"/>
    <col min="14868" max="14869" width="8.83203125" style="499"/>
    <col min="14870" max="14870" width="9.5" style="499" bestFit="1" customWidth="1"/>
    <col min="14871" max="14871" width="14.5" style="499" bestFit="1" customWidth="1"/>
    <col min="14872" max="15111" width="8.83203125" style="499"/>
    <col min="15112" max="15112" width="2.5" style="499" customWidth="1"/>
    <col min="15113" max="15114" width="9.1640625" style="499" customWidth="1"/>
    <col min="15115" max="15115" width="15.83203125" style="499" bestFit="1" customWidth="1"/>
    <col min="15116" max="15117" width="15.5" style="499" bestFit="1" customWidth="1"/>
    <col min="15118" max="15122" width="14.83203125" style="499" bestFit="1" customWidth="1"/>
    <col min="15123" max="15123" width="2.5" style="499" customWidth="1"/>
    <col min="15124" max="15125" width="8.83203125" style="499"/>
    <col min="15126" max="15126" width="9.5" style="499" bestFit="1" customWidth="1"/>
    <col min="15127" max="15127" width="14.5" style="499" bestFit="1" customWidth="1"/>
    <col min="15128" max="15367" width="8.83203125" style="499"/>
    <col min="15368" max="15368" width="2.5" style="499" customWidth="1"/>
    <col min="15369" max="15370" width="9.1640625" style="499" customWidth="1"/>
    <col min="15371" max="15371" width="15.83203125" style="499" bestFit="1" customWidth="1"/>
    <col min="15372" max="15373" width="15.5" style="499" bestFit="1" customWidth="1"/>
    <col min="15374" max="15378" width="14.83203125" style="499" bestFit="1" customWidth="1"/>
    <col min="15379" max="15379" width="2.5" style="499" customWidth="1"/>
    <col min="15380" max="15381" width="8.83203125" style="499"/>
    <col min="15382" max="15382" width="9.5" style="499" bestFit="1" customWidth="1"/>
    <col min="15383" max="15383" width="14.5" style="499" bestFit="1" customWidth="1"/>
    <col min="15384" max="15623" width="8.83203125" style="499"/>
    <col min="15624" max="15624" width="2.5" style="499" customWidth="1"/>
    <col min="15625" max="15626" width="9.1640625" style="499" customWidth="1"/>
    <col min="15627" max="15627" width="15.83203125" style="499" bestFit="1" customWidth="1"/>
    <col min="15628" max="15629" width="15.5" style="499" bestFit="1" customWidth="1"/>
    <col min="15630" max="15634" width="14.83203125" style="499" bestFit="1" customWidth="1"/>
    <col min="15635" max="15635" width="2.5" style="499" customWidth="1"/>
    <col min="15636" max="15637" width="8.83203125" style="499"/>
    <col min="15638" max="15638" width="9.5" style="499" bestFit="1" customWidth="1"/>
    <col min="15639" max="15639" width="14.5" style="499" bestFit="1" customWidth="1"/>
    <col min="15640" max="15879" width="8.83203125" style="499"/>
    <col min="15880" max="15880" width="2.5" style="499" customWidth="1"/>
    <col min="15881" max="15882" width="9.1640625" style="499" customWidth="1"/>
    <col min="15883" max="15883" width="15.83203125" style="499" bestFit="1" customWidth="1"/>
    <col min="15884" max="15885" width="15.5" style="499" bestFit="1" customWidth="1"/>
    <col min="15886" max="15890" width="14.83203125" style="499" bestFit="1" customWidth="1"/>
    <col min="15891" max="15891" width="2.5" style="499" customWidth="1"/>
    <col min="15892" max="15893" width="8.83203125" style="499"/>
    <col min="15894" max="15894" width="9.5" style="499" bestFit="1" customWidth="1"/>
    <col min="15895" max="15895" width="14.5" style="499" bestFit="1" customWidth="1"/>
    <col min="15896" max="16135" width="8.83203125" style="499"/>
    <col min="16136" max="16136" width="2.5" style="499" customWidth="1"/>
    <col min="16137" max="16138" width="9.1640625" style="499" customWidth="1"/>
    <col min="16139" max="16139" width="15.83203125" style="499" bestFit="1" customWidth="1"/>
    <col min="16140" max="16141" width="15.5" style="499" bestFit="1" customWidth="1"/>
    <col min="16142" max="16146" width="14.83203125" style="499" bestFit="1" customWidth="1"/>
    <col min="16147" max="16147" width="2.5" style="499" customWidth="1"/>
    <col min="16148" max="16149" width="8.83203125" style="499"/>
    <col min="16150" max="16150" width="9.5" style="499" bestFit="1" customWidth="1"/>
    <col min="16151" max="16151" width="14.5" style="499" bestFit="1" customWidth="1"/>
    <col min="16152" max="16384" width="8.83203125" style="499"/>
  </cols>
  <sheetData>
    <row r="1" spans="1:51" ht="18" customHeight="1">
      <c r="E1" s="500"/>
      <c r="AL1" s="501" t="s">
        <v>1648</v>
      </c>
      <c r="AM1" s="501"/>
      <c r="AW1" s="499" t="s">
        <v>320</v>
      </c>
      <c r="AX1" s="499" t="s">
        <v>1649</v>
      </c>
      <c r="AY1" s="125" t="s">
        <v>1650</v>
      </c>
    </row>
    <row r="2" spans="1:51">
      <c r="A2" s="499">
        <v>1</v>
      </c>
      <c r="B2" s="502" t="str">
        <f>Ticker&amp;" - DCF Cash Flow Projections"</f>
        <v>PNJ - DCF Cash Flow Projections</v>
      </c>
      <c r="C2" s="503"/>
      <c r="D2" s="503"/>
      <c r="E2" s="503"/>
      <c r="F2" s="503"/>
      <c r="G2" s="503"/>
      <c r="H2" s="503"/>
      <c r="I2" s="503"/>
      <c r="J2" s="504"/>
      <c r="K2" s="505"/>
      <c r="L2" s="505"/>
      <c r="M2" s="505"/>
      <c r="P2" s="499" t="str">
        <f>Ticker&amp;" - DCF Assumptions &amp; Output"</f>
        <v>PNJ - DCF Assumptions &amp; Output</v>
      </c>
      <c r="Q2" s="503"/>
      <c r="R2" s="506"/>
      <c r="S2" s="504"/>
      <c r="T2" s="504"/>
      <c r="U2" s="504"/>
      <c r="V2" s="504"/>
      <c r="W2" s="504"/>
      <c r="X2" s="504"/>
      <c r="Y2" s="504"/>
      <c r="Z2" s="504"/>
      <c r="AA2" s="504"/>
      <c r="AB2" s="504"/>
      <c r="AC2" s="504"/>
      <c r="AD2" s="504"/>
      <c r="AE2" s="504"/>
      <c r="AF2" s="507"/>
      <c r="AH2" s="499" t="e">
        <f>#REF!/10^3-edit!Q2</f>
        <v>#REF!</v>
      </c>
      <c r="AI2" s="508" t="e">
        <f>AF2/AH2-1</f>
        <v>#REF!</v>
      </c>
      <c r="AL2" s="509" t="s">
        <v>39</v>
      </c>
      <c r="AM2" s="510">
        <f ca="1">[1]Milestones!R80*10^3/Valuation!N27</f>
        <v>3052.5898151116685</v>
      </c>
      <c r="AW2" s="511">
        <v>44510</v>
      </c>
      <c r="AX2" s="499">
        <v>25.131599999999999</v>
      </c>
    </row>
    <row r="3" spans="1:51" ht="15">
      <c r="B3" s="512"/>
      <c r="C3" s="513"/>
      <c r="D3" s="514">
        <v>43465</v>
      </c>
      <c r="E3" s="515">
        <f>DATE(YEAR(D3)+1,12,31)</f>
        <v>43830</v>
      </c>
      <c r="F3" s="515">
        <f t="shared" ref="F3:M3" si="0">DATE(YEAR(E3)+1,12,31)</f>
        <v>44196</v>
      </c>
      <c r="G3" s="515">
        <f t="shared" si="0"/>
        <v>44561</v>
      </c>
      <c r="H3" s="515">
        <f t="shared" si="0"/>
        <v>44926</v>
      </c>
      <c r="I3" s="516">
        <f t="shared" si="0"/>
        <v>45291</v>
      </c>
      <c r="J3" s="516">
        <f t="shared" si="0"/>
        <v>45657</v>
      </c>
      <c r="K3" s="517">
        <f t="shared" si="0"/>
        <v>46022</v>
      </c>
      <c r="L3" s="517">
        <f t="shared" si="0"/>
        <v>46387</v>
      </c>
      <c r="M3" s="517">
        <f t="shared" si="0"/>
        <v>46752</v>
      </c>
      <c r="P3" s="499" t="s">
        <v>1651</v>
      </c>
      <c r="R3" s="518">
        <v>0</v>
      </c>
      <c r="S3" s="2052"/>
      <c r="T3" s="2052"/>
      <c r="U3" s="2052"/>
      <c r="V3" s="2052"/>
      <c r="W3" s="2052"/>
      <c r="X3" s="2052"/>
      <c r="Y3" s="2052"/>
      <c r="Z3" s="2052"/>
      <c r="AA3" s="2052"/>
      <c r="AB3" s="2052"/>
      <c r="AC3" s="2052"/>
      <c r="AD3" s="2052"/>
      <c r="AE3" s="2052"/>
      <c r="AF3" s="519"/>
      <c r="AI3" s="508" t="e">
        <f t="shared" ref="AI3:AI9" si="1">AF3/AH3-1</f>
        <v>#DIV/0!</v>
      </c>
      <c r="AL3" s="437" t="s">
        <v>1652</v>
      </c>
      <c r="AM3" s="520">
        <f>AP44</f>
        <v>10.315789473684211</v>
      </c>
      <c r="AW3" s="511">
        <v>44509</v>
      </c>
      <c r="AX3" s="499">
        <v>25.1554</v>
      </c>
    </row>
    <row r="4" spans="1:51" ht="15">
      <c r="B4" s="521"/>
      <c r="D4" s="522"/>
      <c r="E4" s="523"/>
      <c r="F4" s="523"/>
      <c r="H4" s="523"/>
      <c r="I4" s="523"/>
      <c r="J4" s="523"/>
      <c r="K4" s="524"/>
      <c r="L4" s="524"/>
      <c r="M4" s="524"/>
      <c r="R4" s="525"/>
      <c r="AF4" s="499" t="e">
        <f>#REF!/10^3-edit!P4</f>
        <v>#REF!</v>
      </c>
      <c r="AH4" s="499" t="e">
        <f>#REF!/10^3-edit!Q4</f>
        <v>#REF!</v>
      </c>
      <c r="AI4" s="508" t="e">
        <f t="shared" si="1"/>
        <v>#REF!</v>
      </c>
      <c r="AL4" s="437" t="s">
        <v>1447</v>
      </c>
      <c r="AM4" s="438">
        <f ca="1">AM2*AM3</f>
        <v>31489.873882204582</v>
      </c>
      <c r="AW4" s="511">
        <v>44508</v>
      </c>
      <c r="AX4" s="499">
        <v>25.63</v>
      </c>
    </row>
    <row r="5" spans="1:51" ht="15">
      <c r="B5" s="526" t="s">
        <v>1653</v>
      </c>
      <c r="C5" s="527"/>
      <c r="D5" s="522"/>
      <c r="E5" s="522">
        <f>FS!J64</f>
        <v>103485.046672447</v>
      </c>
      <c r="F5" s="522">
        <f>FS!K64</f>
        <v>109801.253690656</v>
      </c>
      <c r="G5" s="522">
        <f>FS!L64</f>
        <v>124141.525689948</v>
      </c>
      <c r="H5" s="522">
        <f>FS!M64</f>
        <v>134722.24888755701</v>
      </c>
      <c r="I5" s="522">
        <f>FS!N64</f>
        <v>119234.18482508601</v>
      </c>
      <c r="J5" s="522">
        <f>FS!O64</f>
        <v>135225.101298992</v>
      </c>
      <c r="K5" s="528">
        <f ca="1">FS!P64</f>
        <v>160641.82101401992</v>
      </c>
      <c r="L5" s="528">
        <f ca="1">FS!Q64</f>
        <v>195273.77872240244</v>
      </c>
      <c r="M5" s="528">
        <f ca="1">FS!R64</f>
        <v>224062.4462220248</v>
      </c>
      <c r="P5" s="499" t="s">
        <v>1654</v>
      </c>
      <c r="R5" s="529">
        <f ca="1">WACC</f>
        <v>8.7630432180828707E-2</v>
      </c>
      <c r="S5" s="530"/>
      <c r="T5" s="530"/>
      <c r="U5" s="530"/>
      <c r="V5" s="530"/>
      <c r="W5" s="530"/>
      <c r="X5" s="530"/>
      <c r="Y5" s="530"/>
      <c r="Z5" s="530"/>
      <c r="AA5" s="530"/>
      <c r="AB5" s="530"/>
      <c r="AC5" s="530"/>
      <c r="AD5" s="530"/>
      <c r="AE5" s="530"/>
      <c r="AF5" s="530"/>
      <c r="AI5" s="508" t="e">
        <f t="shared" si="1"/>
        <v>#DIV/0!</v>
      </c>
      <c r="AL5" s="531" t="s">
        <v>7</v>
      </c>
      <c r="AM5" s="532">
        <f ca="1">Rev_Year!K102*10^3/Valuation!N27</f>
        <v>28064.75752703939</v>
      </c>
      <c r="AW5" s="511">
        <v>44505</v>
      </c>
      <c r="AX5" s="499">
        <v>25.63</v>
      </c>
    </row>
    <row r="6" spans="1:51">
      <c r="B6" s="526" t="s">
        <v>1655</v>
      </c>
      <c r="C6" s="527"/>
      <c r="D6" s="522"/>
      <c r="E6" s="522">
        <f>FS!J117</f>
        <v>6419.5606443949982</v>
      </c>
      <c r="F6" s="522">
        <f>FS!K117</f>
        <v>7411.8496745440007</v>
      </c>
      <c r="G6" s="522">
        <f>FS!L117</f>
        <v>8815.2822268340005</v>
      </c>
      <c r="H6" s="522">
        <f>FS!M117</f>
        <v>10232.642667622002</v>
      </c>
      <c r="I6" s="522">
        <f>FS!N117</f>
        <v>3793.6060137709983</v>
      </c>
      <c r="J6" s="522">
        <f>FS!O117</f>
        <v>7003.0649655200023</v>
      </c>
      <c r="K6" s="528">
        <f ca="1">FS!P117</f>
        <v>9861.8211850681892</v>
      </c>
      <c r="L6" s="528">
        <f ca="1">FS!Q117</f>
        <v>11587.855628035164</v>
      </c>
      <c r="M6" s="528">
        <f ca="1">FS!R117</f>
        <v>13178.900783273735</v>
      </c>
      <c r="P6" s="499" t="s">
        <v>1656</v>
      </c>
      <c r="R6" s="533">
        <v>13.17</v>
      </c>
      <c r="S6" s="534"/>
      <c r="T6" s="534"/>
      <c r="U6" s="534"/>
      <c r="V6" s="534"/>
      <c r="W6" s="534"/>
      <c r="X6" s="534"/>
      <c r="Y6" s="534"/>
      <c r="Z6" s="534"/>
      <c r="AA6" s="534"/>
      <c r="AB6" s="534"/>
      <c r="AC6" s="534"/>
      <c r="AD6" s="534"/>
      <c r="AE6" s="534"/>
      <c r="AF6" s="534"/>
      <c r="AH6" s="499" t="e">
        <f>#REF!/10^3-edit!Q6</f>
        <v>#REF!</v>
      </c>
      <c r="AI6" s="508" t="e">
        <f t="shared" si="1"/>
        <v>#REF!</v>
      </c>
      <c r="AL6" s="499" t="s">
        <v>1657</v>
      </c>
      <c r="AM6" s="535">
        <v>0.55000000000000004</v>
      </c>
      <c r="AW6" s="511">
        <v>44504</v>
      </c>
      <c r="AX6" s="499">
        <v>24.680700000000002</v>
      </c>
    </row>
    <row r="7" spans="1:51" ht="15">
      <c r="B7" s="526" t="s">
        <v>643</v>
      </c>
      <c r="C7" s="527"/>
      <c r="D7" s="522"/>
      <c r="E7" s="522">
        <f>FS!J101</f>
        <v>3836.2400870269971</v>
      </c>
      <c r="F7" s="522">
        <f>FS!K101</f>
        <v>3923.5796489780009</v>
      </c>
      <c r="G7" s="522">
        <f>FS!L101</f>
        <v>4903.6371743759992</v>
      </c>
      <c r="H7" s="522">
        <f>FS!M101</f>
        <v>4101.7144249390021</v>
      </c>
      <c r="I7" s="522">
        <f>FS!N101</f>
        <v>167.82915493899793</v>
      </c>
      <c r="J7" s="522">
        <f>FS!O101</f>
        <v>3733.2882287200027</v>
      </c>
      <c r="K7" s="528">
        <f ca="1">FS!P101</f>
        <v>6797.0562489328258</v>
      </c>
      <c r="L7" s="528">
        <f ca="1">FS!Q101</f>
        <v>8686.9070053665509</v>
      </c>
      <c r="M7" s="528">
        <f ca="1">FS!R101</f>
        <v>10556.237544206289</v>
      </c>
      <c r="P7" s="499" t="s">
        <v>1658</v>
      </c>
      <c r="R7" s="536">
        <v>0.01</v>
      </c>
      <c r="S7" s="537"/>
      <c r="T7" s="537"/>
      <c r="U7" s="537"/>
      <c r="V7" s="537"/>
      <c r="W7" s="537"/>
      <c r="X7" s="537"/>
      <c r="Y7" s="537"/>
      <c r="Z7" s="537"/>
      <c r="AA7" s="537"/>
      <c r="AB7" s="537"/>
      <c r="AC7" s="537"/>
      <c r="AD7" s="537"/>
      <c r="AE7" s="537"/>
      <c r="AF7" s="537"/>
      <c r="AI7" s="508" t="e">
        <f t="shared" si="1"/>
        <v>#DIV/0!</v>
      </c>
      <c r="AL7" s="499" t="str">
        <f>AL4</f>
        <v>TP</v>
      </c>
      <c r="AM7" s="438">
        <f ca="1">AM6*AM5</f>
        <v>15435.616639871665</v>
      </c>
      <c r="AW7" s="511">
        <v>44503</v>
      </c>
      <c r="AX7" s="499">
        <v>24.799399999999999</v>
      </c>
    </row>
    <row r="8" spans="1:51">
      <c r="B8" s="526"/>
      <c r="C8" s="527"/>
      <c r="D8" s="522"/>
      <c r="E8" s="522"/>
      <c r="F8" s="522"/>
      <c r="G8" s="522"/>
      <c r="H8" s="522"/>
      <c r="I8" s="522"/>
      <c r="J8" s="522"/>
      <c r="K8" s="528"/>
      <c r="L8" s="528"/>
      <c r="M8" s="528"/>
      <c r="R8" s="525"/>
      <c r="AH8" s="499" t="e">
        <f>#REF!/10^3-edit!Q8</f>
        <v>#REF!</v>
      </c>
      <c r="AI8" s="508" t="e">
        <f t="shared" si="1"/>
        <v>#REF!</v>
      </c>
      <c r="AL8" s="535" t="s">
        <v>1659</v>
      </c>
      <c r="AM8" s="535">
        <f ca="1">Rev_Year!J102*AM6/23000</f>
        <v>0.75519208695652185</v>
      </c>
      <c r="AW8" s="511">
        <v>44502</v>
      </c>
      <c r="AX8" s="499">
        <v>24.917999999999999</v>
      </c>
    </row>
    <row r="9" spans="1:51">
      <c r="B9" s="526" t="s">
        <v>1660</v>
      </c>
      <c r="C9" s="527"/>
      <c r="D9" s="522"/>
      <c r="E9" s="522">
        <f>FS!J87*(1-FS!J118)*-1</f>
        <v>431.29150476847269</v>
      </c>
      <c r="F9" s="522">
        <f>FS!K87*(1-FS!K118)*-1</f>
        <v>430.29385371511336</v>
      </c>
      <c r="G9" s="522">
        <f>FS!L87*(1-FS!L118)*-1</f>
        <v>510.58530142810417</v>
      </c>
      <c r="H9" s="522">
        <f>FS!M87*(1-FS!M118)*-1</f>
        <v>922.0838098092662</v>
      </c>
      <c r="I9" s="522">
        <f>FS!N87*(1-FS!N118)*-1</f>
        <v>351.95120122287284</v>
      </c>
      <c r="J9" s="522">
        <f>FS!O87*(1-FS!O118)*-1</f>
        <v>877.09306291153393</v>
      </c>
      <c r="K9" s="522">
        <f ca="1">FS!P87*(1-FS!P118)*-1</f>
        <v>925.82513603197651</v>
      </c>
      <c r="L9" s="522">
        <f ca="1">FS!Q87*(1-FS!Q118)*-1</f>
        <v>966.1953111074846</v>
      </c>
      <c r="M9" s="522">
        <f ca="1">FS!R87*(1-FS!R118)*-1</f>
        <v>973.59935584657455</v>
      </c>
      <c r="P9" s="499" t="s">
        <v>1661</v>
      </c>
      <c r="R9" s="538">
        <f ca="1">CHOOSE($R$3+1,L17*(1+R7)/(R5-R7),R6*L17)</f>
        <v>74668.322904437155</v>
      </c>
      <c r="S9" s="539"/>
      <c r="T9" s="539"/>
      <c r="U9" s="539"/>
      <c r="V9" s="539"/>
      <c r="W9" s="539"/>
      <c r="X9" s="539"/>
      <c r="Y9" s="539"/>
      <c r="Z9" s="539"/>
      <c r="AA9" s="539"/>
      <c r="AB9" s="539"/>
      <c r="AC9" s="539"/>
      <c r="AD9" s="539"/>
      <c r="AE9" s="539"/>
      <c r="AF9" s="539"/>
      <c r="AI9" s="508" t="e">
        <f t="shared" si="1"/>
        <v>#DIV/0!</v>
      </c>
      <c r="AL9" s="509" t="s">
        <v>48</v>
      </c>
      <c r="AM9" s="510">
        <f ca="1">Rev_Year!J165*1000/AVERAGE(M29,N27)</f>
        <v>1502.8561644782624</v>
      </c>
      <c r="AW9" s="511">
        <v>44501</v>
      </c>
      <c r="AX9" s="499">
        <v>23.9925</v>
      </c>
    </row>
    <row r="10" spans="1:51">
      <c r="B10" s="526"/>
      <c r="C10" s="527"/>
      <c r="D10" s="522"/>
      <c r="E10" s="522"/>
      <c r="F10" s="522"/>
      <c r="G10" s="522"/>
      <c r="H10" s="522"/>
      <c r="I10" s="522"/>
      <c r="J10" s="522"/>
      <c r="K10" s="528"/>
      <c r="L10" s="528"/>
      <c r="M10" s="528"/>
      <c r="P10" s="521" t="str">
        <f>CHOOSE($R$3+1,"Implied EBITDA Multiple:","Implied Terminal Growth Rate:")</f>
        <v>Implied EBITDA Multiple:</v>
      </c>
      <c r="R10" s="540"/>
      <c r="S10" s="541"/>
      <c r="T10" s="541"/>
      <c r="U10" s="541"/>
      <c r="V10" s="541"/>
      <c r="W10" s="541"/>
      <c r="X10" s="541"/>
      <c r="Y10" s="541"/>
      <c r="Z10" s="541"/>
      <c r="AA10" s="541"/>
      <c r="AB10" s="541"/>
      <c r="AC10" s="541"/>
      <c r="AD10" s="541"/>
      <c r="AE10" s="541"/>
      <c r="AF10" s="541"/>
      <c r="AL10" s="535" t="str">
        <f>AL6</f>
        <v>P/S target</v>
      </c>
      <c r="AM10" s="499">
        <v>0.25</v>
      </c>
      <c r="AW10" s="511">
        <v>44498</v>
      </c>
      <c r="AX10" s="499">
        <v>24.680700000000002</v>
      </c>
    </row>
    <row r="11" spans="1:51">
      <c r="B11" s="526" t="s">
        <v>1662</v>
      </c>
      <c r="C11" s="527"/>
      <c r="D11" s="522"/>
      <c r="E11" s="522">
        <f>FS!J115</f>
        <v>1442.8269389540001</v>
      </c>
      <c r="F11" s="522">
        <f>FS!K115</f>
        <v>2195.5830710350001</v>
      </c>
      <c r="G11" s="522">
        <f>FS!L115</f>
        <v>2920.7136084099998</v>
      </c>
      <c r="H11" s="522">
        <f>FS!M115</f>
        <v>3582.4248188289998</v>
      </c>
      <c r="I11" s="522">
        <f>FS!N115</f>
        <v>3380.5307272549999</v>
      </c>
      <c r="J11" s="522">
        <f>FS!O115</f>
        <v>2913.4190814829999</v>
      </c>
      <c r="K11" s="528">
        <f>FS!P115</f>
        <v>2760.8629524028656</v>
      </c>
      <c r="L11" s="528">
        <f>FS!Q115</f>
        <v>2338.3103848336509</v>
      </c>
      <c r="M11" s="528">
        <f>FS!R115</f>
        <v>2006.8091064467303</v>
      </c>
      <c r="P11" s="521"/>
      <c r="R11" s="525"/>
      <c r="AL11" s="535" t="str">
        <f>AL7</f>
        <v>TP</v>
      </c>
      <c r="AM11" s="542">
        <f ca="1">AM10*AM9</f>
        <v>375.71404111956559</v>
      </c>
      <c r="AP11" s="499">
        <f>3*400</f>
        <v>1200</v>
      </c>
      <c r="AQ11" s="499">
        <f ca="1">AR22/AM22</f>
        <v>31.663190527022302</v>
      </c>
      <c r="AW11" s="511">
        <v>44497</v>
      </c>
      <c r="AX11" s="499">
        <v>24.1112</v>
      </c>
    </row>
    <row r="12" spans="1:51">
      <c r="B12" s="526" t="s">
        <v>1663</v>
      </c>
      <c r="C12" s="527"/>
      <c r="D12" s="522"/>
      <c r="E12" s="522">
        <f>FS!J116</f>
        <v>0</v>
      </c>
      <c r="F12" s="522">
        <f>FS!K116</f>
        <v>0</v>
      </c>
      <c r="G12" s="522">
        <f>FS!L116</f>
        <v>0</v>
      </c>
      <c r="H12" s="522">
        <f>FS!M116</f>
        <v>6.0410000000000004</v>
      </c>
      <c r="I12" s="522">
        <f>FS!N116</f>
        <v>6.0410000000000004</v>
      </c>
      <c r="J12" s="522">
        <f>FS!O116</f>
        <v>6.0410000000000004</v>
      </c>
      <c r="K12" s="528">
        <f>FS!P116</f>
        <v>6.0410000000000013</v>
      </c>
      <c r="L12" s="528">
        <f>FS!Q116</f>
        <v>6.0410000000000013</v>
      </c>
      <c r="M12" s="528">
        <f>FS!R116</f>
        <v>6.0410000000000004</v>
      </c>
      <c r="P12" s="521" t="s">
        <v>1664</v>
      </c>
      <c r="R12" s="538">
        <f ca="1">R9/POWER(1+WACC,L20)</f>
        <v>57619.711464539418</v>
      </c>
      <c r="S12" s="539"/>
      <c r="T12" s="539"/>
      <c r="U12" s="539"/>
      <c r="V12" s="539"/>
      <c r="W12" s="539"/>
      <c r="X12" s="539"/>
      <c r="Y12" s="539"/>
      <c r="Z12" s="539"/>
      <c r="AA12" s="539"/>
      <c r="AB12" s="539"/>
      <c r="AC12" s="539"/>
      <c r="AD12" s="539"/>
      <c r="AE12" s="539"/>
      <c r="AF12" s="539"/>
      <c r="AL12" s="509" t="s">
        <v>1665</v>
      </c>
      <c r="AM12" s="510">
        <f ca="1">ROUND(AM11+AM7+AM4,-2)</f>
        <v>47300</v>
      </c>
      <c r="AW12" s="511">
        <v>44496</v>
      </c>
      <c r="AX12" s="499">
        <v>24.182400000000001</v>
      </c>
    </row>
    <row r="13" spans="1:51">
      <c r="B13" s="526"/>
      <c r="C13" s="527"/>
      <c r="D13" s="522"/>
      <c r="E13" s="522"/>
      <c r="F13" s="522"/>
      <c r="G13" s="522"/>
      <c r="H13" s="522"/>
      <c r="I13" s="522"/>
      <c r="J13" s="522"/>
      <c r="K13" s="528"/>
      <c r="L13" s="528"/>
      <c r="M13" s="528"/>
      <c r="P13" s="521" t="s">
        <v>1666</v>
      </c>
      <c r="R13" s="543">
        <f ca="1">SUM(I19:L19)</f>
        <v>24596.892687045147</v>
      </c>
      <c r="S13" s="544"/>
      <c r="T13" s="544"/>
      <c r="U13" s="544"/>
      <c r="V13" s="544"/>
      <c r="W13" s="544"/>
      <c r="X13" s="544"/>
      <c r="Y13" s="544"/>
      <c r="Z13" s="544"/>
      <c r="AA13" s="544"/>
      <c r="AB13" s="544"/>
      <c r="AC13" s="544"/>
      <c r="AD13" s="544"/>
      <c r="AE13" s="544"/>
      <c r="AF13" s="544"/>
      <c r="AM13" s="545">
        <f>AJ45</f>
        <v>88400</v>
      </c>
      <c r="AU13" s="499">
        <f>500*10^6*23000/10^9</f>
        <v>11500</v>
      </c>
      <c r="AW13" s="511">
        <v>44495</v>
      </c>
      <c r="AX13" s="499">
        <v>23.327999999999999</v>
      </c>
    </row>
    <row r="14" spans="1:51">
      <c r="B14" s="526" t="s">
        <v>1667</v>
      </c>
      <c r="C14" s="527"/>
      <c r="D14" s="522"/>
      <c r="E14" s="522">
        <f>FS!J134</f>
        <v>-6454.639635608999</v>
      </c>
      <c r="F14" s="522">
        <f>FS!K134</f>
        <v>5150.7383348699996</v>
      </c>
      <c r="G14" s="522">
        <f>FS!L134</f>
        <v>-6997.1769937440004</v>
      </c>
      <c r="H14" s="522">
        <f>FS!M134</f>
        <v>760.55792632900011</v>
      </c>
      <c r="I14" s="522">
        <f>FS!N134</f>
        <v>1836.2681516709995</v>
      </c>
      <c r="J14" s="522">
        <f>FS!O134</f>
        <v>3223.6769287949996</v>
      </c>
      <c r="K14" s="528">
        <f ca="1">FS!P134</f>
        <v>-1654.9338967163935</v>
      </c>
      <c r="L14" s="528">
        <f ca="1">FS!Q134</f>
        <v>-3989.4709515164704</v>
      </c>
      <c r="M14" s="528">
        <f ca="1">FS!R134</f>
        <v>-3295.9501283455738</v>
      </c>
      <c r="P14" s="526" t="s">
        <v>1668</v>
      </c>
      <c r="R14" s="546">
        <f ca="1">SUM(R12:R13)</f>
        <v>82216.604151584557</v>
      </c>
      <c r="S14" s="2053"/>
      <c r="T14" s="2053"/>
      <c r="U14" s="2053"/>
      <c r="V14" s="2053"/>
      <c r="W14" s="2053"/>
      <c r="X14" s="2053"/>
      <c r="Y14" s="2053"/>
      <c r="Z14" s="2053"/>
      <c r="AA14" s="2053"/>
      <c r="AB14" s="2053"/>
      <c r="AC14" s="2053"/>
      <c r="AD14" s="2053"/>
      <c r="AE14" s="2053"/>
      <c r="AF14" s="547"/>
      <c r="AM14" s="508">
        <f ca="1">AM12/AM13-1</f>
        <v>-0.46493212669683259</v>
      </c>
      <c r="AW14" s="511">
        <v>44494</v>
      </c>
      <c r="AX14" s="499">
        <v>23.517900000000001</v>
      </c>
    </row>
    <row r="15" spans="1:51">
      <c r="B15" s="526" t="s">
        <v>1669</v>
      </c>
      <c r="C15" s="527"/>
      <c r="D15" s="522"/>
      <c r="E15" s="522">
        <f>FS!J154</f>
        <v>-3066.9211641400002</v>
      </c>
      <c r="F15" s="522">
        <f>FS!K154</f>
        <v>-3911.3581600020002</v>
      </c>
      <c r="G15" s="522">
        <f>FS!L154</f>
        <v>-4976.8765900159997</v>
      </c>
      <c r="H15" s="522">
        <f>FS!M154</f>
        <v>-4411.5596853890002</v>
      </c>
      <c r="I15" s="522">
        <f>FS!N154</f>
        <v>-523.38333079400002</v>
      </c>
      <c r="J15" s="522">
        <f>FS!O154</f>
        <v>-303.747827395</v>
      </c>
      <c r="K15" s="528">
        <f>FS!P154</f>
        <v>-2344.2200000000003</v>
      </c>
      <c r="L15" s="528">
        <f>FS!Q154</f>
        <v>-2268.84</v>
      </c>
      <c r="M15" s="528">
        <f>FS!R154</f>
        <v>-2031.02</v>
      </c>
      <c r="P15" s="521" t="s">
        <v>1670</v>
      </c>
      <c r="R15" s="548">
        <f ca="1">R12/R14</f>
        <v>0.70082816067548459</v>
      </c>
      <c r="S15" s="549"/>
      <c r="T15" s="549"/>
      <c r="U15" s="549"/>
      <c r="V15" s="549"/>
      <c r="W15" s="549"/>
      <c r="X15" s="549"/>
      <c r="Y15" s="549"/>
      <c r="Z15" s="549"/>
      <c r="AA15" s="549"/>
      <c r="AB15" s="549"/>
      <c r="AC15" s="549"/>
      <c r="AD15" s="549"/>
      <c r="AE15" s="549"/>
      <c r="AF15" s="549"/>
      <c r="AW15" s="511">
        <v>44491</v>
      </c>
      <c r="AX15" s="499">
        <v>23.494199999999999</v>
      </c>
    </row>
    <row r="16" spans="1:51">
      <c r="B16" s="521"/>
      <c r="E16" s="550">
        <f t="shared" ref="E16:K16" si="2">-E15/E5</f>
        <v>2.9636370304276734E-2</v>
      </c>
      <c r="F16" s="550">
        <f t="shared" si="2"/>
        <v>3.5622163031230065E-2</v>
      </c>
      <c r="G16" s="550">
        <f>-G15/G5</f>
        <v>4.0090344970031153E-2</v>
      </c>
      <c r="H16" s="550">
        <f t="shared" si="2"/>
        <v>3.2745591183465268E-2</v>
      </c>
      <c r="I16" s="550">
        <f>-I15/I5</f>
        <v>4.3895408985417409E-3</v>
      </c>
      <c r="J16" s="550">
        <f t="shared" si="2"/>
        <v>2.2462384903183964E-3</v>
      </c>
      <c r="K16" s="551">
        <f t="shared" ca="1" si="2"/>
        <v>1.4592837563733854E-2</v>
      </c>
      <c r="L16" s="551">
        <f ca="1">-L15/L5</f>
        <v>1.1618764254187659E-2</v>
      </c>
      <c r="M16" s="551">
        <f ca="1">-M15/M5</f>
        <v>9.0645265828591826E-3</v>
      </c>
      <c r="P16" s="521" t="s">
        <v>1671</v>
      </c>
      <c r="R16" s="538">
        <f ca="1">SUM(FS!N6:N8)-SUM(FS!N29,FS!N36)</f>
        <v>-811.0788867859992</v>
      </c>
      <c r="S16" s="539"/>
      <c r="T16" s="539"/>
      <c r="U16" s="539"/>
      <c r="V16" s="539"/>
      <c r="W16" s="539"/>
      <c r="X16" s="539"/>
      <c r="Y16" s="539"/>
      <c r="Z16" s="539"/>
      <c r="AA16" s="539"/>
      <c r="AB16" s="539"/>
      <c r="AC16" s="539"/>
      <c r="AD16" s="539"/>
      <c r="AE16" s="539"/>
      <c r="AF16" s="539"/>
      <c r="AW16" s="511">
        <v>44490</v>
      </c>
      <c r="AX16" s="499">
        <v>23.256799999999998</v>
      </c>
    </row>
    <row r="17" spans="1:52">
      <c r="B17" s="552" t="s">
        <v>1672</v>
      </c>
      <c r="C17" s="553"/>
      <c r="D17" s="554"/>
      <c r="E17" s="555">
        <f t="shared" ref="E17:J17" si="3">SUM(E7:E15)</f>
        <v>-3811.2022689995297</v>
      </c>
      <c r="F17" s="555">
        <f t="shared" si="3"/>
        <v>7788.8367485961135</v>
      </c>
      <c r="G17" s="555">
        <f>SUM(G7:G15)</f>
        <v>-3639.1174995458969</v>
      </c>
      <c r="H17" s="555">
        <f t="shared" si="3"/>
        <v>4961.2622945172679</v>
      </c>
      <c r="I17" s="555">
        <f>SUM(I7:I15)</f>
        <v>5219.2369042938699</v>
      </c>
      <c r="J17" s="556">
        <f t="shared" si="3"/>
        <v>10449.770474514537</v>
      </c>
      <c r="K17" s="557">
        <f ca="1">SUM(K7:K15)</f>
        <v>6490.6314406512747</v>
      </c>
      <c r="L17" s="557">
        <f ca="1">SUM(L7:L15)</f>
        <v>5739.1427497912155</v>
      </c>
      <c r="M17" s="557">
        <f ca="1">SUM(M7:M15)</f>
        <v>8215.7168781540186</v>
      </c>
      <c r="P17" s="521" t="s">
        <v>1673</v>
      </c>
      <c r="R17" s="558">
        <v>0</v>
      </c>
      <c r="S17" s="559"/>
      <c r="T17" s="559"/>
      <c r="U17" s="559"/>
      <c r="V17" s="559"/>
      <c r="W17" s="559"/>
      <c r="X17" s="559"/>
      <c r="Y17" s="559"/>
      <c r="Z17" s="559"/>
      <c r="AA17" s="559"/>
      <c r="AB17" s="559"/>
      <c r="AC17" s="559"/>
      <c r="AD17" s="559"/>
      <c r="AE17" s="559"/>
      <c r="AF17" s="559"/>
      <c r="AW17" s="511">
        <v>44489</v>
      </c>
      <c r="AX17" s="499">
        <v>23.494199999999999</v>
      </c>
    </row>
    <row r="18" spans="1:52">
      <c r="B18" s="560" t="s">
        <v>1674</v>
      </c>
      <c r="C18" s="561"/>
      <c r="D18" s="562"/>
      <c r="E18" s="563">
        <f t="shared" ref="E18:K18" ca="1" si="4">E17/POWER(1+WACC,E20-E21*0.5)</f>
        <v>-3233.2379454397496</v>
      </c>
      <c r="F18" s="563">
        <f t="shared" ca="1" si="4"/>
        <v>5846.7139520359106</v>
      </c>
      <c r="G18" s="563">
        <f ca="1">G17/POWER(1+WACC,G20-G21*0.5)</f>
        <v>-2971.170074952382</v>
      </c>
      <c r="H18" s="563">
        <f ca="1">H17/POWER(1+WACC,H20-H21*0.5)</f>
        <v>4405.2298980945588</v>
      </c>
      <c r="I18" s="563">
        <f ca="1">I17/POWER(1+WACC,I20-I21*0.5)</f>
        <v>5004.5650058806368</v>
      </c>
      <c r="J18" s="556">
        <f ca="1">J17/POWER(1+WACC,J20-J21*0.5)</f>
        <v>9948.2072937020348</v>
      </c>
      <c r="K18" s="557">
        <f t="shared" ca="1" si="4"/>
        <v>5681.04780433618</v>
      </c>
      <c r="L18" s="557">
        <f ca="1">L17/POWER(1+WACC,L20-L21*0.5)</f>
        <v>4618.687511367164</v>
      </c>
      <c r="M18" s="557">
        <f ca="1">M17/POWER(1+WACC,M20-M21*0.5)</f>
        <v>6079.1345419656682</v>
      </c>
      <c r="P18" s="521"/>
      <c r="R18" s="543"/>
      <c r="S18" s="544"/>
      <c r="T18" s="544"/>
      <c r="U18" s="544"/>
      <c r="V18" s="544"/>
      <c r="W18" s="544"/>
      <c r="X18" s="544"/>
      <c r="Y18" s="544"/>
      <c r="Z18" s="544"/>
      <c r="AA18" s="544"/>
      <c r="AB18" s="544"/>
      <c r="AC18" s="544"/>
      <c r="AD18" s="544"/>
      <c r="AE18" s="544"/>
      <c r="AF18" s="544"/>
      <c r="AH18" s="499" t="s">
        <v>1675</v>
      </c>
      <c r="AI18" s="499" t="s">
        <v>1676</v>
      </c>
      <c r="AJ18" s="499" t="s">
        <v>1677</v>
      </c>
      <c r="AK18" s="499" t="s">
        <v>1678</v>
      </c>
      <c r="AL18" s="499" t="s">
        <v>1679</v>
      </c>
      <c r="AM18" s="499" t="s">
        <v>1680</v>
      </c>
      <c r="AN18" s="499" t="s">
        <v>31</v>
      </c>
      <c r="AO18" s="499" t="s">
        <v>1681</v>
      </c>
      <c r="AP18" s="499" t="s">
        <v>1682</v>
      </c>
      <c r="AQ18" s="499" t="s">
        <v>1683</v>
      </c>
      <c r="AR18" s="499" t="s">
        <v>1684</v>
      </c>
      <c r="AS18" s="499" t="s">
        <v>1685</v>
      </c>
      <c r="AT18" s="499" t="s">
        <v>1686</v>
      </c>
      <c r="AU18" s="499" t="s">
        <v>1448</v>
      </c>
      <c r="AW18" s="511">
        <v>44488</v>
      </c>
      <c r="AX18" s="499">
        <v>23.256799999999998</v>
      </c>
    </row>
    <row r="19" spans="1:52">
      <c r="B19" s="521" t="s">
        <v>1687</v>
      </c>
      <c r="E19" s="564">
        <f t="shared" ref="E19:L19" ca="1" si="5">E17/POWER(1+WACC,E20)</f>
        <v>-2742.9212290471442</v>
      </c>
      <c r="F19" s="564">
        <f t="shared" ca="1" si="5"/>
        <v>6098.1731957146721</v>
      </c>
      <c r="G19" s="564">
        <f t="shared" ca="1" si="5"/>
        <v>-3098.359397927873</v>
      </c>
      <c r="H19" s="564">
        <f t="shared" ca="1" si="5"/>
        <v>4594.1931874232951</v>
      </c>
      <c r="I19" s="565">
        <f ca="1">I17/POWER(1+WACC,I20)</f>
        <v>5182.1334664435226</v>
      </c>
      <c r="J19" s="565">
        <f t="shared" ca="1" si="5"/>
        <v>9538.5270817840992</v>
      </c>
      <c r="K19" s="566">
        <f t="shared" ca="1" si="5"/>
        <v>5447.4765911671811</v>
      </c>
      <c r="L19" s="566">
        <f t="shared" ca="1" si="5"/>
        <v>4428.7555476503421</v>
      </c>
      <c r="M19" s="566">
        <f ca="1">M17/POWER(1+WACC,M20)</f>
        <v>5829.1249335930197</v>
      </c>
      <c r="P19" s="526" t="s">
        <v>1688</v>
      </c>
      <c r="R19" s="546">
        <f ca="1">R14+R16</f>
        <v>81405.525264798562</v>
      </c>
      <c r="S19" s="2053"/>
      <c r="T19" s="2053"/>
      <c r="U19" s="2053"/>
      <c r="V19" s="2053"/>
      <c r="W19" s="2053"/>
      <c r="X19" s="2053"/>
      <c r="Y19" s="2053"/>
      <c r="Z19" s="2053"/>
      <c r="AA19" s="2053"/>
      <c r="AB19" s="2053"/>
      <c r="AC19" s="2053"/>
      <c r="AD19" s="2053"/>
      <c r="AE19" s="2053"/>
      <c r="AF19" s="547"/>
      <c r="AG19" s="789" t="s">
        <v>321</v>
      </c>
      <c r="AH19" s="542">
        <f ca="1">AJ45*Valuation!R21/10^3</f>
        <v>129406.92835199999</v>
      </c>
      <c r="AI19" s="542">
        <f>FS!L67/10^3</f>
        <v>122.95810610317399</v>
      </c>
      <c r="AJ19" s="542">
        <f>FS!L104/10^3</f>
        <v>4.9010797787059994</v>
      </c>
      <c r="AK19" s="508">
        <f>FS!L105</f>
        <v>0.24980527106879058</v>
      </c>
      <c r="AL19" s="542">
        <f ca="1">FS!L107</f>
        <v>3337.571729856917</v>
      </c>
      <c r="AM19" s="542">
        <f>FS!M104/10^3</f>
        <v>4.0997630273050021</v>
      </c>
      <c r="AN19" s="508">
        <f>FS!M105</f>
        <v>-0.16349800198775055</v>
      </c>
      <c r="AO19" s="567">
        <f ca="1">Appendix!V24</f>
        <v>31.663190527022302</v>
      </c>
      <c r="AP19" s="567">
        <f ca="1">Appendix!V25</f>
        <v>5.4071445763994994</v>
      </c>
      <c r="AQ19" s="508">
        <f ca="1">Appendix!V26</f>
        <v>7.3427438831649081E-2</v>
      </c>
      <c r="AR19" s="508">
        <f ca="1">Appendix!V27</f>
        <v>0.17130467201351224</v>
      </c>
      <c r="AS19" s="542">
        <f>Share_Price</f>
        <v>88400</v>
      </c>
      <c r="AT19" s="542">
        <f ca="1">Giá_mục_tiêu</f>
        <v>27570</v>
      </c>
      <c r="AU19" s="508">
        <f ca="1">AT19/AS19-1</f>
        <v>-0.68812217194570136</v>
      </c>
      <c r="AW19" s="511">
        <v>44487</v>
      </c>
      <c r="AX19" s="499">
        <v>23.494199999999999</v>
      </c>
    </row>
    <row r="20" spans="1:52">
      <c r="B20" s="568" t="s">
        <v>1689</v>
      </c>
      <c r="C20" s="569"/>
      <c r="D20" s="570"/>
      <c r="E20" s="570">
        <f t="shared" ref="E20:K20" si="6">YEARFRAC(Valuation_Date,E3,1)</f>
        <v>3.9156626506024099</v>
      </c>
      <c r="F20" s="570">
        <f t="shared" si="6"/>
        <v>2.9130732375085557</v>
      </c>
      <c r="G20" s="570">
        <f t="shared" si="6"/>
        <v>1.9150684931506849</v>
      </c>
      <c r="H20" s="570">
        <f t="shared" si="6"/>
        <v>0.91506849315068495</v>
      </c>
      <c r="I20" s="570">
        <f>YEARFRAC(Valuation_Date,I3,1)</f>
        <v>8.4931506849315067E-2</v>
      </c>
      <c r="J20" s="570">
        <f>YEARFRAC(Valuation_Date,J3,1)</f>
        <v>1.0861833105335157</v>
      </c>
      <c r="K20" s="571">
        <f t="shared" si="6"/>
        <v>2.0857664233576645</v>
      </c>
      <c r="L20" s="571">
        <f>YEARFRAC(Valuation_Date,L3,1)</f>
        <v>3.0855578370978782</v>
      </c>
      <c r="M20" s="571">
        <f>YEARFRAC(Valuation_Date,M3,1)</f>
        <v>4.0854326396495075</v>
      </c>
      <c r="P20" s="521"/>
      <c r="R20" s="525"/>
      <c r="AH20" s="572" t="s">
        <v>1690</v>
      </c>
      <c r="AI20" s="572" t="s">
        <v>1691</v>
      </c>
      <c r="AJ20" s="572" t="s">
        <v>228</v>
      </c>
      <c r="AK20" s="572" t="s">
        <v>1692</v>
      </c>
      <c r="AL20" s="572" t="s">
        <v>228</v>
      </c>
      <c r="AM20" s="572" t="s">
        <v>1693</v>
      </c>
      <c r="AN20" s="572" t="s">
        <v>1694</v>
      </c>
      <c r="AO20" s="572" t="s">
        <v>1682</v>
      </c>
      <c r="AP20" s="572" t="s">
        <v>1695</v>
      </c>
      <c r="AQ20" s="572" t="s">
        <v>1696</v>
      </c>
      <c r="AR20" s="572" t="s">
        <v>1697</v>
      </c>
      <c r="AS20" s="573" t="s">
        <v>1698</v>
      </c>
      <c r="AT20" s="573" t="s">
        <v>1448</v>
      </c>
      <c r="AW20" s="499">
        <v>44484</v>
      </c>
      <c r="AX20" s="499">
        <v>23.850100000000001</v>
      </c>
      <c r="AY20" s="511">
        <v>44379</v>
      </c>
      <c r="AZ20" s="499">
        <v>17.107500000000002</v>
      </c>
    </row>
    <row r="21" spans="1:52">
      <c r="B21" s="568" t="s">
        <v>1699</v>
      </c>
      <c r="C21" s="569"/>
      <c r="D21" s="570"/>
      <c r="E21" s="570">
        <f>E20-D20</f>
        <v>3.9156626506024099</v>
      </c>
      <c r="F21" s="570">
        <f t="shared" ref="F21:M21" si="7">F20-E20</f>
        <v>-1.0025894130938542</v>
      </c>
      <c r="G21" s="570">
        <f t="shared" si="7"/>
        <v>-0.99800474435787079</v>
      </c>
      <c r="H21" s="570">
        <f t="shared" si="7"/>
        <v>-1</v>
      </c>
      <c r="I21" s="570">
        <f t="shared" si="7"/>
        <v>-0.83013698630136989</v>
      </c>
      <c r="J21" s="570">
        <f t="shared" si="7"/>
        <v>1.0012518036842006</v>
      </c>
      <c r="K21" s="571">
        <f t="shared" si="7"/>
        <v>0.9995831128241488</v>
      </c>
      <c r="L21" s="571">
        <f t="shared" si="7"/>
        <v>0.99979141374021374</v>
      </c>
      <c r="M21" s="571">
        <f t="shared" si="7"/>
        <v>0.9998748025516293</v>
      </c>
      <c r="P21" s="521" t="s">
        <v>1700</v>
      </c>
      <c r="R21" s="574">
        <f ca="1">M27</f>
        <v>1463.8792799999999</v>
      </c>
      <c r="S21" s="575"/>
      <c r="T21" s="575"/>
      <c r="U21" s="575"/>
      <c r="V21" s="575"/>
      <c r="W21" s="575"/>
      <c r="X21" s="575"/>
      <c r="Y21" s="575"/>
      <c r="Z21" s="575"/>
      <c r="AA21" s="575"/>
      <c r="AB21" s="575"/>
      <c r="AC21" s="575"/>
      <c r="AD21" s="575"/>
      <c r="AE21" s="575"/>
      <c r="AF21" s="575"/>
      <c r="AH21" s="542"/>
      <c r="AI21" s="542"/>
      <c r="AJ21" s="542"/>
      <c r="AK21" s="542" t="s">
        <v>1701</v>
      </c>
      <c r="AL21" s="542"/>
      <c r="AM21" s="542"/>
      <c r="AN21" s="542"/>
      <c r="AO21" s="542"/>
      <c r="AP21" s="542"/>
      <c r="AQ21" s="542"/>
      <c r="AR21" s="542">
        <v>2021</v>
      </c>
      <c r="AS21" s="542"/>
      <c r="AW21" s="499">
        <v>44483</v>
      </c>
      <c r="AX21" s="499">
        <v>23.968800000000002</v>
      </c>
      <c r="AY21" s="511">
        <v>44378</v>
      </c>
      <c r="AZ21" s="499">
        <v>17.227900000000002</v>
      </c>
    </row>
    <row r="22" spans="1:52">
      <c r="B22" s="521"/>
      <c r="E22" s="576"/>
      <c r="F22" s="576"/>
      <c r="G22" s="576"/>
      <c r="H22" s="576"/>
      <c r="I22" s="576"/>
      <c r="J22" s="576"/>
      <c r="K22" s="577"/>
      <c r="L22" s="577"/>
      <c r="M22" s="577"/>
      <c r="P22" s="526" t="s">
        <v>1702</v>
      </c>
      <c r="R22" s="578">
        <f ca="1">R19*10^3/R21</f>
        <v>55609.452484906113</v>
      </c>
      <c r="S22" s="2054"/>
      <c r="T22" s="2054"/>
      <c r="U22" s="2054"/>
      <c r="V22" s="2054"/>
      <c r="W22" s="2054"/>
      <c r="X22" s="2054"/>
      <c r="Y22" s="2054"/>
      <c r="Z22" s="2054"/>
      <c r="AA22" s="2054"/>
      <c r="AB22" s="2054"/>
      <c r="AC22" s="2054"/>
      <c r="AD22" s="2054"/>
      <c r="AE22" s="2054"/>
      <c r="AG22" s="790">
        <f ca="1">AH19</f>
        <v>129406.92835199999</v>
      </c>
      <c r="AH22" s="542">
        <f ca="1">FS!M67/10^3</f>
        <v>133.40478146000001</v>
      </c>
      <c r="AI22" s="508">
        <f ca="1">FS!M68</f>
        <v>8.4961257845499016E-2</v>
      </c>
      <c r="AJ22" s="542">
        <f>FS!M104/10^3</f>
        <v>4.0997630273050021</v>
      </c>
      <c r="AK22" s="499">
        <f>FS!L104/10^3</f>
        <v>4.9010797787059994</v>
      </c>
      <c r="AL22" s="508">
        <f>AJ22/AK22-1</f>
        <v>-0.16349800198775055</v>
      </c>
      <c r="AM22" s="542">
        <f ca="1">FS!M107</f>
        <v>2791.885420534511</v>
      </c>
      <c r="AN22" s="567">
        <f ca="1">M60</f>
        <v>31.663190527022302</v>
      </c>
      <c r="AO22" s="567">
        <f ca="1">M66</f>
        <v>5.4071445763994994</v>
      </c>
      <c r="AP22" s="508">
        <f ca="1">M47</f>
        <v>6.9016317779538941E-2</v>
      </c>
      <c r="AQ22" s="508">
        <f ca="1">M48</f>
        <v>0.18504565394058906</v>
      </c>
      <c r="AR22" s="542">
        <f>AJ45</f>
        <v>88400</v>
      </c>
      <c r="AS22" s="542">
        <f ca="1">AJ44</f>
        <v>46300</v>
      </c>
      <c r="AT22" s="508">
        <f ca="1">AJ46</f>
        <v>-0.47624434389140269</v>
      </c>
      <c r="AW22" s="499">
        <v>44482</v>
      </c>
      <c r="AX22" s="499">
        <v>23.968800000000002</v>
      </c>
      <c r="AY22" s="511">
        <v>44377</v>
      </c>
      <c r="AZ22" s="499">
        <v>17.210699999999999</v>
      </c>
    </row>
    <row r="23" spans="1:52">
      <c r="B23" s="579" t="s">
        <v>1703</v>
      </c>
      <c r="C23" s="580"/>
      <c r="D23" s="581"/>
      <c r="E23" s="581"/>
      <c r="F23" s="582">
        <f>F17/E17-1</f>
        <v>-3.0436692148172821</v>
      </c>
      <c r="G23" s="582">
        <f t="shared" ref="G23:M23" si="8">G17/F17-1</f>
        <v>-1.4672222075012451</v>
      </c>
      <c r="H23" s="582">
        <f t="shared" si="8"/>
        <v>-2.3633146759169916</v>
      </c>
      <c r="I23" s="582">
        <f t="shared" si="8"/>
        <v>5.1997776868538459E-2</v>
      </c>
      <c r="J23" s="582">
        <f t="shared" si="8"/>
        <v>1.002164428657665</v>
      </c>
      <c r="K23" s="583">
        <f t="shared" ca="1" si="8"/>
        <v>-0.37887330095134852</v>
      </c>
      <c r="L23" s="583">
        <f t="shared" ca="1" si="8"/>
        <v>-0.1157805211606121</v>
      </c>
      <c r="M23" s="583">
        <f t="shared" ca="1" si="8"/>
        <v>0.43152335398050501</v>
      </c>
      <c r="P23" s="584" t="s">
        <v>1704</v>
      </c>
      <c r="Q23" s="581"/>
      <c r="R23" s="585">
        <f ca="1">R22/Share_Price-1</f>
        <v>-0.37093379541961413</v>
      </c>
      <c r="S23" s="2055"/>
      <c r="T23" s="2055"/>
      <c r="U23" s="2055"/>
      <c r="V23" s="2055"/>
      <c r="W23" s="2055"/>
      <c r="X23" s="2055"/>
      <c r="Y23" s="2055"/>
      <c r="Z23" s="2055"/>
      <c r="AA23" s="2055"/>
      <c r="AB23" s="2055"/>
      <c r="AC23" s="2055"/>
      <c r="AD23" s="2055"/>
      <c r="AE23" s="2055"/>
      <c r="AH23" s="535">
        <f ca="1">AG22/23</f>
        <v>5626.3881892173904</v>
      </c>
      <c r="AW23" s="511">
        <v>44481</v>
      </c>
      <c r="AX23" s="499">
        <v>23.7315</v>
      </c>
    </row>
    <row r="24" spans="1:52">
      <c r="I24" s="581"/>
      <c r="AW24" s="511">
        <v>44480</v>
      </c>
      <c r="AX24" s="499">
        <v>24.206099999999999</v>
      </c>
    </row>
    <row r="25" spans="1:52" s="437" customFormat="1" ht="15">
      <c r="A25" s="437">
        <v>2</v>
      </c>
      <c r="B25" s="586" t="s">
        <v>1705</v>
      </c>
      <c r="C25" s="587"/>
      <c r="D25" s="588"/>
      <c r="E25" s="588">
        <f>F25-1</f>
        <v>2014</v>
      </c>
      <c r="F25" s="588">
        <f>G25-1</f>
        <v>2015</v>
      </c>
      <c r="G25" s="588">
        <f>H25-1</f>
        <v>2016</v>
      </c>
      <c r="H25" s="588">
        <v>2017</v>
      </c>
      <c r="I25" s="588">
        <f t="shared" ref="I25:N25" si="9">H25+1</f>
        <v>2018</v>
      </c>
      <c r="J25" s="588">
        <f t="shared" si="9"/>
        <v>2019</v>
      </c>
      <c r="K25" s="589">
        <f t="shared" si="9"/>
        <v>2020</v>
      </c>
      <c r="L25" s="589">
        <f t="shared" si="9"/>
        <v>2021</v>
      </c>
      <c r="M25" s="589">
        <f t="shared" si="9"/>
        <v>2022</v>
      </c>
      <c r="N25" s="589">
        <f t="shared" si="9"/>
        <v>2023</v>
      </c>
      <c r="O25" s="589">
        <f>N25+1</f>
        <v>2024</v>
      </c>
      <c r="P25" s="590">
        <f>O25+1</f>
        <v>2025</v>
      </c>
      <c r="Q25" s="590">
        <f>P25+1</f>
        <v>2026</v>
      </c>
      <c r="R25" s="590">
        <f>Q25+1</f>
        <v>2027</v>
      </c>
      <c r="S25" s="590">
        <f t="shared" ref="S25:X25" si="10">R25+1</f>
        <v>2028</v>
      </c>
      <c r="T25" s="590">
        <f t="shared" si="10"/>
        <v>2029</v>
      </c>
      <c r="U25" s="590">
        <f t="shared" si="10"/>
        <v>2030</v>
      </c>
      <c r="V25" s="590">
        <f t="shared" si="10"/>
        <v>2031</v>
      </c>
      <c r="W25" s="590">
        <f t="shared" si="10"/>
        <v>2032</v>
      </c>
      <c r="X25" s="590">
        <f t="shared" si="10"/>
        <v>2033</v>
      </c>
      <c r="Y25" s="590">
        <f t="shared" ref="Y25:AA25" si="11">X25+1</f>
        <v>2034</v>
      </c>
      <c r="Z25" s="590">
        <f t="shared" si="11"/>
        <v>2035</v>
      </c>
      <c r="AA25" s="590">
        <f t="shared" si="11"/>
        <v>2036</v>
      </c>
      <c r="AB25" s="2056"/>
      <c r="AC25" s="2056"/>
      <c r="AD25" s="2056"/>
      <c r="AE25" s="2056"/>
      <c r="AF25" s="499"/>
      <c r="AG25" s="789"/>
      <c r="AH25" s="499"/>
      <c r="AI25" s="499"/>
      <c r="AJ25" s="539">
        <f>AI27-AH27</f>
        <v>5230.5335702206667</v>
      </c>
      <c r="AK25" s="539">
        <f ca="1">AJ27-AI27</f>
        <v>-3959.1390338632618</v>
      </c>
      <c r="AL25" s="539">
        <f ca="1">AK27-AJ27</f>
        <v>-751.48869086005925</v>
      </c>
      <c r="AM25" s="539">
        <f ca="1">AL27-AK27</f>
        <v>-5739.1427497912155</v>
      </c>
      <c r="AN25" s="499"/>
      <c r="AO25" s="499"/>
      <c r="AP25" s="499"/>
      <c r="AQ25" s="499"/>
      <c r="AR25" s="499"/>
      <c r="AS25" s="499"/>
      <c r="AT25" s="499"/>
      <c r="AU25" s="499"/>
      <c r="AV25" s="499"/>
      <c r="AY25" s="591">
        <v>44477</v>
      </c>
      <c r="AZ25" s="437">
        <v>23.6128</v>
      </c>
    </row>
    <row r="26" spans="1:52" s="437" customFormat="1" ht="15">
      <c r="B26" s="592" t="s">
        <v>1706</v>
      </c>
      <c r="C26" s="499"/>
      <c r="D26" s="593"/>
      <c r="E26" s="594">
        <f ca="1">FS!E44/10000</f>
        <v>0.11195677900000001</v>
      </c>
      <c r="F26" s="594">
        <f ca="1">FS!F44/10000</f>
        <v>0.14688897400000001</v>
      </c>
      <c r="G26" s="594">
        <f ca="1">FS!G44/10000</f>
        <v>0.15395092700000002</v>
      </c>
      <c r="H26" s="594">
        <f ca="1">FS!H44/10000</f>
        <v>0.31698843700000001</v>
      </c>
      <c r="I26" s="594">
        <f ca="1">FS!I44/10000</f>
        <v>0.44349617799999996</v>
      </c>
      <c r="J26" s="594">
        <f ca="1">FS!J44/10000</f>
        <v>0.44354617799999996</v>
      </c>
      <c r="K26" s="594">
        <f ca="1">FS!K44/10000</f>
        <v>0.45320998699999998</v>
      </c>
      <c r="L26" s="594">
        <f ca="1">FS!L44/10000</f>
        <v>0.71306549500000005</v>
      </c>
      <c r="M26" s="594">
        <f ca="1">FS!M44/10000</f>
        <v>1.46387928</v>
      </c>
      <c r="N26" s="594">
        <f ca="1">M26</f>
        <v>1.46387928</v>
      </c>
      <c r="O26" s="594">
        <f ca="1">N26</f>
        <v>1.46387928</v>
      </c>
      <c r="P26" s="595">
        <f ca="1">O26</f>
        <v>1.46387928</v>
      </c>
      <c r="Q26" s="595">
        <f ca="1">P26</f>
        <v>1.46387928</v>
      </c>
      <c r="R26" s="595">
        <f ca="1">Q26</f>
        <v>1.46387928</v>
      </c>
      <c r="S26" s="595">
        <f t="shared" ref="S26:X26" ca="1" si="12">R26</f>
        <v>1.46387928</v>
      </c>
      <c r="T26" s="595">
        <f t="shared" ca="1" si="12"/>
        <v>1.46387928</v>
      </c>
      <c r="U26" s="595">
        <f t="shared" ca="1" si="12"/>
        <v>1.46387928</v>
      </c>
      <c r="V26" s="595">
        <f t="shared" ca="1" si="12"/>
        <v>1.46387928</v>
      </c>
      <c r="W26" s="595">
        <f t="shared" ca="1" si="12"/>
        <v>1.46387928</v>
      </c>
      <c r="X26" s="595">
        <f t="shared" ca="1" si="12"/>
        <v>1.46387928</v>
      </c>
      <c r="Y26" s="595">
        <f t="shared" ref="Y26:AA26" ca="1" si="13">X26</f>
        <v>1.46387928</v>
      </c>
      <c r="Z26" s="595">
        <f t="shared" ca="1" si="13"/>
        <v>1.46387928</v>
      </c>
      <c r="AA26" s="595">
        <f t="shared" ca="1" si="13"/>
        <v>1.46387928</v>
      </c>
      <c r="AB26" s="594"/>
      <c r="AC26" s="594"/>
      <c r="AD26" s="594"/>
      <c r="AE26" s="594"/>
      <c r="AF26" s="499"/>
      <c r="AG26" s="791" t="s">
        <v>1707</v>
      </c>
      <c r="AH26" s="509">
        <v>2023</v>
      </c>
      <c r="AI26" s="509">
        <v>2024</v>
      </c>
      <c r="AJ26" s="509">
        <v>2025</v>
      </c>
      <c r="AK26" s="509">
        <v>2026</v>
      </c>
      <c r="AL26" s="509"/>
      <c r="AM26" s="499"/>
      <c r="AN26" s="596" t="s">
        <v>1707</v>
      </c>
      <c r="AO26" s="596">
        <v>2023</v>
      </c>
      <c r="AP26" s="596">
        <v>2024</v>
      </c>
      <c r="AQ26" s="596">
        <v>2025</v>
      </c>
      <c r="AR26" s="596">
        <v>2025</v>
      </c>
      <c r="AS26" s="596">
        <v>2026</v>
      </c>
      <c r="AT26" s="499"/>
      <c r="AW26" s="591">
        <v>44476</v>
      </c>
      <c r="AX26" s="437">
        <v>23.019500000000001</v>
      </c>
    </row>
    <row r="27" spans="1:52" s="437" customFormat="1" ht="15">
      <c r="B27" s="592" t="s">
        <v>1708</v>
      </c>
      <c r="C27" s="499"/>
      <c r="D27" s="597"/>
      <c r="E27" s="598">
        <f>E28</f>
        <v>98.273867999999993</v>
      </c>
      <c r="F27" s="594">
        <f ca="1">FS!F44/10</f>
        <v>146.88897400000002</v>
      </c>
      <c r="G27" s="594">
        <f ca="1">FS!G44/10</f>
        <v>153.95092700000001</v>
      </c>
      <c r="H27" s="594">
        <f ca="1">FS!H44/10</f>
        <v>316.98843700000003</v>
      </c>
      <c r="I27" s="594">
        <f ca="1">FS!I44/10</f>
        <v>443.49617799999999</v>
      </c>
      <c r="J27" s="594">
        <f ca="1">FS!J44/10</f>
        <v>443.54617799999994</v>
      </c>
      <c r="K27" s="594">
        <f ca="1">FS!K44/10</f>
        <v>453.20998700000001</v>
      </c>
      <c r="L27" s="594">
        <f ca="1">FS!L44/10</f>
        <v>713.06549500000006</v>
      </c>
      <c r="M27" s="594">
        <f ca="1">FS!M44/10</f>
        <v>1463.8792799999999</v>
      </c>
      <c r="N27" s="594">
        <f ca="1">M29</f>
        <v>1463.8792799999999</v>
      </c>
      <c r="O27" s="594">
        <f ca="1">N29</f>
        <v>1463.376716</v>
      </c>
      <c r="P27" s="594">
        <f ca="1">P29</f>
        <v>1468.4567630000001</v>
      </c>
      <c r="Q27" s="594">
        <f ca="1">P29</f>
        <v>1468.4567630000001</v>
      </c>
      <c r="R27" s="594">
        <f ca="1">Q29</f>
        <v>1468.4567630000001</v>
      </c>
      <c r="S27" s="594">
        <f t="shared" ref="S27:X27" ca="1" si="14">R29</f>
        <v>1468.4567630000001</v>
      </c>
      <c r="T27" s="594">
        <f t="shared" ca="1" si="14"/>
        <v>1468.4567630000001</v>
      </c>
      <c r="U27" s="594">
        <f t="shared" ca="1" si="14"/>
        <v>1468.4567630000001</v>
      </c>
      <c r="V27" s="594">
        <f t="shared" ca="1" si="14"/>
        <v>1468.4567630000001</v>
      </c>
      <c r="W27" s="594">
        <f t="shared" ca="1" si="14"/>
        <v>1468.4567630000001</v>
      </c>
      <c r="X27" s="594">
        <f t="shared" ca="1" si="14"/>
        <v>1468.4567630000001</v>
      </c>
      <c r="Y27" s="594">
        <f t="shared" ref="Y27" ca="1" si="15">Y29</f>
        <v>1488.3942630000001</v>
      </c>
      <c r="Z27" s="594">
        <f t="shared" ref="Z27:AA27" ca="1" si="16">Y29</f>
        <v>1488.3942630000001</v>
      </c>
      <c r="AA27" s="594">
        <f t="shared" ca="1" si="16"/>
        <v>1488.3942630000001</v>
      </c>
      <c r="AB27" s="594"/>
      <c r="AC27" s="594"/>
      <c r="AD27" s="594"/>
      <c r="AE27" s="594"/>
      <c r="AF27" s="499"/>
      <c r="AG27" s="789" t="s">
        <v>1709</v>
      </c>
      <c r="AH27" s="539">
        <f>I17</f>
        <v>5219.2369042938699</v>
      </c>
      <c r="AI27" s="539">
        <f>J17</f>
        <v>10449.770474514537</v>
      </c>
      <c r="AJ27" s="539">
        <f ca="1">K17</f>
        <v>6490.6314406512747</v>
      </c>
      <c r="AK27" s="539">
        <f ca="1">L17</f>
        <v>5739.1427497912155</v>
      </c>
      <c r="AL27" s="539"/>
      <c r="AM27" s="499"/>
      <c r="AN27" s="599" t="s">
        <v>1709</v>
      </c>
      <c r="AO27" s="600">
        <f>AH27</f>
        <v>5219.2369042938699</v>
      </c>
      <c r="AP27" s="600">
        <f>AI27</f>
        <v>10449.770474514537</v>
      </c>
      <c r="AQ27" s="600">
        <f ca="1">AJ27</f>
        <v>6490.6314406512747</v>
      </c>
      <c r="AR27" s="600">
        <f ca="1">AK27</f>
        <v>5739.1427497912155</v>
      </c>
      <c r="AS27" s="600">
        <f>AL27</f>
        <v>0</v>
      </c>
      <c r="AT27" s="499"/>
      <c r="AW27" s="591">
        <v>44475</v>
      </c>
      <c r="AX27" s="437">
        <v>23.2806</v>
      </c>
    </row>
    <row r="28" spans="1:52" s="437" customFormat="1" ht="11.5" customHeight="1">
      <c r="B28" s="601" t="s">
        <v>1710</v>
      </c>
      <c r="C28" s="499"/>
      <c r="D28" s="602"/>
      <c r="E28" s="602">
        <f>F28</f>
        <v>98.273867999999993</v>
      </c>
      <c r="F28" s="602">
        <v>98.273867999999993</v>
      </c>
      <c r="G28" s="602">
        <v>98.273867999999993</v>
      </c>
      <c r="H28" s="602">
        <v>108.101325</v>
      </c>
      <c r="I28" s="602">
        <v>167.002273</v>
      </c>
      <c r="J28" s="603">
        <f t="shared" ref="J28:Q28" ca="1" si="17">J26*J$31</f>
        <v>0.44354617799999996</v>
      </c>
      <c r="K28" s="603">
        <f t="shared" ca="1" si="17"/>
        <v>0.45320998699999998</v>
      </c>
      <c r="L28" s="603">
        <f t="shared" ca="1" si="17"/>
        <v>0.71306549500000005</v>
      </c>
      <c r="M28" s="603">
        <f t="shared" ca="1" si="17"/>
        <v>1.46387928</v>
      </c>
      <c r="N28" s="603">
        <f ca="1">N26*N$31</f>
        <v>1.46387928</v>
      </c>
      <c r="O28" s="603">
        <f t="shared" ca="1" si="17"/>
        <v>1.46387928</v>
      </c>
      <c r="P28" s="604">
        <f t="shared" ca="1" si="17"/>
        <v>1.46387928</v>
      </c>
      <c r="Q28" s="604">
        <f t="shared" ca="1" si="17"/>
        <v>2.92775856</v>
      </c>
      <c r="R28" s="604">
        <f ca="1">R26*R$31</f>
        <v>4.3916378399999996</v>
      </c>
      <c r="S28" s="604">
        <f t="shared" ref="S28:X28" ca="1" si="18">S26*S$31</f>
        <v>5.85551712</v>
      </c>
      <c r="T28" s="604">
        <f t="shared" ca="1" si="18"/>
        <v>7.3193964000000005</v>
      </c>
      <c r="U28" s="604">
        <f t="shared" ca="1" si="18"/>
        <v>8.7832756799999991</v>
      </c>
      <c r="V28" s="604">
        <f t="shared" ca="1" si="18"/>
        <v>10.24715496</v>
      </c>
      <c r="W28" s="604">
        <f t="shared" ca="1" si="18"/>
        <v>11.71103424</v>
      </c>
      <c r="X28" s="604">
        <f t="shared" ca="1" si="18"/>
        <v>13.17491352</v>
      </c>
      <c r="Y28" s="604">
        <f t="shared" ref="Y28:AA28" ca="1" si="19">Y26*Y$31</f>
        <v>14.638792800000001</v>
      </c>
      <c r="Z28" s="604">
        <f t="shared" ca="1" si="19"/>
        <v>16.102672080000001</v>
      </c>
      <c r="AA28" s="604">
        <f t="shared" ca="1" si="19"/>
        <v>17.566551359999998</v>
      </c>
      <c r="AB28" s="603"/>
      <c r="AC28" s="603"/>
      <c r="AD28" s="603"/>
      <c r="AE28" s="603"/>
      <c r="AF28" s="499"/>
      <c r="AG28" s="789" t="s">
        <v>1711</v>
      </c>
      <c r="AH28" s="542">
        <f ca="1">I19</f>
        <v>5182.1334664435226</v>
      </c>
      <c r="AI28" s="542">
        <f ca="1">J19</f>
        <v>9538.5270817840992</v>
      </c>
      <c r="AJ28" s="542">
        <f ca="1">K19</f>
        <v>5447.4765911671811</v>
      </c>
      <c r="AK28" s="542">
        <f ca="1">L19</f>
        <v>4428.7555476503421</v>
      </c>
      <c r="AL28" s="542"/>
      <c r="AM28" s="499"/>
      <c r="AN28" s="599" t="s">
        <v>1711</v>
      </c>
      <c r="AO28" s="605">
        <f t="shared" ref="AO28:AO35" ca="1" si="20">AH28</f>
        <v>5182.1334664435226</v>
      </c>
      <c r="AP28" s="605">
        <f ca="1">AI28</f>
        <v>9538.5270817840992</v>
      </c>
      <c r="AQ28" s="605">
        <f ca="1">AJ28</f>
        <v>5447.4765911671811</v>
      </c>
      <c r="AR28" s="605">
        <f ca="1">AK28</f>
        <v>4428.7555476503421</v>
      </c>
      <c r="AS28" s="605">
        <f>AL28</f>
        <v>0</v>
      </c>
      <c r="AT28" s="499"/>
      <c r="AW28" s="591">
        <v>44474</v>
      </c>
      <c r="AX28" s="437">
        <v>23.019500000000001</v>
      </c>
    </row>
    <row r="29" spans="1:52" s="437" customFormat="1" ht="15">
      <c r="B29" s="601" t="s">
        <v>1712</v>
      </c>
      <c r="C29" s="499"/>
      <c r="D29" s="602"/>
      <c r="E29" s="602">
        <f>E28</f>
        <v>98.273867999999993</v>
      </c>
      <c r="F29" s="602">
        <f>F28</f>
        <v>98.273867999999993</v>
      </c>
      <c r="G29" s="602">
        <f>G28</f>
        <v>98.273867999999993</v>
      </c>
      <c r="H29" s="602">
        <f>H28</f>
        <v>108.101325</v>
      </c>
      <c r="I29" s="602">
        <f>I28</f>
        <v>167.002273</v>
      </c>
      <c r="J29" s="603">
        <f ca="1">J27*J$31</f>
        <v>443.54617799999994</v>
      </c>
      <c r="K29" s="603">
        <f ca="1">K27*K$31</f>
        <v>453.20998700000001</v>
      </c>
      <c r="L29" s="603">
        <f ca="1">L27*L$31</f>
        <v>713.06549500000006</v>
      </c>
      <c r="M29" s="603">
        <f ca="1">M27*M$31</f>
        <v>1463.8792799999999</v>
      </c>
      <c r="N29" s="603">
        <f ca="1">FS!N44/10</f>
        <v>1463.376716</v>
      </c>
      <c r="O29" s="603">
        <f ca="1">FS!O44/10</f>
        <v>1462.244177</v>
      </c>
      <c r="P29" s="603">
        <f ca="1">O29+P33</f>
        <v>1468.4567630000001</v>
      </c>
      <c r="Q29" s="603">
        <f ca="1">Q27+Q33</f>
        <v>1468.4567630000001</v>
      </c>
      <c r="R29" s="603">
        <f ca="1">R27+R33</f>
        <v>1468.4567630000001</v>
      </c>
      <c r="S29" s="603">
        <f ca="1">S27+S33</f>
        <v>1468.4567630000001</v>
      </c>
      <c r="T29" s="603">
        <f t="shared" ref="T29:X29" ca="1" si="21">T27+T33</f>
        <v>1468.4567630000001</v>
      </c>
      <c r="U29" s="603">
        <f t="shared" ca="1" si="21"/>
        <v>1468.4567630000001</v>
      </c>
      <c r="V29" s="603">
        <f t="shared" ca="1" si="21"/>
        <v>1468.4567630000001</v>
      </c>
      <c r="W29" s="603">
        <f t="shared" ca="1" si="21"/>
        <v>1468.4567630000001</v>
      </c>
      <c r="X29" s="603">
        <f t="shared" ca="1" si="21"/>
        <v>1468.4567630000001</v>
      </c>
      <c r="Y29" s="603">
        <f t="shared" ref="Y29" ca="1" si="22">X29+Y33</f>
        <v>1488.3942630000001</v>
      </c>
      <c r="Z29" s="603">
        <f t="shared" ref="Z29:AA29" ca="1" si="23">Z27+Z33</f>
        <v>1488.3942630000001</v>
      </c>
      <c r="AA29" s="603">
        <f t="shared" ca="1" si="23"/>
        <v>1488.3942630000001</v>
      </c>
      <c r="AB29" s="603"/>
      <c r="AC29" s="603"/>
      <c r="AD29" s="603"/>
      <c r="AE29" s="603"/>
      <c r="AF29" s="499"/>
      <c r="AG29" s="789" t="s">
        <v>1713</v>
      </c>
      <c r="AH29" s="545">
        <f ca="1">R13</f>
        <v>24596.892687045147</v>
      </c>
      <c r="AI29" s="499"/>
      <c r="AJ29" s="499"/>
      <c r="AK29" s="499"/>
      <c r="AL29" s="499"/>
      <c r="AM29" s="499"/>
      <c r="AN29" s="599" t="s">
        <v>1713</v>
      </c>
      <c r="AO29" s="606">
        <f t="shared" ca="1" si="20"/>
        <v>24596.892687045147</v>
      </c>
      <c r="AP29" s="607"/>
      <c r="AQ29" s="607"/>
      <c r="AR29" s="607"/>
      <c r="AS29" s="607"/>
      <c r="AT29" s="499"/>
      <c r="AU29" s="499"/>
      <c r="AW29" s="591">
        <v>44473</v>
      </c>
      <c r="AX29" s="437">
        <v>23.4467</v>
      </c>
    </row>
    <row r="30" spans="1:52" s="437" customFormat="1" ht="14.5" customHeight="1">
      <c r="B30" s="601"/>
      <c r="C30" s="499"/>
      <c r="G30" s="602"/>
      <c r="H30" s="602"/>
      <c r="I30" s="608"/>
      <c r="J30" s="608"/>
      <c r="K30" s="608"/>
      <c r="L30" s="608"/>
      <c r="M30" s="608"/>
      <c r="N30" s="608"/>
      <c r="O30" s="608"/>
      <c r="P30" s="609"/>
      <c r="Q30" s="609"/>
      <c r="R30" s="609"/>
      <c r="S30" s="609"/>
      <c r="T30" s="609"/>
      <c r="U30" s="609"/>
      <c r="V30" s="609"/>
      <c r="W30" s="609"/>
      <c r="X30" s="609"/>
      <c r="Y30" s="609"/>
      <c r="Z30" s="609"/>
      <c r="AA30" s="609"/>
      <c r="AB30" s="608"/>
      <c r="AC30" s="608"/>
      <c r="AD30" s="608"/>
      <c r="AE30" s="608"/>
      <c r="AF30" s="499"/>
      <c r="AG30" s="789" t="s">
        <v>1714</v>
      </c>
      <c r="AH30" s="545">
        <f ca="1">R12</f>
        <v>57619.711464539418</v>
      </c>
      <c r="AI30" s="499"/>
      <c r="AJ30" s="499"/>
      <c r="AK30" s="499"/>
      <c r="AL30" s="499"/>
      <c r="AM30" s="499"/>
      <c r="AN30" s="599" t="s">
        <v>1714</v>
      </c>
      <c r="AO30" s="606">
        <f t="shared" ca="1" si="20"/>
        <v>57619.711464539418</v>
      </c>
      <c r="AP30" s="607"/>
      <c r="AQ30" s="607"/>
      <c r="AR30" s="607"/>
      <c r="AS30" s="607"/>
      <c r="AT30" s="499"/>
      <c r="AU30" s="499"/>
      <c r="AW30" s="591">
        <v>44470</v>
      </c>
      <c r="AX30" s="437">
        <v>23.494199999999999</v>
      </c>
    </row>
    <row r="31" spans="1:52" s="610" customFormat="1" ht="15">
      <c r="B31" s="611" t="s">
        <v>1715</v>
      </c>
      <c r="D31" s="612"/>
      <c r="E31" s="612">
        <f>PRODUCT(E32:E34)</f>
        <v>0</v>
      </c>
      <c r="F31" s="612">
        <f>PRODUCT(F32:F34)</f>
        <v>0</v>
      </c>
      <c r="G31" s="612">
        <f>PRODUCT(G32:G34)</f>
        <v>0</v>
      </c>
      <c r="H31" s="612">
        <v>1</v>
      </c>
      <c r="I31" s="613">
        <v>1</v>
      </c>
      <c r="J31" s="613">
        <v>1</v>
      </c>
      <c r="K31" s="613">
        <v>1</v>
      </c>
      <c r="L31" s="613">
        <v>1</v>
      </c>
      <c r="M31" s="613">
        <v>1</v>
      </c>
      <c r="N31" s="613">
        <v>1</v>
      </c>
      <c r="O31" s="613">
        <v>1</v>
      </c>
      <c r="P31" s="614">
        <v>1</v>
      </c>
      <c r="Q31" s="614">
        <v>2</v>
      </c>
      <c r="R31" s="614">
        <v>3</v>
      </c>
      <c r="S31" s="614">
        <v>4</v>
      </c>
      <c r="T31" s="614">
        <v>5</v>
      </c>
      <c r="U31" s="614">
        <v>6</v>
      </c>
      <c r="V31" s="614">
        <v>7</v>
      </c>
      <c r="W31" s="614">
        <v>8</v>
      </c>
      <c r="X31" s="614">
        <v>9</v>
      </c>
      <c r="Y31" s="614">
        <v>10</v>
      </c>
      <c r="Z31" s="614">
        <v>11</v>
      </c>
      <c r="AA31" s="614">
        <v>12</v>
      </c>
      <c r="AB31" s="613"/>
      <c r="AC31" s="613"/>
      <c r="AD31" s="613"/>
      <c r="AE31" s="613"/>
      <c r="AG31" s="789" t="s">
        <v>1716</v>
      </c>
      <c r="AH31" s="545">
        <f ca="1">R14</f>
        <v>82216.604151584557</v>
      </c>
      <c r="AI31" s="499"/>
      <c r="AJ31" s="499"/>
      <c r="AK31" s="499"/>
      <c r="AL31" s="499"/>
      <c r="AN31" s="599" t="s">
        <v>1716</v>
      </c>
      <c r="AO31" s="606">
        <f t="shared" ca="1" si="20"/>
        <v>82216.604151584557</v>
      </c>
      <c r="AP31" s="607"/>
      <c r="AQ31" s="607"/>
      <c r="AR31" s="607"/>
      <c r="AS31" s="607"/>
      <c r="AW31" s="615">
        <v>44469</v>
      </c>
      <c r="AX31" s="610">
        <v>23.422999999999998</v>
      </c>
    </row>
    <row r="32" spans="1:52" s="437" customFormat="1" ht="15">
      <c r="B32" s="601" t="s">
        <v>1717</v>
      </c>
      <c r="C32" s="616">
        <v>0.2</v>
      </c>
      <c r="D32" s="617"/>
      <c r="E32" s="617"/>
      <c r="F32" s="617"/>
      <c r="G32" s="617"/>
      <c r="H32" s="618"/>
      <c r="I32" s="619"/>
      <c r="J32" s="619"/>
      <c r="K32" s="619"/>
      <c r="L32" s="619"/>
      <c r="M32" s="619"/>
      <c r="N32" s="619"/>
      <c r="O32" s="619"/>
      <c r="P32" s="620"/>
      <c r="Q32" s="620"/>
      <c r="R32" s="620"/>
      <c r="S32" s="620"/>
      <c r="T32" s="620"/>
      <c r="U32" s="620"/>
      <c r="V32" s="620"/>
      <c r="W32" s="620"/>
      <c r="X32" s="620"/>
      <c r="Y32" s="620"/>
      <c r="Z32" s="620"/>
      <c r="AA32" s="620"/>
      <c r="AB32" s="619"/>
      <c r="AC32" s="619"/>
      <c r="AD32" s="619"/>
      <c r="AE32" s="619"/>
      <c r="AF32" s="499"/>
      <c r="AG32" s="792" t="s">
        <v>1718</v>
      </c>
      <c r="AH32" s="539">
        <f ca="1">-SUM(FS!O29,FS!O36)</f>
        <v>-27300.246721779</v>
      </c>
      <c r="AI32" s="499"/>
      <c r="AJ32" s="499"/>
      <c r="AK32" s="499"/>
      <c r="AL32" s="499"/>
      <c r="AM32" s="499"/>
      <c r="AN32" s="621" t="s">
        <v>1718</v>
      </c>
      <c r="AO32" s="600">
        <f t="shared" ca="1" si="20"/>
        <v>-27300.246721779</v>
      </c>
      <c r="AP32" s="607"/>
      <c r="AQ32" s="607"/>
      <c r="AR32" s="607"/>
      <c r="AS32" s="607"/>
      <c r="AT32" s="499"/>
      <c r="AU32" s="499"/>
      <c r="AW32" s="591">
        <v>44468</v>
      </c>
      <c r="AX32" s="437">
        <v>16.0518</v>
      </c>
    </row>
    <row r="33" spans="1:50" s="437" customFormat="1" ht="15">
      <c r="B33" s="601" t="s">
        <v>1719</v>
      </c>
      <c r="C33" s="616">
        <v>0.2</v>
      </c>
      <c r="D33" s="617"/>
      <c r="E33" s="617"/>
      <c r="F33" s="622"/>
      <c r="G33" s="622"/>
      <c r="H33" s="622"/>
      <c r="I33" s="623">
        <f ca="1">(12.7295+0.6)/I27</f>
        <v>3.0055501402765188E-2</v>
      </c>
      <c r="J33" s="623">
        <f ca="1">13.518/J27</f>
        <v>3.047709724600536E-2</v>
      </c>
      <c r="K33" s="623">
        <f ca="1">9.3/K27</f>
        <v>2.0520289196539705E-2</v>
      </c>
      <c r="L33" s="624">
        <v>2.6960000000000001E-2</v>
      </c>
      <c r="M33" s="619">
        <f ca="1">M34*M29</f>
        <v>0</v>
      </c>
      <c r="N33" s="619">
        <f ca="1">N34*N29</f>
        <v>0</v>
      </c>
      <c r="O33" s="619">
        <f>IF(N35=1,O34*O29,0)</f>
        <v>0</v>
      </c>
      <c r="P33" s="619">
        <f>17.449 -11.236414</f>
        <v>6.2125860000000017</v>
      </c>
      <c r="Q33" s="619">
        <f>IF(P35=1,Q34*Q29,0)</f>
        <v>0</v>
      </c>
      <c r="R33" s="619">
        <f>IF(Q35=1,R34*R29,0)</f>
        <v>0</v>
      </c>
      <c r="S33" s="619">
        <f t="shared" ref="S33:X33" si="24">IF(R35=1,S34*S29,0)</f>
        <v>0</v>
      </c>
      <c r="T33" s="619">
        <f t="shared" si="24"/>
        <v>0</v>
      </c>
      <c r="U33" s="619">
        <f t="shared" si="24"/>
        <v>0</v>
      </c>
      <c r="V33" s="619">
        <f t="shared" si="24"/>
        <v>0</v>
      </c>
      <c r="W33" s="619">
        <f t="shared" si="24"/>
        <v>0</v>
      </c>
      <c r="X33" s="619">
        <f t="shared" si="24"/>
        <v>0</v>
      </c>
      <c r="Y33" s="619">
        <v>19.9375</v>
      </c>
      <c r="Z33" s="619">
        <f t="shared" ref="Z33:AA33" si="25">IF(Y35=1,Z34*Z29,0)</f>
        <v>0</v>
      </c>
      <c r="AA33" s="619">
        <f t="shared" si="25"/>
        <v>0</v>
      </c>
      <c r="AB33" s="619"/>
      <c r="AC33" s="619"/>
      <c r="AD33" s="619"/>
      <c r="AE33" s="619"/>
      <c r="AF33" s="499"/>
      <c r="AG33" s="792" t="s">
        <v>1720</v>
      </c>
      <c r="AH33" s="539">
        <f>SUM('Fixed Asset &amp; Interest'!G78:G81)</f>
        <v>40259.487893151003</v>
      </c>
      <c r="AI33" s="499"/>
      <c r="AJ33" s="499"/>
      <c r="AK33" s="499"/>
      <c r="AL33" s="499"/>
      <c r="AM33" s="499"/>
      <c r="AN33" s="621" t="s">
        <v>1720</v>
      </c>
      <c r="AO33" s="600">
        <f t="shared" si="20"/>
        <v>40259.487893151003</v>
      </c>
      <c r="AP33" s="607"/>
      <c r="AQ33" s="607"/>
      <c r="AR33" s="607"/>
      <c r="AS33" s="607"/>
      <c r="AT33" s="499"/>
      <c r="AU33" s="499"/>
      <c r="AW33" s="591">
        <v>44467</v>
      </c>
      <c r="AX33" s="437">
        <v>16.0001</v>
      </c>
    </row>
    <row r="34" spans="1:50" s="437" customFormat="1" ht="15">
      <c r="B34" s="601" t="s">
        <v>1721</v>
      </c>
      <c r="C34" s="616">
        <v>0.15</v>
      </c>
      <c r="D34" s="617"/>
      <c r="E34" s="617"/>
      <c r="F34" s="622"/>
      <c r="G34" s="622"/>
      <c r="H34" s="622"/>
      <c r="I34" s="619"/>
      <c r="J34" s="619"/>
      <c r="K34" s="619"/>
      <c r="L34" s="619"/>
      <c r="M34" s="623">
        <f>IF(FS!M105&lt;10%,0,IF(FS!M105*0.1&lt;2.5%,FS!M105*0.1,2.5%))</f>
        <v>0</v>
      </c>
      <c r="N34" s="623">
        <f>IF(FS!N105&lt;10%,0,IF(FS!N105*0.1&lt;2.5%,FS!N105*0.1,2.5%))</f>
        <v>0</v>
      </c>
      <c r="O34" s="623">
        <f>IF(FS!O105&lt;10%,0,IF(FS!O105*0.1&lt;2.5%,FS!O105*0.1,2.5%))</f>
        <v>2.5000000000000001E-2</v>
      </c>
      <c r="P34" s="623">
        <f ca="1">IF(FS!P105&lt;10%,0,IF(FS!P105*0.1&lt;2.5%,FS!P105*0.1,2.5%))</f>
        <v>2.5000000000000001E-2</v>
      </c>
      <c r="Q34" s="623">
        <f ca="1">IF(FS!Q105&lt;10%,0,IF(FS!Q105*0.1&lt;2.5%,FS!Q105*0.1,2.5%))</f>
        <v>2.5000000000000001E-2</v>
      </c>
      <c r="R34" s="623">
        <f ca="1">IF(FS!R105&lt;10%,0,IF(FS!R105*0.1&lt;2.5%,FS!R105*0.1,2.5%))</f>
        <v>2.1273142911176504E-2</v>
      </c>
      <c r="S34" s="623">
        <f ca="1">IF(FS!S105&lt;10%,0,IF(FS!S105*0.1&lt;2.5%,FS!S105*0.1,2.5%))</f>
        <v>1.7007856901558371E-2</v>
      </c>
      <c r="T34" s="623">
        <f ca="1">IF(FS!T105&lt;10%,0,IF(FS!T105*0.1&lt;2.5%,FS!T105*0.1,2.5%))</f>
        <v>1.6883673278421264E-2</v>
      </c>
      <c r="U34" s="623">
        <f ca="1">IF(FS!U105&lt;10%,0,IF(FS!U105*0.1&lt;2.5%,FS!U105*0.1,2.5%))</f>
        <v>1.5684616495110305E-2</v>
      </c>
      <c r="V34" s="623">
        <f ca="1">IF(FS!V105&lt;10%,0,IF(FS!V105*0.1&lt;2.5%,FS!V105*0.1,2.5%))</f>
        <v>1.9121410971131382E-2</v>
      </c>
      <c r="W34" s="623">
        <f>IF(FS!W105&lt;10%,0,IF(FS!W105*0.1&lt;2.5%,FS!W105*0.1,2.5%))</f>
        <v>0</v>
      </c>
      <c r="X34" s="623">
        <f>IF(FS!X105&lt;10%,0,IF(FS!X105*0.1&lt;2.5%,FS!X105*0.1,2.5%))</f>
        <v>0</v>
      </c>
      <c r="Y34" s="623">
        <f>IF(FS!Y105&lt;10%,0,IF(FS!Y105*0.1&lt;2.5%,FS!Y105*0.1,2.5%))</f>
        <v>0</v>
      </c>
      <c r="Z34" s="623">
        <f>IF(FS!Z105&lt;10%,0,IF(FS!Z105*0.1&lt;2.5%,FS!Z105*0.1,2.5%))</f>
        <v>0</v>
      </c>
      <c r="AA34" s="623">
        <f>IF(FS!AA105&lt;10%,0,IF(FS!AA105*0.1&lt;2.5%,FS!AA105*0.1,2.5%))</f>
        <v>1.4999999999999993E-2</v>
      </c>
      <c r="AB34" s="623"/>
      <c r="AC34" s="623"/>
      <c r="AD34" s="623"/>
      <c r="AE34" s="623"/>
      <c r="AF34" s="499"/>
      <c r="AG34" s="793" t="s">
        <v>1722</v>
      </c>
      <c r="AH34" s="626">
        <f ca="1">SUM(AH31:AH33)+'FS Year'!V45</f>
        <v>97261.763020594561</v>
      </c>
      <c r="AI34" s="625"/>
      <c r="AJ34" s="625"/>
      <c r="AK34" s="625"/>
      <c r="AL34" s="625"/>
      <c r="AM34" s="499"/>
      <c r="AN34" s="627" t="s">
        <v>1722</v>
      </c>
      <c r="AO34" s="628">
        <f t="shared" ca="1" si="20"/>
        <v>97261.763020594561</v>
      </c>
      <c r="AP34" s="629"/>
      <c r="AQ34" s="629"/>
      <c r="AR34" s="629"/>
      <c r="AS34" s="629"/>
      <c r="AT34" s="630">
        <v>29450</v>
      </c>
      <c r="AU34" s="499"/>
      <c r="AW34" s="591">
        <v>44466</v>
      </c>
      <c r="AX34" s="437">
        <v>15.6561</v>
      </c>
    </row>
    <row r="35" spans="1:50" s="437" customFormat="1" ht="15">
      <c r="B35" s="601" t="s">
        <v>1723</v>
      </c>
      <c r="C35" s="616">
        <f>80%+15%</f>
        <v>0.95000000000000007</v>
      </c>
      <c r="D35" s="617"/>
      <c r="E35" s="617"/>
      <c r="F35" s="622"/>
      <c r="G35" s="622"/>
      <c r="H35" s="622"/>
      <c r="I35" s="619"/>
      <c r="J35" s="619"/>
      <c r="K35" s="619"/>
      <c r="L35" s="619"/>
      <c r="M35" s="619"/>
      <c r="N35" s="886"/>
      <c r="O35" s="886"/>
      <c r="P35" s="887"/>
      <c r="Q35" s="887"/>
      <c r="R35" s="887"/>
      <c r="S35" s="887"/>
      <c r="T35" s="887"/>
      <c r="U35" s="887"/>
      <c r="V35" s="887"/>
      <c r="W35" s="887"/>
      <c r="X35" s="887"/>
      <c r="Y35" s="887"/>
      <c r="Z35" s="887"/>
      <c r="AA35" s="887"/>
      <c r="AB35" s="886"/>
      <c r="AC35" s="886"/>
      <c r="AD35" s="886"/>
      <c r="AE35" s="886"/>
      <c r="AG35" s="794" t="s">
        <v>1724</v>
      </c>
      <c r="AH35" s="632">
        <f ca="1">R21</f>
        <v>1463.8792799999999</v>
      </c>
      <c r="AI35" s="631"/>
      <c r="AJ35" s="631"/>
      <c r="AK35" s="631"/>
      <c r="AL35" s="631"/>
      <c r="AN35" s="633" t="s">
        <v>1724</v>
      </c>
      <c r="AO35" s="634">
        <f t="shared" ca="1" si="20"/>
        <v>1463.8792799999999</v>
      </c>
      <c r="AP35" s="635"/>
      <c r="AQ35" s="635"/>
      <c r="AR35" s="635"/>
      <c r="AS35" s="635"/>
      <c r="AT35" s="636">
        <f ca="1">AT34/AO35*1000</f>
        <v>20117.779110856736</v>
      </c>
      <c r="AU35" s="437">
        <v>129.1</v>
      </c>
      <c r="AW35" s="591">
        <v>44463</v>
      </c>
      <c r="AX35" s="437">
        <v>15.828099999999999</v>
      </c>
    </row>
    <row r="36" spans="1:50" s="437" customFormat="1" ht="15">
      <c r="B36" s="601"/>
      <c r="C36" s="499"/>
      <c r="G36" s="618"/>
      <c r="H36" s="618"/>
      <c r="I36" s="619"/>
      <c r="J36" s="619"/>
      <c r="K36" s="619"/>
      <c r="L36" s="619"/>
      <c r="M36" s="619"/>
      <c r="N36" s="619"/>
      <c r="O36" s="619"/>
      <c r="P36" s="620"/>
      <c r="Q36" s="620"/>
      <c r="R36" s="620"/>
      <c r="S36" s="620"/>
      <c r="T36" s="620"/>
      <c r="U36" s="620"/>
      <c r="V36" s="620"/>
      <c r="W36" s="620"/>
      <c r="X36" s="620"/>
      <c r="Y36" s="620"/>
      <c r="Z36" s="620"/>
      <c r="AA36" s="620"/>
      <c r="AB36" s="619"/>
      <c r="AC36" s="619"/>
      <c r="AD36" s="619"/>
      <c r="AE36" s="619"/>
      <c r="AF36" s="499"/>
      <c r="AG36" s="795" t="s">
        <v>1725</v>
      </c>
      <c r="AH36" s="475">
        <f ca="1">DCF_value</f>
        <v>55609.452484906113</v>
      </c>
      <c r="AI36" s="499"/>
      <c r="AJ36" s="499"/>
      <c r="AK36" s="499"/>
      <c r="AL36" s="499"/>
      <c r="AM36" s="499"/>
      <c r="AN36" s="637" t="s">
        <v>1725</v>
      </c>
      <c r="AO36" s="638">
        <f ca="1">ROUND(DCF_value,-1)</f>
        <v>55610</v>
      </c>
      <c r="AP36" s="607"/>
      <c r="AQ36" s="607" t="str">
        <f t="shared" ref="AQ36:AR39" si="26">AK42</f>
        <v>Rf</v>
      </c>
      <c r="AR36" s="639">
        <f t="shared" si="26"/>
        <v>0.03</v>
      </c>
      <c r="AS36" s="499"/>
      <c r="AT36" s="508">
        <f ca="1">AO36/AT35-1</f>
        <v>1.7642216217589133</v>
      </c>
      <c r="AU36" s="508"/>
      <c r="AW36" s="591">
        <v>44462</v>
      </c>
      <c r="AX36" s="437">
        <v>15.862500000000001</v>
      </c>
    </row>
    <row r="37" spans="1:50" s="437" customFormat="1" ht="15">
      <c r="B37" s="640" t="s">
        <v>1726</v>
      </c>
      <c r="C37" s="527"/>
      <c r="D37" s="641"/>
      <c r="E37" s="641" t="e">
        <f ca="1">FS!E104/F27</f>
        <v>#VALUE!</v>
      </c>
      <c r="F37" s="641">
        <f ca="1">FS!F104/G27</f>
        <v>6.9625661909720087</v>
      </c>
      <c r="G37" s="641">
        <f ca="1">FS!G104/H27</f>
        <v>4.9761197640751806</v>
      </c>
      <c r="H37" s="641">
        <f ca="1">FS!H104/I27</f>
        <v>4.9733903916980315</v>
      </c>
      <c r="I37" s="641">
        <f ca="1">FS!I104/J27</f>
        <v>6.4902467289617842</v>
      </c>
      <c r="J37" s="641">
        <f ca="1">FS!J104/J27</f>
        <v>8.644578033196348</v>
      </c>
      <c r="K37" s="641">
        <f ca="1">FS!K104/K27</f>
        <v>8.6526661704610692</v>
      </c>
      <c r="L37" s="641">
        <f ca="1">FS!L104/L27</f>
        <v>6.8732533169425043</v>
      </c>
      <c r="M37" s="641">
        <f ca="1">FS!M104/M27</f>
        <v>2.8006155174933567</v>
      </c>
      <c r="N37" s="641">
        <f ca="1">FS!N104/N27</f>
        <v>0.11453771837251359</v>
      </c>
      <c r="O37" s="641">
        <f ca="1">FS!O104/O27</f>
        <v>2.5433426683420066</v>
      </c>
      <c r="P37" s="642">
        <f ca="1">FS!P104/P27</f>
        <v>4.6017050634290984</v>
      </c>
      <c r="Q37" s="642">
        <f ca="1">FS!Q104/Q27</f>
        <v>5.8563817903066075</v>
      </c>
      <c r="R37" s="642">
        <f ca="1">FS!R104/R27</f>
        <v>7.1022182579826501</v>
      </c>
      <c r="S37" s="642">
        <f ca="1">FS!S104/S27</f>
        <v>8.3101533761366913</v>
      </c>
      <c r="T37" s="642">
        <f ca="1">FS!T104/T27</f>
        <v>9.7132125210993046</v>
      </c>
      <c r="U37" s="642">
        <f ca="1">FS!U104/U27</f>
        <v>11.236692654388765</v>
      </c>
      <c r="V37" s="642">
        <f ca="1">FS!V104/V27</f>
        <v>0</v>
      </c>
      <c r="W37" s="642">
        <f ca="1">FS!W104/W27</f>
        <v>5.1917588040679453E-4</v>
      </c>
      <c r="X37" s="642">
        <f ca="1">FS!X104/X27</f>
        <v>2.7908442937385556E-4</v>
      </c>
      <c r="Y37" s="642">
        <f ca="1">FS!Y104/Y27</f>
        <v>0</v>
      </c>
      <c r="Z37" s="642">
        <f ca="1">FS!Z104/Z27</f>
        <v>0</v>
      </c>
      <c r="AA37" s="642">
        <f ca="1">FS!AA104/AA27</f>
        <v>3.0299068218220486</v>
      </c>
      <c r="AB37" s="641"/>
      <c r="AC37" s="641"/>
      <c r="AD37" s="641"/>
      <c r="AE37" s="641"/>
      <c r="AF37" s="499"/>
      <c r="AG37" s="791" t="s">
        <v>1727</v>
      </c>
      <c r="AH37" s="509"/>
      <c r="AI37" s="509"/>
      <c r="AJ37" s="509"/>
      <c r="AK37" s="509"/>
      <c r="AL37" s="509"/>
      <c r="AM37" s="499"/>
      <c r="AN37" s="599" t="str">
        <f>AG45</f>
        <v>Gía Hiện tại</v>
      </c>
      <c r="AO37" s="606">
        <f>AJ45</f>
        <v>88400</v>
      </c>
      <c r="AP37" s="607"/>
      <c r="AQ37" s="607" t="str">
        <f t="shared" si="26"/>
        <v>Beta</v>
      </c>
      <c r="AR37" s="643">
        <f t="shared" si="26"/>
        <v>1.2</v>
      </c>
      <c r="AS37" s="499"/>
      <c r="AT37" s="499">
        <f ca="1">AO36/AT35-1</f>
        <v>1.7642216217589133</v>
      </c>
      <c r="AU37" s="499"/>
      <c r="AW37" s="591">
        <v>44461</v>
      </c>
      <c r="AX37" s="437">
        <v>16.017299999999999</v>
      </c>
    </row>
    <row r="38" spans="1:50" s="437" customFormat="1" ht="15">
      <c r="B38" s="640"/>
      <c r="C38" s="527"/>
      <c r="D38" s="641"/>
      <c r="E38" s="641"/>
      <c r="F38" s="644" t="e">
        <f t="shared" ref="F38:R38" ca="1" si="27">F37/E37-1</f>
        <v>#VALUE!</v>
      </c>
      <c r="G38" s="644">
        <f t="shared" ca="1" si="27"/>
        <v>-0.28530377628187553</v>
      </c>
      <c r="H38" s="644">
        <f t="shared" ca="1" si="27"/>
        <v>-5.4849410917590102E-4</v>
      </c>
      <c r="I38" s="644">
        <f t="shared" ca="1" si="27"/>
        <v>0.30499442388351561</v>
      </c>
      <c r="J38" s="644">
        <f t="shared" ca="1" si="27"/>
        <v>0.33193365278721587</v>
      </c>
      <c r="K38" s="644">
        <f t="shared" ca="1" si="27"/>
        <v>9.3563124002837839E-4</v>
      </c>
      <c r="L38" s="644">
        <f t="shared" ca="1" si="27"/>
        <v>-0.20564908185100439</v>
      </c>
      <c r="M38" s="644">
        <f t="shared" ca="1" si="27"/>
        <v>-0.59253422093583163</v>
      </c>
      <c r="N38" s="644">
        <f t="shared" ca="1" si="27"/>
        <v>-0.9591026623765091</v>
      </c>
      <c r="O38" s="644">
        <f ca="1">O37/N37-1</f>
        <v>21.205284900736682</v>
      </c>
      <c r="P38" s="645">
        <f t="shared" ca="1" si="27"/>
        <v>0.80931382967318699</v>
      </c>
      <c r="Q38" s="645">
        <f t="shared" ca="1" si="27"/>
        <v>0.27265474635667974</v>
      </c>
      <c r="R38" s="645">
        <f t="shared" ca="1" si="27"/>
        <v>0.21273142911176524</v>
      </c>
      <c r="S38" s="645">
        <f t="shared" ref="S38" ca="1" si="28">S37/R37-1</f>
        <v>0.17007856901558371</v>
      </c>
      <c r="T38" s="645">
        <f t="shared" ref="T38" ca="1" si="29">T37/S37-1</f>
        <v>0.16883673278421263</v>
      </c>
      <c r="U38" s="645">
        <f t="shared" ref="U38" ca="1" si="30">U37/T37-1</f>
        <v>0.15684616495110304</v>
      </c>
      <c r="V38" s="645">
        <f t="shared" ref="V38" ca="1" si="31">V37/U37-1</f>
        <v>-1</v>
      </c>
      <c r="W38" s="645" t="e">
        <f t="shared" ref="W38" ca="1" si="32">W37/V37-1</f>
        <v>#DIV/0!</v>
      </c>
      <c r="X38" s="645">
        <f t="shared" ref="X38" ca="1" si="33">X37/W37-1</f>
        <v>-0.46244723627148854</v>
      </c>
      <c r="Y38" s="645">
        <f t="shared" ref="Y38" ca="1" si="34">Y37/X37-1</f>
        <v>-1</v>
      </c>
      <c r="Z38" s="645" t="e">
        <f t="shared" ref="Z38" ca="1" si="35">Z37/Y37-1</f>
        <v>#DIV/0!</v>
      </c>
      <c r="AA38" s="645" t="e">
        <f t="shared" ref="AA38" ca="1" si="36">AA37/Z37-1</f>
        <v>#DIV/0!</v>
      </c>
      <c r="AB38" s="644"/>
      <c r="AC38" s="644"/>
      <c r="AD38" s="644"/>
      <c r="AE38" s="644"/>
      <c r="AF38" s="499"/>
      <c r="AG38" s="789" t="s">
        <v>551</v>
      </c>
      <c r="AH38" s="545">
        <f ca="1">O39/(1+AL49)^J20</f>
        <v>2313.5261876350237</v>
      </c>
      <c r="AI38" s="499"/>
      <c r="AJ38" s="499"/>
      <c r="AK38" s="499"/>
      <c r="AL38" s="499"/>
      <c r="AM38" s="499"/>
      <c r="AN38" s="599" t="str">
        <f>AG46</f>
        <v>Upside</v>
      </c>
      <c r="AO38" s="646">
        <f ca="1">AO36/AO37-1</f>
        <v>-0.37092760180995477</v>
      </c>
      <c r="AP38" s="607"/>
      <c r="AQ38" s="607" t="str">
        <f t="shared" si="26"/>
        <v>Ke</v>
      </c>
      <c r="AR38" s="646">
        <f t="shared" si="26"/>
        <v>0.12212677231025855</v>
      </c>
      <c r="AS38" s="499"/>
      <c r="AT38" s="499"/>
      <c r="AU38" s="499"/>
      <c r="AW38" s="591">
        <v>44460</v>
      </c>
      <c r="AX38" s="437">
        <v>15.501200000000001</v>
      </c>
    </row>
    <row r="39" spans="1:50" s="437" customFormat="1" ht="15">
      <c r="A39" s="499"/>
      <c r="B39" s="647" t="s">
        <v>1728</v>
      </c>
      <c r="C39" s="648"/>
      <c r="D39" s="649"/>
      <c r="E39" s="650" t="e">
        <f ca="1">FS!E112/$J$27</f>
        <v>#VALUE!</v>
      </c>
      <c r="F39" s="650">
        <f ca="1">FS!F112/$J$27</f>
        <v>2.4166446980386334</v>
      </c>
      <c r="G39" s="650">
        <f ca="1">FS!G112/$J$27</f>
        <v>3.5562755459906152</v>
      </c>
      <c r="H39" s="650">
        <f ca="1">FS!H112/$J$27</f>
        <v>4.9728297521706972</v>
      </c>
      <c r="I39" s="650">
        <f ca="1">FS!I112/$J$27</f>
        <v>6.4901788267804692</v>
      </c>
      <c r="J39" s="650">
        <f ca="1">FS!J104*10^3/$L$27</f>
        <v>5377.1632114200065</v>
      </c>
      <c r="K39" s="650">
        <f ca="1">FS!K104*10^3/$M$27</f>
        <v>2678.8238457955367</v>
      </c>
      <c r="L39" s="650">
        <f ca="1">FS!L104*10^3/AVERAGE($P$27)</f>
        <v>3337.571729856917</v>
      </c>
      <c r="M39" s="650">
        <f ca="1">FS!M104*10^3/AVERAGE($P$27)</f>
        <v>2791.885420534511</v>
      </c>
      <c r="N39" s="650">
        <f ca="1">FS!N104*10^3/AVERAGE($P$27)</f>
        <v>114.18068064970186</v>
      </c>
      <c r="O39" s="650">
        <f ca="1">FS!O104*10^3/AVERAGE($P$27)</f>
        <v>2534.5441115047679</v>
      </c>
      <c r="P39" s="650">
        <f ca="1">FS!P104*10^3/AVERAGE($P$27)</f>
        <v>4601.7050634290981</v>
      </c>
      <c r="Q39" s="650">
        <f ca="1">FS!Q104*10^3/AVERAGE(Q27,P29)</f>
        <v>5856.3817903066083</v>
      </c>
      <c r="R39" s="650">
        <f ca="1">FS!R104*10^3/AVERAGE(R27,Q29)</f>
        <v>7102.2182579826494</v>
      </c>
      <c r="S39" s="650">
        <f ca="1">FS!S104*10^3/AVERAGE(S27,R29)</f>
        <v>8310.15337613669</v>
      </c>
      <c r="T39" s="650">
        <f ca="1">FS!T104*10^3/AVERAGE(T27,S29)</f>
        <v>9713.2125210993036</v>
      </c>
      <c r="U39" s="650">
        <f ca="1">FS!U104*10^3/AVERAGE(U27,T29)</f>
        <v>11236.692654388766</v>
      </c>
      <c r="V39" s="650">
        <f ca="1">FS!V104*10^3/AVERAGE(V27,U29)</f>
        <v>0</v>
      </c>
      <c r="W39" s="650">
        <f ca="1">FS!W104*10^3/AVERAGE(W27,V29)</f>
        <v>0.51917588040679452</v>
      </c>
      <c r="X39" s="650">
        <f ca="1">FS!X104*10^3/AVERAGE(X27,W29)</f>
        <v>0.27908442937385558</v>
      </c>
      <c r="Y39" s="650">
        <f ca="1">FS!Y104*10^3/AVERAGE($P$27)</f>
        <v>0</v>
      </c>
      <c r="Z39" s="650">
        <f ca="1">FS!Z104*10^3/AVERAGE(Z27,Y29)</f>
        <v>0</v>
      </c>
      <c r="AA39" s="650">
        <f ca="1">FS!AA104*10^3/AVERAGE(AA27,Z29)</f>
        <v>3029.9068218220486</v>
      </c>
      <c r="AB39" s="650"/>
      <c r="AC39" s="650"/>
      <c r="AD39" s="650"/>
      <c r="AE39" s="650"/>
      <c r="AF39" s="437">
        <f ca="1">AJ45/AH38</f>
        <v>38.210071047592471</v>
      </c>
      <c r="AG39" s="794" t="s">
        <v>1461</v>
      </c>
      <c r="AH39" s="651">
        <v>14</v>
      </c>
      <c r="AI39" s="631"/>
      <c r="AJ39" s="631"/>
      <c r="AK39" s="631"/>
      <c r="AL39" s="631"/>
      <c r="AN39" s="652" t="str">
        <f>AG47</f>
        <v>Khuyến nghị</v>
      </c>
      <c r="AO39" s="653" t="str">
        <f ca="1">IF(AO38&gt;15%,"MUA","THEO DÕI")</f>
        <v>THEO DÕI</v>
      </c>
      <c r="AP39" s="654"/>
      <c r="AQ39" s="635" t="str">
        <f t="shared" si="26"/>
        <v>Kd</v>
      </c>
      <c r="AR39" s="655">
        <f t="shared" ca="1" si="26"/>
        <v>6.9429637701576674E-2</v>
      </c>
      <c r="AS39" s="499"/>
      <c r="AW39" s="591">
        <v>44459</v>
      </c>
      <c r="AX39" s="437">
        <v>15.6561</v>
      </c>
    </row>
    <row r="40" spans="1:50" s="437" customFormat="1" ht="16" thickBot="1">
      <c r="A40" s="499"/>
      <c r="B40" s="640"/>
      <c r="C40" s="499"/>
      <c r="D40" s="656"/>
      <c r="E40" s="657"/>
      <c r="F40" s="658" t="e">
        <f t="shared" ref="F40:R40" ca="1" si="37">F39/E39-1</f>
        <v>#VALUE!</v>
      </c>
      <c r="G40" s="658">
        <f t="shared" ca="1" si="37"/>
        <v>0.47157567220241958</v>
      </c>
      <c r="H40" s="658">
        <f t="shared" ca="1" si="37"/>
        <v>0.39832521070453075</v>
      </c>
      <c r="I40" s="658">
        <f t="shared" ca="1" si="37"/>
        <v>0.30512789502746029</v>
      </c>
      <c r="J40" s="658">
        <f t="shared" ca="1" si="37"/>
        <v>827.50771218077705</v>
      </c>
      <c r="K40" s="658">
        <f t="shared" ca="1" si="37"/>
        <v>-0.50181466686630283</v>
      </c>
      <c r="L40" s="658">
        <f t="shared" ca="1" si="37"/>
        <v>0.2459093699256476</v>
      </c>
      <c r="M40" s="658">
        <f t="shared" ca="1" si="37"/>
        <v>-0.16349800198775044</v>
      </c>
      <c r="N40" s="658">
        <f t="shared" ca="1" si="37"/>
        <v>-0.9591026623765091</v>
      </c>
      <c r="O40" s="658">
        <f ca="1">O39/N39-1</f>
        <v>21.197661610378447</v>
      </c>
      <c r="P40" s="659">
        <f t="shared" ca="1" si="37"/>
        <v>0.81559478193380075</v>
      </c>
      <c r="Q40" s="659">
        <f t="shared" ca="1" si="37"/>
        <v>0.27265474635667997</v>
      </c>
      <c r="R40" s="659">
        <f t="shared" ca="1" si="37"/>
        <v>0.21273142911176501</v>
      </c>
      <c r="S40" s="659">
        <f t="shared" ref="S40" ca="1" si="38">S39/R39-1</f>
        <v>0.17007856901558371</v>
      </c>
      <c r="T40" s="659">
        <f t="shared" ref="T40" ca="1" si="39">T39/S39-1</f>
        <v>0.16883673278421263</v>
      </c>
      <c r="U40" s="659">
        <f t="shared" ref="U40" ca="1" si="40">U39/T39-1</f>
        <v>0.15684616495110326</v>
      </c>
      <c r="V40" s="659">
        <f t="shared" ref="V40" ca="1" si="41">V39/U39-1</f>
        <v>-1</v>
      </c>
      <c r="W40" s="659" t="e">
        <f t="shared" ref="W40" ca="1" si="42">W39/V39-1</f>
        <v>#DIV/0!</v>
      </c>
      <c r="X40" s="659">
        <f t="shared" ref="X40" ca="1" si="43">X39/W39-1</f>
        <v>-0.46244723627148843</v>
      </c>
      <c r="Y40" s="659">
        <f t="shared" ref="Y40" ca="1" si="44">Y39/X39-1</f>
        <v>-1</v>
      </c>
      <c r="Z40" s="659" t="e">
        <f t="shared" ref="Z40" ca="1" si="45">Z39/Y39-1</f>
        <v>#DIV/0!</v>
      </c>
      <c r="AA40" s="659" t="e">
        <f t="shared" ref="AA40" ca="1" si="46">AA39/Z39-1</f>
        <v>#DIV/0!</v>
      </c>
      <c r="AB40" s="658"/>
      <c r="AC40" s="658"/>
      <c r="AD40" s="658"/>
      <c r="AE40" s="658"/>
      <c r="AF40" s="660"/>
      <c r="AG40" s="795" t="s">
        <v>1729</v>
      </c>
      <c r="AH40" s="661">
        <f ca="1">AH38*AH39</f>
        <v>32389.366626890333</v>
      </c>
      <c r="AI40" s="499"/>
      <c r="AJ40" s="499"/>
      <c r="AK40" s="499"/>
      <c r="AL40" s="499"/>
      <c r="AN40" s="599" t="str">
        <f>AG48</f>
        <v>Tỷ lệ cổ tức</v>
      </c>
      <c r="AO40" s="662">
        <f>AJ48</f>
        <v>2.2624434389140271E-2</v>
      </c>
      <c r="AP40" s="654"/>
      <c r="AQ40" s="607" t="str">
        <f>AK49</f>
        <v>WACC</v>
      </c>
      <c r="AR40" s="639">
        <f ca="1">AL49</f>
        <v>8.7630432180828707E-2</v>
      </c>
      <c r="AS40" s="499"/>
      <c r="AW40" s="591">
        <v>44456</v>
      </c>
      <c r="AX40" s="437">
        <v>15.914099999999999</v>
      </c>
    </row>
    <row r="41" spans="1:50" s="437" customFormat="1" ht="15">
      <c r="A41" s="499"/>
      <c r="B41" s="640" t="s">
        <v>1730</v>
      </c>
      <c r="C41" s="499"/>
      <c r="D41" s="656"/>
      <c r="E41" s="657">
        <f t="shared" ref="E41:J41" si="47">E54*E27/1000</f>
        <v>1358.1448557599999</v>
      </c>
      <c r="F41" s="657">
        <f t="shared" ca="1" si="47"/>
        <v>2887.8372288400005</v>
      </c>
      <c r="G41" s="657">
        <f t="shared" ca="1" si="47"/>
        <v>4834.0591078000007</v>
      </c>
      <c r="H41" s="657">
        <f t="shared" ca="1" si="47"/>
        <v>21013.163488730002</v>
      </c>
      <c r="I41" s="657">
        <f t="shared" ca="1" si="47"/>
        <v>30618.976129120001</v>
      </c>
      <c r="J41" s="657">
        <f t="shared" ca="1" si="47"/>
        <v>38144.971308</v>
      </c>
      <c r="K41" s="657">
        <f t="shared" ref="K41:P41" ca="1" si="48">K54*K27/1000</f>
        <v>36710.008947000002</v>
      </c>
      <c r="L41" s="657">
        <f t="shared" ca="1" si="48"/>
        <v>63034.989758000003</v>
      </c>
      <c r="M41" s="657">
        <f t="shared" ca="1" si="48"/>
        <v>129406.92835199999</v>
      </c>
      <c r="N41" s="657">
        <f t="shared" ca="1" si="48"/>
        <v>129406.92835199999</v>
      </c>
      <c r="O41" s="657">
        <f t="shared" ca="1" si="48"/>
        <v>129362.50169439999</v>
      </c>
      <c r="P41" s="663">
        <f t="shared" ca="1" si="48"/>
        <v>129811.57784920001</v>
      </c>
      <c r="Q41" s="663">
        <f ca="1">Q54*Q27/1000</f>
        <v>129811.57784920001</v>
      </c>
      <c r="R41" s="663">
        <f ca="1">R54*R27/1000</f>
        <v>129811.57784920001</v>
      </c>
      <c r="S41" s="663">
        <f t="shared" ref="S41:X41" ca="1" si="49">S54*S27/1000</f>
        <v>129811.57784920001</v>
      </c>
      <c r="T41" s="663">
        <f t="shared" ca="1" si="49"/>
        <v>129811.57784920001</v>
      </c>
      <c r="U41" s="663">
        <f t="shared" ca="1" si="49"/>
        <v>129811.57784920001</v>
      </c>
      <c r="V41" s="663">
        <f t="shared" ca="1" si="49"/>
        <v>129811.57784920001</v>
      </c>
      <c r="W41" s="663">
        <f t="shared" ca="1" si="49"/>
        <v>129811.57784920001</v>
      </c>
      <c r="X41" s="663">
        <f t="shared" ca="1" si="49"/>
        <v>129811.57784920001</v>
      </c>
      <c r="Y41" s="663">
        <f t="shared" ref="Y41:AA41" ca="1" si="50">Y54*Y27/1000</f>
        <v>131574.0528492</v>
      </c>
      <c r="Z41" s="663">
        <f t="shared" ca="1" si="50"/>
        <v>131574.0528492</v>
      </c>
      <c r="AA41" s="663">
        <f t="shared" ca="1" si="50"/>
        <v>131574.0528492</v>
      </c>
      <c r="AB41" s="657"/>
      <c r="AC41" s="657"/>
      <c r="AD41" s="657"/>
      <c r="AE41" s="657"/>
      <c r="AF41" s="664">
        <f ca="1">AJ44/AH38</f>
        <v>20.01274083148791</v>
      </c>
      <c r="AG41" s="796" t="s">
        <v>1455</v>
      </c>
      <c r="AH41" s="509" t="s">
        <v>1731</v>
      </c>
      <c r="AI41" s="509" t="s">
        <v>1732</v>
      </c>
      <c r="AJ41" s="509" t="s">
        <v>1733</v>
      </c>
      <c r="AK41" s="509"/>
      <c r="AL41" s="509" t="s">
        <v>1734</v>
      </c>
      <c r="AN41" s="665" t="str">
        <f>AG49</f>
        <v>P/E 5 năm</v>
      </c>
      <c r="AO41" s="666">
        <f>AJ49</f>
        <v>17.090061939102544</v>
      </c>
      <c r="AP41" s="667"/>
      <c r="AQ41" s="668" t="str">
        <f>AK50</f>
        <v>g</v>
      </c>
      <c r="AR41" s="669">
        <f>AL50</f>
        <v>0.01</v>
      </c>
      <c r="AS41" s="499"/>
      <c r="AW41" s="591">
        <v>44455</v>
      </c>
      <c r="AX41" s="437">
        <v>16.0001</v>
      </c>
    </row>
    <row r="42" spans="1:50" s="437" customFormat="1" ht="15">
      <c r="A42" s="499"/>
      <c r="B42" s="640" t="s">
        <v>1735</v>
      </c>
      <c r="C42" s="499"/>
      <c r="D42" s="656"/>
      <c r="F42" s="608">
        <f ca="1">F41/(FS!F64/1000)</f>
        <v>113.74779568568674</v>
      </c>
      <c r="G42" s="608">
        <f ca="1">G41/(FS!G64/1000)</f>
        <v>105.98060554048307</v>
      </c>
      <c r="H42" s="608">
        <f ca="1">H41/(FS!H64/1000)</f>
        <v>310.39315287420123</v>
      </c>
      <c r="I42" s="608">
        <f ca="1">I41/(FS!I64/1000)</f>
        <v>348.98041752715335</v>
      </c>
      <c r="J42" s="608">
        <f ca="1">J41/(FS!J64/1000)</f>
        <v>368.60370202795821</v>
      </c>
      <c r="K42" s="608">
        <f ca="1">K41/(FS!K64/1000)</f>
        <v>334.33141893282402</v>
      </c>
      <c r="L42" s="608">
        <f ca="1">L41/(FS!L64/1000)</f>
        <v>507.76715855284579</v>
      </c>
      <c r="M42" s="608">
        <f ca="1">M41/(FS!M64/1000)</f>
        <v>960.546082184292</v>
      </c>
      <c r="N42" s="608">
        <f ca="1">N41/(FS!N64/1000)</f>
        <v>1085.3173403402488</v>
      </c>
      <c r="O42" s="608">
        <f ca="1">O41/(FS!O64/1000)</f>
        <v>956.64562608365588</v>
      </c>
      <c r="P42" s="609">
        <f ca="1">P41/(FS!P64/1000)</f>
        <v>808.08084115201098</v>
      </c>
      <c r="Q42" s="609">
        <f ca="1">Q41/(FS!Q64/1000)</f>
        <v>664.76707061493255</v>
      </c>
      <c r="R42" s="609">
        <f ca="1">R41/(FS!R64/1000)</f>
        <v>579.35446139228952</v>
      </c>
      <c r="S42" s="609">
        <f ca="1">S41/(FS!S64/1000)</f>
        <v>502.80726474627539</v>
      </c>
      <c r="T42" s="609">
        <f ca="1">T41/(FS!T64/1000)</f>
        <v>451.85968290506179</v>
      </c>
      <c r="U42" s="609">
        <f ca="1">U41/(FS!U64/1000)</f>
        <v>413.2541528475075</v>
      </c>
      <c r="V42" s="609" t="e">
        <f ca="1">V41/(FS!V64/1000)</f>
        <v>#DIV/0!</v>
      </c>
      <c r="W42" s="609" t="e">
        <f ca="1">W41/(FS!W64/1000)</f>
        <v>#DIV/0!</v>
      </c>
      <c r="X42" s="609" t="e">
        <f ca="1">X41/(FS!X64/1000)</f>
        <v>#DIV/0!</v>
      </c>
      <c r="Y42" s="609" t="e">
        <f ca="1">Y41/(FS!Y64/1000)</f>
        <v>#DIV/0!</v>
      </c>
      <c r="Z42" s="609" t="e">
        <f ca="1">Z41/(FS!Z64/1000)</f>
        <v>#DIV/0!</v>
      </c>
      <c r="AA42" s="609" t="e">
        <f ca="1">AA41/(FS!AA64/1000)</f>
        <v>#VALUE!</v>
      </c>
      <c r="AB42" s="608"/>
      <c r="AC42" s="608"/>
      <c r="AD42" s="608"/>
      <c r="AE42" s="608"/>
      <c r="AG42" s="797" t="s">
        <v>1736</v>
      </c>
      <c r="AH42" s="545">
        <f ca="1">AH36</f>
        <v>55609.452484906113</v>
      </c>
      <c r="AI42" s="616">
        <v>0.6</v>
      </c>
      <c r="AJ42" s="545">
        <f ca="1">AH42*AI42</f>
        <v>33365.671490943663</v>
      </c>
      <c r="AK42" s="499" t="s">
        <v>1737</v>
      </c>
      <c r="AL42" s="687">
        <f>WACC!I2</f>
        <v>0.03</v>
      </c>
      <c r="AW42" s="591">
        <v>44454</v>
      </c>
      <c r="AX42" s="437">
        <v>15.8109</v>
      </c>
    </row>
    <row r="43" spans="1:50" s="437" customFormat="1" ht="15">
      <c r="A43" s="499"/>
      <c r="B43" s="640"/>
      <c r="C43" s="499"/>
      <c r="D43" s="656"/>
      <c r="E43" s="657"/>
      <c r="F43" s="658"/>
      <c r="G43" s="658"/>
      <c r="H43" s="658"/>
      <c r="I43" s="658"/>
      <c r="J43" s="658"/>
      <c r="K43" s="658"/>
      <c r="L43" s="658"/>
      <c r="M43" s="658"/>
      <c r="N43" s="658"/>
      <c r="O43" s="658"/>
      <c r="P43" s="659"/>
      <c r="Q43" s="659"/>
      <c r="R43" s="659"/>
      <c r="S43" s="659"/>
      <c r="T43" s="659"/>
      <c r="U43" s="659"/>
      <c r="V43" s="659"/>
      <c r="W43" s="659"/>
      <c r="X43" s="659"/>
      <c r="Y43" s="659"/>
      <c r="Z43" s="659"/>
      <c r="AA43" s="659"/>
      <c r="AB43" s="658"/>
      <c r="AC43" s="658"/>
      <c r="AD43" s="658"/>
      <c r="AE43" s="658"/>
      <c r="AG43" s="798" t="s">
        <v>424</v>
      </c>
      <c r="AH43" s="670">
        <f ca="1">AH40</f>
        <v>32389.366626890333</v>
      </c>
      <c r="AI43" s="671">
        <f>1-AI42</f>
        <v>0.4</v>
      </c>
      <c r="AJ43" s="545">
        <f ca="1">AH43*AI43</f>
        <v>12955.746650756133</v>
      </c>
      <c r="AK43" s="499" t="s">
        <v>1738</v>
      </c>
      <c r="AL43" s="672">
        <f>WACC!I3</f>
        <v>1.2</v>
      </c>
      <c r="AN43" s="499"/>
      <c r="AO43" s="499"/>
      <c r="AP43" s="499"/>
      <c r="AQ43" s="499"/>
      <c r="AR43" s="499"/>
      <c r="AW43" s="591">
        <v>44453</v>
      </c>
      <c r="AX43" s="437">
        <v>15.311999999999999</v>
      </c>
    </row>
    <row r="44" spans="1:50" s="437" customFormat="1" ht="15">
      <c r="B44" s="640" t="s">
        <v>672</v>
      </c>
      <c r="C44" s="527"/>
      <c r="D44" s="641"/>
      <c r="E44" s="641">
        <f ca="1">(FS!E43)*10^3/E27</f>
        <v>15008.630245804512</v>
      </c>
      <c r="F44" s="641">
        <f ca="1">(FS!F43)*10^3/F27</f>
        <v>16896.529168145731</v>
      </c>
      <c r="G44" s="641">
        <f ca="1">(FS!G43)*10^3/G27</f>
        <v>24936.78843654511</v>
      </c>
      <c r="H44" s="641">
        <f ca="1">(FS!H43)*10^3/H27</f>
        <v>18632.036357099045</v>
      </c>
      <c r="I44" s="641">
        <f ca="1">(FS!I43)*10^3/I27</f>
        <v>20240.954338107054</v>
      </c>
      <c r="J44" s="641">
        <f ca="1">(FS!J43)*10^3/J27</f>
        <v>27360.862815819375</v>
      </c>
      <c r="K44" s="641">
        <f ca="1">(FS!K43)*10^3/K27</f>
        <v>34160.080956980324</v>
      </c>
      <c r="L44" s="641">
        <f ca="1">(FS!L43)*10^3/L27</f>
        <v>28578.365020797981</v>
      </c>
      <c r="M44" s="641">
        <f ca="1">(FS!M43)*10^3/M27</f>
        <v>16348.739847985282</v>
      </c>
      <c r="N44" s="641">
        <f ca="1">(FS!N43)*10^3/N27</f>
        <v>15957.298041227827</v>
      </c>
      <c r="O44" s="641">
        <f ca="1">(FS!O43)*10^3/O27</f>
        <v>19216.908753832464</v>
      </c>
      <c r="P44" s="641">
        <f ca="1">(FS!P43)*10^3/P27</f>
        <v>22193.651031682108</v>
      </c>
      <c r="Q44" s="641">
        <f ca="1">(FS!Q43)*10^3/Q27</f>
        <v>27102.883256596939</v>
      </c>
      <c r="R44" s="641">
        <f ca="1">(FS!R43)*10^3/R27</f>
        <v>33283.735602964742</v>
      </c>
      <c r="S44" s="641">
        <f ca="1">(FS!S43)*10^3/S27</f>
        <v>40684.498821920643</v>
      </c>
      <c r="T44" s="641">
        <f ca="1">(FS!T43)*10^3/T27</f>
        <v>49516.211918946196</v>
      </c>
      <c r="U44" s="641">
        <f ca="1">(FS!U43)*10^3/U27</f>
        <v>59901.77708878179</v>
      </c>
      <c r="V44" s="641">
        <f ca="1">(FS!V43)*10^3/V27</f>
        <v>0</v>
      </c>
      <c r="W44" s="641">
        <f ca="1">(FS!W43)*10^3/W27</f>
        <v>3242.87304638673</v>
      </c>
      <c r="X44" s="641">
        <f ca="1">(FS!X43)*10^3/X27</f>
        <v>0</v>
      </c>
      <c r="Y44" s="641">
        <f ca="1">(FS!Y43)*10^3/Y27</f>
        <v>0</v>
      </c>
      <c r="Z44" s="641">
        <f ca="1">(FS!Z43)*10^3/Z27</f>
        <v>0</v>
      </c>
      <c r="AA44" s="641" t="e">
        <f ca="1">(FS!AA43)*10^3/AA27</f>
        <v>#VALUE!</v>
      </c>
      <c r="AB44" s="641"/>
      <c r="AC44" s="641"/>
      <c r="AD44" s="641"/>
      <c r="AE44" s="641"/>
      <c r="AF44" s="535">
        <v>870</v>
      </c>
      <c r="AG44" s="799" t="s">
        <v>1561</v>
      </c>
      <c r="AH44" s="673"/>
      <c r="AI44" s="673"/>
      <c r="AJ44" s="674">
        <f ca="1">ROUND(SUM(AJ42:AJ43),-2)</f>
        <v>46300</v>
      </c>
      <c r="AK44" s="499" t="s">
        <v>1739</v>
      </c>
      <c r="AL44" s="508">
        <f>WACC!I4</f>
        <v>0.12212677231025855</v>
      </c>
      <c r="AM44" s="499"/>
      <c r="AO44" s="437" t="s">
        <v>1740</v>
      </c>
      <c r="AP44" s="675">
        <f>((25%-0.5%)/25%)/(10%-0.5%)</f>
        <v>10.315789473684211</v>
      </c>
      <c r="AQ44" s="499"/>
      <c r="AR44" s="499"/>
      <c r="AS44" s="499"/>
      <c r="AT44" s="499"/>
      <c r="AW44" s="591">
        <v>44452</v>
      </c>
      <c r="AX44" s="437">
        <v>15.828099999999999</v>
      </c>
    </row>
    <row r="45" spans="1:50" s="437" customFormat="1" ht="15">
      <c r="B45" s="640"/>
      <c r="C45" s="527"/>
      <c r="D45" s="641"/>
      <c r="E45" s="641"/>
      <c r="F45" s="641"/>
      <c r="G45" s="641"/>
      <c r="H45" s="641"/>
      <c r="I45" s="641"/>
      <c r="J45" s="641"/>
      <c r="K45" s="641"/>
      <c r="L45" s="641"/>
      <c r="M45" s="641"/>
      <c r="N45" s="641"/>
      <c r="O45" s="641"/>
      <c r="P45" s="642"/>
      <c r="Q45" s="642"/>
      <c r="R45" s="642"/>
      <c r="S45" s="642"/>
      <c r="T45" s="642"/>
      <c r="U45" s="642"/>
      <c r="V45" s="642"/>
      <c r="W45" s="642"/>
      <c r="X45" s="642"/>
      <c r="Y45" s="642"/>
      <c r="Z45" s="642"/>
      <c r="AA45" s="642"/>
      <c r="AB45" s="641"/>
      <c r="AC45" s="641"/>
      <c r="AD45" s="641"/>
      <c r="AE45" s="641"/>
      <c r="AF45" s="520">
        <f>AF44/163</f>
        <v>5.3374233128834359</v>
      </c>
      <c r="AG45" s="789" t="s">
        <v>1741</v>
      </c>
      <c r="AH45" s="499"/>
      <c r="AI45" s="499"/>
      <c r="AJ45" s="545">
        <f>Valuation_Senario!D420</f>
        <v>88400</v>
      </c>
      <c r="AK45" s="499" t="s">
        <v>1742</v>
      </c>
      <c r="AL45" s="508">
        <f ca="1">WACC!I5</f>
        <v>6.9429637701576674E-2</v>
      </c>
      <c r="AM45" s="520"/>
      <c r="AN45" s="433"/>
      <c r="AP45" s="631"/>
      <c r="AQ45" s="499"/>
      <c r="AR45" s="499"/>
      <c r="AW45" s="591">
        <v>44449</v>
      </c>
      <c r="AX45" s="437">
        <v>16.1722</v>
      </c>
    </row>
    <row r="46" spans="1:50" s="437" customFormat="1" ht="15">
      <c r="B46" s="640" t="s">
        <v>1743</v>
      </c>
      <c r="C46" s="499"/>
      <c r="D46" s="656"/>
      <c r="E46" s="676" t="e">
        <f>FS!E101/FS!E64</f>
        <v>#VALUE!</v>
      </c>
      <c r="F46" s="676">
        <f>FS!F101/FS!F64</f>
        <v>4.2373096651425586E-2</v>
      </c>
      <c r="G46" s="676">
        <f>FS!G101/FS!G64</f>
        <v>3.4601140110401163E-2</v>
      </c>
      <c r="H46" s="676">
        <f>FS!H101/FS!H64</f>
        <v>3.259888761209695E-2</v>
      </c>
      <c r="I46" s="676">
        <f>FS!I101/FS!I64</f>
        <v>3.2828382444076688E-2</v>
      </c>
      <c r="J46" s="676">
        <f>FS!J101/FS!J64</f>
        <v>3.7070477430130977E-2</v>
      </c>
      <c r="K46" s="676">
        <f>FS!K101/FS!K64</f>
        <v>3.573346858162417E-2</v>
      </c>
      <c r="L46" s="676">
        <f>FS!L101/FS!L64</f>
        <v>3.9500377872132571E-2</v>
      </c>
      <c r="M46" s="676">
        <f>FS!M101/FS!M64</f>
        <v>3.0445709293068651E-2</v>
      </c>
      <c r="N46" s="676">
        <f>FS!N101/FS!N64</f>
        <v>1.4075590417731267E-3</v>
      </c>
      <c r="O46" s="676">
        <f>FS!O101/FS!O64</f>
        <v>2.7607952908576091E-2</v>
      </c>
      <c r="P46" s="677">
        <f ca="1">FS!P101/FS!P64</f>
        <v>4.2311872500123221E-2</v>
      </c>
      <c r="Q46" s="677">
        <f ca="1">FS!Q101/FS!Q64</f>
        <v>4.4485783304862941E-2</v>
      </c>
      <c r="R46" s="677">
        <f ca="1">FS!R101/FS!R64</f>
        <v>4.7112926428313877E-2</v>
      </c>
      <c r="S46" s="677">
        <f ca="1">FS!S101/FS!S64</f>
        <v>4.7830500696739796E-2</v>
      </c>
      <c r="T46" s="677">
        <f ca="1">FS!T101/FS!T64</f>
        <v>5.030624986498973E-2</v>
      </c>
      <c r="U46" s="677">
        <f ca="1">FS!U101/FS!U64</f>
        <v>5.3280045495390692E-2</v>
      </c>
      <c r="V46" s="677" t="e">
        <f>FS!V101/FS!V64</f>
        <v>#DIV/0!</v>
      </c>
      <c r="W46" s="677" t="e">
        <f ca="1">FS!W101/FS!W64</f>
        <v>#DIV/0!</v>
      </c>
      <c r="X46" s="677" t="e">
        <f>FS!X101/FS!X64</f>
        <v>#DIV/0!</v>
      </c>
      <c r="Y46" s="677" t="e">
        <f>FS!Y101/FS!Y64</f>
        <v>#DIV/0!</v>
      </c>
      <c r="Z46" s="677" t="e">
        <f>FS!Z101/FS!Z64</f>
        <v>#DIV/0!</v>
      </c>
      <c r="AA46" s="677" t="e">
        <f>FS!AA101/FS!AA64</f>
        <v>#VALUE!</v>
      </c>
      <c r="AB46" s="676"/>
      <c r="AC46" s="676"/>
      <c r="AD46" s="676"/>
      <c r="AE46" s="676"/>
      <c r="AF46" s="500">
        <f>AF45*7.5</f>
        <v>40.030674846625772</v>
      </c>
      <c r="AG46" s="789" t="s">
        <v>1448</v>
      </c>
      <c r="AH46" s="499"/>
      <c r="AI46" s="499"/>
      <c r="AJ46" s="508">
        <f ca="1">AJ44/AJ45-1</f>
        <v>-0.47624434389140269</v>
      </c>
      <c r="AK46" s="499" t="s">
        <v>1744</v>
      </c>
      <c r="AL46" s="508">
        <f ca="1">WACC!I6</f>
        <v>0.51809482796443274</v>
      </c>
      <c r="AM46" s="636"/>
      <c r="AP46" s="499"/>
      <c r="AQ46" s="499"/>
      <c r="AR46" s="499"/>
      <c r="AS46" s="508"/>
      <c r="AW46" s="591">
        <v>44448</v>
      </c>
      <c r="AX46" s="437">
        <v>15.57</v>
      </c>
    </row>
    <row r="47" spans="1:50" ht="15">
      <c r="B47" s="526" t="s">
        <v>400</v>
      </c>
      <c r="D47" s="527"/>
      <c r="E47" s="678" t="e">
        <f ca="1">FS!E104/AVERAGE(FS!D3:E3)</f>
        <v>#VALUE!</v>
      </c>
      <c r="F47" s="678">
        <f ca="1">FS!F104/AVERAGE(FS!E3:F3)</f>
        <v>0.20086149412161874</v>
      </c>
      <c r="G47" s="678">
        <f ca="1">FS!G104/AVERAGE(FS!F3:G3)</f>
        <v>0.14261940418665858</v>
      </c>
      <c r="H47" s="678">
        <f ca="1">FS!H104/AVERAGE(FS!G3:H3)</f>
        <v>0.11708383776526506</v>
      </c>
      <c r="I47" s="678">
        <f ca="1">FS!I104/AVERAGE(FS!H3:I3)</f>
        <v>0.11301258504305613</v>
      </c>
      <c r="J47" s="678">
        <f ca="1">FS!J104/AVERAGE(FS!I3:J3)</f>
        <v>0.10981627145648476</v>
      </c>
      <c r="K47" s="678">
        <f ca="1">FS!K104/AVERAGE(FS!J3:K3)</f>
        <v>8.9389571747370652E-2</v>
      </c>
      <c r="L47" s="678">
        <f ca="1">FS!L104/AVERAGE(FS!K3:L3)</f>
        <v>8.9926184376127427E-2</v>
      </c>
      <c r="M47" s="678">
        <f ca="1">FS!M104/AVERAGE(FS!L3:M3)</f>
        <v>6.9016317779538941E-2</v>
      </c>
      <c r="N47" s="678">
        <f ca="1">FS!N104/AVERAGE(FS!M3:N3)</f>
        <v>2.8922955449714083E-3</v>
      </c>
      <c r="O47" s="678">
        <f ca="1">FS!O104/AVERAGE(FS!N3:O3)</f>
        <v>5.7116026648754079E-2</v>
      </c>
      <c r="P47" s="679">
        <f ca="1">FS!P104/AVERAGE(FS!O3:P3)</f>
        <v>9.1765065163732049E-2</v>
      </c>
      <c r="Q47" s="679">
        <f ca="1">FS!Q104/AVERAGE(FS!P3:Q3)</f>
        <v>0.1042387096461809</v>
      </c>
      <c r="R47" s="679">
        <f ca="1">FS!R104/AVERAGE(FS!Q3:R3)</f>
        <v>0.1109320837113752</v>
      </c>
      <c r="S47" s="679">
        <f ca="1">FS!S104/AVERAGE(FS!R3:S3)</f>
        <v>0.11382839762533245</v>
      </c>
      <c r="T47" s="679">
        <f ca="1">FS!T104/AVERAGE(FS!S3:T3)</f>
        <v>0.11615422516642457</v>
      </c>
      <c r="U47" s="679">
        <f ca="1">FS!U104/AVERAGE(FS!T3:U3)</f>
        <v>0.11691768147887013</v>
      </c>
      <c r="V47" s="679">
        <f ca="1">FS!V104/AVERAGE(FS!U3:V3)</f>
        <v>0</v>
      </c>
      <c r="W47" s="679" t="e">
        <f ca="1">FS!W104/AVERAGE(FS!V3:W3)</f>
        <v>#DIV/0!</v>
      </c>
      <c r="X47" s="679" t="e">
        <f ca="1">FS!X104/AVERAGE(FS!W3:X3)</f>
        <v>#DIV/0!</v>
      </c>
      <c r="Y47" s="679" t="e">
        <f>FS!Y104/AVERAGE(FS!X3:Y3)</f>
        <v>#DIV/0!</v>
      </c>
      <c r="Z47" s="679" t="e">
        <f>FS!Z104/AVERAGE(FS!Y3:Z3)</f>
        <v>#DIV/0!</v>
      </c>
      <c r="AA47" s="679" t="e">
        <f>FS!AA104/AVERAGE(FS!Z3:AA3)</f>
        <v>#DIV/0!</v>
      </c>
      <c r="AB47" s="678"/>
      <c r="AC47" s="678"/>
      <c r="AD47" s="678"/>
      <c r="AE47" s="678"/>
      <c r="AG47" s="791" t="s">
        <v>715</v>
      </c>
      <c r="AH47" s="509"/>
      <c r="AI47" s="509"/>
      <c r="AJ47" s="680" t="s">
        <v>1576</v>
      </c>
      <c r="AK47" s="499" t="s">
        <v>1745</v>
      </c>
      <c r="AL47" s="508">
        <f ca="1">WACC!I7</f>
        <v>0.48190517203556726</v>
      </c>
      <c r="AM47" s="437"/>
      <c r="AP47" s="631"/>
      <c r="AS47" s="508"/>
      <c r="AT47" s="437"/>
      <c r="AW47" s="511">
        <v>44447</v>
      </c>
      <c r="AX47" s="499">
        <v>14.8302</v>
      </c>
    </row>
    <row r="48" spans="1:50" ht="15">
      <c r="B48" s="526" t="s">
        <v>398</v>
      </c>
      <c r="D48" s="678"/>
      <c r="E48" s="681" t="e">
        <f ca="1">FS!E104/AVERAGE(FS!D43:E43)</f>
        <v>#VALUE!</v>
      </c>
      <c r="F48" s="681">
        <f ca="1">FS!F104/AVERAGE(FS!E43:F43)</f>
        <v>0.54178859778705224</v>
      </c>
      <c r="G48" s="681">
        <f ca="1">FS!G104/AVERAGE(FS!F43:G43)</f>
        <v>0.49909303075549261</v>
      </c>
      <c r="H48" s="681">
        <f ca="1">FS!H104/AVERAGE(FS!G43:H43)</f>
        <v>0.45267080294672118</v>
      </c>
      <c r="I48" s="681">
        <f ca="1">FS!I104/AVERAGE(FS!H43:I43)</f>
        <v>0.38684921721976301</v>
      </c>
      <c r="J48" s="681">
        <f ca="1">FS!J104/AVERAGE(FS!I43:J43)</f>
        <v>0.36322110937423896</v>
      </c>
      <c r="K48" s="681">
        <f ca="1">FS!K104/AVERAGE(FS!J43:K43)</f>
        <v>0.28398481355120181</v>
      </c>
      <c r="L48" s="681">
        <f ca="1">FS!L104/AVERAGE(FS!K43:L43)</f>
        <v>0.27334570813041181</v>
      </c>
      <c r="M48" s="681">
        <f ca="1">FS!M104/AVERAGE(FS!L43:M43)</f>
        <v>0.18504565394058906</v>
      </c>
      <c r="N48" s="681">
        <f ca="1">FS!N104/AVERAGE(FS!M43:N43)</f>
        <v>7.0907932916625099E-3</v>
      </c>
      <c r="O48" s="681">
        <f ca="1">FS!O104/AVERAGE(FS!N43:O43)</f>
        <v>0.144591546272508</v>
      </c>
      <c r="P48" s="682">
        <f ca="1">FS!P104/AVERAGE(FS!O43:P43)</f>
        <v>0.22260527125975618</v>
      </c>
      <c r="Q48" s="682">
        <f ca="1">FS!Q104/AVERAGE(FS!P43:Q43)</f>
        <v>0.23759811414162826</v>
      </c>
      <c r="R48" s="682">
        <f ca="1">FS!R104/AVERAGE(FS!Q43:R43)</f>
        <v>0.23522490220887995</v>
      </c>
      <c r="S48" s="682">
        <f ca="1">FS!S104/AVERAGE(FS!R43:S43)</f>
        <v>0.22469519357192816</v>
      </c>
      <c r="T48" s="682">
        <f ca="1">FS!T104/AVERAGE(FS!S43:T43)</f>
        <v>0.21536886885523354</v>
      </c>
      <c r="U48" s="682">
        <f ca="1">FS!U104/AVERAGE(FS!T43:U43)</f>
        <v>0.20539022433678866</v>
      </c>
      <c r="V48" s="682">
        <f ca="1">FS!V104/AVERAGE(FS!U43:V43)</f>
        <v>0</v>
      </c>
      <c r="W48" s="682">
        <f ca="1">FS!W104/AVERAGE(FS!V43:W43)</f>
        <v>1.6009750396651207E-4</v>
      </c>
      <c r="X48" s="682">
        <f ca="1">FS!X104/AVERAGE(FS!W43:X43)</f>
        <v>8.6060855723234892E-5</v>
      </c>
      <c r="Y48" s="682" t="e">
        <f>FS!Y104/AVERAGE(FS!X43:Y43)</f>
        <v>#DIV/0!</v>
      </c>
      <c r="Z48" s="682" t="e">
        <f>FS!Z104/AVERAGE(FS!Y43:Z43)</f>
        <v>#DIV/0!</v>
      </c>
      <c r="AA48" s="682" t="e">
        <f>FS!AA104/AVERAGE(FS!Z43:AA43)</f>
        <v>#DIV/0!</v>
      </c>
      <c r="AB48" s="681"/>
      <c r="AC48" s="681"/>
      <c r="AD48" s="681"/>
      <c r="AE48" s="681"/>
      <c r="AG48" s="789" t="s">
        <v>1746</v>
      </c>
      <c r="AJ48" s="549">
        <f>2000/AJ45</f>
        <v>2.2624434389140271E-2</v>
      </c>
      <c r="AK48" s="631" t="s">
        <v>1747</v>
      </c>
      <c r="AL48" s="683">
        <f>WACC!I8</f>
        <v>0.2</v>
      </c>
      <c r="AN48" s="437"/>
      <c r="AO48" s="437"/>
      <c r="AS48" s="671"/>
      <c r="AW48" s="511">
        <v>44446</v>
      </c>
      <c r="AX48" s="499">
        <v>14.8302</v>
      </c>
    </row>
    <row r="49" spans="1:50" ht="15" customHeight="1">
      <c r="B49" s="526"/>
      <c r="D49" s="549" t="s">
        <v>1748</v>
      </c>
      <c r="E49" s="549" t="s">
        <v>1748</v>
      </c>
      <c r="F49" s="684" t="s">
        <v>1748</v>
      </c>
      <c r="G49" s="684" t="s">
        <v>1748</v>
      </c>
      <c r="H49" s="684"/>
      <c r="I49" s="684"/>
      <c r="J49" s="684"/>
      <c r="K49" s="684"/>
      <c r="L49" s="684"/>
      <c r="M49" s="684"/>
      <c r="N49" s="684"/>
      <c r="O49" s="684"/>
      <c r="P49" s="685"/>
      <c r="Q49" s="685"/>
      <c r="R49" s="685"/>
      <c r="S49" s="685"/>
      <c r="T49" s="685"/>
      <c r="U49" s="685"/>
      <c r="V49" s="685"/>
      <c r="W49" s="685"/>
      <c r="X49" s="685"/>
      <c r="Y49" s="685"/>
      <c r="Z49" s="685"/>
      <c r="AA49" s="685"/>
      <c r="AB49" s="684"/>
      <c r="AC49" s="684"/>
      <c r="AD49" s="684"/>
      <c r="AE49" s="684"/>
      <c r="AF49" s="567">
        <f ca="1">AJ44/AH38</f>
        <v>20.01274083148791</v>
      </c>
      <c r="AG49" s="789" t="s">
        <v>1749</v>
      </c>
      <c r="AJ49" s="686">
        <f>AVERAGE(AX2:AX1251)</f>
        <v>17.090061939102544</v>
      </c>
      <c r="AK49" s="499" t="s">
        <v>1750</v>
      </c>
      <c r="AL49" s="687">
        <f ca="1">WACC!I9</f>
        <v>8.7630432180828707E-2</v>
      </c>
      <c r="AM49" s="520"/>
      <c r="AN49" s="542">
        <f ca="1">AM8*23000</f>
        <v>17369.418000000001</v>
      </c>
      <c r="AO49" s="500">
        <f ca="1">AN49/Rev_Year!I107</f>
        <v>10.051746527777778</v>
      </c>
      <c r="AS49" s="508"/>
      <c r="AT49" s="437"/>
      <c r="AW49" s="511">
        <v>44445</v>
      </c>
      <c r="AX49" s="499">
        <v>14.8819</v>
      </c>
    </row>
    <row r="50" spans="1:50">
      <c r="B50" s="526" t="s">
        <v>1751</v>
      </c>
      <c r="D50" s="678"/>
      <c r="E50" s="678"/>
      <c r="F50" s="681"/>
      <c r="G50" s="681"/>
      <c r="H50" s="681"/>
      <c r="I50" s="681"/>
      <c r="J50" s="681"/>
      <c r="K50" s="681"/>
      <c r="L50" s="681"/>
      <c r="M50" s="681"/>
      <c r="N50" s="681"/>
      <c r="O50" s="681"/>
      <c r="P50" s="682"/>
      <c r="Q50" s="682"/>
      <c r="R50" s="682"/>
      <c r="S50" s="682"/>
      <c r="T50" s="682"/>
      <c r="U50" s="682"/>
      <c r="V50" s="682"/>
      <c r="W50" s="682"/>
      <c r="X50" s="682"/>
      <c r="Y50" s="682"/>
      <c r="Z50" s="682"/>
      <c r="AA50" s="682"/>
      <c r="AB50" s="681"/>
      <c r="AC50" s="681"/>
      <c r="AD50" s="681"/>
      <c r="AE50" s="681"/>
      <c r="AG50" s="794" t="s">
        <v>1752</v>
      </c>
      <c r="AH50" s="631"/>
      <c r="AI50" s="631"/>
      <c r="AJ50" s="632">
        <f ca="1">Appendix!W37</f>
        <v>34.878067262169921</v>
      </c>
      <c r="AK50" s="631" t="s">
        <v>1753</v>
      </c>
      <c r="AL50" s="688">
        <f>g</f>
        <v>0.01</v>
      </c>
      <c r="AW50" s="511">
        <v>44440</v>
      </c>
      <c r="AX50" s="499">
        <v>14.6754</v>
      </c>
    </row>
    <row r="51" spans="1:50">
      <c r="B51" s="521" t="s">
        <v>1754</v>
      </c>
      <c r="E51" s="549"/>
      <c r="F51" s="684"/>
      <c r="G51" s="684"/>
      <c r="H51" s="684"/>
      <c r="I51" s="549">
        <f ca="1">AVERAGE(G48:I48)</f>
        <v>0.44620435030732564</v>
      </c>
      <c r="J51" s="549">
        <f t="shared" ref="J51:R51" ca="1" si="51">I51</f>
        <v>0.44620435030732564</v>
      </c>
      <c r="K51" s="549">
        <f t="shared" ca="1" si="51"/>
        <v>0.44620435030732564</v>
      </c>
      <c r="L51" s="549">
        <f t="shared" ca="1" si="51"/>
        <v>0.44620435030732564</v>
      </c>
      <c r="M51" s="549">
        <f t="shared" ca="1" si="51"/>
        <v>0.44620435030732564</v>
      </c>
      <c r="N51" s="549">
        <f t="shared" ca="1" si="51"/>
        <v>0.44620435030732564</v>
      </c>
      <c r="O51" s="549">
        <f t="shared" ca="1" si="51"/>
        <v>0.44620435030732564</v>
      </c>
      <c r="P51" s="548">
        <f t="shared" ca="1" si="51"/>
        <v>0.44620435030732564</v>
      </c>
      <c r="Q51" s="548">
        <f t="shared" ca="1" si="51"/>
        <v>0.44620435030732564</v>
      </c>
      <c r="R51" s="548">
        <f t="shared" ca="1" si="51"/>
        <v>0.44620435030732564</v>
      </c>
      <c r="S51" s="548">
        <f t="shared" ref="S51" ca="1" si="52">R51</f>
        <v>0.44620435030732564</v>
      </c>
      <c r="T51" s="548">
        <f t="shared" ref="T51" ca="1" si="53">S51</f>
        <v>0.44620435030732564</v>
      </c>
      <c r="U51" s="548">
        <f t="shared" ref="U51" ca="1" si="54">T51</f>
        <v>0.44620435030732564</v>
      </c>
      <c r="V51" s="548">
        <f t="shared" ref="V51" ca="1" si="55">U51</f>
        <v>0.44620435030732564</v>
      </c>
      <c r="W51" s="548">
        <f t="shared" ref="W51" ca="1" si="56">V51</f>
        <v>0.44620435030732564</v>
      </c>
      <c r="X51" s="548">
        <f t="shared" ref="X51" ca="1" si="57">W51</f>
        <v>0.44620435030732564</v>
      </c>
      <c r="Y51" s="548">
        <f t="shared" ref="Y51" ca="1" si="58">X51</f>
        <v>0.44620435030732564</v>
      </c>
      <c r="Z51" s="548">
        <f t="shared" ref="Z51" ca="1" si="59">Y51</f>
        <v>0.44620435030732564</v>
      </c>
      <c r="AA51" s="548">
        <f t="shared" ref="AA51" ca="1" si="60">Z51</f>
        <v>0.44620435030732564</v>
      </c>
      <c r="AB51" s="549"/>
      <c r="AC51" s="549"/>
      <c r="AD51" s="549"/>
      <c r="AE51" s="549"/>
      <c r="AF51" s="500">
        <f ca="1">102*10^3/AH35</f>
        <v>69.677876716719439</v>
      </c>
      <c r="AG51" s="789" t="s">
        <v>1595</v>
      </c>
      <c r="AH51" s="542">
        <f ca="1">AJ45*FS!K44/10^4</f>
        <v>40063.762850800005</v>
      </c>
      <c r="AJ51" s="535">
        <f ca="1">$AJ$45/FS!L107</f>
        <v>26.486322139296686</v>
      </c>
      <c r="AK51" s="535"/>
      <c r="AL51" s="689">
        <f ca="1">AJ44/AH38</f>
        <v>20.01274083148791</v>
      </c>
      <c r="AW51" s="511">
        <v>44439</v>
      </c>
      <c r="AX51" s="499">
        <v>14.7958</v>
      </c>
    </row>
    <row r="52" spans="1:50">
      <c r="B52" s="521" t="s">
        <v>356</v>
      </c>
      <c r="E52" s="549"/>
      <c r="F52" s="684"/>
      <c r="G52" s="684"/>
      <c r="H52" s="690"/>
      <c r="I52" s="539">
        <f ca="1">I39</f>
        <v>6.4901788267804692</v>
      </c>
      <c r="J52" s="539">
        <f t="shared" ref="J52:O52" ca="1" si="61">J37</f>
        <v>8.644578033196348</v>
      </c>
      <c r="K52" s="539">
        <f t="shared" ca="1" si="61"/>
        <v>8.6526661704610692</v>
      </c>
      <c r="L52" s="539">
        <f t="shared" ca="1" si="61"/>
        <v>6.8732533169425043</v>
      </c>
      <c r="M52" s="539">
        <f t="shared" ca="1" si="61"/>
        <v>2.8006155174933567</v>
      </c>
      <c r="N52" s="539">
        <f t="shared" ca="1" si="61"/>
        <v>0.11453771837251359</v>
      </c>
      <c r="O52" s="539">
        <f t="shared" ca="1" si="61"/>
        <v>2.5433426683420066</v>
      </c>
      <c r="P52" s="538">
        <f ca="1">P37</f>
        <v>4.6017050634290984</v>
      </c>
      <c r="Q52" s="538">
        <f ca="1">Q37</f>
        <v>5.8563817903066075</v>
      </c>
      <c r="R52" s="538">
        <f ca="1">R37</f>
        <v>7.1022182579826501</v>
      </c>
      <c r="S52" s="538">
        <f t="shared" ref="S52:X52" ca="1" si="62">S37</f>
        <v>8.3101533761366913</v>
      </c>
      <c r="T52" s="538">
        <f t="shared" ca="1" si="62"/>
        <v>9.7132125210993046</v>
      </c>
      <c r="U52" s="538">
        <f t="shared" ca="1" si="62"/>
        <v>11.236692654388765</v>
      </c>
      <c r="V52" s="538">
        <f t="shared" ca="1" si="62"/>
        <v>0</v>
      </c>
      <c r="W52" s="538">
        <f t="shared" ca="1" si="62"/>
        <v>5.1917588040679453E-4</v>
      </c>
      <c r="X52" s="538">
        <f t="shared" ca="1" si="62"/>
        <v>2.7908442937385556E-4</v>
      </c>
      <c r="Y52" s="538">
        <f t="shared" ref="Y52:AA52" ca="1" si="63">Y37</f>
        <v>0</v>
      </c>
      <c r="Z52" s="538">
        <f t="shared" ca="1" si="63"/>
        <v>0</v>
      </c>
      <c r="AA52" s="538">
        <f t="shared" ca="1" si="63"/>
        <v>3.0299068218220486</v>
      </c>
      <c r="AB52" s="539"/>
      <c r="AC52" s="539"/>
      <c r="AD52" s="539"/>
      <c r="AE52" s="539"/>
      <c r="AJ52" s="687"/>
      <c r="AW52" s="511">
        <v>44438</v>
      </c>
      <c r="AX52" s="499">
        <v>14.864599999999999</v>
      </c>
    </row>
    <row r="53" spans="1:50" ht="15">
      <c r="B53" s="521" t="s">
        <v>1755</v>
      </c>
      <c r="E53" s="549" t="s">
        <v>1748</v>
      </c>
      <c r="F53" s="684"/>
      <c r="G53" s="684"/>
      <c r="H53" s="684"/>
      <c r="I53" s="539">
        <f t="shared" ref="I53:O53" ca="1" si="64">I51*I44</f>
        <v>9031.6018800353031</v>
      </c>
      <c r="J53" s="539">
        <f t="shared" ca="1" si="64"/>
        <v>12208.536016580549</v>
      </c>
      <c r="K53" s="539">
        <f t="shared" ca="1" si="64"/>
        <v>15242.376729855052</v>
      </c>
      <c r="L53" s="539">
        <f t="shared" ca="1" si="64"/>
        <v>12751.790796950763</v>
      </c>
      <c r="M53" s="539">
        <f t="shared" ca="1" si="64"/>
        <v>7294.8788422137586</v>
      </c>
      <c r="N53" s="539">
        <f t="shared" ca="1" si="64"/>
        <v>7120.2158051464221</v>
      </c>
      <c r="O53" s="539">
        <f t="shared" ca="1" si="64"/>
        <v>8574.668285418973</v>
      </c>
      <c r="P53" s="538">
        <f ca="1">P51*P44</f>
        <v>9902.9036395392213</v>
      </c>
      <c r="Q53" s="538">
        <f ca="1">Q51*Q44</f>
        <v>12093.424414965131</v>
      </c>
      <c r="R53" s="538">
        <f ca="1">R51*R44</f>
        <v>14851.347620521687</v>
      </c>
      <c r="S53" s="538">
        <f t="shared" ref="S53:X53" ca="1" si="65">S51*S44</f>
        <v>18153.600364414255</v>
      </c>
      <c r="T53" s="538">
        <f t="shared" ca="1" si="65"/>
        <v>22094.34916897324</v>
      </c>
      <c r="U53" s="538">
        <f t="shared" ca="1" si="65"/>
        <v>26728.433528154121</v>
      </c>
      <c r="V53" s="538">
        <f t="shared" ca="1" si="65"/>
        <v>0</v>
      </c>
      <c r="W53" s="538">
        <f t="shared" ca="1" si="65"/>
        <v>1446.9840607921287</v>
      </c>
      <c r="X53" s="538">
        <f t="shared" ca="1" si="65"/>
        <v>0</v>
      </c>
      <c r="Y53" s="538">
        <f t="shared" ref="Y53:AA53" ca="1" si="66">Y51*Y44</f>
        <v>0</v>
      </c>
      <c r="Z53" s="538">
        <f t="shared" ca="1" si="66"/>
        <v>0</v>
      </c>
      <c r="AA53" s="538" t="e">
        <f t="shared" ca="1" si="66"/>
        <v>#VALUE!</v>
      </c>
      <c r="AB53" s="539"/>
      <c r="AC53" s="539"/>
      <c r="AD53" s="539"/>
      <c r="AE53" s="539"/>
      <c r="AH53" s="527" t="s">
        <v>1756</v>
      </c>
      <c r="AI53" s="527" t="s">
        <v>1757</v>
      </c>
      <c r="AJ53" s="610" t="s">
        <v>1758</v>
      </c>
      <c r="AK53" s="610" t="e">
        <v>#VALUE!</v>
      </c>
      <c r="AL53" s="527" t="s">
        <v>1759</v>
      </c>
      <c r="AM53" s="499" t="s">
        <v>1738</v>
      </c>
      <c r="AW53" s="511">
        <v>44435</v>
      </c>
      <c r="AX53" s="499">
        <v>14.7614</v>
      </c>
    </row>
    <row r="54" spans="1:50" ht="15">
      <c r="B54" s="584" t="s">
        <v>1760</v>
      </c>
      <c r="C54" s="581"/>
      <c r="D54" s="691"/>
      <c r="E54" s="692">
        <v>13820</v>
      </c>
      <c r="F54" s="692">
        <v>19660</v>
      </c>
      <c r="G54" s="692">
        <v>31400</v>
      </c>
      <c r="H54" s="692">
        <v>66290</v>
      </c>
      <c r="I54" s="692">
        <v>69040</v>
      </c>
      <c r="J54" s="693">
        <v>86000</v>
      </c>
      <c r="K54" s="693">
        <v>81000</v>
      </c>
      <c r="L54" s="693">
        <f>Share_Price</f>
        <v>88400</v>
      </c>
      <c r="M54" s="693">
        <f t="shared" ref="M54:R54" si="67">L54</f>
        <v>88400</v>
      </c>
      <c r="N54" s="693">
        <f t="shared" si="67"/>
        <v>88400</v>
      </c>
      <c r="O54" s="693">
        <f t="shared" si="67"/>
        <v>88400</v>
      </c>
      <c r="P54" s="694">
        <f t="shared" si="67"/>
        <v>88400</v>
      </c>
      <c r="Q54" s="694">
        <f t="shared" si="67"/>
        <v>88400</v>
      </c>
      <c r="R54" s="694">
        <f t="shared" si="67"/>
        <v>88400</v>
      </c>
      <c r="S54" s="694">
        <f t="shared" ref="S54" si="68">R54</f>
        <v>88400</v>
      </c>
      <c r="T54" s="694">
        <f t="shared" ref="T54" si="69">S54</f>
        <v>88400</v>
      </c>
      <c r="U54" s="694">
        <f t="shared" ref="U54" si="70">T54</f>
        <v>88400</v>
      </c>
      <c r="V54" s="694">
        <f t="shared" ref="V54" si="71">U54</f>
        <v>88400</v>
      </c>
      <c r="W54" s="694">
        <f t="shared" ref="W54" si="72">V54</f>
        <v>88400</v>
      </c>
      <c r="X54" s="694">
        <f t="shared" ref="X54" si="73">W54</f>
        <v>88400</v>
      </c>
      <c r="Y54" s="694">
        <f t="shared" ref="Y54" si="74">X54</f>
        <v>88400</v>
      </c>
      <c r="Z54" s="694">
        <f t="shared" ref="Z54" si="75">Y54</f>
        <v>88400</v>
      </c>
      <c r="AA54" s="694">
        <f t="shared" ref="AA54" si="76">Z54</f>
        <v>88400</v>
      </c>
      <c r="AB54" s="522"/>
      <c r="AC54" s="522"/>
      <c r="AD54" s="522"/>
      <c r="AE54" s="522"/>
      <c r="AG54" s="791" t="e">
        <v>#VALUE!</v>
      </c>
      <c r="AH54" s="488" t="e" vm="3">
        <f t="array" ref="AH54">_FV(AG54,"Price")</f>
        <v>#VALUE!</v>
      </c>
      <c r="AI54" s="695" t="e" vm="4">
        <f t="array" ref="AI54">_FV(AG54,"Market cap",TRUE)/10^9</f>
        <v>#VALUE!</v>
      </c>
      <c r="AJ54" s="696" t="e" vm="5">
        <f t="array" ref="AJ54">_FV(AG54,"P/E",TRUE)</f>
        <v>#VALUE!</v>
      </c>
      <c r="AK54" s="438" t="e" vm="3">
        <f t="array" ref="AK54">_FV(AK53,"Price")</f>
        <v>#VALUE!</v>
      </c>
      <c r="AL54" s="697" t="e" vm="6">
        <f t="array" ref="AL54">_FV(AG54,"Shares outstanding",TRUE)/10^9</f>
        <v>#VALUE!</v>
      </c>
      <c r="AM54" s="698" t="e" vm="7">
        <f t="array" ref="AM54">_FV(AG54,"Beta")</f>
        <v>#VALUE!</v>
      </c>
      <c r="AW54" s="511">
        <v>44434</v>
      </c>
      <c r="AX54" s="499">
        <v>14.8302</v>
      </c>
    </row>
    <row r="55" spans="1:50">
      <c r="B55" s="527"/>
      <c r="E55" s="549"/>
      <c r="F55" s="684"/>
      <c r="G55" s="684"/>
      <c r="H55" s="684"/>
      <c r="I55" s="684"/>
      <c r="J55" s="684"/>
      <c r="K55" s="684"/>
      <c r="L55" s="684"/>
      <c r="M55" s="684"/>
      <c r="N55" s="684"/>
      <c r="O55" s="684"/>
      <c r="P55" s="684"/>
      <c r="Q55" s="684"/>
      <c r="R55" s="684"/>
      <c r="S55" s="684"/>
      <c r="T55" s="684"/>
      <c r="U55" s="684"/>
      <c r="V55" s="684"/>
      <c r="W55" s="684"/>
      <c r="X55" s="684"/>
      <c r="Y55" s="684"/>
      <c r="Z55" s="684"/>
      <c r="AA55" s="684"/>
      <c r="AB55" s="684"/>
      <c r="AC55" s="684"/>
      <c r="AD55" s="684"/>
      <c r="AE55" s="684"/>
      <c r="AG55" s="789" t="s">
        <v>1648</v>
      </c>
      <c r="AH55" s="699" t="s">
        <v>1761</v>
      </c>
      <c r="AI55" s="699" t="s">
        <v>1762</v>
      </c>
      <c r="AJ55" s="700" t="s">
        <v>1446</v>
      </c>
      <c r="AW55" s="511">
        <v>44433</v>
      </c>
      <c r="AX55" s="499">
        <v>15.311999999999999</v>
      </c>
    </row>
    <row r="56" spans="1:50" ht="15">
      <c r="A56" s="499">
        <v>3</v>
      </c>
      <c r="B56" s="701" t="str">
        <f>Ticker&amp;" P/E Multiple Method"</f>
        <v>PNJ P/E Multiple Method</v>
      </c>
      <c r="C56" s="702"/>
      <c r="D56" s="588"/>
      <c r="E56" s="588">
        <f>F56-1</f>
        <v>2014</v>
      </c>
      <c r="F56" s="588">
        <f>G56-1</f>
        <v>2015</v>
      </c>
      <c r="G56" s="588">
        <f>H56-1</f>
        <v>2016</v>
      </c>
      <c r="H56" s="588">
        <v>2017</v>
      </c>
      <c r="I56" s="588">
        <f t="shared" ref="I56:N56" si="77">H56+1</f>
        <v>2018</v>
      </c>
      <c r="J56" s="588">
        <f t="shared" si="77"/>
        <v>2019</v>
      </c>
      <c r="K56" s="588">
        <f t="shared" si="77"/>
        <v>2020</v>
      </c>
      <c r="L56" s="588">
        <f t="shared" si="77"/>
        <v>2021</v>
      </c>
      <c r="M56" s="588">
        <f t="shared" si="77"/>
        <v>2022</v>
      </c>
      <c r="N56" s="588">
        <f t="shared" si="77"/>
        <v>2023</v>
      </c>
      <c r="O56" s="588">
        <f>N56+1</f>
        <v>2024</v>
      </c>
      <c r="P56" s="703">
        <f>O56+1</f>
        <v>2025</v>
      </c>
      <c r="Q56" s="703">
        <f>P56+1</f>
        <v>2026</v>
      </c>
      <c r="R56" s="703">
        <f>Q56+1</f>
        <v>2027</v>
      </c>
      <c r="S56" s="703">
        <f t="shared" ref="S56:X56" si="78">R56+1</f>
        <v>2028</v>
      </c>
      <c r="T56" s="703">
        <f t="shared" si="78"/>
        <v>2029</v>
      </c>
      <c r="U56" s="703">
        <f t="shared" si="78"/>
        <v>2030</v>
      </c>
      <c r="V56" s="703">
        <f t="shared" si="78"/>
        <v>2031</v>
      </c>
      <c r="W56" s="703">
        <f t="shared" si="78"/>
        <v>2032</v>
      </c>
      <c r="X56" s="703">
        <f t="shared" si="78"/>
        <v>2033</v>
      </c>
      <c r="Y56" s="703">
        <f t="shared" ref="Y56:AA56" si="79">X56+1</f>
        <v>2034</v>
      </c>
      <c r="Z56" s="703">
        <f t="shared" si="79"/>
        <v>2035</v>
      </c>
      <c r="AA56" s="703">
        <f t="shared" si="79"/>
        <v>2036</v>
      </c>
      <c r="AB56" s="2056"/>
      <c r="AC56" s="2056"/>
      <c r="AD56" s="2056"/>
      <c r="AE56" s="2056"/>
      <c r="AG56" s="789" t="s">
        <v>1763</v>
      </c>
      <c r="AH56" s="542">
        <f>[1]Milestones!R80</f>
        <v>4468.6229806810024</v>
      </c>
      <c r="AI56" s="499">
        <v>10</v>
      </c>
      <c r="AJ56" s="542">
        <f>AI56*AH56</f>
        <v>44686.229806810021</v>
      </c>
      <c r="AW56" s="511">
        <v>44432</v>
      </c>
      <c r="AX56" s="499">
        <v>15.1915</v>
      </c>
    </row>
    <row r="57" spans="1:50" s="437" customFormat="1" ht="15">
      <c r="A57" s="499"/>
      <c r="B57" s="704" t="s">
        <v>1764</v>
      </c>
      <c r="C57" s="499"/>
      <c r="D57" s="656"/>
      <c r="E57" s="705" t="e">
        <f ca="1">E54/E39</f>
        <v>#VALUE!</v>
      </c>
      <c r="F57" s="705">
        <f t="shared" ref="F57:P57" ca="1" si="80">F54/F37</f>
        <v>2823.6715401703586</v>
      </c>
      <c r="G57" s="705">
        <f t="shared" ca="1" si="80"/>
        <v>6310.1375145129241</v>
      </c>
      <c r="H57" s="705">
        <f t="shared" ca="1" si="80"/>
        <v>13328.935550817889</v>
      </c>
      <c r="I57" s="705">
        <f t="shared" ca="1" si="80"/>
        <v>10637.500064815567</v>
      </c>
      <c r="J57" s="705">
        <f t="shared" ca="1" si="80"/>
        <v>9948.4323780464911</v>
      </c>
      <c r="K57" s="705">
        <f ca="1">K54/K37</f>
        <v>9361.2764440770989</v>
      </c>
      <c r="L57" s="705">
        <f t="shared" ca="1" si="80"/>
        <v>12861.449436483716</v>
      </c>
      <c r="M57" s="705">
        <f t="shared" ca="1" si="80"/>
        <v>31564.489822980384</v>
      </c>
      <c r="N57" s="705">
        <f t="shared" ca="1" si="80"/>
        <v>771798.15746368107</v>
      </c>
      <c r="O57" s="705">
        <f t="shared" ca="1" si="80"/>
        <v>34757.408468921552</v>
      </c>
      <c r="P57" s="706">
        <f t="shared" ca="1" si="80"/>
        <v>19210.270710858225</v>
      </c>
      <c r="Q57" s="706">
        <f ca="1">Q54/Q37</f>
        <v>15094.644298347883</v>
      </c>
      <c r="R57" s="706">
        <f ca="1">R54/R37</f>
        <v>12446.815458063602</v>
      </c>
      <c r="S57" s="706">
        <f t="shared" ref="S57:X57" ca="1" si="81">S54/S37</f>
        <v>10637.589464214714</v>
      </c>
      <c r="T57" s="706">
        <f t="shared" ca="1" si="81"/>
        <v>9101.005440576444</v>
      </c>
      <c r="U57" s="706">
        <f t="shared" ca="1" si="81"/>
        <v>7867.0835555400918</v>
      </c>
      <c r="V57" s="706" t="e">
        <f t="shared" ca="1" si="81"/>
        <v>#DIV/0!</v>
      </c>
      <c r="W57" s="706">
        <f t="shared" ca="1" si="81"/>
        <v>170269851.38588324</v>
      </c>
      <c r="X57" s="706">
        <f t="shared" ca="1" si="81"/>
        <v>316750025.06707835</v>
      </c>
      <c r="Y57" s="706" t="e">
        <f t="shared" ref="Y57:AA57" ca="1" si="82">Y54/Y37</f>
        <v>#DIV/0!</v>
      </c>
      <c r="Z57" s="706" t="e">
        <f t="shared" ca="1" si="82"/>
        <v>#DIV/0!</v>
      </c>
      <c r="AA57" s="706">
        <f t="shared" ca="1" si="82"/>
        <v>29175.814702724172</v>
      </c>
      <c r="AB57" s="705"/>
      <c r="AC57" s="705"/>
      <c r="AD57" s="705"/>
      <c r="AE57" s="705"/>
      <c r="AF57" s="499"/>
      <c r="AG57" s="789" t="s">
        <v>1765</v>
      </c>
      <c r="AH57" s="542">
        <f ca="1">Rev_Year!K102</f>
        <v>41083.417042057001</v>
      </c>
      <c r="AI57" s="686">
        <v>1.5</v>
      </c>
      <c r="AJ57" s="542">
        <f ca="1">AI57*AH57</f>
        <v>61625.125563085501</v>
      </c>
      <c r="AK57" s="499"/>
      <c r="AL57" s="499"/>
      <c r="AM57" s="499"/>
      <c r="AN57" s="499"/>
      <c r="AO57" s="499"/>
      <c r="AP57" s="499"/>
      <c r="AQ57" s="499"/>
      <c r="AR57" s="499"/>
      <c r="AS57" s="499"/>
      <c r="AT57" s="499"/>
      <c r="AU57" s="499"/>
      <c r="AV57" s="499"/>
      <c r="AW57" s="591">
        <v>44431</v>
      </c>
      <c r="AX57" s="437">
        <v>15.225899999999999</v>
      </c>
    </row>
    <row r="58" spans="1:50">
      <c r="B58" s="521"/>
      <c r="I58" s="707"/>
      <c r="J58" s="707" t="s">
        <v>1748</v>
      </c>
      <c r="K58" s="707"/>
      <c r="L58" s="707"/>
      <c r="M58" s="707"/>
      <c r="N58" s="707"/>
      <c r="O58" s="707"/>
      <c r="P58" s="708"/>
      <c r="Q58" s="708"/>
      <c r="R58" s="708"/>
      <c r="S58" s="708"/>
      <c r="T58" s="708"/>
      <c r="U58" s="708"/>
      <c r="V58" s="708"/>
      <c r="W58" s="708"/>
      <c r="X58" s="708"/>
      <c r="Y58" s="708"/>
      <c r="Z58" s="708"/>
      <c r="AA58" s="708"/>
      <c r="AB58" s="707"/>
      <c r="AC58" s="707"/>
      <c r="AD58" s="707"/>
      <c r="AE58" s="707"/>
      <c r="AG58" s="789" t="s">
        <v>1766</v>
      </c>
      <c r="AH58" s="542">
        <f>Rev_Year!K165</f>
        <v>2386.1400000000003</v>
      </c>
      <c r="AI58" s="499">
        <v>1</v>
      </c>
      <c r="AJ58" s="542">
        <f>AI58*AH58</f>
        <v>2386.1400000000003</v>
      </c>
      <c r="AW58" s="511">
        <v>44428</v>
      </c>
      <c r="AX58" s="499">
        <v>15.742100000000001</v>
      </c>
    </row>
    <row r="59" spans="1:50">
      <c r="B59" s="521" t="s">
        <v>1767</v>
      </c>
      <c r="E59" s="527"/>
      <c r="G59" s="709"/>
      <c r="I59" s="710">
        <v>10</v>
      </c>
      <c r="J59" s="707">
        <f ca="1">J81/J37</f>
        <v>9948.4323780464911</v>
      </c>
      <c r="K59" s="710">
        <v>17.3</v>
      </c>
      <c r="L59" s="711">
        <f>AVERAGE(AX2:AX1002)</f>
        <v>16.620861199999972</v>
      </c>
      <c r="M59" s="710">
        <f>L59</f>
        <v>16.620861199999972</v>
      </c>
      <c r="N59" s="710">
        <f>M59-1</f>
        <v>15.620861199999972</v>
      </c>
      <c r="O59" s="710">
        <f>N59</f>
        <v>15.620861199999972</v>
      </c>
      <c r="P59" s="712">
        <f>O59</f>
        <v>15.620861199999972</v>
      </c>
      <c r="Q59" s="712">
        <f>P59</f>
        <v>15.620861199999972</v>
      </c>
      <c r="R59" s="712">
        <f>Q59</f>
        <v>15.620861199999972</v>
      </c>
      <c r="S59" s="712">
        <f t="shared" ref="S59:X59" si="83">R59</f>
        <v>15.620861199999972</v>
      </c>
      <c r="T59" s="712">
        <f t="shared" si="83"/>
        <v>15.620861199999972</v>
      </c>
      <c r="U59" s="712">
        <f t="shared" si="83"/>
        <v>15.620861199999972</v>
      </c>
      <c r="V59" s="712">
        <f t="shared" si="83"/>
        <v>15.620861199999972</v>
      </c>
      <c r="W59" s="712">
        <f t="shared" si="83"/>
        <v>15.620861199999972</v>
      </c>
      <c r="X59" s="712">
        <f t="shared" si="83"/>
        <v>15.620861199999972</v>
      </c>
      <c r="Y59" s="712">
        <f t="shared" ref="Y59:AA59" si="84">X59</f>
        <v>15.620861199999972</v>
      </c>
      <c r="Z59" s="712">
        <f t="shared" si="84"/>
        <v>15.620861199999972</v>
      </c>
      <c r="AA59" s="712">
        <f t="shared" si="84"/>
        <v>15.620861199999972</v>
      </c>
      <c r="AB59" s="710"/>
      <c r="AC59" s="710"/>
      <c r="AD59" s="710"/>
      <c r="AE59" s="710"/>
      <c r="AG59" s="791" t="s">
        <v>1289</v>
      </c>
      <c r="AH59" s="488"/>
      <c r="AI59" s="509"/>
      <c r="AJ59" s="510">
        <f ca="1">AJ56+AJ57+AJ58</f>
        <v>108697.49536989552</v>
      </c>
      <c r="AW59" s="511">
        <v>44427</v>
      </c>
      <c r="AX59" s="499">
        <v>16.1722</v>
      </c>
    </row>
    <row r="60" spans="1:50">
      <c r="A60" s="525"/>
      <c r="B60" s="584" t="s">
        <v>1768</v>
      </c>
      <c r="C60" s="581"/>
      <c r="D60" s="581"/>
      <c r="E60" s="713" t="e">
        <f t="shared" ref="E60:J60" ca="1" si="85">E54/E39</f>
        <v>#VALUE!</v>
      </c>
      <c r="F60" s="713">
        <f t="shared" ca="1" si="85"/>
        <v>8135.2463669798881</v>
      </c>
      <c r="G60" s="713">
        <f t="shared" ca="1" si="85"/>
        <v>8829.4620576858033</v>
      </c>
      <c r="H60" s="713">
        <f t="shared" ca="1" si="85"/>
        <v>13330.438262251721</v>
      </c>
      <c r="I60" s="713">
        <f t="shared" ca="1" si="85"/>
        <v>10637.611357505248</v>
      </c>
      <c r="J60" s="713">
        <f t="shared" ca="1" si="85"/>
        <v>15.993563263498011</v>
      </c>
      <c r="K60" s="713">
        <f t="shared" ref="K60:O60" ca="1" si="86">Share_Price/K39</f>
        <v>32.999556928218858</v>
      </c>
      <c r="L60" s="713">
        <f ca="1">Share_Price/L39</f>
        <v>26.486322139296686</v>
      </c>
      <c r="M60" s="713">
        <f ca="1">Share_Price/M39</f>
        <v>31.663190527022302</v>
      </c>
      <c r="N60" s="713">
        <f t="shared" ca="1" si="86"/>
        <v>774.21153470966658</v>
      </c>
      <c r="O60" s="713">
        <f t="shared" ca="1" si="86"/>
        <v>34.878067262169921</v>
      </c>
      <c r="P60" s="714">
        <f t="shared" ref="P60:AA60" ca="1" si="87">Share_Price/P39</f>
        <v>19.210270710858225</v>
      </c>
      <c r="Q60" s="714">
        <f t="shared" ca="1" si="87"/>
        <v>15.09464429834788</v>
      </c>
      <c r="R60" s="714">
        <f t="shared" ca="1" si="87"/>
        <v>12.446815458063604</v>
      </c>
      <c r="S60" s="714">
        <f t="shared" ca="1" si="87"/>
        <v>10.637589464214715</v>
      </c>
      <c r="T60" s="714">
        <f t="shared" ca="1" si="87"/>
        <v>9.1010054405764436</v>
      </c>
      <c r="U60" s="714">
        <f t="shared" ca="1" si="87"/>
        <v>7.8670835555400913</v>
      </c>
      <c r="V60" s="714" t="e">
        <f t="shared" ca="1" si="87"/>
        <v>#DIV/0!</v>
      </c>
      <c r="W60" s="714">
        <f t="shared" ca="1" si="87"/>
        <v>170269.85138588326</v>
      </c>
      <c r="X60" s="714">
        <f t="shared" ca="1" si="87"/>
        <v>316750.0250670783</v>
      </c>
      <c r="Y60" s="714" t="e">
        <f t="shared" ca="1" si="87"/>
        <v>#DIV/0!</v>
      </c>
      <c r="Z60" s="714" t="e">
        <f t="shared" ca="1" si="87"/>
        <v>#DIV/0!</v>
      </c>
      <c r="AA60" s="714">
        <f t="shared" ca="1" si="87"/>
        <v>29.175814702724175</v>
      </c>
      <c r="AB60" s="2057"/>
      <c r="AC60" s="2057"/>
      <c r="AD60" s="2057"/>
      <c r="AE60" s="2057"/>
      <c r="AG60" s="789" t="s">
        <v>1769</v>
      </c>
      <c r="AJ60" s="508" t="e" vm="8">
        <f ca="1">AJ59/AI54-1</f>
        <v>#VALUE!</v>
      </c>
      <c r="AW60" s="511">
        <v>44426</v>
      </c>
      <c r="AX60" s="499">
        <v>16.2926</v>
      </c>
    </row>
    <row r="61" spans="1:50">
      <c r="I61" s="549"/>
      <c r="J61" s="549"/>
      <c r="K61" s="549"/>
      <c r="L61" s="549"/>
      <c r="M61" s="549"/>
      <c r="N61" s="549"/>
      <c r="O61" s="549"/>
      <c r="P61" s="549"/>
      <c r="Q61" s="549"/>
      <c r="R61" s="549"/>
      <c r="S61" s="549"/>
      <c r="T61" s="549"/>
      <c r="U61" s="549"/>
      <c r="V61" s="549"/>
      <c r="W61" s="549"/>
      <c r="X61" s="549"/>
      <c r="Y61" s="549"/>
      <c r="Z61" s="549"/>
      <c r="AA61" s="549"/>
      <c r="AB61" s="549"/>
      <c r="AC61" s="549"/>
      <c r="AD61" s="549"/>
      <c r="AE61" s="549"/>
      <c r="AG61" s="789" t="s">
        <v>1686</v>
      </c>
      <c r="AJ61" s="542" t="e" vm="8">
        <f ca="1">ROUND(AJ59/AL54,-2)</f>
        <v>#VALUE!</v>
      </c>
      <c r="AW61" s="511">
        <v>44425</v>
      </c>
      <c r="AX61" s="499">
        <v>16.430299999999999</v>
      </c>
    </row>
    <row r="62" spans="1:50" ht="15">
      <c r="A62" s="499">
        <v>4</v>
      </c>
      <c r="B62" s="552" t="str">
        <f>Ticker&amp;" P/B Multiple Method"</f>
        <v>PNJ P/B Multiple Method</v>
      </c>
      <c r="C62" s="587"/>
      <c r="D62" s="589"/>
      <c r="E62" s="589">
        <f>F62-1</f>
        <v>2014</v>
      </c>
      <c r="F62" s="589">
        <f>G62-1</f>
        <v>2015</v>
      </c>
      <c r="G62" s="589">
        <f>H62-1</f>
        <v>2016</v>
      </c>
      <c r="H62" s="589">
        <v>2017</v>
      </c>
      <c r="I62" s="589">
        <f t="shared" ref="I62:N62" si="88">H62+1</f>
        <v>2018</v>
      </c>
      <c r="J62" s="589">
        <f t="shared" si="88"/>
        <v>2019</v>
      </c>
      <c r="K62" s="588">
        <f t="shared" si="88"/>
        <v>2020</v>
      </c>
      <c r="L62" s="588">
        <f t="shared" si="88"/>
        <v>2021</v>
      </c>
      <c r="M62" s="588">
        <f t="shared" si="88"/>
        <v>2022</v>
      </c>
      <c r="N62" s="588">
        <f t="shared" si="88"/>
        <v>2023</v>
      </c>
      <c r="O62" s="588">
        <f>N62+1</f>
        <v>2024</v>
      </c>
      <c r="P62" s="703">
        <f>O62+1</f>
        <v>2025</v>
      </c>
      <c r="Q62" s="703">
        <f>P62+1</f>
        <v>2026</v>
      </c>
      <c r="R62" s="703">
        <f>Q62+1</f>
        <v>2027</v>
      </c>
      <c r="S62" s="703">
        <f t="shared" ref="S62:X62" si="89">R62+1</f>
        <v>2028</v>
      </c>
      <c r="T62" s="703">
        <f t="shared" si="89"/>
        <v>2029</v>
      </c>
      <c r="U62" s="703">
        <f t="shared" si="89"/>
        <v>2030</v>
      </c>
      <c r="V62" s="703">
        <f t="shared" si="89"/>
        <v>2031</v>
      </c>
      <c r="W62" s="703">
        <f t="shared" si="89"/>
        <v>2032</v>
      </c>
      <c r="X62" s="703">
        <f t="shared" si="89"/>
        <v>2033</v>
      </c>
      <c r="Y62" s="703">
        <f t="shared" ref="Y62:AA62" si="90">X62+1</f>
        <v>2034</v>
      </c>
      <c r="Z62" s="703">
        <f t="shared" si="90"/>
        <v>2035</v>
      </c>
      <c r="AA62" s="703">
        <f t="shared" si="90"/>
        <v>2036</v>
      </c>
      <c r="AB62" s="2056"/>
      <c r="AC62" s="2056"/>
      <c r="AD62" s="2056"/>
      <c r="AE62" s="2056"/>
      <c r="AW62" s="511">
        <v>44424</v>
      </c>
      <c r="AX62" s="499">
        <v>16.258199999999999</v>
      </c>
    </row>
    <row r="63" spans="1:50" s="437" customFormat="1" ht="15">
      <c r="B63" s="715" t="s">
        <v>1770</v>
      </c>
      <c r="C63" s="716"/>
      <c r="D63" s="717"/>
      <c r="E63" s="718">
        <f t="shared" ref="E63:P63" ca="1" si="91">E54/E44</f>
        <v>0.92080354926880958</v>
      </c>
      <c r="F63" s="718">
        <f t="shared" ca="1" si="91"/>
        <v>1.1635525736885726</v>
      </c>
      <c r="G63" s="718">
        <f ca="1">G54/G44</f>
        <v>1.2591837990646377</v>
      </c>
      <c r="H63" s="718">
        <f t="shared" ca="1" si="91"/>
        <v>3.5578505070242983</v>
      </c>
      <c r="I63" s="718">
        <f t="shared" ca="1" si="91"/>
        <v>3.4109063657151979</v>
      </c>
      <c r="J63" s="718">
        <f t="shared" ca="1" si="91"/>
        <v>3.1431757316613904</v>
      </c>
      <c r="K63" s="705">
        <f ca="1">K54/K44</f>
        <v>2.3711887598278167</v>
      </c>
      <c r="L63" s="705">
        <f ca="1">L54/L44</f>
        <v>3.0932490342140522</v>
      </c>
      <c r="M63" s="705">
        <f t="shared" ca="1" si="91"/>
        <v>5.4071445763994994</v>
      </c>
      <c r="N63" s="705">
        <f t="shared" ca="1" si="91"/>
        <v>5.5397849793622145</v>
      </c>
      <c r="O63" s="705">
        <f t="shared" ca="1" si="91"/>
        <v>4.6001155093360282</v>
      </c>
      <c r="P63" s="706">
        <f t="shared" ca="1" si="91"/>
        <v>3.9831211130519413</v>
      </c>
      <c r="Q63" s="706">
        <f ca="1">Q54/Q44</f>
        <v>3.261645602907695</v>
      </c>
      <c r="R63" s="706">
        <f ca="1">R54/R44</f>
        <v>2.6559518755498641</v>
      </c>
      <c r="S63" s="706">
        <f t="shared" ref="S63:X63" ca="1" si="92">S54/S44</f>
        <v>2.172817720747501</v>
      </c>
      <c r="T63" s="706">
        <f t="shared" ca="1" si="92"/>
        <v>1.7852738845350942</v>
      </c>
      <c r="U63" s="706">
        <f t="shared" ca="1" si="92"/>
        <v>1.4757492063879898</v>
      </c>
      <c r="V63" s="706" t="e">
        <f t="shared" ca="1" si="92"/>
        <v>#DIV/0!</v>
      </c>
      <c r="W63" s="706">
        <f t="shared" ca="1" si="92"/>
        <v>27.259778207628862</v>
      </c>
      <c r="X63" s="706" t="e">
        <f t="shared" ca="1" si="92"/>
        <v>#DIV/0!</v>
      </c>
      <c r="Y63" s="706" t="e">
        <f t="shared" ref="Y63:AA63" ca="1" si="93">Y54/Y44</f>
        <v>#DIV/0!</v>
      </c>
      <c r="Z63" s="706" t="e">
        <f t="shared" ca="1" si="93"/>
        <v>#DIV/0!</v>
      </c>
      <c r="AA63" s="706" t="e">
        <f t="shared" ca="1" si="93"/>
        <v>#VALUE!</v>
      </c>
      <c r="AB63" s="705"/>
      <c r="AC63" s="705"/>
      <c r="AD63" s="705"/>
      <c r="AE63" s="705"/>
      <c r="AF63" s="499"/>
      <c r="AG63" s="652" t="str">
        <f t="shared" ref="AG63:AK64" si="94">AG26</f>
        <v>Phương pháp DCF</v>
      </c>
      <c r="AH63" s="596">
        <f t="shared" si="94"/>
        <v>2023</v>
      </c>
      <c r="AI63" s="596">
        <f t="shared" si="94"/>
        <v>2024</v>
      </c>
      <c r="AJ63" s="596">
        <f t="shared" si="94"/>
        <v>2025</v>
      </c>
      <c r="AK63" s="596">
        <f t="shared" si="94"/>
        <v>2026</v>
      </c>
      <c r="AL63" s="596"/>
      <c r="AM63" s="499"/>
      <c r="AN63" s="499"/>
      <c r="AO63" s="499"/>
      <c r="AP63" s="499"/>
      <c r="AQ63" s="499"/>
      <c r="AR63" s="499"/>
      <c r="AS63" s="499"/>
      <c r="AT63" s="499"/>
      <c r="AU63" s="499"/>
      <c r="AV63" s="499"/>
      <c r="AW63" s="591">
        <v>44421</v>
      </c>
      <c r="AX63" s="437">
        <v>16.258199999999999</v>
      </c>
    </row>
    <row r="64" spans="1:50" s="437" customFormat="1" ht="15">
      <c r="B64" s="601"/>
      <c r="C64" s="499"/>
      <c r="D64" s="656"/>
      <c r="E64" s="656"/>
      <c r="F64" s="656"/>
      <c r="G64" s="656"/>
      <c r="H64" s="656"/>
      <c r="I64" s="656"/>
      <c r="J64" s="656"/>
      <c r="K64" s="656"/>
      <c r="L64" s="656"/>
      <c r="M64" s="656"/>
      <c r="N64" s="656"/>
      <c r="O64" s="656"/>
      <c r="P64" s="719"/>
      <c r="Q64" s="719"/>
      <c r="R64" s="719"/>
      <c r="S64" s="719"/>
      <c r="T64" s="719"/>
      <c r="U64" s="719"/>
      <c r="V64" s="719"/>
      <c r="W64" s="719"/>
      <c r="X64" s="719"/>
      <c r="Y64" s="719"/>
      <c r="Z64" s="719"/>
      <c r="AA64" s="719"/>
      <c r="AB64" s="656"/>
      <c r="AC64" s="656"/>
      <c r="AD64" s="656"/>
      <c r="AE64" s="656"/>
      <c r="AF64" s="499"/>
      <c r="AG64" s="599" t="str">
        <f t="shared" si="94"/>
        <v>Dòng tiền tự do công ty (FCFF)</v>
      </c>
      <c r="AH64" s="600">
        <f t="shared" si="94"/>
        <v>5219.2369042938699</v>
      </c>
      <c r="AI64" s="600">
        <f t="shared" si="94"/>
        <v>10449.770474514537</v>
      </c>
      <c r="AJ64" s="600">
        <f t="shared" ca="1" si="94"/>
        <v>6490.6314406512747</v>
      </c>
      <c r="AK64" s="600">
        <f t="shared" ca="1" si="94"/>
        <v>5739.1427497912155</v>
      </c>
      <c r="AL64" s="600"/>
      <c r="AM64" s="499"/>
      <c r="AN64" s="499"/>
      <c r="AO64" s="499"/>
      <c r="AP64" s="499"/>
      <c r="AQ64" s="499"/>
      <c r="AR64" s="499"/>
      <c r="AS64" s="499"/>
      <c r="AT64" s="499"/>
      <c r="AU64" s="499"/>
      <c r="AV64" s="499"/>
      <c r="AW64" s="591">
        <v>44420</v>
      </c>
      <c r="AX64" s="437">
        <v>16.258199999999999</v>
      </c>
    </row>
    <row r="65" spans="1:50">
      <c r="B65" s="521" t="s">
        <v>1771</v>
      </c>
      <c r="E65" s="527"/>
      <c r="G65" s="709"/>
      <c r="I65" s="710"/>
      <c r="J65" s="710">
        <f ca="1">J63</f>
        <v>3.1431757316613904</v>
      </c>
      <c r="K65" s="710">
        <v>3.2</v>
      </c>
      <c r="L65" s="710">
        <f t="shared" ref="L65:R65" si="95">K65</f>
        <v>3.2</v>
      </c>
      <c r="M65" s="710">
        <f t="shared" si="95"/>
        <v>3.2</v>
      </c>
      <c r="N65" s="710">
        <f t="shared" si="95"/>
        <v>3.2</v>
      </c>
      <c r="O65" s="710">
        <f t="shared" si="95"/>
        <v>3.2</v>
      </c>
      <c r="P65" s="712">
        <f t="shared" si="95"/>
        <v>3.2</v>
      </c>
      <c r="Q65" s="712">
        <f t="shared" si="95"/>
        <v>3.2</v>
      </c>
      <c r="R65" s="712">
        <f t="shared" si="95"/>
        <v>3.2</v>
      </c>
      <c r="S65" s="712">
        <f t="shared" ref="S65" si="96">R65</f>
        <v>3.2</v>
      </c>
      <c r="T65" s="712">
        <f t="shared" ref="T65" si="97">S65</f>
        <v>3.2</v>
      </c>
      <c r="U65" s="712">
        <f t="shared" ref="U65" si="98">T65</f>
        <v>3.2</v>
      </c>
      <c r="V65" s="712">
        <f t="shared" ref="V65" si="99">U65</f>
        <v>3.2</v>
      </c>
      <c r="W65" s="712">
        <f t="shared" ref="W65" si="100">V65</f>
        <v>3.2</v>
      </c>
      <c r="X65" s="712">
        <f t="shared" ref="X65" si="101">W65</f>
        <v>3.2</v>
      </c>
      <c r="Y65" s="712">
        <f t="shared" ref="Y65" si="102">X65</f>
        <v>3.2</v>
      </c>
      <c r="Z65" s="712">
        <f t="shared" ref="Z65" si="103">Y65</f>
        <v>3.2</v>
      </c>
      <c r="AA65" s="712">
        <f t="shared" ref="AA65" si="104">Z65</f>
        <v>3.2</v>
      </c>
      <c r="AB65" s="710"/>
      <c r="AC65" s="710"/>
      <c r="AD65" s="710"/>
      <c r="AE65" s="710"/>
      <c r="AG65" s="599" t="str">
        <f t="shared" ref="AG65:AK69" si="105">AG28</f>
        <v>Tổng giá trị chiết khẩu dòng tiền tự do 5 năm</v>
      </c>
      <c r="AH65" s="600">
        <f t="shared" ca="1" si="105"/>
        <v>5182.1334664435226</v>
      </c>
      <c r="AI65" s="600">
        <f t="shared" ca="1" si="105"/>
        <v>9538.5270817840992</v>
      </c>
      <c r="AJ65" s="600">
        <f t="shared" ca="1" si="105"/>
        <v>5447.4765911671811</v>
      </c>
      <c r="AK65" s="600">
        <f t="shared" ca="1" si="105"/>
        <v>4428.7555476503421</v>
      </c>
      <c r="AL65" s="600"/>
      <c r="AW65" s="511">
        <v>44419</v>
      </c>
      <c r="AX65" s="499">
        <v>16.4131</v>
      </c>
    </row>
    <row r="66" spans="1:50">
      <c r="B66" s="584" t="s">
        <v>1772</v>
      </c>
      <c r="C66" s="581"/>
      <c r="D66" s="581"/>
      <c r="E66" s="581"/>
      <c r="F66" s="581"/>
      <c r="G66" s="581"/>
      <c r="H66" s="720"/>
      <c r="I66" s="721"/>
      <c r="J66" s="721">
        <f t="shared" ref="J66:P66" ca="1" si="106">Share_Price/J44</f>
        <v>3.2308922637077551</v>
      </c>
      <c r="K66" s="721">
        <f t="shared" ca="1" si="106"/>
        <v>2.5878158810960374</v>
      </c>
      <c r="L66" s="721">
        <f t="shared" ca="1" si="106"/>
        <v>3.0932490342140522</v>
      </c>
      <c r="M66" s="721">
        <f ca="1">Share_Price/M44</f>
        <v>5.4071445763994994</v>
      </c>
      <c r="N66" s="721">
        <f t="shared" ca="1" si="106"/>
        <v>5.5397849793622145</v>
      </c>
      <c r="O66" s="721">
        <f t="shared" ca="1" si="106"/>
        <v>4.6001155093360282</v>
      </c>
      <c r="P66" s="722">
        <f t="shared" ca="1" si="106"/>
        <v>3.9831211130519413</v>
      </c>
      <c r="Q66" s="722">
        <f t="shared" ref="Q66:X66" ca="1" si="107">Share_Price/Q44</f>
        <v>3.261645602907695</v>
      </c>
      <c r="R66" s="722">
        <f t="shared" ca="1" si="107"/>
        <v>2.6559518755498641</v>
      </c>
      <c r="S66" s="722">
        <f t="shared" ca="1" si="107"/>
        <v>2.172817720747501</v>
      </c>
      <c r="T66" s="722">
        <f t="shared" ca="1" si="107"/>
        <v>1.7852738845350942</v>
      </c>
      <c r="U66" s="722">
        <f t="shared" ca="1" si="107"/>
        <v>1.4757492063879898</v>
      </c>
      <c r="V66" s="722" t="e">
        <f t="shared" ca="1" si="107"/>
        <v>#DIV/0!</v>
      </c>
      <c r="W66" s="722">
        <f t="shared" ca="1" si="107"/>
        <v>27.259778207628862</v>
      </c>
      <c r="X66" s="722" t="e">
        <f t="shared" ca="1" si="107"/>
        <v>#DIV/0!</v>
      </c>
      <c r="Y66" s="722" t="e">
        <f t="shared" ref="Y66:AA66" ca="1" si="108">Share_Price/Y44</f>
        <v>#DIV/0!</v>
      </c>
      <c r="Z66" s="722" t="e">
        <f t="shared" ca="1" si="108"/>
        <v>#DIV/0!</v>
      </c>
      <c r="AA66" s="722" t="e">
        <f t="shared" ca="1" si="108"/>
        <v>#VALUE!</v>
      </c>
      <c r="AB66" s="707"/>
      <c r="AC66" s="707"/>
      <c r="AD66" s="707"/>
      <c r="AE66" s="707"/>
      <c r="AG66" s="599" t="str">
        <f t="shared" si="105"/>
        <v>Gía trị cuối cùng</v>
      </c>
      <c r="AH66" s="600">
        <f t="shared" ca="1" si="105"/>
        <v>24596.892687045147</v>
      </c>
      <c r="AI66" s="600"/>
      <c r="AJ66" s="600"/>
      <c r="AK66" s="600"/>
      <c r="AW66" s="511">
        <v>44418</v>
      </c>
      <c r="AX66" s="499">
        <v>16.4819</v>
      </c>
    </row>
    <row r="67" spans="1:50">
      <c r="H67" s="723"/>
      <c r="I67" s="707"/>
      <c r="J67" s="707"/>
      <c r="K67" s="707"/>
      <c r="L67" s="707"/>
      <c r="M67" s="707"/>
      <c r="N67" s="707"/>
      <c r="O67" s="707"/>
      <c r="P67" s="707"/>
      <c r="Q67" s="707"/>
      <c r="R67" s="707"/>
      <c r="S67" s="707"/>
      <c r="T67" s="707"/>
      <c r="U67" s="707"/>
      <c r="V67" s="707"/>
      <c r="W67" s="707"/>
      <c r="X67" s="707"/>
      <c r="Y67" s="707"/>
      <c r="Z67" s="707"/>
      <c r="AA67" s="707"/>
      <c r="AB67" s="707"/>
      <c r="AC67" s="707"/>
      <c r="AD67" s="707"/>
      <c r="AE67" s="707"/>
      <c r="AG67" s="599" t="str">
        <f t="shared" si="105"/>
        <v>Chiết khấu giá trị cuối cùng</v>
      </c>
      <c r="AH67" s="600">
        <f t="shared" ca="1" si="105"/>
        <v>57619.711464539418</v>
      </c>
      <c r="AI67" s="600"/>
      <c r="AJ67" s="893" t="str">
        <f>AL41</f>
        <v>Chi phí sử dụng vốn</v>
      </c>
      <c r="AK67" s="893"/>
      <c r="AW67" s="511">
        <v>44417</v>
      </c>
      <c r="AX67" s="499">
        <v>16.6023</v>
      </c>
    </row>
    <row r="68" spans="1:50" ht="15">
      <c r="A68" s="499">
        <v>5</v>
      </c>
      <c r="B68" s="552" t="str">
        <f>Ticker&amp;" EV/EBITDA Multiple Method"</f>
        <v>PNJ EV/EBITDA Multiple Method</v>
      </c>
      <c r="C68" s="587"/>
      <c r="D68" s="588"/>
      <c r="E68" s="588">
        <f>F68-1</f>
        <v>2014</v>
      </c>
      <c r="F68" s="588">
        <f>G68-1</f>
        <v>2015</v>
      </c>
      <c r="G68" s="588">
        <f>H68-1</f>
        <v>2016</v>
      </c>
      <c r="H68" s="588">
        <v>2017</v>
      </c>
      <c r="I68" s="588">
        <f t="shared" ref="I68:N68" si="109">H68+1</f>
        <v>2018</v>
      </c>
      <c r="J68" s="588">
        <f t="shared" si="109"/>
        <v>2019</v>
      </c>
      <c r="K68" s="589">
        <f t="shared" si="109"/>
        <v>2020</v>
      </c>
      <c r="L68" s="589">
        <f t="shared" si="109"/>
        <v>2021</v>
      </c>
      <c r="M68" s="589">
        <f t="shared" si="109"/>
        <v>2022</v>
      </c>
      <c r="N68" s="589">
        <f t="shared" si="109"/>
        <v>2023</v>
      </c>
      <c r="O68" s="589">
        <f>N68+1</f>
        <v>2024</v>
      </c>
      <c r="P68" s="590">
        <f>O68+1</f>
        <v>2025</v>
      </c>
      <c r="Q68" s="590">
        <f>P68+1</f>
        <v>2026</v>
      </c>
      <c r="R68" s="590">
        <f>Q68+1</f>
        <v>2027</v>
      </c>
      <c r="S68" s="590">
        <f t="shared" ref="S68:X68" si="110">R68+1</f>
        <v>2028</v>
      </c>
      <c r="T68" s="590">
        <f t="shared" si="110"/>
        <v>2029</v>
      </c>
      <c r="U68" s="590">
        <f t="shared" si="110"/>
        <v>2030</v>
      </c>
      <c r="V68" s="590">
        <f t="shared" si="110"/>
        <v>2031</v>
      </c>
      <c r="W68" s="590">
        <f t="shared" si="110"/>
        <v>2032</v>
      </c>
      <c r="X68" s="590">
        <f t="shared" si="110"/>
        <v>2033</v>
      </c>
      <c r="Y68" s="590">
        <f t="shared" ref="Y68:AA68" si="111">X68+1</f>
        <v>2034</v>
      </c>
      <c r="Z68" s="590">
        <f t="shared" si="111"/>
        <v>2035</v>
      </c>
      <c r="AA68" s="590">
        <f t="shared" si="111"/>
        <v>2036</v>
      </c>
      <c r="AB68" s="2056"/>
      <c r="AC68" s="2056"/>
      <c r="AD68" s="2056"/>
      <c r="AE68" s="2056"/>
      <c r="AG68" s="599" t="str">
        <f t="shared" si="105"/>
        <v>Tổng giá trị chiết khấu</v>
      </c>
      <c r="AH68" s="600">
        <f t="shared" ca="1" si="105"/>
        <v>82216.604151584557</v>
      </c>
      <c r="AI68" s="600"/>
      <c r="AJ68" s="724" t="str">
        <f t="shared" ref="AJ68:AK72" si="112">AK42</f>
        <v>Rf</v>
      </c>
      <c r="AK68" s="639">
        <f t="shared" si="112"/>
        <v>0.03</v>
      </c>
      <c r="AW68" s="511">
        <v>44414</v>
      </c>
      <c r="AX68" s="499">
        <v>16.550699999999999</v>
      </c>
    </row>
    <row r="69" spans="1:50" ht="15">
      <c r="B69" s="521" t="s">
        <v>205</v>
      </c>
      <c r="C69" s="725"/>
      <c r="D69" s="726"/>
      <c r="E69" s="726"/>
      <c r="F69" s="726"/>
      <c r="G69" s="726"/>
      <c r="H69" s="726"/>
      <c r="J69" s="727">
        <f>FS!J117</f>
        <v>6419.5606443949982</v>
      </c>
      <c r="K69" s="727">
        <f>FS!K117</f>
        <v>7411.8496745440007</v>
      </c>
      <c r="L69" s="727">
        <f>FS!L117</f>
        <v>8815.2822268340005</v>
      </c>
      <c r="M69" s="727">
        <f>FS!M117</f>
        <v>10232.642667622002</v>
      </c>
      <c r="N69" s="727">
        <f>FS!N117</f>
        <v>3793.6060137709983</v>
      </c>
      <c r="O69" s="727">
        <f>FS!O117</f>
        <v>7003.0649655200023</v>
      </c>
      <c r="P69" s="728">
        <f ca="1">FS!P117</f>
        <v>9861.8211850681892</v>
      </c>
      <c r="Q69" s="728">
        <f ca="1">FS!Q117</f>
        <v>11587.855628035164</v>
      </c>
      <c r="R69" s="728">
        <f ca="1">FS!R117</f>
        <v>13178.900783273735</v>
      </c>
      <c r="S69" s="728">
        <f ca="1">FS!S117</f>
        <v>15066.24543582411</v>
      </c>
      <c r="T69" s="728">
        <f ca="1">FS!T117</f>
        <v>16764.801299781582</v>
      </c>
      <c r="U69" s="728">
        <f ca="1">FS!U117</f>
        <v>18662.815940544293</v>
      </c>
      <c r="V69" s="728">
        <f>FS!V117</f>
        <v>0</v>
      </c>
      <c r="W69" s="728">
        <f>FS!W117</f>
        <v>0</v>
      </c>
      <c r="X69" s="728">
        <f>FS!X117</f>
        <v>0</v>
      </c>
      <c r="Y69" s="728">
        <f>FS!Y117</f>
        <v>0</v>
      </c>
      <c r="Z69" s="728">
        <f>FS!Z117</f>
        <v>0</v>
      </c>
      <c r="AA69" s="728" t="str">
        <f>FS!AA117</f>
        <v>LNTT</v>
      </c>
      <c r="AB69" s="727"/>
      <c r="AC69" s="727"/>
      <c r="AD69" s="727"/>
      <c r="AE69" s="727"/>
      <c r="AG69" s="599" t="str">
        <f t="shared" si="105"/>
        <v>(-)  Nợ</v>
      </c>
      <c r="AH69" s="600">
        <f t="shared" ca="1" si="105"/>
        <v>-27300.246721779</v>
      </c>
      <c r="AI69" s="600"/>
      <c r="AJ69" s="724" t="str">
        <f t="shared" si="112"/>
        <v>Beta</v>
      </c>
      <c r="AK69" s="729">
        <f t="shared" si="112"/>
        <v>1.2</v>
      </c>
      <c r="AW69" s="511">
        <v>44413</v>
      </c>
      <c r="AX69" s="499">
        <v>16.4819</v>
      </c>
    </row>
    <row r="70" spans="1:50" ht="15">
      <c r="B70" s="601" t="s">
        <v>1773</v>
      </c>
      <c r="D70" s="656"/>
      <c r="E70" s="656"/>
      <c r="F70" s="656"/>
      <c r="G70" s="656"/>
      <c r="H70" s="656"/>
      <c r="J70" s="730">
        <f t="shared" ref="J70:R70" ca="1" si="113">J69*CHOOSE($G$73,I73,I74)</f>
        <v>30618.976129120005</v>
      </c>
      <c r="K70" s="730">
        <f t="shared" ca="1" si="113"/>
        <v>38144.971308</v>
      </c>
      <c r="L70" s="730">
        <f t="shared" ca="1" si="113"/>
        <v>36710.008947000002</v>
      </c>
      <c r="M70" s="730">
        <f t="shared" ca="1" si="113"/>
        <v>63034.989758000011</v>
      </c>
      <c r="N70" s="730">
        <f t="shared" ca="1" si="113"/>
        <v>129406.92835199997</v>
      </c>
      <c r="O70" s="730">
        <f t="shared" ca="1" si="113"/>
        <v>129406.92835199997</v>
      </c>
      <c r="P70" s="731">
        <f t="shared" ca="1" si="113"/>
        <v>129362.50169440001</v>
      </c>
      <c r="Q70" s="731">
        <f t="shared" ca="1" si="113"/>
        <v>129811.57784920001</v>
      </c>
      <c r="R70" s="731">
        <f t="shared" ca="1" si="113"/>
        <v>129811.57784920001</v>
      </c>
      <c r="S70" s="731" t="e">
        <f t="shared" ref="S70" ca="1" si="114">S69*CHOOSE($G$73,R73,R74)</f>
        <v>#DIV/0!</v>
      </c>
      <c r="T70" s="731" t="e">
        <f t="shared" ref="T70" ca="1" si="115">T69*CHOOSE($G$73,S73,S74)</f>
        <v>#VALUE!</v>
      </c>
      <c r="U70" s="731">
        <f t="shared" ref="U70" ca="1" si="116">U69*CHOOSE($G$73,T73,T74)</f>
        <v>-88740.941026681918</v>
      </c>
      <c r="V70" s="731" t="e">
        <f t="shared" ref="V70" ca="1" si="117">V69*CHOOSE($G$73,U73,U74)</f>
        <v>#DIV/0!</v>
      </c>
      <c r="W70" s="731" t="e">
        <f t="shared" ref="W70" ca="1" si="118">W69*CHOOSE($G$73,V73,V74)</f>
        <v>#VALUE!</v>
      </c>
      <c r="X70" s="731">
        <f t="shared" ref="X70" ca="1" si="119">X69*CHOOSE($G$73,W73,W74)</f>
        <v>0</v>
      </c>
      <c r="Y70" s="731" t="e">
        <f t="shared" ref="Y70" ca="1" si="120">Y69*CHOOSE($G$73,X73,X74)</f>
        <v>#DIV/0!</v>
      </c>
      <c r="Z70" s="731" t="e">
        <f t="shared" ref="Z70" ca="1" si="121">Z69*CHOOSE($G$73,Y73,Y74)</f>
        <v>#DIV/0!</v>
      </c>
      <c r="AA70" s="731" t="e">
        <f t="shared" ref="AA70" ca="1" si="122">AA69*CHOOSE($G$73,Z73,Z74)</f>
        <v>#VALUE!</v>
      </c>
      <c r="AB70" s="730"/>
      <c r="AC70" s="730"/>
      <c r="AD70" s="730"/>
      <c r="AE70" s="730"/>
      <c r="AG70" s="633" t="str">
        <f t="shared" ref="AG70:AH73" si="123">AG33</f>
        <v>(+) Tiền mặt</v>
      </c>
      <c r="AH70" s="634">
        <f>AH33</f>
        <v>40259.487893151003</v>
      </c>
      <c r="AI70" s="600"/>
      <c r="AJ70" s="724" t="str">
        <f t="shared" si="112"/>
        <v>Ke</v>
      </c>
      <c r="AK70" s="646">
        <f t="shared" si="112"/>
        <v>0.12212677231025855</v>
      </c>
      <c r="AW70" s="511">
        <v>44412</v>
      </c>
      <c r="AX70" s="499">
        <v>16.6023</v>
      </c>
    </row>
    <row r="71" spans="1:50" ht="15">
      <c r="B71" s="601" t="s">
        <v>1774</v>
      </c>
      <c r="D71" s="656"/>
      <c r="E71" s="656"/>
      <c r="F71" s="656"/>
      <c r="G71" s="656"/>
      <c r="H71" s="656"/>
      <c r="J71" s="730">
        <f ca="1">J70-SUM(FS!J30,FS!J36)+SUM(FS!J7:J8)</f>
        <v>35749.076278931003</v>
      </c>
      <c r="K71" s="730">
        <f ca="1">K70-SUM(FS!K30,FS!K36)+SUM(FS!K7:K8)</f>
        <v>52423.271785018398</v>
      </c>
      <c r="L71" s="730">
        <f ca="1">L70-SUM(FS!L30,FS!L36)+SUM(FS!L7:L8)</f>
        <v>55088.073624112541</v>
      </c>
      <c r="M71" s="730">
        <f ca="1">M70-SUM(FS!M30,FS!M36)+SUM(FS!M7:M8)</f>
        <v>72254.376270742097</v>
      </c>
      <c r="N71" s="730">
        <f ca="1">N70-SUM(FS!N30,FS!N36)+SUM(FS!N7:N8)</f>
        <v>147723.60158485602</v>
      </c>
      <c r="O71" s="730">
        <f ca="1">O70-SUM(FS!O30,FS!O36)+SUM(FS!O7:O8)</f>
        <v>163628.27444947659</v>
      </c>
      <c r="P71" s="731">
        <f ca="1">P70-SUM(FS!P30,FS!P36)+SUM(FS!P7:P8)</f>
        <v>167162.56737109146</v>
      </c>
      <c r="Q71" s="731">
        <f ca="1">Q70-SUM(FS!Q30,FS!Q36)+SUM(FS!Q7:Q8)</f>
        <v>170979.71642192698</v>
      </c>
      <c r="R71" s="731">
        <f ca="1">R70-SUM(FS!R30,FS!R36)+SUM(FS!R7:R8)</f>
        <v>176787.42516829405</v>
      </c>
      <c r="S71" s="731" t="e">
        <f ca="1">S70-SUM(FS!S30,FS!S36)+SUM(FS!S7:S8)</f>
        <v>#DIV/0!</v>
      </c>
      <c r="T71" s="731" t="e">
        <f ca="1">T70-SUM(FS!T30,FS!T36)+SUM(FS!T7:T8)</f>
        <v>#VALUE!</v>
      </c>
      <c r="U71" s="731">
        <f ca="1">U70-SUM(FS!U30,FS!U36)+SUM(FS!U7:U8)</f>
        <v>-7511.6627084741631</v>
      </c>
      <c r="V71" s="731" t="e">
        <f ca="1">V70-SUM(FS!V30,FS!V36)+SUM(FS!V7:V8)</f>
        <v>#DIV/0!</v>
      </c>
      <c r="W71" s="731" t="e">
        <f ca="1">W70-SUM(FS!W30,FS!W36)+SUM(FS!W7:W8)</f>
        <v>#VALUE!</v>
      </c>
      <c r="X71" s="731">
        <f ca="1">X70-SUM(FS!X30,FS!X36)+SUM(FS!X7:X8)</f>
        <v>0</v>
      </c>
      <c r="Y71" s="731" t="e">
        <f ca="1">Y70-SUM(FS!Y30,FS!Y36)+SUM(FS!Y7:Y8)</f>
        <v>#DIV/0!</v>
      </c>
      <c r="Z71" s="731" t="e">
        <f ca="1">Z70-SUM(FS!Z30,FS!Z36)+SUM(FS!Z7:Z8)</f>
        <v>#DIV/0!</v>
      </c>
      <c r="AA71" s="731" t="e">
        <f ca="1">AA70-SUM(FS!AA30,FS!AA36)+SUM(FS!AA7:AA8)</f>
        <v>#VALUE!</v>
      </c>
      <c r="AB71" s="730"/>
      <c r="AC71" s="730"/>
      <c r="AD71" s="730"/>
      <c r="AE71" s="730"/>
      <c r="AG71" s="599" t="str">
        <f t="shared" si="123"/>
        <v>Tổng giá trị công ty</v>
      </c>
      <c r="AH71" s="605">
        <f t="shared" ca="1" si="123"/>
        <v>97261.763020594561</v>
      </c>
      <c r="AI71" s="600"/>
      <c r="AJ71" s="724" t="str">
        <f t="shared" si="112"/>
        <v>Kd</v>
      </c>
      <c r="AK71" s="646">
        <f t="shared" ca="1" si="112"/>
        <v>6.9429637701576674E-2</v>
      </c>
      <c r="AW71" s="511">
        <v>44411</v>
      </c>
      <c r="AX71" s="499">
        <v>16.6023</v>
      </c>
    </row>
    <row r="72" spans="1:50" ht="15">
      <c r="B72" s="601"/>
      <c r="D72" s="656"/>
      <c r="E72" s="656"/>
      <c r="F72" s="656"/>
      <c r="G72" s="656"/>
      <c r="H72" s="656"/>
      <c r="I72" s="732"/>
      <c r="J72" s="657"/>
      <c r="K72" s="656"/>
      <c r="L72" s="656"/>
      <c r="M72" s="656"/>
      <c r="N72" s="656"/>
      <c r="O72" s="656"/>
      <c r="P72" s="719"/>
      <c r="Q72" s="719"/>
      <c r="R72" s="719"/>
      <c r="S72" s="719"/>
      <c r="T72" s="719"/>
      <c r="U72" s="719"/>
      <c r="V72" s="719"/>
      <c r="W72" s="719"/>
      <c r="X72" s="719"/>
      <c r="Y72" s="719"/>
      <c r="Z72" s="719"/>
      <c r="AA72" s="719"/>
      <c r="AB72" s="656"/>
      <c r="AC72" s="656"/>
      <c r="AD72" s="656"/>
      <c r="AE72" s="656"/>
      <c r="AG72" s="633" t="str">
        <f t="shared" si="123"/>
        <v>SLCP Lưu hành (triệu)</v>
      </c>
      <c r="AH72" s="634">
        <f t="shared" ca="1" si="123"/>
        <v>1463.8792799999999</v>
      </c>
      <c r="AI72" s="600"/>
      <c r="AJ72" s="899" t="str">
        <f t="shared" si="112"/>
        <v>E/A</v>
      </c>
      <c r="AK72" s="669">
        <f t="shared" ca="1" si="112"/>
        <v>0.51809482796443274</v>
      </c>
      <c r="AM72" s="903">
        <f ca="1">AH76/23000</f>
        <v>1.7667696855648509</v>
      </c>
      <c r="AN72" s="599">
        <f ca="1">1.5*23000/Rev_Year!J23</f>
        <v>1.0924372940993186</v>
      </c>
      <c r="AW72" s="511">
        <v>44410</v>
      </c>
      <c r="AX72" s="499">
        <v>16.447500000000002</v>
      </c>
    </row>
    <row r="73" spans="1:50">
      <c r="B73" s="521" t="s">
        <v>1775</v>
      </c>
      <c r="E73" s="527"/>
      <c r="G73" s="733">
        <v>1</v>
      </c>
      <c r="H73" s="734"/>
      <c r="I73" s="710">
        <f ca="1">I41/J69</f>
        <v>4.7696373358282438</v>
      </c>
      <c r="J73" s="710">
        <f ca="1">J41/K69</f>
        <v>5.1464847484709404</v>
      </c>
      <c r="K73" s="710">
        <f ca="1">K41/L69</f>
        <v>4.1643600286844551</v>
      </c>
      <c r="L73" s="710">
        <f t="shared" ref="L73:Q73" ca="1" si="124">L41/M69</f>
        <v>6.1601867479897958</v>
      </c>
      <c r="M73" s="710">
        <f t="shared" ca="1" si="124"/>
        <v>34.111852385895034</v>
      </c>
      <c r="N73" s="710">
        <f t="shared" ca="1" si="124"/>
        <v>18.478613148548888</v>
      </c>
      <c r="O73" s="710">
        <f t="shared" ca="1" si="124"/>
        <v>13.117506317217364</v>
      </c>
      <c r="P73" s="710">
        <f t="shared" ca="1" si="124"/>
        <v>11.2023813564901</v>
      </c>
      <c r="Q73" s="710">
        <f t="shared" ca="1" si="124"/>
        <v>9.8499548622410877</v>
      </c>
      <c r="R73" s="710" t="e">
        <f ca="1">R41/AF69</f>
        <v>#DIV/0!</v>
      </c>
      <c r="S73" s="710" t="e">
        <f t="shared" ref="S73:X73" ca="1" si="125">S41/AG69</f>
        <v>#VALUE!</v>
      </c>
      <c r="T73" s="710">
        <f t="shared" ca="1" si="125"/>
        <v>-4.7549598790124392</v>
      </c>
      <c r="U73" s="710" t="e">
        <f t="shared" ca="1" si="125"/>
        <v>#DIV/0!</v>
      </c>
      <c r="V73" s="710" t="e">
        <f t="shared" ca="1" si="125"/>
        <v>#VALUE!</v>
      </c>
      <c r="W73" s="710">
        <f t="shared" ca="1" si="125"/>
        <v>108176.31487433334</v>
      </c>
      <c r="X73" s="710" t="e">
        <f t="shared" ca="1" si="125"/>
        <v>#DIV/0!</v>
      </c>
      <c r="Y73" s="710" t="e">
        <f t="shared" ref="Y73" ca="1" si="126">Y41/Z69</f>
        <v>#DIV/0!</v>
      </c>
      <c r="Z73" s="710" t="e">
        <f t="shared" ref="Z73" ca="1" si="127">Z41/AA69</f>
        <v>#VALUE!</v>
      </c>
      <c r="AA73" s="710" t="e">
        <f t="shared" ref="AA73" ca="1" si="128">AA41/AO69</f>
        <v>#DIV/0!</v>
      </c>
      <c r="AB73" s="710"/>
      <c r="AC73" s="710"/>
      <c r="AD73" s="710"/>
      <c r="AE73" s="710"/>
      <c r="AG73" s="735" t="str">
        <f t="shared" si="123"/>
        <v>Gía trị hợp lý</v>
      </c>
      <c r="AH73" s="736">
        <f t="shared" ca="1" si="123"/>
        <v>55609.452484906113</v>
      </c>
      <c r="AI73" s="600"/>
      <c r="AJ73" s="724" t="str">
        <f>AK49</f>
        <v>WACC</v>
      </c>
      <c r="AK73" s="639">
        <f ca="1">AL49</f>
        <v>8.7630432180828707E-2</v>
      </c>
      <c r="AW73" s="511">
        <v>44407</v>
      </c>
      <c r="AX73" s="499">
        <v>16.4819</v>
      </c>
    </row>
    <row r="74" spans="1:50" ht="26.25" customHeight="1">
      <c r="B74" s="584" t="s">
        <v>1776</v>
      </c>
      <c r="C74" s="581"/>
      <c r="D74" s="581"/>
      <c r="E74" s="581"/>
      <c r="F74" s="581"/>
      <c r="G74" s="581"/>
      <c r="H74" s="720"/>
      <c r="I74" s="737">
        <v>13.17</v>
      </c>
      <c r="J74" s="721">
        <f t="shared" ref="J74:R74" si="129">I74</f>
        <v>13.17</v>
      </c>
      <c r="K74" s="721">
        <f t="shared" si="129"/>
        <v>13.17</v>
      </c>
      <c r="L74" s="721">
        <f t="shared" si="129"/>
        <v>13.17</v>
      </c>
      <c r="M74" s="721">
        <f t="shared" si="129"/>
        <v>13.17</v>
      </c>
      <c r="N74" s="721">
        <f t="shared" si="129"/>
        <v>13.17</v>
      </c>
      <c r="O74" s="721">
        <f t="shared" si="129"/>
        <v>13.17</v>
      </c>
      <c r="P74" s="722">
        <f t="shared" si="129"/>
        <v>13.17</v>
      </c>
      <c r="Q74" s="722">
        <f t="shared" si="129"/>
        <v>13.17</v>
      </c>
      <c r="R74" s="722">
        <f t="shared" si="129"/>
        <v>13.17</v>
      </c>
      <c r="S74" s="722">
        <f t="shared" ref="S74" si="130">R74</f>
        <v>13.17</v>
      </c>
      <c r="T74" s="722">
        <f t="shared" ref="T74" si="131">S74</f>
        <v>13.17</v>
      </c>
      <c r="U74" s="722">
        <f t="shared" ref="U74" si="132">T74</f>
        <v>13.17</v>
      </c>
      <c r="V74" s="722">
        <f t="shared" ref="V74" si="133">U74</f>
        <v>13.17</v>
      </c>
      <c r="W74" s="722">
        <f t="shared" ref="W74" si="134">V74</f>
        <v>13.17</v>
      </c>
      <c r="X74" s="722">
        <f t="shared" ref="X74" si="135">W74</f>
        <v>13.17</v>
      </c>
      <c r="Y74" s="722">
        <f t="shared" ref="Y74" si="136">X74</f>
        <v>13.17</v>
      </c>
      <c r="Z74" s="722">
        <f t="shared" ref="Z74" si="137">Y74</f>
        <v>13.17</v>
      </c>
      <c r="AA74" s="722">
        <f t="shared" ref="AA74" si="138">Z74</f>
        <v>13.17</v>
      </c>
      <c r="AB74" s="707"/>
      <c r="AC74" s="707"/>
      <c r="AD74" s="707"/>
      <c r="AE74" s="707"/>
      <c r="AG74" s="652" t="s">
        <v>1777</v>
      </c>
      <c r="AH74" s="596" t="s">
        <v>1778</v>
      </c>
      <c r="AI74" s="926" t="s">
        <v>1779</v>
      </c>
      <c r="AJ74" s="923" t="s">
        <v>1455</v>
      </c>
      <c r="AK74" s="596" t="s">
        <v>1780</v>
      </c>
      <c r="AW74" s="511">
        <v>44406</v>
      </c>
      <c r="AX74" s="499">
        <v>16.0001</v>
      </c>
    </row>
    <row r="75" spans="1:50" ht="18" customHeight="1">
      <c r="AG75" s="599" t="s">
        <v>497</v>
      </c>
      <c r="AH75" s="605">
        <f>AK75*AH56</f>
        <v>57198.374152716831</v>
      </c>
      <c r="AI75" s="508">
        <f>AH75/AM75-1</f>
        <v>0.92450549392985892</v>
      </c>
      <c r="AJ75" s="924" t="s">
        <v>1461</v>
      </c>
      <c r="AK75" s="738">
        <f>Valuation_Senario!E296</f>
        <v>12.8</v>
      </c>
      <c r="AM75" s="542">
        <v>29721.076054668567</v>
      </c>
      <c r="AN75" s="499">
        <f ca="1">AH75/AH80</f>
        <v>39.07314963342936</v>
      </c>
      <c r="AO75" s="672">
        <f ca="1">AH75/$AH$80</f>
        <v>39.07314963342936</v>
      </c>
      <c r="AW75" s="511">
        <v>44405</v>
      </c>
      <c r="AX75" s="499">
        <v>15.501200000000001</v>
      </c>
    </row>
    <row r="76" spans="1:50" ht="18" customHeight="1">
      <c r="B76" s="552" t="s">
        <v>1781</v>
      </c>
      <c r="C76" s="587"/>
      <c r="D76" s="589"/>
      <c r="E76" s="589"/>
      <c r="F76" s="589"/>
      <c r="G76" s="589"/>
      <c r="H76" s="589" t="s">
        <v>1782</v>
      </c>
      <c r="I76" s="589">
        <v>2018</v>
      </c>
      <c r="J76" s="589">
        <f t="shared" ref="J76:R76" si="139">I76+1</f>
        <v>2019</v>
      </c>
      <c r="K76" s="589">
        <f t="shared" si="139"/>
        <v>2020</v>
      </c>
      <c r="L76" s="589">
        <f t="shared" si="139"/>
        <v>2021</v>
      </c>
      <c r="M76" s="589">
        <f t="shared" si="139"/>
        <v>2022</v>
      </c>
      <c r="N76" s="589">
        <f t="shared" si="139"/>
        <v>2023</v>
      </c>
      <c r="O76" s="589">
        <f t="shared" si="139"/>
        <v>2024</v>
      </c>
      <c r="P76" s="590">
        <f t="shared" si="139"/>
        <v>2025</v>
      </c>
      <c r="Q76" s="590">
        <f t="shared" si="139"/>
        <v>2026</v>
      </c>
      <c r="R76" s="590">
        <f t="shared" si="139"/>
        <v>2027</v>
      </c>
      <c r="S76" s="590">
        <f t="shared" ref="S76" si="140">R76+1</f>
        <v>2028</v>
      </c>
      <c r="T76" s="590">
        <f t="shared" ref="T76" si="141">S76+1</f>
        <v>2029</v>
      </c>
      <c r="U76" s="590">
        <f t="shared" ref="U76" si="142">T76+1</f>
        <v>2030</v>
      </c>
      <c r="V76" s="590">
        <f t="shared" ref="V76" si="143">U76+1</f>
        <v>2031</v>
      </c>
      <c r="W76" s="590">
        <f t="shared" ref="W76" si="144">V76+1</f>
        <v>2032</v>
      </c>
      <c r="X76" s="590">
        <f t="shared" ref="X76" si="145">W76+1</f>
        <v>2033</v>
      </c>
      <c r="Y76" s="590">
        <f t="shared" ref="Y76" si="146">X76+1</f>
        <v>2034</v>
      </c>
      <c r="Z76" s="590">
        <f t="shared" ref="Z76" si="147">Y76+1</f>
        <v>2035</v>
      </c>
      <c r="AA76" s="590">
        <f t="shared" ref="AA76" si="148">Z76+1</f>
        <v>2036</v>
      </c>
      <c r="AB76" s="2056"/>
      <c r="AC76" s="2056"/>
      <c r="AD76" s="2056"/>
      <c r="AE76" s="2056"/>
      <c r="AG76" s="599" t="s">
        <v>7</v>
      </c>
      <c r="AH76" s="605">
        <f ca="1">Valuation_Senario!C297</f>
        <v>40635.70276799157</v>
      </c>
      <c r="AI76" s="508">
        <f ca="1">AH76/AM76-1</f>
        <v>-9.673406198966894E-2</v>
      </c>
      <c r="AJ76" s="924" t="s">
        <v>1461</v>
      </c>
      <c r="AK76" s="738">
        <f>Valuation_Senario!M302</f>
        <v>25.5</v>
      </c>
      <c r="AM76" s="542">
        <v>44987.529207070358</v>
      </c>
      <c r="AN76" s="499">
        <f ca="1">AH76/AH80</f>
        <v>27.758916546719327</v>
      </c>
      <c r="AO76" s="672">
        <f ca="1">AH76/$AH$80</f>
        <v>27.758916546719327</v>
      </c>
      <c r="AW76" s="511">
        <v>44404</v>
      </c>
      <c r="AX76" s="499">
        <v>15.501200000000001</v>
      </c>
    </row>
    <row r="77" spans="1:50" ht="18" customHeight="1">
      <c r="B77" s="739" t="s">
        <v>1736</v>
      </c>
      <c r="C77" s="716"/>
      <c r="D77" s="716"/>
      <c r="E77" s="716"/>
      <c r="F77" s="716"/>
      <c r="G77" s="716"/>
      <c r="H77" s="740">
        <v>0.5</v>
      </c>
      <c r="I77" s="741"/>
      <c r="J77" s="741"/>
      <c r="K77" s="741"/>
      <c r="L77" s="741">
        <f t="shared" ref="L77:AA77" ca="1" si="149">DCF_value</f>
        <v>55609.452484906113</v>
      </c>
      <c r="M77" s="741">
        <f t="shared" ca="1" si="149"/>
        <v>55609.452484906113</v>
      </c>
      <c r="N77" s="741">
        <f t="shared" ca="1" si="149"/>
        <v>55609.452484906113</v>
      </c>
      <c r="O77" s="741">
        <f t="shared" ca="1" si="149"/>
        <v>55609.452484906113</v>
      </c>
      <c r="P77" s="742">
        <f t="shared" ca="1" si="149"/>
        <v>55609.452484906113</v>
      </c>
      <c r="Q77" s="742">
        <f t="shared" ca="1" si="149"/>
        <v>55609.452484906113</v>
      </c>
      <c r="R77" s="742">
        <f t="shared" ca="1" si="149"/>
        <v>55609.452484906113</v>
      </c>
      <c r="S77" s="742">
        <f t="shared" ca="1" si="149"/>
        <v>55609.452484906113</v>
      </c>
      <c r="T77" s="742">
        <f t="shared" ca="1" si="149"/>
        <v>55609.452484906113</v>
      </c>
      <c r="U77" s="742">
        <f t="shared" ca="1" si="149"/>
        <v>55609.452484906113</v>
      </c>
      <c r="V77" s="742">
        <f t="shared" ca="1" si="149"/>
        <v>55609.452484906113</v>
      </c>
      <c r="W77" s="742">
        <f t="shared" ca="1" si="149"/>
        <v>55609.452484906113</v>
      </c>
      <c r="X77" s="742">
        <f t="shared" ca="1" si="149"/>
        <v>55609.452484906113</v>
      </c>
      <c r="Y77" s="742">
        <f t="shared" ca="1" si="149"/>
        <v>55609.452484906113</v>
      </c>
      <c r="Z77" s="742">
        <f t="shared" ca="1" si="149"/>
        <v>55609.452484906113</v>
      </c>
      <c r="AA77" s="742">
        <f t="shared" ca="1" si="149"/>
        <v>55609.452484906113</v>
      </c>
      <c r="AB77" s="539"/>
      <c r="AC77" s="539"/>
      <c r="AD77" s="539"/>
      <c r="AE77" s="539"/>
      <c r="AF77" s="535">
        <f ca="1">AH76*2/23</f>
        <v>3533.5393711297015</v>
      </c>
      <c r="AG77" s="633" t="s">
        <v>48</v>
      </c>
      <c r="AH77" s="743">
        <f>AK77*AH58</f>
        <v>2712</v>
      </c>
      <c r="AI77" s="655">
        <f>AH77/AM77-1</f>
        <v>0</v>
      </c>
      <c r="AJ77" s="925" t="s">
        <v>1783</v>
      </c>
      <c r="AK77" s="900">
        <f>2712/AH58</f>
        <v>1.1365636551082501</v>
      </c>
      <c r="AM77" s="634">
        <v>2712</v>
      </c>
      <c r="AN77" s="500">
        <f ca="1">AH79/AH80</f>
        <v>9.4834779828101698</v>
      </c>
      <c r="AO77" s="672">
        <f ca="1">AH77/$AH$80</f>
        <v>1.852611780938658</v>
      </c>
      <c r="AW77" s="511">
        <v>44403</v>
      </c>
      <c r="AX77" s="499">
        <v>15.6044</v>
      </c>
    </row>
    <row r="78" spans="1:50" ht="18" customHeight="1">
      <c r="B78" s="521" t="s">
        <v>1784</v>
      </c>
      <c r="H78" s="745">
        <f>1-H77</f>
        <v>0.5</v>
      </c>
      <c r="I78" s="539"/>
      <c r="J78" s="539"/>
      <c r="K78" s="539"/>
      <c r="L78" s="539">
        <f t="shared" ref="L78:Q78" ca="1" si="150">L39*L59</f>
        <v>55473.316466995617</v>
      </c>
      <c r="M78" s="539">
        <f t="shared" ca="1" si="150"/>
        <v>46403.540061007661</v>
      </c>
      <c r="N78" s="539">
        <f t="shared" ca="1" si="150"/>
        <v>1783.6005641505153</v>
      </c>
      <c r="O78" s="539">
        <f t="shared" ca="1" si="150"/>
        <v>39591.761771093232</v>
      </c>
      <c r="P78" s="538">
        <f t="shared" ca="1" si="150"/>
        <v>71882.596079163006</v>
      </c>
      <c r="Q78" s="538">
        <f t="shared" ca="1" si="150"/>
        <v>91481.727080586876</v>
      </c>
      <c r="R78" s="538">
        <f ca="1">R39*R59</f>
        <v>110942.76562005255</v>
      </c>
      <c r="S78" s="538">
        <f t="shared" ref="S78:X78" ca="1" si="151">S39*S59</f>
        <v>129811.7524393424</v>
      </c>
      <c r="T78" s="538">
        <f t="shared" ca="1" si="151"/>
        <v>151728.74459819403</v>
      </c>
      <c r="U78" s="538">
        <f t="shared" ca="1" si="151"/>
        <v>175526.81630126617</v>
      </c>
      <c r="V78" s="538">
        <f t="shared" ca="1" si="151"/>
        <v>0</v>
      </c>
      <c r="W78" s="538">
        <f t="shared" ca="1" si="151"/>
        <v>8.1099743662223229</v>
      </c>
      <c r="X78" s="538">
        <f t="shared" ca="1" si="151"/>
        <v>4.359539134330193</v>
      </c>
      <c r="Y78" s="538">
        <f t="shared" ref="Y78:AA78" ca="1" si="152">Y39*Y59</f>
        <v>0</v>
      </c>
      <c r="Z78" s="538">
        <f t="shared" ca="1" si="152"/>
        <v>0</v>
      </c>
      <c r="AA78" s="538">
        <f t="shared" ca="1" si="152"/>
        <v>47329.75391261527</v>
      </c>
      <c r="AB78" s="539"/>
      <c r="AC78" s="539"/>
      <c r="AD78" s="539"/>
      <c r="AE78" s="539"/>
      <c r="AG78" s="599" t="s">
        <v>1446</v>
      </c>
      <c r="AH78" s="606">
        <f ca="1">SUM(AH75,AH77)+AH76*94.99%</f>
        <v>98510.228212032031</v>
      </c>
      <c r="AI78" s="646"/>
      <c r="AJ78" s="599"/>
      <c r="AK78" s="599"/>
      <c r="AL78" s="500"/>
      <c r="AM78" s="542">
        <f>SUM(AM75:AM77)</f>
        <v>77420.605261738921</v>
      </c>
      <c r="AN78" s="499">
        <f ca="1">AH77/AH80</f>
        <v>1.852611780938658</v>
      </c>
      <c r="AW78" s="511">
        <v>44400</v>
      </c>
      <c r="AX78" s="499">
        <v>15.6561</v>
      </c>
    </row>
    <row r="79" spans="1:50" ht="18" customHeight="1">
      <c r="B79" s="521" t="s">
        <v>1785</v>
      </c>
      <c r="H79" s="745">
        <v>0</v>
      </c>
      <c r="I79" s="539"/>
      <c r="J79" s="539"/>
      <c r="K79" s="539"/>
      <c r="L79" s="539">
        <f t="shared" ref="L79:Q79" ca="1" si="153">L65*L44</f>
        <v>91450.768066553544</v>
      </c>
      <c r="M79" s="539">
        <f t="shared" ca="1" si="153"/>
        <v>52315.967513552903</v>
      </c>
      <c r="N79" s="539">
        <f t="shared" ca="1" si="153"/>
        <v>51063.353731929048</v>
      </c>
      <c r="O79" s="539">
        <f t="shared" ca="1" si="153"/>
        <v>61494.108012263889</v>
      </c>
      <c r="P79" s="538">
        <f t="shared" ca="1" si="153"/>
        <v>71019.683301382742</v>
      </c>
      <c r="Q79" s="538">
        <f t="shared" ca="1" si="153"/>
        <v>86729.226421110216</v>
      </c>
      <c r="R79" s="538">
        <f ca="1">R65*R44</f>
        <v>106507.95392948718</v>
      </c>
      <c r="S79" s="538">
        <f t="shared" ref="S79:X79" ca="1" si="154">S65*S44</f>
        <v>130190.39623014606</v>
      </c>
      <c r="T79" s="538">
        <f t="shared" ca="1" si="154"/>
        <v>158451.87814062784</v>
      </c>
      <c r="U79" s="538">
        <f t="shared" ca="1" si="154"/>
        <v>191685.68668410173</v>
      </c>
      <c r="V79" s="538">
        <f t="shared" ca="1" si="154"/>
        <v>0</v>
      </c>
      <c r="W79" s="538">
        <f t="shared" ca="1" si="154"/>
        <v>10377.193748437538</v>
      </c>
      <c r="X79" s="538">
        <f t="shared" ca="1" si="154"/>
        <v>0</v>
      </c>
      <c r="Y79" s="538">
        <f t="shared" ref="Y79:AA79" ca="1" si="155">Y65*Y44</f>
        <v>0</v>
      </c>
      <c r="Z79" s="538">
        <f t="shared" ca="1" si="155"/>
        <v>0</v>
      </c>
      <c r="AA79" s="538" t="e">
        <f t="shared" ca="1" si="155"/>
        <v>#VALUE!</v>
      </c>
      <c r="AB79" s="539"/>
      <c r="AC79" s="539"/>
      <c r="AD79" s="539"/>
      <c r="AE79" s="539"/>
      <c r="AG79" s="789" t="s">
        <v>1786</v>
      </c>
      <c r="AH79" s="539">
        <f ca="1">+SUM(AH69:AH70)+923.42575</f>
        <v>13882.666921372003</v>
      </c>
      <c r="AJ79" s="500"/>
      <c r="AW79" s="511">
        <v>44399</v>
      </c>
      <c r="AX79" s="499">
        <v>16.017299999999999</v>
      </c>
    </row>
    <row r="80" spans="1:50" ht="18" customHeight="1">
      <c r="B80" s="521" t="s">
        <v>1787</v>
      </c>
      <c r="H80" s="745">
        <v>0</v>
      </c>
      <c r="I80" s="539"/>
      <c r="J80" s="539"/>
      <c r="K80" s="539"/>
      <c r="L80" s="539">
        <f t="shared" ref="L80:Q80" ca="1" si="156">L71/L29</f>
        <v>77.255278807331067</v>
      </c>
      <c r="M80" s="539">
        <f t="shared" ca="1" si="156"/>
        <v>49.358152176825747</v>
      </c>
      <c r="N80" s="539">
        <f t="shared" ca="1" si="156"/>
        <v>100.94707669576999</v>
      </c>
      <c r="O80" s="539">
        <f t="shared" ca="1" si="156"/>
        <v>111.90215493638215</v>
      </c>
      <c r="P80" s="538">
        <f t="shared" ca="1" si="156"/>
        <v>113.83553917487146</v>
      </c>
      <c r="Q80" s="538">
        <f t="shared" ca="1" si="156"/>
        <v>116.43496814480397</v>
      </c>
      <c r="R80" s="538">
        <f ca="1">R71/R29</f>
        <v>120.38994243665998</v>
      </c>
      <c r="S80" s="538" t="e">
        <f t="shared" ref="S80:X80" ca="1" si="157">S71/S29</f>
        <v>#DIV/0!</v>
      </c>
      <c r="T80" s="538" t="e">
        <f t="shared" ca="1" si="157"/>
        <v>#VALUE!</v>
      </c>
      <c r="U80" s="538">
        <f t="shared" ca="1" si="157"/>
        <v>-5.1153448284906444</v>
      </c>
      <c r="V80" s="538" t="e">
        <f t="shared" ca="1" si="157"/>
        <v>#DIV/0!</v>
      </c>
      <c r="W80" s="538" t="e">
        <f t="shared" ca="1" si="157"/>
        <v>#VALUE!</v>
      </c>
      <c r="X80" s="538">
        <f t="shared" ca="1" si="157"/>
        <v>0</v>
      </c>
      <c r="Y80" s="538" t="e">
        <f t="shared" ref="Y80:AA80" ca="1" si="158">Y71/Y29</f>
        <v>#DIV/0!</v>
      </c>
      <c r="Z80" s="538" t="e">
        <f t="shared" ca="1" si="158"/>
        <v>#DIV/0!</v>
      </c>
      <c r="AA80" s="538" t="e">
        <f t="shared" ca="1" si="158"/>
        <v>#VALUE!</v>
      </c>
      <c r="AB80" s="539"/>
      <c r="AC80" s="539"/>
      <c r="AD80" s="539"/>
      <c r="AE80" s="539"/>
      <c r="AG80" s="633" t="str">
        <f>AG72</f>
        <v>SLCP Lưu hành (triệu)</v>
      </c>
      <c r="AH80" s="634">
        <f ca="1">AH72</f>
        <v>1463.8792799999999</v>
      </c>
      <c r="AW80" s="511">
        <v>44398</v>
      </c>
      <c r="AX80" s="499">
        <v>15.6905</v>
      </c>
    </row>
    <row r="81" spans="1:50" ht="18" customHeight="1">
      <c r="B81" s="526" t="s">
        <v>1686</v>
      </c>
      <c r="H81" s="616">
        <f>SUM(H77:H80)</f>
        <v>1</v>
      </c>
      <c r="I81" s="523">
        <f>I54</f>
        <v>69040</v>
      </c>
      <c r="J81" s="523">
        <f>J54</f>
        <v>86000</v>
      </c>
      <c r="K81" s="523">
        <f>K54</f>
        <v>81000</v>
      </c>
      <c r="L81" s="523">
        <f t="shared" ref="L81:Q81" ca="1" si="159">SUMPRODUCT($H$77:$H$80,L77:L80)</f>
        <v>55541.384475950865</v>
      </c>
      <c r="M81" s="523">
        <f t="shared" ca="1" si="159"/>
        <v>51006.496272956887</v>
      </c>
      <c r="N81" s="523">
        <f t="shared" ca="1" si="159"/>
        <v>28696.526524528315</v>
      </c>
      <c r="O81" s="523">
        <f t="shared" ca="1" si="159"/>
        <v>47600.607127999669</v>
      </c>
      <c r="P81" s="524">
        <f t="shared" ca="1" si="159"/>
        <v>63746.024282034559</v>
      </c>
      <c r="Q81" s="524">
        <f t="shared" ca="1" si="159"/>
        <v>73545.589782746494</v>
      </c>
      <c r="R81" s="524">
        <f ca="1">SUMPRODUCT($H$77:$H$80,R77:R80)</f>
        <v>83276.109052479325</v>
      </c>
      <c r="S81" s="524" t="e">
        <f t="shared" ref="S81:X81" ca="1" si="160">SUMPRODUCT($H$77:$H$80,S77:S80)</f>
        <v>#DIV/0!</v>
      </c>
      <c r="T81" s="524" t="e">
        <f t="shared" ca="1" si="160"/>
        <v>#VALUE!</v>
      </c>
      <c r="U81" s="524">
        <f t="shared" ca="1" si="160"/>
        <v>115568.13439308613</v>
      </c>
      <c r="V81" s="524" t="e">
        <f t="shared" ca="1" si="160"/>
        <v>#DIV/0!</v>
      </c>
      <c r="W81" s="524" t="e">
        <f t="shared" ca="1" si="160"/>
        <v>#VALUE!</v>
      </c>
      <c r="X81" s="524">
        <f t="shared" ca="1" si="160"/>
        <v>27806.906012020223</v>
      </c>
      <c r="Y81" s="524" t="e">
        <f t="shared" ref="Y81:AA81" ca="1" si="161">SUMPRODUCT($H$77:$H$80,Y77:Y80)</f>
        <v>#DIV/0!</v>
      </c>
      <c r="Z81" s="524" t="e">
        <f t="shared" ca="1" si="161"/>
        <v>#DIV/0!</v>
      </c>
      <c r="AA81" s="524" t="e">
        <f t="shared" ca="1" si="161"/>
        <v>#VALUE!</v>
      </c>
      <c r="AB81" s="523"/>
      <c r="AC81" s="523"/>
      <c r="AD81" s="523"/>
      <c r="AE81" s="523"/>
      <c r="AG81" s="599" t="str">
        <f>AG73</f>
        <v>Gía trị hợp lý</v>
      </c>
      <c r="AH81" s="823">
        <f ca="1">ROUND((AH78+AH79)*1000/AH80,-2)</f>
        <v>76800</v>
      </c>
      <c r="AI81" s="508">
        <f ca="1">AH81/55000-1</f>
        <v>0.39636363636363647</v>
      </c>
      <c r="AJ81" s="892"/>
      <c r="AW81" s="511">
        <v>44397</v>
      </c>
      <c r="AX81" s="499">
        <v>15.828099999999999</v>
      </c>
    </row>
    <row r="82" spans="1:50" ht="18" customHeight="1">
      <c r="B82" s="521" t="str">
        <f ca="1">IF(L82&gt;=0,"Upside","Downside")</f>
        <v>Downside</v>
      </c>
      <c r="I82" s="549">
        <f t="shared" ref="I82:P82" si="162">I81/Share_Price-1</f>
        <v>-0.21900452488687783</v>
      </c>
      <c r="J82" s="549">
        <f t="shared" si="162"/>
        <v>-2.714932126696834E-2</v>
      </c>
      <c r="K82" s="746">
        <f t="shared" si="162"/>
        <v>-8.371040723981904E-2</v>
      </c>
      <c r="L82" s="746">
        <f t="shared" ca="1" si="162"/>
        <v>-0.37170379552091781</v>
      </c>
      <c r="M82" s="746">
        <f t="shared" ca="1" si="162"/>
        <v>-0.42300343582627953</v>
      </c>
      <c r="N82" s="746">
        <f t="shared" ca="1" si="162"/>
        <v>-0.67537865922479279</v>
      </c>
      <c r="O82" s="746">
        <f t="shared" ca="1" si="162"/>
        <v>-0.46153159357466433</v>
      </c>
      <c r="P82" s="747">
        <f t="shared" ca="1" si="162"/>
        <v>-0.27889112803128324</v>
      </c>
      <c r="Q82" s="747">
        <f t="shared" ref="Q82:X82" ca="1" si="163">Q81/Share_Price-1</f>
        <v>-0.16803631467481339</v>
      </c>
      <c r="R82" s="747">
        <f t="shared" ca="1" si="163"/>
        <v>-5.796256727964566E-2</v>
      </c>
      <c r="S82" s="747" t="e">
        <f t="shared" ca="1" si="163"/>
        <v>#DIV/0!</v>
      </c>
      <c r="T82" s="747" t="e">
        <f t="shared" ca="1" si="163"/>
        <v>#VALUE!</v>
      </c>
      <c r="U82" s="747">
        <f t="shared" ca="1" si="163"/>
        <v>0.30733183702586131</v>
      </c>
      <c r="V82" s="747" t="e">
        <f t="shared" ca="1" si="163"/>
        <v>#DIV/0!</v>
      </c>
      <c r="W82" s="747" t="e">
        <f t="shared" ca="1" si="163"/>
        <v>#VALUE!</v>
      </c>
      <c r="X82" s="747">
        <f t="shared" ca="1" si="163"/>
        <v>-0.68544223968302909</v>
      </c>
      <c r="Y82" s="747" t="e">
        <f t="shared" ref="Y82:AA82" ca="1" si="164">Y81/Share_Price-1</f>
        <v>#DIV/0!</v>
      </c>
      <c r="Z82" s="747" t="e">
        <f t="shared" ca="1" si="164"/>
        <v>#DIV/0!</v>
      </c>
      <c r="AA82" s="747" t="e">
        <f t="shared" ca="1" si="164"/>
        <v>#VALUE!</v>
      </c>
      <c r="AB82" s="746"/>
      <c r="AC82" s="746"/>
      <c r="AD82" s="746"/>
      <c r="AE82" s="746"/>
      <c r="AG82" s="789" t="str">
        <f>AG89</f>
        <v>Gía Hiện tại</v>
      </c>
      <c r="AH82" s="901">
        <v>84000</v>
      </c>
      <c r="AI82" s="508">
        <f ca="1">AH82*AH72</f>
        <v>122965859.52</v>
      </c>
      <c r="AN82" s="499">
        <f>48-30</f>
        <v>18</v>
      </c>
      <c r="AW82" s="511">
        <v>44396</v>
      </c>
      <c r="AX82" s="499">
        <v>15.7593</v>
      </c>
    </row>
    <row r="83" spans="1:50" ht="18" customHeight="1">
      <c r="A83" s="499">
        <v>6</v>
      </c>
      <c r="B83" s="584" t="s">
        <v>1788</v>
      </c>
      <c r="C83" s="581"/>
      <c r="D83" s="581"/>
      <c r="E83" s="581"/>
      <c r="F83" s="581"/>
      <c r="G83" s="581"/>
      <c r="H83" s="581"/>
      <c r="I83" s="750">
        <f t="shared" ref="I83:P83" ca="1" si="165">I81/I39</f>
        <v>10637.611357505248</v>
      </c>
      <c r="J83" s="750">
        <f t="shared" ca="1" si="165"/>
        <v>15.993563263498011</v>
      </c>
      <c r="K83" s="751">
        <f t="shared" ca="1" si="165"/>
        <v>30.237150579024071</v>
      </c>
      <c r="L83" s="751">
        <f ca="1">L81/L39</f>
        <v>16.641255670730391</v>
      </c>
      <c r="M83" s="751">
        <f t="shared" ca="1" si="165"/>
        <v>18.26955214486976</v>
      </c>
      <c r="N83" s="751">
        <f t="shared" ca="1" si="165"/>
        <v>251.32558644108281</v>
      </c>
      <c r="O83" s="751">
        <f t="shared" ca="1" si="165"/>
        <v>18.780737297856305</v>
      </c>
      <c r="P83" s="752">
        <f t="shared" ca="1" si="165"/>
        <v>13.852696642520653</v>
      </c>
      <c r="Q83" s="752">
        <f ca="1">Q81/Q39</f>
        <v>12.558195899126318</v>
      </c>
      <c r="R83" s="752">
        <f ca="1">R81/R39</f>
        <v>11.725366079658258</v>
      </c>
      <c r="S83" s="752" t="e">
        <f t="shared" ref="S83:X83" ca="1" si="166">S81/S39</f>
        <v>#DIV/0!</v>
      </c>
      <c r="T83" s="752" t="e">
        <f t="shared" ca="1" si="166"/>
        <v>#VALUE!</v>
      </c>
      <c r="U83" s="752">
        <f t="shared" ca="1" si="166"/>
        <v>10.284888796700171</v>
      </c>
      <c r="V83" s="752" t="e">
        <f t="shared" ca="1" si="166"/>
        <v>#DIV/0!</v>
      </c>
      <c r="W83" s="752" t="e">
        <f t="shared" ca="1" si="166"/>
        <v>#VALUE!</v>
      </c>
      <c r="X83" s="752">
        <f t="shared" ca="1" si="166"/>
        <v>99636.178465444522</v>
      </c>
      <c r="Y83" s="752" t="e">
        <f t="shared" ref="Y83:AA83" ca="1" si="167">Y81/Y39</f>
        <v>#DIV/0!</v>
      </c>
      <c r="Z83" s="752" t="e">
        <f t="shared" ca="1" si="167"/>
        <v>#DIV/0!</v>
      </c>
      <c r="AA83" s="752" t="e">
        <f t="shared" ca="1" si="167"/>
        <v>#VALUE!</v>
      </c>
      <c r="AB83" s="2058"/>
      <c r="AC83" s="2058"/>
      <c r="AD83" s="2058"/>
      <c r="AE83" s="2058"/>
      <c r="AG83" s="789" t="str">
        <f>AG90</f>
        <v>Upside</v>
      </c>
      <c r="AH83" s="952">
        <f ca="1">AH81/AH82-1</f>
        <v>-8.5714285714285743E-2</v>
      </c>
      <c r="AI83" s="655"/>
      <c r="AJ83" s="542"/>
      <c r="AN83" s="500">
        <f ca="1">AN82*AH80</f>
        <v>26349.827039999996</v>
      </c>
      <c r="AW83" s="511">
        <v>44393</v>
      </c>
      <c r="AX83" s="499">
        <v>16.516300000000001</v>
      </c>
    </row>
    <row r="84" spans="1:50" ht="18" customHeight="1">
      <c r="I84" s="549"/>
      <c r="J84" s="549"/>
      <c r="K84" s="746"/>
      <c r="L84" s="746"/>
      <c r="M84" s="746"/>
      <c r="N84" s="746"/>
      <c r="O84" s="746"/>
      <c r="P84" s="746"/>
      <c r="Y84" s="746"/>
      <c r="AG84" s="652" t="s">
        <v>715</v>
      </c>
      <c r="AH84" s="596" t="str">
        <f ca="1">IF(AH83&gt;15%,"MUA","THEO DÕI")</f>
        <v>THEO DÕI</v>
      </c>
      <c r="AI84" s="596"/>
      <c r="AJ84" s="596"/>
      <c r="AK84" s="596"/>
      <c r="AN84" s="500">
        <f ca="1">AN83/24.5</f>
        <v>1075.5031444897959</v>
      </c>
      <c r="AW84" s="511">
        <v>44392</v>
      </c>
      <c r="AX84" s="499">
        <v>16.3614</v>
      </c>
    </row>
    <row r="85" spans="1:50">
      <c r="I85" s="549"/>
      <c r="J85" s="549"/>
      <c r="K85" s="549"/>
      <c r="L85" s="549"/>
      <c r="M85" s="549"/>
      <c r="AG85" s="652" t="str">
        <f>AG41</f>
        <v>Phương pháp</v>
      </c>
      <c r="AH85" s="596" t="str">
        <f>AH41</f>
        <v>Giá</v>
      </c>
      <c r="AI85" s="596"/>
      <c r="AJ85" s="652" t="s">
        <v>1732</v>
      </c>
      <c r="AK85" s="596" t="s">
        <v>1733</v>
      </c>
      <c r="AN85" s="499">
        <f>1.5*24/1.4</f>
        <v>25.714285714285715</v>
      </c>
      <c r="AW85" s="511">
        <v>44391</v>
      </c>
      <c r="AX85" s="499">
        <v>16.516300000000001</v>
      </c>
    </row>
    <row r="86" spans="1:50" ht="16" customHeight="1">
      <c r="I86" s="549"/>
      <c r="K86" s="757"/>
      <c r="L86" s="757"/>
      <c r="M86" s="511">
        <v>44510</v>
      </c>
      <c r="N86" s="511">
        <v>44562</v>
      </c>
      <c r="O86" s="758">
        <v>44889</v>
      </c>
      <c r="AG86" s="599" t="str">
        <f>AG63</f>
        <v>Phương pháp DCF</v>
      </c>
      <c r="AH86" s="600">
        <f ca="1">AH73</f>
        <v>55609.452484906113</v>
      </c>
      <c r="AI86" s="748"/>
      <c r="AJ86" s="749">
        <v>0.6</v>
      </c>
      <c r="AK86" s="605">
        <f ca="1">AJ86*AH86</f>
        <v>33365.671490943663</v>
      </c>
      <c r="AN86" s="499">
        <f>25/18-1</f>
        <v>0.38888888888888884</v>
      </c>
      <c r="AW86" s="511">
        <v>44390</v>
      </c>
      <c r="AX86" s="499">
        <v>17.066800000000001</v>
      </c>
    </row>
    <row r="87" spans="1:50">
      <c r="K87" s="735"/>
      <c r="L87" s="759"/>
      <c r="M87" s="760">
        <f>YEARFRAC(N86,M86,1)</f>
        <v>0.14246575342465753</v>
      </c>
      <c r="N87" s="760">
        <f>YEARFRAC(O86,N86,1)</f>
        <v>0.89589041095890409</v>
      </c>
      <c r="AG87" s="633" t="str">
        <f>AG74</f>
        <v>Phương pháp SOTP</v>
      </c>
      <c r="AH87" s="634">
        <f ca="1">AH81</f>
        <v>76800</v>
      </c>
      <c r="AI87" s="655"/>
      <c r="AJ87" s="753">
        <f>1-AJ86</f>
        <v>0.4</v>
      </c>
      <c r="AK87" s="605">
        <f ca="1">AJ87*AH87</f>
        <v>30720</v>
      </c>
      <c r="AW87" s="511">
        <v>44389</v>
      </c>
      <c r="AX87" s="499">
        <v>17.565799999999999</v>
      </c>
    </row>
    <row r="88" spans="1:50">
      <c r="K88" s="735"/>
      <c r="L88" s="759"/>
      <c r="M88" s="760"/>
      <c r="N88" s="762"/>
      <c r="O88" s="525"/>
      <c r="AG88" s="754" t="str">
        <f>AG44</f>
        <v>Gía mục tiêu</v>
      </c>
      <c r="AH88" s="755"/>
      <c r="AI88" s="755"/>
      <c r="AJ88" s="756"/>
      <c r="AK88" s="755">
        <f ca="1">ROUND(SUM(AK86:AK87),-2)</f>
        <v>64100</v>
      </c>
      <c r="AW88" s="511">
        <v>44386</v>
      </c>
      <c r="AX88" s="499">
        <v>18.150700000000001</v>
      </c>
    </row>
    <row r="89" spans="1:50">
      <c r="K89" s="3450"/>
      <c r="L89" s="3450"/>
      <c r="M89" s="3450"/>
      <c r="N89" s="764"/>
      <c r="O89" s="525"/>
      <c r="AG89" s="599" t="str">
        <f>AG45</f>
        <v>Gía Hiện tại</v>
      </c>
      <c r="AH89" s="599"/>
      <c r="AI89" s="599"/>
      <c r="AJ89" s="599"/>
      <c r="AK89" s="606">
        <f ca="1">AJ135</f>
        <v>86000</v>
      </c>
      <c r="AL89" s="542">
        <f ca="1">AK89*1.463</f>
        <v>125818</v>
      </c>
      <c r="AW89" s="511">
        <v>44385</v>
      </c>
      <c r="AX89" s="499">
        <v>18.167899999999999</v>
      </c>
    </row>
    <row r="90" spans="1:50">
      <c r="L90" s="545"/>
      <c r="N90" s="765"/>
      <c r="O90" s="525"/>
      <c r="AG90" s="599" t="str">
        <f>AG46</f>
        <v>Upside</v>
      </c>
      <c r="AH90" s="599"/>
      <c r="AI90" s="599"/>
      <c r="AJ90" s="599"/>
      <c r="AK90" s="894">
        <f ca="1">AK88/AK89-1</f>
        <v>-0.25465116279069766</v>
      </c>
      <c r="AW90" s="511">
        <v>44384</v>
      </c>
      <c r="AX90" s="499">
        <v>18.322700000000001</v>
      </c>
    </row>
    <row r="91" spans="1:50">
      <c r="L91" s="545"/>
      <c r="N91" s="765"/>
      <c r="O91" s="525"/>
      <c r="AG91" s="652" t="str">
        <f>AG47</f>
        <v>Khuyến nghị</v>
      </c>
      <c r="AH91" s="761"/>
      <c r="AI91" s="761"/>
      <c r="AJ91" s="761"/>
      <c r="AK91" s="596" t="str">
        <f ca="1">IF(AK90&gt;15%,"MUA","THEO DÕI")</f>
        <v>THEO DÕI</v>
      </c>
      <c r="AW91" s="511">
        <v>44383</v>
      </c>
      <c r="AX91" s="499">
        <v>17.1356</v>
      </c>
    </row>
    <row r="92" spans="1:50">
      <c r="J92" s="545"/>
      <c r="L92" s="539"/>
      <c r="N92" s="539"/>
      <c r="O92" s="525"/>
      <c r="AW92" s="511">
        <v>44382</v>
      </c>
      <c r="AX92" s="499">
        <v>17.084</v>
      </c>
    </row>
    <row r="93" spans="1:50">
      <c r="L93" s="575"/>
      <c r="N93" s="539"/>
      <c r="O93" s="525"/>
      <c r="AW93" s="511">
        <v>44379</v>
      </c>
      <c r="AX93" s="499">
        <v>17.118400000000001</v>
      </c>
    </row>
    <row r="94" spans="1:50">
      <c r="K94" s="527"/>
      <c r="L94" s="661"/>
      <c r="N94" s="539"/>
      <c r="AF94" s="499" t="s">
        <v>94</v>
      </c>
      <c r="AG94" s="789" t="str">
        <f>AG48</f>
        <v>Tỷ lệ cổ tức</v>
      </c>
      <c r="AK94" s="763">
        <f ca="1">500/AK89</f>
        <v>5.8139534883720929E-3</v>
      </c>
      <c r="AM94" s="508" t="e">
        <f>AH$99/AH100-1</f>
        <v>#REF!</v>
      </c>
      <c r="AN94" s="508">
        <f>AJ$99/AJ100-1</f>
        <v>-0.11267605633802813</v>
      </c>
      <c r="AO94" s="508">
        <f>AI$99/AI100-1</f>
        <v>-0.24210526315789482</v>
      </c>
      <c r="AP94" s="508">
        <f>AK$99/AK100-1</f>
        <v>-0.11480276984293669</v>
      </c>
      <c r="AW94" s="511">
        <v>44378</v>
      </c>
      <c r="AX94" s="499">
        <v>17.238900000000001</v>
      </c>
    </row>
    <row r="95" spans="1:50">
      <c r="K95" s="527"/>
      <c r="L95" s="661"/>
      <c r="N95" s="539"/>
      <c r="AF95" s="499" t="s">
        <v>91</v>
      </c>
      <c r="AG95" s="789" t="str">
        <f>AG49</f>
        <v>P/E 5 năm</v>
      </c>
      <c r="AM95" s="508" t="e">
        <f>AH$99/AH101-1</f>
        <v>#REF!</v>
      </c>
      <c r="AN95" s="508">
        <f>AJ$99/AJ101-1</f>
        <v>-0.1524674622492046</v>
      </c>
      <c r="AO95" s="508">
        <f>AI$99/AI101-1</f>
        <v>-0.30755980904043534</v>
      </c>
      <c r="AP95" s="508">
        <f>AK$99/AK101-1</f>
        <v>-6.6273633430833812E-2</v>
      </c>
      <c r="AW95" s="511">
        <v>44377</v>
      </c>
      <c r="AX95" s="499">
        <v>17.221699999999998</v>
      </c>
    </row>
    <row r="96" spans="1:50">
      <c r="K96" s="527"/>
      <c r="L96" s="767"/>
      <c r="N96" s="539"/>
      <c r="AF96" s="499" t="s">
        <v>87</v>
      </c>
      <c r="AM96" s="508" t="e">
        <f>AH$99/AH102-1</f>
        <v>#REF!</v>
      </c>
      <c r="AN96" s="508">
        <f>AJ$99/AJ102-1</f>
        <v>2.6557012750179374</v>
      </c>
      <c r="AO96" s="508">
        <f>AI$99/AI102-1</f>
        <v>-0.22085238779826288</v>
      </c>
      <c r="AP96" s="508">
        <f>AK$99/AK102-1</f>
        <v>2.0722848495873913E-2</v>
      </c>
      <c r="AW96" s="511">
        <v>44376</v>
      </c>
      <c r="AX96" s="499">
        <v>19.822399999999998</v>
      </c>
    </row>
    <row r="97" spans="2:50">
      <c r="K97" s="527"/>
      <c r="L97" s="767"/>
      <c r="N97" s="539"/>
      <c r="AF97" s="499" t="s">
        <v>83</v>
      </c>
      <c r="AG97" s="795" t="s">
        <v>1789</v>
      </c>
      <c r="AM97" s="508" t="e">
        <f>AH$99/AH103-1</f>
        <v>#REF!</v>
      </c>
      <c r="AN97" s="508">
        <f>AJ$99/AJ103-1</f>
        <v>2.7799951183685474</v>
      </c>
      <c r="AO97" s="508">
        <f>AI$99/AI103-1</f>
        <v>0.41439996396697998</v>
      </c>
      <c r="AP97" s="508">
        <f>AK$99/AK103-1</f>
        <v>0.66167450182849907</v>
      </c>
      <c r="AW97" s="511">
        <v>44375</v>
      </c>
      <c r="AX97" s="499">
        <v>19.721900000000002</v>
      </c>
    </row>
    <row r="98" spans="2:50">
      <c r="K98" s="527"/>
      <c r="L98" s="661"/>
      <c r="M98" s="527"/>
      <c r="N98" s="768"/>
      <c r="AF98" s="499" t="s">
        <v>79</v>
      </c>
      <c r="AG98" s="791" t="s">
        <v>1595</v>
      </c>
      <c r="AH98" s="509" t="s">
        <v>1289</v>
      </c>
      <c r="AI98" s="509" t="s">
        <v>1297</v>
      </c>
      <c r="AJ98" s="509" t="s">
        <v>1291</v>
      </c>
      <c r="AK98" s="509" t="s">
        <v>321</v>
      </c>
      <c r="AM98" s="508" t="e">
        <f>AH$99/AH104-1</f>
        <v>#REF!</v>
      </c>
      <c r="AN98" s="508">
        <f>AJ$99/AJ104-1</f>
        <v>1.0739422415383659</v>
      </c>
      <c r="AO98" s="508">
        <f>AI$99/AI104-1</f>
        <v>-2.077954777316382E-2</v>
      </c>
      <c r="AP98" s="508">
        <f>AK$99/AK104-1</f>
        <v>0.29321911667447487</v>
      </c>
      <c r="AW98" s="511">
        <v>44372</v>
      </c>
      <c r="AX98" s="499">
        <v>19.581199999999999</v>
      </c>
    </row>
    <row r="99" spans="2:50">
      <c r="K99" s="527"/>
      <c r="L99" s="767"/>
      <c r="AG99" s="766">
        <v>45069</v>
      </c>
      <c r="AH99" s="542" t="e">
        <f>#REF!/1000</f>
        <v>#REF!</v>
      </c>
      <c r="AI99" s="542">
        <v>102508.184376</v>
      </c>
      <c r="AJ99" s="542">
        <v>7463.7697049999997</v>
      </c>
      <c r="AK99" s="542">
        <v>23648.773250900002</v>
      </c>
      <c r="AW99" s="511">
        <v>44371</v>
      </c>
      <c r="AX99" s="499">
        <v>19.721900000000002</v>
      </c>
    </row>
    <row r="100" spans="2:50">
      <c r="K100" s="527"/>
      <c r="L100" s="769"/>
      <c r="AG100" s="791" t="s">
        <v>94</v>
      </c>
      <c r="AH100" s="542">
        <v>67022.653592799994</v>
      </c>
      <c r="AI100" s="542">
        <v>135253.85438500001</v>
      </c>
      <c r="AJ100" s="542">
        <v>8411.5499849999997</v>
      </c>
      <c r="AK100" s="542">
        <v>26715.8238246</v>
      </c>
      <c r="AW100" s="511">
        <v>44370</v>
      </c>
      <c r="AX100" s="499">
        <v>19.8626</v>
      </c>
    </row>
    <row r="101" spans="2:50">
      <c r="AG101" s="791" t="s">
        <v>91</v>
      </c>
      <c r="AH101" s="542">
        <v>95748.800021999996</v>
      </c>
      <c r="AI101" s="542">
        <v>148039.044692</v>
      </c>
      <c r="AJ101" s="542">
        <v>8806.4698079999998</v>
      </c>
      <c r="AK101" s="542">
        <v>25327.305833499999</v>
      </c>
      <c r="AW101" s="511">
        <v>44369</v>
      </c>
      <c r="AX101" s="499">
        <v>19.802299999999999</v>
      </c>
    </row>
    <row r="102" spans="2:50">
      <c r="H102" s="500"/>
      <c r="AG102" s="791" t="s">
        <v>87</v>
      </c>
      <c r="AH102" s="542">
        <v>69412.954761999994</v>
      </c>
      <c r="AI102" s="542">
        <v>131564.523552</v>
      </c>
      <c r="AJ102" s="542">
        <v>2041.6793232</v>
      </c>
      <c r="AK102" s="542">
        <v>23168.652769699998</v>
      </c>
      <c r="AW102" s="511">
        <v>44368</v>
      </c>
      <c r="AX102" s="499">
        <v>19.721900000000002</v>
      </c>
    </row>
    <row r="103" spans="2:50">
      <c r="AG103" s="791" t="s">
        <v>83</v>
      </c>
      <c r="AH103" s="542">
        <v>38489.481209999998</v>
      </c>
      <c r="AI103" s="542">
        <v>72474.679713999998</v>
      </c>
      <c r="AJ103" s="542">
        <v>1974.5447999999999</v>
      </c>
      <c r="AK103" s="542">
        <v>14231.892723200001</v>
      </c>
      <c r="AW103" s="511">
        <v>44365</v>
      </c>
      <c r="AX103" s="499">
        <v>19.701799999999999</v>
      </c>
    </row>
    <row r="104" spans="2:50">
      <c r="C104" s="499">
        <v>65</v>
      </c>
      <c r="D104" s="499">
        <v>66</v>
      </c>
      <c r="E104" s="499">
        <v>102</v>
      </c>
      <c r="F104" s="499">
        <v>103</v>
      </c>
      <c r="G104" s="499">
        <v>105</v>
      </c>
      <c r="H104" s="499">
        <v>107</v>
      </c>
      <c r="I104" s="499">
        <v>312</v>
      </c>
      <c r="J104" s="499">
        <v>308</v>
      </c>
      <c r="K104" s="499">
        <v>307</v>
      </c>
      <c r="O104" s="499">
        <v>326</v>
      </c>
      <c r="P104" s="499">
        <v>1</v>
      </c>
      <c r="S104" s="499">
        <v>2</v>
      </c>
      <c r="V104" s="499">
        <v>3</v>
      </c>
      <c r="Y104" s="499">
        <v>4</v>
      </c>
      <c r="AF104" s="508"/>
      <c r="AG104" s="800" t="s">
        <v>79</v>
      </c>
      <c r="AH104" s="693">
        <v>38788.0708572</v>
      </c>
      <c r="AI104" s="693">
        <v>104683.45931999999</v>
      </c>
      <c r="AJ104" s="693">
        <v>3598.8319999999999</v>
      </c>
      <c r="AK104" s="693">
        <v>18286.7488935</v>
      </c>
      <c r="AW104" s="511">
        <v>44364</v>
      </c>
      <c r="AX104" s="499">
        <v>19.199200000000001</v>
      </c>
    </row>
    <row r="105" spans="2:50" ht="15">
      <c r="B105" s="770">
        <v>10</v>
      </c>
      <c r="C105" s="499" t="s">
        <v>1790</v>
      </c>
      <c r="D105" s="499" t="s">
        <v>1791</v>
      </c>
      <c r="E105" s="499" t="s">
        <v>1792</v>
      </c>
      <c r="F105" s="499" t="s">
        <v>1791</v>
      </c>
      <c r="G105" s="499" t="s">
        <v>1693</v>
      </c>
      <c r="H105" s="499" t="s">
        <v>1694</v>
      </c>
      <c r="I105" s="499" t="s">
        <v>1682</v>
      </c>
      <c r="J105" s="499" t="str">
        <f>AP20</f>
        <v>ROA 2022</v>
      </c>
      <c r="K105" s="499" t="str">
        <f>AQ20</f>
        <v>ROE 2022</v>
      </c>
      <c r="L105" s="499" t="str">
        <f>AR20</f>
        <v>Giá ngày 23/04/</v>
      </c>
      <c r="M105" s="499" t="str">
        <f>AS20</f>
        <v>Giá mục tiêu</v>
      </c>
      <c r="N105" s="499" t="str">
        <f>AT20</f>
        <v>Upside</v>
      </c>
      <c r="O105" s="499" t="s">
        <v>672</v>
      </c>
      <c r="P105" s="499" t="s">
        <v>1793</v>
      </c>
      <c r="Q105" s="437" t="s">
        <v>1794</v>
      </c>
      <c r="R105" s="437" t="s">
        <v>1071</v>
      </c>
      <c r="S105" s="499" t="s">
        <v>1793</v>
      </c>
      <c r="T105" s="437" t="s">
        <v>1794</v>
      </c>
      <c r="U105" s="437" t="s">
        <v>1071</v>
      </c>
      <c r="V105" s="499" t="s">
        <v>1793</v>
      </c>
      <c r="W105" s="437" t="s">
        <v>1794</v>
      </c>
      <c r="X105" s="437" t="s">
        <v>1071</v>
      </c>
      <c r="Y105" s="499" t="s">
        <v>1793</v>
      </c>
      <c r="Z105" s="437" t="s">
        <v>1794</v>
      </c>
      <c r="AA105" s="437" t="s">
        <v>1071</v>
      </c>
      <c r="AB105" s="437"/>
      <c r="AC105" s="437"/>
      <c r="AD105" s="437"/>
      <c r="AE105" s="437"/>
      <c r="AF105" s="687"/>
      <c r="AW105" s="511">
        <v>44363</v>
      </c>
      <c r="AX105" s="499">
        <v>19.1188</v>
      </c>
    </row>
    <row r="106" spans="2:50">
      <c r="C106" s="542">
        <f ca="1">OFFSET(FS!$D$2,Valuation!C104,Valuation!$B$105,1,1)</f>
        <v>118279.788455442</v>
      </c>
      <c r="D106" s="508">
        <f ca="1">OFFSET(FS!$D$2,Valuation!D104,Valuation!$B$105,1,1)</f>
        <v>-0.11337669339155632</v>
      </c>
      <c r="E106" s="542">
        <f ca="1">OFFSET(FS!$D$2,Valuation!E104,Valuation!$B$105,1,1)</f>
        <v>167.66939270399794</v>
      </c>
      <c r="F106" s="508">
        <f ca="1">OFFSET(FS!$D$2,Valuation!F104,Valuation!$B$105,1,1)</f>
        <v>-0.9591026623765091</v>
      </c>
      <c r="G106" s="542">
        <f ca="1">OFFSET(FS!$D$2,Valuation!G104,Valuation!$B$105,1,1)</f>
        <v>114.18068064970186</v>
      </c>
      <c r="H106" s="567">
        <f ca="1">OFFSET(FS!$D$2,Valuation!H104,Valuation!$B$105,1,1)</f>
        <v>774.21153470966658</v>
      </c>
      <c r="I106" s="567">
        <f ca="1">OFFSET(FS!$D$2,Valuation!I104,Valuation!$B$105,1,1)</f>
        <v>5.5397849793622145</v>
      </c>
      <c r="J106" s="508">
        <f ca="1">OFFSET(FS!$D$2,Valuation!J104,Valuation!$B$105,1,1)</f>
        <v>2.789528712980039E-3</v>
      </c>
      <c r="K106" s="508">
        <f ca="1">OFFSET(FS!$D$2,Valuation!K104,Valuation!$B$105,1,1)</f>
        <v>7.1777639345075826E-3</v>
      </c>
      <c r="L106" s="545">
        <f>AH82</f>
        <v>84000</v>
      </c>
      <c r="M106" s="545">
        <f ca="1">AH81</f>
        <v>76800</v>
      </c>
      <c r="N106" s="508">
        <f ca="1">M106/L106-1</f>
        <v>-8.5714285714285743E-2</v>
      </c>
      <c r="O106" s="542">
        <f ca="1">OFFSET(FS!$D$2,O104,Valuation!$B$105,1,1)</f>
        <v>15907.555847688242</v>
      </c>
      <c r="P106" s="499">
        <f ca="1">OFFSET(FS!$D$2,P104,Valuation!$B$105,1,1)</f>
        <v>60107.878446295006</v>
      </c>
      <c r="Q106" s="542">
        <f ca="1">OFFSET(FS!$D$2,27,Valuation!$B$105,1,1)+OFFSET(FS!$D$2,34,Valuation!$B$105,1,1)</f>
        <v>25113.791817780999</v>
      </c>
      <c r="R106" s="542">
        <f ca="1">OFFSET(FS!$D$2,5,Valuation!$B$105,1,1)+OFFSET(FS!$D$2,6,Valuation!$B$105,1,1)</f>
        <v>24302.712930995</v>
      </c>
      <c r="S106" s="499">
        <f ca="1">OFFSET(FS!$D$2,S104,Valuation!$B$105,1,1)</f>
        <v>0</v>
      </c>
      <c r="T106" s="542">
        <f ca="1">OFFSET(FS!$D$2,27,Valuation!$B$105,1,1)+OFFSET(FS!$D$2,34,Valuation!$B$105,1,1)</f>
        <v>25113.791817780999</v>
      </c>
      <c r="U106" s="542">
        <f ca="1">OFFSET(FS!$D$2,5,Valuation!$B$105,1,1)+OFFSET(FS!$D$2,6,Valuation!$B$105,1,1)</f>
        <v>24302.712930995</v>
      </c>
      <c r="V106" s="499">
        <f ca="1">OFFSET(FS!$D$2,V104,Valuation!$B$105,1,1)</f>
        <v>51946.979209618003</v>
      </c>
      <c r="W106" s="542">
        <f ca="1">OFFSET(FS!$D$2,27,Valuation!$B$105,1,1)+OFFSET(FS!$D$2,34,Valuation!$B$105,1,1)</f>
        <v>25113.791817780999</v>
      </c>
      <c r="X106" s="542">
        <f ca="1">OFFSET(FS!$D$2,5,Valuation!$B$105,1,1)+OFFSET(FS!$D$2,6,Valuation!$B$105,1,1)</f>
        <v>24302.712930995</v>
      </c>
      <c r="Y106" s="499">
        <f ca="1">OFFSET(FS!$D$2,Y104,Valuation!$B$105,1,1)</f>
        <v>0</v>
      </c>
      <c r="Z106" s="542">
        <f ca="1">OFFSET(FS!$D$2,27,Valuation!$B$105,1,1)+OFFSET(FS!$D$2,34,Valuation!$B$105,1,1)</f>
        <v>25113.791817780999</v>
      </c>
      <c r="AA106" s="542">
        <f ca="1">OFFSET(FS!$D$2,5,Valuation!$B$105,1,1)+OFFSET(FS!$D$2,6,Valuation!$B$105,1,1)</f>
        <v>24302.712930995</v>
      </c>
      <c r="AB106" s="542"/>
      <c r="AC106" s="542"/>
      <c r="AD106" s="542"/>
      <c r="AE106" s="542"/>
      <c r="AF106" s="687"/>
      <c r="AG106" s="791" t="s">
        <v>4</v>
      </c>
      <c r="AH106" s="509" t="str">
        <f>AH98</f>
        <v>MWG</v>
      </c>
      <c r="AI106" s="509" t="str">
        <f>AI98</f>
        <v>MSN</v>
      </c>
      <c r="AJ106" s="509" t="str">
        <f>AJ98</f>
        <v>FRT</v>
      </c>
      <c r="AK106" s="509" t="str">
        <f>AK98</f>
        <v>PNJ</v>
      </c>
      <c r="AW106" s="511">
        <v>44362</v>
      </c>
      <c r="AX106" s="499">
        <v>19.299700000000001</v>
      </c>
    </row>
    <row r="107" spans="2:50">
      <c r="AG107" s="766">
        <f t="shared" ref="AG107:AG112" si="168">AG99</f>
        <v>45069</v>
      </c>
      <c r="AH107" s="542">
        <f>1188+2292+1078+523+64</f>
        <v>5145</v>
      </c>
      <c r="AI107" s="542">
        <v>3442</v>
      </c>
      <c r="AJ107" s="542">
        <f>968+1108</f>
        <v>2076</v>
      </c>
      <c r="AK107" s="542">
        <v>376</v>
      </c>
      <c r="AW107" s="511">
        <v>44361</v>
      </c>
      <c r="AX107" s="499">
        <v>19.500800000000002</v>
      </c>
    </row>
    <row r="108" spans="2:50">
      <c r="B108" s="499">
        <v>12</v>
      </c>
      <c r="C108" s="499" t="s">
        <v>1790</v>
      </c>
      <c r="D108" s="499" t="s">
        <v>1791</v>
      </c>
      <c r="E108" s="499" t="s">
        <v>1792</v>
      </c>
      <c r="F108" s="499" t="s">
        <v>1791</v>
      </c>
      <c r="G108" s="499" t="str">
        <f>G105</f>
        <v>EPS 2022 (đ/cp)</v>
      </c>
      <c r="H108" s="499" t="str">
        <f>H105</f>
        <v>P/E fw</v>
      </c>
      <c r="I108" s="499" t="str">
        <f>I105</f>
        <v>P/B fw</v>
      </c>
      <c r="J108" s="499">
        <f>AP23</f>
        <v>0</v>
      </c>
      <c r="K108" s="499">
        <f>AQ23</f>
        <v>0</v>
      </c>
      <c r="L108" s="499">
        <f>AR23</f>
        <v>0</v>
      </c>
      <c r="M108" s="499">
        <f>AS23</f>
        <v>0</v>
      </c>
      <c r="AG108" s="791" t="str">
        <f t="shared" si="168"/>
        <v>Q4/2022</v>
      </c>
      <c r="AH108" s="542">
        <f>1190+2284+1728+500+64+12</f>
        <v>5778</v>
      </c>
      <c r="AI108" s="542">
        <v>3398</v>
      </c>
      <c r="AJ108" s="542">
        <f>937+786</f>
        <v>1723</v>
      </c>
      <c r="AK108" s="542">
        <v>364</v>
      </c>
      <c r="AW108" s="511">
        <v>44358</v>
      </c>
      <c r="AX108" s="499">
        <v>19.480699999999999</v>
      </c>
    </row>
    <row r="109" spans="2:50">
      <c r="B109" s="542">
        <f ca="1">AJ45*M27/10^3</f>
        <v>129406.92835199999</v>
      </c>
      <c r="C109" s="605">
        <f ca="1">OFFSET(FS!$D$2,C104,$B$108,1,1)</f>
        <v>159591.72685726223</v>
      </c>
      <c r="D109" s="646">
        <f ca="1">OFFSET(FS!$D$2,D104,$B$108,1,1)</f>
        <v>0.1879585925310554</v>
      </c>
      <c r="E109" s="605">
        <f ca="1">OFFSET(FS!$D$2,E104,$B$108,1,1)</f>
        <v>6757.4049217238035</v>
      </c>
      <c r="F109" s="646">
        <f ca="1">OFFSET(FS!$D$2,F104,$B$108,1,1)</f>
        <v>0.81559478193380097</v>
      </c>
      <c r="G109" s="605">
        <f ca="1">OFFSET(FS!$D$2,G104,$B$108,1,1)</f>
        <v>4601.7050634290981</v>
      </c>
      <c r="H109" s="729">
        <f ca="1">OFFSET(FS!$D$2,H104,$B$108,1,1)</f>
        <v>19.210270710858225</v>
      </c>
      <c r="I109" s="729">
        <f ca="1">OFFSET(FS!$D$2,I104,$B$108,1,1)</f>
        <v>3.9831211130519413</v>
      </c>
      <c r="J109" s="646">
        <f ca="1">OFFSET(FS!$D$2,J104,$B$108,1,1)</f>
        <v>8.7693034560660341E-2</v>
      </c>
      <c r="K109" s="646">
        <f ca="1">OFFSET(FS!$D$2,K104,$B$108,1,1)</f>
        <v>0.20734330988894184</v>
      </c>
      <c r="L109" s="545">
        <f>L106</f>
        <v>84000</v>
      </c>
      <c r="M109" s="545">
        <f ca="1">M106</f>
        <v>76800</v>
      </c>
      <c r="N109" s="508">
        <f ca="1">N106</f>
        <v>-8.5714285714285743E-2</v>
      </c>
      <c r="O109" s="542">
        <f ca="1">OFFSET(FS!$D$2,O104,$B$108,1,1)</f>
        <v>22193.651031682111</v>
      </c>
      <c r="P109" s="542">
        <f ca="1">OFFSET(FS!$D$2,P104,$B$108,1,1)</f>
        <v>77057.487582431306</v>
      </c>
      <c r="Q109" s="542">
        <f ca="1">OFFSET(FS!$D$2,27,$B$108,1,1)+OFFSET(FS!$D$2,34,$B$108,1,1)</f>
        <v>27503.765461893134</v>
      </c>
      <c r="R109" s="542">
        <f ca="1">OFFSET(FS!$D$2,5,$B$108,1,1)+OFFSET(FS!$D$2,6,$B$108,1,1)</f>
        <v>37800.065676691433</v>
      </c>
      <c r="S109" s="542">
        <f ca="1">OFFSET(FS!$D$2,S104,$B$108,1,1)</f>
        <v>0</v>
      </c>
      <c r="T109" s="542">
        <f ca="1">OFFSET(FS!$D$2,27,$B$108,1,1)+OFFSET(FS!$D$2,34,$B$108,1,1)</f>
        <v>27503.765461893134</v>
      </c>
      <c r="U109" s="542">
        <f ca="1">OFFSET(FS!$D$2,5,$B$108,1,1)+OFFSET(FS!$D$2,6,$B$108,1,1)</f>
        <v>37800.065676691433</v>
      </c>
      <c r="V109" s="542">
        <f ca="1">OFFSET(FS!$D$2,V104,$B$108,1,1)</f>
        <v>73038.450333421657</v>
      </c>
      <c r="W109" s="542">
        <f ca="1">OFFSET(FS!$D$2,27,$B$108,1,1)+OFFSET(FS!$D$2,34,$B$108,1,1)</f>
        <v>27503.765461893134</v>
      </c>
      <c r="X109" s="542">
        <f ca="1">OFFSET(FS!$D$2,5,$B$108,1,1)+OFFSET(FS!$D$2,6,$B$108,1,1)</f>
        <v>37800.065676691433</v>
      </c>
      <c r="Y109" s="542">
        <f ca="1">OFFSET(FS!$D$2,Y104,$B$108,1,1)</f>
        <v>0</v>
      </c>
      <c r="Z109" s="542">
        <f ca="1">OFFSET(FS!$D$2,27,$B$108,1,1)+OFFSET(FS!$D$2,34,$B$108,1,1)</f>
        <v>27503.765461893134</v>
      </c>
      <c r="AA109" s="542">
        <f ca="1">OFFSET(FS!$D$2,5,$B$108,1,1)+OFFSET(FS!$D$2,6,$B$108,1,1)</f>
        <v>37800.065676691433</v>
      </c>
      <c r="AB109" s="542"/>
      <c r="AC109" s="542"/>
      <c r="AD109" s="542"/>
      <c r="AE109" s="542"/>
      <c r="AG109" s="791" t="str">
        <f t="shared" si="168"/>
        <v>Q1/2022</v>
      </c>
      <c r="AH109" s="542">
        <f>Rev_Month!AZ10+Rev_Month!AZ16+Rev_Month!AZ23+Rev_Month!AZ41+Rev_Month!AY57</f>
        <v>5448</v>
      </c>
      <c r="AI109" s="542">
        <f>2708+124</f>
        <v>2832</v>
      </c>
      <c r="AJ109" s="542">
        <f>676+546</f>
        <v>1222</v>
      </c>
      <c r="AK109" s="542">
        <v>343</v>
      </c>
      <c r="AW109" s="511">
        <v>44357</v>
      </c>
      <c r="AX109" s="499">
        <v>19.259499999999999</v>
      </c>
    </row>
    <row r="110" spans="2:50">
      <c r="O110" s="500"/>
      <c r="AG110" s="791" t="str">
        <f t="shared" si="168"/>
        <v>Q1/2021</v>
      </c>
      <c r="AH110" s="542">
        <f>Rev_Month!AO10+Rev_Month!AO23+Rev_Month!AO41</f>
        <v>4354</v>
      </c>
      <c r="AI110" s="542">
        <v>2335</v>
      </c>
      <c r="AJ110" s="542">
        <f>601+222</f>
        <v>823</v>
      </c>
      <c r="AK110" s="542">
        <v>340</v>
      </c>
      <c r="AW110" s="511">
        <v>44356</v>
      </c>
      <c r="AX110" s="499">
        <v>19.259499999999999</v>
      </c>
    </row>
    <row r="111" spans="2:50" ht="15">
      <c r="C111" s="499">
        <f>60.9*118.5/513</f>
        <v>14.067543859649122</v>
      </c>
      <c r="Q111" s="437"/>
      <c r="T111" s="437"/>
      <c r="W111" s="437"/>
      <c r="Z111" s="437"/>
      <c r="AG111" s="791" t="str">
        <f t="shared" si="168"/>
        <v>Q1/2020</v>
      </c>
      <c r="AH111" s="522">
        <f>Rev_Month!AC10+Rev_Month!AC23+Rev_Month!AC41</f>
        <v>3268</v>
      </c>
      <c r="AI111" s="522">
        <v>2998</v>
      </c>
      <c r="AJ111" s="522">
        <f>603+83</f>
        <v>686</v>
      </c>
      <c r="AK111" s="522">
        <v>349</v>
      </c>
      <c r="AW111" s="511">
        <v>44355</v>
      </c>
      <c r="AX111" s="499">
        <v>19.299700000000001</v>
      </c>
    </row>
    <row r="112" spans="2:50" ht="15">
      <c r="G112" s="3453" t="s">
        <v>1795</v>
      </c>
      <c r="H112" s="3454"/>
      <c r="I112" s="3454"/>
      <c r="J112" s="3454"/>
      <c r="Q112" s="437"/>
      <c r="T112" s="437"/>
      <c r="W112" s="437"/>
      <c r="Z112" s="437"/>
      <c r="AG112" s="800" t="str">
        <f t="shared" si="168"/>
        <v>Q1/2019</v>
      </c>
      <c r="AH112" s="693">
        <f>Rev_Month!Q10+Rev_Month!Q23+Rev_Month!Q41</f>
        <v>2324</v>
      </c>
      <c r="AI112" s="693" t="str">
        <f>AI118</f>
        <v>NA</v>
      </c>
      <c r="AJ112" s="693">
        <f>541+28</f>
        <v>569</v>
      </c>
      <c r="AK112" s="693">
        <v>327</v>
      </c>
      <c r="AW112" s="511">
        <v>44354</v>
      </c>
      <c r="AX112" s="499">
        <v>20.023499999999999</v>
      </c>
    </row>
    <row r="113" spans="2:50">
      <c r="G113" s="3455" t="str">
        <f>"P/E ("&amp;H78*100&amp;"%)"</f>
        <v>P/E (50%)</v>
      </c>
      <c r="H113" s="3456"/>
      <c r="I113" s="3451" t="str">
        <f>"DCF ("&amp;H77*100&amp;"%)"</f>
        <v>DCF (50%)</v>
      </c>
      <c r="J113" s="3452"/>
      <c r="AW113" s="511">
        <v>44351</v>
      </c>
      <c r="AX113" s="499">
        <v>20.224499999999999</v>
      </c>
    </row>
    <row r="114" spans="2:50">
      <c r="H114" s="525"/>
      <c r="I114" s="499" t="s">
        <v>1796</v>
      </c>
      <c r="J114" s="538">
        <f ca="1">ROUND(R9,-3)/1000</f>
        <v>75</v>
      </c>
      <c r="AG114" s="791" t="s">
        <v>1797</v>
      </c>
      <c r="AH114" s="771" t="str">
        <f>AH106</f>
        <v>MWG</v>
      </c>
      <c r="AI114" s="771" t="str">
        <f>AI106</f>
        <v>MSN</v>
      </c>
      <c r="AJ114" s="771" t="str">
        <f>AJ106</f>
        <v>FRT</v>
      </c>
      <c r="AK114" s="771" t="str">
        <f>AK106</f>
        <v>PNJ</v>
      </c>
      <c r="AW114" s="511">
        <v>44350</v>
      </c>
      <c r="AX114" s="499">
        <v>20.345099999999999</v>
      </c>
    </row>
    <row r="115" spans="2:50">
      <c r="C115" s="499" t="s">
        <v>425</v>
      </c>
      <c r="D115" s="499">
        <v>3</v>
      </c>
      <c r="H115" s="525"/>
      <c r="I115" s="499" t="s">
        <v>1750</v>
      </c>
      <c r="J115" s="685">
        <f ca="1">WACC</f>
        <v>8.7630432180828707E-2</v>
      </c>
      <c r="AG115" s="791" t="str">
        <f>AG109</f>
        <v>Q1/2022</v>
      </c>
      <c r="AH115" s="772">
        <f t="shared" ref="AH115:AK117" si="169">AH101/AH109</f>
        <v>17.575036714757708</v>
      </c>
      <c r="AI115" s="772">
        <f t="shared" si="169"/>
        <v>52.273673973163838</v>
      </c>
      <c r="AJ115" s="772">
        <f t="shared" si="169"/>
        <v>7.2066037708674306</v>
      </c>
      <c r="AK115" s="772">
        <f t="shared" si="169"/>
        <v>73.840541788629736</v>
      </c>
      <c r="AW115" s="511">
        <v>44349</v>
      </c>
      <c r="AX115" s="499">
        <v>20.2044</v>
      </c>
    </row>
    <row r="116" spans="2:50">
      <c r="C116" s="499" t="s">
        <v>672</v>
      </c>
      <c r="D116" s="545">
        <f ca="1">O109</f>
        <v>22193.651031682111</v>
      </c>
      <c r="H116" s="525"/>
      <c r="I116" s="499" t="s">
        <v>1753</v>
      </c>
      <c r="J116" s="774">
        <f>g</f>
        <v>0.01</v>
      </c>
      <c r="AG116" s="791" t="str">
        <f>AG110</f>
        <v>Q1/2021</v>
      </c>
      <c r="AH116" s="772">
        <f t="shared" si="169"/>
        <v>15.942341470372071</v>
      </c>
      <c r="AI116" s="772">
        <f t="shared" si="169"/>
        <v>56.344549701070662</v>
      </c>
      <c r="AJ116" s="772">
        <f t="shared" si="169"/>
        <v>2.4807768204131229</v>
      </c>
      <c r="AK116" s="772">
        <f t="shared" si="169"/>
        <v>68.143096381470585</v>
      </c>
      <c r="AW116" s="511">
        <v>44348</v>
      </c>
      <c r="AX116" s="499">
        <v>20.2044</v>
      </c>
    </row>
    <row r="117" spans="2:50">
      <c r="D117" s="542">
        <f ca="1">D116*D115</f>
        <v>66580.953095046338</v>
      </c>
      <c r="H117" s="525"/>
      <c r="I117" s="499" t="s">
        <v>1798</v>
      </c>
      <c r="J117" s="538">
        <f ca="1">ROUND(R12,-3)/1000</f>
        <v>58</v>
      </c>
      <c r="AG117" s="791" t="str">
        <f>AG111</f>
        <v>Q1/2020</v>
      </c>
      <c r="AH117" s="772">
        <f t="shared" si="169"/>
        <v>11.777687028763768</v>
      </c>
      <c r="AI117" s="772">
        <f t="shared" si="169"/>
        <v>24.174342799866576</v>
      </c>
      <c r="AJ117" s="772">
        <f t="shared" si="169"/>
        <v>2.878345189504373</v>
      </c>
      <c r="AK117" s="772">
        <f t="shared" si="169"/>
        <v>40.779062244126074</v>
      </c>
      <c r="AW117" s="511">
        <v>44347</v>
      </c>
      <c r="AX117" s="499">
        <v>20.284800000000001</v>
      </c>
    </row>
    <row r="118" spans="2:50">
      <c r="H118" s="525"/>
      <c r="I118" s="499" t="s">
        <v>1799</v>
      </c>
      <c r="J118" s="775">
        <f ca="1">ROUND(R13,-3)/1000</f>
        <v>25</v>
      </c>
      <c r="AG118" s="791" t="str">
        <f>AG112</f>
        <v>Q1/2019</v>
      </c>
      <c r="AH118" s="772">
        <f>AH104/AH112</f>
        <v>16.69021981807229</v>
      </c>
      <c r="AI118" s="772" t="s">
        <v>1800</v>
      </c>
      <c r="AJ118" s="772">
        <f>AJ104/AJ112</f>
        <v>6.3248365553602808</v>
      </c>
      <c r="AK118" s="772">
        <f>AK104/AK112</f>
        <v>55.92277949082569</v>
      </c>
      <c r="AW118" s="511">
        <v>44344</v>
      </c>
      <c r="AX118" s="499">
        <v>20.3049</v>
      </c>
    </row>
    <row r="119" spans="2:50">
      <c r="B119" s="499">
        <f>55300/44600-1</f>
        <v>0.23991031390134521</v>
      </c>
      <c r="G119" s="526"/>
      <c r="H119" s="776"/>
      <c r="I119" s="499" t="s">
        <v>1801</v>
      </c>
      <c r="J119" s="538">
        <f ca="1">J118+J117</f>
        <v>83</v>
      </c>
      <c r="AG119" s="801" t="s">
        <v>1600</v>
      </c>
      <c r="AH119" s="773">
        <f>MEDIAN(AH115:AH118)</f>
        <v>16.316280644222182</v>
      </c>
      <c r="AI119" s="773">
        <f>MEDIAN(AI115:AI118)</f>
        <v>52.273673973163838</v>
      </c>
      <c r="AJ119" s="773">
        <f>MEDIAN(AJ115:AJ118)</f>
        <v>4.6015908724323271</v>
      </c>
      <c r="AK119" s="773">
        <f>MEDIAN(AK115:AK118)</f>
        <v>62.032937936148137</v>
      </c>
      <c r="AW119" s="511">
        <v>44343</v>
      </c>
      <c r="AX119" s="499">
        <v>20.425599999999999</v>
      </c>
    </row>
    <row r="120" spans="2:50">
      <c r="B120" s="499">
        <f>132300/108500-1</f>
        <v>0.21935483870967731</v>
      </c>
      <c r="G120" s="526"/>
      <c r="H120" s="661"/>
      <c r="I120" s="521" t="s">
        <v>1802</v>
      </c>
      <c r="J120" s="694">
        <f ca="1">ROUND(R16,-3)/1000</f>
        <v>-1</v>
      </c>
      <c r="AG120" s="766">
        <f>AG107</f>
        <v>45069</v>
      </c>
      <c r="AH120" s="772" t="e">
        <f>AH99/AH107</f>
        <v>#REF!</v>
      </c>
      <c r="AI120" s="772">
        <f>AI99/AI107</f>
        <v>29.78157593724579</v>
      </c>
      <c r="AJ120" s="772">
        <f>AJ99/AJ107</f>
        <v>3.5952647904624278</v>
      </c>
      <c r="AK120" s="772">
        <f>AK99/AK107</f>
        <v>62.895673539627666</v>
      </c>
      <c r="AW120" s="511">
        <v>44342</v>
      </c>
      <c r="AX120" s="499">
        <v>20.465800000000002</v>
      </c>
    </row>
    <row r="121" spans="2:50">
      <c r="G121" s="521" t="s">
        <v>1803</v>
      </c>
      <c r="H121" s="777">
        <f ca="1">L39*M87+N87*M39</f>
        <v>2976.7130478557392</v>
      </c>
      <c r="I121" s="521" t="s">
        <v>1804</v>
      </c>
      <c r="J121" s="777">
        <f ca="1">J119+J120</f>
        <v>82</v>
      </c>
      <c r="P121" s="778"/>
      <c r="Q121" s="527"/>
      <c r="R121" s="527"/>
      <c r="S121" s="778"/>
      <c r="T121" s="527"/>
      <c r="U121" s="527"/>
      <c r="V121" s="778"/>
      <c r="W121" s="527"/>
      <c r="X121" s="527"/>
      <c r="Y121" s="778"/>
      <c r="Z121" s="527"/>
      <c r="AA121" s="527"/>
      <c r="AB121" s="527"/>
      <c r="AC121" s="527"/>
      <c r="AD121" s="527"/>
      <c r="AE121" s="527"/>
      <c r="AW121" s="511">
        <v>44341</v>
      </c>
      <c r="AX121" s="499">
        <v>20.485900000000001</v>
      </c>
    </row>
    <row r="122" spans="2:50" ht="15" thickBot="1">
      <c r="G122" s="779" t="s">
        <v>1805</v>
      </c>
      <c r="H122" s="780">
        <v>18.5</v>
      </c>
      <c r="I122" s="781" t="s">
        <v>1806</v>
      </c>
      <c r="J122" s="782">
        <f ca="1">R21</f>
        <v>1463.8792799999999</v>
      </c>
      <c r="P122" s="511"/>
      <c r="Q122" s="542"/>
      <c r="R122" s="542"/>
      <c r="S122" s="511"/>
      <c r="T122" s="542"/>
      <c r="U122" s="542"/>
      <c r="V122" s="511"/>
      <c r="W122" s="542"/>
      <c r="X122" s="542"/>
      <c r="Y122" s="511"/>
      <c r="Z122" s="542"/>
      <c r="AA122" s="542"/>
      <c r="AB122" s="542"/>
      <c r="AC122" s="542"/>
      <c r="AD122" s="542"/>
      <c r="AE122" s="542"/>
      <c r="AG122" s="802" t="s">
        <v>1807</v>
      </c>
      <c r="AH122" s="508" t="e">
        <f>AH120/AH119-1</f>
        <v>#REF!</v>
      </c>
      <c r="AI122" s="508">
        <f>AI120/AI119-1</f>
        <v>-0.43027582196470449</v>
      </c>
      <c r="AJ122" s="508">
        <f>AJ120/AJ119-1</f>
        <v>-0.21869090709447869</v>
      </c>
      <c r="AK122" s="508">
        <f>AK120/AK119-1</f>
        <v>1.3907701814277473E-2</v>
      </c>
      <c r="AW122" s="511">
        <v>44340</v>
      </c>
      <c r="AX122" s="499">
        <v>20.485900000000001</v>
      </c>
    </row>
    <row r="123" spans="2:50" ht="15" thickTop="1">
      <c r="G123" s="526" t="s">
        <v>1808</v>
      </c>
      <c r="H123" s="776">
        <f ca="1">ROUND(H122*H121,-1)</f>
        <v>55070</v>
      </c>
      <c r="I123" s="527" t="s">
        <v>1808</v>
      </c>
      <c r="J123" s="776">
        <f ca="1">ROUND(J121/J122*1000,-1)</f>
        <v>60</v>
      </c>
      <c r="P123" s="511"/>
      <c r="Q123" s="542"/>
      <c r="R123" s="542"/>
      <c r="S123" s="511"/>
      <c r="T123" s="542"/>
      <c r="U123" s="542"/>
      <c r="V123" s="511"/>
      <c r="W123" s="542"/>
      <c r="X123" s="542"/>
      <c r="Y123" s="511"/>
      <c r="Z123" s="542"/>
      <c r="AA123" s="542"/>
      <c r="AB123" s="542"/>
      <c r="AC123" s="542"/>
      <c r="AD123" s="542"/>
      <c r="AE123" s="542"/>
      <c r="AW123" s="511">
        <v>44337</v>
      </c>
      <c r="AX123" s="499">
        <v>20.465800000000002</v>
      </c>
    </row>
    <row r="124" spans="2:50">
      <c r="G124" s="783" t="str">
        <f>G123</f>
        <v>Giá mục tiêu:</v>
      </c>
      <c r="H124" s="784">
        <f ca="1">ROUND((H123*H78+J123*H77),-1)</f>
        <v>27570</v>
      </c>
      <c r="I124" s="716"/>
      <c r="J124" s="785">
        <f ca="1">TODAY()</f>
        <v>46033</v>
      </c>
      <c r="Q124" s="542"/>
      <c r="R124" s="542"/>
      <c r="T124" s="542"/>
      <c r="U124" s="542"/>
      <c r="W124" s="542"/>
      <c r="X124" s="542"/>
      <c r="Z124" s="542"/>
      <c r="AA124" s="542"/>
      <c r="AB124" s="542"/>
      <c r="AC124" s="542"/>
      <c r="AD124" s="542"/>
      <c r="AE124" s="542"/>
      <c r="AG124" s="789" t="e">
        <f>AH120/AH117-1</f>
        <v>#REF!</v>
      </c>
      <c r="AW124" s="511">
        <v>44336</v>
      </c>
      <c r="AX124" s="499">
        <v>19.963200000000001</v>
      </c>
    </row>
    <row r="125" spans="2:50">
      <c r="G125" s="786" t="s">
        <v>1448</v>
      </c>
      <c r="H125" s="787">
        <f ca="1">H124/Share_Price-1</f>
        <v>-0.68812217194570136</v>
      </c>
      <c r="I125" s="581"/>
      <c r="J125" s="788"/>
      <c r="AW125" s="511">
        <v>44335</v>
      </c>
      <c r="AX125" s="499">
        <v>18.7971</v>
      </c>
    </row>
    <row r="126" spans="2:50">
      <c r="I126" s="3449" t="s">
        <v>441</v>
      </c>
      <c r="J126" s="3449"/>
      <c r="AW126" s="511">
        <v>44334</v>
      </c>
      <c r="AX126" s="499">
        <v>18.7971</v>
      </c>
    </row>
    <row r="127" spans="2:50">
      <c r="AW127" s="511">
        <v>44333</v>
      </c>
      <c r="AX127" s="499">
        <v>18.8977</v>
      </c>
    </row>
    <row r="128" spans="2:50">
      <c r="AW128" s="511">
        <v>44330</v>
      </c>
      <c r="AX128" s="499">
        <v>18.937899999999999</v>
      </c>
    </row>
    <row r="129" spans="33:50">
      <c r="AG129" s="652" t="s">
        <v>1777</v>
      </c>
      <c r="AH129" s="596" t="s">
        <v>1778</v>
      </c>
      <c r="AI129" s="652"/>
      <c r="AJ129" s="652" t="s">
        <v>1455</v>
      </c>
      <c r="AK129" s="596" t="s">
        <v>1780</v>
      </c>
      <c r="AW129" s="511">
        <v>44329</v>
      </c>
      <c r="AX129" s="499">
        <v>18.957999999999998</v>
      </c>
    </row>
    <row r="130" spans="33:50">
      <c r="AG130" s="599" t="s">
        <v>497</v>
      </c>
      <c r="AH130" s="605">
        <f>AH75</f>
        <v>57198.374152716831</v>
      </c>
      <c r="AI130" s="599"/>
      <c r="AJ130" s="599" t="s">
        <v>1461</v>
      </c>
      <c r="AK130" s="884">
        <v>14</v>
      </c>
      <c r="AW130" s="511">
        <v>44328</v>
      </c>
      <c r="AX130" s="499">
        <v>19.259499999999999</v>
      </c>
    </row>
    <row r="131" spans="33:50">
      <c r="AG131" s="599" t="s">
        <v>7</v>
      </c>
      <c r="AH131" s="605">
        <f ca="1">AH76</f>
        <v>40635.70276799157</v>
      </c>
      <c r="AI131" s="599"/>
      <c r="AJ131" s="599" t="s">
        <v>1783</v>
      </c>
      <c r="AK131" s="738">
        <v>1.4</v>
      </c>
      <c r="AW131" s="511">
        <v>44327</v>
      </c>
      <c r="AX131" s="499">
        <v>18.8977</v>
      </c>
    </row>
    <row r="132" spans="33:50">
      <c r="AG132" s="633" t="s">
        <v>48</v>
      </c>
      <c r="AH132" s="605">
        <f>AH77</f>
        <v>2712</v>
      </c>
      <c r="AI132" s="743"/>
      <c r="AJ132" s="743" t="str">
        <f>AJ131</f>
        <v>P/S mục tiêu</v>
      </c>
      <c r="AK132" s="744">
        <v>1</v>
      </c>
      <c r="AW132" s="511">
        <v>44326</v>
      </c>
      <c r="AX132" s="499">
        <v>18.8172</v>
      </c>
    </row>
    <row r="133" spans="33:50">
      <c r="AG133" s="599" t="s">
        <v>1446</v>
      </c>
      <c r="AH133" s="606">
        <f ca="1">SUM(AH130:AH132)</f>
        <v>100546.07692070841</v>
      </c>
      <c r="AI133" s="607"/>
      <c r="AJ133" s="599"/>
      <c r="AK133" s="599"/>
      <c r="AW133" s="511">
        <v>44323</v>
      </c>
      <c r="AX133" s="499">
        <v>19.199200000000001</v>
      </c>
    </row>
    <row r="134" spans="33:50">
      <c r="AG134" s="633" t="s">
        <v>1724</v>
      </c>
      <c r="AH134" s="634">
        <f ca="1">AH80</f>
        <v>1463.8792799999999</v>
      </c>
      <c r="AI134" s="607"/>
      <c r="AJ134" s="599"/>
      <c r="AK134" s="599"/>
      <c r="AW134" s="511">
        <v>44322</v>
      </c>
      <c r="AX134" s="499">
        <v>19.299700000000001</v>
      </c>
    </row>
    <row r="135" spans="33:50">
      <c r="AG135" s="599" t="s">
        <v>1725</v>
      </c>
      <c r="AH135" s="823">
        <f ca="1">AH81</f>
        <v>76800</v>
      </c>
      <c r="AI135" s="822" t="e" vm="2">
        <v>#VALUE!</v>
      </c>
      <c r="AJ135" s="880" cm="1">
        <f t="array" aca="1" ref="AJ135" ca="1">_FV(AI135,"Price")</f>
        <v>86000</v>
      </c>
      <c r="AK135" s="885" cm="1">
        <f t="array" aca="1" ref="AK135" ca="1">_FV(AI135,"Market cap",TRUE)/10^9</f>
        <v>126287.3</v>
      </c>
      <c r="AW135" s="511">
        <v>44321</v>
      </c>
      <c r="AX135" s="499">
        <v>19.500800000000002</v>
      </c>
    </row>
    <row r="136" spans="33:50">
      <c r="AG136" s="789" t="s">
        <v>1809</v>
      </c>
      <c r="AH136" s="881">
        <f>AH82</f>
        <v>84000</v>
      </c>
      <c r="AJ136" s="888">
        <f ca="1">AJ135/38200-1</f>
        <v>1.25130890052356</v>
      </c>
      <c r="AW136" s="511">
        <v>44320</v>
      </c>
      <c r="AX136" s="499">
        <v>19.1389</v>
      </c>
    </row>
    <row r="137" spans="33:50">
      <c r="AG137" s="882" t="s">
        <v>1448</v>
      </c>
      <c r="AH137" s="883">
        <f ca="1">AH135/AH136-1</f>
        <v>-8.5714285714285743E-2</v>
      </c>
      <c r="AI137" s="499">
        <f>1.5*23000</f>
        <v>34500</v>
      </c>
      <c r="AW137" s="511">
        <v>44315</v>
      </c>
      <c r="AX137" s="499">
        <v>19.701799999999999</v>
      </c>
    </row>
    <row r="138" spans="33:50">
      <c r="AG138" s="499"/>
      <c r="AW138" s="511">
        <v>44314</v>
      </c>
      <c r="AX138" s="499">
        <v>19.2394</v>
      </c>
    </row>
    <row r="139" spans="33:50">
      <c r="AW139" s="511">
        <v>44313</v>
      </c>
      <c r="AX139" s="499">
        <v>19.299700000000001</v>
      </c>
    </row>
    <row r="140" spans="33:50">
      <c r="AH140" s="499">
        <f>AH63</f>
        <v>2023</v>
      </c>
      <c r="AI140" s="499">
        <f>AI63</f>
        <v>2024</v>
      </c>
      <c r="AJ140" s="499">
        <f>AJ63</f>
        <v>2025</v>
      </c>
      <c r="AW140" s="511">
        <v>44312</v>
      </c>
      <c r="AX140" s="499">
        <v>19.098700000000001</v>
      </c>
    </row>
    <row r="141" spans="33:50">
      <c r="AW141" s="511">
        <v>44309</v>
      </c>
      <c r="AX141" s="499">
        <v>19.299700000000001</v>
      </c>
    </row>
    <row r="142" spans="33:50">
      <c r="AW142" s="511">
        <v>44308</v>
      </c>
      <c r="AX142" s="499">
        <v>18.877600000000001</v>
      </c>
    </row>
    <row r="143" spans="33:50">
      <c r="AW143" s="511">
        <v>44306</v>
      </c>
      <c r="AX143" s="499">
        <v>18.978100000000001</v>
      </c>
    </row>
    <row r="144" spans="33:50">
      <c r="AW144" s="511">
        <v>44305</v>
      </c>
      <c r="AX144" s="499">
        <v>18.8977</v>
      </c>
    </row>
    <row r="145" spans="49:50">
      <c r="AW145" s="511">
        <v>44302</v>
      </c>
      <c r="AX145" s="499">
        <v>18.2744</v>
      </c>
    </row>
    <row r="146" spans="49:50">
      <c r="AW146" s="511">
        <v>44301</v>
      </c>
      <c r="AX146" s="499">
        <v>18.4956</v>
      </c>
    </row>
    <row r="147" spans="49:50">
      <c r="AW147" s="511">
        <v>44300</v>
      </c>
      <c r="AX147" s="499">
        <v>18.395099999999999</v>
      </c>
    </row>
    <row r="148" spans="49:50">
      <c r="AW148" s="511">
        <v>44299</v>
      </c>
      <c r="AX148" s="499">
        <v>18.234200000000001</v>
      </c>
    </row>
    <row r="149" spans="49:50">
      <c r="AW149" s="511">
        <v>44298</v>
      </c>
      <c r="AX149" s="499">
        <v>18.455400000000001</v>
      </c>
    </row>
    <row r="150" spans="49:50">
      <c r="AW150" s="511">
        <v>44295</v>
      </c>
      <c r="AX150" s="499">
        <v>18.1538</v>
      </c>
    </row>
    <row r="151" spans="49:50">
      <c r="AW151" s="511">
        <v>44294</v>
      </c>
      <c r="AX151" s="499">
        <v>17.791899999999998</v>
      </c>
    </row>
    <row r="152" spans="49:50">
      <c r="AW152" s="511">
        <v>44293</v>
      </c>
      <c r="AX152" s="499">
        <v>17.791899999999998</v>
      </c>
    </row>
    <row r="153" spans="49:50">
      <c r="AW153" s="511">
        <v>44292</v>
      </c>
      <c r="AX153" s="499">
        <v>17.892499999999998</v>
      </c>
    </row>
    <row r="154" spans="49:50">
      <c r="AW154" s="511">
        <v>44291</v>
      </c>
      <c r="AX154" s="499">
        <v>17.8523</v>
      </c>
    </row>
    <row r="155" spans="49:50">
      <c r="AW155" s="511">
        <v>44288</v>
      </c>
      <c r="AX155" s="499">
        <v>17.8322</v>
      </c>
    </row>
    <row r="156" spans="49:50">
      <c r="AW156" s="511">
        <v>44287</v>
      </c>
      <c r="AX156" s="499">
        <v>17.188800000000001</v>
      </c>
    </row>
    <row r="157" spans="49:50">
      <c r="AW157" s="511">
        <v>44286</v>
      </c>
      <c r="AX157" s="499">
        <v>16.9878</v>
      </c>
    </row>
    <row r="158" spans="49:50">
      <c r="AW158" s="511">
        <v>44285</v>
      </c>
      <c r="AX158" s="499">
        <v>18.645700000000001</v>
      </c>
    </row>
    <row r="159" spans="49:50">
      <c r="AW159" s="511">
        <v>44284</v>
      </c>
      <c r="AX159" s="499">
        <v>18.756</v>
      </c>
    </row>
    <row r="160" spans="49:50">
      <c r="AW160" s="511">
        <v>44281</v>
      </c>
      <c r="AX160" s="499">
        <v>18.734000000000002</v>
      </c>
    </row>
    <row r="161" spans="49:50">
      <c r="AW161" s="511">
        <v>44280</v>
      </c>
      <c r="AX161" s="499">
        <v>18.756</v>
      </c>
    </row>
    <row r="162" spans="49:50">
      <c r="AW162" s="511">
        <v>44279</v>
      </c>
      <c r="AX162" s="499">
        <v>18.557500000000001</v>
      </c>
    </row>
    <row r="163" spans="49:50">
      <c r="AW163" s="511">
        <v>44278</v>
      </c>
      <c r="AX163" s="499">
        <v>18.579499999999999</v>
      </c>
    </row>
    <row r="164" spans="49:50">
      <c r="AW164" s="511">
        <v>44277</v>
      </c>
      <c r="AX164" s="499">
        <v>18.579499999999999</v>
      </c>
    </row>
    <row r="165" spans="49:50">
      <c r="AW165" s="511">
        <v>44274</v>
      </c>
      <c r="AX165" s="499">
        <v>18.6678</v>
      </c>
    </row>
    <row r="166" spans="49:50">
      <c r="AW166" s="511">
        <v>44273</v>
      </c>
      <c r="AX166" s="499">
        <v>18.734000000000002</v>
      </c>
    </row>
    <row r="167" spans="49:50">
      <c r="AW167" s="511">
        <v>44272</v>
      </c>
      <c r="AX167" s="499">
        <v>18.447099999999999</v>
      </c>
    </row>
    <row r="168" spans="49:50">
      <c r="AW168" s="511">
        <v>44271</v>
      </c>
      <c r="AX168" s="499">
        <v>18.4251</v>
      </c>
    </row>
    <row r="169" spans="49:50">
      <c r="AW169" s="511">
        <v>44270</v>
      </c>
      <c r="AX169" s="499">
        <v>18.557500000000001</v>
      </c>
    </row>
    <row r="170" spans="49:50">
      <c r="AW170" s="511">
        <v>44267</v>
      </c>
      <c r="AX170" s="499">
        <v>18.270600000000002</v>
      </c>
    </row>
    <row r="171" spans="49:50">
      <c r="AW171" s="511">
        <v>44266</v>
      </c>
      <c r="AX171" s="499">
        <v>18.358000000000001</v>
      </c>
    </row>
    <row r="172" spans="49:50">
      <c r="AW172" s="511">
        <v>44265</v>
      </c>
      <c r="AX172" s="499">
        <v>18.270600000000002</v>
      </c>
    </row>
    <row r="173" spans="49:50">
      <c r="AW173" s="511">
        <v>44264</v>
      </c>
      <c r="AX173" s="499">
        <v>18.248699999999999</v>
      </c>
    </row>
    <row r="174" spans="49:50">
      <c r="AW174" s="511">
        <v>44263</v>
      </c>
      <c r="AX174" s="499">
        <v>18.270600000000002</v>
      </c>
    </row>
    <row r="175" spans="49:50">
      <c r="AW175" s="511">
        <v>44260</v>
      </c>
      <c r="AX175" s="499">
        <v>18.314299999999999</v>
      </c>
    </row>
    <row r="176" spans="49:50">
      <c r="AW176" s="511">
        <v>44259</v>
      </c>
      <c r="AX176" s="499">
        <v>18.314299999999999</v>
      </c>
    </row>
    <row r="177" spans="49:50">
      <c r="AW177" s="511">
        <v>44258</v>
      </c>
      <c r="AX177" s="499">
        <v>18.4892</v>
      </c>
    </row>
    <row r="178" spans="49:50">
      <c r="AW178" s="511">
        <v>44257</v>
      </c>
      <c r="AX178" s="499">
        <v>18.358000000000001</v>
      </c>
    </row>
    <row r="179" spans="49:50">
      <c r="AW179" s="511">
        <v>44256</v>
      </c>
      <c r="AX179" s="499">
        <v>18.510999999999999</v>
      </c>
    </row>
    <row r="180" spans="49:50">
      <c r="AW180" s="511">
        <v>44253</v>
      </c>
      <c r="AX180" s="499">
        <v>18.5547</v>
      </c>
    </row>
    <row r="181" spans="49:50">
      <c r="AW181" s="511">
        <v>44252</v>
      </c>
      <c r="AX181" s="499">
        <v>18.358000000000001</v>
      </c>
    </row>
    <row r="182" spans="49:50">
      <c r="AW182" s="511">
        <v>44251</v>
      </c>
      <c r="AX182" s="499">
        <v>18.095800000000001</v>
      </c>
    </row>
    <row r="183" spans="49:50">
      <c r="AW183" s="511">
        <v>44250</v>
      </c>
      <c r="AX183" s="499">
        <v>18.248699999999999</v>
      </c>
    </row>
    <row r="184" spans="49:50">
      <c r="AW184" s="511">
        <v>44249</v>
      </c>
      <c r="AX184" s="499">
        <v>18.598400000000002</v>
      </c>
    </row>
    <row r="185" spans="49:50">
      <c r="AW185" s="511">
        <v>44246</v>
      </c>
      <c r="AX185" s="499">
        <v>18.991800000000001</v>
      </c>
    </row>
    <row r="186" spans="49:50">
      <c r="AW186" s="511">
        <v>44245</v>
      </c>
      <c r="AX186" s="499">
        <v>19.122900000000001</v>
      </c>
    </row>
    <row r="187" spans="49:50">
      <c r="AW187" s="511">
        <v>44244</v>
      </c>
      <c r="AX187" s="499">
        <v>18.904399999999999</v>
      </c>
    </row>
    <row r="188" spans="49:50">
      <c r="AW188" s="511">
        <v>44236</v>
      </c>
      <c r="AX188" s="499">
        <v>18.270600000000002</v>
      </c>
    </row>
    <row r="189" spans="49:50">
      <c r="AW189" s="511">
        <v>44235</v>
      </c>
      <c r="AX189" s="499">
        <v>17.680499999999999</v>
      </c>
    </row>
    <row r="190" spans="49:50">
      <c r="AW190" s="511">
        <v>44232</v>
      </c>
      <c r="AX190" s="499">
        <v>18.336200000000002</v>
      </c>
    </row>
    <row r="191" spans="49:50">
      <c r="AW191" s="511">
        <v>44231</v>
      </c>
      <c r="AX191" s="499">
        <v>18.117599999999999</v>
      </c>
    </row>
    <row r="192" spans="49:50">
      <c r="AW192" s="511">
        <v>44230</v>
      </c>
      <c r="AX192" s="499">
        <v>18.117599999999999</v>
      </c>
    </row>
    <row r="193" spans="49:50">
      <c r="AW193" s="511">
        <v>44229</v>
      </c>
      <c r="AX193" s="499">
        <v>17.811699999999998</v>
      </c>
    </row>
    <row r="194" spans="49:50">
      <c r="AW194" s="511">
        <v>44228</v>
      </c>
      <c r="AX194" s="499">
        <v>17.221599999999999</v>
      </c>
    </row>
    <row r="195" spans="49:50">
      <c r="AW195" s="511">
        <v>44225</v>
      </c>
      <c r="AX195" s="499">
        <v>18.161300000000001</v>
      </c>
    </row>
    <row r="196" spans="49:50">
      <c r="AW196" s="511">
        <v>44224</v>
      </c>
      <c r="AX196" s="499">
        <v>16.981200000000001</v>
      </c>
    </row>
    <row r="197" spans="49:50">
      <c r="AW197" s="511">
        <v>44223</v>
      </c>
      <c r="AX197" s="499">
        <v>18.248699999999999</v>
      </c>
    </row>
    <row r="198" spans="49:50">
      <c r="AW198" s="511">
        <v>44222</v>
      </c>
      <c r="AX198" s="499">
        <v>18.576599999999999</v>
      </c>
    </row>
    <row r="199" spans="49:50">
      <c r="AW199" s="511">
        <v>44221</v>
      </c>
      <c r="AX199" s="499">
        <v>19.0137</v>
      </c>
    </row>
    <row r="200" spans="49:50">
      <c r="AW200" s="511">
        <v>44218</v>
      </c>
      <c r="AX200" s="499">
        <v>18.358000000000001</v>
      </c>
    </row>
    <row r="201" spans="49:50">
      <c r="AW201" s="511">
        <v>44217</v>
      </c>
      <c r="AX201" s="499">
        <v>18.008299999999998</v>
      </c>
    </row>
    <row r="202" spans="49:50">
      <c r="AW202" s="511">
        <v>44216</v>
      </c>
      <c r="AX202" s="499">
        <v>17.5931</v>
      </c>
    </row>
    <row r="203" spans="49:50">
      <c r="AW203" s="511">
        <v>44215</v>
      </c>
      <c r="AX203" s="499">
        <v>17.2653</v>
      </c>
    </row>
    <row r="204" spans="49:50">
      <c r="AW204" s="511">
        <v>44214</v>
      </c>
      <c r="AX204" s="499">
        <v>18.336200000000002</v>
      </c>
    </row>
    <row r="205" spans="49:50">
      <c r="AW205" s="511">
        <v>44211</v>
      </c>
      <c r="AX205" s="499">
        <v>18.030200000000001</v>
      </c>
    </row>
    <row r="206" spans="49:50">
      <c r="AW206" s="511">
        <v>44210</v>
      </c>
      <c r="AX206" s="499">
        <v>17.942799999999998</v>
      </c>
    </row>
    <row r="207" spans="49:50">
      <c r="AW207" s="511">
        <v>44209</v>
      </c>
      <c r="AX207" s="499">
        <v>18.073899999999998</v>
      </c>
    </row>
    <row r="208" spans="49:50">
      <c r="AW208" s="511">
        <v>44208</v>
      </c>
      <c r="AX208" s="499">
        <v>18.117599999999999</v>
      </c>
    </row>
    <row r="209" spans="49:50">
      <c r="AW209" s="511">
        <v>44207</v>
      </c>
      <c r="AX209" s="499">
        <v>18.073899999999998</v>
      </c>
    </row>
    <row r="210" spans="49:50">
      <c r="AW210" s="511">
        <v>44204</v>
      </c>
      <c r="AX210" s="499">
        <v>18.008299999999998</v>
      </c>
    </row>
    <row r="211" spans="49:50">
      <c r="AW211" s="511">
        <v>44203</v>
      </c>
      <c r="AX211" s="499">
        <v>17.833500000000001</v>
      </c>
    </row>
    <row r="212" spans="49:50">
      <c r="AW212" s="511">
        <v>44202</v>
      </c>
      <c r="AX212" s="499">
        <v>17.746099999999998</v>
      </c>
    </row>
    <row r="213" spans="49:50">
      <c r="AW213" s="511">
        <v>44201</v>
      </c>
      <c r="AX213" s="499">
        <v>17.767900000000001</v>
      </c>
    </row>
    <row r="214" spans="49:50">
      <c r="AW214" s="511">
        <v>44200</v>
      </c>
      <c r="AX214" s="499">
        <v>17.855399999999999</v>
      </c>
    </row>
    <row r="215" spans="49:50">
      <c r="AW215" s="511">
        <v>44196</v>
      </c>
      <c r="AX215" s="499">
        <v>17.702400000000001</v>
      </c>
    </row>
    <row r="216" spans="49:50">
      <c r="AW216" s="511">
        <v>44195</v>
      </c>
      <c r="AX216" s="499">
        <v>17.340299999999999</v>
      </c>
    </row>
    <row r="217" spans="49:50">
      <c r="AW217" s="511">
        <v>44194</v>
      </c>
      <c r="AX217" s="499">
        <v>16.930499999999999</v>
      </c>
    </row>
    <row r="218" spans="49:50">
      <c r="AW218" s="511">
        <v>44193</v>
      </c>
      <c r="AX218" s="499">
        <v>16.779499999999999</v>
      </c>
    </row>
    <row r="219" spans="49:50">
      <c r="AW219" s="511">
        <v>44190</v>
      </c>
      <c r="AX219" s="499">
        <v>16.757999999999999</v>
      </c>
    </row>
    <row r="220" spans="49:50">
      <c r="AW220" s="511">
        <v>44189</v>
      </c>
      <c r="AX220" s="499">
        <v>16.5854</v>
      </c>
    </row>
    <row r="221" spans="49:50">
      <c r="AW221" s="511">
        <v>44188</v>
      </c>
      <c r="AX221" s="499">
        <v>16.822700000000001</v>
      </c>
    </row>
    <row r="222" spans="49:50">
      <c r="AW222" s="511">
        <v>44187</v>
      </c>
      <c r="AX222" s="499">
        <v>16.8874</v>
      </c>
    </row>
    <row r="223" spans="49:50">
      <c r="AW223" s="511">
        <v>44186</v>
      </c>
      <c r="AX223" s="499">
        <v>16.671700000000001</v>
      </c>
    </row>
    <row r="224" spans="49:50">
      <c r="AW224" s="511">
        <v>44183</v>
      </c>
      <c r="AX224" s="499">
        <v>16.671700000000001</v>
      </c>
    </row>
    <row r="225" spans="49:50">
      <c r="AW225" s="511">
        <v>44182</v>
      </c>
      <c r="AX225" s="499">
        <v>16.348199999999999</v>
      </c>
    </row>
    <row r="226" spans="49:50">
      <c r="AW226" s="511">
        <v>44181</v>
      </c>
      <c r="AX226" s="499">
        <v>16.7364</v>
      </c>
    </row>
    <row r="227" spans="49:50">
      <c r="AW227" s="511">
        <v>44180</v>
      </c>
      <c r="AX227" s="499">
        <v>16.628599999999999</v>
      </c>
    </row>
    <row r="228" spans="49:50">
      <c r="AW228" s="511">
        <v>44179</v>
      </c>
      <c r="AX228" s="499">
        <v>16.7364</v>
      </c>
    </row>
    <row r="229" spans="49:50">
      <c r="AW229" s="511">
        <v>44176</v>
      </c>
      <c r="AX229" s="499">
        <v>16.693300000000001</v>
      </c>
    </row>
    <row r="230" spans="49:50">
      <c r="AW230" s="511">
        <v>44175</v>
      </c>
      <c r="AX230" s="499">
        <v>15.744300000000001</v>
      </c>
    </row>
    <row r="231" spans="49:50">
      <c r="AW231" s="511">
        <v>44174</v>
      </c>
      <c r="AX231" s="499">
        <v>16.908899999999999</v>
      </c>
    </row>
    <row r="232" spans="49:50">
      <c r="AW232" s="511">
        <v>44173</v>
      </c>
      <c r="AX232" s="499">
        <v>16.930499999999999</v>
      </c>
    </row>
    <row r="233" spans="49:50">
      <c r="AW233" s="511">
        <v>44172</v>
      </c>
      <c r="AX233" s="499">
        <v>16.801100000000002</v>
      </c>
    </row>
    <row r="234" spans="49:50">
      <c r="AW234" s="511">
        <v>44169</v>
      </c>
      <c r="AX234" s="499">
        <v>16.801100000000002</v>
      </c>
    </row>
    <row r="235" spans="49:50">
      <c r="AW235" s="511">
        <v>44168</v>
      </c>
      <c r="AX235" s="499">
        <v>16.5871</v>
      </c>
    </row>
    <row r="236" spans="49:50">
      <c r="AW236" s="511">
        <v>44167</v>
      </c>
      <c r="AX236" s="499">
        <v>16.4801</v>
      </c>
    </row>
    <row r="237" spans="49:50">
      <c r="AW237" s="511">
        <v>44166</v>
      </c>
      <c r="AX237" s="499">
        <v>16.694099999999999</v>
      </c>
    </row>
    <row r="238" spans="49:50">
      <c r="AW238" s="511">
        <v>44165</v>
      </c>
      <c r="AX238" s="499">
        <v>16.672699999999999</v>
      </c>
    </row>
    <row r="239" spans="49:50">
      <c r="AW239" s="511">
        <v>44162</v>
      </c>
      <c r="AX239" s="499">
        <v>16.865300000000001</v>
      </c>
    </row>
    <row r="240" spans="49:50">
      <c r="AW240" s="511">
        <v>44161</v>
      </c>
      <c r="AX240" s="499">
        <v>16.308800000000002</v>
      </c>
    </row>
    <row r="241" spans="49:50">
      <c r="AW241" s="511">
        <v>44160</v>
      </c>
      <c r="AX241" s="499">
        <v>16.308800000000002</v>
      </c>
    </row>
    <row r="242" spans="49:50">
      <c r="AW242" s="511">
        <v>44159</v>
      </c>
      <c r="AX242" s="499">
        <v>16.244599999999998</v>
      </c>
    </row>
    <row r="243" spans="49:50">
      <c r="AW243" s="511">
        <v>44158</v>
      </c>
      <c r="AX243" s="499">
        <v>16.415800000000001</v>
      </c>
    </row>
    <row r="244" spans="49:50">
      <c r="AW244" s="511">
        <v>44155</v>
      </c>
      <c r="AX244" s="499">
        <v>15.7524</v>
      </c>
    </row>
    <row r="245" spans="49:50">
      <c r="AW245" s="511">
        <v>44154</v>
      </c>
      <c r="AX245" s="499">
        <v>15.837999999999999</v>
      </c>
    </row>
    <row r="246" spans="49:50">
      <c r="AW246" s="511">
        <v>44153</v>
      </c>
      <c r="AX246" s="499">
        <v>15.731</v>
      </c>
    </row>
    <row r="247" spans="49:50">
      <c r="AW247" s="511">
        <v>44152</v>
      </c>
      <c r="AX247" s="499">
        <v>15.837999999999999</v>
      </c>
    </row>
    <row r="248" spans="49:50">
      <c r="AW248" s="511">
        <v>44151</v>
      </c>
      <c r="AX248" s="499">
        <v>15.4313</v>
      </c>
    </row>
    <row r="249" spans="49:50">
      <c r="AW249" s="511">
        <v>44148</v>
      </c>
      <c r="AX249" s="499">
        <v>15.795199999999999</v>
      </c>
    </row>
    <row r="250" spans="49:50">
      <c r="AW250" s="511">
        <v>44147</v>
      </c>
      <c r="AX250" s="499">
        <v>15.7524</v>
      </c>
    </row>
    <row r="251" spans="49:50">
      <c r="AW251" s="511">
        <v>44146</v>
      </c>
      <c r="AX251" s="499">
        <v>15.388500000000001</v>
      </c>
    </row>
    <row r="252" spans="49:50">
      <c r="AW252" s="511">
        <v>44145</v>
      </c>
      <c r="AX252" s="499">
        <v>15.624000000000001</v>
      </c>
    </row>
    <row r="253" spans="49:50">
      <c r="AW253" s="511">
        <v>44144</v>
      </c>
      <c r="AX253" s="499">
        <v>15.837999999999999</v>
      </c>
    </row>
    <row r="254" spans="49:50">
      <c r="AW254" s="511">
        <v>44141</v>
      </c>
      <c r="AX254" s="499">
        <v>15.6882</v>
      </c>
    </row>
    <row r="255" spans="49:50">
      <c r="AW255" s="511">
        <v>44140</v>
      </c>
      <c r="AX255" s="499">
        <v>15.5383</v>
      </c>
    </row>
    <row r="256" spans="49:50">
      <c r="AW256" s="511">
        <v>44139</v>
      </c>
      <c r="AX256" s="499">
        <v>15.345700000000001</v>
      </c>
    </row>
    <row r="257" spans="49:50">
      <c r="AW257" s="511">
        <v>44138</v>
      </c>
      <c r="AX257" s="499">
        <v>15.1959</v>
      </c>
    </row>
    <row r="258" spans="49:50">
      <c r="AW258" s="511">
        <v>44137</v>
      </c>
      <c r="AX258" s="499">
        <v>15.302899999999999</v>
      </c>
    </row>
    <row r="259" spans="49:50">
      <c r="AW259" s="511">
        <v>44134</v>
      </c>
      <c r="AX259" s="499">
        <v>14.8749</v>
      </c>
    </row>
    <row r="260" spans="49:50">
      <c r="AW260" s="511">
        <v>44133</v>
      </c>
      <c r="AX260" s="499">
        <v>14.297000000000001</v>
      </c>
    </row>
    <row r="261" spans="49:50">
      <c r="AW261" s="511">
        <v>44132</v>
      </c>
      <c r="AX261" s="499">
        <v>14.1258</v>
      </c>
    </row>
    <row r="262" spans="49:50">
      <c r="AW262" s="511">
        <v>44131</v>
      </c>
      <c r="AX262" s="499">
        <v>14.8535</v>
      </c>
    </row>
    <row r="263" spans="49:50">
      <c r="AW263" s="511">
        <v>44130</v>
      </c>
      <c r="AX263" s="499">
        <v>14.767799999999999</v>
      </c>
    </row>
    <row r="264" spans="49:50">
      <c r="AW264" s="511">
        <v>44127</v>
      </c>
      <c r="AX264" s="499">
        <v>14.553800000000001</v>
      </c>
    </row>
    <row r="265" spans="49:50">
      <c r="AW265" s="511">
        <v>44126</v>
      </c>
      <c r="AX265" s="499">
        <v>14.5966</v>
      </c>
    </row>
    <row r="266" spans="49:50">
      <c r="AW266" s="511">
        <v>44125</v>
      </c>
      <c r="AX266" s="499">
        <v>14.3398</v>
      </c>
    </row>
    <row r="267" spans="49:50">
      <c r="AW267" s="511">
        <v>44124</v>
      </c>
      <c r="AX267" s="499">
        <v>14.3398</v>
      </c>
    </row>
    <row r="268" spans="49:50">
      <c r="AW268" s="511">
        <v>44123</v>
      </c>
      <c r="AX268" s="499">
        <v>14.4468</v>
      </c>
    </row>
    <row r="269" spans="49:50">
      <c r="AW269" s="511">
        <v>44120</v>
      </c>
      <c r="AX269" s="499">
        <v>14.575200000000001</v>
      </c>
    </row>
    <row r="270" spans="49:50">
      <c r="AW270" s="511">
        <v>44119</v>
      </c>
      <c r="AX270" s="499">
        <v>13.9117</v>
      </c>
    </row>
    <row r="271" spans="49:50">
      <c r="AW271" s="511">
        <v>44118</v>
      </c>
      <c r="AX271" s="499">
        <v>13.462300000000001</v>
      </c>
    </row>
    <row r="272" spans="49:50">
      <c r="AW272" s="511">
        <v>44117</v>
      </c>
      <c r="AX272" s="499">
        <v>13.3767</v>
      </c>
    </row>
    <row r="273" spans="49:50">
      <c r="AW273" s="511">
        <v>44116</v>
      </c>
      <c r="AX273" s="499">
        <v>13.2697</v>
      </c>
    </row>
    <row r="274" spans="49:50">
      <c r="AW274" s="511">
        <v>44113</v>
      </c>
      <c r="AX274" s="499">
        <v>13.5265</v>
      </c>
    </row>
    <row r="275" spans="49:50">
      <c r="AW275" s="511">
        <v>44112</v>
      </c>
      <c r="AX275" s="499">
        <v>13.440899999999999</v>
      </c>
    </row>
    <row r="276" spans="49:50">
      <c r="AW276" s="511">
        <v>44111</v>
      </c>
      <c r="AX276" s="499">
        <v>13.077</v>
      </c>
    </row>
    <row r="277" spans="49:50">
      <c r="AW277" s="511">
        <v>44110</v>
      </c>
      <c r="AX277" s="499">
        <v>13.077</v>
      </c>
    </row>
    <row r="278" spans="49:50">
      <c r="AW278" s="511">
        <v>44109</v>
      </c>
      <c r="AX278" s="499">
        <v>13.0984</v>
      </c>
    </row>
    <row r="279" spans="49:50">
      <c r="AW279" s="511">
        <v>44106</v>
      </c>
      <c r="AX279" s="499">
        <v>13.0556</v>
      </c>
    </row>
    <row r="280" spans="49:50">
      <c r="AW280" s="511">
        <v>44105</v>
      </c>
      <c r="AX280" s="499">
        <v>13.205399999999999</v>
      </c>
    </row>
    <row r="281" spans="49:50">
      <c r="AW281" s="511">
        <v>44104</v>
      </c>
      <c r="AX281" s="499">
        <v>13.0342</v>
      </c>
    </row>
    <row r="282" spans="49:50">
      <c r="AW282" s="511">
        <v>44103</v>
      </c>
      <c r="AX282" s="499">
        <v>12.908799999999999</v>
      </c>
    </row>
    <row r="283" spans="49:50">
      <c r="AW283" s="511">
        <v>44102</v>
      </c>
      <c r="AX283" s="499">
        <v>13.163600000000001</v>
      </c>
    </row>
    <row r="284" spans="49:50">
      <c r="AW284" s="511">
        <v>44099</v>
      </c>
      <c r="AX284" s="499">
        <v>13.163600000000001</v>
      </c>
    </row>
    <row r="285" spans="49:50">
      <c r="AW285" s="511">
        <v>44098</v>
      </c>
      <c r="AX285" s="499">
        <v>13.2273</v>
      </c>
    </row>
    <row r="286" spans="49:50">
      <c r="AW286" s="511">
        <v>44097</v>
      </c>
      <c r="AX286" s="499">
        <v>13.460800000000001</v>
      </c>
    </row>
    <row r="287" spans="49:50">
      <c r="AW287" s="511">
        <v>44096</v>
      </c>
      <c r="AX287" s="499">
        <v>12.93</v>
      </c>
    </row>
    <row r="288" spans="49:50">
      <c r="AW288" s="511">
        <v>44095</v>
      </c>
      <c r="AX288" s="499">
        <v>12.9513</v>
      </c>
    </row>
    <row r="289" spans="49:50">
      <c r="AW289" s="511">
        <v>44092</v>
      </c>
      <c r="AX289" s="499">
        <v>12.8239</v>
      </c>
    </row>
    <row r="290" spans="49:50">
      <c r="AW290" s="511">
        <v>44091</v>
      </c>
      <c r="AX290" s="499">
        <v>12.6965</v>
      </c>
    </row>
    <row r="291" spans="49:50">
      <c r="AW291" s="511">
        <v>44090</v>
      </c>
      <c r="AX291" s="499">
        <v>12.887600000000001</v>
      </c>
    </row>
    <row r="292" spans="49:50">
      <c r="AW292" s="511">
        <v>44089</v>
      </c>
      <c r="AX292" s="499">
        <v>12.717700000000001</v>
      </c>
    </row>
    <row r="293" spans="49:50">
      <c r="AW293" s="511">
        <v>44088</v>
      </c>
      <c r="AX293" s="499">
        <v>12.739000000000001</v>
      </c>
    </row>
    <row r="294" spans="49:50">
      <c r="AW294" s="511">
        <v>44085</v>
      </c>
      <c r="AX294" s="499">
        <v>12.6328</v>
      </c>
    </row>
    <row r="295" spans="49:50">
      <c r="AW295" s="511">
        <v>44084</v>
      </c>
      <c r="AX295" s="499">
        <v>12.6965</v>
      </c>
    </row>
    <row r="296" spans="49:50">
      <c r="AW296" s="511">
        <v>44083</v>
      </c>
      <c r="AX296" s="499">
        <v>12.6328</v>
      </c>
    </row>
    <row r="297" spans="49:50">
      <c r="AW297" s="511">
        <v>44082</v>
      </c>
      <c r="AX297" s="499">
        <v>12.6965</v>
      </c>
    </row>
    <row r="298" spans="49:50">
      <c r="AW298" s="511">
        <v>44081</v>
      </c>
      <c r="AX298" s="499">
        <v>12.5054</v>
      </c>
    </row>
    <row r="299" spans="49:50">
      <c r="AW299" s="511">
        <v>44078</v>
      </c>
      <c r="AX299" s="499">
        <v>12.866400000000001</v>
      </c>
    </row>
    <row r="300" spans="49:50">
      <c r="AW300" s="511">
        <v>44077</v>
      </c>
      <c r="AX300" s="499">
        <v>13.036199999999999</v>
      </c>
    </row>
    <row r="301" spans="49:50">
      <c r="AW301" s="511">
        <v>44075</v>
      </c>
      <c r="AX301" s="499">
        <v>12.9513</v>
      </c>
    </row>
    <row r="302" spans="49:50">
      <c r="AW302" s="511">
        <v>44074</v>
      </c>
      <c r="AX302" s="499">
        <v>12.739000000000001</v>
      </c>
    </row>
    <row r="303" spans="49:50">
      <c r="AW303" s="511">
        <v>44071</v>
      </c>
      <c r="AX303" s="499">
        <v>12.908799999999999</v>
      </c>
    </row>
    <row r="304" spans="49:50">
      <c r="AW304" s="511">
        <v>44070</v>
      </c>
      <c r="AX304" s="499">
        <v>12.4842</v>
      </c>
    </row>
    <row r="305" spans="49:50">
      <c r="AW305" s="511">
        <v>44069</v>
      </c>
      <c r="AX305" s="499">
        <v>12.5266</v>
      </c>
    </row>
    <row r="306" spans="49:50">
      <c r="AW306" s="511">
        <v>44068</v>
      </c>
      <c r="AX306" s="499">
        <v>12.6753</v>
      </c>
    </row>
    <row r="307" spans="49:50">
      <c r="AW307" s="511">
        <v>44067</v>
      </c>
      <c r="AX307" s="499">
        <v>12.441700000000001</v>
      </c>
    </row>
    <row r="308" spans="49:50">
      <c r="AW308" s="511">
        <v>44064</v>
      </c>
      <c r="AX308" s="499">
        <v>11.9534</v>
      </c>
    </row>
    <row r="309" spans="49:50">
      <c r="AW309" s="511">
        <v>44063</v>
      </c>
      <c r="AX309" s="499">
        <v>11.8048</v>
      </c>
    </row>
    <row r="310" spans="49:50">
      <c r="AW310" s="511">
        <v>44062</v>
      </c>
      <c r="AX310" s="499">
        <v>11.8048</v>
      </c>
    </row>
    <row r="311" spans="49:50">
      <c r="AW311" s="511">
        <v>44061</v>
      </c>
      <c r="AX311" s="499">
        <v>11.741099999999999</v>
      </c>
    </row>
    <row r="312" spans="49:50">
      <c r="AW312" s="511">
        <v>44060</v>
      </c>
      <c r="AX312" s="499">
        <v>11.868499999999999</v>
      </c>
    </row>
    <row r="313" spans="49:50">
      <c r="AW313" s="511">
        <v>44057</v>
      </c>
      <c r="AX313" s="499">
        <v>11.995900000000001</v>
      </c>
    </row>
    <row r="314" spans="49:50">
      <c r="AW314" s="511">
        <v>44056</v>
      </c>
      <c r="AX314" s="499">
        <v>11.889699999999999</v>
      </c>
    </row>
    <row r="315" spans="49:50">
      <c r="AW315" s="511">
        <v>44055</v>
      </c>
      <c r="AX315" s="499">
        <v>11.592499999999999</v>
      </c>
    </row>
    <row r="316" spans="49:50">
      <c r="AW316" s="511">
        <v>44054</v>
      </c>
      <c r="AX316" s="499">
        <v>11.698600000000001</v>
      </c>
    </row>
    <row r="317" spans="49:50">
      <c r="AW317" s="511">
        <v>44053</v>
      </c>
      <c r="AX317" s="499">
        <v>11.741099999999999</v>
      </c>
    </row>
    <row r="318" spans="49:50">
      <c r="AW318" s="511">
        <v>44050</v>
      </c>
      <c r="AX318" s="499">
        <v>11.719799999999999</v>
      </c>
    </row>
    <row r="319" spans="49:50">
      <c r="AW319" s="511">
        <v>44049</v>
      </c>
      <c r="AX319" s="499">
        <v>11.8048</v>
      </c>
    </row>
    <row r="320" spans="49:50">
      <c r="AW320" s="511">
        <v>44048</v>
      </c>
      <c r="AX320" s="499">
        <v>11.6562</v>
      </c>
    </row>
    <row r="321" spans="49:50">
      <c r="AW321" s="511">
        <v>44047</v>
      </c>
      <c r="AX321" s="499">
        <v>11.3589</v>
      </c>
    </row>
    <row r="322" spans="49:50">
      <c r="AW322" s="511">
        <v>44046</v>
      </c>
      <c r="AX322" s="499">
        <v>11.2103</v>
      </c>
    </row>
    <row r="323" spans="49:50">
      <c r="AW323" s="511">
        <v>44043</v>
      </c>
      <c r="AX323" s="499">
        <v>10.955500000000001</v>
      </c>
    </row>
    <row r="324" spans="49:50">
      <c r="AW324" s="511">
        <v>44042</v>
      </c>
      <c r="AX324" s="499">
        <v>10.9343</v>
      </c>
    </row>
    <row r="325" spans="49:50">
      <c r="AW325" s="511">
        <v>44041</v>
      </c>
      <c r="AX325" s="499">
        <v>10.9343</v>
      </c>
    </row>
    <row r="326" spans="49:50">
      <c r="AW326" s="511">
        <v>44040</v>
      </c>
      <c r="AX326" s="499">
        <v>11.4651</v>
      </c>
    </row>
    <row r="327" spans="49:50">
      <c r="AW327" s="511">
        <v>44039</v>
      </c>
      <c r="AX327" s="499">
        <v>11.0617</v>
      </c>
    </row>
    <row r="328" spans="49:50">
      <c r="AW328" s="511">
        <v>44036</v>
      </c>
      <c r="AX328" s="499">
        <v>11.889699999999999</v>
      </c>
    </row>
    <row r="329" spans="49:50">
      <c r="AW329" s="511">
        <v>44035</v>
      </c>
      <c r="AX329" s="499">
        <v>12.5266</v>
      </c>
    </row>
    <row r="330" spans="49:50">
      <c r="AW330" s="511">
        <v>44034</v>
      </c>
      <c r="AX330" s="499">
        <v>12.441700000000001</v>
      </c>
    </row>
    <row r="331" spans="49:50">
      <c r="AW331" s="511">
        <v>44033</v>
      </c>
      <c r="AX331" s="499">
        <v>12.611599999999999</v>
      </c>
    </row>
    <row r="332" spans="49:50">
      <c r="AW332" s="511">
        <v>44032</v>
      </c>
      <c r="AX332" s="499">
        <v>12.611599999999999</v>
      </c>
    </row>
    <row r="333" spans="49:50">
      <c r="AW333" s="511">
        <v>44029</v>
      </c>
      <c r="AX333" s="499">
        <v>12.8239</v>
      </c>
    </row>
    <row r="334" spans="49:50">
      <c r="AW334" s="511">
        <v>44028</v>
      </c>
      <c r="AX334" s="499">
        <v>12.8451</v>
      </c>
    </row>
    <row r="335" spans="49:50">
      <c r="AW335" s="511">
        <v>44027</v>
      </c>
      <c r="AX335" s="499">
        <v>12.7814</v>
      </c>
    </row>
    <row r="336" spans="49:50">
      <c r="AW336" s="511">
        <v>44026</v>
      </c>
      <c r="AX336" s="499">
        <v>12.590299999999999</v>
      </c>
    </row>
    <row r="337" spans="49:50">
      <c r="AW337" s="511">
        <v>44025</v>
      </c>
      <c r="AX337" s="499">
        <v>12.590299999999999</v>
      </c>
    </row>
    <row r="338" spans="49:50">
      <c r="AW338" s="511">
        <v>44022</v>
      </c>
      <c r="AX338" s="499">
        <v>12.717700000000001</v>
      </c>
    </row>
    <row r="339" spans="49:50">
      <c r="AW339" s="511">
        <v>44021</v>
      </c>
      <c r="AX339" s="499">
        <v>12.866400000000001</v>
      </c>
    </row>
    <row r="340" spans="49:50">
      <c r="AW340" s="511">
        <v>44020</v>
      </c>
      <c r="AX340" s="499">
        <v>12.569100000000001</v>
      </c>
    </row>
    <row r="341" spans="49:50">
      <c r="AW341" s="511">
        <v>44019</v>
      </c>
      <c r="AX341" s="499">
        <v>12.611599999999999</v>
      </c>
    </row>
    <row r="342" spans="49:50">
      <c r="AW342" s="511">
        <v>44018</v>
      </c>
      <c r="AX342" s="499">
        <v>12.6328</v>
      </c>
    </row>
    <row r="343" spans="49:50">
      <c r="AW343" s="511">
        <v>44015</v>
      </c>
      <c r="AX343" s="499">
        <v>12.441700000000001</v>
      </c>
    </row>
    <row r="344" spans="49:50">
      <c r="AW344" s="511">
        <v>44014</v>
      </c>
      <c r="AX344" s="499">
        <v>12.462999999999999</v>
      </c>
    </row>
    <row r="345" spans="49:50">
      <c r="AW345" s="511">
        <v>44013</v>
      </c>
      <c r="AX345" s="499">
        <v>12.441700000000001</v>
      </c>
    </row>
    <row r="346" spans="49:50">
      <c r="AW346" s="511">
        <v>44012</v>
      </c>
      <c r="AX346" s="499">
        <v>12.1869</v>
      </c>
    </row>
    <row r="347" spans="49:50">
      <c r="AW347" s="511">
        <v>44011</v>
      </c>
      <c r="AX347" s="499">
        <v>10.7683</v>
      </c>
    </row>
    <row r="348" spans="49:50">
      <c r="AW348" s="511">
        <v>44008</v>
      </c>
      <c r="AX348" s="499">
        <v>11.1616</v>
      </c>
    </row>
    <row r="349" spans="49:50">
      <c r="AW349" s="511">
        <v>44007</v>
      </c>
      <c r="AX349" s="499">
        <v>11.1616</v>
      </c>
    </row>
    <row r="350" spans="49:50">
      <c r="AW350" s="511">
        <v>44006</v>
      </c>
      <c r="AX350" s="499">
        <v>11.311400000000001</v>
      </c>
    </row>
    <row r="351" spans="49:50">
      <c r="AW351" s="511">
        <v>44005</v>
      </c>
      <c r="AX351" s="499">
        <v>11.199</v>
      </c>
    </row>
    <row r="352" spans="49:50">
      <c r="AW352" s="511">
        <v>44004</v>
      </c>
      <c r="AX352" s="499">
        <v>11.0679</v>
      </c>
    </row>
    <row r="353" spans="49:50">
      <c r="AW353" s="511">
        <v>44001</v>
      </c>
      <c r="AX353" s="499">
        <v>11.0679</v>
      </c>
    </row>
    <row r="354" spans="49:50">
      <c r="AW354" s="511">
        <v>44000</v>
      </c>
      <c r="AX354" s="499">
        <v>10.8994</v>
      </c>
    </row>
    <row r="355" spans="49:50">
      <c r="AW355" s="511">
        <v>43999</v>
      </c>
      <c r="AX355" s="499">
        <v>10.918100000000001</v>
      </c>
    </row>
    <row r="356" spans="49:50">
      <c r="AW356" s="511">
        <v>43998</v>
      </c>
      <c r="AX356" s="499">
        <v>11.011699999999999</v>
      </c>
    </row>
    <row r="357" spans="49:50">
      <c r="AW357" s="511">
        <v>43997</v>
      </c>
      <c r="AX357" s="499">
        <v>10.7121</v>
      </c>
    </row>
    <row r="358" spans="49:50">
      <c r="AW358" s="511">
        <v>43994</v>
      </c>
      <c r="AX358" s="499">
        <v>11.142799999999999</v>
      </c>
    </row>
    <row r="359" spans="49:50">
      <c r="AW359" s="511">
        <v>43993</v>
      </c>
      <c r="AX359" s="499">
        <v>11.3301</v>
      </c>
    </row>
    <row r="360" spans="49:50">
      <c r="AW360" s="511">
        <v>43992</v>
      </c>
      <c r="AX360" s="499">
        <v>12.172800000000001</v>
      </c>
    </row>
    <row r="361" spans="49:50">
      <c r="AW361" s="511">
        <v>43991</v>
      </c>
      <c r="AX361" s="499">
        <v>12.266500000000001</v>
      </c>
    </row>
    <row r="362" spans="49:50">
      <c r="AW362" s="511">
        <v>43990</v>
      </c>
      <c r="AX362" s="499">
        <v>12.3788</v>
      </c>
    </row>
    <row r="363" spans="49:50">
      <c r="AW363" s="511">
        <v>43987</v>
      </c>
      <c r="AX363" s="499">
        <v>11.929399999999999</v>
      </c>
    </row>
    <row r="364" spans="49:50">
      <c r="AW364" s="511">
        <v>43986</v>
      </c>
      <c r="AX364" s="499">
        <v>11.929399999999999</v>
      </c>
    </row>
    <row r="365" spans="49:50">
      <c r="AW365" s="511">
        <v>43985</v>
      </c>
      <c r="AX365" s="499">
        <v>11.873200000000001</v>
      </c>
    </row>
    <row r="366" spans="49:50">
      <c r="AW366" s="511">
        <v>43984</v>
      </c>
      <c r="AX366" s="499">
        <v>11.835800000000001</v>
      </c>
    </row>
    <row r="367" spans="49:50">
      <c r="AW367" s="511">
        <v>43983</v>
      </c>
      <c r="AX367" s="499">
        <v>11.966799999999999</v>
      </c>
    </row>
    <row r="368" spans="49:50">
      <c r="AW368" s="511">
        <v>43980</v>
      </c>
      <c r="AX368" s="499">
        <v>11.817</v>
      </c>
    </row>
    <row r="369" spans="49:50">
      <c r="AW369" s="511">
        <v>43979</v>
      </c>
      <c r="AX369" s="499">
        <v>11.742100000000001</v>
      </c>
    </row>
    <row r="370" spans="49:50">
      <c r="AW370" s="511">
        <v>43978</v>
      </c>
      <c r="AX370" s="499">
        <v>11.798299999999999</v>
      </c>
    </row>
    <row r="371" spans="49:50">
      <c r="AW371" s="511">
        <v>43977</v>
      </c>
      <c r="AX371" s="499">
        <v>12.023</v>
      </c>
    </row>
    <row r="372" spans="49:50">
      <c r="AW372" s="511">
        <v>43976</v>
      </c>
      <c r="AX372" s="499">
        <v>11.9856</v>
      </c>
    </row>
    <row r="373" spans="49:50">
      <c r="AW373" s="511">
        <v>43973</v>
      </c>
      <c r="AX373" s="499">
        <v>11.835800000000001</v>
      </c>
    </row>
    <row r="374" spans="49:50">
      <c r="AW374" s="511">
        <v>43972</v>
      </c>
      <c r="AX374" s="499">
        <v>11.9856</v>
      </c>
    </row>
    <row r="375" spans="49:50">
      <c r="AW375" s="511">
        <v>43971</v>
      </c>
      <c r="AX375" s="499">
        <v>11.9856</v>
      </c>
    </row>
    <row r="376" spans="49:50">
      <c r="AW376" s="511">
        <v>43970</v>
      </c>
      <c r="AX376" s="499">
        <v>12.0418</v>
      </c>
    </row>
    <row r="377" spans="49:50">
      <c r="AW377" s="511">
        <v>43969</v>
      </c>
      <c r="AX377" s="499">
        <v>11.8919</v>
      </c>
    </row>
    <row r="378" spans="49:50">
      <c r="AW378" s="511">
        <v>43966</v>
      </c>
      <c r="AX378" s="499">
        <v>11.611000000000001</v>
      </c>
    </row>
    <row r="379" spans="49:50">
      <c r="AW379" s="511">
        <v>43965</v>
      </c>
      <c r="AX379" s="499">
        <v>11.9107</v>
      </c>
    </row>
    <row r="380" spans="49:50">
      <c r="AW380" s="511">
        <v>43964</v>
      </c>
      <c r="AX380" s="499">
        <v>12.1541</v>
      </c>
    </row>
    <row r="381" spans="49:50">
      <c r="AW381" s="511">
        <v>43963</v>
      </c>
      <c r="AX381" s="499">
        <v>11.9481</v>
      </c>
    </row>
    <row r="382" spans="49:50">
      <c r="AW382" s="511">
        <v>43962</v>
      </c>
      <c r="AX382" s="499">
        <v>11.180300000000001</v>
      </c>
    </row>
    <row r="383" spans="49:50">
      <c r="AW383" s="511">
        <v>43959</v>
      </c>
      <c r="AX383" s="499">
        <v>10.8994</v>
      </c>
    </row>
    <row r="384" spans="49:50">
      <c r="AW384" s="511">
        <v>43958</v>
      </c>
      <c r="AX384" s="499">
        <v>10.7683</v>
      </c>
    </row>
    <row r="385" spans="49:50">
      <c r="AW385" s="511">
        <v>43957</v>
      </c>
      <c r="AX385" s="499">
        <v>10.581</v>
      </c>
    </row>
    <row r="386" spans="49:50">
      <c r="AW386" s="511">
        <v>43956</v>
      </c>
      <c r="AX386" s="499">
        <v>10.487399999999999</v>
      </c>
    </row>
    <row r="387" spans="49:50">
      <c r="AW387" s="511">
        <v>43955</v>
      </c>
      <c r="AX387" s="499">
        <v>10.581</v>
      </c>
    </row>
    <row r="388" spans="49:50">
      <c r="AW388" s="511">
        <v>43950</v>
      </c>
      <c r="AX388" s="499">
        <v>10.655900000000001</v>
      </c>
    </row>
    <row r="389" spans="49:50">
      <c r="AW389" s="511">
        <v>43949</v>
      </c>
      <c r="AX389" s="499">
        <v>10.7121</v>
      </c>
    </row>
    <row r="390" spans="49:50">
      <c r="AW390" s="511">
        <v>43948</v>
      </c>
      <c r="AX390" s="499">
        <v>10.8619</v>
      </c>
    </row>
    <row r="391" spans="49:50">
      <c r="AW391" s="511">
        <v>43945</v>
      </c>
      <c r="AX391" s="499">
        <v>11.142799999999999</v>
      </c>
    </row>
    <row r="392" spans="49:50">
      <c r="AW392" s="511">
        <v>43944</v>
      </c>
      <c r="AX392" s="499">
        <v>11.1241</v>
      </c>
    </row>
    <row r="393" spans="49:50">
      <c r="AW393" s="511">
        <v>43943</v>
      </c>
      <c r="AX393" s="499">
        <v>11.011699999999999</v>
      </c>
    </row>
    <row r="394" spans="49:50">
      <c r="AW394" s="511">
        <v>43942</v>
      </c>
      <c r="AX394" s="499">
        <v>10.8432</v>
      </c>
    </row>
    <row r="395" spans="49:50">
      <c r="AW395" s="511">
        <v>43941</v>
      </c>
      <c r="AX395" s="499">
        <v>11.273899999999999</v>
      </c>
    </row>
    <row r="396" spans="49:50">
      <c r="AW396" s="511">
        <v>43938</v>
      </c>
      <c r="AX396" s="499">
        <v>11.180300000000001</v>
      </c>
    </row>
    <row r="397" spans="49:50">
      <c r="AW397" s="511">
        <v>43937</v>
      </c>
      <c r="AX397" s="499">
        <v>11.049200000000001</v>
      </c>
    </row>
    <row r="398" spans="49:50">
      <c r="AW398" s="511">
        <v>43936</v>
      </c>
      <c r="AX398" s="499">
        <v>11.0867</v>
      </c>
    </row>
    <row r="399" spans="49:50">
      <c r="AW399" s="511">
        <v>43935</v>
      </c>
      <c r="AX399" s="499">
        <v>10.7683</v>
      </c>
    </row>
    <row r="400" spans="49:50">
      <c r="AW400" s="511">
        <v>43934</v>
      </c>
      <c r="AX400" s="499">
        <v>10.787000000000001</v>
      </c>
    </row>
    <row r="401" spans="49:50">
      <c r="AW401" s="511">
        <v>43931</v>
      </c>
      <c r="AX401" s="499">
        <v>10.787000000000001</v>
      </c>
    </row>
    <row r="402" spans="49:50">
      <c r="AW402" s="511">
        <v>43930</v>
      </c>
      <c r="AX402" s="499">
        <v>10.8619</v>
      </c>
    </row>
    <row r="403" spans="49:50">
      <c r="AW403" s="511">
        <v>43929</v>
      </c>
      <c r="AX403" s="499">
        <v>10.524800000000001</v>
      </c>
    </row>
    <row r="404" spans="49:50">
      <c r="AW404" s="511">
        <v>43928</v>
      </c>
      <c r="AX404" s="499">
        <v>10.6747</v>
      </c>
    </row>
    <row r="405" spans="49:50">
      <c r="AW405" s="511">
        <v>43927</v>
      </c>
      <c r="AX405" s="499">
        <v>10.393700000000001</v>
      </c>
    </row>
    <row r="406" spans="49:50">
      <c r="AW406" s="511">
        <v>43924</v>
      </c>
      <c r="AX406" s="499">
        <v>9.7195999999999998</v>
      </c>
    </row>
    <row r="407" spans="49:50">
      <c r="AW407" s="511">
        <v>43922</v>
      </c>
      <c r="AX407" s="499">
        <v>9.1014999999999997</v>
      </c>
    </row>
    <row r="408" spans="49:50">
      <c r="AW408" s="511">
        <v>43921</v>
      </c>
      <c r="AX408" s="499">
        <v>8.5959000000000003</v>
      </c>
    </row>
    <row r="409" spans="49:50">
      <c r="AW409" s="511">
        <v>43920</v>
      </c>
      <c r="AX409" s="499">
        <v>8.6654999999999998</v>
      </c>
    </row>
    <row r="410" spans="49:50">
      <c r="AW410" s="511">
        <v>43917</v>
      </c>
      <c r="AX410" s="499">
        <v>9.3114000000000008</v>
      </c>
    </row>
    <row r="411" spans="49:50">
      <c r="AW411" s="511">
        <v>43916</v>
      </c>
      <c r="AX411" s="499">
        <v>9.6523000000000003</v>
      </c>
    </row>
    <row r="412" spans="49:50">
      <c r="AW412" s="511">
        <v>43915</v>
      </c>
      <c r="AX412" s="499">
        <v>9.8496000000000006</v>
      </c>
    </row>
    <row r="413" spans="49:50">
      <c r="AW413" s="511">
        <v>43914</v>
      </c>
      <c r="AX413" s="499">
        <v>9.2217000000000002</v>
      </c>
    </row>
    <row r="414" spans="49:50">
      <c r="AW414" s="511">
        <v>43913</v>
      </c>
      <c r="AX414" s="499">
        <v>9.1858000000000004</v>
      </c>
    </row>
    <row r="415" spans="49:50">
      <c r="AW415" s="511">
        <v>43910</v>
      </c>
      <c r="AX415" s="499">
        <v>9.8675999999999995</v>
      </c>
    </row>
    <row r="416" spans="49:50">
      <c r="AW416" s="511">
        <v>43909</v>
      </c>
      <c r="AX416" s="499">
        <v>9.7599</v>
      </c>
    </row>
    <row r="417" spans="49:50">
      <c r="AW417" s="511">
        <v>43908</v>
      </c>
      <c r="AX417" s="499">
        <v>10.2981</v>
      </c>
    </row>
    <row r="418" spans="49:50">
      <c r="AW418" s="511">
        <v>43907</v>
      </c>
      <c r="AX418" s="499">
        <v>10.2264</v>
      </c>
    </row>
    <row r="419" spans="49:50">
      <c r="AW419" s="511">
        <v>43906</v>
      </c>
      <c r="AX419" s="499">
        <v>10.280200000000001</v>
      </c>
    </row>
    <row r="420" spans="49:50">
      <c r="AW420" s="511">
        <v>43903</v>
      </c>
      <c r="AX420" s="499">
        <v>11.0517</v>
      </c>
    </row>
    <row r="421" spans="49:50">
      <c r="AW421" s="511">
        <v>43902</v>
      </c>
      <c r="AX421" s="499">
        <v>11.446400000000001</v>
      </c>
    </row>
    <row r="422" spans="49:50">
      <c r="AW422" s="511">
        <v>43901</v>
      </c>
      <c r="AX422" s="499">
        <v>12.307499999999999</v>
      </c>
    </row>
    <row r="423" spans="49:50">
      <c r="AW423" s="511">
        <v>43900</v>
      </c>
      <c r="AX423" s="499">
        <v>13.2225</v>
      </c>
    </row>
    <row r="424" spans="49:50">
      <c r="AW424" s="511">
        <v>43899</v>
      </c>
      <c r="AX424" s="499">
        <v>13.473699999999999</v>
      </c>
    </row>
    <row r="425" spans="49:50">
      <c r="AW425" s="511">
        <v>43896</v>
      </c>
      <c r="AX425" s="499">
        <v>14.478400000000001</v>
      </c>
    </row>
    <row r="426" spans="49:50">
      <c r="AW426" s="511">
        <v>43895</v>
      </c>
      <c r="AX426" s="499">
        <v>14.6578</v>
      </c>
    </row>
    <row r="427" spans="49:50">
      <c r="AW427" s="511">
        <v>43894</v>
      </c>
      <c r="AX427" s="499">
        <v>14.7475</v>
      </c>
    </row>
    <row r="428" spans="49:50">
      <c r="AW428" s="511">
        <v>43893</v>
      </c>
      <c r="AX428" s="499">
        <v>14.711600000000001</v>
      </c>
    </row>
    <row r="429" spans="49:50">
      <c r="AW429" s="511">
        <v>43892</v>
      </c>
      <c r="AX429" s="499">
        <v>14.639900000000001</v>
      </c>
    </row>
    <row r="430" spans="49:50">
      <c r="AW430" s="511">
        <v>43889</v>
      </c>
      <c r="AX430" s="499">
        <v>14.6578</v>
      </c>
    </row>
    <row r="431" spans="49:50">
      <c r="AW431" s="511">
        <v>43888</v>
      </c>
      <c r="AX431" s="499">
        <v>14.980700000000001</v>
      </c>
    </row>
    <row r="432" spans="49:50">
      <c r="AW432" s="511">
        <v>43887</v>
      </c>
      <c r="AX432" s="499">
        <v>14.891</v>
      </c>
    </row>
    <row r="433" spans="49:50">
      <c r="AW433" s="511">
        <v>43886</v>
      </c>
      <c r="AX433" s="499">
        <v>14.891</v>
      </c>
    </row>
    <row r="434" spans="49:50">
      <c r="AW434" s="511">
        <v>43885</v>
      </c>
      <c r="AX434" s="499">
        <v>14.568099999999999</v>
      </c>
    </row>
    <row r="435" spans="49:50">
      <c r="AW435" s="511">
        <v>43882</v>
      </c>
      <c r="AX435" s="499">
        <v>15.034599999999999</v>
      </c>
    </row>
    <row r="436" spans="49:50">
      <c r="AW436" s="511">
        <v>43881</v>
      </c>
      <c r="AX436" s="499">
        <v>15.303699999999999</v>
      </c>
    </row>
    <row r="437" spans="49:50">
      <c r="AW437" s="511">
        <v>43880</v>
      </c>
      <c r="AX437" s="499">
        <v>15.339600000000001</v>
      </c>
    </row>
    <row r="438" spans="49:50">
      <c r="AW438" s="511">
        <v>43879</v>
      </c>
      <c r="AX438" s="499">
        <v>15.0166</v>
      </c>
    </row>
    <row r="439" spans="49:50">
      <c r="AW439" s="511">
        <v>43878</v>
      </c>
      <c r="AX439" s="499">
        <v>14.7834</v>
      </c>
    </row>
    <row r="440" spans="49:50">
      <c r="AW440" s="511">
        <v>43875</v>
      </c>
      <c r="AX440" s="499">
        <v>14.837199999999999</v>
      </c>
    </row>
    <row r="441" spans="49:50">
      <c r="AW441" s="511">
        <v>43874</v>
      </c>
      <c r="AX441" s="499">
        <v>14.801299999999999</v>
      </c>
    </row>
    <row r="442" spans="49:50">
      <c r="AW442" s="511">
        <v>43873</v>
      </c>
      <c r="AX442" s="499">
        <v>14.801299999999999</v>
      </c>
    </row>
    <row r="443" spans="49:50">
      <c r="AW443" s="511">
        <v>43872</v>
      </c>
      <c r="AX443" s="499">
        <v>14.6219</v>
      </c>
    </row>
    <row r="444" spans="49:50">
      <c r="AW444" s="511">
        <v>43871</v>
      </c>
      <c r="AX444" s="499">
        <v>14.6219</v>
      </c>
    </row>
    <row r="445" spans="49:50">
      <c r="AW445" s="511">
        <v>43868</v>
      </c>
      <c r="AX445" s="499">
        <v>14.8193</v>
      </c>
    </row>
    <row r="446" spans="49:50">
      <c r="AW446" s="511">
        <v>43867</v>
      </c>
      <c r="AX446" s="499">
        <v>15.0525</v>
      </c>
    </row>
    <row r="447" spans="49:50">
      <c r="AW447" s="511">
        <v>43866</v>
      </c>
      <c r="AX447" s="499">
        <v>14.837199999999999</v>
      </c>
    </row>
    <row r="448" spans="49:50">
      <c r="AW448" s="511">
        <v>43865</v>
      </c>
      <c r="AX448" s="499">
        <v>15.070399999999999</v>
      </c>
    </row>
    <row r="449" spans="49:50">
      <c r="AW449" s="511">
        <v>43864</v>
      </c>
      <c r="AX449" s="499">
        <v>14.8552</v>
      </c>
    </row>
    <row r="450" spans="49:50">
      <c r="AW450" s="511">
        <v>43861</v>
      </c>
      <c r="AX450" s="499">
        <v>15.1243</v>
      </c>
    </row>
    <row r="451" spans="49:50">
      <c r="AW451" s="511">
        <v>43860</v>
      </c>
      <c r="AX451" s="499">
        <v>15.734299999999999</v>
      </c>
    </row>
    <row r="452" spans="49:50">
      <c r="AW452" s="511">
        <v>43852</v>
      </c>
      <c r="AX452" s="499">
        <v>16.380099999999999</v>
      </c>
    </row>
    <row r="453" spans="49:50">
      <c r="AW453" s="511">
        <v>43851</v>
      </c>
      <c r="AX453" s="499">
        <v>16.3263</v>
      </c>
    </row>
    <row r="454" spans="49:50">
      <c r="AW454" s="511">
        <v>43850</v>
      </c>
      <c r="AX454" s="499">
        <v>16.505700000000001</v>
      </c>
    </row>
    <row r="455" spans="49:50">
      <c r="AW455" s="511">
        <v>43847</v>
      </c>
      <c r="AX455" s="499">
        <v>16.272500000000001</v>
      </c>
    </row>
    <row r="456" spans="49:50">
      <c r="AW456" s="511">
        <v>43846</v>
      </c>
      <c r="AX456" s="499">
        <v>16.129000000000001</v>
      </c>
    </row>
    <row r="457" spans="49:50">
      <c r="AW457" s="511">
        <v>43845</v>
      </c>
      <c r="AX457" s="499">
        <v>16.146899999999999</v>
      </c>
    </row>
    <row r="458" spans="49:50">
      <c r="AW458" s="511">
        <v>43844</v>
      </c>
      <c r="AX458" s="499">
        <v>15.9496</v>
      </c>
    </row>
    <row r="459" spans="49:50">
      <c r="AW459" s="511">
        <v>43843</v>
      </c>
      <c r="AX459" s="499">
        <v>15.967499999999999</v>
      </c>
    </row>
    <row r="460" spans="49:50">
      <c r="AW460" s="511">
        <v>43840</v>
      </c>
      <c r="AX460" s="499">
        <v>15.877800000000001</v>
      </c>
    </row>
    <row r="461" spans="49:50">
      <c r="AW461" s="511">
        <v>43839</v>
      </c>
      <c r="AX461" s="499">
        <v>15.4651</v>
      </c>
    </row>
    <row r="462" spans="49:50">
      <c r="AW462" s="511">
        <v>43838</v>
      </c>
      <c r="AX462" s="499">
        <v>15.267799999999999</v>
      </c>
    </row>
    <row r="463" spans="49:50">
      <c r="AW463" s="511">
        <v>43837</v>
      </c>
      <c r="AX463" s="499">
        <v>15.5907</v>
      </c>
    </row>
    <row r="464" spans="49:50">
      <c r="AW464" s="511">
        <v>43836</v>
      </c>
      <c r="AX464" s="499">
        <v>15.3934</v>
      </c>
    </row>
    <row r="465" spans="49:50">
      <c r="AW465" s="511">
        <v>43833</v>
      </c>
      <c r="AX465" s="499">
        <v>15.572800000000001</v>
      </c>
    </row>
    <row r="466" spans="49:50">
      <c r="AW466" s="511">
        <v>43832</v>
      </c>
      <c r="AX466" s="499">
        <v>15.680400000000001</v>
      </c>
    </row>
    <row r="467" spans="49:50">
      <c r="AW467" s="511">
        <v>43830</v>
      </c>
      <c r="AX467" s="499">
        <v>15.4293</v>
      </c>
    </row>
    <row r="468" spans="49:50">
      <c r="AW468" s="511">
        <v>43829</v>
      </c>
      <c r="AX468" s="499">
        <v>17.194299999999998</v>
      </c>
    </row>
    <row r="469" spans="49:50">
      <c r="AW469" s="511">
        <v>43826</v>
      </c>
      <c r="AX469" s="499">
        <v>17.194299999999998</v>
      </c>
    </row>
    <row r="470" spans="49:50">
      <c r="AW470" s="511">
        <v>43825</v>
      </c>
      <c r="AX470" s="499">
        <v>17.0154</v>
      </c>
    </row>
    <row r="471" spans="49:50">
      <c r="AW471" s="511">
        <v>43824</v>
      </c>
      <c r="AX471" s="499">
        <v>16.9955</v>
      </c>
    </row>
    <row r="472" spans="49:50">
      <c r="AW472" s="511">
        <v>43823</v>
      </c>
      <c r="AX472" s="499">
        <v>16.796700000000001</v>
      </c>
    </row>
    <row r="473" spans="49:50">
      <c r="AW473" s="511">
        <v>43822</v>
      </c>
      <c r="AX473" s="499">
        <v>16.836500000000001</v>
      </c>
    </row>
    <row r="474" spans="49:50">
      <c r="AW474" s="511">
        <v>43819</v>
      </c>
      <c r="AX474" s="499">
        <v>16.4588</v>
      </c>
    </row>
    <row r="475" spans="49:50">
      <c r="AW475" s="511">
        <v>43818</v>
      </c>
      <c r="AX475" s="499">
        <v>16.200399999999998</v>
      </c>
    </row>
    <row r="476" spans="49:50">
      <c r="AW476" s="511">
        <v>43817</v>
      </c>
      <c r="AX476" s="499">
        <v>16.081099999999999</v>
      </c>
    </row>
    <row r="477" spans="49:50">
      <c r="AW477" s="511">
        <v>43816</v>
      </c>
      <c r="AX477" s="499">
        <v>16.339500000000001</v>
      </c>
    </row>
    <row r="478" spans="49:50">
      <c r="AW478" s="511">
        <v>43815</v>
      </c>
      <c r="AX478" s="499">
        <v>16.617799999999999</v>
      </c>
    </row>
    <row r="479" spans="49:50">
      <c r="AW479" s="511">
        <v>43812</v>
      </c>
      <c r="AX479" s="499">
        <v>16.597899999999999</v>
      </c>
    </row>
    <row r="480" spans="49:50">
      <c r="AW480" s="511">
        <v>43811</v>
      </c>
      <c r="AX480" s="499">
        <v>16.697299999999998</v>
      </c>
    </row>
    <row r="481" spans="49:50">
      <c r="AW481" s="511">
        <v>43810</v>
      </c>
      <c r="AX481" s="499">
        <v>16.717199999999998</v>
      </c>
    </row>
    <row r="482" spans="49:50">
      <c r="AW482" s="511">
        <v>43809</v>
      </c>
      <c r="AX482" s="499">
        <v>16.4588</v>
      </c>
    </row>
    <row r="483" spans="49:50">
      <c r="AW483" s="511">
        <v>43808</v>
      </c>
      <c r="AX483" s="499">
        <v>16.339500000000001</v>
      </c>
    </row>
    <row r="484" spans="49:50">
      <c r="AW484" s="511">
        <v>43805</v>
      </c>
      <c r="AX484" s="499">
        <v>16.339500000000001</v>
      </c>
    </row>
    <row r="485" spans="49:50">
      <c r="AW485" s="511">
        <v>43804</v>
      </c>
      <c r="AX485" s="499">
        <v>16.299800000000001</v>
      </c>
    </row>
    <row r="486" spans="49:50">
      <c r="AW486" s="511">
        <v>43803</v>
      </c>
      <c r="AX486" s="499">
        <v>16.379300000000001</v>
      </c>
    </row>
    <row r="487" spans="49:50">
      <c r="AW487" s="511">
        <v>43802</v>
      </c>
      <c r="AX487" s="499">
        <v>16.100999999999999</v>
      </c>
    </row>
    <row r="488" spans="49:50">
      <c r="AW488" s="511">
        <v>43801</v>
      </c>
      <c r="AX488" s="499">
        <v>15.902200000000001</v>
      </c>
    </row>
    <row r="489" spans="49:50">
      <c r="AW489" s="511">
        <v>43798</v>
      </c>
      <c r="AX489" s="499">
        <v>16.140699999999999</v>
      </c>
    </row>
    <row r="490" spans="49:50">
      <c r="AW490" s="511">
        <v>43797</v>
      </c>
      <c r="AX490" s="499">
        <v>16.120899999999999</v>
      </c>
    </row>
    <row r="491" spans="49:50">
      <c r="AW491" s="511">
        <v>43796</v>
      </c>
      <c r="AX491" s="499">
        <v>16.359400000000001</v>
      </c>
    </row>
    <row r="492" spans="49:50">
      <c r="AW492" s="511">
        <v>43795</v>
      </c>
      <c r="AX492" s="499">
        <v>16.558199999999999</v>
      </c>
    </row>
    <row r="493" spans="49:50">
      <c r="AW493" s="511">
        <v>43794</v>
      </c>
      <c r="AX493" s="499">
        <v>16.4787</v>
      </c>
    </row>
    <row r="494" spans="49:50">
      <c r="AW494" s="511">
        <v>43791</v>
      </c>
      <c r="AX494" s="499">
        <v>16.220199999999998</v>
      </c>
    </row>
    <row r="495" spans="49:50">
      <c r="AW495" s="511">
        <v>43790</v>
      </c>
      <c r="AX495" s="499">
        <v>16.399100000000001</v>
      </c>
    </row>
    <row r="496" spans="49:50">
      <c r="AW496" s="511">
        <v>43789</v>
      </c>
      <c r="AX496" s="499">
        <v>16.577999999999999</v>
      </c>
    </row>
    <row r="497" spans="49:50">
      <c r="AW497" s="511">
        <v>43788</v>
      </c>
      <c r="AX497" s="499">
        <v>16.796700000000001</v>
      </c>
    </row>
    <row r="498" spans="49:50">
      <c r="AW498" s="511">
        <v>43787</v>
      </c>
      <c r="AX498" s="499">
        <v>16.776800000000001</v>
      </c>
    </row>
    <row r="499" spans="49:50">
      <c r="AW499" s="511">
        <v>43784</v>
      </c>
      <c r="AX499" s="499">
        <v>16.9557</v>
      </c>
    </row>
    <row r="500" spans="49:50">
      <c r="AW500" s="511">
        <v>43783</v>
      </c>
      <c r="AX500" s="499">
        <v>16.896100000000001</v>
      </c>
    </row>
    <row r="501" spans="49:50">
      <c r="AW501" s="511">
        <v>43782</v>
      </c>
      <c r="AX501" s="499">
        <v>17.094899999999999</v>
      </c>
    </row>
    <row r="502" spans="49:50">
      <c r="AW502" s="511">
        <v>43781</v>
      </c>
      <c r="AX502" s="499">
        <v>16.9557</v>
      </c>
    </row>
    <row r="503" spans="49:50">
      <c r="AW503" s="511">
        <v>43780</v>
      </c>
      <c r="AX503" s="499">
        <v>16.836500000000001</v>
      </c>
    </row>
    <row r="504" spans="49:50">
      <c r="AW504" s="511">
        <v>43777</v>
      </c>
      <c r="AX504" s="499">
        <v>17.0352</v>
      </c>
    </row>
    <row r="505" spans="49:50">
      <c r="AW505" s="511">
        <v>43776</v>
      </c>
      <c r="AX505" s="499">
        <v>16.9358</v>
      </c>
    </row>
    <row r="506" spans="49:50">
      <c r="AW506" s="511">
        <v>43775</v>
      </c>
      <c r="AX506" s="499">
        <v>16.896100000000001</v>
      </c>
    </row>
    <row r="507" spans="49:50">
      <c r="AW507" s="511">
        <v>43774</v>
      </c>
      <c r="AX507" s="499">
        <v>16.9358</v>
      </c>
    </row>
    <row r="508" spans="49:50">
      <c r="AW508" s="511">
        <v>43773</v>
      </c>
      <c r="AX508" s="499">
        <v>17.0154</v>
      </c>
    </row>
    <row r="509" spans="49:50">
      <c r="AW509" s="511">
        <v>43770</v>
      </c>
      <c r="AX509" s="499">
        <v>16.558199999999999</v>
      </c>
    </row>
    <row r="510" spans="49:50">
      <c r="AW510" s="511">
        <v>43769</v>
      </c>
      <c r="AX510" s="499">
        <v>16.558199999999999</v>
      </c>
    </row>
    <row r="511" spans="49:50">
      <c r="AW511" s="511">
        <v>43768</v>
      </c>
      <c r="AX511" s="499">
        <v>16.4985</v>
      </c>
    </row>
    <row r="512" spans="49:50">
      <c r="AW512" s="511">
        <v>43767</v>
      </c>
      <c r="AX512" s="499">
        <v>16.419</v>
      </c>
    </row>
    <row r="513" spans="49:50">
      <c r="AW513" s="511">
        <v>43766</v>
      </c>
      <c r="AX513" s="499">
        <v>16.597899999999999</v>
      </c>
    </row>
    <row r="514" spans="49:50">
      <c r="AW514" s="511">
        <v>43763</v>
      </c>
      <c r="AX514" s="499">
        <v>16.5383</v>
      </c>
    </row>
    <row r="515" spans="49:50">
      <c r="AW515" s="511">
        <v>43762</v>
      </c>
      <c r="AX515" s="499">
        <v>16.637699999999999</v>
      </c>
    </row>
    <row r="516" spans="49:50">
      <c r="AW516" s="511">
        <v>43761</v>
      </c>
      <c r="AX516" s="499">
        <v>16.4588</v>
      </c>
    </row>
    <row r="517" spans="49:50">
      <c r="AW517" s="511">
        <v>43760</v>
      </c>
      <c r="AX517" s="499">
        <v>16.4985</v>
      </c>
    </row>
    <row r="518" spans="49:50">
      <c r="AW518" s="511">
        <v>43759</v>
      </c>
      <c r="AX518" s="499">
        <v>16.299800000000001</v>
      </c>
    </row>
    <row r="519" spans="49:50">
      <c r="AW519" s="511">
        <v>43756</v>
      </c>
      <c r="AX519" s="499">
        <v>16.379300000000001</v>
      </c>
    </row>
    <row r="520" spans="49:50">
      <c r="AW520" s="511">
        <v>43755</v>
      </c>
      <c r="AX520" s="499">
        <v>16.4389</v>
      </c>
    </row>
    <row r="521" spans="49:50">
      <c r="AW521" s="511">
        <v>43754</v>
      </c>
      <c r="AX521" s="499">
        <v>16.279900000000001</v>
      </c>
    </row>
    <row r="522" spans="49:50">
      <c r="AW522" s="511">
        <v>43753</v>
      </c>
      <c r="AX522" s="499">
        <v>15.902200000000001</v>
      </c>
    </row>
    <row r="523" spans="49:50">
      <c r="AW523" s="511">
        <v>43752</v>
      </c>
      <c r="AX523" s="499">
        <v>15.902200000000001</v>
      </c>
    </row>
    <row r="524" spans="49:50">
      <c r="AW524" s="511">
        <v>43749</v>
      </c>
      <c r="AX524" s="499">
        <v>15.902200000000001</v>
      </c>
    </row>
    <row r="525" spans="49:50">
      <c r="AW525" s="511">
        <v>43748</v>
      </c>
      <c r="AX525" s="499">
        <v>15.7233</v>
      </c>
    </row>
    <row r="526" spans="49:50">
      <c r="AW526" s="511">
        <v>43747</v>
      </c>
      <c r="AX526" s="499">
        <v>15.7233</v>
      </c>
    </row>
    <row r="527" spans="49:50">
      <c r="AW527" s="511">
        <v>43746</v>
      </c>
      <c r="AX527" s="499">
        <v>15.842599999999999</v>
      </c>
    </row>
    <row r="528" spans="49:50">
      <c r="AW528" s="511">
        <v>43745</v>
      </c>
      <c r="AX528" s="499">
        <v>15.7034</v>
      </c>
    </row>
    <row r="529" spans="49:50">
      <c r="AW529" s="511">
        <v>43742</v>
      </c>
      <c r="AX529" s="499">
        <v>15.9618</v>
      </c>
    </row>
    <row r="530" spans="49:50">
      <c r="AW530" s="511">
        <v>43741</v>
      </c>
      <c r="AX530" s="499">
        <v>16.081099999999999</v>
      </c>
    </row>
    <row r="531" spans="49:50">
      <c r="AW531" s="511">
        <v>43740</v>
      </c>
      <c r="AX531" s="499">
        <v>16.0215</v>
      </c>
    </row>
    <row r="532" spans="49:50">
      <c r="AW532" s="511">
        <v>43739</v>
      </c>
      <c r="AX532" s="499">
        <v>15.8028</v>
      </c>
    </row>
    <row r="533" spans="49:50">
      <c r="AW533" s="511">
        <v>43738</v>
      </c>
      <c r="AX533" s="499">
        <v>15.9817</v>
      </c>
    </row>
    <row r="534" spans="49:50">
      <c r="AW534" s="511">
        <v>43735</v>
      </c>
      <c r="AX534" s="499">
        <v>16.502800000000001</v>
      </c>
    </row>
    <row r="535" spans="49:50">
      <c r="AW535" s="511">
        <v>43734</v>
      </c>
      <c r="AX535" s="499">
        <v>16.421399999999998</v>
      </c>
    </row>
    <row r="536" spans="49:50">
      <c r="AW536" s="511">
        <v>43733</v>
      </c>
      <c r="AX536" s="499">
        <v>16.706299999999999</v>
      </c>
    </row>
    <row r="537" spans="49:50">
      <c r="AW537" s="511">
        <v>43732</v>
      </c>
      <c r="AX537" s="499">
        <v>16.889399999999998</v>
      </c>
    </row>
    <row r="538" spans="49:50">
      <c r="AW538" s="511">
        <v>43731</v>
      </c>
      <c r="AX538" s="499">
        <v>16.991199999999999</v>
      </c>
    </row>
    <row r="539" spans="49:50">
      <c r="AW539" s="511">
        <v>43728</v>
      </c>
      <c r="AX539" s="499">
        <v>17.052199999999999</v>
      </c>
    </row>
    <row r="540" spans="49:50">
      <c r="AW540" s="511">
        <v>43727</v>
      </c>
      <c r="AX540" s="499">
        <v>16.828399999999998</v>
      </c>
    </row>
    <row r="541" spans="49:50">
      <c r="AW541" s="511">
        <v>43726</v>
      </c>
      <c r="AX541" s="499">
        <v>16.767299999999999</v>
      </c>
    </row>
    <row r="542" spans="49:50">
      <c r="AW542" s="511">
        <v>43725</v>
      </c>
      <c r="AX542" s="499">
        <v>16.686</v>
      </c>
    </row>
    <row r="543" spans="49:50">
      <c r="AW543" s="511">
        <v>43724</v>
      </c>
      <c r="AX543" s="499">
        <v>16.747</v>
      </c>
    </row>
    <row r="544" spans="49:50">
      <c r="AW544" s="511">
        <v>43721</v>
      </c>
      <c r="AX544" s="499">
        <v>16.686</v>
      </c>
    </row>
    <row r="545" spans="49:50">
      <c r="AW545" s="511">
        <v>43720</v>
      </c>
      <c r="AX545" s="499">
        <v>16.360399999999998</v>
      </c>
    </row>
    <row r="546" spans="49:50">
      <c r="AW546" s="511">
        <v>43719</v>
      </c>
      <c r="AX546" s="499">
        <v>16.258600000000001</v>
      </c>
    </row>
    <row r="547" spans="49:50">
      <c r="AW547" s="511">
        <v>43718</v>
      </c>
      <c r="AX547" s="499">
        <v>15.8924</v>
      </c>
    </row>
    <row r="548" spans="49:50">
      <c r="AW548" s="511">
        <v>43717</v>
      </c>
      <c r="AX548" s="499">
        <v>16.360399999999998</v>
      </c>
    </row>
    <row r="549" spans="49:50">
      <c r="AW549" s="511">
        <v>43714</v>
      </c>
      <c r="AX549" s="499">
        <v>16.482500000000002</v>
      </c>
    </row>
    <row r="550" spans="49:50">
      <c r="AW550" s="511">
        <v>43713</v>
      </c>
      <c r="AX550" s="499">
        <v>16.5639</v>
      </c>
    </row>
    <row r="551" spans="49:50">
      <c r="AW551" s="511">
        <v>43712</v>
      </c>
      <c r="AX551" s="499">
        <v>16.787700000000001</v>
      </c>
    </row>
    <row r="552" spans="49:50">
      <c r="AW552" s="511">
        <v>43711</v>
      </c>
      <c r="AX552" s="499">
        <v>16.767299999999999</v>
      </c>
    </row>
    <row r="553" spans="49:50">
      <c r="AW553" s="511">
        <v>43707</v>
      </c>
      <c r="AX553" s="499">
        <v>16.726600000000001</v>
      </c>
    </row>
    <row r="554" spans="49:50">
      <c r="AW554" s="511">
        <v>43706</v>
      </c>
      <c r="AX554" s="499">
        <v>16.665600000000001</v>
      </c>
    </row>
    <row r="555" spans="49:50">
      <c r="AW555" s="511">
        <v>43705</v>
      </c>
      <c r="AX555" s="499">
        <v>16.5639</v>
      </c>
    </row>
    <row r="556" spans="49:50">
      <c r="AW556" s="511">
        <v>43704</v>
      </c>
      <c r="AX556" s="499">
        <v>16.930099999999999</v>
      </c>
    </row>
    <row r="557" spans="49:50">
      <c r="AW557" s="511">
        <v>43703</v>
      </c>
      <c r="AX557" s="499">
        <v>17.052199999999999</v>
      </c>
    </row>
    <row r="558" spans="49:50">
      <c r="AW558" s="511">
        <v>43700</v>
      </c>
      <c r="AX558" s="499">
        <v>16.848700000000001</v>
      </c>
    </row>
    <row r="559" spans="49:50">
      <c r="AW559" s="511">
        <v>43699</v>
      </c>
      <c r="AX559" s="499">
        <v>16.991199999999999</v>
      </c>
    </row>
    <row r="560" spans="49:50">
      <c r="AW560" s="511">
        <v>43698</v>
      </c>
      <c r="AX560" s="499">
        <v>17.418500000000002</v>
      </c>
    </row>
    <row r="561" spans="49:50">
      <c r="AW561" s="511">
        <v>43697</v>
      </c>
      <c r="AX561" s="499">
        <v>17.459199999999999</v>
      </c>
    </row>
    <row r="562" spans="49:50">
      <c r="AW562" s="511">
        <v>43696</v>
      </c>
      <c r="AX562" s="499">
        <v>17.2761</v>
      </c>
    </row>
    <row r="563" spans="49:50">
      <c r="AW563" s="511">
        <v>43693</v>
      </c>
      <c r="AX563" s="499">
        <v>17.4999</v>
      </c>
    </row>
    <row r="564" spans="49:50">
      <c r="AW564" s="511">
        <v>43692</v>
      </c>
      <c r="AX564" s="499">
        <v>17.622</v>
      </c>
    </row>
    <row r="565" spans="49:50">
      <c r="AW565" s="511">
        <v>43691</v>
      </c>
      <c r="AX565" s="499">
        <v>17.4389</v>
      </c>
    </row>
    <row r="566" spans="49:50">
      <c r="AW566" s="511">
        <v>43690</v>
      </c>
      <c r="AX566" s="499">
        <v>17.703399999999998</v>
      </c>
    </row>
    <row r="567" spans="49:50">
      <c r="AW567" s="511">
        <v>43689</v>
      </c>
      <c r="AX567" s="499">
        <v>17.4389</v>
      </c>
    </row>
    <row r="568" spans="49:50">
      <c r="AW568" s="511">
        <v>43686</v>
      </c>
      <c r="AX568" s="499">
        <v>17.133600000000001</v>
      </c>
    </row>
    <row r="569" spans="49:50">
      <c r="AW569" s="511">
        <v>43685</v>
      </c>
      <c r="AX569" s="499">
        <v>17.255700000000001</v>
      </c>
    </row>
    <row r="570" spans="49:50">
      <c r="AW570" s="511">
        <v>43684</v>
      </c>
      <c r="AX570" s="499">
        <v>17.622</v>
      </c>
    </row>
    <row r="571" spans="49:50">
      <c r="AW571" s="511">
        <v>43683</v>
      </c>
      <c r="AX571" s="499">
        <v>17.052199999999999</v>
      </c>
    </row>
    <row r="572" spans="49:50">
      <c r="AW572" s="511">
        <v>43682</v>
      </c>
      <c r="AX572" s="499">
        <v>16.421399999999998</v>
      </c>
    </row>
    <row r="573" spans="49:50">
      <c r="AW573" s="511">
        <v>43679</v>
      </c>
      <c r="AX573" s="499">
        <v>16.360399999999998</v>
      </c>
    </row>
    <row r="574" spans="49:50">
      <c r="AW574" s="511">
        <v>43678</v>
      </c>
      <c r="AX574" s="499">
        <v>15.912699999999999</v>
      </c>
    </row>
    <row r="575" spans="49:50">
      <c r="AW575" s="511">
        <v>43677</v>
      </c>
      <c r="AX575" s="499">
        <v>15.627800000000001</v>
      </c>
    </row>
    <row r="576" spans="49:50">
      <c r="AW576" s="511">
        <v>43676</v>
      </c>
      <c r="AX576" s="499">
        <v>15.5261</v>
      </c>
    </row>
    <row r="577" spans="49:50">
      <c r="AW577" s="511">
        <v>43675</v>
      </c>
      <c r="AX577" s="499">
        <v>15.831300000000001</v>
      </c>
    </row>
    <row r="578" spans="49:50">
      <c r="AW578" s="511">
        <v>43672</v>
      </c>
      <c r="AX578" s="499">
        <v>15.912699999999999</v>
      </c>
    </row>
    <row r="579" spans="49:50">
      <c r="AW579" s="511">
        <v>43671</v>
      </c>
      <c r="AX579" s="499">
        <v>15.912699999999999</v>
      </c>
    </row>
    <row r="580" spans="49:50">
      <c r="AW580" s="511">
        <v>43670</v>
      </c>
      <c r="AX580" s="499">
        <v>15.6075</v>
      </c>
    </row>
    <row r="581" spans="49:50">
      <c r="AW581" s="511">
        <v>43669</v>
      </c>
      <c r="AX581" s="499">
        <v>15.770300000000001</v>
      </c>
    </row>
    <row r="582" spans="49:50">
      <c r="AW582" s="511">
        <v>43668</v>
      </c>
      <c r="AX582" s="499">
        <v>15.505699999999999</v>
      </c>
    </row>
    <row r="583" spans="49:50">
      <c r="AW583" s="511">
        <v>43665</v>
      </c>
      <c r="AX583" s="499">
        <v>14.9016</v>
      </c>
    </row>
    <row r="584" spans="49:50">
      <c r="AW584" s="511">
        <v>43664</v>
      </c>
      <c r="AX584" s="499">
        <v>14.7606</v>
      </c>
    </row>
    <row r="585" spans="49:50">
      <c r="AW585" s="511">
        <v>43663</v>
      </c>
      <c r="AX585" s="499">
        <v>14.9419</v>
      </c>
    </row>
    <row r="586" spans="49:50">
      <c r="AW586" s="511">
        <v>43662</v>
      </c>
      <c r="AX586" s="499">
        <v>15.0426</v>
      </c>
    </row>
    <row r="587" spans="49:50">
      <c r="AW587" s="511">
        <v>43661</v>
      </c>
      <c r="AX587" s="499">
        <v>14.982100000000001</v>
      </c>
    </row>
    <row r="588" spans="49:50">
      <c r="AW588" s="511">
        <v>43658</v>
      </c>
      <c r="AX588" s="499">
        <v>14.821099999999999</v>
      </c>
    </row>
    <row r="589" spans="49:50">
      <c r="AW589" s="511">
        <v>43657</v>
      </c>
      <c r="AX589" s="499">
        <v>14.700200000000001</v>
      </c>
    </row>
    <row r="590" spans="49:50">
      <c r="AW590" s="511">
        <v>43656</v>
      </c>
      <c r="AX590" s="499">
        <v>14.700200000000001</v>
      </c>
    </row>
    <row r="591" spans="49:50">
      <c r="AW591" s="511">
        <v>43655</v>
      </c>
      <c r="AX591" s="499">
        <v>14.821099999999999</v>
      </c>
    </row>
    <row r="592" spans="49:50">
      <c r="AW592" s="511">
        <v>43654</v>
      </c>
      <c r="AX592" s="499">
        <v>14.841200000000001</v>
      </c>
    </row>
    <row r="593" spans="49:50">
      <c r="AW593" s="511">
        <v>43651</v>
      </c>
      <c r="AX593" s="499">
        <v>15.0023</v>
      </c>
    </row>
    <row r="594" spans="49:50">
      <c r="AW594" s="511">
        <v>43650</v>
      </c>
      <c r="AX594" s="499">
        <v>15.0023</v>
      </c>
    </row>
    <row r="595" spans="49:50">
      <c r="AW595" s="511">
        <v>43649</v>
      </c>
      <c r="AX595" s="499">
        <v>14.841200000000001</v>
      </c>
    </row>
    <row r="596" spans="49:50">
      <c r="AW596" s="511">
        <v>43648</v>
      </c>
      <c r="AX596" s="499">
        <v>15.0627</v>
      </c>
    </row>
    <row r="597" spans="49:50">
      <c r="AW597" s="511">
        <v>43647</v>
      </c>
      <c r="AX597" s="499">
        <v>14.962</v>
      </c>
    </row>
    <row r="598" spans="49:50">
      <c r="AW598" s="511">
        <v>43644</v>
      </c>
      <c r="AX598" s="499">
        <v>14.700200000000001</v>
      </c>
    </row>
    <row r="599" spans="49:50">
      <c r="AW599" s="511">
        <v>43643</v>
      </c>
      <c r="AX599" s="499">
        <v>14.273199999999999</v>
      </c>
    </row>
    <row r="600" spans="49:50">
      <c r="AW600" s="511">
        <v>43642</v>
      </c>
      <c r="AX600" s="499">
        <v>14.431699999999999</v>
      </c>
    </row>
    <row r="601" spans="49:50">
      <c r="AW601" s="511">
        <v>43641</v>
      </c>
      <c r="AX601" s="499">
        <v>14.411899999999999</v>
      </c>
    </row>
    <row r="602" spans="49:50">
      <c r="AW602" s="511">
        <v>43640</v>
      </c>
      <c r="AX602" s="499">
        <v>14.590299999999999</v>
      </c>
    </row>
    <row r="603" spans="49:50">
      <c r="AW603" s="511">
        <v>43637</v>
      </c>
      <c r="AX603" s="499">
        <v>14.709300000000001</v>
      </c>
    </row>
    <row r="604" spans="49:50">
      <c r="AW604" s="511">
        <v>43636</v>
      </c>
      <c r="AX604" s="499">
        <v>14.610200000000001</v>
      </c>
    </row>
    <row r="605" spans="49:50">
      <c r="AW605" s="511">
        <v>43635</v>
      </c>
      <c r="AX605" s="499">
        <v>14.233499999999999</v>
      </c>
    </row>
    <row r="606" spans="49:50">
      <c r="AW606" s="511">
        <v>43634</v>
      </c>
      <c r="AX606" s="499">
        <v>14.173999999999999</v>
      </c>
    </row>
    <row r="607" spans="49:50">
      <c r="AW607" s="511">
        <v>43633</v>
      </c>
      <c r="AX607" s="499">
        <v>14.312799999999999</v>
      </c>
    </row>
    <row r="608" spans="49:50">
      <c r="AW608" s="511">
        <v>43630</v>
      </c>
      <c r="AX608" s="499">
        <v>14.709300000000001</v>
      </c>
    </row>
    <row r="609" spans="49:50">
      <c r="AW609" s="511">
        <v>43629</v>
      </c>
      <c r="AX609" s="499">
        <v>14.808400000000001</v>
      </c>
    </row>
    <row r="610" spans="49:50">
      <c r="AW610" s="511">
        <v>43628</v>
      </c>
      <c r="AX610" s="499">
        <v>15.2049</v>
      </c>
    </row>
    <row r="611" spans="49:50">
      <c r="AW611" s="511">
        <v>43627</v>
      </c>
      <c r="AX611" s="499">
        <v>15.641</v>
      </c>
    </row>
    <row r="612" spans="49:50">
      <c r="AW612" s="511">
        <v>43626</v>
      </c>
      <c r="AX612" s="499">
        <v>15.6212</v>
      </c>
    </row>
    <row r="613" spans="49:50">
      <c r="AW613" s="511">
        <v>43623</v>
      </c>
      <c r="AX613" s="499">
        <v>15.6212</v>
      </c>
    </row>
    <row r="614" spans="49:50">
      <c r="AW614" s="511">
        <v>43622</v>
      </c>
      <c r="AX614" s="499">
        <v>15.2643</v>
      </c>
    </row>
    <row r="615" spans="49:50">
      <c r="AW615" s="511">
        <v>43621</v>
      </c>
      <c r="AX615" s="499">
        <v>15.2643</v>
      </c>
    </row>
    <row r="616" spans="49:50">
      <c r="AW616" s="511">
        <v>43620</v>
      </c>
      <c r="AX616" s="499">
        <v>15.0017</v>
      </c>
    </row>
    <row r="617" spans="49:50">
      <c r="AW617" s="511">
        <v>43619</v>
      </c>
      <c r="AX617" s="499">
        <v>14.986800000000001</v>
      </c>
    </row>
    <row r="618" spans="49:50">
      <c r="AW618" s="511">
        <v>43616</v>
      </c>
      <c r="AX618" s="499">
        <v>15.328799999999999</v>
      </c>
    </row>
    <row r="619" spans="49:50">
      <c r="AW619" s="511">
        <v>43615</v>
      </c>
      <c r="AX619" s="499">
        <v>15.7897</v>
      </c>
    </row>
    <row r="620" spans="49:50">
      <c r="AW620" s="511">
        <v>43614</v>
      </c>
      <c r="AX620" s="499">
        <v>15.864000000000001</v>
      </c>
    </row>
    <row r="621" spans="49:50">
      <c r="AW621" s="511">
        <v>43613</v>
      </c>
      <c r="AX621" s="499">
        <v>16.101900000000001</v>
      </c>
    </row>
    <row r="622" spans="49:50">
      <c r="AW622" s="511">
        <v>43612</v>
      </c>
      <c r="AX622" s="499">
        <v>15.7599</v>
      </c>
    </row>
    <row r="623" spans="49:50">
      <c r="AW623" s="511">
        <v>43609</v>
      </c>
      <c r="AX623" s="499">
        <v>15.983000000000001</v>
      </c>
    </row>
    <row r="624" spans="49:50">
      <c r="AW624" s="511">
        <v>43608</v>
      </c>
      <c r="AX624" s="499">
        <v>16.2803</v>
      </c>
    </row>
    <row r="625" spans="49:50">
      <c r="AW625" s="511">
        <v>43607</v>
      </c>
      <c r="AX625" s="499">
        <v>15.9681</v>
      </c>
    </row>
    <row r="626" spans="49:50">
      <c r="AW626" s="511">
        <v>43606</v>
      </c>
      <c r="AX626" s="499">
        <v>15.8194</v>
      </c>
    </row>
    <row r="627" spans="49:50">
      <c r="AW627" s="511">
        <v>43605</v>
      </c>
      <c r="AX627" s="499">
        <v>16.0276</v>
      </c>
    </row>
    <row r="628" spans="49:50">
      <c r="AW628" s="511">
        <v>43602</v>
      </c>
      <c r="AX628" s="499">
        <v>15.2113</v>
      </c>
    </row>
    <row r="629" spans="49:50">
      <c r="AW629" s="511">
        <v>43601</v>
      </c>
      <c r="AX629" s="499">
        <v>15.2707</v>
      </c>
    </row>
    <row r="630" spans="49:50">
      <c r="AW630" s="511">
        <v>43600</v>
      </c>
      <c r="AX630" s="499">
        <v>15.2113</v>
      </c>
    </row>
    <row r="631" spans="49:50">
      <c r="AW631" s="511">
        <v>43599</v>
      </c>
      <c r="AX631" s="499">
        <v>14.9739</v>
      </c>
    </row>
    <row r="632" spans="49:50">
      <c r="AW632" s="511">
        <v>43598</v>
      </c>
      <c r="AX632" s="499">
        <v>14.959099999999999</v>
      </c>
    </row>
    <row r="633" spans="49:50">
      <c r="AW633" s="511">
        <v>43595</v>
      </c>
      <c r="AX633" s="499">
        <v>14.9145</v>
      </c>
    </row>
    <row r="634" spans="49:50">
      <c r="AW634" s="511">
        <v>43594</v>
      </c>
      <c r="AX634" s="499">
        <v>14.810700000000001</v>
      </c>
    </row>
    <row r="635" spans="49:50">
      <c r="AW635" s="511">
        <v>43593</v>
      </c>
      <c r="AX635" s="499">
        <v>14.9887</v>
      </c>
    </row>
    <row r="636" spans="49:50">
      <c r="AW636" s="511">
        <v>43592</v>
      </c>
      <c r="AX636" s="499">
        <v>15.0778</v>
      </c>
    </row>
    <row r="637" spans="49:50">
      <c r="AW637" s="511">
        <v>43591</v>
      </c>
      <c r="AX637" s="499">
        <v>15.122299999999999</v>
      </c>
    </row>
    <row r="638" spans="49:50">
      <c r="AW638" s="511">
        <v>43588</v>
      </c>
      <c r="AX638" s="499">
        <v>15.241</v>
      </c>
    </row>
    <row r="639" spans="49:50">
      <c r="AW639" s="511">
        <v>43587</v>
      </c>
      <c r="AX639" s="499">
        <v>15.285500000000001</v>
      </c>
    </row>
    <row r="640" spans="49:50">
      <c r="AW640" s="511">
        <v>43581</v>
      </c>
      <c r="AX640" s="499">
        <v>14.8552</v>
      </c>
    </row>
    <row r="641" spans="49:50">
      <c r="AW641" s="511">
        <v>43580</v>
      </c>
      <c r="AX641" s="499">
        <v>14.736499999999999</v>
      </c>
    </row>
    <row r="642" spans="49:50">
      <c r="AW642" s="511">
        <v>43579</v>
      </c>
      <c r="AX642" s="499">
        <v>14.840299999999999</v>
      </c>
    </row>
    <row r="643" spans="49:50">
      <c r="AW643" s="511">
        <v>43578</v>
      </c>
      <c r="AX643" s="499">
        <v>14.810700000000001</v>
      </c>
    </row>
    <row r="644" spans="49:50">
      <c r="AW644" s="511">
        <v>43577</v>
      </c>
      <c r="AX644" s="499">
        <v>14.617699999999999</v>
      </c>
    </row>
    <row r="645" spans="49:50">
      <c r="AW645" s="511">
        <v>43574</v>
      </c>
      <c r="AX645" s="499">
        <v>14.499000000000001</v>
      </c>
    </row>
    <row r="646" spans="49:50">
      <c r="AW646" s="511">
        <v>43573</v>
      </c>
      <c r="AX646" s="499">
        <v>14.4396</v>
      </c>
    </row>
    <row r="647" spans="49:50">
      <c r="AW647" s="511">
        <v>43572</v>
      </c>
      <c r="AX647" s="499">
        <v>14.7216</v>
      </c>
    </row>
    <row r="648" spans="49:50">
      <c r="AW648" s="511">
        <v>43571</v>
      </c>
      <c r="AX648" s="499">
        <v>14.647399999999999</v>
      </c>
    </row>
    <row r="649" spans="49:50">
      <c r="AW649" s="511">
        <v>43567</v>
      </c>
      <c r="AX649" s="499">
        <v>14.781000000000001</v>
      </c>
    </row>
    <row r="650" spans="49:50">
      <c r="AW650" s="511">
        <v>43566</v>
      </c>
      <c r="AX650" s="499">
        <v>14.87</v>
      </c>
    </row>
    <row r="651" spans="49:50">
      <c r="AW651" s="511">
        <v>43565</v>
      </c>
      <c r="AX651" s="499">
        <v>14.8255</v>
      </c>
    </row>
    <row r="652" spans="49:50">
      <c r="AW652" s="511">
        <v>43564</v>
      </c>
      <c r="AX652" s="499">
        <v>15.0778</v>
      </c>
    </row>
    <row r="653" spans="49:50">
      <c r="AW653" s="511">
        <v>43563</v>
      </c>
      <c r="AX653" s="499">
        <v>15.033300000000001</v>
      </c>
    </row>
    <row r="654" spans="49:50">
      <c r="AW654" s="511">
        <v>43560</v>
      </c>
      <c r="AX654" s="499">
        <v>14.9145</v>
      </c>
    </row>
    <row r="655" spans="49:50">
      <c r="AW655" s="511">
        <v>43559</v>
      </c>
      <c r="AX655" s="499">
        <v>14.9887</v>
      </c>
    </row>
    <row r="656" spans="49:50">
      <c r="AW656" s="511">
        <v>43558</v>
      </c>
      <c r="AX656" s="499">
        <v>14.6919</v>
      </c>
    </row>
    <row r="657" spans="49:50">
      <c r="AW657" s="511">
        <v>43557</v>
      </c>
      <c r="AX657" s="499">
        <v>14.7958</v>
      </c>
    </row>
    <row r="658" spans="49:50">
      <c r="AW658" s="511">
        <v>43556</v>
      </c>
      <c r="AX658" s="499">
        <v>14.8849</v>
      </c>
    </row>
    <row r="659" spans="49:50">
      <c r="AW659" s="511">
        <v>43553</v>
      </c>
      <c r="AX659" s="499">
        <v>14.7661</v>
      </c>
    </row>
    <row r="660" spans="49:50">
      <c r="AW660" s="511">
        <v>43552</v>
      </c>
      <c r="AX660" s="499">
        <v>16.014099999999999</v>
      </c>
    </row>
    <row r="661" spans="49:50">
      <c r="AW661" s="511">
        <v>43551</v>
      </c>
      <c r="AX661" s="499">
        <v>16.0623</v>
      </c>
    </row>
    <row r="662" spans="49:50">
      <c r="AW662" s="511">
        <v>43550</v>
      </c>
      <c r="AX662" s="499">
        <v>16.030200000000001</v>
      </c>
    </row>
    <row r="663" spans="49:50">
      <c r="AW663" s="511">
        <v>43549</v>
      </c>
      <c r="AX663" s="499">
        <v>16.030200000000001</v>
      </c>
    </row>
    <row r="664" spans="49:50">
      <c r="AW664" s="511">
        <v>43546</v>
      </c>
      <c r="AX664" s="499">
        <v>16.432099999999998</v>
      </c>
    </row>
    <row r="665" spans="49:50">
      <c r="AW665" s="511">
        <v>43545</v>
      </c>
      <c r="AX665" s="499">
        <v>16.158799999999999</v>
      </c>
    </row>
    <row r="666" spans="49:50">
      <c r="AW666" s="511">
        <v>43544</v>
      </c>
      <c r="AX666" s="499">
        <v>16.319600000000001</v>
      </c>
    </row>
    <row r="667" spans="49:50">
      <c r="AW667" s="511">
        <v>43543</v>
      </c>
      <c r="AX667" s="499">
        <v>16.4482</v>
      </c>
    </row>
    <row r="668" spans="49:50">
      <c r="AW668" s="511">
        <v>43542</v>
      </c>
      <c r="AX668" s="499">
        <v>16.721499999999999</v>
      </c>
    </row>
    <row r="669" spans="49:50">
      <c r="AW669" s="511">
        <v>43539</v>
      </c>
      <c r="AX669" s="499">
        <v>16.721499999999999</v>
      </c>
    </row>
    <row r="670" spans="49:50">
      <c r="AW670" s="511">
        <v>43538</v>
      </c>
      <c r="AX670" s="499">
        <v>16.753699999999998</v>
      </c>
    </row>
    <row r="671" spans="49:50">
      <c r="AW671" s="511">
        <v>43537</v>
      </c>
      <c r="AX671" s="499">
        <v>16.399999999999999</v>
      </c>
    </row>
    <row r="672" spans="49:50">
      <c r="AW672" s="511">
        <v>43536</v>
      </c>
      <c r="AX672" s="499">
        <v>16.0623</v>
      </c>
    </row>
    <row r="673" spans="49:50">
      <c r="AW673" s="511">
        <v>43535</v>
      </c>
      <c r="AX673" s="499">
        <v>15.997999999999999</v>
      </c>
    </row>
    <row r="674" spans="49:50">
      <c r="AW674" s="511">
        <v>43532</v>
      </c>
      <c r="AX674" s="499">
        <v>15.8855</v>
      </c>
    </row>
    <row r="675" spans="49:50">
      <c r="AW675" s="511">
        <v>43531</v>
      </c>
      <c r="AX675" s="499">
        <v>16.046199999999999</v>
      </c>
    </row>
    <row r="676" spans="49:50">
      <c r="AW676" s="511">
        <v>43530</v>
      </c>
      <c r="AX676" s="499">
        <v>16.0623</v>
      </c>
    </row>
    <row r="677" spans="49:50">
      <c r="AW677" s="511">
        <v>43529</v>
      </c>
      <c r="AX677" s="499">
        <v>16.0945</v>
      </c>
    </row>
    <row r="678" spans="49:50">
      <c r="AW678" s="511">
        <v>43528</v>
      </c>
      <c r="AX678" s="499">
        <v>16.223099999999999</v>
      </c>
    </row>
    <row r="679" spans="49:50">
      <c r="AW679" s="511">
        <v>43525</v>
      </c>
      <c r="AX679" s="499">
        <v>15.837199999999999</v>
      </c>
    </row>
    <row r="680" spans="49:50">
      <c r="AW680" s="511">
        <v>43524</v>
      </c>
      <c r="AX680" s="499">
        <v>15.499599999999999</v>
      </c>
    </row>
    <row r="681" spans="49:50">
      <c r="AW681" s="511">
        <v>43523</v>
      </c>
      <c r="AX681" s="499">
        <v>15.853300000000001</v>
      </c>
    </row>
    <row r="682" spans="49:50">
      <c r="AW682" s="511">
        <v>43522</v>
      </c>
      <c r="AX682" s="499">
        <v>15.789</v>
      </c>
    </row>
    <row r="683" spans="49:50">
      <c r="AW683" s="511">
        <v>43521</v>
      </c>
      <c r="AX683" s="499">
        <v>16.078399999999998</v>
      </c>
    </row>
    <row r="684" spans="49:50">
      <c r="AW684" s="511">
        <v>43518</v>
      </c>
      <c r="AX684" s="499">
        <v>15.9337</v>
      </c>
    </row>
    <row r="685" spans="49:50">
      <c r="AW685" s="511">
        <v>43517</v>
      </c>
      <c r="AX685" s="499">
        <v>15.9176</v>
      </c>
    </row>
    <row r="686" spans="49:50">
      <c r="AW686" s="511">
        <v>43516</v>
      </c>
      <c r="AX686" s="499">
        <v>15.9015</v>
      </c>
    </row>
    <row r="687" spans="49:50">
      <c r="AW687" s="511">
        <v>43515</v>
      </c>
      <c r="AX687" s="499">
        <v>15.7407</v>
      </c>
    </row>
    <row r="688" spans="49:50">
      <c r="AW688" s="511">
        <v>43514</v>
      </c>
      <c r="AX688" s="499">
        <v>15.644299999999999</v>
      </c>
    </row>
    <row r="689" spans="49:50">
      <c r="AW689" s="511">
        <v>43511</v>
      </c>
      <c r="AX689" s="499">
        <v>15.547800000000001</v>
      </c>
    </row>
    <row r="690" spans="49:50">
      <c r="AW690" s="511">
        <v>43510</v>
      </c>
      <c r="AX690" s="499">
        <v>15.6282</v>
      </c>
    </row>
    <row r="691" spans="49:50">
      <c r="AW691" s="511">
        <v>43509</v>
      </c>
      <c r="AX691" s="499">
        <v>15.692500000000001</v>
      </c>
    </row>
    <row r="692" spans="49:50">
      <c r="AW692" s="511">
        <v>43508</v>
      </c>
      <c r="AX692" s="499">
        <v>15.5639</v>
      </c>
    </row>
    <row r="693" spans="49:50">
      <c r="AW693" s="511">
        <v>43507</v>
      </c>
      <c r="AX693" s="499">
        <v>15.676399999999999</v>
      </c>
    </row>
    <row r="694" spans="49:50">
      <c r="AW694" s="511">
        <v>43497</v>
      </c>
      <c r="AX694" s="499">
        <v>15.2102</v>
      </c>
    </row>
    <row r="695" spans="49:50">
      <c r="AW695" s="511">
        <v>43496</v>
      </c>
      <c r="AX695" s="499">
        <v>15.2745</v>
      </c>
    </row>
    <row r="696" spans="49:50">
      <c r="AW696" s="511">
        <v>43495</v>
      </c>
      <c r="AX696" s="499">
        <v>15.0815</v>
      </c>
    </row>
    <row r="697" spans="49:50">
      <c r="AW697" s="511">
        <v>43494</v>
      </c>
      <c r="AX697" s="499">
        <v>15.1137</v>
      </c>
    </row>
    <row r="698" spans="49:50">
      <c r="AW698" s="511">
        <v>43493</v>
      </c>
      <c r="AX698" s="499">
        <v>15.145799999999999</v>
      </c>
    </row>
    <row r="699" spans="49:50">
      <c r="AW699" s="511">
        <v>43490</v>
      </c>
      <c r="AX699" s="499">
        <v>14.7921</v>
      </c>
    </row>
    <row r="700" spans="49:50">
      <c r="AW700" s="511">
        <v>43489</v>
      </c>
      <c r="AX700" s="499">
        <v>14.5831</v>
      </c>
    </row>
    <row r="701" spans="49:50">
      <c r="AW701" s="511">
        <v>43488</v>
      </c>
      <c r="AX701" s="499">
        <v>14.5509</v>
      </c>
    </row>
    <row r="702" spans="49:50">
      <c r="AW702" s="511">
        <v>43487</v>
      </c>
      <c r="AX702" s="499">
        <v>14.567</v>
      </c>
    </row>
    <row r="703" spans="49:50">
      <c r="AW703" s="511">
        <v>43486</v>
      </c>
      <c r="AX703" s="499">
        <v>14.7439</v>
      </c>
    </row>
    <row r="704" spans="49:50">
      <c r="AW704" s="511">
        <v>43483</v>
      </c>
      <c r="AX704" s="499">
        <v>14.341900000000001</v>
      </c>
    </row>
    <row r="705" spans="49:50">
      <c r="AW705" s="511">
        <v>43482</v>
      </c>
      <c r="AX705" s="499">
        <v>14.470599999999999</v>
      </c>
    </row>
    <row r="706" spans="49:50">
      <c r="AW706" s="511">
        <v>43481</v>
      </c>
      <c r="AX706" s="499">
        <v>14.7439</v>
      </c>
    </row>
    <row r="707" spans="49:50">
      <c r="AW707" s="511">
        <v>43480</v>
      </c>
      <c r="AX707" s="499">
        <v>14.776</v>
      </c>
    </row>
    <row r="708" spans="49:50">
      <c r="AW708" s="511">
        <v>43479</v>
      </c>
      <c r="AX708" s="499">
        <v>14.776</v>
      </c>
    </row>
    <row r="709" spans="49:50">
      <c r="AW709" s="511">
        <v>43476</v>
      </c>
      <c r="AX709" s="499">
        <v>14.8725</v>
      </c>
    </row>
    <row r="710" spans="49:50">
      <c r="AW710" s="511">
        <v>43475</v>
      </c>
      <c r="AX710" s="499">
        <v>14.840400000000001</v>
      </c>
    </row>
    <row r="711" spans="49:50">
      <c r="AW711" s="511">
        <v>43474</v>
      </c>
      <c r="AX711" s="499">
        <v>14.7117</v>
      </c>
    </row>
    <row r="712" spans="49:50">
      <c r="AW712" s="511">
        <v>43473</v>
      </c>
      <c r="AX712" s="499">
        <v>14.6313</v>
      </c>
    </row>
    <row r="713" spans="49:50">
      <c r="AW713" s="511">
        <v>43472</v>
      </c>
      <c r="AX713" s="499">
        <v>14.6957</v>
      </c>
    </row>
    <row r="714" spans="49:50">
      <c r="AW714" s="511">
        <v>43469</v>
      </c>
      <c r="AX714" s="499">
        <v>14.470599999999999</v>
      </c>
    </row>
    <row r="715" spans="49:50">
      <c r="AW715" s="511">
        <v>43468</v>
      </c>
      <c r="AX715" s="499">
        <v>14.309799999999999</v>
      </c>
    </row>
    <row r="716" spans="49:50">
      <c r="AW716" s="511">
        <v>43467</v>
      </c>
      <c r="AX716" s="499">
        <v>14.7921</v>
      </c>
    </row>
    <row r="717" spans="49:50">
      <c r="AW717" s="511">
        <v>43462</v>
      </c>
      <c r="AX717" s="499">
        <v>14.985099999999999</v>
      </c>
    </row>
    <row r="718" spans="49:50">
      <c r="AW718" s="511">
        <v>43461</v>
      </c>
      <c r="AX718" s="499">
        <v>15.817600000000001</v>
      </c>
    </row>
    <row r="719" spans="49:50">
      <c r="AW719" s="511">
        <v>43460</v>
      </c>
      <c r="AX719" s="499">
        <v>15.6007</v>
      </c>
    </row>
    <row r="720" spans="49:50">
      <c r="AW720" s="511">
        <v>43459</v>
      </c>
      <c r="AX720" s="499">
        <v>15.634</v>
      </c>
    </row>
    <row r="721" spans="49:50">
      <c r="AW721" s="511">
        <v>43458</v>
      </c>
      <c r="AX721" s="499">
        <v>15.8843</v>
      </c>
    </row>
    <row r="722" spans="49:50">
      <c r="AW722" s="511">
        <v>43455</v>
      </c>
      <c r="AX722" s="499">
        <v>15.850899999999999</v>
      </c>
    </row>
    <row r="723" spans="49:50">
      <c r="AW723" s="511">
        <v>43454</v>
      </c>
      <c r="AX723" s="499">
        <v>15.700799999999999</v>
      </c>
    </row>
    <row r="724" spans="49:50">
      <c r="AW724" s="511">
        <v>43453</v>
      </c>
      <c r="AX724" s="499">
        <v>15.717499999999999</v>
      </c>
    </row>
    <row r="725" spans="49:50">
      <c r="AW725" s="511">
        <v>43452</v>
      </c>
      <c r="AX725" s="499">
        <v>15.984400000000001</v>
      </c>
    </row>
    <row r="726" spans="49:50">
      <c r="AW726" s="511">
        <v>43451</v>
      </c>
      <c r="AX726" s="499">
        <v>16.601800000000001</v>
      </c>
    </row>
    <row r="727" spans="49:50">
      <c r="AW727" s="511">
        <v>43448</v>
      </c>
      <c r="AX727" s="499">
        <v>16.368200000000002</v>
      </c>
    </row>
    <row r="728" spans="49:50">
      <c r="AW728" s="511">
        <v>43447</v>
      </c>
      <c r="AX728" s="499">
        <v>16.5017</v>
      </c>
    </row>
    <row r="729" spans="49:50">
      <c r="AW729" s="511">
        <v>43446</v>
      </c>
      <c r="AX729" s="499">
        <v>16.351500000000001</v>
      </c>
    </row>
    <row r="730" spans="49:50">
      <c r="AW730" s="511">
        <v>43445</v>
      </c>
      <c r="AX730" s="499">
        <v>16.1846</v>
      </c>
    </row>
    <row r="731" spans="49:50">
      <c r="AW731" s="511">
        <v>43444</v>
      </c>
      <c r="AX731" s="499">
        <v>16.151299999999999</v>
      </c>
    </row>
    <row r="732" spans="49:50">
      <c r="AW732" s="511">
        <v>43441</v>
      </c>
      <c r="AX732" s="499">
        <v>16.351500000000001</v>
      </c>
    </row>
    <row r="733" spans="49:50">
      <c r="AW733" s="511">
        <v>43440</v>
      </c>
      <c r="AX733" s="499">
        <v>16.017800000000001</v>
      </c>
    </row>
    <row r="734" spans="49:50">
      <c r="AW734" s="511">
        <v>43439</v>
      </c>
      <c r="AX734" s="499">
        <v>15.9177</v>
      </c>
    </row>
    <row r="735" spans="49:50">
      <c r="AW735" s="511">
        <v>43438</v>
      </c>
      <c r="AX735" s="499">
        <v>15.850899999999999</v>
      </c>
    </row>
    <row r="736" spans="49:50">
      <c r="AW736" s="511">
        <v>43437</v>
      </c>
      <c r="AX736" s="499">
        <v>15.834300000000001</v>
      </c>
    </row>
    <row r="737" spans="49:50">
      <c r="AW737" s="511">
        <v>43434</v>
      </c>
      <c r="AX737" s="499">
        <v>15.367100000000001</v>
      </c>
    </row>
    <row r="738" spans="49:50">
      <c r="AW738" s="511">
        <v>43433</v>
      </c>
      <c r="AX738" s="499">
        <v>15.233599999999999</v>
      </c>
    </row>
    <row r="739" spans="49:50">
      <c r="AW739" s="511">
        <v>43432</v>
      </c>
      <c r="AX739" s="499">
        <v>15.9344</v>
      </c>
    </row>
    <row r="740" spans="49:50">
      <c r="AW740" s="511">
        <v>43431</v>
      </c>
      <c r="AX740" s="499">
        <v>15.7675</v>
      </c>
    </row>
    <row r="741" spans="49:50">
      <c r="AW741" s="511">
        <v>43430</v>
      </c>
      <c r="AX741" s="499">
        <v>16.017800000000001</v>
      </c>
    </row>
    <row r="742" spans="49:50">
      <c r="AW742" s="511">
        <v>43427</v>
      </c>
      <c r="AX742" s="499">
        <v>15.867599999999999</v>
      </c>
    </row>
    <row r="743" spans="49:50">
      <c r="AW743" s="511">
        <v>43426</v>
      </c>
      <c r="AX743" s="499">
        <v>16.084499999999998</v>
      </c>
    </row>
    <row r="744" spans="49:50">
      <c r="AW744" s="511">
        <v>43425</v>
      </c>
      <c r="AX744" s="499">
        <v>15.9344</v>
      </c>
    </row>
    <row r="745" spans="49:50">
      <c r="AW745" s="511">
        <v>43424</v>
      </c>
      <c r="AX745" s="499">
        <v>15.951000000000001</v>
      </c>
    </row>
    <row r="746" spans="49:50">
      <c r="AW746" s="511">
        <v>43423</v>
      </c>
      <c r="AX746" s="499">
        <v>15.834300000000001</v>
      </c>
    </row>
    <row r="747" spans="49:50">
      <c r="AW747" s="511">
        <v>43420</v>
      </c>
      <c r="AX747" s="499">
        <v>15.517200000000001</v>
      </c>
    </row>
    <row r="748" spans="49:50">
      <c r="AW748" s="511">
        <v>43419</v>
      </c>
      <c r="AX748" s="499">
        <v>15.3504</v>
      </c>
    </row>
    <row r="749" spans="49:50">
      <c r="AW749" s="511">
        <v>43418</v>
      </c>
      <c r="AX749" s="499">
        <v>15.6007</v>
      </c>
    </row>
    <row r="750" spans="49:50">
      <c r="AW750" s="511">
        <v>43417</v>
      </c>
      <c r="AX750" s="499">
        <v>15.6007</v>
      </c>
    </row>
    <row r="751" spans="49:50">
      <c r="AW751" s="511">
        <v>43416</v>
      </c>
      <c r="AX751" s="499">
        <v>15.850899999999999</v>
      </c>
    </row>
    <row r="752" spans="49:50">
      <c r="AW752" s="511">
        <v>43413</v>
      </c>
      <c r="AX752" s="499">
        <v>15.684100000000001</v>
      </c>
    </row>
    <row r="753" spans="49:50">
      <c r="AW753" s="511">
        <v>43412</v>
      </c>
      <c r="AX753" s="499">
        <v>16.134599999999999</v>
      </c>
    </row>
    <row r="754" spans="49:50">
      <c r="AW754" s="511">
        <v>43411</v>
      </c>
      <c r="AX754" s="499">
        <v>16.051200000000001</v>
      </c>
    </row>
    <row r="755" spans="49:50">
      <c r="AW755" s="511">
        <v>43410</v>
      </c>
      <c r="AX755" s="499">
        <v>16.1846</v>
      </c>
    </row>
    <row r="756" spans="49:50">
      <c r="AW756" s="511">
        <v>43409</v>
      </c>
      <c r="AX756" s="499">
        <v>16.434899999999999</v>
      </c>
    </row>
    <row r="757" spans="49:50">
      <c r="AW757" s="511">
        <v>43406</v>
      </c>
      <c r="AX757" s="499">
        <v>16.434899999999999</v>
      </c>
    </row>
    <row r="758" spans="49:50">
      <c r="AW758" s="511">
        <v>43405</v>
      </c>
      <c r="AX758" s="499">
        <v>15.850899999999999</v>
      </c>
    </row>
    <row r="759" spans="49:50">
      <c r="AW759" s="511">
        <v>43404</v>
      </c>
      <c r="AX759" s="499">
        <v>16.1846</v>
      </c>
    </row>
    <row r="760" spans="49:50">
      <c r="AW760" s="511">
        <v>43403</v>
      </c>
      <c r="AX760" s="499">
        <v>15.2836</v>
      </c>
    </row>
    <row r="761" spans="49:50">
      <c r="AW761" s="511">
        <v>43402</v>
      </c>
      <c r="AX761" s="499">
        <v>15.0334</v>
      </c>
    </row>
    <row r="762" spans="49:50">
      <c r="AW762" s="511">
        <v>43399</v>
      </c>
      <c r="AX762" s="499">
        <v>15.4505</v>
      </c>
    </row>
    <row r="763" spans="49:50">
      <c r="AW763" s="511">
        <v>43398</v>
      </c>
      <c r="AX763" s="499">
        <v>15.834300000000001</v>
      </c>
    </row>
    <row r="764" spans="49:50">
      <c r="AW764" s="511">
        <v>43397</v>
      </c>
      <c r="AX764" s="499">
        <v>16.017800000000001</v>
      </c>
    </row>
    <row r="765" spans="49:50">
      <c r="AW765" s="511">
        <v>43396</v>
      </c>
      <c r="AX765" s="499">
        <v>16.5183</v>
      </c>
    </row>
    <row r="766" spans="49:50">
      <c r="AW766" s="511">
        <v>43395</v>
      </c>
      <c r="AX766" s="499">
        <v>16.935500000000001</v>
      </c>
    </row>
    <row r="767" spans="49:50">
      <c r="AW767" s="511">
        <v>43392</v>
      </c>
      <c r="AX767" s="499">
        <v>17.385999999999999</v>
      </c>
    </row>
    <row r="768" spans="49:50">
      <c r="AW768" s="511">
        <v>43391</v>
      </c>
      <c r="AX768" s="499">
        <v>17.352599999999999</v>
      </c>
    </row>
    <row r="769" spans="49:50">
      <c r="AW769" s="511">
        <v>43390</v>
      </c>
      <c r="AX769" s="499">
        <v>17.352599999999999</v>
      </c>
    </row>
    <row r="770" spans="49:50">
      <c r="AW770" s="511">
        <v>43389</v>
      </c>
      <c r="AX770" s="499">
        <v>17.285900000000002</v>
      </c>
    </row>
    <row r="771" spans="49:50">
      <c r="AW771" s="511">
        <v>43388</v>
      </c>
      <c r="AX771" s="499">
        <v>17.1023</v>
      </c>
    </row>
    <row r="772" spans="49:50">
      <c r="AW772" s="511">
        <v>43385</v>
      </c>
      <c r="AX772" s="499">
        <v>17.652899999999999</v>
      </c>
    </row>
    <row r="773" spans="49:50">
      <c r="AW773" s="511">
        <v>43384</v>
      </c>
      <c r="AX773" s="499">
        <v>17.052299999999999</v>
      </c>
    </row>
    <row r="774" spans="49:50">
      <c r="AW774" s="511">
        <v>43383</v>
      </c>
      <c r="AX774" s="499">
        <v>18.303699999999999</v>
      </c>
    </row>
    <row r="775" spans="49:50">
      <c r="AW775" s="511">
        <v>43382</v>
      </c>
      <c r="AX775" s="499">
        <v>18.120100000000001</v>
      </c>
    </row>
    <row r="776" spans="49:50">
      <c r="AW776" s="511">
        <v>43381</v>
      </c>
      <c r="AX776" s="499">
        <v>17.803100000000001</v>
      </c>
    </row>
    <row r="777" spans="49:50">
      <c r="AW777" s="511">
        <v>43378</v>
      </c>
      <c r="AX777" s="499">
        <v>17.803100000000001</v>
      </c>
    </row>
    <row r="778" spans="49:50">
      <c r="AW778" s="511">
        <v>43377</v>
      </c>
      <c r="AX778" s="499">
        <v>18.02</v>
      </c>
    </row>
    <row r="779" spans="49:50">
      <c r="AW779" s="511">
        <v>43376</v>
      </c>
      <c r="AX779" s="499">
        <v>17.986599999999999</v>
      </c>
    </row>
    <row r="780" spans="49:50">
      <c r="AW780" s="511">
        <v>43375</v>
      </c>
      <c r="AX780" s="499">
        <v>17.4527</v>
      </c>
    </row>
    <row r="781" spans="49:50">
      <c r="AW781" s="511">
        <v>43374</v>
      </c>
      <c r="AX781" s="499">
        <v>17.536100000000001</v>
      </c>
    </row>
    <row r="782" spans="49:50">
      <c r="AW782" s="511">
        <v>43371</v>
      </c>
      <c r="AX782" s="499">
        <v>17.602900000000002</v>
      </c>
    </row>
    <row r="783" spans="49:50">
      <c r="AW783" s="511">
        <v>43370</v>
      </c>
      <c r="AX783" s="499">
        <v>18.1783</v>
      </c>
    </row>
    <row r="784" spans="49:50">
      <c r="AW784" s="511">
        <v>43369</v>
      </c>
      <c r="AX784" s="499">
        <v>18.1252</v>
      </c>
    </row>
    <row r="785" spans="49:50">
      <c r="AW785" s="511">
        <v>43368</v>
      </c>
      <c r="AX785" s="499">
        <v>18.302099999999999</v>
      </c>
    </row>
    <row r="786" spans="49:50">
      <c r="AW786" s="511">
        <v>43367</v>
      </c>
      <c r="AX786" s="499">
        <v>18.107600000000001</v>
      </c>
    </row>
    <row r="787" spans="49:50">
      <c r="AW787" s="511">
        <v>43364</v>
      </c>
      <c r="AX787" s="499">
        <v>17.966100000000001</v>
      </c>
    </row>
    <row r="788" spans="49:50">
      <c r="AW788" s="511">
        <v>43363</v>
      </c>
      <c r="AX788" s="499">
        <v>17.577100000000002</v>
      </c>
    </row>
    <row r="789" spans="49:50">
      <c r="AW789" s="511">
        <v>43362</v>
      </c>
      <c r="AX789" s="499">
        <v>17.577100000000002</v>
      </c>
    </row>
    <row r="790" spans="49:50">
      <c r="AW790" s="511">
        <v>43361</v>
      </c>
      <c r="AX790" s="499">
        <v>17.5063</v>
      </c>
    </row>
    <row r="791" spans="49:50">
      <c r="AW791" s="511">
        <v>43360</v>
      </c>
      <c r="AX791" s="499">
        <v>17.665500000000002</v>
      </c>
    </row>
    <row r="792" spans="49:50">
      <c r="AW792" s="511">
        <v>43357</v>
      </c>
      <c r="AX792" s="499">
        <v>18.019100000000002</v>
      </c>
    </row>
    <row r="793" spans="49:50">
      <c r="AW793" s="511">
        <v>43356</v>
      </c>
      <c r="AX793" s="499">
        <v>17.948399999999999</v>
      </c>
    </row>
    <row r="794" spans="49:50">
      <c r="AW794" s="511">
        <v>43355</v>
      </c>
      <c r="AX794" s="499">
        <v>17.771599999999999</v>
      </c>
    </row>
    <row r="795" spans="49:50">
      <c r="AW795" s="511">
        <v>43354</v>
      </c>
      <c r="AX795" s="499">
        <v>17.630099999999999</v>
      </c>
    </row>
    <row r="796" spans="49:50">
      <c r="AW796" s="511">
        <v>43353</v>
      </c>
      <c r="AX796" s="499">
        <v>17.364899999999999</v>
      </c>
    </row>
    <row r="797" spans="49:50">
      <c r="AW797" s="511">
        <v>43350</v>
      </c>
      <c r="AX797" s="499">
        <v>17.364899999999999</v>
      </c>
    </row>
    <row r="798" spans="49:50">
      <c r="AW798" s="511">
        <v>43349</v>
      </c>
      <c r="AX798" s="499">
        <v>16.9758</v>
      </c>
    </row>
    <row r="799" spans="49:50">
      <c r="AW799" s="511">
        <v>43348</v>
      </c>
      <c r="AX799" s="499">
        <v>17.241099999999999</v>
      </c>
    </row>
    <row r="800" spans="49:50">
      <c r="AW800" s="511">
        <v>43347</v>
      </c>
      <c r="AX800" s="499">
        <v>17.683199999999999</v>
      </c>
    </row>
    <row r="801" spans="49:50">
      <c r="AW801" s="511">
        <v>43343</v>
      </c>
      <c r="AX801" s="499">
        <v>18.231300000000001</v>
      </c>
    </row>
    <row r="802" spans="49:50">
      <c r="AW802" s="511">
        <v>43342</v>
      </c>
      <c r="AX802" s="499">
        <v>18.744199999999999</v>
      </c>
    </row>
    <row r="803" spans="49:50">
      <c r="AW803" s="511">
        <v>43341</v>
      </c>
      <c r="AX803" s="499">
        <v>18.408200000000001</v>
      </c>
    </row>
    <row r="804" spans="49:50">
      <c r="AW804" s="511">
        <v>43340</v>
      </c>
      <c r="AX804" s="499">
        <v>18.213699999999999</v>
      </c>
    </row>
    <row r="805" spans="49:50">
      <c r="AW805" s="511">
        <v>43339</v>
      </c>
      <c r="AX805" s="499">
        <v>18.213699999999999</v>
      </c>
    </row>
    <row r="806" spans="49:50">
      <c r="AW806" s="511">
        <v>43336</v>
      </c>
      <c r="AX806" s="499">
        <v>18.372800000000002</v>
      </c>
    </row>
    <row r="807" spans="49:50">
      <c r="AW807" s="511">
        <v>43335</v>
      </c>
      <c r="AX807" s="499">
        <v>18.3551</v>
      </c>
    </row>
    <row r="808" spans="49:50">
      <c r="AW808" s="511">
        <v>43334</v>
      </c>
      <c r="AX808" s="499">
        <v>18.372800000000002</v>
      </c>
    </row>
    <row r="809" spans="49:50">
      <c r="AW809" s="511">
        <v>43333</v>
      </c>
      <c r="AX809" s="499">
        <v>18.567299999999999</v>
      </c>
    </row>
    <row r="810" spans="49:50">
      <c r="AW810" s="511">
        <v>43332</v>
      </c>
      <c r="AX810" s="499">
        <v>17.665500000000002</v>
      </c>
    </row>
    <row r="811" spans="49:50">
      <c r="AW811" s="511">
        <v>43329</v>
      </c>
      <c r="AX811" s="499">
        <v>17.5063</v>
      </c>
    </row>
    <row r="812" spans="49:50">
      <c r="AW812" s="511">
        <v>43328</v>
      </c>
      <c r="AX812" s="499">
        <v>17.86</v>
      </c>
    </row>
    <row r="813" spans="49:50">
      <c r="AW813" s="511">
        <v>43327</v>
      </c>
      <c r="AX813" s="499">
        <v>17.5063</v>
      </c>
    </row>
    <row r="814" spans="49:50">
      <c r="AW814" s="511">
        <v>43326</v>
      </c>
      <c r="AX814" s="499">
        <v>18.036799999999999</v>
      </c>
    </row>
    <row r="815" spans="49:50">
      <c r="AW815" s="511">
        <v>43325</v>
      </c>
      <c r="AX815" s="499">
        <v>17.241099999999999</v>
      </c>
    </row>
    <row r="816" spans="49:50">
      <c r="AW816" s="511">
        <v>43322</v>
      </c>
      <c r="AX816" s="499">
        <v>16.9758</v>
      </c>
    </row>
    <row r="817" spans="49:50">
      <c r="AW817" s="511">
        <v>43321</v>
      </c>
      <c r="AX817" s="499">
        <v>16.9758</v>
      </c>
    </row>
    <row r="818" spans="49:50">
      <c r="AW818" s="511">
        <v>43320</v>
      </c>
      <c r="AX818" s="499">
        <v>16.3569</v>
      </c>
    </row>
    <row r="819" spans="49:50">
      <c r="AW819" s="511">
        <v>43319</v>
      </c>
      <c r="AX819" s="499">
        <v>16.109400000000001</v>
      </c>
    </row>
    <row r="820" spans="49:50">
      <c r="AW820" s="511">
        <v>43318</v>
      </c>
      <c r="AX820" s="499">
        <v>16.354199999999999</v>
      </c>
    </row>
    <row r="821" spans="49:50">
      <c r="AW821" s="511">
        <v>43315</v>
      </c>
      <c r="AX821" s="499">
        <v>16.7041</v>
      </c>
    </row>
    <row r="822" spans="49:50">
      <c r="AW822" s="511">
        <v>43314</v>
      </c>
      <c r="AX822" s="499">
        <v>16.7041</v>
      </c>
    </row>
    <row r="823" spans="49:50">
      <c r="AW823" s="511">
        <v>43313</v>
      </c>
      <c r="AX823" s="499">
        <v>16.441700000000001</v>
      </c>
    </row>
    <row r="824" spans="49:50">
      <c r="AW824" s="511">
        <v>43312</v>
      </c>
      <c r="AX824" s="499">
        <v>16.879000000000001</v>
      </c>
    </row>
    <row r="825" spans="49:50">
      <c r="AW825" s="511">
        <v>43311</v>
      </c>
      <c r="AX825" s="499">
        <v>16.948899999999998</v>
      </c>
    </row>
    <row r="826" spans="49:50">
      <c r="AW826" s="511">
        <v>43308</v>
      </c>
      <c r="AX826" s="499">
        <v>16.354199999999999</v>
      </c>
    </row>
    <row r="827" spans="49:50">
      <c r="AW827" s="511">
        <v>43307</v>
      </c>
      <c r="AX827" s="499">
        <v>15.742000000000001</v>
      </c>
    </row>
    <row r="828" spans="49:50">
      <c r="AW828" s="511">
        <v>43306</v>
      </c>
      <c r="AX828" s="499">
        <v>16.091899999999999</v>
      </c>
    </row>
    <row r="829" spans="49:50">
      <c r="AW829" s="511">
        <v>43305</v>
      </c>
      <c r="AX829" s="499">
        <v>16.284300000000002</v>
      </c>
    </row>
    <row r="830" spans="49:50">
      <c r="AW830" s="511">
        <v>43304</v>
      </c>
      <c r="AX830" s="499">
        <v>16.791499999999999</v>
      </c>
    </row>
    <row r="831" spans="49:50">
      <c r="AW831" s="511">
        <v>43301</v>
      </c>
      <c r="AX831" s="499">
        <v>16.6341</v>
      </c>
    </row>
    <row r="832" spans="49:50">
      <c r="AW832" s="511">
        <v>43300</v>
      </c>
      <c r="AX832" s="499">
        <v>16.441700000000001</v>
      </c>
    </row>
    <row r="833" spans="49:50">
      <c r="AW833" s="511">
        <v>43299</v>
      </c>
      <c r="AX833" s="499">
        <v>16.791499999999999</v>
      </c>
    </row>
    <row r="834" spans="49:50">
      <c r="AW834" s="511">
        <v>43298</v>
      </c>
      <c r="AX834" s="499">
        <v>16.424199999999999</v>
      </c>
    </row>
    <row r="835" spans="49:50">
      <c r="AW835" s="511">
        <v>43297</v>
      </c>
      <c r="AX835" s="499">
        <v>15.794499999999999</v>
      </c>
    </row>
    <row r="836" spans="49:50">
      <c r="AW836" s="511">
        <v>43294</v>
      </c>
      <c r="AX836" s="499">
        <v>14.8675</v>
      </c>
    </row>
    <row r="837" spans="49:50">
      <c r="AW837" s="511">
        <v>43293</v>
      </c>
      <c r="AX837" s="499">
        <v>14.377700000000001</v>
      </c>
    </row>
    <row r="838" spans="49:50">
      <c r="AW838" s="511">
        <v>43292</v>
      </c>
      <c r="AX838" s="499">
        <v>14.430199999999999</v>
      </c>
    </row>
    <row r="839" spans="49:50">
      <c r="AW839" s="511">
        <v>43291</v>
      </c>
      <c r="AX839" s="499">
        <v>14.9549</v>
      </c>
    </row>
    <row r="840" spans="49:50">
      <c r="AW840" s="511">
        <v>43290</v>
      </c>
      <c r="AX840" s="499">
        <v>14.430199999999999</v>
      </c>
    </row>
    <row r="841" spans="49:50">
      <c r="AW841" s="511">
        <v>43287</v>
      </c>
      <c r="AX841" s="499">
        <v>15.129899999999999</v>
      </c>
    </row>
    <row r="842" spans="49:50">
      <c r="AW842" s="511">
        <v>43286</v>
      </c>
      <c r="AX842" s="499">
        <v>14.2203</v>
      </c>
    </row>
    <row r="843" spans="49:50">
      <c r="AW843" s="511">
        <v>43285</v>
      </c>
      <c r="AX843" s="499">
        <v>14.2203</v>
      </c>
    </row>
    <row r="844" spans="49:50">
      <c r="AW844" s="511">
        <v>43284</v>
      </c>
      <c r="AX844" s="499">
        <v>13.2933</v>
      </c>
    </row>
    <row r="845" spans="49:50">
      <c r="AW845" s="511">
        <v>43283</v>
      </c>
      <c r="AX845" s="499">
        <v>14.1678</v>
      </c>
    </row>
    <row r="846" spans="49:50">
      <c r="AW846" s="511">
        <v>43280</v>
      </c>
      <c r="AX846" s="499">
        <v>15.2173</v>
      </c>
    </row>
    <row r="847" spans="49:50">
      <c r="AW847" s="511">
        <v>43279</v>
      </c>
      <c r="AX847" s="499">
        <v>16.533899999999999</v>
      </c>
    </row>
    <row r="848" spans="49:50">
      <c r="AW848" s="511">
        <v>43278</v>
      </c>
      <c r="AX848" s="499">
        <v>17.7607</v>
      </c>
    </row>
    <row r="849" spans="49:50">
      <c r="AW849" s="511">
        <v>43277</v>
      </c>
      <c r="AX849" s="499">
        <v>18.712800000000001</v>
      </c>
    </row>
    <row r="850" spans="49:50">
      <c r="AW850" s="511">
        <v>43276</v>
      </c>
      <c r="AX850" s="499">
        <v>18.950900000000001</v>
      </c>
    </row>
    <row r="851" spans="49:50">
      <c r="AW851" s="511">
        <v>43273</v>
      </c>
      <c r="AX851" s="499">
        <v>19.2255</v>
      </c>
    </row>
    <row r="852" spans="49:50">
      <c r="AW852" s="511">
        <v>43272</v>
      </c>
      <c r="AX852" s="499">
        <v>18.859300000000001</v>
      </c>
    </row>
    <row r="853" spans="49:50">
      <c r="AW853" s="511">
        <v>43271</v>
      </c>
      <c r="AX853" s="499">
        <v>19.591699999999999</v>
      </c>
    </row>
    <row r="854" spans="49:50">
      <c r="AW854" s="511">
        <v>43270</v>
      </c>
      <c r="AX854" s="499">
        <v>19.4086</v>
      </c>
    </row>
    <row r="855" spans="49:50">
      <c r="AW855" s="511">
        <v>43269</v>
      </c>
      <c r="AX855" s="499">
        <v>20.690300000000001</v>
      </c>
    </row>
    <row r="856" spans="49:50">
      <c r="AW856" s="511">
        <v>43266</v>
      </c>
      <c r="AX856" s="499">
        <v>21.788900000000002</v>
      </c>
    </row>
    <row r="857" spans="49:50">
      <c r="AW857" s="511">
        <v>43265</v>
      </c>
      <c r="AX857" s="499">
        <v>21.788900000000002</v>
      </c>
    </row>
    <row r="858" spans="49:50">
      <c r="AW858" s="511">
        <v>43264</v>
      </c>
      <c r="AX858" s="499">
        <v>21.300599999999999</v>
      </c>
    </row>
    <row r="859" spans="49:50">
      <c r="AW859" s="511">
        <v>43263</v>
      </c>
      <c r="AX859" s="499">
        <v>21.727900000000002</v>
      </c>
    </row>
    <row r="860" spans="49:50">
      <c r="AW860" s="511">
        <v>43262</v>
      </c>
      <c r="AX860" s="499">
        <v>22.216100000000001</v>
      </c>
    </row>
    <row r="861" spans="49:50">
      <c r="AW861" s="511">
        <v>43259</v>
      </c>
      <c r="AX861" s="499">
        <v>22.4237</v>
      </c>
    </row>
    <row r="862" spans="49:50">
      <c r="AW862" s="511">
        <v>43258</v>
      </c>
      <c r="AX862" s="499">
        <v>22.338200000000001</v>
      </c>
    </row>
    <row r="863" spans="49:50">
      <c r="AW863" s="511">
        <v>43257</v>
      </c>
      <c r="AX863" s="499">
        <v>22.5701</v>
      </c>
    </row>
    <row r="864" spans="49:50">
      <c r="AW864" s="511">
        <v>43256</v>
      </c>
      <c r="AX864" s="499">
        <v>21.849900000000002</v>
      </c>
    </row>
    <row r="865" spans="49:50">
      <c r="AW865" s="511">
        <v>43255</v>
      </c>
      <c r="AX865" s="499">
        <v>21.1175</v>
      </c>
    </row>
    <row r="866" spans="49:50">
      <c r="AW866" s="511">
        <v>43252</v>
      </c>
      <c r="AX866" s="499">
        <v>20.8368</v>
      </c>
    </row>
    <row r="867" spans="49:50">
      <c r="AW867" s="511">
        <v>43251</v>
      </c>
      <c r="AX867" s="499">
        <v>20.385100000000001</v>
      </c>
    </row>
    <row r="868" spans="49:50">
      <c r="AW868" s="511">
        <v>43250</v>
      </c>
      <c r="AX868" s="499">
        <v>19.774799999999999</v>
      </c>
    </row>
    <row r="869" spans="49:50">
      <c r="AW869" s="511">
        <v>43249</v>
      </c>
      <c r="AX869" s="499">
        <v>20.140999999999998</v>
      </c>
    </row>
    <row r="870" spans="49:50">
      <c r="AW870" s="511">
        <v>43248</v>
      </c>
      <c r="AX870" s="499">
        <v>19.762599999999999</v>
      </c>
    </row>
    <row r="871" spans="49:50">
      <c r="AW871" s="511">
        <v>43245</v>
      </c>
      <c r="AX871" s="499">
        <v>21.239599999999999</v>
      </c>
    </row>
    <row r="872" spans="49:50">
      <c r="AW872" s="511">
        <v>43244</v>
      </c>
      <c r="AX872" s="499">
        <v>21.849900000000002</v>
      </c>
    </row>
    <row r="873" spans="49:50">
      <c r="AW873" s="511">
        <v>43243</v>
      </c>
      <c r="AX873" s="499">
        <v>21.849900000000002</v>
      </c>
    </row>
    <row r="874" spans="49:50">
      <c r="AW874" s="511">
        <v>43242</v>
      </c>
      <c r="AX874" s="499">
        <v>21.593599999999999</v>
      </c>
    </row>
    <row r="875" spans="49:50">
      <c r="AW875" s="511">
        <v>43241</v>
      </c>
      <c r="AX875" s="499">
        <v>21.972000000000001</v>
      </c>
    </row>
    <row r="876" spans="49:50">
      <c r="AW876" s="511">
        <v>43238</v>
      </c>
      <c r="AX876" s="499">
        <v>22.094100000000001</v>
      </c>
    </row>
    <row r="877" spans="49:50">
      <c r="AW877" s="511">
        <v>43237</v>
      </c>
      <c r="AX877" s="499">
        <v>22.094100000000001</v>
      </c>
    </row>
    <row r="878" spans="49:50">
      <c r="AW878" s="511">
        <v>43236</v>
      </c>
      <c r="AX878" s="499">
        <v>22.216100000000001</v>
      </c>
    </row>
    <row r="879" spans="49:50">
      <c r="AW879" s="511">
        <v>43235</v>
      </c>
      <c r="AX879" s="499">
        <v>22.5823</v>
      </c>
    </row>
    <row r="880" spans="49:50">
      <c r="AW880" s="511">
        <v>43234</v>
      </c>
      <c r="AX880" s="499">
        <v>22.7044</v>
      </c>
    </row>
    <row r="881" spans="49:50">
      <c r="AW881" s="511">
        <v>43231</v>
      </c>
      <c r="AX881" s="499">
        <v>22.313800000000001</v>
      </c>
    </row>
    <row r="882" spans="49:50">
      <c r="AW882" s="511">
        <v>43230</v>
      </c>
      <c r="AX882" s="499">
        <v>21.5822</v>
      </c>
    </row>
    <row r="883" spans="49:50">
      <c r="AW883" s="511">
        <v>43229</v>
      </c>
      <c r="AX883" s="499">
        <v>22.252800000000001</v>
      </c>
    </row>
    <row r="884" spans="49:50">
      <c r="AW884" s="511">
        <v>43228</v>
      </c>
      <c r="AX884" s="499">
        <v>22.326000000000001</v>
      </c>
    </row>
    <row r="885" spans="49:50">
      <c r="AW885" s="511">
        <v>43227</v>
      </c>
      <c r="AX885" s="499">
        <v>22.301600000000001</v>
      </c>
    </row>
    <row r="886" spans="49:50">
      <c r="AW886" s="511">
        <v>43224</v>
      </c>
      <c r="AX886" s="499">
        <v>20.8506</v>
      </c>
    </row>
    <row r="887" spans="49:50">
      <c r="AW887" s="511">
        <v>43223</v>
      </c>
      <c r="AX887" s="499">
        <v>20.7287</v>
      </c>
    </row>
    <row r="888" spans="49:50">
      <c r="AW888" s="511">
        <v>43222</v>
      </c>
      <c r="AX888" s="499">
        <v>20.8506</v>
      </c>
    </row>
    <row r="889" spans="49:50">
      <c r="AW889" s="511">
        <v>43217</v>
      </c>
      <c r="AX889" s="499">
        <v>20.8506</v>
      </c>
    </row>
    <row r="890" spans="49:50">
      <c r="AW890" s="511">
        <v>43216</v>
      </c>
      <c r="AX890" s="499">
        <v>20.3629</v>
      </c>
    </row>
    <row r="891" spans="49:50">
      <c r="AW891" s="511">
        <v>43214</v>
      </c>
      <c r="AX891" s="499">
        <v>21.2164</v>
      </c>
    </row>
    <row r="892" spans="49:50">
      <c r="AW892" s="511">
        <v>43213</v>
      </c>
      <c r="AX892" s="499">
        <v>21.2164</v>
      </c>
    </row>
    <row r="893" spans="49:50">
      <c r="AW893" s="511">
        <v>43210</v>
      </c>
      <c r="AX893" s="499">
        <v>21.0213</v>
      </c>
    </row>
    <row r="894" spans="49:50">
      <c r="AW894" s="511">
        <v>43209</v>
      </c>
      <c r="AX894" s="499">
        <v>20.119</v>
      </c>
    </row>
    <row r="895" spans="49:50">
      <c r="AW895" s="511">
        <v>43208</v>
      </c>
      <c r="AX895" s="499">
        <v>21.3383</v>
      </c>
    </row>
    <row r="896" spans="49:50">
      <c r="AW896" s="511">
        <v>43207</v>
      </c>
      <c r="AX896" s="499">
        <v>22.1309</v>
      </c>
    </row>
    <row r="897" spans="49:50">
      <c r="AW897" s="511">
        <v>43206</v>
      </c>
      <c r="AX897" s="499">
        <v>22.521100000000001</v>
      </c>
    </row>
    <row r="898" spans="49:50">
      <c r="AW898" s="511">
        <v>43203</v>
      </c>
      <c r="AX898" s="499">
        <v>22.679600000000001</v>
      </c>
    </row>
    <row r="899" spans="49:50">
      <c r="AW899" s="511">
        <v>43202</v>
      </c>
      <c r="AX899" s="499">
        <v>22.716200000000001</v>
      </c>
    </row>
    <row r="900" spans="49:50">
      <c r="AW900" s="511">
        <v>43201</v>
      </c>
      <c r="AX900" s="499">
        <v>22.801500000000001</v>
      </c>
    </row>
    <row r="901" spans="49:50">
      <c r="AW901" s="511">
        <v>43200</v>
      </c>
      <c r="AX901" s="499">
        <v>23.533100000000001</v>
      </c>
    </row>
    <row r="902" spans="49:50">
      <c r="AW902" s="511">
        <v>43199</v>
      </c>
      <c r="AX902" s="499">
        <v>22.557700000000001</v>
      </c>
    </row>
    <row r="903" spans="49:50">
      <c r="AW903" s="511">
        <v>43196</v>
      </c>
      <c r="AX903" s="499">
        <v>23.655100000000001</v>
      </c>
    </row>
    <row r="904" spans="49:50">
      <c r="AW904" s="511">
        <v>43195</v>
      </c>
      <c r="AX904" s="499">
        <v>24.447600000000001</v>
      </c>
    </row>
    <row r="905" spans="49:50">
      <c r="AW905" s="511">
        <v>43194</v>
      </c>
      <c r="AX905" s="499">
        <v>24.557400000000001</v>
      </c>
    </row>
    <row r="906" spans="49:50">
      <c r="AW906" s="511">
        <v>43193</v>
      </c>
      <c r="AX906" s="499">
        <v>24.691500000000001</v>
      </c>
    </row>
    <row r="907" spans="49:50">
      <c r="AW907" s="511">
        <v>43192</v>
      </c>
      <c r="AX907" s="499">
        <v>24.923200000000001</v>
      </c>
    </row>
    <row r="908" spans="49:50">
      <c r="AW908" s="511">
        <v>43189</v>
      </c>
      <c r="AX908" s="499">
        <v>25.118300000000001</v>
      </c>
    </row>
    <row r="909" spans="49:50">
      <c r="AW909" s="511">
        <v>43188</v>
      </c>
      <c r="AX909" s="499">
        <v>26.127800000000001</v>
      </c>
    </row>
    <row r="910" spans="49:50">
      <c r="AW910" s="511">
        <v>43187</v>
      </c>
      <c r="AX910" s="499">
        <v>25.995799999999999</v>
      </c>
    </row>
    <row r="911" spans="49:50">
      <c r="AW911" s="511">
        <v>43186</v>
      </c>
      <c r="AX911" s="499">
        <v>24.874199999999998</v>
      </c>
    </row>
    <row r="912" spans="49:50">
      <c r="AW912" s="511">
        <v>43185</v>
      </c>
      <c r="AX912" s="499">
        <v>24.451899999999998</v>
      </c>
    </row>
    <row r="913" spans="49:50">
      <c r="AW913" s="511">
        <v>43182</v>
      </c>
      <c r="AX913" s="499">
        <v>23.884499999999999</v>
      </c>
    </row>
    <row r="914" spans="49:50">
      <c r="AW914" s="511">
        <v>43181</v>
      </c>
      <c r="AX914" s="499">
        <v>24.2804</v>
      </c>
    </row>
    <row r="915" spans="49:50">
      <c r="AW915" s="511">
        <v>43180</v>
      </c>
      <c r="AX915" s="499">
        <v>24.148399999999999</v>
      </c>
    </row>
    <row r="916" spans="49:50">
      <c r="AW916" s="511">
        <v>43179</v>
      </c>
      <c r="AX916" s="499">
        <v>24.016400000000001</v>
      </c>
    </row>
    <row r="917" spans="49:50">
      <c r="AW917" s="511">
        <v>43178</v>
      </c>
      <c r="AX917" s="499">
        <v>24.069199999999999</v>
      </c>
    </row>
    <row r="918" spans="49:50">
      <c r="AW918" s="511">
        <v>43175</v>
      </c>
      <c r="AX918" s="499">
        <v>23.752500000000001</v>
      </c>
    </row>
    <row r="919" spans="49:50">
      <c r="AW919" s="511">
        <v>43174</v>
      </c>
      <c r="AX919" s="499">
        <v>22.696899999999999</v>
      </c>
    </row>
    <row r="920" spans="49:50">
      <c r="AW920" s="511">
        <v>43173</v>
      </c>
      <c r="AX920" s="499">
        <v>22.749600000000001</v>
      </c>
    </row>
    <row r="921" spans="49:50">
      <c r="AW921" s="511">
        <v>43172</v>
      </c>
      <c r="AX921" s="499">
        <v>22.604500000000002</v>
      </c>
    </row>
    <row r="922" spans="49:50">
      <c r="AW922" s="511">
        <v>43171</v>
      </c>
      <c r="AX922" s="499">
        <v>22.789200000000001</v>
      </c>
    </row>
    <row r="923" spans="49:50">
      <c r="AW923" s="511">
        <v>43168</v>
      </c>
      <c r="AX923" s="499">
        <v>22.947600000000001</v>
      </c>
    </row>
    <row r="924" spans="49:50">
      <c r="AW924" s="511">
        <v>43167</v>
      </c>
      <c r="AX924" s="499">
        <v>22.947600000000001</v>
      </c>
    </row>
    <row r="925" spans="49:50">
      <c r="AW925" s="511">
        <v>43166</v>
      </c>
      <c r="AX925" s="499">
        <v>22.498899999999999</v>
      </c>
    </row>
    <row r="926" spans="49:50">
      <c r="AW926" s="511">
        <v>43165</v>
      </c>
      <c r="AX926" s="499">
        <v>22.696899999999999</v>
      </c>
    </row>
    <row r="927" spans="49:50">
      <c r="AW927" s="511">
        <v>43164</v>
      </c>
      <c r="AX927" s="499">
        <v>21.8127</v>
      </c>
    </row>
    <row r="928" spans="49:50">
      <c r="AW928" s="511">
        <v>43161</v>
      </c>
      <c r="AX928" s="499">
        <v>21.5488</v>
      </c>
    </row>
    <row r="929" spans="49:50">
      <c r="AW929" s="511">
        <v>43160</v>
      </c>
      <c r="AX929" s="499">
        <v>21.641200000000001</v>
      </c>
    </row>
    <row r="930" spans="49:50">
      <c r="AW930" s="511">
        <v>43159</v>
      </c>
      <c r="AX930" s="499">
        <v>21.997499999999999</v>
      </c>
    </row>
    <row r="931" spans="49:50">
      <c r="AW931" s="511">
        <v>43158</v>
      </c>
      <c r="AX931" s="499">
        <v>22.0107</v>
      </c>
    </row>
    <row r="932" spans="49:50">
      <c r="AW932" s="511">
        <v>43157</v>
      </c>
      <c r="AX932" s="499">
        <v>21.8523</v>
      </c>
    </row>
    <row r="933" spans="49:50">
      <c r="AW933" s="511">
        <v>43154</v>
      </c>
      <c r="AX933" s="499">
        <v>22.525300000000001</v>
      </c>
    </row>
    <row r="934" spans="49:50">
      <c r="AW934" s="511">
        <v>43153</v>
      </c>
      <c r="AX934" s="499">
        <v>21.641200000000001</v>
      </c>
    </row>
    <row r="935" spans="49:50">
      <c r="AW935" s="511">
        <v>43152</v>
      </c>
      <c r="AX935" s="499">
        <v>21.773099999999999</v>
      </c>
    </row>
    <row r="936" spans="49:50">
      <c r="AW936" s="511">
        <v>43144</v>
      </c>
      <c r="AX936" s="499">
        <v>21.0474</v>
      </c>
    </row>
    <row r="937" spans="49:50">
      <c r="AW937" s="511">
        <v>43143</v>
      </c>
      <c r="AX937" s="499">
        <v>20.453600000000002</v>
      </c>
    </row>
    <row r="938" spans="49:50">
      <c r="AW938" s="511">
        <v>43140</v>
      </c>
      <c r="AX938" s="499">
        <v>19.463899999999999</v>
      </c>
    </row>
    <row r="939" spans="49:50">
      <c r="AW939" s="511">
        <v>43139</v>
      </c>
      <c r="AX939" s="499">
        <v>19.2791</v>
      </c>
    </row>
    <row r="940" spans="49:50">
      <c r="AW940" s="511">
        <v>43138</v>
      </c>
      <c r="AX940" s="499">
        <v>19.4771</v>
      </c>
    </row>
    <row r="941" spans="49:50">
      <c r="AW941" s="511">
        <v>43137</v>
      </c>
      <c r="AX941" s="499">
        <v>18.593</v>
      </c>
    </row>
    <row r="942" spans="49:50">
      <c r="AW942" s="511">
        <v>43136</v>
      </c>
      <c r="AX942" s="499">
        <v>19.265899999999998</v>
      </c>
    </row>
    <row r="943" spans="49:50">
      <c r="AW943" s="511">
        <v>43133</v>
      </c>
      <c r="AX943" s="499">
        <v>19.8598</v>
      </c>
    </row>
    <row r="944" spans="49:50">
      <c r="AW944" s="511">
        <v>43132</v>
      </c>
      <c r="AX944" s="499">
        <v>19.661799999999999</v>
      </c>
    </row>
    <row r="945" spans="49:50">
      <c r="AW945" s="511">
        <v>43131</v>
      </c>
      <c r="AX945" s="499">
        <v>19.661799999999999</v>
      </c>
    </row>
    <row r="946" spans="49:50">
      <c r="AW946" s="511">
        <v>43130</v>
      </c>
      <c r="AX946" s="499">
        <v>19.265899999999998</v>
      </c>
    </row>
    <row r="947" spans="49:50">
      <c r="AW947" s="511">
        <v>43129</v>
      </c>
      <c r="AX947" s="499">
        <v>18.6325</v>
      </c>
    </row>
    <row r="948" spans="49:50">
      <c r="AW948" s="511">
        <v>43126</v>
      </c>
      <c r="AX948" s="499">
        <v>18.936</v>
      </c>
    </row>
    <row r="949" spans="49:50">
      <c r="AW949" s="511">
        <v>43125</v>
      </c>
      <c r="AX949" s="499">
        <v>19.160399999999999</v>
      </c>
    </row>
    <row r="950" spans="49:50">
      <c r="AW950" s="511">
        <v>43122</v>
      </c>
      <c r="AX950" s="499">
        <v>19.134</v>
      </c>
    </row>
    <row r="951" spans="49:50">
      <c r="AW951" s="511">
        <v>43119</v>
      </c>
      <c r="AX951" s="499">
        <v>18.870100000000001</v>
      </c>
    </row>
    <row r="952" spans="49:50">
      <c r="AW952" s="511">
        <v>43118</v>
      </c>
      <c r="AX952" s="499">
        <v>18.2103</v>
      </c>
    </row>
    <row r="953" spans="49:50">
      <c r="AW953" s="511">
        <v>43117</v>
      </c>
      <c r="AX953" s="499">
        <v>18.2103</v>
      </c>
    </row>
    <row r="954" spans="49:50">
      <c r="AW954" s="511">
        <v>43116</v>
      </c>
      <c r="AX954" s="499">
        <v>18.593</v>
      </c>
    </row>
    <row r="955" spans="49:50">
      <c r="AW955" s="511">
        <v>43115</v>
      </c>
      <c r="AX955" s="499">
        <v>18.408200000000001</v>
      </c>
    </row>
    <row r="956" spans="49:50">
      <c r="AW956" s="511">
        <v>43112</v>
      </c>
      <c r="AX956" s="499">
        <v>18.0123</v>
      </c>
    </row>
    <row r="957" spans="49:50">
      <c r="AW957" s="511">
        <v>43111</v>
      </c>
      <c r="AX957" s="499">
        <v>17.985900000000001</v>
      </c>
    </row>
    <row r="958" spans="49:50">
      <c r="AW958" s="511">
        <v>43110</v>
      </c>
      <c r="AX958" s="499">
        <v>18.0915</v>
      </c>
    </row>
    <row r="959" spans="49:50">
      <c r="AW959" s="511">
        <v>43109</v>
      </c>
      <c r="AX959" s="499">
        <v>17.642800000000001</v>
      </c>
    </row>
    <row r="960" spans="49:50">
      <c r="AW960" s="511">
        <v>43108</v>
      </c>
      <c r="AX960" s="499">
        <v>17.761600000000001</v>
      </c>
    </row>
    <row r="961" spans="49:50">
      <c r="AW961" s="511">
        <v>43105</v>
      </c>
      <c r="AX961" s="499">
        <v>17.682400000000001</v>
      </c>
    </row>
    <row r="962" spans="49:50">
      <c r="AW962" s="511">
        <v>43104</v>
      </c>
      <c r="AX962" s="499">
        <v>17.682400000000001</v>
      </c>
    </row>
    <row r="963" spans="49:50">
      <c r="AW963" s="511">
        <v>43103</v>
      </c>
      <c r="AX963" s="499">
        <v>17.5505</v>
      </c>
    </row>
    <row r="964" spans="49:50">
      <c r="AW964" s="511">
        <v>43102</v>
      </c>
      <c r="AX964" s="499">
        <v>17.6297</v>
      </c>
    </row>
    <row r="965" spans="49:50">
      <c r="AW965" s="511">
        <v>43098</v>
      </c>
      <c r="AX965" s="499">
        <v>18.078299999999999</v>
      </c>
    </row>
    <row r="966" spans="49:50">
      <c r="AW966" s="511">
        <v>43097</v>
      </c>
      <c r="AX966" s="499">
        <v>20.206499999999998</v>
      </c>
    </row>
    <row r="967" spans="49:50">
      <c r="AW967" s="511">
        <v>43096</v>
      </c>
      <c r="AX967" s="499">
        <v>19.787700000000001</v>
      </c>
    </row>
    <row r="968" spans="49:50">
      <c r="AW968" s="511">
        <v>43095</v>
      </c>
      <c r="AX968" s="499">
        <v>19.698</v>
      </c>
    </row>
    <row r="969" spans="49:50">
      <c r="AW969" s="511">
        <v>43094</v>
      </c>
      <c r="AX969" s="499">
        <v>19.593299999999999</v>
      </c>
    </row>
    <row r="970" spans="49:50">
      <c r="AW970" s="511">
        <v>43091</v>
      </c>
      <c r="AX970" s="499">
        <v>19.578299999999999</v>
      </c>
    </row>
    <row r="971" spans="49:50">
      <c r="AW971" s="511">
        <v>43090</v>
      </c>
      <c r="AX971" s="499">
        <v>19.892399999999999</v>
      </c>
    </row>
    <row r="972" spans="49:50">
      <c r="AW972" s="511">
        <v>43089</v>
      </c>
      <c r="AX972" s="499">
        <v>19.668099999999999</v>
      </c>
    </row>
    <row r="973" spans="49:50">
      <c r="AW973" s="511">
        <v>43088</v>
      </c>
      <c r="AX973" s="499">
        <v>19.578299999999999</v>
      </c>
    </row>
    <row r="974" spans="49:50">
      <c r="AW974" s="511">
        <v>43087</v>
      </c>
      <c r="AX974" s="499">
        <v>19.473600000000001</v>
      </c>
    </row>
    <row r="975" spans="49:50">
      <c r="AW975" s="511">
        <v>43084</v>
      </c>
      <c r="AX975" s="499">
        <v>19.473600000000001</v>
      </c>
    </row>
    <row r="976" spans="49:50">
      <c r="AW976" s="511">
        <v>43083</v>
      </c>
      <c r="AX976" s="499">
        <v>18.7303</v>
      </c>
    </row>
    <row r="977" spans="49:50">
      <c r="AW977" s="511">
        <v>43082</v>
      </c>
      <c r="AX977" s="499">
        <v>18.1357</v>
      </c>
    </row>
    <row r="978" spans="49:50">
      <c r="AW978" s="511">
        <v>43081</v>
      </c>
      <c r="AX978" s="499">
        <v>18.358699999999999</v>
      </c>
    </row>
    <row r="979" spans="49:50">
      <c r="AW979" s="511">
        <v>43080</v>
      </c>
      <c r="AX979" s="499">
        <v>18.284400000000002</v>
      </c>
    </row>
    <row r="980" spans="49:50">
      <c r="AW980" s="511">
        <v>43077</v>
      </c>
      <c r="AX980" s="499">
        <v>18.358699999999999</v>
      </c>
    </row>
    <row r="981" spans="49:50">
      <c r="AW981" s="511">
        <v>43076</v>
      </c>
      <c r="AX981" s="499">
        <v>18.224900000000002</v>
      </c>
    </row>
    <row r="982" spans="49:50">
      <c r="AW982" s="511">
        <v>43075</v>
      </c>
      <c r="AX982" s="499">
        <v>18.581700000000001</v>
      </c>
    </row>
    <row r="983" spans="49:50">
      <c r="AW983" s="511">
        <v>43074</v>
      </c>
      <c r="AX983" s="499">
        <v>18.581700000000001</v>
      </c>
    </row>
    <row r="984" spans="49:50">
      <c r="AW984" s="511">
        <v>43073</v>
      </c>
      <c r="AX984" s="499">
        <v>18.879000000000001</v>
      </c>
    </row>
    <row r="985" spans="49:50">
      <c r="AW985" s="511">
        <v>43070</v>
      </c>
      <c r="AX985" s="499">
        <v>18.879000000000001</v>
      </c>
    </row>
    <row r="986" spans="49:50">
      <c r="AW986" s="511">
        <v>43069</v>
      </c>
      <c r="AX986" s="499">
        <v>18.522200000000002</v>
      </c>
    </row>
    <row r="987" spans="49:50">
      <c r="AW987" s="511">
        <v>43068</v>
      </c>
      <c r="AX987" s="499">
        <v>18.1357</v>
      </c>
    </row>
    <row r="988" spans="49:50">
      <c r="AW988" s="511">
        <v>43067</v>
      </c>
      <c r="AX988" s="499">
        <v>18.046500000000002</v>
      </c>
    </row>
    <row r="989" spans="49:50">
      <c r="AW989" s="511">
        <v>43066</v>
      </c>
      <c r="AX989" s="499">
        <v>18.1357</v>
      </c>
    </row>
    <row r="990" spans="49:50">
      <c r="AW990" s="511">
        <v>43063</v>
      </c>
      <c r="AX990" s="499">
        <v>18.343800000000002</v>
      </c>
    </row>
    <row r="991" spans="49:50">
      <c r="AW991" s="511">
        <v>43062</v>
      </c>
      <c r="AX991" s="499">
        <v>18.269500000000001</v>
      </c>
    </row>
    <row r="992" spans="49:50">
      <c r="AW992" s="511">
        <v>43061</v>
      </c>
      <c r="AX992" s="499">
        <v>17.987100000000002</v>
      </c>
    </row>
    <row r="993" spans="49:50">
      <c r="AW993" s="511">
        <v>43060</v>
      </c>
      <c r="AX993" s="499">
        <v>17.4817</v>
      </c>
    </row>
    <row r="994" spans="49:50">
      <c r="AW994" s="511">
        <v>43059</v>
      </c>
      <c r="AX994" s="499">
        <v>17.5411</v>
      </c>
    </row>
    <row r="995" spans="49:50">
      <c r="AW995" s="511">
        <v>43056</v>
      </c>
      <c r="AX995" s="499">
        <v>17.273499999999999</v>
      </c>
    </row>
    <row r="996" spans="49:50">
      <c r="AW996" s="511">
        <v>43055</v>
      </c>
      <c r="AX996" s="499">
        <v>17.764099999999999</v>
      </c>
    </row>
    <row r="997" spans="49:50">
      <c r="AW997" s="511">
        <v>43054</v>
      </c>
      <c r="AX997" s="499">
        <v>17.749199999999998</v>
      </c>
    </row>
    <row r="998" spans="49:50">
      <c r="AW998" s="511">
        <v>43053</v>
      </c>
      <c r="AX998" s="499">
        <v>17.8384</v>
      </c>
    </row>
    <row r="999" spans="49:50">
      <c r="AW999" s="511">
        <v>43052</v>
      </c>
      <c r="AX999" s="499">
        <v>17.630299999999998</v>
      </c>
    </row>
    <row r="1000" spans="49:50">
      <c r="AW1000" s="511">
        <v>43049</v>
      </c>
      <c r="AX1000" s="499">
        <v>16.485700000000001</v>
      </c>
    </row>
    <row r="1001" spans="49:50">
      <c r="AW1001" s="511">
        <v>43048</v>
      </c>
      <c r="AX1001" s="499">
        <v>16.4114</v>
      </c>
    </row>
    <row r="1002" spans="49:50">
      <c r="AW1002" s="511">
        <v>43047</v>
      </c>
      <c r="AX1002" s="499">
        <v>16.203199999999999</v>
      </c>
    </row>
    <row r="1003" spans="49:50">
      <c r="AW1003" s="511">
        <v>43046</v>
      </c>
      <c r="AX1003" s="499">
        <v>16.010000000000002</v>
      </c>
    </row>
    <row r="1004" spans="49:50">
      <c r="AW1004" s="511">
        <v>43045</v>
      </c>
      <c r="AX1004" s="499">
        <v>16.054600000000001</v>
      </c>
    </row>
    <row r="1005" spans="49:50">
      <c r="AW1005" s="511">
        <v>43042</v>
      </c>
      <c r="AX1005" s="499">
        <v>15.608599999999999</v>
      </c>
    </row>
    <row r="1006" spans="49:50">
      <c r="AW1006" s="511">
        <v>43041</v>
      </c>
      <c r="AX1006" s="499">
        <v>15.400499999999999</v>
      </c>
    </row>
    <row r="1007" spans="49:50">
      <c r="AW1007" s="511">
        <v>43040</v>
      </c>
      <c r="AX1007" s="499">
        <v>16.0397</v>
      </c>
    </row>
    <row r="1008" spans="49:50">
      <c r="AW1008" s="511">
        <v>43039</v>
      </c>
      <c r="AX1008" s="499">
        <v>15.995100000000001</v>
      </c>
    </row>
    <row r="1009" spans="49:50">
      <c r="AW1009" s="511">
        <v>43038</v>
      </c>
      <c r="AX1009" s="499">
        <v>16.069500000000001</v>
      </c>
    </row>
    <row r="1010" spans="49:50">
      <c r="AW1010" s="511">
        <v>43035</v>
      </c>
      <c r="AX1010" s="499">
        <v>15.9803</v>
      </c>
    </row>
    <row r="1011" spans="49:50">
      <c r="AW1011" s="511">
        <v>43034</v>
      </c>
      <c r="AX1011" s="499">
        <v>15.8911</v>
      </c>
    </row>
    <row r="1012" spans="49:50">
      <c r="AW1012" s="511">
        <v>43033</v>
      </c>
      <c r="AX1012" s="499">
        <v>15.935700000000001</v>
      </c>
    </row>
    <row r="1013" spans="49:50">
      <c r="AW1013" s="511">
        <v>43032</v>
      </c>
      <c r="AX1013" s="499">
        <v>15.9208</v>
      </c>
    </row>
    <row r="1014" spans="49:50">
      <c r="AW1014" s="511">
        <v>43031</v>
      </c>
      <c r="AX1014" s="499">
        <v>15.8911</v>
      </c>
    </row>
    <row r="1015" spans="49:50">
      <c r="AW1015" s="511">
        <v>43028</v>
      </c>
      <c r="AX1015" s="499">
        <v>16.203199999999999</v>
      </c>
    </row>
    <row r="1016" spans="49:50">
      <c r="AW1016" s="511">
        <v>43027</v>
      </c>
      <c r="AX1016" s="499">
        <v>16.426200000000001</v>
      </c>
    </row>
    <row r="1017" spans="49:50">
      <c r="AW1017" s="511">
        <v>43026</v>
      </c>
      <c r="AX1017" s="499">
        <v>16.545100000000001</v>
      </c>
    </row>
    <row r="1018" spans="49:50">
      <c r="AW1018" s="511">
        <v>43025</v>
      </c>
      <c r="AX1018" s="499">
        <v>16.426200000000001</v>
      </c>
    </row>
    <row r="1019" spans="49:50">
      <c r="AW1019" s="511">
        <v>43024</v>
      </c>
      <c r="AX1019" s="499">
        <v>16.337</v>
      </c>
    </row>
    <row r="1020" spans="49:50">
      <c r="AW1020" s="511">
        <v>43021</v>
      </c>
      <c r="AX1020" s="499">
        <v>16.2181</v>
      </c>
    </row>
    <row r="1021" spans="49:50">
      <c r="AW1021" s="511">
        <v>43020</v>
      </c>
      <c r="AX1021" s="499">
        <v>16.188400000000001</v>
      </c>
    </row>
    <row r="1022" spans="49:50">
      <c r="AW1022" s="511">
        <v>43019</v>
      </c>
      <c r="AX1022" s="499">
        <v>16.6492</v>
      </c>
    </row>
    <row r="1023" spans="49:50">
      <c r="AW1023" s="511">
        <v>43018</v>
      </c>
      <c r="AX1023" s="499">
        <v>16.872199999999999</v>
      </c>
    </row>
    <row r="1024" spans="49:50">
      <c r="AW1024" s="511">
        <v>43017</v>
      </c>
      <c r="AX1024" s="499">
        <v>16.485700000000001</v>
      </c>
    </row>
    <row r="1025" spans="49:50">
      <c r="AW1025" s="511">
        <v>43014</v>
      </c>
      <c r="AX1025" s="499">
        <v>16.426200000000001</v>
      </c>
    </row>
    <row r="1026" spans="49:50">
      <c r="AW1026" s="511">
        <v>43013</v>
      </c>
      <c r="AX1026" s="499">
        <v>16.589700000000001</v>
      </c>
    </row>
    <row r="1027" spans="49:50">
      <c r="AW1027" s="511">
        <v>43012</v>
      </c>
      <c r="AX1027" s="499">
        <v>16.9316</v>
      </c>
    </row>
    <row r="1028" spans="49:50">
      <c r="AW1028" s="511">
        <v>43011</v>
      </c>
      <c r="AX1028" s="499">
        <v>16.9316</v>
      </c>
    </row>
    <row r="1029" spans="49:50">
      <c r="AW1029" s="511">
        <v>43010</v>
      </c>
      <c r="AX1029" s="499">
        <v>16.8127</v>
      </c>
    </row>
    <row r="1030" spans="49:50">
      <c r="AW1030" s="511">
        <v>43007</v>
      </c>
      <c r="AX1030" s="499">
        <v>16.916799999999999</v>
      </c>
    </row>
    <row r="1031" spans="49:50">
      <c r="AW1031" s="511">
        <v>43006</v>
      </c>
      <c r="AX1031" s="499">
        <v>16.845199999999998</v>
      </c>
    </row>
    <row r="1032" spans="49:50">
      <c r="AW1032" s="511">
        <v>43005</v>
      </c>
      <c r="AX1032" s="499">
        <v>16.755500000000001</v>
      </c>
    </row>
    <row r="1033" spans="49:50">
      <c r="AW1033" s="511">
        <v>43004</v>
      </c>
      <c r="AX1033" s="499">
        <v>17.159099999999999</v>
      </c>
    </row>
    <row r="1034" spans="49:50">
      <c r="AW1034" s="511">
        <v>43003</v>
      </c>
      <c r="AX1034" s="499">
        <v>17.189</v>
      </c>
    </row>
    <row r="1035" spans="49:50">
      <c r="AW1035" s="511">
        <v>43000</v>
      </c>
      <c r="AX1035" s="499">
        <v>17.099299999999999</v>
      </c>
    </row>
    <row r="1036" spans="49:50">
      <c r="AW1036" s="511">
        <v>42999</v>
      </c>
      <c r="AX1036" s="499">
        <v>17.129200000000001</v>
      </c>
    </row>
    <row r="1037" spans="49:50">
      <c r="AW1037" s="511">
        <v>42998</v>
      </c>
      <c r="AX1037" s="499">
        <v>17.084399999999999</v>
      </c>
    </row>
    <row r="1038" spans="49:50">
      <c r="AW1038" s="511">
        <v>42997</v>
      </c>
      <c r="AX1038" s="499">
        <v>17.0395</v>
      </c>
    </row>
    <row r="1039" spans="49:50">
      <c r="AW1039" s="511">
        <v>42996</v>
      </c>
      <c r="AX1039" s="499">
        <v>16.845199999999998</v>
      </c>
    </row>
    <row r="1040" spans="49:50">
      <c r="AW1040" s="511">
        <v>42993</v>
      </c>
      <c r="AX1040" s="499">
        <v>16.740600000000001</v>
      </c>
    </row>
    <row r="1041" spans="49:50">
      <c r="AW1041" s="511">
        <v>42992</v>
      </c>
      <c r="AX1041" s="499">
        <v>16.665800000000001</v>
      </c>
    </row>
    <row r="1042" spans="49:50">
      <c r="AW1042" s="511">
        <v>42991</v>
      </c>
      <c r="AX1042" s="499">
        <v>16.680800000000001</v>
      </c>
    </row>
    <row r="1043" spans="49:50">
      <c r="AW1043" s="511">
        <v>42990</v>
      </c>
      <c r="AX1043" s="499">
        <v>16.381799999999998</v>
      </c>
    </row>
    <row r="1044" spans="49:50">
      <c r="AW1044" s="511">
        <v>42989</v>
      </c>
      <c r="AX1044" s="499">
        <v>16.322099999999999</v>
      </c>
    </row>
    <row r="1045" spans="49:50">
      <c r="AW1045" s="511">
        <v>42986</v>
      </c>
      <c r="AX1045" s="499">
        <v>16.381799999999998</v>
      </c>
    </row>
    <row r="1046" spans="49:50">
      <c r="AW1046" s="511">
        <v>42985</v>
      </c>
      <c r="AX1046" s="499">
        <v>16.068000000000001</v>
      </c>
    </row>
    <row r="1047" spans="49:50">
      <c r="AW1047" s="511">
        <v>42984</v>
      </c>
      <c r="AX1047" s="499">
        <v>15.9932</v>
      </c>
    </row>
    <row r="1048" spans="49:50">
      <c r="AW1048" s="511">
        <v>42983</v>
      </c>
      <c r="AX1048" s="499">
        <v>16.082899999999999</v>
      </c>
    </row>
    <row r="1049" spans="49:50">
      <c r="AW1049" s="511">
        <v>42979</v>
      </c>
      <c r="AX1049" s="499">
        <v>16.142700000000001</v>
      </c>
    </row>
    <row r="1050" spans="49:50">
      <c r="AW1050" s="511">
        <v>42978</v>
      </c>
      <c r="AX1050" s="499">
        <v>16.068000000000001</v>
      </c>
    </row>
    <row r="1051" spans="49:50">
      <c r="AW1051" s="511">
        <v>42977</v>
      </c>
      <c r="AX1051" s="499">
        <v>16.068000000000001</v>
      </c>
    </row>
    <row r="1052" spans="49:50">
      <c r="AW1052" s="511">
        <v>42976</v>
      </c>
      <c r="AX1052" s="499">
        <v>15.7989</v>
      </c>
    </row>
    <row r="1053" spans="49:50">
      <c r="AW1053" s="511">
        <v>42975</v>
      </c>
      <c r="AX1053" s="499">
        <v>15.6943</v>
      </c>
    </row>
    <row r="1054" spans="49:50">
      <c r="AW1054" s="511">
        <v>42972</v>
      </c>
      <c r="AX1054" s="499">
        <v>15.5448</v>
      </c>
    </row>
    <row r="1055" spans="49:50">
      <c r="AW1055" s="511">
        <v>42971</v>
      </c>
      <c r="AX1055" s="499">
        <v>15.634499999999999</v>
      </c>
    </row>
    <row r="1056" spans="49:50">
      <c r="AW1056" s="511">
        <v>42970</v>
      </c>
      <c r="AX1056" s="499">
        <v>15.5</v>
      </c>
    </row>
    <row r="1057" spans="49:50">
      <c r="AW1057" s="511">
        <v>42969</v>
      </c>
      <c r="AX1057" s="499">
        <v>15.5</v>
      </c>
    </row>
    <row r="1058" spans="49:50">
      <c r="AW1058" s="511">
        <v>42968</v>
      </c>
      <c r="AX1058" s="499">
        <v>15.6196</v>
      </c>
    </row>
    <row r="1059" spans="49:50">
      <c r="AW1059" s="511">
        <v>42965</v>
      </c>
      <c r="AX1059" s="499">
        <v>15.664400000000001</v>
      </c>
    </row>
    <row r="1060" spans="49:50">
      <c r="AW1060" s="511">
        <v>42964</v>
      </c>
      <c r="AX1060" s="499">
        <v>15.5747</v>
      </c>
    </row>
    <row r="1061" spans="49:50">
      <c r="AW1061" s="511">
        <v>42963</v>
      </c>
      <c r="AX1061" s="499">
        <v>15.739100000000001</v>
      </c>
    </row>
    <row r="1062" spans="49:50">
      <c r="AW1062" s="511">
        <v>42962</v>
      </c>
      <c r="AX1062" s="499">
        <v>15.754099999999999</v>
      </c>
    </row>
    <row r="1063" spans="49:50">
      <c r="AW1063" s="511">
        <v>42961</v>
      </c>
      <c r="AX1063" s="499">
        <v>15.620799999999999</v>
      </c>
    </row>
    <row r="1064" spans="49:50">
      <c r="AW1064" s="511">
        <v>42958</v>
      </c>
      <c r="AX1064" s="499">
        <v>15.546799999999999</v>
      </c>
    </row>
    <row r="1065" spans="49:50">
      <c r="AW1065" s="511">
        <v>42957</v>
      </c>
      <c r="AX1065" s="499">
        <v>15.413500000000001</v>
      </c>
    </row>
    <row r="1066" spans="49:50">
      <c r="AW1066" s="511">
        <v>42956</v>
      </c>
      <c r="AX1066" s="499">
        <v>15.2507</v>
      </c>
    </row>
    <row r="1067" spans="49:50">
      <c r="AW1067" s="511">
        <v>42955</v>
      </c>
      <c r="AX1067" s="499">
        <v>15.5764</v>
      </c>
    </row>
    <row r="1068" spans="49:50">
      <c r="AW1068" s="511">
        <v>42954</v>
      </c>
      <c r="AX1068" s="499">
        <v>15.917</v>
      </c>
    </row>
    <row r="1069" spans="49:50">
      <c r="AW1069" s="511">
        <v>42951</v>
      </c>
      <c r="AX1069" s="499">
        <v>15.917</v>
      </c>
    </row>
    <row r="1070" spans="49:50">
      <c r="AW1070" s="511">
        <v>42950</v>
      </c>
      <c r="AX1070" s="499">
        <v>15.5764</v>
      </c>
    </row>
    <row r="1071" spans="49:50">
      <c r="AW1071" s="511">
        <v>42949</v>
      </c>
      <c r="AX1071" s="499">
        <v>15.3987</v>
      </c>
    </row>
    <row r="1072" spans="49:50">
      <c r="AW1072" s="511">
        <v>42948</v>
      </c>
      <c r="AX1072" s="499">
        <v>15.546799999999999</v>
      </c>
    </row>
    <row r="1073" spans="49:50">
      <c r="AW1073" s="511">
        <v>42947</v>
      </c>
      <c r="AX1073" s="499">
        <v>15.383900000000001</v>
      </c>
    </row>
    <row r="1074" spans="49:50">
      <c r="AW1074" s="511">
        <v>42944</v>
      </c>
      <c r="AX1074" s="499">
        <v>15.265499999999999</v>
      </c>
    </row>
    <row r="1075" spans="49:50">
      <c r="AW1075" s="511">
        <v>42943</v>
      </c>
      <c r="AX1075" s="499">
        <v>14.954499999999999</v>
      </c>
    </row>
    <row r="1076" spans="49:50">
      <c r="AW1076" s="511">
        <v>42942</v>
      </c>
      <c r="AX1076" s="499">
        <v>15.028600000000001</v>
      </c>
    </row>
    <row r="1077" spans="49:50">
      <c r="AW1077" s="511">
        <v>42941</v>
      </c>
      <c r="AX1077" s="499">
        <v>14.4215</v>
      </c>
    </row>
    <row r="1078" spans="49:50">
      <c r="AW1078" s="511">
        <v>42940</v>
      </c>
      <c r="AX1078" s="499">
        <v>14.3919</v>
      </c>
    </row>
    <row r="1079" spans="49:50">
      <c r="AW1079" s="511">
        <v>42937</v>
      </c>
      <c r="AX1079" s="499">
        <v>14.3475</v>
      </c>
    </row>
    <row r="1080" spans="49:50">
      <c r="AW1080" s="511">
        <v>42936</v>
      </c>
      <c r="AX1080" s="499">
        <v>14.406700000000001</v>
      </c>
    </row>
    <row r="1081" spans="49:50">
      <c r="AW1081" s="511">
        <v>42935</v>
      </c>
      <c r="AX1081" s="499">
        <v>14.332700000000001</v>
      </c>
    </row>
    <row r="1082" spans="49:50">
      <c r="AW1082" s="511">
        <v>42934</v>
      </c>
      <c r="AX1082" s="499">
        <v>14.199400000000001</v>
      </c>
    </row>
    <row r="1083" spans="49:50">
      <c r="AW1083" s="511">
        <v>42933</v>
      </c>
      <c r="AX1083" s="499">
        <v>14.2142</v>
      </c>
    </row>
    <row r="1084" spans="49:50">
      <c r="AW1084" s="511">
        <v>42930</v>
      </c>
      <c r="AX1084" s="499">
        <v>14.406700000000001</v>
      </c>
    </row>
    <row r="1085" spans="49:50">
      <c r="AW1085" s="511">
        <v>42929</v>
      </c>
      <c r="AX1085" s="499">
        <v>14.406700000000001</v>
      </c>
    </row>
    <row r="1086" spans="49:50">
      <c r="AW1086" s="511">
        <v>42928</v>
      </c>
      <c r="AX1086" s="499">
        <v>14.510300000000001</v>
      </c>
    </row>
    <row r="1087" spans="49:50">
      <c r="AW1087" s="511">
        <v>42927</v>
      </c>
      <c r="AX1087" s="499">
        <v>14.154999999999999</v>
      </c>
    </row>
    <row r="1088" spans="49:50">
      <c r="AW1088" s="511">
        <v>42926</v>
      </c>
      <c r="AX1088" s="499">
        <v>14.1698</v>
      </c>
    </row>
    <row r="1089" spans="49:50">
      <c r="AW1089" s="511">
        <v>42923</v>
      </c>
      <c r="AX1089" s="499">
        <v>14.6584</v>
      </c>
    </row>
    <row r="1090" spans="49:50">
      <c r="AW1090" s="511">
        <v>42922</v>
      </c>
      <c r="AX1090" s="499">
        <v>14.6584</v>
      </c>
    </row>
    <row r="1091" spans="49:50">
      <c r="AW1091" s="511">
        <v>42921</v>
      </c>
      <c r="AX1091" s="499">
        <v>15.0878</v>
      </c>
    </row>
    <row r="1092" spans="49:50">
      <c r="AW1092" s="511">
        <v>42920</v>
      </c>
      <c r="AX1092" s="499">
        <v>15.2507</v>
      </c>
    </row>
    <row r="1093" spans="49:50">
      <c r="AW1093" s="511">
        <v>42919</v>
      </c>
      <c r="AX1093" s="499">
        <v>15.3247</v>
      </c>
    </row>
    <row r="1094" spans="49:50">
      <c r="AW1094" s="511">
        <v>42916</v>
      </c>
      <c r="AX1094" s="499">
        <v>15.073</v>
      </c>
    </row>
    <row r="1095" spans="49:50">
      <c r="AW1095" s="511">
        <v>42915</v>
      </c>
      <c r="AX1095" s="499">
        <v>16.532599999999999</v>
      </c>
    </row>
    <row r="1096" spans="49:50">
      <c r="AW1096" s="511">
        <v>42914</v>
      </c>
      <c r="AX1096" s="499">
        <v>16.516400000000001</v>
      </c>
    </row>
    <row r="1097" spans="49:50">
      <c r="AW1097" s="511">
        <v>42913</v>
      </c>
      <c r="AX1097" s="499">
        <v>16.532599999999999</v>
      </c>
    </row>
    <row r="1098" spans="49:50">
      <c r="AW1098" s="511">
        <v>42912</v>
      </c>
      <c r="AX1098" s="499">
        <v>16.8567</v>
      </c>
    </row>
    <row r="1099" spans="49:50">
      <c r="AW1099" s="511">
        <v>42909</v>
      </c>
      <c r="AX1099" s="499">
        <v>16.532599999999999</v>
      </c>
    </row>
    <row r="1100" spans="49:50">
      <c r="AW1100" s="511">
        <v>42908</v>
      </c>
      <c r="AX1100" s="499">
        <v>15.9329</v>
      </c>
    </row>
    <row r="1101" spans="49:50">
      <c r="AW1101" s="511">
        <v>42907</v>
      </c>
      <c r="AX1101" s="499">
        <v>15.673500000000001</v>
      </c>
    </row>
    <row r="1102" spans="49:50">
      <c r="AW1102" s="511">
        <v>42906</v>
      </c>
      <c r="AX1102" s="499">
        <v>15.6411</v>
      </c>
    </row>
    <row r="1103" spans="49:50">
      <c r="AW1103" s="511">
        <v>42905</v>
      </c>
      <c r="AX1103" s="499">
        <v>15.5601</v>
      </c>
    </row>
    <row r="1104" spans="49:50">
      <c r="AW1104" s="511">
        <v>42902</v>
      </c>
      <c r="AX1104" s="499">
        <v>15.6411</v>
      </c>
    </row>
    <row r="1105" spans="49:50">
      <c r="AW1105" s="511">
        <v>42901</v>
      </c>
      <c r="AX1105" s="499">
        <v>15.6411</v>
      </c>
    </row>
    <row r="1106" spans="49:50">
      <c r="AW1106" s="511">
        <v>42900</v>
      </c>
      <c r="AX1106" s="499">
        <v>15.4466</v>
      </c>
    </row>
    <row r="1107" spans="49:50">
      <c r="AW1107" s="511">
        <v>42899</v>
      </c>
      <c r="AX1107" s="499">
        <v>15.527699999999999</v>
      </c>
    </row>
    <row r="1108" spans="49:50">
      <c r="AW1108" s="511">
        <v>42898</v>
      </c>
      <c r="AX1108" s="499">
        <v>15.6411</v>
      </c>
    </row>
    <row r="1109" spans="49:50">
      <c r="AW1109" s="511">
        <v>42895</v>
      </c>
      <c r="AX1109" s="499">
        <v>15.868</v>
      </c>
    </row>
    <row r="1110" spans="49:50">
      <c r="AW1110" s="511">
        <v>42894</v>
      </c>
      <c r="AX1110" s="499">
        <v>15.916700000000001</v>
      </c>
    </row>
    <row r="1111" spans="49:50">
      <c r="AW1111" s="511">
        <v>42893</v>
      </c>
      <c r="AX1111" s="499">
        <v>15.7059</v>
      </c>
    </row>
    <row r="1112" spans="49:50">
      <c r="AW1112" s="511">
        <v>42892</v>
      </c>
      <c r="AX1112" s="499">
        <v>15.8194</v>
      </c>
    </row>
    <row r="1113" spans="49:50">
      <c r="AW1113" s="511">
        <v>42891</v>
      </c>
      <c r="AX1113" s="499">
        <v>15.4466</v>
      </c>
    </row>
    <row r="1114" spans="49:50">
      <c r="AW1114" s="511">
        <v>42888</v>
      </c>
      <c r="AX1114" s="499">
        <v>15.5601</v>
      </c>
    </row>
    <row r="1115" spans="49:50">
      <c r="AW1115" s="511">
        <v>42887</v>
      </c>
      <c r="AX1115" s="499">
        <v>15.592499999999999</v>
      </c>
    </row>
    <row r="1116" spans="49:50">
      <c r="AW1116" s="511">
        <v>42886</v>
      </c>
      <c r="AX1116" s="499">
        <v>15.4466</v>
      </c>
    </row>
    <row r="1117" spans="49:50">
      <c r="AW1117" s="511">
        <v>42885</v>
      </c>
      <c r="AX1117" s="499">
        <v>15.398</v>
      </c>
    </row>
    <row r="1118" spans="49:50">
      <c r="AW1118" s="511">
        <v>42884</v>
      </c>
      <c r="AX1118" s="499">
        <v>15.6411</v>
      </c>
    </row>
    <row r="1119" spans="49:50">
      <c r="AW1119" s="511">
        <v>42881</v>
      </c>
      <c r="AX1119" s="499">
        <v>15.722200000000001</v>
      </c>
    </row>
    <row r="1120" spans="49:50">
      <c r="AW1120" s="511">
        <v>42880</v>
      </c>
      <c r="AX1120" s="499">
        <v>15.543900000000001</v>
      </c>
    </row>
    <row r="1121" spans="49:50">
      <c r="AW1121" s="511">
        <v>42879</v>
      </c>
      <c r="AX1121" s="499">
        <v>15.868</v>
      </c>
    </row>
    <row r="1122" spans="49:50">
      <c r="AW1122" s="511">
        <v>42878</v>
      </c>
      <c r="AX1122" s="499">
        <v>15.235900000000001</v>
      </c>
    </row>
    <row r="1123" spans="49:50">
      <c r="AW1123" s="511">
        <v>42877</v>
      </c>
      <c r="AX1123" s="499">
        <v>15.235900000000001</v>
      </c>
    </row>
    <row r="1124" spans="49:50">
      <c r="AW1124" s="511">
        <v>42874</v>
      </c>
      <c r="AX1124" s="499">
        <v>15.171099999999999</v>
      </c>
    </row>
    <row r="1125" spans="49:50">
      <c r="AW1125" s="511">
        <v>42873</v>
      </c>
      <c r="AX1125" s="499">
        <v>14.992800000000001</v>
      </c>
    </row>
    <row r="1126" spans="49:50">
      <c r="AW1126" s="511">
        <v>42872</v>
      </c>
      <c r="AX1126" s="499">
        <v>14.927899999999999</v>
      </c>
    </row>
    <row r="1127" spans="49:50">
      <c r="AW1127" s="511">
        <v>42871</v>
      </c>
      <c r="AX1127" s="499">
        <v>14.5389</v>
      </c>
    </row>
    <row r="1128" spans="49:50">
      <c r="AW1128" s="511">
        <v>42870</v>
      </c>
      <c r="AX1128" s="499">
        <v>15.004799999999999</v>
      </c>
    </row>
    <row r="1129" spans="49:50">
      <c r="AW1129" s="511">
        <v>42867</v>
      </c>
      <c r="AX1129" s="499">
        <v>14.7478</v>
      </c>
    </row>
    <row r="1130" spans="49:50">
      <c r="AW1130" s="511">
        <v>42866</v>
      </c>
      <c r="AX1130" s="499">
        <v>14.4747</v>
      </c>
    </row>
    <row r="1131" spans="49:50">
      <c r="AW1131" s="511">
        <v>42865</v>
      </c>
      <c r="AX1131" s="499">
        <v>14.7799</v>
      </c>
    </row>
    <row r="1132" spans="49:50">
      <c r="AW1132" s="511">
        <v>42864</v>
      </c>
      <c r="AX1132" s="499">
        <v>15.294</v>
      </c>
    </row>
    <row r="1133" spans="49:50">
      <c r="AW1133" s="511">
        <v>42863</v>
      </c>
      <c r="AX1133" s="499">
        <v>15.261900000000001</v>
      </c>
    </row>
    <row r="1134" spans="49:50">
      <c r="AW1134" s="511">
        <v>42860</v>
      </c>
      <c r="AX1134" s="499">
        <v>15.229699999999999</v>
      </c>
    </row>
    <row r="1135" spans="49:50">
      <c r="AW1135" s="511">
        <v>42859</v>
      </c>
      <c r="AX1135" s="499">
        <v>14.9245</v>
      </c>
    </row>
    <row r="1136" spans="49:50">
      <c r="AW1136" s="511">
        <v>42858</v>
      </c>
      <c r="AX1136" s="499">
        <v>14.619300000000001</v>
      </c>
    </row>
    <row r="1137" spans="49:50">
      <c r="AW1137" s="511">
        <v>42853</v>
      </c>
      <c r="AX1137" s="499">
        <v>14.1212</v>
      </c>
    </row>
    <row r="1138" spans="49:50">
      <c r="AW1138" s="511">
        <v>42852</v>
      </c>
      <c r="AX1138" s="499">
        <v>14.298</v>
      </c>
    </row>
    <row r="1139" spans="49:50">
      <c r="AW1139" s="511">
        <v>42851</v>
      </c>
      <c r="AX1139" s="499">
        <v>13.8963</v>
      </c>
    </row>
    <row r="1140" spans="49:50">
      <c r="AW1140" s="511">
        <v>42850</v>
      </c>
      <c r="AX1140" s="499">
        <v>13.816000000000001</v>
      </c>
    </row>
    <row r="1141" spans="49:50">
      <c r="AW1141" s="511">
        <v>42849</v>
      </c>
      <c r="AX1141" s="499">
        <v>14.024900000000001</v>
      </c>
    </row>
    <row r="1142" spans="49:50">
      <c r="AW1142" s="511">
        <v>42846</v>
      </c>
      <c r="AX1142" s="499">
        <v>13.4947</v>
      </c>
    </row>
    <row r="1143" spans="49:50">
      <c r="AW1143" s="511">
        <v>42845</v>
      </c>
      <c r="AX1143" s="499">
        <v>13.2698</v>
      </c>
    </row>
    <row r="1144" spans="49:50">
      <c r="AW1144" s="511">
        <v>42844</v>
      </c>
      <c r="AX1144" s="499">
        <v>12.948499999999999</v>
      </c>
    </row>
    <row r="1145" spans="49:50">
      <c r="AW1145" s="511">
        <v>42843</v>
      </c>
      <c r="AX1145" s="499">
        <v>12.113099999999999</v>
      </c>
    </row>
    <row r="1146" spans="49:50">
      <c r="AW1146" s="511">
        <v>42842</v>
      </c>
      <c r="AX1146" s="499">
        <v>12.0167</v>
      </c>
    </row>
    <row r="1147" spans="49:50">
      <c r="AW1147" s="511">
        <v>42839</v>
      </c>
      <c r="AX1147" s="499">
        <v>12.2738</v>
      </c>
    </row>
    <row r="1148" spans="49:50">
      <c r="AW1148" s="511">
        <v>42838</v>
      </c>
      <c r="AX1148" s="499">
        <v>12.4505</v>
      </c>
    </row>
    <row r="1149" spans="49:50">
      <c r="AW1149" s="511">
        <v>42837</v>
      </c>
      <c r="AX1149" s="499">
        <v>12.354100000000001</v>
      </c>
    </row>
    <row r="1150" spans="49:50">
      <c r="AW1150" s="511">
        <v>42836</v>
      </c>
      <c r="AX1150" s="499">
        <v>12.354100000000001</v>
      </c>
    </row>
    <row r="1151" spans="49:50">
      <c r="AW1151" s="511">
        <v>42835</v>
      </c>
      <c r="AX1151" s="499">
        <v>12.2095</v>
      </c>
    </row>
    <row r="1152" spans="49:50">
      <c r="AW1152" s="511">
        <v>42832</v>
      </c>
      <c r="AX1152" s="499">
        <v>11.952500000000001</v>
      </c>
    </row>
    <row r="1153" spans="49:50">
      <c r="AW1153" s="511">
        <v>42830</v>
      </c>
      <c r="AX1153" s="499">
        <v>11.888199999999999</v>
      </c>
    </row>
    <row r="1154" spans="49:50">
      <c r="AW1154" s="511">
        <v>42829</v>
      </c>
      <c r="AX1154" s="499">
        <v>11.904299999999999</v>
      </c>
    </row>
    <row r="1155" spans="49:50">
      <c r="AW1155" s="511">
        <v>42828</v>
      </c>
      <c r="AX1155" s="499">
        <v>11.904299999999999</v>
      </c>
    </row>
    <row r="1156" spans="49:50">
      <c r="AW1156" s="511">
        <v>42825</v>
      </c>
      <c r="AX1156" s="499">
        <v>12.1774</v>
      </c>
    </row>
    <row r="1157" spans="49:50">
      <c r="AW1157" s="511">
        <v>42824</v>
      </c>
      <c r="AX1157" s="499">
        <v>15.542400000000001</v>
      </c>
    </row>
    <row r="1158" spans="49:50">
      <c r="AW1158" s="511">
        <v>42823</v>
      </c>
      <c r="AX1158" s="499">
        <v>15.6668</v>
      </c>
    </row>
    <row r="1159" spans="49:50">
      <c r="AW1159" s="511">
        <v>42822</v>
      </c>
      <c r="AX1159" s="499">
        <v>15.273</v>
      </c>
    </row>
    <row r="1160" spans="49:50">
      <c r="AW1160" s="511">
        <v>42821</v>
      </c>
      <c r="AX1160" s="499">
        <v>15.273</v>
      </c>
    </row>
    <row r="1161" spans="49:50">
      <c r="AW1161" s="511">
        <v>42818</v>
      </c>
      <c r="AX1161" s="499">
        <v>15.4595</v>
      </c>
    </row>
    <row r="1162" spans="49:50">
      <c r="AW1162" s="511">
        <v>42817</v>
      </c>
      <c r="AX1162" s="499">
        <v>15.438800000000001</v>
      </c>
    </row>
    <row r="1163" spans="49:50">
      <c r="AW1163" s="511">
        <v>42816</v>
      </c>
      <c r="AX1163" s="499">
        <v>15.4595</v>
      </c>
    </row>
    <row r="1164" spans="49:50">
      <c r="AW1164" s="511">
        <v>42815</v>
      </c>
      <c r="AX1164" s="499">
        <v>15.936199999999999</v>
      </c>
    </row>
    <row r="1165" spans="49:50">
      <c r="AW1165" s="511">
        <v>42814</v>
      </c>
      <c r="AX1165" s="499">
        <v>15.936199999999999</v>
      </c>
    </row>
    <row r="1166" spans="49:50">
      <c r="AW1166" s="511">
        <v>42811</v>
      </c>
      <c r="AX1166" s="499">
        <v>15.7911</v>
      </c>
    </row>
    <row r="1167" spans="49:50">
      <c r="AW1167" s="511">
        <v>42810</v>
      </c>
      <c r="AX1167" s="499">
        <v>15.7082</v>
      </c>
    </row>
    <row r="1168" spans="49:50">
      <c r="AW1168" s="511">
        <v>42809</v>
      </c>
      <c r="AX1168" s="499">
        <v>15.8947</v>
      </c>
    </row>
    <row r="1169" spans="49:50">
      <c r="AW1169" s="511">
        <v>42808</v>
      </c>
      <c r="AX1169" s="499">
        <v>16.122699999999998</v>
      </c>
    </row>
    <row r="1170" spans="49:50">
      <c r="AW1170" s="511">
        <v>42807</v>
      </c>
      <c r="AX1170" s="499">
        <v>16.060500000000001</v>
      </c>
    </row>
    <row r="1171" spans="49:50">
      <c r="AW1171" s="511">
        <v>42804</v>
      </c>
      <c r="AX1171" s="499">
        <v>16.288499999999999</v>
      </c>
    </row>
    <row r="1172" spans="49:50">
      <c r="AW1172" s="511">
        <v>42803</v>
      </c>
      <c r="AX1172" s="499">
        <v>16.3506</v>
      </c>
    </row>
    <row r="1173" spans="49:50">
      <c r="AW1173" s="511">
        <v>42802</v>
      </c>
      <c r="AX1173" s="499">
        <v>16.122699999999998</v>
      </c>
    </row>
    <row r="1174" spans="49:50">
      <c r="AW1174" s="511">
        <v>42801</v>
      </c>
      <c r="AX1174" s="499">
        <v>15.853300000000001</v>
      </c>
    </row>
    <row r="1175" spans="49:50">
      <c r="AW1175" s="511">
        <v>42800</v>
      </c>
      <c r="AX1175" s="499">
        <v>15.8118</v>
      </c>
    </row>
    <row r="1176" spans="49:50">
      <c r="AW1176" s="511">
        <v>42797</v>
      </c>
      <c r="AX1176" s="499">
        <v>15.9155</v>
      </c>
    </row>
    <row r="1177" spans="49:50">
      <c r="AW1177" s="511">
        <v>42796</v>
      </c>
      <c r="AX1177" s="499">
        <v>15.7704</v>
      </c>
    </row>
    <row r="1178" spans="49:50">
      <c r="AW1178" s="511">
        <v>42795</v>
      </c>
      <c r="AX1178" s="499">
        <v>15.646000000000001</v>
      </c>
    </row>
    <row r="1179" spans="49:50">
      <c r="AW1179" s="511">
        <v>42794</v>
      </c>
      <c r="AX1179" s="499">
        <v>15.542400000000001</v>
      </c>
    </row>
    <row r="1180" spans="49:50">
      <c r="AW1180" s="511">
        <v>42793</v>
      </c>
      <c r="AX1180" s="499">
        <v>16.060500000000001</v>
      </c>
    </row>
    <row r="1181" spans="49:50">
      <c r="AW1181" s="511">
        <v>42790</v>
      </c>
      <c r="AX1181" s="499">
        <v>15.7911</v>
      </c>
    </row>
    <row r="1182" spans="49:50">
      <c r="AW1182" s="511">
        <v>42789</v>
      </c>
      <c r="AX1182" s="499">
        <v>15.7082</v>
      </c>
    </row>
    <row r="1183" spans="49:50">
      <c r="AW1183" s="511">
        <v>42788</v>
      </c>
      <c r="AX1183" s="499">
        <v>15.936199999999999</v>
      </c>
    </row>
    <row r="1184" spans="49:50">
      <c r="AW1184" s="511">
        <v>42787</v>
      </c>
      <c r="AX1184" s="499">
        <v>16.102</v>
      </c>
    </row>
    <row r="1185" spans="49:50">
      <c r="AW1185" s="511">
        <v>42786</v>
      </c>
      <c r="AX1185" s="499">
        <v>16.247</v>
      </c>
    </row>
    <row r="1186" spans="49:50">
      <c r="AW1186" s="511">
        <v>42783</v>
      </c>
      <c r="AX1186" s="499">
        <v>15.542400000000001</v>
      </c>
    </row>
    <row r="1187" spans="49:50">
      <c r="AW1187" s="511">
        <v>42782</v>
      </c>
      <c r="AX1187" s="499">
        <v>15.3766</v>
      </c>
    </row>
    <row r="1188" spans="49:50">
      <c r="AW1188" s="511">
        <v>42781</v>
      </c>
      <c r="AX1188" s="499">
        <v>15.521699999999999</v>
      </c>
    </row>
    <row r="1189" spans="49:50">
      <c r="AW1189" s="511">
        <v>42780</v>
      </c>
      <c r="AX1189" s="499">
        <v>15.5632</v>
      </c>
    </row>
    <row r="1190" spans="49:50">
      <c r="AW1190" s="511">
        <v>42779</v>
      </c>
      <c r="AX1190" s="499">
        <v>15.646000000000001</v>
      </c>
    </row>
    <row r="1191" spans="49:50">
      <c r="AW1191" s="511">
        <v>42776</v>
      </c>
      <c r="AX1191" s="499">
        <v>15.3559</v>
      </c>
    </row>
    <row r="1192" spans="49:50">
      <c r="AW1192" s="511">
        <v>42775</v>
      </c>
      <c r="AX1192" s="499">
        <v>15.0036</v>
      </c>
    </row>
    <row r="1193" spans="49:50">
      <c r="AW1193" s="511">
        <v>42774</v>
      </c>
      <c r="AX1193" s="499">
        <v>15.128</v>
      </c>
    </row>
    <row r="1194" spans="49:50">
      <c r="AW1194" s="511">
        <v>42773</v>
      </c>
      <c r="AX1194" s="499">
        <v>15.0451</v>
      </c>
    </row>
    <row r="1195" spans="49:50">
      <c r="AW1195" s="511">
        <v>42772</v>
      </c>
      <c r="AX1195" s="499">
        <v>14.754899999999999</v>
      </c>
    </row>
    <row r="1196" spans="49:50">
      <c r="AW1196" s="511">
        <v>42769</v>
      </c>
      <c r="AX1196" s="499">
        <v>14.526999999999999</v>
      </c>
    </row>
    <row r="1197" spans="49:50">
      <c r="AW1197" s="511">
        <v>42768</v>
      </c>
      <c r="AX1197" s="499">
        <v>14.6099</v>
      </c>
    </row>
    <row r="1198" spans="49:50">
      <c r="AW1198" s="511">
        <v>42760</v>
      </c>
      <c r="AX1198" s="499">
        <v>14.298999999999999</v>
      </c>
    </row>
    <row r="1199" spans="49:50">
      <c r="AW1199" s="511">
        <v>42759</v>
      </c>
      <c r="AX1199" s="499">
        <v>14.216100000000001</v>
      </c>
    </row>
    <row r="1200" spans="49:50">
      <c r="AW1200" s="511">
        <v>42758</v>
      </c>
      <c r="AX1200" s="499">
        <v>14.2783</v>
      </c>
    </row>
    <row r="1201" spans="49:50">
      <c r="AW1201" s="511">
        <v>42755</v>
      </c>
      <c r="AX1201" s="499">
        <v>14.2783</v>
      </c>
    </row>
    <row r="1202" spans="49:50">
      <c r="AW1202" s="511">
        <v>42754</v>
      </c>
      <c r="AX1202" s="499">
        <v>14.2783</v>
      </c>
    </row>
    <row r="1203" spans="49:50">
      <c r="AW1203" s="511">
        <v>42753</v>
      </c>
      <c r="AX1203" s="499">
        <v>14.2783</v>
      </c>
    </row>
    <row r="1204" spans="49:50">
      <c r="AW1204" s="511">
        <v>42752</v>
      </c>
      <c r="AX1204" s="499">
        <v>14.216100000000001</v>
      </c>
    </row>
    <row r="1205" spans="49:50">
      <c r="AW1205" s="511">
        <v>42751</v>
      </c>
      <c r="AX1205" s="499">
        <v>14.2576</v>
      </c>
    </row>
    <row r="1206" spans="49:50">
      <c r="AW1206" s="511">
        <v>42748</v>
      </c>
      <c r="AX1206" s="499">
        <v>14.319800000000001</v>
      </c>
    </row>
    <row r="1207" spans="49:50">
      <c r="AW1207" s="511">
        <v>42747</v>
      </c>
      <c r="AX1207" s="499">
        <v>14.3819</v>
      </c>
    </row>
    <row r="1208" spans="49:50">
      <c r="AW1208" s="511">
        <v>42746</v>
      </c>
      <c r="AX1208" s="499">
        <v>14.3819</v>
      </c>
    </row>
    <row r="1209" spans="49:50">
      <c r="AW1209" s="511">
        <v>42745</v>
      </c>
      <c r="AX1209" s="499">
        <v>14.4648</v>
      </c>
    </row>
    <row r="1210" spans="49:50">
      <c r="AW1210" s="511">
        <v>42744</v>
      </c>
      <c r="AX1210" s="499">
        <v>14.4855</v>
      </c>
    </row>
    <row r="1211" spans="49:50">
      <c r="AW1211" s="511">
        <v>42741</v>
      </c>
      <c r="AX1211" s="499">
        <v>14.2783</v>
      </c>
    </row>
    <row r="1212" spans="49:50">
      <c r="AW1212" s="511">
        <v>42740</v>
      </c>
      <c r="AX1212" s="499">
        <v>13.884600000000001</v>
      </c>
    </row>
    <row r="1213" spans="49:50">
      <c r="AW1213" s="511">
        <v>42739</v>
      </c>
      <c r="AX1213" s="499">
        <v>13.863799999999999</v>
      </c>
    </row>
    <row r="1214" spans="49:50">
      <c r="AW1214" s="511">
        <v>42738</v>
      </c>
      <c r="AX1214" s="499">
        <v>13.8224</v>
      </c>
    </row>
    <row r="1215" spans="49:50">
      <c r="AW1215" s="511">
        <v>42734</v>
      </c>
      <c r="AX1215" s="499">
        <v>13.781000000000001</v>
      </c>
    </row>
    <row r="1216" spans="49:50">
      <c r="AW1216" s="511">
        <v>42733</v>
      </c>
      <c r="AX1216" s="499">
        <v>40.399500000000003</v>
      </c>
    </row>
    <row r="1217" spans="49:50">
      <c r="AW1217" s="511">
        <v>42732</v>
      </c>
      <c r="AX1217" s="499">
        <v>40.4602</v>
      </c>
    </row>
    <row r="1218" spans="49:50">
      <c r="AW1218" s="511">
        <v>42731</v>
      </c>
      <c r="AX1218" s="499">
        <v>40.703200000000002</v>
      </c>
    </row>
    <row r="1219" spans="49:50">
      <c r="AW1219" s="511">
        <v>42730</v>
      </c>
      <c r="AX1219" s="499">
        <v>40.703200000000002</v>
      </c>
    </row>
    <row r="1220" spans="49:50">
      <c r="AW1220" s="511">
        <v>42727</v>
      </c>
      <c r="AX1220" s="499">
        <v>41.006999999999998</v>
      </c>
    </row>
    <row r="1221" spans="49:50">
      <c r="AW1221" s="511">
        <v>42726</v>
      </c>
      <c r="AX1221" s="499">
        <v>41.067700000000002</v>
      </c>
    </row>
    <row r="1222" spans="49:50">
      <c r="AW1222" s="511">
        <v>42725</v>
      </c>
      <c r="AX1222" s="499">
        <v>41.371499999999997</v>
      </c>
    </row>
    <row r="1223" spans="49:50">
      <c r="AW1223" s="511">
        <v>42724</v>
      </c>
      <c r="AX1223" s="499">
        <v>41.310699999999997</v>
      </c>
    </row>
    <row r="1224" spans="49:50">
      <c r="AW1224" s="511">
        <v>42723</v>
      </c>
      <c r="AX1224" s="499">
        <v>41.310699999999997</v>
      </c>
    </row>
    <row r="1225" spans="49:50">
      <c r="AW1225" s="511">
        <v>42720</v>
      </c>
      <c r="AX1225" s="499">
        <v>41.493000000000002</v>
      </c>
    </row>
    <row r="1226" spans="49:50">
      <c r="AW1226" s="511">
        <v>42719</v>
      </c>
      <c r="AX1226" s="499">
        <v>41.493000000000002</v>
      </c>
    </row>
    <row r="1227" spans="49:50">
      <c r="AW1227" s="511">
        <v>42718</v>
      </c>
      <c r="AX1227" s="499">
        <v>41.25</v>
      </c>
    </row>
    <row r="1228" spans="49:50">
      <c r="AW1228" s="511">
        <v>42717</v>
      </c>
      <c r="AX1228" s="499">
        <v>40.095700000000001</v>
      </c>
    </row>
    <row r="1229" spans="49:50">
      <c r="AW1229" s="511">
        <v>42716</v>
      </c>
      <c r="AX1229" s="499">
        <v>39.792000000000002</v>
      </c>
    </row>
    <row r="1230" spans="49:50">
      <c r="AW1230" s="511">
        <v>42713</v>
      </c>
      <c r="AX1230" s="499">
        <v>41.857500000000002</v>
      </c>
    </row>
    <row r="1231" spans="49:50">
      <c r="AW1231" s="511">
        <v>42712</v>
      </c>
      <c r="AX1231" s="499">
        <v>41.432200000000002</v>
      </c>
    </row>
    <row r="1232" spans="49:50">
      <c r="AW1232" s="511">
        <v>42711</v>
      </c>
      <c r="AX1232" s="499">
        <v>41.857500000000002</v>
      </c>
    </row>
    <row r="1233" spans="49:50">
      <c r="AW1233" s="511">
        <v>42710</v>
      </c>
      <c r="AX1233" s="499">
        <v>41.857500000000002</v>
      </c>
    </row>
    <row r="1234" spans="49:50">
      <c r="AW1234" s="511">
        <v>42709</v>
      </c>
      <c r="AX1234" s="499">
        <v>41.978999999999999</v>
      </c>
    </row>
    <row r="1235" spans="49:50">
      <c r="AW1235" s="511">
        <v>42706</v>
      </c>
      <c r="AX1235" s="499">
        <v>41.978999999999999</v>
      </c>
    </row>
    <row r="1236" spans="49:50">
      <c r="AW1236" s="511">
        <v>42705</v>
      </c>
      <c r="AX1236" s="499">
        <v>41.918199999999999</v>
      </c>
    </row>
    <row r="1237" spans="49:50">
      <c r="AW1237" s="511">
        <v>42704</v>
      </c>
      <c r="AX1237" s="499">
        <v>41.857500000000002</v>
      </c>
    </row>
    <row r="1238" spans="49:50">
      <c r="AW1238" s="511">
        <v>42703</v>
      </c>
      <c r="AX1238" s="499">
        <v>40.642499999999998</v>
      </c>
    </row>
    <row r="1239" spans="49:50">
      <c r="AW1239" s="511">
        <v>42702</v>
      </c>
      <c r="AX1239" s="499">
        <v>42.282800000000002</v>
      </c>
    </row>
    <row r="1240" spans="49:50">
      <c r="AW1240" s="511">
        <v>42699</v>
      </c>
      <c r="AX1240" s="499">
        <v>42.525799999999997</v>
      </c>
    </row>
    <row r="1241" spans="49:50">
      <c r="AW1241" s="511">
        <v>42698</v>
      </c>
      <c r="AX1241" s="499">
        <v>42.707999999999998</v>
      </c>
    </row>
    <row r="1242" spans="49:50">
      <c r="AW1242" s="511">
        <v>42697</v>
      </c>
      <c r="AX1242" s="499">
        <v>41.978999999999999</v>
      </c>
    </row>
    <row r="1243" spans="49:50">
      <c r="AW1243" s="511">
        <v>42696</v>
      </c>
      <c r="AX1243" s="499">
        <v>41.675199999999997</v>
      </c>
    </row>
    <row r="1244" spans="49:50">
      <c r="AW1244" s="511">
        <v>42695</v>
      </c>
      <c r="AX1244" s="499">
        <v>41.435699999999997</v>
      </c>
    </row>
    <row r="1245" spans="49:50">
      <c r="AW1245" s="511">
        <v>42692</v>
      </c>
      <c r="AX1245" s="499">
        <v>41.316000000000003</v>
      </c>
    </row>
    <row r="1246" spans="49:50">
      <c r="AW1246" s="511">
        <v>42691</v>
      </c>
      <c r="AX1246" s="499">
        <v>41.495600000000003</v>
      </c>
    </row>
    <row r="1247" spans="49:50">
      <c r="AW1247" s="511">
        <v>42690</v>
      </c>
      <c r="AX1247" s="499">
        <v>41.316000000000003</v>
      </c>
    </row>
    <row r="1248" spans="49:50">
      <c r="AW1248" s="511">
        <v>42689</v>
      </c>
      <c r="AX1248" s="499">
        <v>41.076500000000003</v>
      </c>
    </row>
    <row r="1249" spans="49:50">
      <c r="AW1249" s="511">
        <v>42688</v>
      </c>
      <c r="AX1249" s="499">
        <v>41.076500000000003</v>
      </c>
    </row>
    <row r="1250" spans="49:50">
      <c r="AW1250" s="511">
        <v>42685</v>
      </c>
      <c r="AX1250" s="499">
        <v>42.214100000000002</v>
      </c>
    </row>
  </sheetData>
  <mergeCells count="5">
    <mergeCell ref="I126:J126"/>
    <mergeCell ref="K89:M89"/>
    <mergeCell ref="I113:J113"/>
    <mergeCell ref="G112:J112"/>
    <mergeCell ref="G113:H113"/>
  </mergeCells>
  <phoneticPr fontId="64" type="noConversion"/>
  <conditionalFormatting sqref="I59 K59:O59 P59:AE60 E60:O60">
    <cfRule type="expression" dxfId="7" priority="23">
      <formula>$G$59=1</formula>
    </cfRule>
  </conditionalFormatting>
  <conditionalFormatting sqref="I65:AE65 I73:AE73">
    <cfRule type="expression" dxfId="6" priority="21">
      <formula>#REF!=1</formula>
    </cfRule>
  </conditionalFormatting>
  <conditionalFormatting sqref="I66:AE67 I74:AE74">
    <cfRule type="expression" dxfId="5" priority="22">
      <formula>#REF!=2</formula>
    </cfRule>
  </conditionalFormatting>
  <conditionalFormatting sqref="AI75:AI77">
    <cfRule type="cellIs" dxfId="4" priority="3" operator="lessThan">
      <formula>0</formula>
    </cfRule>
    <cfRule type="cellIs" dxfId="3" priority="4" operator="greaterThan">
      <formula>0</formula>
    </cfRule>
  </conditionalFormatting>
  <conditionalFormatting sqref="AI81:AI83">
    <cfRule type="cellIs" dxfId="2" priority="1" operator="lessThan">
      <formula>0</formula>
    </cfRule>
    <cfRule type="cellIs" dxfId="1" priority="2" operator="greaterThan">
      <formula>0</formula>
    </cfRule>
  </conditionalFormatting>
  <dataValidations disablePrompts="1" count="5">
    <dataValidation type="whole" allowBlank="1" showInputMessage="1" showErrorMessage="1" promptTitle="Choose P/B (x) Multiple" prompt="1 - Peer Group TTM EV/EBITDA (VietNam)_x000a_2 - Peer Group EV/EBITDA (Emerging Market)" sqref="G73" xr:uid="{00000000-0002-0000-0E00-000000000000}">
      <formula1>1</formula1>
      <formula2>2</formula2>
    </dataValidation>
    <dataValidation type="whole" allowBlank="1" showInputMessage="1" showErrorMessage="1" promptTitle="Choose P/E (x) Multiple" prompt="1 - Peer Group in Vietnam _x000a_2 - Average Historical Plus Std_x000a_3 - Peer Group in Emerging Market" sqref="G59" xr:uid="{00000000-0002-0000-0E00-000001000000}">
      <formula1>1</formula1>
      <formula2>3</formula2>
    </dataValidation>
    <dataValidation type="whole" allowBlank="1" showInputMessage="1" showErrorMessage="1" sqref="WWE983024 JS5 TO5 ADK5 ANG5 AXC5 BGY5 BQU5 CAQ5 CKM5 CUI5 DEE5 DOA5 DXW5 EHS5 ERO5 FBK5 FLG5 FVC5 GEY5 GOU5 GYQ5 HIM5 HSI5 ICE5 IMA5 IVW5 JFS5 JPO5 JZK5 KJG5 KTC5 LCY5 LMU5 LWQ5 MGM5 MQI5 NAE5 NKA5 NTW5 ODS5 ONO5 OXK5 PHG5 PRC5 QAY5 QKU5 QUQ5 REM5 ROI5 RYE5 SIA5 SRW5 TBS5 TLO5 TVK5 UFG5 UPC5 UYY5 VIU5 VSQ5 WCM5 WMI5 WWE5 M65518 JS65520 TO65520 ADK65520 ANG65520 AXC65520 BGY65520 BQU65520 CAQ65520 CKM65520 CUI65520 DEE65520 DOA65520 DXW65520 EHS65520 ERO65520 FBK65520 FLG65520 FVC65520 GEY65520 GOU65520 GYQ65520 HIM65520 HSI65520 ICE65520 IMA65520 IVW65520 JFS65520 JPO65520 JZK65520 KJG65520 KTC65520 LCY65520 LMU65520 LWQ65520 MGM65520 MQI65520 NAE65520 NKA65520 NTW65520 ODS65520 ONO65520 OXK65520 PHG65520 PRC65520 QAY65520 QKU65520 QUQ65520 REM65520 ROI65520 RYE65520 SIA65520 SRW65520 TBS65520 TLO65520 TVK65520 UFG65520 UPC65520 UYY65520 VIU65520 VSQ65520 WCM65520 WMI65520 WWE65520 M131054 JS131056 TO131056 ADK131056 ANG131056 AXC131056 BGY131056 BQU131056 CAQ131056 CKM131056 CUI131056 DEE131056 DOA131056 DXW131056 EHS131056 ERO131056 FBK131056 FLG131056 FVC131056 GEY131056 GOU131056 GYQ131056 HIM131056 HSI131056 ICE131056 IMA131056 IVW131056 JFS131056 JPO131056 JZK131056 KJG131056 KTC131056 LCY131056 LMU131056 LWQ131056 MGM131056 MQI131056 NAE131056 NKA131056 NTW131056 ODS131056 ONO131056 OXK131056 PHG131056 PRC131056 QAY131056 QKU131056 QUQ131056 REM131056 ROI131056 RYE131056 SIA131056 SRW131056 TBS131056 TLO131056 TVK131056 UFG131056 UPC131056 UYY131056 VIU131056 VSQ131056 WCM131056 WMI131056 WWE131056 M196590 JS196592 TO196592 ADK196592 ANG196592 AXC196592 BGY196592 BQU196592 CAQ196592 CKM196592 CUI196592 DEE196592 DOA196592 DXW196592 EHS196592 ERO196592 FBK196592 FLG196592 FVC196592 GEY196592 GOU196592 GYQ196592 HIM196592 HSI196592 ICE196592 IMA196592 IVW196592 JFS196592 JPO196592 JZK196592 KJG196592 KTC196592 LCY196592 LMU196592 LWQ196592 MGM196592 MQI196592 NAE196592 NKA196592 NTW196592 ODS196592 ONO196592 OXK196592 PHG196592 PRC196592 QAY196592 QKU196592 QUQ196592 REM196592 ROI196592 RYE196592 SIA196592 SRW196592 TBS196592 TLO196592 TVK196592 UFG196592 UPC196592 UYY196592 VIU196592 VSQ196592 WCM196592 WMI196592 WWE196592 M262126 JS262128 TO262128 ADK262128 ANG262128 AXC262128 BGY262128 BQU262128 CAQ262128 CKM262128 CUI262128 DEE262128 DOA262128 DXW262128 EHS262128 ERO262128 FBK262128 FLG262128 FVC262128 GEY262128 GOU262128 GYQ262128 HIM262128 HSI262128 ICE262128 IMA262128 IVW262128 JFS262128 JPO262128 JZK262128 KJG262128 KTC262128 LCY262128 LMU262128 LWQ262128 MGM262128 MQI262128 NAE262128 NKA262128 NTW262128 ODS262128 ONO262128 OXK262128 PHG262128 PRC262128 QAY262128 QKU262128 QUQ262128 REM262128 ROI262128 RYE262128 SIA262128 SRW262128 TBS262128 TLO262128 TVK262128 UFG262128 UPC262128 UYY262128 VIU262128 VSQ262128 WCM262128 WMI262128 WWE262128 M327662 JS327664 TO327664 ADK327664 ANG327664 AXC327664 BGY327664 BQU327664 CAQ327664 CKM327664 CUI327664 DEE327664 DOA327664 DXW327664 EHS327664 ERO327664 FBK327664 FLG327664 FVC327664 GEY327664 GOU327664 GYQ327664 HIM327664 HSI327664 ICE327664 IMA327664 IVW327664 JFS327664 JPO327664 JZK327664 KJG327664 KTC327664 LCY327664 LMU327664 LWQ327664 MGM327664 MQI327664 NAE327664 NKA327664 NTW327664 ODS327664 ONO327664 OXK327664 PHG327664 PRC327664 QAY327664 QKU327664 QUQ327664 REM327664 ROI327664 RYE327664 SIA327664 SRW327664 TBS327664 TLO327664 TVK327664 UFG327664 UPC327664 UYY327664 VIU327664 VSQ327664 WCM327664 WMI327664 WWE327664 M393198 JS393200 TO393200 ADK393200 ANG393200 AXC393200 BGY393200 BQU393200 CAQ393200 CKM393200 CUI393200 DEE393200 DOA393200 DXW393200 EHS393200 ERO393200 FBK393200 FLG393200 FVC393200 GEY393200 GOU393200 GYQ393200 HIM393200 HSI393200 ICE393200 IMA393200 IVW393200 JFS393200 JPO393200 JZK393200 KJG393200 KTC393200 LCY393200 LMU393200 LWQ393200 MGM393200 MQI393200 NAE393200 NKA393200 NTW393200 ODS393200 ONO393200 OXK393200 PHG393200 PRC393200 QAY393200 QKU393200 QUQ393200 REM393200 ROI393200 RYE393200 SIA393200 SRW393200 TBS393200 TLO393200 TVK393200 UFG393200 UPC393200 UYY393200 VIU393200 VSQ393200 WCM393200 WMI393200 WWE393200 M458734 JS458736 TO458736 ADK458736 ANG458736 AXC458736 BGY458736 BQU458736 CAQ458736 CKM458736 CUI458736 DEE458736 DOA458736 DXW458736 EHS458736 ERO458736 FBK458736 FLG458736 FVC458736 GEY458736 GOU458736 GYQ458736 HIM458736 HSI458736 ICE458736 IMA458736 IVW458736 JFS458736 JPO458736 JZK458736 KJG458736 KTC458736 LCY458736 LMU458736 LWQ458736 MGM458736 MQI458736 NAE458736 NKA458736 NTW458736 ODS458736 ONO458736 OXK458736 PHG458736 PRC458736 QAY458736 QKU458736 QUQ458736 REM458736 ROI458736 RYE458736 SIA458736 SRW458736 TBS458736 TLO458736 TVK458736 UFG458736 UPC458736 UYY458736 VIU458736 VSQ458736 WCM458736 WMI458736 WWE458736 M524270 JS524272 TO524272 ADK524272 ANG524272 AXC524272 BGY524272 BQU524272 CAQ524272 CKM524272 CUI524272 DEE524272 DOA524272 DXW524272 EHS524272 ERO524272 FBK524272 FLG524272 FVC524272 GEY524272 GOU524272 GYQ524272 HIM524272 HSI524272 ICE524272 IMA524272 IVW524272 JFS524272 JPO524272 JZK524272 KJG524272 KTC524272 LCY524272 LMU524272 LWQ524272 MGM524272 MQI524272 NAE524272 NKA524272 NTW524272 ODS524272 ONO524272 OXK524272 PHG524272 PRC524272 QAY524272 QKU524272 QUQ524272 REM524272 ROI524272 RYE524272 SIA524272 SRW524272 TBS524272 TLO524272 TVK524272 UFG524272 UPC524272 UYY524272 VIU524272 VSQ524272 WCM524272 WMI524272 WWE524272 M589806 JS589808 TO589808 ADK589808 ANG589808 AXC589808 BGY589808 BQU589808 CAQ589808 CKM589808 CUI589808 DEE589808 DOA589808 DXW589808 EHS589808 ERO589808 FBK589808 FLG589808 FVC589808 GEY589808 GOU589808 GYQ589808 HIM589808 HSI589808 ICE589808 IMA589808 IVW589808 JFS589808 JPO589808 JZK589808 KJG589808 KTC589808 LCY589808 LMU589808 LWQ589808 MGM589808 MQI589808 NAE589808 NKA589808 NTW589808 ODS589808 ONO589808 OXK589808 PHG589808 PRC589808 QAY589808 QKU589808 QUQ589808 REM589808 ROI589808 RYE589808 SIA589808 SRW589808 TBS589808 TLO589808 TVK589808 UFG589808 UPC589808 UYY589808 VIU589808 VSQ589808 WCM589808 WMI589808 WWE589808 M655342 JS655344 TO655344 ADK655344 ANG655344 AXC655344 BGY655344 BQU655344 CAQ655344 CKM655344 CUI655344 DEE655344 DOA655344 DXW655344 EHS655344 ERO655344 FBK655344 FLG655344 FVC655344 GEY655344 GOU655344 GYQ655344 HIM655344 HSI655344 ICE655344 IMA655344 IVW655344 JFS655344 JPO655344 JZK655344 KJG655344 KTC655344 LCY655344 LMU655344 LWQ655344 MGM655344 MQI655344 NAE655344 NKA655344 NTW655344 ODS655344 ONO655344 OXK655344 PHG655344 PRC655344 QAY655344 QKU655344 QUQ655344 REM655344 ROI655344 RYE655344 SIA655344 SRW655344 TBS655344 TLO655344 TVK655344 UFG655344 UPC655344 UYY655344 VIU655344 VSQ655344 WCM655344 WMI655344 WWE655344 M720878 JS720880 TO720880 ADK720880 ANG720880 AXC720880 BGY720880 BQU720880 CAQ720880 CKM720880 CUI720880 DEE720880 DOA720880 DXW720880 EHS720880 ERO720880 FBK720880 FLG720880 FVC720880 GEY720880 GOU720880 GYQ720880 HIM720880 HSI720880 ICE720880 IMA720880 IVW720880 JFS720880 JPO720880 JZK720880 KJG720880 KTC720880 LCY720880 LMU720880 LWQ720880 MGM720880 MQI720880 NAE720880 NKA720880 NTW720880 ODS720880 ONO720880 OXK720880 PHG720880 PRC720880 QAY720880 QKU720880 QUQ720880 REM720880 ROI720880 RYE720880 SIA720880 SRW720880 TBS720880 TLO720880 TVK720880 UFG720880 UPC720880 UYY720880 VIU720880 VSQ720880 WCM720880 WMI720880 WWE720880 M786414 JS786416 TO786416 ADK786416 ANG786416 AXC786416 BGY786416 BQU786416 CAQ786416 CKM786416 CUI786416 DEE786416 DOA786416 DXW786416 EHS786416 ERO786416 FBK786416 FLG786416 FVC786416 GEY786416 GOU786416 GYQ786416 HIM786416 HSI786416 ICE786416 IMA786416 IVW786416 JFS786416 JPO786416 JZK786416 KJG786416 KTC786416 LCY786416 LMU786416 LWQ786416 MGM786416 MQI786416 NAE786416 NKA786416 NTW786416 ODS786416 ONO786416 OXK786416 PHG786416 PRC786416 QAY786416 QKU786416 QUQ786416 REM786416 ROI786416 RYE786416 SIA786416 SRW786416 TBS786416 TLO786416 TVK786416 UFG786416 UPC786416 UYY786416 VIU786416 VSQ786416 WCM786416 WMI786416 WWE786416 M851950 JS851952 TO851952 ADK851952 ANG851952 AXC851952 BGY851952 BQU851952 CAQ851952 CKM851952 CUI851952 DEE851952 DOA851952 DXW851952 EHS851952 ERO851952 FBK851952 FLG851952 FVC851952 GEY851952 GOU851952 GYQ851952 HIM851952 HSI851952 ICE851952 IMA851952 IVW851952 JFS851952 JPO851952 JZK851952 KJG851952 KTC851952 LCY851952 LMU851952 LWQ851952 MGM851952 MQI851952 NAE851952 NKA851952 NTW851952 ODS851952 ONO851952 OXK851952 PHG851952 PRC851952 QAY851952 QKU851952 QUQ851952 REM851952 ROI851952 RYE851952 SIA851952 SRW851952 TBS851952 TLO851952 TVK851952 UFG851952 UPC851952 UYY851952 VIU851952 VSQ851952 WCM851952 WMI851952 WWE851952 M917486 JS917488 TO917488 ADK917488 ANG917488 AXC917488 BGY917488 BQU917488 CAQ917488 CKM917488 CUI917488 DEE917488 DOA917488 DXW917488 EHS917488 ERO917488 FBK917488 FLG917488 FVC917488 GEY917488 GOU917488 GYQ917488 HIM917488 HSI917488 ICE917488 IMA917488 IVW917488 JFS917488 JPO917488 JZK917488 KJG917488 KTC917488 LCY917488 LMU917488 LWQ917488 MGM917488 MQI917488 NAE917488 NKA917488 NTW917488 ODS917488 ONO917488 OXK917488 PHG917488 PRC917488 QAY917488 QKU917488 QUQ917488 REM917488 ROI917488 RYE917488 SIA917488 SRW917488 TBS917488 TLO917488 TVK917488 UFG917488 UPC917488 UYY917488 VIU917488 VSQ917488 WCM917488 WMI917488 WWE917488 M983022 JS983024 TO983024 ADK983024 ANG983024 AXC983024 BGY983024 BQU983024 CAQ983024 CKM983024 CUI983024 DEE983024 DOA983024 DXW983024 EHS983024 ERO983024 FBK983024 FLG983024 FVC983024 GEY983024 GOU983024 GYQ983024 HIM983024 HSI983024 ICE983024 IMA983024 IVW983024 JFS983024 JPO983024 JZK983024 KJG983024 KTC983024 LCY983024 LMU983024 LWQ983024 MGM983024 MQI983024 NAE983024 NKA983024 NTW983024 ODS983024 ONO983024 OXK983024 PHG983024 PRC983024 QAY983024 QKU983024 QUQ983024 REM983024 ROI983024 RYE983024 SIA983024 SRW983024 TBS983024 TLO983024 TVK983024 UFG983024 UPC983024 UYY983024 VIU983024 VSQ983024 WCM983024 WMI983024" xr:uid="{00000000-0002-0000-0E00-000002000000}">
      <formula1>0</formula1>
      <formula2>1</formula2>
    </dataValidation>
    <dataValidation type="whole" showInputMessage="1" showErrorMessage="1" sqref="JS3 TO3 ADK3 ANG3 AXC3 BGY3 BQU3 CAQ3 CKM3 CUI3 DEE3 DOA3 DXW3 EHS3 ERO3 FBK3 FLG3 FVC3 GEY3 GOU3 GYQ3 HIM3 HSI3 ICE3 IMA3 IVW3 JFS3 JPO3 JZK3 KJG3 KTC3 LCY3 LMU3 LWQ3 MGM3 MQI3 NAE3 NKA3 NTW3 ODS3 ONO3 OXK3 PHG3 PRC3 QAY3 QKU3 QUQ3 REM3 ROI3 RYE3 SIA3 SRW3 TBS3 TLO3 TVK3 UFG3 UPC3 UYY3 VIU3 VSQ3 WCM3 WMI3 WWE3 M65516 JS65518 TO65518 ADK65518 ANG65518 AXC65518 BGY65518 BQU65518 CAQ65518 CKM65518 CUI65518 DEE65518 DOA65518 DXW65518 EHS65518 ERO65518 FBK65518 FLG65518 FVC65518 GEY65518 GOU65518 GYQ65518 HIM65518 HSI65518 ICE65518 IMA65518 IVW65518 JFS65518 JPO65518 JZK65518 KJG65518 KTC65518 LCY65518 LMU65518 LWQ65518 MGM65518 MQI65518 NAE65518 NKA65518 NTW65518 ODS65518 ONO65518 OXK65518 PHG65518 PRC65518 QAY65518 QKU65518 QUQ65518 REM65518 ROI65518 RYE65518 SIA65518 SRW65518 TBS65518 TLO65518 TVK65518 UFG65518 UPC65518 UYY65518 VIU65518 VSQ65518 WCM65518 WMI65518 WWE65518 M131052 JS131054 TO131054 ADK131054 ANG131054 AXC131054 BGY131054 BQU131054 CAQ131054 CKM131054 CUI131054 DEE131054 DOA131054 DXW131054 EHS131054 ERO131054 FBK131054 FLG131054 FVC131054 GEY131054 GOU131054 GYQ131054 HIM131054 HSI131054 ICE131054 IMA131054 IVW131054 JFS131054 JPO131054 JZK131054 KJG131054 KTC131054 LCY131054 LMU131054 LWQ131054 MGM131054 MQI131054 NAE131054 NKA131054 NTW131054 ODS131054 ONO131054 OXK131054 PHG131054 PRC131054 QAY131054 QKU131054 QUQ131054 REM131054 ROI131054 RYE131054 SIA131054 SRW131054 TBS131054 TLO131054 TVK131054 UFG131054 UPC131054 UYY131054 VIU131054 VSQ131054 WCM131054 WMI131054 WWE131054 M196588 JS196590 TO196590 ADK196590 ANG196590 AXC196590 BGY196590 BQU196590 CAQ196590 CKM196590 CUI196590 DEE196590 DOA196590 DXW196590 EHS196590 ERO196590 FBK196590 FLG196590 FVC196590 GEY196590 GOU196590 GYQ196590 HIM196590 HSI196590 ICE196590 IMA196590 IVW196590 JFS196590 JPO196590 JZK196590 KJG196590 KTC196590 LCY196590 LMU196590 LWQ196590 MGM196590 MQI196590 NAE196590 NKA196590 NTW196590 ODS196590 ONO196590 OXK196590 PHG196590 PRC196590 QAY196590 QKU196590 QUQ196590 REM196590 ROI196590 RYE196590 SIA196590 SRW196590 TBS196590 TLO196590 TVK196590 UFG196590 UPC196590 UYY196590 VIU196590 VSQ196590 WCM196590 WMI196590 WWE196590 M262124 JS262126 TO262126 ADK262126 ANG262126 AXC262126 BGY262126 BQU262126 CAQ262126 CKM262126 CUI262126 DEE262126 DOA262126 DXW262126 EHS262126 ERO262126 FBK262126 FLG262126 FVC262126 GEY262126 GOU262126 GYQ262126 HIM262126 HSI262126 ICE262126 IMA262126 IVW262126 JFS262126 JPO262126 JZK262126 KJG262126 KTC262126 LCY262126 LMU262126 LWQ262126 MGM262126 MQI262126 NAE262126 NKA262126 NTW262126 ODS262126 ONO262126 OXK262126 PHG262126 PRC262126 QAY262126 QKU262126 QUQ262126 REM262126 ROI262126 RYE262126 SIA262126 SRW262126 TBS262126 TLO262126 TVK262126 UFG262126 UPC262126 UYY262126 VIU262126 VSQ262126 WCM262126 WMI262126 WWE262126 M327660 JS327662 TO327662 ADK327662 ANG327662 AXC327662 BGY327662 BQU327662 CAQ327662 CKM327662 CUI327662 DEE327662 DOA327662 DXW327662 EHS327662 ERO327662 FBK327662 FLG327662 FVC327662 GEY327662 GOU327662 GYQ327662 HIM327662 HSI327662 ICE327662 IMA327662 IVW327662 JFS327662 JPO327662 JZK327662 KJG327662 KTC327662 LCY327662 LMU327662 LWQ327662 MGM327662 MQI327662 NAE327662 NKA327662 NTW327662 ODS327662 ONO327662 OXK327662 PHG327662 PRC327662 QAY327662 QKU327662 QUQ327662 REM327662 ROI327662 RYE327662 SIA327662 SRW327662 TBS327662 TLO327662 TVK327662 UFG327662 UPC327662 UYY327662 VIU327662 VSQ327662 WCM327662 WMI327662 WWE327662 M393196 JS393198 TO393198 ADK393198 ANG393198 AXC393198 BGY393198 BQU393198 CAQ393198 CKM393198 CUI393198 DEE393198 DOA393198 DXW393198 EHS393198 ERO393198 FBK393198 FLG393198 FVC393198 GEY393198 GOU393198 GYQ393198 HIM393198 HSI393198 ICE393198 IMA393198 IVW393198 JFS393198 JPO393198 JZK393198 KJG393198 KTC393198 LCY393198 LMU393198 LWQ393198 MGM393198 MQI393198 NAE393198 NKA393198 NTW393198 ODS393198 ONO393198 OXK393198 PHG393198 PRC393198 QAY393198 QKU393198 QUQ393198 REM393198 ROI393198 RYE393198 SIA393198 SRW393198 TBS393198 TLO393198 TVK393198 UFG393198 UPC393198 UYY393198 VIU393198 VSQ393198 WCM393198 WMI393198 WWE393198 M458732 JS458734 TO458734 ADK458734 ANG458734 AXC458734 BGY458734 BQU458734 CAQ458734 CKM458734 CUI458734 DEE458734 DOA458734 DXW458734 EHS458734 ERO458734 FBK458734 FLG458734 FVC458734 GEY458734 GOU458734 GYQ458734 HIM458734 HSI458734 ICE458734 IMA458734 IVW458734 JFS458734 JPO458734 JZK458734 KJG458734 KTC458734 LCY458734 LMU458734 LWQ458734 MGM458734 MQI458734 NAE458734 NKA458734 NTW458734 ODS458734 ONO458734 OXK458734 PHG458734 PRC458734 QAY458734 QKU458734 QUQ458734 REM458734 ROI458734 RYE458734 SIA458734 SRW458734 TBS458734 TLO458734 TVK458734 UFG458734 UPC458734 UYY458734 VIU458734 VSQ458734 WCM458734 WMI458734 WWE458734 M524268 JS524270 TO524270 ADK524270 ANG524270 AXC524270 BGY524270 BQU524270 CAQ524270 CKM524270 CUI524270 DEE524270 DOA524270 DXW524270 EHS524270 ERO524270 FBK524270 FLG524270 FVC524270 GEY524270 GOU524270 GYQ524270 HIM524270 HSI524270 ICE524270 IMA524270 IVW524270 JFS524270 JPO524270 JZK524270 KJG524270 KTC524270 LCY524270 LMU524270 LWQ524270 MGM524270 MQI524270 NAE524270 NKA524270 NTW524270 ODS524270 ONO524270 OXK524270 PHG524270 PRC524270 QAY524270 QKU524270 QUQ524270 REM524270 ROI524270 RYE524270 SIA524270 SRW524270 TBS524270 TLO524270 TVK524270 UFG524270 UPC524270 UYY524270 VIU524270 VSQ524270 WCM524270 WMI524270 WWE524270 M589804 JS589806 TO589806 ADK589806 ANG589806 AXC589806 BGY589806 BQU589806 CAQ589806 CKM589806 CUI589806 DEE589806 DOA589806 DXW589806 EHS589806 ERO589806 FBK589806 FLG589806 FVC589806 GEY589806 GOU589806 GYQ589806 HIM589806 HSI589806 ICE589806 IMA589806 IVW589806 JFS589806 JPO589806 JZK589806 KJG589806 KTC589806 LCY589806 LMU589806 LWQ589806 MGM589806 MQI589806 NAE589806 NKA589806 NTW589806 ODS589806 ONO589806 OXK589806 PHG589806 PRC589806 QAY589806 QKU589806 QUQ589806 REM589806 ROI589806 RYE589806 SIA589806 SRW589806 TBS589806 TLO589806 TVK589806 UFG589806 UPC589806 UYY589806 VIU589806 VSQ589806 WCM589806 WMI589806 WWE589806 M655340 JS655342 TO655342 ADK655342 ANG655342 AXC655342 BGY655342 BQU655342 CAQ655342 CKM655342 CUI655342 DEE655342 DOA655342 DXW655342 EHS655342 ERO655342 FBK655342 FLG655342 FVC655342 GEY655342 GOU655342 GYQ655342 HIM655342 HSI655342 ICE655342 IMA655342 IVW655342 JFS655342 JPO655342 JZK655342 KJG655342 KTC655342 LCY655342 LMU655342 LWQ655342 MGM655342 MQI655342 NAE655342 NKA655342 NTW655342 ODS655342 ONO655342 OXK655342 PHG655342 PRC655342 QAY655342 QKU655342 QUQ655342 REM655342 ROI655342 RYE655342 SIA655342 SRW655342 TBS655342 TLO655342 TVK655342 UFG655342 UPC655342 UYY655342 VIU655342 VSQ655342 WCM655342 WMI655342 WWE655342 M720876 JS720878 TO720878 ADK720878 ANG720878 AXC720878 BGY720878 BQU720878 CAQ720878 CKM720878 CUI720878 DEE720878 DOA720878 DXW720878 EHS720878 ERO720878 FBK720878 FLG720878 FVC720878 GEY720878 GOU720878 GYQ720878 HIM720878 HSI720878 ICE720878 IMA720878 IVW720878 JFS720878 JPO720878 JZK720878 KJG720878 KTC720878 LCY720878 LMU720878 LWQ720878 MGM720878 MQI720878 NAE720878 NKA720878 NTW720878 ODS720878 ONO720878 OXK720878 PHG720878 PRC720878 QAY720878 QKU720878 QUQ720878 REM720878 ROI720878 RYE720878 SIA720878 SRW720878 TBS720878 TLO720878 TVK720878 UFG720878 UPC720878 UYY720878 VIU720878 VSQ720878 WCM720878 WMI720878 WWE720878 M786412 JS786414 TO786414 ADK786414 ANG786414 AXC786414 BGY786414 BQU786414 CAQ786414 CKM786414 CUI786414 DEE786414 DOA786414 DXW786414 EHS786414 ERO786414 FBK786414 FLG786414 FVC786414 GEY786414 GOU786414 GYQ786414 HIM786414 HSI786414 ICE786414 IMA786414 IVW786414 JFS786414 JPO786414 JZK786414 KJG786414 KTC786414 LCY786414 LMU786414 LWQ786414 MGM786414 MQI786414 NAE786414 NKA786414 NTW786414 ODS786414 ONO786414 OXK786414 PHG786414 PRC786414 QAY786414 QKU786414 QUQ786414 REM786414 ROI786414 RYE786414 SIA786414 SRW786414 TBS786414 TLO786414 TVK786414 UFG786414 UPC786414 UYY786414 VIU786414 VSQ786414 WCM786414 WMI786414 WWE786414 M851948 JS851950 TO851950 ADK851950 ANG851950 AXC851950 BGY851950 BQU851950 CAQ851950 CKM851950 CUI851950 DEE851950 DOA851950 DXW851950 EHS851950 ERO851950 FBK851950 FLG851950 FVC851950 GEY851950 GOU851950 GYQ851950 HIM851950 HSI851950 ICE851950 IMA851950 IVW851950 JFS851950 JPO851950 JZK851950 KJG851950 KTC851950 LCY851950 LMU851950 LWQ851950 MGM851950 MQI851950 NAE851950 NKA851950 NTW851950 ODS851950 ONO851950 OXK851950 PHG851950 PRC851950 QAY851950 QKU851950 QUQ851950 REM851950 ROI851950 RYE851950 SIA851950 SRW851950 TBS851950 TLO851950 TVK851950 UFG851950 UPC851950 UYY851950 VIU851950 VSQ851950 WCM851950 WMI851950 WWE851950 M917484 JS917486 TO917486 ADK917486 ANG917486 AXC917486 BGY917486 BQU917486 CAQ917486 CKM917486 CUI917486 DEE917486 DOA917486 DXW917486 EHS917486 ERO917486 FBK917486 FLG917486 FVC917486 GEY917486 GOU917486 GYQ917486 HIM917486 HSI917486 ICE917486 IMA917486 IVW917486 JFS917486 JPO917486 JZK917486 KJG917486 KTC917486 LCY917486 LMU917486 LWQ917486 MGM917486 MQI917486 NAE917486 NKA917486 NTW917486 ODS917486 ONO917486 OXK917486 PHG917486 PRC917486 QAY917486 QKU917486 QUQ917486 REM917486 ROI917486 RYE917486 SIA917486 SRW917486 TBS917486 TLO917486 TVK917486 UFG917486 UPC917486 UYY917486 VIU917486 VSQ917486 WCM917486 WMI917486 WWE917486 M983020 JS983022 TO983022 ADK983022 ANG983022 AXC983022 BGY983022 BQU983022 CAQ983022 CKM983022 CUI983022 DEE983022 DOA983022 DXW983022 EHS983022 ERO983022 FBK983022 FLG983022 FVC983022 GEY983022 GOU983022 GYQ983022 HIM983022 HSI983022 ICE983022 IMA983022 IVW983022 JFS983022 JPO983022 JZK983022 KJG983022 KTC983022 LCY983022 LMU983022 LWQ983022 MGM983022 MQI983022 NAE983022 NKA983022 NTW983022 ODS983022 ONO983022 OXK983022 PHG983022 PRC983022 QAY983022 QKU983022 QUQ983022 REM983022 ROI983022 RYE983022 SIA983022 SRW983022 TBS983022 TLO983022 TVK983022 UFG983022 UPC983022 UYY983022 VIU983022 VSQ983022 WCM983022 WMI983022 WWE983022" xr:uid="{00000000-0002-0000-0E00-000003000000}">
      <formula1>0</formula1>
      <formula2>1</formula2>
    </dataValidation>
    <dataValidation type="whole" allowBlank="1" showInputMessage="1" showErrorMessage="1" promptTitle="Help" prompt="0 - Base on Terminal Growrt Rate_x000a_1 - Base on Terminal EBITDA Multiple" sqref="R3:AF3" xr:uid="{00000000-0002-0000-0E00-000004000000}">
      <formula1>0</formula1>
      <formula2>1</formula2>
    </dataValidation>
  </dataValidations>
  <hyperlinks>
    <hyperlink ref="AY1" r:id="rId1" xr:uid="{00000000-0004-0000-0E00-000000000000}"/>
  </hyperlinks>
  <pageMargins left="0.7" right="0.7" top="0.75" bottom="0.75" header="0.3" footer="0.3"/>
  <pageSetup orientation="portrait" r:id="rId2"/>
  <ignoredErrors>
    <ignoredError sqref="F39:I39 N59" formula="1"/>
    <ignoredError sqref="J71:P71" emptyCellReference="1"/>
  </ignoredErrors>
  <drawing r:id="rId3"/>
  <legacyDrawing r:id="rId4"/>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6C6D16-2901-4445-AE5E-E3CD9C0DE887}">
  <dimension ref="A1:BK267"/>
  <sheetViews>
    <sheetView showGridLines="0" topLeftCell="E1" zoomScale="130" zoomScaleNormal="130" workbookViewId="0">
      <selection activeCell="H24" sqref="H24"/>
    </sheetView>
  </sheetViews>
  <sheetFormatPr baseColWidth="10" defaultColWidth="8.83203125" defaultRowHeight="15"/>
  <cols>
    <col min="1" max="1" width="8.33203125" customWidth="1"/>
    <col min="2" max="2" width="28.1640625" customWidth="1"/>
    <col min="3" max="11" width="10.5" bestFit="1" customWidth="1"/>
    <col min="47" max="47" width="13.83203125" customWidth="1"/>
    <col min="52" max="53" width="13.83203125" customWidth="1"/>
    <col min="62" max="62" width="20.1640625" customWidth="1"/>
  </cols>
  <sheetData>
    <row r="1" spans="1:63">
      <c r="B1" t="s">
        <v>1810</v>
      </c>
      <c r="AL1" t="s">
        <v>320</v>
      </c>
      <c r="AM1" t="s">
        <v>1811</v>
      </c>
      <c r="AN1" t="s">
        <v>1812</v>
      </c>
      <c r="AP1" t="s">
        <v>320</v>
      </c>
      <c r="AQ1" t="s">
        <v>1811</v>
      </c>
      <c r="AR1" t="s">
        <v>1812</v>
      </c>
      <c r="AU1" t="s">
        <v>1813</v>
      </c>
      <c r="AV1" t="s">
        <v>100</v>
      </c>
      <c r="AW1" t="s">
        <v>101</v>
      </c>
      <c r="AY1" t="s">
        <v>1813</v>
      </c>
      <c r="AZ1" t="s">
        <v>1814</v>
      </c>
      <c r="BB1" s="986" t="s">
        <v>1815</v>
      </c>
      <c r="BC1" s="986"/>
      <c r="BD1" s="986"/>
      <c r="BF1" t="s">
        <v>1813</v>
      </c>
      <c r="BG1" t="s">
        <v>1816</v>
      </c>
      <c r="BH1" t="s">
        <v>1817</v>
      </c>
      <c r="BI1" t="s">
        <v>1813</v>
      </c>
      <c r="BJ1" t="s">
        <v>1818</v>
      </c>
      <c r="BK1" t="s">
        <v>1817</v>
      </c>
    </row>
    <row r="2" spans="1:63">
      <c r="C2" s="109">
        <f>Rev_Year!H5</f>
        <v>2021</v>
      </c>
      <c r="D2" s="109">
        <f>Rev_Year!I5</f>
        <v>2022</v>
      </c>
      <c r="E2" s="109">
        <f>Rev_Year!J5</f>
        <v>2023</v>
      </c>
      <c r="F2" s="109">
        <f>Rev_Year!K5</f>
        <v>2024</v>
      </c>
      <c r="G2" s="109"/>
      <c r="H2" s="109"/>
      <c r="I2" s="109"/>
      <c r="J2" s="109"/>
      <c r="K2" s="109"/>
      <c r="L2" s="109"/>
      <c r="M2" s="109"/>
      <c r="N2" s="109"/>
      <c r="AL2" s="39">
        <v>45419</v>
      </c>
      <c r="AM2">
        <v>58200</v>
      </c>
      <c r="AN2">
        <v>1243.81</v>
      </c>
      <c r="AP2" s="39">
        <v>45419</v>
      </c>
      <c r="AQ2">
        <v>81.177099999999996</v>
      </c>
      <c r="AR2">
        <v>15.459099999999999</v>
      </c>
      <c r="AU2" t="s">
        <v>1819</v>
      </c>
      <c r="AV2">
        <v>512</v>
      </c>
      <c r="AW2">
        <v>520</v>
      </c>
      <c r="AY2" t="s">
        <v>1819</v>
      </c>
      <c r="AZ2">
        <v>570</v>
      </c>
      <c r="BA2" t="str">
        <f>AY2</f>
        <v>TP. Hồ Chí Minh</v>
      </c>
      <c r="BB2">
        <f>AZ2-BJ2</f>
        <v>43</v>
      </c>
      <c r="BE2" s="38">
        <f>BB2/AZ2</f>
        <v>7.5438596491228069E-2</v>
      </c>
      <c r="BF2" t="s">
        <v>1819</v>
      </c>
      <c r="BG2">
        <v>520</v>
      </c>
      <c r="BI2" t="s">
        <v>1819</v>
      </c>
      <c r="BJ2">
        <v>527</v>
      </c>
      <c r="BK2">
        <v>4</v>
      </c>
    </row>
    <row r="3" spans="1:63">
      <c r="A3" s="3457" t="s">
        <v>497</v>
      </c>
      <c r="B3" s="986" t="s">
        <v>1820</v>
      </c>
      <c r="C3" s="166">
        <f>Rev_Year!H85/Rev_Year!G85-1</f>
        <v>-0.11257638193418351</v>
      </c>
      <c r="D3" s="166">
        <f ca="1">Rev_Year!I85/Rev_Year!H85-1</f>
        <v>-9.4551124729756797E-2</v>
      </c>
      <c r="E3" s="166">
        <f ca="1">Rev_Year!J85/Rev_Year!I85-1</f>
        <v>-0.23095650300018167</v>
      </c>
      <c r="F3" s="166">
        <f ca="1">Rev_Year!K85/Rev_Year!J85-1</f>
        <v>0.1608601351726362</v>
      </c>
      <c r="G3" s="166"/>
      <c r="H3" s="166"/>
      <c r="I3" s="166"/>
      <c r="J3" s="166"/>
      <c r="AL3" s="39">
        <v>45418</v>
      </c>
      <c r="AM3">
        <v>58300</v>
      </c>
      <c r="AN3">
        <v>1241.58</v>
      </c>
      <c r="AP3" s="39">
        <v>45418</v>
      </c>
      <c r="AQ3">
        <v>81.456599999999995</v>
      </c>
      <c r="AR3">
        <v>15.459099999999999</v>
      </c>
      <c r="AU3" t="s">
        <v>1821</v>
      </c>
      <c r="AV3">
        <v>59</v>
      </c>
      <c r="AW3">
        <v>60</v>
      </c>
      <c r="AY3" t="s">
        <v>1821</v>
      </c>
      <c r="AZ3">
        <v>64</v>
      </c>
      <c r="BA3" t="str">
        <f t="shared" ref="BA3:BA38" si="0">AY3</f>
        <v>An Giang</v>
      </c>
      <c r="BB3">
        <f>AZ3-BJ3</f>
        <v>5</v>
      </c>
      <c r="BE3" s="38">
        <f t="shared" ref="BE3:BE38" si="1">BB3/AZ3</f>
        <v>7.8125E-2</v>
      </c>
      <c r="BF3" t="s">
        <v>1821</v>
      </c>
      <c r="BG3">
        <v>60</v>
      </c>
      <c r="BI3" t="s">
        <v>1821</v>
      </c>
      <c r="BJ3">
        <v>59</v>
      </c>
    </row>
    <row r="4" spans="1:63">
      <c r="A4" s="3457"/>
      <c r="B4" s="986" t="s">
        <v>1822</v>
      </c>
      <c r="C4" s="159">
        <f>Rev_Year!H99</f>
        <v>7.522418984338318E-2</v>
      </c>
      <c r="D4" s="159">
        <f ca="1">Rev_Year!I99</f>
        <v>9.860997641226546E-2</v>
      </c>
      <c r="E4" s="159">
        <f ca="1">Rev_Year!J99</f>
        <v>2.4997653028225125E-2</v>
      </c>
      <c r="F4" s="159">
        <f ca="1">Rev_Year!K99</f>
        <v>4.9214513186483143E-2</v>
      </c>
      <c r="G4" s="159"/>
      <c r="H4" s="159"/>
      <c r="I4" s="159"/>
      <c r="J4" s="159"/>
      <c r="AL4" s="39">
        <v>45415</v>
      </c>
      <c r="AM4">
        <v>55700</v>
      </c>
      <c r="AN4">
        <v>1221.03</v>
      </c>
      <c r="AP4" s="39">
        <v>45415</v>
      </c>
      <c r="AQ4">
        <v>77.823899999999995</v>
      </c>
      <c r="AR4">
        <v>15.166</v>
      </c>
      <c r="AU4" t="s">
        <v>1823</v>
      </c>
      <c r="AV4">
        <v>17</v>
      </c>
      <c r="AW4">
        <v>19</v>
      </c>
      <c r="AY4" t="s">
        <v>1824</v>
      </c>
      <c r="AZ4">
        <v>51</v>
      </c>
      <c r="BA4" t="str">
        <f t="shared" si="0"/>
        <v>Bà Rịa - Vũng Tàu</v>
      </c>
      <c r="BB4">
        <f t="shared" ref="BB4:BB38" si="2">AZ4-BJ4</f>
        <v>2</v>
      </c>
      <c r="BE4" s="38">
        <f t="shared" si="1"/>
        <v>3.9215686274509803E-2</v>
      </c>
      <c r="BF4" t="s">
        <v>1823</v>
      </c>
      <c r="BG4">
        <v>19</v>
      </c>
      <c r="BI4" t="s">
        <v>1824</v>
      </c>
      <c r="BJ4">
        <v>49</v>
      </c>
      <c r="BK4">
        <v>1</v>
      </c>
    </row>
    <row r="5" spans="1:63">
      <c r="A5" s="3457" t="s">
        <v>7</v>
      </c>
      <c r="B5" t="str">
        <f>B3</f>
        <v>- DT/CH (%YoY)</v>
      </c>
      <c r="C5" s="159">
        <f>Rev_Year!H105</f>
        <v>-5.6425760177488682E-2</v>
      </c>
      <c r="D5" s="159">
        <f>Rev_Year!I105</f>
        <v>-4.0479015057748757E-2</v>
      </c>
      <c r="E5" s="159">
        <f ca="1">Rev_Year!J105</f>
        <v>0.30502823509495203</v>
      </c>
      <c r="F5" s="159">
        <f ca="1">Rev_Year!K105</f>
        <v>0.28514535459804269</v>
      </c>
      <c r="G5" s="159"/>
      <c r="H5" s="159"/>
      <c r="I5" s="159"/>
      <c r="J5" s="159"/>
      <c r="AL5" s="39"/>
      <c r="AP5" s="39"/>
      <c r="AU5" t="s">
        <v>1825</v>
      </c>
      <c r="AV5">
        <v>53</v>
      </c>
      <c r="AW5">
        <v>53</v>
      </c>
      <c r="AY5" t="s">
        <v>1823</v>
      </c>
      <c r="AZ5">
        <v>25</v>
      </c>
      <c r="BA5" t="str">
        <f t="shared" si="0"/>
        <v>Bạc Liêu</v>
      </c>
      <c r="BB5">
        <f t="shared" si="2"/>
        <v>5</v>
      </c>
      <c r="BE5" s="38">
        <f t="shared" si="1"/>
        <v>0.2</v>
      </c>
      <c r="BF5" t="s">
        <v>1825</v>
      </c>
      <c r="BG5">
        <v>53</v>
      </c>
      <c r="BI5" t="s">
        <v>1823</v>
      </c>
      <c r="BJ5">
        <v>20</v>
      </c>
    </row>
    <row r="6" spans="1:63">
      <c r="A6" s="3457"/>
      <c r="B6" t="str">
        <f>B4</f>
        <v>- Biên LNHĐ</v>
      </c>
      <c r="C6" s="159">
        <f>Rev_Year!H125</f>
        <v>-3.595480040118787E-2</v>
      </c>
      <c r="D6" s="159">
        <f>Rev_Year!I125</f>
        <v>-0.10857925440491747</v>
      </c>
      <c r="E6" s="159">
        <f ca="1">Rev_Year!J125</f>
        <v>-3.1233097601197655E-2</v>
      </c>
      <c r="F6" s="159">
        <f ca="1">Rev_Year!K125</f>
        <v>2.5007340188092425E-3</v>
      </c>
      <c r="G6" s="159"/>
      <c r="H6" s="159"/>
      <c r="I6" s="159"/>
      <c r="J6" s="159"/>
      <c r="AL6" s="39"/>
      <c r="AP6" s="39"/>
      <c r="AU6" t="s">
        <v>1826</v>
      </c>
      <c r="AV6">
        <v>128</v>
      </c>
      <c r="AW6">
        <v>131</v>
      </c>
      <c r="AY6" t="s">
        <v>1825</v>
      </c>
      <c r="AZ6">
        <v>51</v>
      </c>
      <c r="BA6" t="str">
        <f t="shared" si="0"/>
        <v>Bến Tre</v>
      </c>
      <c r="BB6">
        <f t="shared" si="2"/>
        <v>0</v>
      </c>
      <c r="BE6" s="38">
        <f t="shared" si="1"/>
        <v>0</v>
      </c>
      <c r="BF6" t="s">
        <v>1826</v>
      </c>
      <c r="BG6">
        <v>131</v>
      </c>
      <c r="BI6" t="s">
        <v>1825</v>
      </c>
      <c r="BJ6">
        <v>51</v>
      </c>
      <c r="BK6">
        <v>1</v>
      </c>
    </row>
    <row r="7" spans="1:63">
      <c r="C7" s="159"/>
      <c r="D7" s="159"/>
      <c r="E7" s="159"/>
      <c r="F7" s="159"/>
      <c r="G7" s="159"/>
      <c r="H7" s="159"/>
      <c r="I7" s="159"/>
      <c r="J7" s="159"/>
      <c r="AL7" s="39"/>
      <c r="AP7" s="39"/>
      <c r="AU7" t="s">
        <v>1827</v>
      </c>
      <c r="AV7">
        <v>53</v>
      </c>
      <c r="AW7">
        <v>54</v>
      </c>
      <c r="AY7" t="s">
        <v>1828</v>
      </c>
      <c r="AZ7">
        <v>26</v>
      </c>
      <c r="BA7" t="str">
        <f t="shared" si="0"/>
        <v>Bình Định</v>
      </c>
      <c r="BB7">
        <f t="shared" si="2"/>
        <v>3</v>
      </c>
      <c r="BE7" s="38">
        <f t="shared" si="1"/>
        <v>0.11538461538461539</v>
      </c>
      <c r="BF7" t="s">
        <v>1827</v>
      </c>
      <c r="BG7">
        <v>54</v>
      </c>
      <c r="BI7" t="s">
        <v>1828</v>
      </c>
      <c r="BJ7">
        <v>23</v>
      </c>
      <c r="BK7">
        <v>1</v>
      </c>
    </row>
    <row r="8" spans="1:63">
      <c r="B8" t="s">
        <v>1358</v>
      </c>
      <c r="C8" s="84">
        <f ca="1">Rev_Year!AO218</f>
        <v>88.520984229752074</v>
      </c>
      <c r="D8" s="84">
        <f ca="1">Rev_Year!AP218</f>
        <v>96.82797798910002</v>
      </c>
      <c r="E8" s="84">
        <f ca="1">Rev_Year!AQ218</f>
        <v>101.42178942214014</v>
      </c>
      <c r="F8" s="84">
        <f ca="1">Rev_Year!AR218</f>
        <v>92.959949610727662</v>
      </c>
      <c r="G8" s="84"/>
      <c r="H8" s="84"/>
      <c r="I8" s="84"/>
      <c r="J8" s="84"/>
      <c r="AL8" s="39">
        <v>45414</v>
      </c>
      <c r="AM8">
        <v>55600</v>
      </c>
      <c r="AN8">
        <v>1216.3599999999999</v>
      </c>
      <c r="AP8" s="39">
        <v>45414</v>
      </c>
      <c r="AQ8">
        <v>77.684100000000001</v>
      </c>
      <c r="AR8">
        <v>15.0205</v>
      </c>
      <c r="AU8" t="s">
        <v>1829</v>
      </c>
      <c r="AV8">
        <v>40</v>
      </c>
      <c r="AW8">
        <v>41</v>
      </c>
      <c r="AY8" t="s">
        <v>1826</v>
      </c>
      <c r="AZ8">
        <v>138</v>
      </c>
      <c r="BA8" t="str">
        <f t="shared" si="0"/>
        <v>Bình Dương</v>
      </c>
      <c r="BB8">
        <f t="shared" si="2"/>
        <v>6</v>
      </c>
      <c r="BE8" s="38">
        <f t="shared" si="1"/>
        <v>4.3478260869565216E-2</v>
      </c>
      <c r="BF8" t="s">
        <v>1829</v>
      </c>
      <c r="BG8">
        <v>41</v>
      </c>
      <c r="BI8" t="s">
        <v>1826</v>
      </c>
      <c r="BJ8">
        <v>132</v>
      </c>
      <c r="BK8">
        <v>1</v>
      </c>
    </row>
    <row r="9" spans="1:63">
      <c r="C9" s="159"/>
      <c r="D9" s="159"/>
      <c r="E9" s="159"/>
      <c r="F9" s="159"/>
      <c r="G9" s="159"/>
      <c r="AL9" s="39">
        <v>45408</v>
      </c>
      <c r="AM9">
        <v>54900</v>
      </c>
      <c r="AN9">
        <v>1209.52</v>
      </c>
      <c r="AP9" s="39">
        <v>45413</v>
      </c>
      <c r="AR9">
        <v>15.0501</v>
      </c>
      <c r="AU9" t="s">
        <v>1830</v>
      </c>
      <c r="AV9">
        <v>33</v>
      </c>
      <c r="AW9">
        <v>33</v>
      </c>
      <c r="AY9" t="s">
        <v>1827</v>
      </c>
      <c r="AZ9">
        <v>57</v>
      </c>
      <c r="BA9" t="str">
        <f t="shared" si="0"/>
        <v>Bình Phước</v>
      </c>
      <c r="BB9">
        <f t="shared" si="2"/>
        <v>2</v>
      </c>
      <c r="BE9" s="38">
        <f t="shared" si="1"/>
        <v>3.5087719298245612E-2</v>
      </c>
      <c r="BF9" t="s">
        <v>1830</v>
      </c>
      <c r="BG9">
        <v>33</v>
      </c>
      <c r="BI9" t="s">
        <v>1827</v>
      </c>
      <c r="BJ9">
        <v>55</v>
      </c>
      <c r="BK9">
        <v>1</v>
      </c>
    </row>
    <row r="10" spans="1:63">
      <c r="C10" s="159"/>
      <c r="D10" s="159"/>
      <c r="E10" s="159"/>
      <c r="F10" s="159"/>
      <c r="G10" s="159"/>
      <c r="AL10" s="39">
        <v>45407</v>
      </c>
      <c r="AM10">
        <v>53800</v>
      </c>
      <c r="AN10">
        <v>1204.97</v>
      </c>
      <c r="AP10" s="39">
        <v>45412</v>
      </c>
      <c r="AR10">
        <v>15.0829</v>
      </c>
      <c r="AU10" t="s">
        <v>1831</v>
      </c>
      <c r="AV10">
        <v>52</v>
      </c>
      <c r="AW10">
        <v>55</v>
      </c>
      <c r="AY10" t="s">
        <v>1829</v>
      </c>
      <c r="AZ10">
        <v>42</v>
      </c>
      <c r="BA10" t="str">
        <f t="shared" si="0"/>
        <v>Bình Thuận</v>
      </c>
      <c r="BB10">
        <f t="shared" si="2"/>
        <v>1</v>
      </c>
      <c r="BE10" s="38">
        <f t="shared" si="1"/>
        <v>2.3809523809523808E-2</v>
      </c>
      <c r="BF10" t="s">
        <v>1831</v>
      </c>
      <c r="BG10">
        <v>55</v>
      </c>
      <c r="BI10" t="s">
        <v>1829</v>
      </c>
      <c r="BJ10">
        <v>41</v>
      </c>
      <c r="BK10">
        <v>1</v>
      </c>
    </row>
    <row r="11" spans="1:63">
      <c r="B11" t="s">
        <v>1832</v>
      </c>
      <c r="C11" s="38">
        <f>K15/G15-1</f>
        <v>-0.16136941695889306</v>
      </c>
      <c r="D11" s="38">
        <f>L15/H15-1</f>
        <v>-7.6968459381543397E-3</v>
      </c>
      <c r="E11" s="38">
        <f>M15/I15-1</f>
        <v>0.11020803282996083</v>
      </c>
      <c r="F11" s="38">
        <f>N15/J15-1</f>
        <v>0.16219292041796218</v>
      </c>
      <c r="G11" s="38">
        <f>O15/K15-1</f>
        <v>0.3052213082311741</v>
      </c>
      <c r="AL11" s="39">
        <v>45406</v>
      </c>
      <c r="AM11">
        <v>52300</v>
      </c>
      <c r="AN11">
        <v>1205.6099999999999</v>
      </c>
      <c r="AP11" s="39">
        <v>45411</v>
      </c>
      <c r="AR11">
        <v>15.056699999999999</v>
      </c>
      <c r="AU11" t="s">
        <v>1833</v>
      </c>
      <c r="AV11">
        <v>49</v>
      </c>
      <c r="AW11">
        <v>50</v>
      </c>
      <c r="AY11" t="s">
        <v>1830</v>
      </c>
      <c r="AZ11">
        <v>35</v>
      </c>
      <c r="BA11" t="str">
        <f t="shared" si="0"/>
        <v>Cà Mau</v>
      </c>
      <c r="BB11">
        <f t="shared" si="2"/>
        <v>3</v>
      </c>
      <c r="BE11" s="38">
        <f t="shared" si="1"/>
        <v>8.5714285714285715E-2</v>
      </c>
      <c r="BF11" t="s">
        <v>1833</v>
      </c>
      <c r="BG11">
        <v>50</v>
      </c>
      <c r="BI11" t="s">
        <v>1830</v>
      </c>
      <c r="BJ11">
        <v>32</v>
      </c>
    </row>
    <row r="12" spans="1:63">
      <c r="C12" t="s">
        <v>87</v>
      </c>
      <c r="D12" t="s">
        <v>88</v>
      </c>
      <c r="E12" t="s">
        <v>89</v>
      </c>
      <c r="F12" t="s">
        <v>90</v>
      </c>
      <c r="G12" t="s">
        <v>91</v>
      </c>
      <c r="H12" t="s">
        <v>92</v>
      </c>
      <c r="I12" t="s">
        <v>93</v>
      </c>
      <c r="J12" t="s">
        <v>94</v>
      </c>
      <c r="K12" t="s">
        <v>95</v>
      </c>
      <c r="L12" t="s">
        <v>96</v>
      </c>
      <c r="M12" t="s">
        <v>97</v>
      </c>
      <c r="N12" t="s">
        <v>98</v>
      </c>
      <c r="O12" t="s">
        <v>99</v>
      </c>
      <c r="P12" t="s">
        <v>100</v>
      </c>
      <c r="Q12" t="s">
        <v>101</v>
      </c>
      <c r="AL12" s="39">
        <v>45405</v>
      </c>
      <c r="AM12">
        <v>49800</v>
      </c>
      <c r="AN12">
        <v>1177.4000000000001</v>
      </c>
      <c r="AP12" s="39">
        <v>45408</v>
      </c>
      <c r="AQ12">
        <v>76.706100000000006</v>
      </c>
      <c r="AR12">
        <v>16.081099999999999</v>
      </c>
      <c r="AU12" t="s">
        <v>1834</v>
      </c>
      <c r="AV12">
        <v>20</v>
      </c>
      <c r="AW12">
        <v>20</v>
      </c>
      <c r="AY12" t="s">
        <v>1831</v>
      </c>
      <c r="AZ12">
        <v>70</v>
      </c>
      <c r="BA12" t="str">
        <f t="shared" si="0"/>
        <v>Cần Thơ</v>
      </c>
      <c r="BB12">
        <f t="shared" si="2"/>
        <v>13</v>
      </c>
      <c r="BE12" s="38">
        <f t="shared" si="1"/>
        <v>0.18571428571428572</v>
      </c>
      <c r="BF12" t="s">
        <v>1834</v>
      </c>
      <c r="BG12">
        <v>20</v>
      </c>
      <c r="BI12" t="s">
        <v>1831</v>
      </c>
      <c r="BJ12">
        <v>57</v>
      </c>
      <c r="BK12">
        <v>1</v>
      </c>
    </row>
    <row r="13" spans="1:63">
      <c r="B13" t="s">
        <v>394</v>
      </c>
      <c r="C13" s="158">
        <f>'FS Quarter'!BB4</f>
        <v>30828.143814873001</v>
      </c>
      <c r="D13" s="158">
        <f>'FS Quarter'!BC4</f>
        <v>31658.418853104999</v>
      </c>
      <c r="E13" s="158">
        <f>'FS Quarter'!BD4</f>
        <v>24333.213525693001</v>
      </c>
      <c r="F13" s="158">
        <f>'FS Quarter'!BE4</f>
        <v>36138.329909503002</v>
      </c>
      <c r="G13" s="158">
        <f>'FS Quarter'!BF4</f>
        <v>36466.676618650003</v>
      </c>
      <c r="H13" s="158">
        <f>'FS Quarter'!BG4</f>
        <v>34337.739971773</v>
      </c>
      <c r="I13" s="158">
        <f>'FS Quarter'!BH4</f>
        <v>32011.979847627001</v>
      </c>
      <c r="J13" s="158">
        <f>'FS Quarter'!BI4</f>
        <v>30588.381152474001</v>
      </c>
      <c r="K13" s="158">
        <f>'FS Quarter'!BJ4</f>
        <v>27105.812022449001</v>
      </c>
      <c r="L13" s="158">
        <f>'FS Quarter'!BK4</f>
        <v>29464.830443891002</v>
      </c>
      <c r="M13" s="158">
        <f>'FS Quarter'!BL4</f>
        <v>30287.657286952999</v>
      </c>
      <c r="N13" s="158">
        <f>'FS Quarter'!BM4</f>
        <v>31421.488702148999</v>
      </c>
      <c r="O13" s="158">
        <f>'FS Quarter'!BN4</f>
        <v>31486.49</v>
      </c>
      <c r="P13" s="158">
        <f>'FS Quarter'!BO4</f>
        <v>34134.071533952003</v>
      </c>
      <c r="Q13" s="158">
        <f>'FS Quarter'!BP4</f>
        <v>34146.67</v>
      </c>
      <c r="AL13" s="39">
        <v>45404</v>
      </c>
      <c r="AM13">
        <v>48600</v>
      </c>
      <c r="AN13">
        <v>1190.22</v>
      </c>
      <c r="AP13" s="39">
        <v>45407</v>
      </c>
      <c r="AQ13">
        <v>75.169200000000004</v>
      </c>
      <c r="AR13">
        <v>16.020600000000002</v>
      </c>
      <c r="AU13" t="s">
        <v>1835</v>
      </c>
      <c r="AV13">
        <v>139</v>
      </c>
      <c r="AW13">
        <v>141</v>
      </c>
      <c r="AY13" t="s">
        <v>1512</v>
      </c>
      <c r="AZ13">
        <v>34</v>
      </c>
      <c r="BA13" t="str">
        <f t="shared" si="0"/>
        <v>Đà Nẵng</v>
      </c>
      <c r="BB13">
        <f t="shared" si="2"/>
        <v>15</v>
      </c>
      <c r="BE13" s="38">
        <f t="shared" si="1"/>
        <v>0.44117647058823528</v>
      </c>
      <c r="BF13" t="s">
        <v>1835</v>
      </c>
      <c r="BG13">
        <v>141</v>
      </c>
      <c r="BI13" t="s">
        <v>1512</v>
      </c>
      <c r="BJ13">
        <v>19</v>
      </c>
    </row>
    <row r="14" spans="1:63">
      <c r="B14" t="s">
        <v>1836</v>
      </c>
      <c r="C14" s="158">
        <v>68097</v>
      </c>
      <c r="D14" s="158">
        <v>65795</v>
      </c>
      <c r="E14" s="158">
        <v>65549</v>
      </c>
      <c r="F14" s="158">
        <v>70472</v>
      </c>
      <c r="G14" s="158">
        <v>76775</v>
      </c>
      <c r="H14" s="158">
        <v>78666</v>
      </c>
      <c r="I14" s="158">
        <v>80231</v>
      </c>
      <c r="J14" s="158">
        <v>74008</v>
      </c>
      <c r="K14" s="158">
        <v>68048</v>
      </c>
      <c r="L14" s="158">
        <v>68026</v>
      </c>
      <c r="M14" s="158">
        <v>68374</v>
      </c>
      <c r="N14" s="158">
        <v>65414</v>
      </c>
      <c r="O14" s="158">
        <v>60561</v>
      </c>
      <c r="P14" s="158">
        <v>60562</v>
      </c>
      <c r="Q14" s="158">
        <v>60563</v>
      </c>
      <c r="AL14" s="39">
        <v>45401</v>
      </c>
      <c r="AM14">
        <v>48200</v>
      </c>
      <c r="AN14">
        <v>1174.8499999999999</v>
      </c>
      <c r="AP14" s="39">
        <v>45406</v>
      </c>
      <c r="AQ14">
        <v>73.073400000000007</v>
      </c>
      <c r="AR14">
        <v>16.0291</v>
      </c>
      <c r="AU14" t="s">
        <v>1837</v>
      </c>
      <c r="AV14">
        <v>42</v>
      </c>
      <c r="AW14">
        <v>42</v>
      </c>
      <c r="AY14" t="s">
        <v>1833</v>
      </c>
      <c r="AZ14">
        <v>52</v>
      </c>
      <c r="BA14" t="str">
        <f t="shared" si="0"/>
        <v>Đắk Lắk</v>
      </c>
      <c r="BB14">
        <f t="shared" si="2"/>
        <v>1</v>
      </c>
      <c r="BE14" s="38">
        <f t="shared" si="1"/>
        <v>1.9230769230769232E-2</v>
      </c>
      <c r="BF14" t="s">
        <v>1837</v>
      </c>
      <c r="BG14">
        <v>42</v>
      </c>
      <c r="BI14" t="s">
        <v>1833</v>
      </c>
      <c r="BJ14">
        <v>51</v>
      </c>
    </row>
    <row r="15" spans="1:63">
      <c r="B15" t="s">
        <v>1838</v>
      </c>
      <c r="C15" s="953">
        <f t="shared" ref="C15:F15" si="3">C13/C14</f>
        <v>0.45270927962866209</v>
      </c>
      <c r="D15" s="953">
        <f t="shared" si="3"/>
        <v>0.48116754849312254</v>
      </c>
      <c r="E15" s="953">
        <f t="shared" si="3"/>
        <v>0.37122173527731928</v>
      </c>
      <c r="F15" s="953">
        <f t="shared" si="3"/>
        <v>0.51280409112133896</v>
      </c>
      <c r="G15" s="953">
        <f>G13/G14</f>
        <v>0.47498113472679915</v>
      </c>
      <c r="H15" s="953">
        <f t="shared" ref="H15:O15" si="4">H13/H14</f>
        <v>0.43650039371231536</v>
      </c>
      <c r="I15" s="953">
        <f t="shared" si="4"/>
        <v>0.39899764240289914</v>
      </c>
      <c r="J15" s="953">
        <f t="shared" si="4"/>
        <v>0.41331181970157282</v>
      </c>
      <c r="K15" s="953">
        <f t="shared" si="4"/>
        <v>0.39833370594946216</v>
      </c>
      <c r="L15" s="953">
        <f t="shared" si="4"/>
        <v>0.43314071742996796</v>
      </c>
      <c r="M15" s="953">
        <f t="shared" si="4"/>
        <v>0.44297038767591479</v>
      </c>
      <c r="N15" s="953">
        <f t="shared" si="4"/>
        <v>0.48034807078223313</v>
      </c>
      <c r="O15" s="953">
        <f t="shared" si="4"/>
        <v>0.51991364079192881</v>
      </c>
      <c r="P15" s="953">
        <f t="shared" ref="P15:Q15" si="5">P13/P14</f>
        <v>0.56362193345583045</v>
      </c>
      <c r="Q15" s="953">
        <f t="shared" si="5"/>
        <v>0.56382064957152056</v>
      </c>
      <c r="AL15" s="39">
        <v>45399</v>
      </c>
      <c r="AM15">
        <v>49400</v>
      </c>
      <c r="AN15">
        <v>1193.01</v>
      </c>
      <c r="AP15" s="39">
        <v>45405</v>
      </c>
      <c r="AQ15">
        <v>69.580399999999997</v>
      </c>
      <c r="AR15">
        <v>15.654</v>
      </c>
      <c r="AU15" t="s">
        <v>1839</v>
      </c>
      <c r="AV15">
        <v>21</v>
      </c>
      <c r="AW15">
        <v>22</v>
      </c>
      <c r="AY15" t="s">
        <v>1834</v>
      </c>
      <c r="AZ15">
        <v>21</v>
      </c>
      <c r="BA15" t="str">
        <f t="shared" si="0"/>
        <v>Đắk Nông</v>
      </c>
      <c r="BB15">
        <f t="shared" si="2"/>
        <v>1</v>
      </c>
      <c r="BE15" s="38">
        <f t="shared" si="1"/>
        <v>4.7619047619047616E-2</v>
      </c>
      <c r="BF15" t="s">
        <v>1839</v>
      </c>
      <c r="BG15">
        <v>22</v>
      </c>
      <c r="BI15" t="s">
        <v>1834</v>
      </c>
      <c r="BJ15">
        <v>20</v>
      </c>
    </row>
    <row r="16" spans="1:63">
      <c r="C16" s="84">
        <f>'FS Quarter'!BB356/'Report''s chart'!C14</f>
        <v>4.1386161760092223E-2</v>
      </c>
      <c r="D16" s="84">
        <f>'FS Quarter'!BC356/'Report''s chart'!D14</f>
        <v>3.3021761301603461E-2</v>
      </c>
      <c r="E16" s="84">
        <f>'FS Quarter'!BD356/'Report''s chart'!E14</f>
        <v>3.6951795149948889E-2</v>
      </c>
      <c r="F16" s="84">
        <f>'FS Quarter'!BE356/'Report''s chart'!F14</f>
        <v>3.2442328995416624E-2</v>
      </c>
      <c r="G16" s="84">
        <f>'FS Quarter'!BF356/'Report''s chart'!G14</f>
        <v>3.9374762309475744E-2</v>
      </c>
      <c r="H16" s="84">
        <f>'FS Quarter'!BG356/'Report''s chart'!H14</f>
        <v>2.5623113378537107E-2</v>
      </c>
      <c r="I16" s="84">
        <f>'FS Quarter'!BH356/'Report''s chart'!I14</f>
        <v>2.9922844731338261E-2</v>
      </c>
      <c r="J16" s="84">
        <f>'FS Quarter'!BI356/'Report''s chart'!J14</f>
        <v>2.7735689866338776E-2</v>
      </c>
      <c r="K16" s="84">
        <f>'FS Quarter'!BJ356/'Report''s chart'!K14</f>
        <v>3.1464650435266285E-2</v>
      </c>
      <c r="L16" s="84">
        <f>'FS Quarter'!BK356/'Report''s chart'!L14</f>
        <v>2.2947630933202009E-2</v>
      </c>
      <c r="M16" s="84">
        <f>'FS Quarter'!BL356/'Report''s chart'!M14</f>
        <v>4.5486445806754032E-2</v>
      </c>
      <c r="N16" s="84">
        <f>'FS Quarter'!BM356/'Report''s chart'!N14</f>
        <v>1.8325164307976885E-2</v>
      </c>
      <c r="O16" s="84">
        <f>'FS Quarter'!BN356/'Report''s chart'!O14</f>
        <v>3.7384620465315967E-2</v>
      </c>
      <c r="P16" s="84">
        <f>'FS Quarter'!BO356/'Report''s chart'!P14</f>
        <v>4.1218166202536245E-2</v>
      </c>
      <c r="Q16" s="84">
        <f>'FS Quarter'!BP356/'Report''s chart'!Q14</f>
        <v>4.4875418985188979E-2</v>
      </c>
      <c r="AL16" s="39">
        <v>45398</v>
      </c>
      <c r="AM16">
        <v>49900</v>
      </c>
      <c r="AN16">
        <v>1215.68</v>
      </c>
      <c r="AP16" s="39">
        <v>45404</v>
      </c>
      <c r="AQ16">
        <v>67.903800000000004</v>
      </c>
      <c r="AR16">
        <v>15.8245</v>
      </c>
      <c r="AU16" t="s">
        <v>1840</v>
      </c>
      <c r="AV16">
        <v>51</v>
      </c>
      <c r="AW16">
        <v>51</v>
      </c>
      <c r="AY16" t="s">
        <v>1835</v>
      </c>
      <c r="AZ16">
        <v>152</v>
      </c>
      <c r="BA16" t="str">
        <f t="shared" si="0"/>
        <v>Đồng Nai</v>
      </c>
      <c r="BB16">
        <f t="shared" si="2"/>
        <v>7</v>
      </c>
      <c r="BE16" s="38">
        <f t="shared" si="1"/>
        <v>4.6052631578947366E-2</v>
      </c>
      <c r="BF16" t="s">
        <v>1840</v>
      </c>
      <c r="BG16">
        <v>51</v>
      </c>
      <c r="BI16" t="s">
        <v>1835</v>
      </c>
      <c r="BJ16">
        <v>145</v>
      </c>
      <c r="BK16">
        <v>1</v>
      </c>
    </row>
    <row r="17" spans="2:63">
      <c r="C17" s="124">
        <f>'FS Quarter'!BB356/'Report''s chart'!C13</f>
        <v>9.1418850070931854E-2</v>
      </c>
      <c r="D17" s="124">
        <f>'FS Quarter'!BC356/'Report''s chart'!D13</f>
        <v>6.8628404814535096E-2</v>
      </c>
      <c r="E17" s="124">
        <f>'FS Quarter'!BD356/'Report''s chart'!E13</f>
        <v>9.9541033399739492E-2</v>
      </c>
      <c r="F17" s="124">
        <f>'FS Quarter'!BE356/'Report''s chart'!F13</f>
        <v>6.3264567418866713E-2</v>
      </c>
      <c r="G17" s="124">
        <f>'FS Quarter'!BF356/'Report''s chart'!G13</f>
        <v>8.2897528829483771E-2</v>
      </c>
      <c r="H17" s="124">
        <f>'FS Quarter'!BG356/'Report''s chart'!H13</f>
        <v>5.8701237725399515E-2</v>
      </c>
      <c r="I17" s="124">
        <f>'FS Quarter'!BH356/'Report''s chart'!I13</f>
        <v>7.4995041452206937E-2</v>
      </c>
      <c r="J17" s="124">
        <f>'FS Quarter'!BI356/'Report''s chart'!J13</f>
        <v>6.7105968288942275E-2</v>
      </c>
      <c r="K17" s="124">
        <f>'FS Quarter'!BJ356/'Report''s chart'!K13</f>
        <v>7.8990680339911537E-2</v>
      </c>
      <c r="L17" s="124">
        <f>'FS Quarter'!BK356/'Report''s chart'!L13</f>
        <v>5.2979620732406162E-2</v>
      </c>
      <c r="M17" s="124">
        <f>'FS Quarter'!BL356/'Report''s chart'!M13</f>
        <v>0.1026850712197781</v>
      </c>
      <c r="N17" s="124">
        <f>'FS Quarter'!BM356/'Report''s chart'!N13</f>
        <v>3.8149761438897582E-2</v>
      </c>
      <c r="O17" s="124">
        <f>'FS Quarter'!BN356/'Report''s chart'!O13</f>
        <v>7.1905442619993529E-2</v>
      </c>
      <c r="P17" s="124">
        <f>'FS Quarter'!BO356/'Report''s chart'!P13</f>
        <v>7.3130876844711021E-2</v>
      </c>
      <c r="Q17" s="124">
        <f>'FS Quarter'!BP356/'Report''s chart'!Q13</f>
        <v>7.9591655643141773E-2</v>
      </c>
      <c r="AL17" s="39">
        <v>45397</v>
      </c>
      <c r="AM17">
        <v>49900</v>
      </c>
      <c r="AN17">
        <v>1216.6099999999999</v>
      </c>
      <c r="AP17" s="39">
        <v>45401</v>
      </c>
      <c r="AQ17">
        <v>67.344899999999996</v>
      </c>
      <c r="AR17">
        <v>15.620100000000001</v>
      </c>
      <c r="AU17" t="s">
        <v>1841</v>
      </c>
      <c r="AV17">
        <v>46</v>
      </c>
      <c r="AW17">
        <v>47</v>
      </c>
      <c r="AY17" t="s">
        <v>1837</v>
      </c>
      <c r="AZ17">
        <v>46</v>
      </c>
      <c r="BA17" t="str">
        <f t="shared" si="0"/>
        <v>Đồng Tháp</v>
      </c>
      <c r="BB17">
        <f t="shared" si="2"/>
        <v>4</v>
      </c>
      <c r="BE17" s="38">
        <f t="shared" si="1"/>
        <v>8.6956521739130432E-2</v>
      </c>
      <c r="BF17" t="s">
        <v>1841</v>
      </c>
      <c r="BG17">
        <v>47</v>
      </c>
      <c r="BI17" t="s">
        <v>1837</v>
      </c>
      <c r="BJ17">
        <v>42</v>
      </c>
    </row>
    <row r="18" spans="2:63">
      <c r="C18" t="str">
        <f>G12</f>
        <v>Q1/2022</v>
      </c>
      <c r="D18" t="str">
        <f t="shared" ref="D18:H18" si="6">H12</f>
        <v>Q2/2022</v>
      </c>
      <c r="E18" t="str">
        <f t="shared" si="6"/>
        <v>Q3/2022</v>
      </c>
      <c r="F18" t="str">
        <f t="shared" si="6"/>
        <v>Q4/2022</v>
      </c>
      <c r="G18" t="str">
        <f t="shared" si="6"/>
        <v>Q1/2023</v>
      </c>
      <c r="H18" t="str">
        <f t="shared" si="6"/>
        <v>Q2/2023</v>
      </c>
      <c r="I18" t="str">
        <f>M12</f>
        <v>Q3/2023</v>
      </c>
      <c r="J18" t="str">
        <f t="shared" ref="J18" si="7">N12</f>
        <v>Q4/2023</v>
      </c>
      <c r="K18" t="str">
        <f t="shared" ref="K18" si="8">O12</f>
        <v>Q1/2024</v>
      </c>
      <c r="L18" t="str">
        <f t="shared" ref="L18" si="9">P12</f>
        <v>Q2/2024</v>
      </c>
      <c r="M18" t="str">
        <f t="shared" ref="M18" si="10">Q12</f>
        <v>Q3/2024</v>
      </c>
      <c r="AL18" s="39">
        <v>45394</v>
      </c>
      <c r="AM18">
        <v>52000</v>
      </c>
      <c r="AN18">
        <v>1276.5999999999999</v>
      </c>
      <c r="AP18" s="39">
        <v>45400</v>
      </c>
      <c r="AR18">
        <v>15.861499999999999</v>
      </c>
      <c r="AU18" t="s">
        <v>1842</v>
      </c>
      <c r="AV18">
        <v>90</v>
      </c>
      <c r="AW18">
        <v>93</v>
      </c>
      <c r="AY18" t="s">
        <v>1843</v>
      </c>
      <c r="AZ18">
        <v>3</v>
      </c>
      <c r="BA18" t="str">
        <f t="shared" si="0"/>
        <v>Gia Lai</v>
      </c>
      <c r="BB18">
        <f t="shared" si="2"/>
        <v>0</v>
      </c>
      <c r="BE18" s="38">
        <f t="shared" si="1"/>
        <v>0</v>
      </c>
      <c r="BF18" t="s">
        <v>1842</v>
      </c>
      <c r="BG18">
        <v>93</v>
      </c>
      <c r="BI18" t="s">
        <v>1843</v>
      </c>
      <c r="BJ18">
        <v>3</v>
      </c>
    </row>
    <row r="19" spans="2:63">
      <c r="B19" t="s">
        <v>1844</v>
      </c>
      <c r="C19" s="38">
        <f>G15/C15-1</f>
        <v>4.9196815926560333E-2</v>
      </c>
      <c r="D19" s="38">
        <f t="shared" ref="D19" si="11">H15/D15-1</f>
        <v>-9.2830771569470505E-2</v>
      </c>
      <c r="E19" s="38">
        <f t="shared" ref="E19" si="12">I15/E15-1</f>
        <v>7.4822954816559983E-2</v>
      </c>
      <c r="F19" s="38">
        <f t="shared" ref="F19" si="13">J15/F15-1</f>
        <v>-0.19401614211424922</v>
      </c>
      <c r="G19" s="38">
        <f t="shared" ref="G19" si="14">K15/G15-1</f>
        <v>-0.16136941695889306</v>
      </c>
      <c r="H19" s="38">
        <f t="shared" ref="H19" si="15">L15/H15-1</f>
        <v>-7.6968459381543397E-3</v>
      </c>
      <c r="I19" s="38">
        <f t="shared" ref="I19" si="16">M15/I15-1</f>
        <v>0.11020803282996083</v>
      </c>
      <c r="J19" s="38">
        <f>N15/J15-1</f>
        <v>0.16219292041796218</v>
      </c>
      <c r="K19" s="38">
        <f>O15/K15-1</f>
        <v>0.3052213082311741</v>
      </c>
      <c r="L19" s="38">
        <f t="shared" ref="L19:M20" si="17">P15/L15-1</f>
        <v>0.30124440112689066</v>
      </c>
      <c r="M19" s="38">
        <f t="shared" si="17"/>
        <v>0.27281792475939048</v>
      </c>
      <c r="AL19" s="39">
        <v>45393</v>
      </c>
      <c r="AM19">
        <v>52300</v>
      </c>
      <c r="AN19">
        <v>1258.2</v>
      </c>
      <c r="AP19" s="39">
        <v>45399</v>
      </c>
      <c r="AQ19">
        <v>69.021500000000003</v>
      </c>
      <c r="AR19">
        <v>15.861499999999999</v>
      </c>
      <c r="AU19" t="s">
        <v>1845</v>
      </c>
      <c r="AV19">
        <v>37</v>
      </c>
      <c r="AW19">
        <v>38</v>
      </c>
      <c r="AY19" t="s">
        <v>1839</v>
      </c>
      <c r="AZ19">
        <v>29</v>
      </c>
      <c r="BA19" t="str">
        <f t="shared" si="0"/>
        <v>Hậu Giang</v>
      </c>
      <c r="BB19">
        <f t="shared" si="2"/>
        <v>7</v>
      </c>
      <c r="BE19" s="38">
        <f t="shared" si="1"/>
        <v>0.2413793103448276</v>
      </c>
      <c r="BF19" t="s">
        <v>1845</v>
      </c>
      <c r="BG19">
        <v>38</v>
      </c>
      <c r="BI19" t="s">
        <v>1839</v>
      </c>
      <c r="BJ19">
        <v>22</v>
      </c>
    </row>
    <row r="20" spans="2:63">
      <c r="B20" t="s">
        <v>1846</v>
      </c>
      <c r="C20" s="38">
        <f>G16/C16-1</f>
        <v>-4.8600772941356118E-2</v>
      </c>
      <c r="D20" s="38">
        <f t="shared" ref="D20:K20" si="18">H16/D16-1</f>
        <v>-0.22405370372255373</v>
      </c>
      <c r="E20" s="38">
        <f t="shared" si="18"/>
        <v>-0.1902194572709508</v>
      </c>
      <c r="F20" s="38">
        <f t="shared" si="18"/>
        <v>-0.14507710373514771</v>
      </c>
      <c r="G20" s="38">
        <f t="shared" si="18"/>
        <v>-0.20089294284592674</v>
      </c>
      <c r="H20" s="38">
        <f t="shared" si="18"/>
        <v>-0.10441675864324063</v>
      </c>
      <c r="I20" s="38">
        <f t="shared" si="18"/>
        <v>0.52012438039074471</v>
      </c>
      <c r="J20" s="38">
        <f>N16/J16-1</f>
        <v>-0.33929300492297865</v>
      </c>
      <c r="K20" s="38">
        <f t="shared" si="18"/>
        <v>0.18814669631334735</v>
      </c>
      <c r="L20" s="38">
        <f t="shared" si="17"/>
        <v>0.79618394258290648</v>
      </c>
      <c r="M20" s="38">
        <f t="shared" si="17"/>
        <v>-1.343316257684668E-2</v>
      </c>
      <c r="AL20" s="39">
        <v>45392</v>
      </c>
      <c r="AM20">
        <v>52000</v>
      </c>
      <c r="AN20">
        <v>1258.56</v>
      </c>
      <c r="AP20" s="39">
        <v>45398</v>
      </c>
      <c r="AQ20">
        <v>69.720100000000002</v>
      </c>
      <c r="AR20">
        <v>16.163</v>
      </c>
      <c r="AU20" t="s">
        <v>1847</v>
      </c>
      <c r="AV20">
        <v>14</v>
      </c>
      <c r="AW20">
        <v>14</v>
      </c>
      <c r="AY20" t="s">
        <v>1845</v>
      </c>
      <c r="AZ20">
        <v>51</v>
      </c>
      <c r="BA20" t="str">
        <f t="shared" si="0"/>
        <v>Khánh Hòa</v>
      </c>
      <c r="BB20">
        <f t="shared" si="2"/>
        <v>8</v>
      </c>
      <c r="BE20" s="38">
        <f t="shared" si="1"/>
        <v>0.15686274509803921</v>
      </c>
      <c r="BF20" t="s">
        <v>1847</v>
      </c>
      <c r="BG20">
        <v>14</v>
      </c>
      <c r="BI20" t="s">
        <v>1845</v>
      </c>
      <c r="BJ20">
        <v>43</v>
      </c>
      <c r="BK20">
        <v>1</v>
      </c>
    </row>
    <row r="21" spans="2:63">
      <c r="B21" t="s">
        <v>1848</v>
      </c>
      <c r="C21" s="965">
        <f>C17</f>
        <v>9.1418850070931854E-2</v>
      </c>
      <c r="D21" s="965">
        <f t="shared" ref="D21:K21" si="19">D17</f>
        <v>6.8628404814535096E-2</v>
      </c>
      <c r="E21" s="965">
        <f t="shared" si="19"/>
        <v>9.9541033399739492E-2</v>
      </c>
      <c r="F21" s="965">
        <f t="shared" si="19"/>
        <v>6.3264567418866713E-2</v>
      </c>
      <c r="G21" s="965">
        <f t="shared" si="19"/>
        <v>8.2897528829483771E-2</v>
      </c>
      <c r="H21" s="965">
        <f t="shared" si="19"/>
        <v>5.8701237725399515E-2</v>
      </c>
      <c r="I21" s="965">
        <f t="shared" si="19"/>
        <v>7.4995041452206937E-2</v>
      </c>
      <c r="J21" s="965">
        <f t="shared" si="19"/>
        <v>6.7105968288942275E-2</v>
      </c>
      <c r="K21" s="965">
        <f t="shared" si="19"/>
        <v>7.8990680339911537E-2</v>
      </c>
      <c r="L21" s="965">
        <f t="shared" ref="L21:M21" si="20">L17</f>
        <v>5.2979620732406162E-2</v>
      </c>
      <c r="M21" s="965">
        <f t="shared" si="20"/>
        <v>0.1026850712197781</v>
      </c>
      <c r="AL21" s="39">
        <v>45391</v>
      </c>
      <c r="AM21">
        <v>52800</v>
      </c>
      <c r="AN21">
        <v>1262.82</v>
      </c>
      <c r="AP21" s="39">
        <v>45397</v>
      </c>
      <c r="AQ21">
        <v>69.720100000000002</v>
      </c>
      <c r="AR21">
        <v>16.1753</v>
      </c>
      <c r="AU21" t="s">
        <v>1849</v>
      </c>
      <c r="AV21">
        <v>26</v>
      </c>
      <c r="AW21">
        <v>27</v>
      </c>
      <c r="AY21" t="s">
        <v>1840</v>
      </c>
      <c r="AZ21">
        <v>67</v>
      </c>
      <c r="BA21" t="str">
        <f t="shared" si="0"/>
        <v>Kiên Giang</v>
      </c>
      <c r="BB21">
        <f t="shared" si="2"/>
        <v>16</v>
      </c>
      <c r="BE21" s="38">
        <f t="shared" si="1"/>
        <v>0.23880597014925373</v>
      </c>
      <c r="BF21" t="s">
        <v>1849</v>
      </c>
      <c r="BG21">
        <v>27</v>
      </c>
      <c r="BI21" t="s">
        <v>1840</v>
      </c>
      <c r="BJ21">
        <v>51</v>
      </c>
    </row>
    <row r="22" spans="2:63">
      <c r="AL22" s="39">
        <v>45390</v>
      </c>
      <c r="AM22">
        <v>50000</v>
      </c>
      <c r="AN22">
        <v>1250.3499999999999</v>
      </c>
      <c r="AP22" s="39">
        <v>45394</v>
      </c>
      <c r="AQ22">
        <v>72.654200000000003</v>
      </c>
      <c r="AR22">
        <v>16.972899999999999</v>
      </c>
      <c r="AU22" t="s">
        <v>1850</v>
      </c>
      <c r="AV22">
        <v>60</v>
      </c>
      <c r="AW22">
        <v>60</v>
      </c>
      <c r="AY22" t="s">
        <v>1841</v>
      </c>
      <c r="AZ22">
        <v>52</v>
      </c>
      <c r="BA22" t="str">
        <f t="shared" si="0"/>
        <v>Lâm Đồng</v>
      </c>
      <c r="BB22">
        <f t="shared" si="2"/>
        <v>2</v>
      </c>
      <c r="BE22" s="38">
        <f t="shared" si="1"/>
        <v>3.8461538461538464E-2</v>
      </c>
      <c r="BF22" t="s">
        <v>1850</v>
      </c>
      <c r="BG22">
        <v>60</v>
      </c>
      <c r="BI22" t="s">
        <v>1841</v>
      </c>
      <c r="BJ22">
        <v>50</v>
      </c>
      <c r="BK22">
        <v>1</v>
      </c>
    </row>
    <row r="23" spans="2:63">
      <c r="C23">
        <v>2021</v>
      </c>
      <c r="D23">
        <v>2022</v>
      </c>
      <c r="E23">
        <v>2023</v>
      </c>
      <c r="F23">
        <v>2024</v>
      </c>
      <c r="G23" t="s">
        <v>391</v>
      </c>
      <c r="H23" t="s">
        <v>2</v>
      </c>
      <c r="AL23" s="39">
        <v>45387</v>
      </c>
      <c r="AM23">
        <v>51000</v>
      </c>
      <c r="AN23">
        <v>1255.1099999999999</v>
      </c>
      <c r="AP23" s="39">
        <v>45393</v>
      </c>
      <c r="AQ23">
        <v>73.073400000000007</v>
      </c>
      <c r="AR23">
        <v>16.728300000000001</v>
      </c>
      <c r="AU23" t="s">
        <v>1851</v>
      </c>
      <c r="AV23">
        <v>65</v>
      </c>
      <c r="AW23">
        <v>65</v>
      </c>
      <c r="AY23" t="s">
        <v>1842</v>
      </c>
      <c r="AZ23">
        <v>97</v>
      </c>
      <c r="BA23" t="str">
        <f t="shared" si="0"/>
        <v>Long An</v>
      </c>
      <c r="BB23">
        <f t="shared" si="2"/>
        <v>5</v>
      </c>
      <c r="BE23" s="38">
        <f t="shared" si="1"/>
        <v>5.1546391752577317E-2</v>
      </c>
      <c r="BF23" t="s">
        <v>1851</v>
      </c>
      <c r="BG23">
        <v>65</v>
      </c>
      <c r="BI23" t="s">
        <v>1842</v>
      </c>
      <c r="BJ23">
        <v>92</v>
      </c>
      <c r="BK23">
        <v>1</v>
      </c>
    </row>
    <row r="24" spans="2:63">
      <c r="B24" t="s">
        <v>497</v>
      </c>
      <c r="C24" s="158">
        <f>Rev_Year!H192</f>
        <v>7094.302021962998</v>
      </c>
      <c r="D24" s="158">
        <f>Rev_Year!I192</f>
        <v>10221.467566597996</v>
      </c>
      <c r="E24" s="158">
        <f>Rev_Year!J192</f>
        <v>2087.4460145259982</v>
      </c>
      <c r="F24" s="158">
        <f>Rev_Year!K192</f>
        <v>4468.6229806810024</v>
      </c>
      <c r="G24" s="158">
        <f ca="1">Rev_Year!L192</f>
        <v>5263.9950834085575</v>
      </c>
      <c r="H24" s="158">
        <f ca="1">Rev_Year!M192</f>
        <v>6099.4368968141589</v>
      </c>
      <c r="AL24" s="39">
        <v>45386</v>
      </c>
      <c r="AM24">
        <v>50700</v>
      </c>
      <c r="AN24">
        <v>1268.25</v>
      </c>
      <c r="AP24" s="39">
        <v>45392</v>
      </c>
      <c r="AQ24">
        <v>72.654200000000003</v>
      </c>
      <c r="AR24">
        <v>16.7331</v>
      </c>
      <c r="AU24" t="s">
        <v>1852</v>
      </c>
      <c r="AV24">
        <v>16</v>
      </c>
      <c r="AW24">
        <v>16</v>
      </c>
      <c r="AY24" t="s">
        <v>1847</v>
      </c>
      <c r="AZ24">
        <v>16</v>
      </c>
      <c r="BA24" t="str">
        <f t="shared" si="0"/>
        <v>Ninh Thuận</v>
      </c>
      <c r="BB24">
        <f t="shared" si="2"/>
        <v>1</v>
      </c>
      <c r="BE24" s="38">
        <f t="shared" si="1"/>
        <v>6.25E-2</v>
      </c>
      <c r="BF24" t="s">
        <v>1852</v>
      </c>
      <c r="BG24">
        <v>16</v>
      </c>
      <c r="BI24" t="s">
        <v>1847</v>
      </c>
      <c r="BJ24">
        <v>15</v>
      </c>
    </row>
    <row r="25" spans="2:63">
      <c r="B25" t="s">
        <v>7</v>
      </c>
      <c r="C25" s="158">
        <f>Rev_Year!H124</f>
        <v>-1012.39304963</v>
      </c>
      <c r="D25" s="158">
        <f>Rev_Year!I124</f>
        <v>-2940.4532178049999</v>
      </c>
      <c r="E25" s="158">
        <f ca="1">Rev_Year!J124</f>
        <v>-986.36495939999895</v>
      </c>
      <c r="F25" s="158">
        <f ca="1">Rev_Year!K124</f>
        <v>102.73869860599933</v>
      </c>
      <c r="G25" s="158">
        <f ca="1">Rev_Year!L124</f>
        <v>720.5086663896243</v>
      </c>
      <c r="H25" s="158">
        <f ca="1">Rev_Year!M124</f>
        <v>1666.8605919733013</v>
      </c>
      <c r="AL25" s="39">
        <v>45385</v>
      </c>
      <c r="AM25">
        <v>50200</v>
      </c>
      <c r="AN25">
        <v>1271.47</v>
      </c>
      <c r="AP25" s="39">
        <v>45391</v>
      </c>
      <c r="AQ25">
        <v>73.772000000000006</v>
      </c>
      <c r="AR25">
        <v>16.7897</v>
      </c>
      <c r="AU25" t="s">
        <v>1853</v>
      </c>
      <c r="AV25">
        <v>34</v>
      </c>
      <c r="AW25">
        <v>35</v>
      </c>
      <c r="AY25" t="s">
        <v>1854</v>
      </c>
      <c r="AZ25">
        <v>11</v>
      </c>
      <c r="BA25" t="str">
        <f t="shared" si="0"/>
        <v>Phú Yên</v>
      </c>
      <c r="BB25">
        <f t="shared" si="2"/>
        <v>6</v>
      </c>
      <c r="BE25" s="38">
        <f t="shared" si="1"/>
        <v>0.54545454545454541</v>
      </c>
      <c r="BF25" t="s">
        <v>1853</v>
      </c>
      <c r="BG25">
        <v>35</v>
      </c>
      <c r="BI25" t="s">
        <v>1854</v>
      </c>
      <c r="BJ25">
        <v>5</v>
      </c>
    </row>
    <row r="26" spans="2:63">
      <c r="B26" t="s">
        <v>49</v>
      </c>
      <c r="C26" s="181">
        <f>-(C24+C25-C27)</f>
        <v>-1178.2717979569989</v>
      </c>
      <c r="D26" s="181">
        <f t="shared" ref="D26:F26" si="21">-(D24+D25-D27)</f>
        <v>-3179.2999238539942</v>
      </c>
      <c r="E26" s="181">
        <f t="shared" ca="1" si="21"/>
        <v>-933.2519001870013</v>
      </c>
      <c r="F26" s="181">
        <f t="shared" ca="1" si="21"/>
        <v>-838.07345056699887</v>
      </c>
      <c r="G26" s="181">
        <f ca="1">-(G24+G25-G27)</f>
        <v>812.55249913464377</v>
      </c>
      <c r="H26" s="181">
        <f ca="1">-(H24+H25-H27)</f>
        <v>920.60951657909027</v>
      </c>
      <c r="AL26" s="39">
        <v>45384</v>
      </c>
      <c r="AM26">
        <v>51600</v>
      </c>
      <c r="AN26">
        <v>1287.04</v>
      </c>
      <c r="AP26" s="39">
        <v>45390</v>
      </c>
      <c r="AQ26">
        <v>69.859800000000007</v>
      </c>
      <c r="AR26">
        <v>16.623899999999999</v>
      </c>
      <c r="AU26" t="s">
        <v>1824</v>
      </c>
      <c r="AV26">
        <v>50</v>
      </c>
      <c r="AW26">
        <v>50</v>
      </c>
      <c r="AY26" t="s">
        <v>1855</v>
      </c>
      <c r="AZ26">
        <v>29</v>
      </c>
      <c r="BA26" t="str">
        <f t="shared" si="0"/>
        <v>Quảng Nam</v>
      </c>
      <c r="BB26">
        <f t="shared" si="2"/>
        <v>7</v>
      </c>
      <c r="BE26" s="38">
        <f t="shared" si="1"/>
        <v>0.2413793103448276</v>
      </c>
      <c r="BF26" t="s">
        <v>1824</v>
      </c>
      <c r="BG26">
        <v>50</v>
      </c>
      <c r="BI26" t="s">
        <v>1855</v>
      </c>
      <c r="BJ26">
        <v>22</v>
      </c>
      <c r="BK26">
        <v>1</v>
      </c>
    </row>
    <row r="27" spans="2:63">
      <c r="C27" s="21">
        <f>FS!L101</f>
        <v>4903.6371743759992</v>
      </c>
      <c r="D27" s="21">
        <f>FS!M101</f>
        <v>4101.7144249390021</v>
      </c>
      <c r="E27" s="21">
        <f>FS!N101</f>
        <v>167.82915493899793</v>
      </c>
      <c r="F27" s="21">
        <f>FS!O101</f>
        <v>3733.2882287200027</v>
      </c>
      <c r="G27" s="21">
        <f ca="1">FS!P101</f>
        <v>6797.0562489328258</v>
      </c>
      <c r="H27" s="21">
        <f ca="1">FS!Q101</f>
        <v>8686.9070053665509</v>
      </c>
      <c r="AL27" s="39">
        <v>45383</v>
      </c>
      <c r="AM27">
        <v>51400</v>
      </c>
      <c r="AN27">
        <v>1281.52</v>
      </c>
      <c r="AP27" s="39">
        <v>45387</v>
      </c>
      <c r="AQ27">
        <v>71.257000000000005</v>
      </c>
      <c r="AR27">
        <v>16.686900000000001</v>
      </c>
      <c r="AY27" t="s">
        <v>1856</v>
      </c>
      <c r="AZ27">
        <v>20</v>
      </c>
      <c r="BA27" t="str">
        <f t="shared" si="0"/>
        <v>Quảng Ngãi</v>
      </c>
      <c r="BB27">
        <f t="shared" si="2"/>
        <v>2</v>
      </c>
      <c r="BE27" s="38">
        <f t="shared" si="1"/>
        <v>0.1</v>
      </c>
      <c r="BF27" t="s">
        <v>1857</v>
      </c>
      <c r="BG27">
        <v>5</v>
      </c>
      <c r="BI27" t="s">
        <v>1856</v>
      </c>
      <c r="BJ27">
        <v>18</v>
      </c>
    </row>
    <row r="28" spans="2:63">
      <c r="C28" s="181">
        <f>C24-C27</f>
        <v>2190.6648475869988</v>
      </c>
      <c r="AL28" s="39">
        <v>45380</v>
      </c>
      <c r="AM28">
        <v>51100</v>
      </c>
      <c r="AN28">
        <v>1284.0899999999999</v>
      </c>
      <c r="AP28" s="39">
        <v>45386</v>
      </c>
      <c r="AQ28">
        <v>70.837900000000005</v>
      </c>
      <c r="AR28">
        <v>16.861599999999999</v>
      </c>
      <c r="AY28" t="s">
        <v>1849</v>
      </c>
      <c r="AZ28">
        <v>43</v>
      </c>
      <c r="BA28" t="str">
        <f t="shared" si="0"/>
        <v>Sóc Trăng</v>
      </c>
      <c r="BB28">
        <f t="shared" si="2"/>
        <v>15</v>
      </c>
      <c r="BE28" s="38">
        <f t="shared" si="1"/>
        <v>0.34883720930232559</v>
      </c>
      <c r="BF28" t="s">
        <v>1855</v>
      </c>
      <c r="BG28">
        <v>12</v>
      </c>
      <c r="BH28">
        <v>1</v>
      </c>
      <c r="BI28" t="s">
        <v>1849</v>
      </c>
      <c r="BJ28">
        <v>28</v>
      </c>
    </row>
    <row r="29" spans="2:63">
      <c r="C29" s="181">
        <f>C28+C25</f>
        <v>1178.2717979569989</v>
      </c>
      <c r="N29">
        <f>2131-Rev_Month!CG41</f>
        <v>361</v>
      </c>
      <c r="AL29" s="39">
        <v>45379</v>
      </c>
      <c r="AM29">
        <v>51000</v>
      </c>
      <c r="AN29">
        <v>1290.18</v>
      </c>
      <c r="AP29" s="39">
        <v>45385</v>
      </c>
      <c r="AQ29">
        <v>70.139300000000006</v>
      </c>
      <c r="AR29">
        <v>16.904399999999999</v>
      </c>
      <c r="AY29" t="s">
        <v>1850</v>
      </c>
      <c r="AZ29">
        <v>64</v>
      </c>
      <c r="BA29" t="str">
        <f t="shared" si="0"/>
        <v>Tây Ninh</v>
      </c>
      <c r="BB29">
        <f t="shared" si="2"/>
        <v>4</v>
      </c>
      <c r="BE29" s="38">
        <f t="shared" si="1"/>
        <v>6.25E-2</v>
      </c>
      <c r="BF29" t="s">
        <v>1856</v>
      </c>
      <c r="BG29">
        <v>5</v>
      </c>
      <c r="BI29" t="s">
        <v>1850</v>
      </c>
      <c r="BJ29">
        <v>60</v>
      </c>
    </row>
    <row r="30" spans="2:63">
      <c r="B30" t="s">
        <v>97</v>
      </c>
      <c r="C30">
        <f>'2024_Q'!N22</f>
        <v>800.15</v>
      </c>
      <c r="AL30" s="39">
        <v>45378</v>
      </c>
      <c r="AM30">
        <v>50700</v>
      </c>
      <c r="AN30">
        <v>1283.0899999999999</v>
      </c>
      <c r="AP30" s="39">
        <v>45384</v>
      </c>
      <c r="AQ30">
        <v>72.095299999999995</v>
      </c>
      <c r="AR30">
        <v>17.111499999999999</v>
      </c>
      <c r="AY30" t="s">
        <v>1851</v>
      </c>
      <c r="AZ30">
        <v>68</v>
      </c>
      <c r="BA30" t="str">
        <f t="shared" si="0"/>
        <v>Tiền Giang</v>
      </c>
      <c r="BB30">
        <f t="shared" si="2"/>
        <v>1</v>
      </c>
      <c r="BE30" s="38">
        <f t="shared" si="1"/>
        <v>1.4705882352941176E-2</v>
      </c>
      <c r="BF30" t="s">
        <v>1828</v>
      </c>
      <c r="BG30">
        <v>1</v>
      </c>
      <c r="BI30" t="s">
        <v>1851</v>
      </c>
      <c r="BJ30">
        <v>67</v>
      </c>
    </row>
    <row r="31" spans="2:63">
      <c r="B31" t="s">
        <v>497</v>
      </c>
      <c r="C31" s="158">
        <f>Rev_Year!AU57-Rev_Year!AQ57</f>
        <v>900.15571535293748</v>
      </c>
      <c r="AL31" s="39">
        <v>45377</v>
      </c>
      <c r="AM31">
        <v>48650</v>
      </c>
      <c r="AN31">
        <v>1282.21</v>
      </c>
      <c r="AP31" s="39">
        <v>45383</v>
      </c>
      <c r="AQ31">
        <v>71.815899999999999</v>
      </c>
      <c r="AR31">
        <v>16.923300000000001</v>
      </c>
      <c r="AY31" t="s">
        <v>1852</v>
      </c>
      <c r="AZ31">
        <v>25</v>
      </c>
      <c r="BA31" t="str">
        <f t="shared" si="0"/>
        <v>Trà Vinh</v>
      </c>
      <c r="BB31">
        <f t="shared" si="2"/>
        <v>7</v>
      </c>
      <c r="BE31" s="38">
        <f t="shared" si="1"/>
        <v>0.28000000000000003</v>
      </c>
      <c r="BI31" t="s">
        <v>1852</v>
      </c>
      <c r="BJ31">
        <v>18</v>
      </c>
    </row>
    <row r="32" spans="2:63">
      <c r="B32" t="s">
        <v>7</v>
      </c>
      <c r="C32" s="158">
        <f ca="1">Rev_Year!AU50-Rev_Year!AQ50</f>
        <v>338.62797510400009</v>
      </c>
      <c r="AL32" s="39">
        <v>45376</v>
      </c>
      <c r="AM32">
        <v>48300</v>
      </c>
      <c r="AN32">
        <v>1267.8599999999999</v>
      </c>
      <c r="AP32" s="39">
        <v>45380</v>
      </c>
      <c r="AQ32">
        <v>71.396799999999999</v>
      </c>
      <c r="AR32">
        <v>16.959800000000001</v>
      </c>
      <c r="AY32" t="s">
        <v>1853</v>
      </c>
      <c r="AZ32">
        <v>35</v>
      </c>
      <c r="BA32" t="str">
        <f t="shared" si="0"/>
        <v>Vĩnh Long</v>
      </c>
      <c r="BB32">
        <f t="shared" si="2"/>
        <v>0</v>
      </c>
      <c r="BE32" s="38">
        <f t="shared" si="1"/>
        <v>0</v>
      </c>
      <c r="BI32" t="s">
        <v>1853</v>
      </c>
      <c r="BJ32">
        <v>35</v>
      </c>
    </row>
    <row r="33" spans="2:63">
      <c r="B33" t="s">
        <v>1858</v>
      </c>
      <c r="C33" s="158">
        <f>(Rev_Year!AU54+Rev_Year!AU55)-(Rev_Year!AQ54+Rev_Year!AQ55)</f>
        <v>70.745448034999981</v>
      </c>
      <c r="AL33" s="39">
        <v>45373</v>
      </c>
      <c r="AM33">
        <v>49100</v>
      </c>
      <c r="AN33">
        <v>1281.8</v>
      </c>
      <c r="AP33" s="39">
        <v>45379</v>
      </c>
      <c r="AQ33">
        <v>448.4744</v>
      </c>
      <c r="AR33">
        <v>16.705500000000001</v>
      </c>
      <c r="AY33" t="s">
        <v>1859</v>
      </c>
      <c r="AZ33">
        <v>21</v>
      </c>
      <c r="BA33" t="str">
        <f t="shared" si="0"/>
        <v>Thừa Thiên Huế</v>
      </c>
      <c r="BB33">
        <f t="shared" si="2"/>
        <v>15</v>
      </c>
      <c r="BE33" s="38">
        <f t="shared" si="1"/>
        <v>0.7142857142857143</v>
      </c>
      <c r="BI33" t="s">
        <v>1859</v>
      </c>
      <c r="BJ33">
        <v>6</v>
      </c>
      <c r="BK33">
        <v>1</v>
      </c>
    </row>
    <row r="34" spans="2:63">
      <c r="B34" t="s">
        <v>1860</v>
      </c>
      <c r="C34" s="123">
        <f ca="1">C35-C30-C31-C32-C33</f>
        <v>-338.78022118793757</v>
      </c>
      <c r="AL34" s="39">
        <v>45372</v>
      </c>
      <c r="AM34">
        <v>48500</v>
      </c>
      <c r="AN34">
        <v>1276.42</v>
      </c>
      <c r="AP34" s="39">
        <v>45378</v>
      </c>
      <c r="AQ34">
        <v>445.83629999999999</v>
      </c>
      <c r="AR34">
        <v>16.615400000000001</v>
      </c>
      <c r="AY34" t="s">
        <v>1861</v>
      </c>
      <c r="AZ34">
        <v>8</v>
      </c>
      <c r="BA34" t="str">
        <f t="shared" si="0"/>
        <v>Quảng Trị</v>
      </c>
      <c r="BB34">
        <f t="shared" si="2"/>
        <v>1</v>
      </c>
      <c r="BE34" s="38">
        <f t="shared" si="1"/>
        <v>0.125</v>
      </c>
      <c r="BI34" t="s">
        <v>1861</v>
      </c>
      <c r="BJ34">
        <v>7</v>
      </c>
    </row>
    <row r="35" spans="2:63">
      <c r="B35" t="s">
        <v>101</v>
      </c>
      <c r="C35" s="158">
        <f>'2024_Q'!M22</f>
        <v>1770.898917304</v>
      </c>
      <c r="AL35" s="39">
        <v>45371</v>
      </c>
      <c r="AM35">
        <v>48000</v>
      </c>
      <c r="AN35">
        <v>1260.08</v>
      </c>
      <c r="AP35" s="39">
        <v>45377</v>
      </c>
      <c r="AQ35">
        <v>427.80939999999998</v>
      </c>
      <c r="AR35">
        <v>16.604199999999999</v>
      </c>
      <c r="AY35" t="s">
        <v>1862</v>
      </c>
      <c r="AZ35">
        <v>20</v>
      </c>
      <c r="BA35" t="str">
        <f t="shared" si="0"/>
        <v>Nghệ An</v>
      </c>
      <c r="BB35">
        <f t="shared" si="2"/>
        <v>15</v>
      </c>
      <c r="BE35" s="38">
        <f t="shared" si="1"/>
        <v>0.75</v>
      </c>
      <c r="BI35" t="s">
        <v>1862</v>
      </c>
      <c r="BJ35">
        <v>5</v>
      </c>
      <c r="BK35">
        <v>1</v>
      </c>
    </row>
    <row r="36" spans="2:63">
      <c r="AL36" s="39">
        <v>45370</v>
      </c>
      <c r="AM36">
        <v>45500</v>
      </c>
      <c r="AN36">
        <v>1242.46</v>
      </c>
      <c r="AP36" s="39">
        <v>45376</v>
      </c>
      <c r="AQ36">
        <v>424.73169999999999</v>
      </c>
      <c r="AR36">
        <v>16.3626</v>
      </c>
      <c r="AY36" t="s">
        <v>1863</v>
      </c>
      <c r="AZ36">
        <v>22</v>
      </c>
      <c r="BA36" t="str">
        <f t="shared" si="0"/>
        <v>Thanh Hóa</v>
      </c>
      <c r="BB36">
        <f t="shared" si="2"/>
        <v>12</v>
      </c>
      <c r="BE36" s="38">
        <f t="shared" si="1"/>
        <v>0.54545454545454541</v>
      </c>
      <c r="BI36" t="s">
        <v>1863</v>
      </c>
      <c r="BJ36">
        <v>10</v>
      </c>
    </row>
    <row r="37" spans="2:63">
      <c r="AL37" s="39">
        <v>45369</v>
      </c>
      <c r="AM37">
        <v>45900</v>
      </c>
      <c r="AN37">
        <v>1243.56</v>
      </c>
      <c r="AP37" s="39">
        <v>45373</v>
      </c>
      <c r="AQ37">
        <v>431.76659999999998</v>
      </c>
      <c r="AR37">
        <v>16.5412</v>
      </c>
      <c r="AY37" t="s">
        <v>1864</v>
      </c>
      <c r="AZ37">
        <v>0</v>
      </c>
      <c r="BA37" t="str">
        <f t="shared" si="0"/>
        <v xml:space="preserve">Quảng Bình </v>
      </c>
      <c r="BB37">
        <v>0</v>
      </c>
      <c r="BE37" s="38" t="e">
        <f t="shared" si="1"/>
        <v>#DIV/0!</v>
      </c>
      <c r="BI37" t="s">
        <v>1864</v>
      </c>
      <c r="BJ37">
        <v>12</v>
      </c>
    </row>
    <row r="38" spans="2:63">
      <c r="AL38" s="39">
        <v>45366</v>
      </c>
      <c r="AM38">
        <v>47350</v>
      </c>
      <c r="AN38">
        <v>1263.78</v>
      </c>
      <c r="AP38" s="39">
        <v>45372</v>
      </c>
      <c r="AQ38">
        <v>426.49040000000002</v>
      </c>
      <c r="AR38">
        <v>16.4513</v>
      </c>
      <c r="AY38" t="s">
        <v>1865</v>
      </c>
      <c r="AZ38">
        <v>12</v>
      </c>
      <c r="BA38" t="str">
        <f t="shared" si="0"/>
        <v>Hà Tĩnh</v>
      </c>
      <c r="BB38">
        <f t="shared" si="2"/>
        <v>5</v>
      </c>
      <c r="BE38" s="38">
        <f t="shared" si="1"/>
        <v>0.41666666666666669</v>
      </c>
      <c r="BI38" t="s">
        <v>1865</v>
      </c>
      <c r="BJ38">
        <v>7</v>
      </c>
    </row>
    <row r="39" spans="2:63">
      <c r="AL39" s="39">
        <v>45365</v>
      </c>
      <c r="AM39">
        <v>47250</v>
      </c>
      <c r="AN39">
        <v>1264.26</v>
      </c>
      <c r="AP39" s="39">
        <v>45371</v>
      </c>
      <c r="AQ39">
        <v>422.09359999999998</v>
      </c>
      <c r="AR39">
        <v>16.239699999999999</v>
      </c>
      <c r="BA39" t="s">
        <v>1866</v>
      </c>
      <c r="BB39">
        <v>1</v>
      </c>
    </row>
    <row r="40" spans="2:63">
      <c r="AL40" s="39">
        <v>45364</v>
      </c>
      <c r="AM40">
        <v>48550</v>
      </c>
      <c r="AN40">
        <v>1270.51</v>
      </c>
      <c r="AP40" s="39">
        <v>45370</v>
      </c>
      <c r="AQ40">
        <v>400.1096</v>
      </c>
      <c r="AR40">
        <v>16.0122</v>
      </c>
      <c r="BA40" t="s">
        <v>1867</v>
      </c>
      <c r="BB40">
        <v>1</v>
      </c>
    </row>
    <row r="41" spans="2:63">
      <c r="AL41" s="39">
        <v>45363</v>
      </c>
      <c r="AM41">
        <v>46750</v>
      </c>
      <c r="AN41">
        <v>1245</v>
      </c>
      <c r="AP41" s="39">
        <v>45369</v>
      </c>
      <c r="AQ41">
        <v>403.62700000000001</v>
      </c>
      <c r="AR41">
        <v>16.026499999999999</v>
      </c>
    </row>
    <row r="42" spans="2:63">
      <c r="AL42" s="39">
        <v>45362</v>
      </c>
      <c r="AM42">
        <v>46400</v>
      </c>
      <c r="AN42">
        <v>1235.49</v>
      </c>
      <c r="AP42" s="39">
        <v>45366</v>
      </c>
      <c r="AQ42">
        <v>416.3777</v>
      </c>
      <c r="AR42">
        <v>16.2806</v>
      </c>
    </row>
    <row r="43" spans="2:63">
      <c r="AL43" s="39">
        <v>45359</v>
      </c>
      <c r="AM43">
        <v>47750</v>
      </c>
      <c r="AN43">
        <v>1247.3499999999999</v>
      </c>
      <c r="AP43" s="39">
        <v>45365</v>
      </c>
      <c r="AQ43">
        <v>415.4984</v>
      </c>
      <c r="AR43">
        <v>16.2791</v>
      </c>
    </row>
    <row r="44" spans="2:63">
      <c r="AL44" s="39">
        <v>45358</v>
      </c>
      <c r="AM44">
        <v>49000</v>
      </c>
      <c r="AN44">
        <v>1268.46</v>
      </c>
      <c r="AP44" s="39">
        <v>45364</v>
      </c>
      <c r="AQ44">
        <v>426.93009999999998</v>
      </c>
      <c r="AR44">
        <v>16.3598</v>
      </c>
    </row>
    <row r="45" spans="2:63">
      <c r="AL45" s="39">
        <v>45357</v>
      </c>
      <c r="AM45">
        <v>48700</v>
      </c>
      <c r="AN45">
        <v>1262.73</v>
      </c>
      <c r="AP45" s="39">
        <v>45363</v>
      </c>
      <c r="AQ45">
        <v>411.10160000000002</v>
      </c>
      <c r="AR45">
        <v>16.030200000000001</v>
      </c>
    </row>
    <row r="46" spans="2:63">
      <c r="AL46" s="39">
        <v>45356</v>
      </c>
      <c r="AM46">
        <v>50000</v>
      </c>
      <c r="AN46">
        <v>1269.98</v>
      </c>
      <c r="AP46" s="39">
        <v>45362</v>
      </c>
      <c r="AQ46">
        <v>408.02379999999999</v>
      </c>
      <c r="AR46">
        <v>15.902100000000001</v>
      </c>
    </row>
    <row r="47" spans="2:63">
      <c r="AL47" s="39">
        <v>45355</v>
      </c>
      <c r="AM47">
        <v>47400</v>
      </c>
      <c r="AN47">
        <v>1261.4100000000001</v>
      </c>
      <c r="AP47" s="39">
        <v>45359</v>
      </c>
      <c r="AQ47">
        <v>419.89519999999999</v>
      </c>
      <c r="AR47">
        <v>16.055900000000001</v>
      </c>
    </row>
    <row r="48" spans="2:63">
      <c r="AL48" s="39">
        <v>45352</v>
      </c>
      <c r="AM48">
        <v>46600</v>
      </c>
      <c r="AN48">
        <v>1258.28</v>
      </c>
      <c r="AP48" s="39">
        <v>45358</v>
      </c>
      <c r="AQ48">
        <v>430.88720000000001</v>
      </c>
      <c r="AR48">
        <v>16.318200000000001</v>
      </c>
    </row>
    <row r="49" spans="2:44">
      <c r="AL49" s="39">
        <v>45351</v>
      </c>
      <c r="AM49">
        <v>46200</v>
      </c>
      <c r="AN49">
        <v>1252.73</v>
      </c>
      <c r="AP49" s="39">
        <v>45357</v>
      </c>
      <c r="AQ49">
        <v>428.2491</v>
      </c>
      <c r="AR49">
        <v>16.244499999999999</v>
      </c>
    </row>
    <row r="50" spans="2:44">
      <c r="C50" s="979" t="s">
        <v>1868</v>
      </c>
      <c r="D50" s="979" t="s">
        <v>1869</v>
      </c>
      <c r="AL50" s="39">
        <v>45350</v>
      </c>
      <c r="AM50">
        <v>45300</v>
      </c>
      <c r="AN50">
        <v>1254.55</v>
      </c>
      <c r="AP50" s="39">
        <v>45356</v>
      </c>
      <c r="AQ50">
        <v>439.68079999999998</v>
      </c>
      <c r="AR50">
        <v>16.334900000000001</v>
      </c>
    </row>
    <row r="51" spans="2:44">
      <c r="B51" t="s">
        <v>91</v>
      </c>
      <c r="C51" s="979">
        <v>219.65071770334899</v>
      </c>
      <c r="D51" s="979">
        <v>503.68537745621501</v>
      </c>
      <c r="AL51" s="39">
        <v>45349</v>
      </c>
      <c r="AM51">
        <v>44750</v>
      </c>
      <c r="AN51">
        <v>1237.46</v>
      </c>
      <c r="AP51" s="39">
        <v>45355</v>
      </c>
      <c r="AQ51">
        <v>416.81740000000002</v>
      </c>
      <c r="AR51">
        <v>16.224699999999999</v>
      </c>
    </row>
    <row r="52" spans="2:44">
      <c r="B52" t="s">
        <v>92</v>
      </c>
      <c r="C52" s="979">
        <v>276.45693779904298</v>
      </c>
      <c r="D52" s="979">
        <v>310.54644279264699</v>
      </c>
      <c r="AL52" s="39">
        <v>45348</v>
      </c>
      <c r="AM52">
        <v>44350</v>
      </c>
      <c r="AN52">
        <v>1224.17</v>
      </c>
      <c r="AP52" s="39">
        <v>45352</v>
      </c>
      <c r="AQ52">
        <v>409.78250000000003</v>
      </c>
      <c r="AR52">
        <v>16.1846</v>
      </c>
    </row>
    <row r="53" spans="2:44">
      <c r="B53" t="s">
        <v>93</v>
      </c>
      <c r="C53" s="979">
        <v>314.32775119617202</v>
      </c>
      <c r="D53" s="979">
        <v>213.970095693779</v>
      </c>
      <c r="AL53" s="39">
        <v>45345</v>
      </c>
      <c r="AM53">
        <v>44000</v>
      </c>
      <c r="AN53">
        <v>1212</v>
      </c>
      <c r="AP53" s="39">
        <v>45351</v>
      </c>
      <c r="AQ53">
        <v>406.26510000000002</v>
      </c>
      <c r="AR53">
        <v>16.109300000000001</v>
      </c>
    </row>
    <row r="54" spans="2:44">
      <c r="B54" t="s">
        <v>94</v>
      </c>
      <c r="C54" s="979">
        <v>316.22129186602803</v>
      </c>
      <c r="D54" s="979">
        <v>185.576646316249</v>
      </c>
      <c r="AL54" s="39">
        <v>45344</v>
      </c>
      <c r="AM54">
        <v>45300</v>
      </c>
      <c r="AN54">
        <v>1227.31</v>
      </c>
      <c r="AP54" s="39">
        <v>45350</v>
      </c>
      <c r="AQ54">
        <v>398.35079999999999</v>
      </c>
      <c r="AR54">
        <v>16.1327</v>
      </c>
    </row>
    <row r="55" spans="2:44">
      <c r="B55" t="s">
        <v>95</v>
      </c>
      <c r="C55" s="979">
        <v>276.46342245131098</v>
      </c>
      <c r="D55" s="979">
        <v>208.28947368421001</v>
      </c>
      <c r="F55" s="166">
        <v>-0.25</v>
      </c>
      <c r="AL55" s="39">
        <v>45343</v>
      </c>
      <c r="AM55">
        <v>46100</v>
      </c>
      <c r="AN55">
        <v>1230.04</v>
      </c>
      <c r="AP55" s="39">
        <v>45349</v>
      </c>
      <c r="AQ55">
        <v>393.51429999999999</v>
      </c>
      <c r="AR55">
        <v>15.913</v>
      </c>
    </row>
    <row r="56" spans="2:44">
      <c r="B56" t="s">
        <v>96</v>
      </c>
      <c r="C56" s="979">
        <v>397.64804907446501</v>
      </c>
      <c r="D56" s="979">
        <v>147.69617224880301</v>
      </c>
      <c r="E56" s="38">
        <f>C56/C52-1</f>
        <v>0.43837247218413466</v>
      </c>
      <c r="AL56" s="39">
        <v>45342</v>
      </c>
      <c r="AM56">
        <v>46800</v>
      </c>
      <c r="AN56">
        <v>1230.06</v>
      </c>
      <c r="AP56" s="39">
        <v>45348</v>
      </c>
      <c r="AQ56">
        <v>389.99689999999998</v>
      </c>
      <c r="AR56">
        <v>15.742100000000001</v>
      </c>
    </row>
    <row r="57" spans="2:44">
      <c r="B57" t="s">
        <v>97</v>
      </c>
      <c r="C57" s="979">
        <v>335.16204750685301</v>
      </c>
      <c r="D57" s="979">
        <v>134.44138755980799</v>
      </c>
      <c r="AL57" s="39">
        <v>45341</v>
      </c>
      <c r="AM57">
        <v>46800</v>
      </c>
      <c r="AN57">
        <v>1224.97</v>
      </c>
      <c r="AP57" s="39">
        <v>45345</v>
      </c>
      <c r="AQ57">
        <v>386.91910000000001</v>
      </c>
      <c r="AR57">
        <v>15.585599999999999</v>
      </c>
    </row>
    <row r="58" spans="2:44">
      <c r="B58" t="s">
        <v>98</v>
      </c>
      <c r="C58" s="979">
        <v>418.47248803827699</v>
      </c>
      <c r="D58" s="979">
        <v>160.95095693779899</v>
      </c>
      <c r="AL58" s="39">
        <v>45338</v>
      </c>
      <c r="AM58">
        <v>46300</v>
      </c>
      <c r="AN58">
        <v>1209.7</v>
      </c>
      <c r="AP58" s="39">
        <v>45344</v>
      </c>
      <c r="AQ58">
        <v>398.35079999999999</v>
      </c>
      <c r="AR58">
        <v>15.782400000000001</v>
      </c>
    </row>
    <row r="59" spans="2:44">
      <c r="B59" t="s">
        <v>99</v>
      </c>
      <c r="C59" s="979">
        <v>409.00478468899502</v>
      </c>
      <c r="D59" s="979">
        <v>176.09928229664999</v>
      </c>
      <c r="E59" s="166">
        <v>0.4</v>
      </c>
      <c r="AL59" s="39">
        <v>45337</v>
      </c>
      <c r="AM59">
        <v>45850</v>
      </c>
      <c r="AN59">
        <v>1202.5</v>
      </c>
      <c r="AP59" s="39">
        <v>45343</v>
      </c>
      <c r="AQ59">
        <v>405.38569999999999</v>
      </c>
      <c r="AR59">
        <v>15.817600000000001</v>
      </c>
    </row>
    <row r="60" spans="2:44">
      <c r="AL60" s="39">
        <v>45329</v>
      </c>
      <c r="AM60">
        <v>46600</v>
      </c>
      <c r="AN60">
        <v>1198.53</v>
      </c>
      <c r="AP60" s="39">
        <v>45342</v>
      </c>
      <c r="AQ60">
        <v>411.54129999999998</v>
      </c>
      <c r="AR60">
        <v>15.8178</v>
      </c>
    </row>
    <row r="61" spans="2:44">
      <c r="C61" t="s">
        <v>91</v>
      </c>
      <c r="D61" t="s">
        <v>92</v>
      </c>
      <c r="E61" t="s">
        <v>93</v>
      </c>
      <c r="F61" t="s">
        <v>94</v>
      </c>
      <c r="G61" t="s">
        <v>95</v>
      </c>
      <c r="H61" t="s">
        <v>96</v>
      </c>
      <c r="I61" t="s">
        <v>97</v>
      </c>
      <c r="J61" t="s">
        <v>98</v>
      </c>
      <c r="K61" t="s">
        <v>99</v>
      </c>
      <c r="L61" t="s">
        <v>100</v>
      </c>
      <c r="M61" t="s">
        <v>101</v>
      </c>
      <c r="N61" t="s">
        <v>102</v>
      </c>
      <c r="AL61" s="39">
        <v>45328</v>
      </c>
      <c r="AM61">
        <v>47000</v>
      </c>
      <c r="AN61">
        <v>1188.48</v>
      </c>
      <c r="AP61" s="39">
        <v>45341</v>
      </c>
      <c r="AQ61">
        <v>411.54129999999998</v>
      </c>
      <c r="AR61">
        <v>15.7524</v>
      </c>
    </row>
    <row r="62" spans="2:44">
      <c r="B62" t="s">
        <v>1870</v>
      </c>
      <c r="C62" s="979">
        <v>12</v>
      </c>
      <c r="D62" s="979">
        <v>19.7</v>
      </c>
      <c r="E62">
        <v>22.7</v>
      </c>
      <c r="F62">
        <v>22</v>
      </c>
      <c r="G62">
        <v>19.8</v>
      </c>
      <c r="H62">
        <v>24.2</v>
      </c>
      <c r="I62">
        <v>28.3</v>
      </c>
      <c r="J62">
        <v>28.8</v>
      </c>
      <c r="K62">
        <v>27.7</v>
      </c>
      <c r="L62">
        <v>33</v>
      </c>
      <c r="M62">
        <v>33.32</v>
      </c>
      <c r="S62" t="s">
        <v>1871</v>
      </c>
      <c r="AL62" s="39">
        <v>45327</v>
      </c>
      <c r="AM62">
        <v>47400</v>
      </c>
      <c r="AN62">
        <v>1186.06</v>
      </c>
      <c r="AP62" s="39">
        <v>45338</v>
      </c>
      <c r="AQ62">
        <v>407.14440000000002</v>
      </c>
      <c r="AR62">
        <v>15.555999999999999</v>
      </c>
    </row>
    <row r="63" spans="2:44">
      <c r="B63" t="s">
        <v>1872</v>
      </c>
      <c r="C63" s="979">
        <v>125</v>
      </c>
      <c r="D63" s="979">
        <v>112</v>
      </c>
      <c r="E63">
        <v>104</v>
      </c>
      <c r="F63">
        <v>102</v>
      </c>
      <c r="G63">
        <v>105</v>
      </c>
      <c r="H63">
        <v>100</v>
      </c>
      <c r="I63">
        <v>98</v>
      </c>
      <c r="J63">
        <v>101</v>
      </c>
      <c r="K63">
        <v>109</v>
      </c>
      <c r="L63">
        <v>92</v>
      </c>
      <c r="M63">
        <v>91</v>
      </c>
      <c r="S63" t="s">
        <v>1873</v>
      </c>
      <c r="AL63" s="39">
        <v>45324</v>
      </c>
      <c r="AM63">
        <v>47400</v>
      </c>
      <c r="AN63">
        <v>1172.55</v>
      </c>
      <c r="AP63" s="39">
        <v>45337</v>
      </c>
      <c r="AQ63">
        <v>403.18729999999999</v>
      </c>
      <c r="AR63">
        <v>15.449400000000001</v>
      </c>
    </row>
    <row r="64" spans="2:44">
      <c r="B64" t="s">
        <v>1874</v>
      </c>
      <c r="C64" s="987">
        <f>AVERAGE(C63:J63)</f>
        <v>105.875</v>
      </c>
      <c r="D64" s="987">
        <f>C64</f>
        <v>105.875</v>
      </c>
      <c r="E64" s="987">
        <f t="shared" ref="E64:M64" si="22">D64</f>
        <v>105.875</v>
      </c>
      <c r="F64" s="987">
        <f t="shared" si="22"/>
        <v>105.875</v>
      </c>
      <c r="G64" s="987">
        <f t="shared" si="22"/>
        <v>105.875</v>
      </c>
      <c r="H64" s="987">
        <f t="shared" si="22"/>
        <v>105.875</v>
      </c>
      <c r="I64" s="987">
        <f t="shared" si="22"/>
        <v>105.875</v>
      </c>
      <c r="J64" s="987">
        <f t="shared" si="22"/>
        <v>105.875</v>
      </c>
      <c r="K64" s="987">
        <f t="shared" si="22"/>
        <v>105.875</v>
      </c>
      <c r="L64" s="987">
        <f t="shared" si="22"/>
        <v>105.875</v>
      </c>
      <c r="M64" s="987">
        <f t="shared" si="22"/>
        <v>105.875</v>
      </c>
      <c r="AL64" s="39">
        <v>45323</v>
      </c>
      <c r="AM64">
        <v>46200</v>
      </c>
      <c r="AN64">
        <v>1173.02</v>
      </c>
      <c r="AP64" s="39">
        <v>45336</v>
      </c>
      <c r="AR64">
        <v>15.398400000000001</v>
      </c>
    </row>
    <row r="65" spans="2:44">
      <c r="M65" s="38">
        <f>M64/M63-1</f>
        <v>0.16346153846153855</v>
      </c>
      <c r="AL65" s="39">
        <v>45322</v>
      </c>
      <c r="AM65">
        <v>45000</v>
      </c>
      <c r="AN65">
        <v>1164.31</v>
      </c>
      <c r="AP65" s="39">
        <v>45335</v>
      </c>
      <c r="AR65">
        <v>15.398400000000001</v>
      </c>
    </row>
    <row r="66" spans="2:44">
      <c r="AL66" s="39">
        <v>45321</v>
      </c>
      <c r="AM66">
        <v>45400</v>
      </c>
      <c r="AN66">
        <v>1179.6500000000001</v>
      </c>
      <c r="AP66" s="39">
        <v>45334</v>
      </c>
      <c r="AR66">
        <v>15.398400000000001</v>
      </c>
    </row>
    <row r="67" spans="2:44">
      <c r="C67" s="3457" t="s">
        <v>1875</v>
      </c>
      <c r="D67" s="3457"/>
      <c r="E67" s="3457" t="s">
        <v>1876</v>
      </c>
      <c r="F67" s="3457"/>
      <c r="K67" s="38">
        <f t="shared" ref="K67:L67" si="23">K62/G62-1</f>
        <v>0.39898989898989901</v>
      </c>
      <c r="L67" s="38">
        <f t="shared" si="23"/>
        <v>0.36363636363636376</v>
      </c>
      <c r="M67" s="38">
        <f>M62/I62-1</f>
        <v>0.17738515901060059</v>
      </c>
      <c r="AL67" s="39">
        <v>45320</v>
      </c>
      <c r="AM67">
        <v>44600</v>
      </c>
      <c r="AN67">
        <v>1175.69</v>
      </c>
      <c r="AP67" s="39">
        <v>45331</v>
      </c>
      <c r="AR67">
        <v>15.398400000000001</v>
      </c>
    </row>
    <row r="68" spans="2:44">
      <c r="C68">
        <v>2022</v>
      </c>
      <c r="D68">
        <v>2023</v>
      </c>
      <c r="E68" t="s">
        <v>1877</v>
      </c>
      <c r="F68" t="s">
        <v>1878</v>
      </c>
      <c r="AL68" s="39">
        <v>45317</v>
      </c>
      <c r="AM68">
        <v>44900</v>
      </c>
      <c r="AN68">
        <v>1175.67</v>
      </c>
      <c r="AP68" s="39">
        <v>45330</v>
      </c>
      <c r="AR68">
        <v>15.398400000000001</v>
      </c>
    </row>
    <row r="69" spans="2:44">
      <c r="B69" t="s">
        <v>1879</v>
      </c>
      <c r="C69" s="166">
        <v>0.54</v>
      </c>
      <c r="D69" s="166">
        <v>0.41</v>
      </c>
      <c r="E69" s="166">
        <v>0.43</v>
      </c>
      <c r="F69" s="166">
        <v>0.4</v>
      </c>
      <c r="AL69" s="39">
        <v>45316</v>
      </c>
      <c r="AM69">
        <v>45200</v>
      </c>
      <c r="AN69">
        <v>1170.3699999999999</v>
      </c>
      <c r="AP69" s="39">
        <v>45329</v>
      </c>
      <c r="AQ69">
        <v>409.78250000000003</v>
      </c>
      <c r="AR69">
        <v>15.398400000000001</v>
      </c>
    </row>
    <row r="70" spans="2:44">
      <c r="B70" t="s">
        <v>1880</v>
      </c>
      <c r="C70" s="166">
        <v>0.46</v>
      </c>
      <c r="D70" s="166">
        <v>0.59</v>
      </c>
      <c r="E70" s="166">
        <v>0.56999999999999995</v>
      </c>
      <c r="F70" s="166">
        <v>0.6</v>
      </c>
      <c r="AL70" s="39">
        <v>45315</v>
      </c>
      <c r="AM70">
        <v>44400</v>
      </c>
      <c r="AN70">
        <v>1172.97</v>
      </c>
      <c r="AP70" s="39">
        <v>45328</v>
      </c>
      <c r="AQ70">
        <v>413.3</v>
      </c>
      <c r="AR70">
        <v>15.269</v>
      </c>
    </row>
    <row r="71" spans="2:44">
      <c r="AL71" s="39">
        <v>45314</v>
      </c>
      <c r="AM71">
        <v>45400</v>
      </c>
      <c r="AN71">
        <v>1177.5</v>
      </c>
      <c r="AP71" s="39">
        <v>45327</v>
      </c>
      <c r="AQ71">
        <v>416.81740000000002</v>
      </c>
      <c r="AR71">
        <v>15.2379</v>
      </c>
    </row>
    <row r="72" spans="2:44">
      <c r="AL72" s="39">
        <v>45313</v>
      </c>
      <c r="AM72">
        <v>46150</v>
      </c>
      <c r="AN72">
        <v>1182.8599999999999</v>
      </c>
      <c r="AP72" s="39">
        <v>45324</v>
      </c>
      <c r="AQ72">
        <v>416.81740000000002</v>
      </c>
      <c r="AR72">
        <v>15.064299999999999</v>
      </c>
    </row>
    <row r="73" spans="2:44">
      <c r="B73" t="s">
        <v>1881</v>
      </c>
      <c r="AL73" s="39">
        <v>45310</v>
      </c>
      <c r="AM73">
        <v>46050</v>
      </c>
      <c r="AN73">
        <v>1181.5</v>
      </c>
      <c r="AP73" s="39">
        <v>45323</v>
      </c>
      <c r="AQ73">
        <v>406.26510000000002</v>
      </c>
      <c r="AR73">
        <v>15.071</v>
      </c>
    </row>
    <row r="74" spans="2:44">
      <c r="C74" s="3457" t="s">
        <v>1882</v>
      </c>
      <c r="D74" s="3457"/>
      <c r="E74" s="3457"/>
      <c r="F74" s="3457"/>
      <c r="G74" s="3457"/>
      <c r="H74" s="3457"/>
      <c r="K74" t="s">
        <v>1883</v>
      </c>
      <c r="L74" t="s">
        <v>1884</v>
      </c>
      <c r="M74" t="s">
        <v>1885</v>
      </c>
      <c r="N74" t="s">
        <v>1886</v>
      </c>
      <c r="O74" t="s">
        <v>1887</v>
      </c>
      <c r="P74" t="s">
        <v>1888</v>
      </c>
      <c r="AL74" s="39"/>
      <c r="AP74" s="39"/>
    </row>
    <row r="75" spans="2:44">
      <c r="B75" t="s">
        <v>1889</v>
      </c>
      <c r="C75" t="s">
        <v>81</v>
      </c>
      <c r="D75" t="s">
        <v>85</v>
      </c>
      <c r="E75" t="s">
        <v>89</v>
      </c>
      <c r="F75" t="s">
        <v>93</v>
      </c>
      <c r="G75" t="s">
        <v>97</v>
      </c>
      <c r="H75" t="s">
        <v>101</v>
      </c>
      <c r="AL75" s="39">
        <v>45309</v>
      </c>
      <c r="AM75">
        <v>45850</v>
      </c>
      <c r="AN75">
        <v>1169.06</v>
      </c>
      <c r="AP75" s="39">
        <v>45322</v>
      </c>
      <c r="AQ75">
        <v>395.71269999999998</v>
      </c>
      <c r="AR75">
        <v>14.8232</v>
      </c>
    </row>
    <row r="76" spans="2:44">
      <c r="B76" t="s">
        <v>1890</v>
      </c>
      <c r="C76" s="38">
        <f>6%+8%</f>
        <v>0.14000000000000001</v>
      </c>
      <c r="D76" s="38">
        <f>8%+7%</f>
        <v>0.15000000000000002</v>
      </c>
      <c r="E76" s="38">
        <f>7%+6%</f>
        <v>0.13</v>
      </c>
      <c r="F76" s="38">
        <f>5%+7%</f>
        <v>0.12000000000000001</v>
      </c>
      <c r="G76" s="38">
        <f>5%+6%</f>
        <v>0.11</v>
      </c>
      <c r="H76" s="38">
        <f>6%+5%</f>
        <v>0.11</v>
      </c>
      <c r="K76" s="38">
        <f>25%+14%</f>
        <v>0.39</v>
      </c>
      <c r="L76" s="38">
        <f>17%+22%</f>
        <v>0.39</v>
      </c>
      <c r="M76" s="38">
        <f>6%</f>
        <v>0.06</v>
      </c>
      <c r="N76" s="38">
        <f>16%+39%</f>
        <v>0.55000000000000004</v>
      </c>
      <c r="O76" s="38">
        <f>15%+10%</f>
        <v>0.25</v>
      </c>
      <c r="P76" s="38">
        <f>21%+5%</f>
        <v>0.26</v>
      </c>
      <c r="Q76" s="38"/>
      <c r="AL76" s="39">
        <v>45308</v>
      </c>
      <c r="AM76">
        <v>44900</v>
      </c>
      <c r="AN76">
        <v>1162.53</v>
      </c>
      <c r="AP76" s="39">
        <v>45321</v>
      </c>
      <c r="AQ76">
        <v>399.23020000000002</v>
      </c>
      <c r="AR76">
        <v>14.319599999999999</v>
      </c>
    </row>
    <row r="77" spans="2:44">
      <c r="B77" t="s">
        <v>1891</v>
      </c>
      <c r="C77" s="38">
        <v>7.0000000000000007E-2</v>
      </c>
      <c r="D77" s="38">
        <f>8%</f>
        <v>0.08</v>
      </c>
      <c r="E77" s="38">
        <f>10%</f>
        <v>0.1</v>
      </c>
      <c r="F77" s="38">
        <f>11%</f>
        <v>0.11</v>
      </c>
      <c r="G77" s="38">
        <f>12%</f>
        <v>0.12</v>
      </c>
      <c r="H77" s="38">
        <f>12%</f>
        <v>0.12</v>
      </c>
      <c r="K77" s="38">
        <v>0.03</v>
      </c>
      <c r="L77" s="38">
        <f>12%</f>
        <v>0.12</v>
      </c>
      <c r="M77" s="38">
        <f>16%</f>
        <v>0.16</v>
      </c>
      <c r="N77" s="38">
        <f>14%</f>
        <v>0.14000000000000001</v>
      </c>
      <c r="O77" s="38">
        <f>20%</f>
        <v>0.2</v>
      </c>
      <c r="P77" s="38">
        <f>1%</f>
        <v>0.01</v>
      </c>
      <c r="Q77" s="38"/>
      <c r="AL77" s="39">
        <v>45307</v>
      </c>
      <c r="AM77">
        <v>44300</v>
      </c>
      <c r="AN77">
        <v>1163.1199999999999</v>
      </c>
      <c r="AP77" s="39">
        <v>45320</v>
      </c>
      <c r="AQ77">
        <v>392.19529999999997</v>
      </c>
      <c r="AR77">
        <v>15.6602</v>
      </c>
    </row>
    <row r="78" spans="2:44">
      <c r="B78" t="s">
        <v>1892</v>
      </c>
      <c r="C78" s="38">
        <v>0.02</v>
      </c>
      <c r="D78" s="38">
        <f>4%</f>
        <v>0.04</v>
      </c>
      <c r="E78" s="38">
        <f>5%</f>
        <v>0.05</v>
      </c>
      <c r="F78" s="38">
        <f>7%</f>
        <v>7.0000000000000007E-2</v>
      </c>
      <c r="G78" s="38">
        <f>7%</f>
        <v>7.0000000000000007E-2</v>
      </c>
      <c r="H78" s="38">
        <f>10%</f>
        <v>0.1</v>
      </c>
      <c r="K78" s="38">
        <v>0.3</v>
      </c>
      <c r="L78" s="38">
        <v>0.4</v>
      </c>
      <c r="M78" s="38">
        <f>5%</f>
        <v>0.05</v>
      </c>
      <c r="N78" s="38">
        <v>0.06</v>
      </c>
      <c r="O78" s="38">
        <v>7.0000000000000007E-2</v>
      </c>
      <c r="P78" s="38"/>
      <c r="Q78" s="38"/>
      <c r="AL78" s="39">
        <v>45306</v>
      </c>
      <c r="AM78">
        <v>42900</v>
      </c>
      <c r="AN78">
        <v>1154.1199999999999</v>
      </c>
      <c r="AP78" s="39">
        <v>45317</v>
      </c>
      <c r="AQ78">
        <v>394.83339999999998</v>
      </c>
      <c r="AR78">
        <v>15.66</v>
      </c>
    </row>
    <row r="79" spans="2:44">
      <c r="B79" t="s">
        <v>1893</v>
      </c>
      <c r="C79" s="38">
        <f>55%+9%</f>
        <v>0.64</v>
      </c>
      <c r="D79" s="38">
        <f>53%+9%</f>
        <v>0.62</v>
      </c>
      <c r="E79" s="38">
        <f>53%+7%</f>
        <v>0.60000000000000009</v>
      </c>
      <c r="F79" s="38">
        <f>53%+7%</f>
        <v>0.60000000000000009</v>
      </c>
      <c r="G79" s="38">
        <f>51%+7%</f>
        <v>0.58000000000000007</v>
      </c>
      <c r="H79" s="38">
        <f>49%+6%</f>
        <v>0.55000000000000004</v>
      </c>
      <c r="K79" s="38">
        <f>3%+13%</f>
        <v>0.16</v>
      </c>
      <c r="L79" s="38">
        <v>0.06</v>
      </c>
      <c r="M79" s="38">
        <v>0.68</v>
      </c>
      <c r="N79" s="38">
        <f>8%</f>
        <v>0.08</v>
      </c>
      <c r="O79" s="38">
        <v>0.37</v>
      </c>
      <c r="P79" s="38"/>
      <c r="Q79" s="38"/>
      <c r="AL79" s="39">
        <v>45303</v>
      </c>
      <c r="AM79">
        <v>41900</v>
      </c>
      <c r="AN79">
        <v>1154.7</v>
      </c>
      <c r="AP79" s="39">
        <v>45316</v>
      </c>
      <c r="AQ79">
        <v>397.47149999999999</v>
      </c>
      <c r="AR79">
        <v>15.589399999999999</v>
      </c>
    </row>
    <row r="80" spans="2:44">
      <c r="B80" t="s">
        <v>49</v>
      </c>
      <c r="C80" s="38">
        <f>1-SUM(C76:C79)</f>
        <v>0.13</v>
      </c>
      <c r="D80" s="38">
        <f t="shared" ref="D80:H80" si="24">1-SUM(D76:D79)</f>
        <v>0.10999999999999999</v>
      </c>
      <c r="E80" s="38">
        <f t="shared" si="24"/>
        <v>0.11999999999999988</v>
      </c>
      <c r="F80" s="38">
        <f t="shared" si="24"/>
        <v>9.9999999999999867E-2</v>
      </c>
      <c r="G80" s="38">
        <f t="shared" si="24"/>
        <v>0.11999999999999988</v>
      </c>
      <c r="H80" s="38">
        <f t="shared" si="24"/>
        <v>0.12</v>
      </c>
      <c r="K80" s="38">
        <f>1-K76-K77-K78-K79</f>
        <v>0.11999999999999997</v>
      </c>
      <c r="L80" s="38">
        <f t="shared" ref="L80:Q80" si="25">1-L76-L77-L78-L79</f>
        <v>2.9999999999999971E-2</v>
      </c>
      <c r="M80" s="38">
        <f t="shared" si="25"/>
        <v>4.9999999999999822E-2</v>
      </c>
      <c r="N80" s="38">
        <f t="shared" si="25"/>
        <v>0.16999999999999993</v>
      </c>
      <c r="O80" s="38">
        <f t="shared" si="25"/>
        <v>0.11000000000000004</v>
      </c>
      <c r="P80" s="38">
        <f t="shared" si="25"/>
        <v>0.73</v>
      </c>
      <c r="Q80" s="38">
        <f t="shared" si="25"/>
        <v>1</v>
      </c>
      <c r="AL80" s="39">
        <v>45302</v>
      </c>
      <c r="AM80">
        <v>42450</v>
      </c>
      <c r="AN80">
        <v>1162.22</v>
      </c>
      <c r="AP80" s="39">
        <v>45315</v>
      </c>
      <c r="AQ80">
        <v>390.4366</v>
      </c>
      <c r="AR80">
        <v>15.624000000000001</v>
      </c>
    </row>
    <row r="81" spans="1:44">
      <c r="C81" s="3457" t="s">
        <v>1882</v>
      </c>
      <c r="D81" s="3457"/>
      <c r="E81" s="3457"/>
      <c r="F81" s="3457"/>
      <c r="G81" s="3457"/>
      <c r="H81" s="3457"/>
      <c r="AL81" s="39">
        <v>45301</v>
      </c>
      <c r="AM81">
        <v>42250</v>
      </c>
      <c r="AN81">
        <v>1161.54</v>
      </c>
      <c r="AP81" s="39">
        <v>45314</v>
      </c>
      <c r="AQ81">
        <v>399.23020000000002</v>
      </c>
      <c r="AR81">
        <v>15.6844</v>
      </c>
    </row>
    <row r="82" spans="1:44">
      <c r="B82" t="s">
        <v>1894</v>
      </c>
      <c r="C82" t="s">
        <v>81</v>
      </c>
      <c r="D82" t="s">
        <v>85</v>
      </c>
      <c r="E82" t="s">
        <v>89</v>
      </c>
      <c r="F82" t="s">
        <v>93</v>
      </c>
      <c r="G82" t="s">
        <v>97</v>
      </c>
      <c r="H82" t="s">
        <v>101</v>
      </c>
      <c r="AL82" s="39">
        <v>45300</v>
      </c>
      <c r="AM82">
        <v>42700</v>
      </c>
      <c r="AN82">
        <v>1158.5899999999999</v>
      </c>
      <c r="AP82" s="39">
        <v>45313</v>
      </c>
      <c r="AQ82">
        <v>405.8254</v>
      </c>
      <c r="AR82">
        <v>15.755699999999999</v>
      </c>
    </row>
    <row r="83" spans="1:44">
      <c r="B83" t="s">
        <v>1890</v>
      </c>
      <c r="AL83" s="39">
        <v>45299</v>
      </c>
      <c r="AM83">
        <v>43200</v>
      </c>
      <c r="AN83">
        <v>1160.19</v>
      </c>
      <c r="AP83" s="39">
        <v>45310</v>
      </c>
      <c r="AQ83">
        <v>404.94600000000003</v>
      </c>
      <c r="AR83">
        <v>15.7376</v>
      </c>
    </row>
    <row r="84" spans="1:44">
      <c r="B84" t="s">
        <v>1891</v>
      </c>
      <c r="AL84" s="39">
        <v>45296</v>
      </c>
      <c r="AM84">
        <v>43850</v>
      </c>
      <c r="AN84">
        <v>1154.68</v>
      </c>
      <c r="AP84" s="39">
        <v>45309</v>
      </c>
      <c r="AQ84">
        <v>403.18729999999999</v>
      </c>
      <c r="AR84">
        <v>15.571899999999999</v>
      </c>
    </row>
    <row r="85" spans="1:44">
      <c r="B85" t="s">
        <v>1892</v>
      </c>
      <c r="AL85" s="39">
        <v>45295</v>
      </c>
      <c r="AM85">
        <v>43200</v>
      </c>
      <c r="AN85">
        <v>1150.72</v>
      </c>
      <c r="AP85" s="39">
        <v>45308</v>
      </c>
      <c r="AQ85">
        <v>394.83339999999998</v>
      </c>
      <c r="AR85">
        <v>15.4849</v>
      </c>
    </row>
    <row r="86" spans="1:44">
      <c r="B86" t="s">
        <v>1893</v>
      </c>
      <c r="AL86" s="39">
        <v>45294</v>
      </c>
      <c r="AM86">
        <v>43200</v>
      </c>
      <c r="AN86">
        <v>1144.17</v>
      </c>
      <c r="AP86" s="39">
        <v>45307</v>
      </c>
      <c r="AQ86">
        <v>389.55720000000002</v>
      </c>
      <c r="AR86">
        <v>15.492800000000001</v>
      </c>
    </row>
    <row r="87" spans="1:44">
      <c r="B87" t="s">
        <v>49</v>
      </c>
      <c r="AL87" s="39">
        <v>45293</v>
      </c>
      <c r="AM87">
        <v>42450</v>
      </c>
      <c r="AN87">
        <v>1131.72</v>
      </c>
      <c r="AP87" s="39">
        <v>45306</v>
      </c>
      <c r="AQ87">
        <v>377.24619999999999</v>
      </c>
      <c r="AR87">
        <v>15.3729</v>
      </c>
    </row>
    <row r="88" spans="1:44">
      <c r="AL88" s="39">
        <v>45289</v>
      </c>
      <c r="AM88">
        <v>42800</v>
      </c>
      <c r="AN88">
        <v>1129.93</v>
      </c>
      <c r="AP88" s="39">
        <v>45303</v>
      </c>
      <c r="AQ88">
        <v>368.45249999999999</v>
      </c>
      <c r="AR88">
        <v>15.380699999999999</v>
      </c>
    </row>
    <row r="89" spans="1:44">
      <c r="C89" t="s">
        <v>81</v>
      </c>
      <c r="D89" t="s">
        <v>85</v>
      </c>
      <c r="E89" t="s">
        <v>89</v>
      </c>
      <c r="F89" t="s">
        <v>93</v>
      </c>
      <c r="G89" t="s">
        <v>97</v>
      </c>
      <c r="H89" t="s">
        <v>101</v>
      </c>
      <c r="AL89" s="39">
        <v>45288</v>
      </c>
      <c r="AM89">
        <v>43050</v>
      </c>
      <c r="AN89">
        <v>1128.93</v>
      </c>
      <c r="AP89" s="39">
        <v>45302</v>
      </c>
      <c r="AQ89">
        <v>373.28899999999999</v>
      </c>
      <c r="AR89">
        <v>15.4808</v>
      </c>
    </row>
    <row r="90" spans="1:44">
      <c r="A90" s="3458" t="s">
        <v>1889</v>
      </c>
      <c r="B90" s="994" t="s">
        <v>1895</v>
      </c>
      <c r="C90" s="166">
        <f>C76+C77+C78</f>
        <v>0.23</v>
      </c>
      <c r="D90" s="166">
        <f t="shared" ref="D90:H90" si="26">D76+D77+D78</f>
        <v>0.27</v>
      </c>
      <c r="E90" s="166">
        <f t="shared" si="26"/>
        <v>0.28000000000000003</v>
      </c>
      <c r="F90" s="166">
        <f t="shared" si="26"/>
        <v>0.30000000000000004</v>
      </c>
      <c r="G90" s="166">
        <f t="shared" si="26"/>
        <v>0.3</v>
      </c>
      <c r="H90" s="166">
        <f t="shared" si="26"/>
        <v>0.32999999999999996</v>
      </c>
      <c r="AL90" s="39">
        <v>45287</v>
      </c>
      <c r="AM90">
        <v>42850</v>
      </c>
      <c r="AN90">
        <v>1121.99</v>
      </c>
      <c r="AP90" s="39">
        <v>45301</v>
      </c>
      <c r="AQ90">
        <v>371.53030000000001</v>
      </c>
      <c r="AR90">
        <v>15.4718</v>
      </c>
    </row>
    <row r="91" spans="1:44">
      <c r="A91" s="3458"/>
      <c r="B91" s="994" t="s">
        <v>1896</v>
      </c>
      <c r="C91" s="166">
        <f>1-C90</f>
        <v>0.77</v>
      </c>
      <c r="D91" s="166">
        <f t="shared" ref="D91:H91" si="27">1-D90</f>
        <v>0.73</v>
      </c>
      <c r="E91" s="166">
        <f t="shared" si="27"/>
        <v>0.72</v>
      </c>
      <c r="F91" s="166">
        <f t="shared" si="27"/>
        <v>0.7</v>
      </c>
      <c r="G91" s="166">
        <f t="shared" si="27"/>
        <v>0.7</v>
      </c>
      <c r="H91" s="166">
        <f t="shared" si="27"/>
        <v>0.67</v>
      </c>
      <c r="AL91" s="39">
        <v>45286</v>
      </c>
      <c r="AM91">
        <v>42700</v>
      </c>
      <c r="AN91">
        <v>1122.25</v>
      </c>
      <c r="AP91" s="39">
        <v>45300</v>
      </c>
      <c r="AQ91">
        <v>375.48739999999998</v>
      </c>
      <c r="AR91">
        <v>15.432499999999999</v>
      </c>
    </row>
    <row r="92" spans="1:44">
      <c r="A92" s="3458" t="s">
        <v>1894</v>
      </c>
      <c r="B92" s="994" t="str">
        <f>B90</f>
        <v>MT</v>
      </c>
      <c r="C92" s="38">
        <f>3%</f>
        <v>0.03</v>
      </c>
      <c r="D92" s="38">
        <v>0.05</v>
      </c>
      <c r="E92" s="38">
        <v>0.05</v>
      </c>
      <c r="F92" s="38">
        <f>2%*3</f>
        <v>0.06</v>
      </c>
      <c r="G92" s="38">
        <f>2%+2%+3%</f>
        <v>7.0000000000000007E-2</v>
      </c>
      <c r="H92" s="38">
        <f>2%+3%+3%</f>
        <v>0.08</v>
      </c>
      <c r="AL92" s="39">
        <v>45285</v>
      </c>
      <c r="AM92">
        <v>42650</v>
      </c>
      <c r="AN92">
        <v>1117.6600000000001</v>
      </c>
      <c r="AP92" s="39">
        <v>45299</v>
      </c>
      <c r="AQ92">
        <v>379.88420000000002</v>
      </c>
      <c r="AR92">
        <v>15.453799999999999</v>
      </c>
    </row>
    <row r="93" spans="1:44">
      <c r="A93" s="3458"/>
      <c r="B93" s="994" t="str">
        <f>B91</f>
        <v>GT</v>
      </c>
      <c r="C93" s="166">
        <f>1-C92</f>
        <v>0.97</v>
      </c>
      <c r="D93" s="166">
        <f t="shared" ref="D93:H93" si="28">1-D92</f>
        <v>0.95</v>
      </c>
      <c r="E93" s="166">
        <f t="shared" si="28"/>
        <v>0.95</v>
      </c>
      <c r="F93" s="166">
        <f t="shared" si="28"/>
        <v>0.94</v>
      </c>
      <c r="G93" s="166">
        <f t="shared" si="28"/>
        <v>0.92999999999999994</v>
      </c>
      <c r="H93" s="166">
        <f t="shared" si="28"/>
        <v>0.92</v>
      </c>
      <c r="AL93" s="39">
        <v>45282</v>
      </c>
      <c r="AM93">
        <v>42350</v>
      </c>
      <c r="AN93">
        <v>1103.06</v>
      </c>
      <c r="AP93" s="39">
        <v>45296</v>
      </c>
      <c r="AQ93">
        <v>385.6001</v>
      </c>
      <c r="AR93">
        <v>15.3804</v>
      </c>
    </row>
    <row r="94" spans="1:44">
      <c r="AL94" s="39">
        <v>45281</v>
      </c>
      <c r="AM94">
        <v>42650</v>
      </c>
      <c r="AN94">
        <v>1102.43</v>
      </c>
      <c r="AP94" s="39">
        <v>45295</v>
      </c>
      <c r="AQ94">
        <v>379.88420000000002</v>
      </c>
      <c r="AR94">
        <v>15.3276</v>
      </c>
    </row>
    <row r="95" spans="1:44">
      <c r="I95" s="166"/>
      <c r="J95" s="166"/>
      <c r="AL95" s="39">
        <v>45280</v>
      </c>
      <c r="AM95">
        <v>42400</v>
      </c>
      <c r="AN95">
        <v>1100.76</v>
      </c>
      <c r="AP95" s="39">
        <v>45294</v>
      </c>
      <c r="AQ95">
        <v>379.88420000000002</v>
      </c>
      <c r="AR95">
        <v>15.240399999999999</v>
      </c>
    </row>
    <row r="96" spans="1:44">
      <c r="I96" s="166"/>
      <c r="J96" s="166"/>
      <c r="AL96" s="39">
        <v>45279</v>
      </c>
      <c r="AM96">
        <v>40650</v>
      </c>
      <c r="AN96">
        <v>1096.3</v>
      </c>
      <c r="AP96" s="39">
        <v>45293</v>
      </c>
      <c r="AQ96">
        <v>373.28899999999999</v>
      </c>
      <c r="AR96">
        <v>15.074299999999999</v>
      </c>
    </row>
    <row r="97" spans="2:44">
      <c r="AL97" s="39">
        <v>45278</v>
      </c>
      <c r="AM97">
        <v>39600</v>
      </c>
      <c r="AN97">
        <v>1091.8800000000001</v>
      </c>
      <c r="AP97" s="39">
        <v>45292</v>
      </c>
      <c r="AR97">
        <v>15.0505</v>
      </c>
    </row>
    <row r="98" spans="2:44">
      <c r="C98" t="str">
        <f t="shared" ref="C98:H99" si="29">C89</f>
        <v>Q3/2019</v>
      </c>
      <c r="D98" t="str">
        <f t="shared" si="29"/>
        <v>Q3/2020</v>
      </c>
      <c r="E98" t="str">
        <f t="shared" si="29"/>
        <v>Q3/2021</v>
      </c>
      <c r="F98" t="str">
        <f t="shared" si="29"/>
        <v>Q3/2022</v>
      </c>
      <c r="G98" t="str">
        <f t="shared" si="29"/>
        <v>Q3/2023</v>
      </c>
      <c r="H98" t="str">
        <f t="shared" si="29"/>
        <v>Q3/2024</v>
      </c>
      <c r="AL98" s="39">
        <v>45275</v>
      </c>
      <c r="AM98">
        <v>40750</v>
      </c>
      <c r="AN98">
        <v>1102.3</v>
      </c>
      <c r="AP98" s="39">
        <v>45289</v>
      </c>
      <c r="AQ98">
        <v>376.36680000000001</v>
      </c>
      <c r="AR98">
        <v>14.6568</v>
      </c>
    </row>
    <row r="99" spans="2:44">
      <c r="B99" t="s">
        <v>1889</v>
      </c>
      <c r="C99" s="166">
        <f t="shared" si="29"/>
        <v>0.23</v>
      </c>
      <c r="D99" s="166">
        <f t="shared" si="29"/>
        <v>0.27</v>
      </c>
      <c r="E99" s="166">
        <f t="shared" si="29"/>
        <v>0.28000000000000003</v>
      </c>
      <c r="F99" s="166">
        <f t="shared" si="29"/>
        <v>0.30000000000000004</v>
      </c>
      <c r="G99" s="166">
        <f t="shared" si="29"/>
        <v>0.3</v>
      </c>
      <c r="H99" s="166">
        <f t="shared" si="29"/>
        <v>0.32999999999999996</v>
      </c>
      <c r="AL99" s="39">
        <v>45274</v>
      </c>
      <c r="AM99">
        <v>41600</v>
      </c>
      <c r="AN99">
        <v>1110.1300000000001</v>
      </c>
      <c r="AP99" s="39">
        <v>45288</v>
      </c>
      <c r="AQ99">
        <v>90.630700000000004</v>
      </c>
      <c r="AR99">
        <v>14.643800000000001</v>
      </c>
    </row>
    <row r="100" spans="2:44">
      <c r="B100" t="s">
        <v>1894</v>
      </c>
      <c r="C100" s="166">
        <f t="shared" ref="C100:H100" si="30">C92</f>
        <v>0.03</v>
      </c>
      <c r="D100" s="166">
        <f t="shared" si="30"/>
        <v>0.05</v>
      </c>
      <c r="E100" s="166">
        <f t="shared" si="30"/>
        <v>0.05</v>
      </c>
      <c r="F100" s="166">
        <f t="shared" si="30"/>
        <v>0.06</v>
      </c>
      <c r="G100" s="166">
        <f t="shared" si="30"/>
        <v>7.0000000000000007E-2</v>
      </c>
      <c r="H100" s="166">
        <f t="shared" si="30"/>
        <v>0.08</v>
      </c>
      <c r="AL100" s="39">
        <v>45273</v>
      </c>
      <c r="AM100">
        <v>41700</v>
      </c>
      <c r="AN100">
        <v>1114.2</v>
      </c>
      <c r="AP100" s="39">
        <v>45287</v>
      </c>
      <c r="AQ100">
        <v>90.209599999999995</v>
      </c>
      <c r="AR100">
        <v>14.553800000000001</v>
      </c>
    </row>
    <row r="101" spans="2:44">
      <c r="B101" t="s">
        <v>1897</v>
      </c>
      <c r="AL101" s="39">
        <v>45272</v>
      </c>
      <c r="AM101">
        <v>42500</v>
      </c>
      <c r="AN101">
        <v>1127.6300000000001</v>
      </c>
      <c r="AP101" s="39">
        <v>45286</v>
      </c>
      <c r="AQ101">
        <v>89.893799999999999</v>
      </c>
      <c r="AR101">
        <v>14.5572</v>
      </c>
    </row>
    <row r="102" spans="2:44">
      <c r="AL102" s="39">
        <v>45271</v>
      </c>
      <c r="AM102">
        <v>42500</v>
      </c>
      <c r="AN102">
        <v>1125.5</v>
      </c>
      <c r="AP102" s="39">
        <v>45285</v>
      </c>
      <c r="AQ102">
        <v>89.788600000000002</v>
      </c>
      <c r="AR102">
        <v>14.4976</v>
      </c>
    </row>
    <row r="103" spans="2:44">
      <c r="C103">
        <v>2023</v>
      </c>
      <c r="D103">
        <v>2024</v>
      </c>
      <c r="AL103" s="39">
        <v>45268</v>
      </c>
      <c r="AM103">
        <v>42600</v>
      </c>
      <c r="AN103">
        <v>1124.44</v>
      </c>
      <c r="AP103" s="39">
        <v>45282</v>
      </c>
      <c r="AQ103">
        <v>89.156999999999996</v>
      </c>
      <c r="AR103">
        <v>14.308299999999999</v>
      </c>
    </row>
    <row r="104" spans="2:44">
      <c r="B104" t="s">
        <v>497</v>
      </c>
      <c r="C104" s="158">
        <f ca="1">Rev_Year!J82</f>
        <v>83505.679999999993</v>
      </c>
      <c r="D104" s="158">
        <f ca="1">Rev_Year!K82</f>
        <v>90798.886168975005</v>
      </c>
      <c r="AL104" s="39">
        <v>45267</v>
      </c>
      <c r="AM104">
        <v>40850</v>
      </c>
      <c r="AN104">
        <v>1121.49</v>
      </c>
      <c r="AP104" s="39">
        <v>45281</v>
      </c>
      <c r="AQ104">
        <v>89.788600000000002</v>
      </c>
      <c r="AR104">
        <v>14.3001</v>
      </c>
    </row>
    <row r="105" spans="2:44">
      <c r="B105" t="s">
        <v>7</v>
      </c>
      <c r="C105" s="158">
        <f ca="1">Rev_Year!J23</f>
        <v>31580.760000000002</v>
      </c>
      <c r="D105" s="158">
        <f ca="1">Rev_Year!K23</f>
        <v>41083.417042057001</v>
      </c>
      <c r="AL105" s="39">
        <v>45266</v>
      </c>
      <c r="AM105">
        <v>40950</v>
      </c>
      <c r="AN105">
        <v>1126.43</v>
      </c>
      <c r="AP105" s="39">
        <v>45280</v>
      </c>
      <c r="AQ105">
        <v>89.262299999999996</v>
      </c>
      <c r="AR105">
        <v>14.278499999999999</v>
      </c>
    </row>
    <row r="106" spans="2:44">
      <c r="B106" t="s">
        <v>1898</v>
      </c>
      <c r="C106" s="158">
        <f ca="1">Rev_Year!J6-'Report''s chart'!C104-'Report''s chart'!C105</f>
        <v>3193.3484554420065</v>
      </c>
      <c r="D106" s="158">
        <f ca="1">Rev_Year!K6-'Report''s chart'!D104-'Report''s chart'!D105</f>
        <v>2458.8496377700067</v>
      </c>
      <c r="AL106" s="39">
        <v>45265</v>
      </c>
      <c r="AM106">
        <v>40000</v>
      </c>
      <c r="AN106">
        <v>1115.97</v>
      </c>
      <c r="AP106" s="39">
        <v>45279</v>
      </c>
      <c r="AQ106">
        <v>85.578100000000006</v>
      </c>
      <c r="AR106">
        <v>14.220599999999999</v>
      </c>
    </row>
    <row r="107" spans="2:44">
      <c r="AL107" s="39">
        <v>45264</v>
      </c>
      <c r="AM107">
        <v>39950</v>
      </c>
      <c r="AN107">
        <v>1120.49</v>
      </c>
      <c r="AP107" s="39">
        <v>45278</v>
      </c>
      <c r="AQ107">
        <v>83.367599999999996</v>
      </c>
      <c r="AR107">
        <v>14.1633</v>
      </c>
    </row>
    <row r="108" spans="2:44">
      <c r="AL108" s="39">
        <v>45261</v>
      </c>
      <c r="AM108">
        <v>38750</v>
      </c>
      <c r="AN108">
        <v>1102.1600000000001</v>
      </c>
      <c r="AP108" s="39">
        <v>45275</v>
      </c>
      <c r="AQ108">
        <v>85.788600000000002</v>
      </c>
      <c r="AR108">
        <v>14.298500000000001</v>
      </c>
    </row>
    <row r="109" spans="2:44">
      <c r="B109" t="s">
        <v>1899</v>
      </c>
      <c r="C109" s="158">
        <f ca="1">Rev_Year!J197</f>
        <v>167.82915493899793</v>
      </c>
      <c r="AL109" s="39">
        <v>45260</v>
      </c>
      <c r="AM109">
        <v>38500</v>
      </c>
      <c r="AN109">
        <v>1094.1300000000001</v>
      </c>
      <c r="AP109" s="39">
        <v>45274</v>
      </c>
      <c r="AQ109">
        <v>87.578100000000006</v>
      </c>
      <c r="AR109">
        <v>14.4001</v>
      </c>
    </row>
    <row r="110" spans="2:44" ht="32">
      <c r="B110" s="889" t="s">
        <v>1900</v>
      </c>
      <c r="C110" s="158">
        <f>Rev_Year!K192-Rev_Year!J192</f>
        <v>2381.1769661550043</v>
      </c>
      <c r="AL110" s="39">
        <v>45259</v>
      </c>
      <c r="AM110">
        <v>38800</v>
      </c>
      <c r="AN110">
        <v>1102.8</v>
      </c>
      <c r="AP110" s="39">
        <v>45273</v>
      </c>
      <c r="AQ110">
        <v>87.788600000000002</v>
      </c>
      <c r="AR110">
        <v>14.4529</v>
      </c>
    </row>
    <row r="111" spans="2:44">
      <c r="B111" t="s">
        <v>7</v>
      </c>
      <c r="C111" s="158">
        <f ca="1">Rev_Year!K124-Rev_Year!J124</f>
        <v>1089.1036580059983</v>
      </c>
      <c r="AL111" s="39">
        <v>45258</v>
      </c>
      <c r="AM111">
        <v>38000</v>
      </c>
      <c r="AN111">
        <v>1095.43</v>
      </c>
      <c r="AP111" s="39">
        <v>45272</v>
      </c>
      <c r="AQ111">
        <v>89.472800000000007</v>
      </c>
      <c r="AR111">
        <v>14.6271</v>
      </c>
    </row>
    <row r="112" spans="2:44" ht="32">
      <c r="B112" s="889" t="s">
        <v>1901</v>
      </c>
      <c r="C112" s="158">
        <f ca="1">(Rev_Year!K177-Rev_Year!J177)+(Rev_Year!K189-Rev_Year!J189)</f>
        <v>305.76863021462577</v>
      </c>
      <c r="AL112" s="39">
        <v>45257</v>
      </c>
      <c r="AM112">
        <v>38000</v>
      </c>
      <c r="AN112">
        <v>1088.06</v>
      </c>
      <c r="AP112" s="39">
        <v>45271</v>
      </c>
      <c r="AQ112">
        <v>89.472800000000007</v>
      </c>
      <c r="AR112">
        <v>14.599399999999999</v>
      </c>
    </row>
    <row r="113" spans="2:44">
      <c r="B113" s="166" t="s">
        <v>1902</v>
      </c>
      <c r="C113" s="158">
        <f>Rev_Year!K195-Rev_Year!J195</f>
        <v>518.72107957680032</v>
      </c>
      <c r="AL113" s="39">
        <v>45254</v>
      </c>
      <c r="AM113">
        <v>38550</v>
      </c>
      <c r="AN113">
        <v>1095.6099999999999</v>
      </c>
      <c r="AP113" s="39">
        <v>45268</v>
      </c>
      <c r="AQ113">
        <v>89.683300000000003</v>
      </c>
      <c r="AR113">
        <v>14.585699999999999</v>
      </c>
    </row>
    <row r="114" spans="2:44">
      <c r="B114" t="s">
        <v>49</v>
      </c>
      <c r="C114" s="158">
        <f ca="1">C115-C109-C110-C111-C112-C113</f>
        <v>-729.31126017142378</v>
      </c>
      <c r="AL114" s="39">
        <v>45253</v>
      </c>
      <c r="AM114">
        <v>37300</v>
      </c>
      <c r="AN114">
        <v>1088.49</v>
      </c>
      <c r="AP114" s="39">
        <v>45267</v>
      </c>
      <c r="AQ114">
        <v>85.999099999999999</v>
      </c>
      <c r="AR114">
        <v>14.5474</v>
      </c>
    </row>
    <row r="115" spans="2:44">
      <c r="B115" t="s">
        <v>1903</v>
      </c>
      <c r="C115" s="158">
        <f>FS!O101</f>
        <v>3733.2882287200027</v>
      </c>
      <c r="AL115" s="39">
        <v>45252</v>
      </c>
      <c r="AM115">
        <v>39800</v>
      </c>
      <c r="AN115">
        <v>1113.82</v>
      </c>
      <c r="AP115" s="39">
        <v>45266</v>
      </c>
      <c r="AQ115">
        <v>86.209599999999995</v>
      </c>
      <c r="AR115">
        <v>14.611499999999999</v>
      </c>
    </row>
    <row r="116" spans="2:44">
      <c r="C116" s="158"/>
      <c r="AL116" s="39">
        <v>45251</v>
      </c>
      <c r="AM116">
        <v>40900</v>
      </c>
      <c r="AN116">
        <v>1110.46</v>
      </c>
      <c r="AP116" s="39">
        <v>45265</v>
      </c>
      <c r="AQ116">
        <v>84.209699999999998</v>
      </c>
      <c r="AR116">
        <v>14.4758</v>
      </c>
    </row>
    <row r="117" spans="2:44">
      <c r="B117" t="s">
        <v>1903</v>
      </c>
      <c r="C117" s="158">
        <f>FS!O101</f>
        <v>3733.2882287200027</v>
      </c>
      <c r="AL117" s="39">
        <v>45250</v>
      </c>
      <c r="AM117">
        <v>40550</v>
      </c>
      <c r="AN117">
        <v>1103.6600000000001</v>
      </c>
      <c r="AP117" s="39">
        <v>45264</v>
      </c>
      <c r="AQ117">
        <v>84.104399999999998</v>
      </c>
      <c r="AR117">
        <v>14.5345</v>
      </c>
    </row>
    <row r="118" spans="2:44">
      <c r="B118" t="s">
        <v>1900</v>
      </c>
      <c r="C118" s="158">
        <f ca="1">Rev_Year!L192-Rev_Year!K192</f>
        <v>795.3721027275551</v>
      </c>
      <c r="AL118" s="39">
        <v>45247</v>
      </c>
      <c r="AM118">
        <v>41400</v>
      </c>
      <c r="AN118">
        <v>1101.19</v>
      </c>
      <c r="AP118" s="39">
        <v>45261</v>
      </c>
      <c r="AQ118">
        <v>81.578100000000006</v>
      </c>
      <c r="AR118">
        <v>14.2967</v>
      </c>
    </row>
    <row r="119" spans="2:44">
      <c r="B119" t="s">
        <v>7</v>
      </c>
      <c r="C119" s="158">
        <f ca="1">Rev_Year!L124-Rev_Year!K124</f>
        <v>617.76996778362491</v>
      </c>
      <c r="AL119" s="39">
        <v>45246</v>
      </c>
      <c r="AM119">
        <v>41500</v>
      </c>
      <c r="AN119">
        <v>1125.53</v>
      </c>
      <c r="AP119" s="39">
        <v>45260</v>
      </c>
      <c r="AQ119">
        <v>81.0518</v>
      </c>
      <c r="AR119">
        <v>14.192399999999999</v>
      </c>
    </row>
    <row r="120" spans="2:44">
      <c r="B120" t="s">
        <v>1902</v>
      </c>
      <c r="C120" s="158">
        <f ca="1">Rev_Year!L195-Rev_Year!K195</f>
        <v>683.37903405777706</v>
      </c>
      <c r="AL120" s="39">
        <v>45245</v>
      </c>
      <c r="AM120">
        <v>41900</v>
      </c>
      <c r="AN120">
        <v>1122.5</v>
      </c>
      <c r="AP120" s="39">
        <v>45259</v>
      </c>
      <c r="AQ120">
        <v>81.683400000000006</v>
      </c>
      <c r="AR120">
        <v>14.3033</v>
      </c>
    </row>
    <row r="121" spans="2:44">
      <c r="B121" t="s">
        <v>49</v>
      </c>
      <c r="C121" s="158">
        <f ca="1">C122-SUM(C117:C120)</f>
        <v>967.24691564386649</v>
      </c>
      <c r="AL121" s="39">
        <v>45244</v>
      </c>
      <c r="AM121">
        <v>41500</v>
      </c>
      <c r="AN121">
        <v>1109.73</v>
      </c>
      <c r="AP121" s="39">
        <v>45258</v>
      </c>
      <c r="AQ121">
        <v>79.999200000000002</v>
      </c>
      <c r="AR121">
        <v>14.207700000000001</v>
      </c>
    </row>
    <row r="122" spans="2:44">
      <c r="B122" t="s">
        <v>1904</v>
      </c>
      <c r="C122" s="158">
        <f ca="1">Rev_Year!L197</f>
        <v>6797.0562489328258</v>
      </c>
      <c r="AL122" s="39">
        <v>45243</v>
      </c>
      <c r="AM122">
        <v>40000</v>
      </c>
      <c r="AN122">
        <v>1100.07</v>
      </c>
      <c r="AP122" s="39">
        <v>45257</v>
      </c>
      <c r="AQ122">
        <v>79.999200000000002</v>
      </c>
      <c r="AR122">
        <v>14.1121</v>
      </c>
    </row>
    <row r="123" spans="2:44">
      <c r="AL123" s="39">
        <v>45240</v>
      </c>
      <c r="AM123">
        <v>39400</v>
      </c>
      <c r="AN123">
        <v>1101.68</v>
      </c>
      <c r="AP123" s="39">
        <v>45254</v>
      </c>
      <c r="AQ123">
        <v>81.1571</v>
      </c>
      <c r="AR123">
        <v>14.2094</v>
      </c>
    </row>
    <row r="124" spans="2:44">
      <c r="AL124" s="39">
        <v>45239</v>
      </c>
      <c r="AM124">
        <v>40300</v>
      </c>
      <c r="AN124">
        <v>1113.8900000000001</v>
      </c>
      <c r="AP124" s="39">
        <v>45253</v>
      </c>
      <c r="AQ124">
        <v>78.525499999999994</v>
      </c>
      <c r="AR124">
        <v>14.117100000000001</v>
      </c>
    </row>
    <row r="125" spans="2:44">
      <c r="B125" t="s">
        <v>1901</v>
      </c>
      <c r="C125" s="158">
        <f>Rev_Year!L177-Rev_Year!K177+Rev_Year!L189-Rev_Year!K189</f>
        <v>249.22192856811353</v>
      </c>
      <c r="AL125" s="39">
        <v>45238</v>
      </c>
      <c r="AM125">
        <v>39600</v>
      </c>
      <c r="AN125">
        <v>1113.43</v>
      </c>
      <c r="AP125" s="39">
        <v>45252</v>
      </c>
      <c r="AQ125">
        <v>83.788600000000002</v>
      </c>
      <c r="AR125">
        <v>14.445600000000001</v>
      </c>
    </row>
    <row r="126" spans="2:44">
      <c r="AL126" s="39">
        <v>45237</v>
      </c>
      <c r="AM126">
        <v>38200</v>
      </c>
      <c r="AN126">
        <v>1080.29</v>
      </c>
      <c r="AP126" s="39">
        <v>45251</v>
      </c>
      <c r="AQ126">
        <v>86.104399999999998</v>
      </c>
      <c r="AR126">
        <v>14.401999999999999</v>
      </c>
    </row>
    <row r="127" spans="2:44">
      <c r="AL127" s="39">
        <v>45236</v>
      </c>
      <c r="AM127">
        <v>38050</v>
      </c>
      <c r="AN127">
        <v>1089.6600000000001</v>
      </c>
      <c r="AP127" s="39">
        <v>45250</v>
      </c>
      <c r="AQ127">
        <v>85.367599999999996</v>
      </c>
      <c r="AR127">
        <v>14.313800000000001</v>
      </c>
    </row>
    <row r="128" spans="2:44">
      <c r="C128" s="5">
        <v>2020</v>
      </c>
      <c r="D128" s="5">
        <v>2021</v>
      </c>
      <c r="E128" s="5">
        <v>2022</v>
      </c>
      <c r="F128" s="5">
        <v>2023</v>
      </c>
      <c r="G128" s="5">
        <v>2024</v>
      </c>
      <c r="AL128" s="39">
        <v>45233</v>
      </c>
      <c r="AM128">
        <v>38950</v>
      </c>
      <c r="AN128">
        <v>1076.78</v>
      </c>
      <c r="AP128" s="39">
        <v>45247</v>
      </c>
      <c r="AQ128">
        <v>87.156999999999996</v>
      </c>
      <c r="AR128">
        <v>14.2818</v>
      </c>
    </row>
    <row r="129" spans="2:44">
      <c r="B129" t="s">
        <v>1905</v>
      </c>
      <c r="C129" s="158">
        <f>-'FS Year'!S70</f>
        <v>5695.9921249930003</v>
      </c>
      <c r="D129" s="158">
        <f>-'FS Year'!T70</f>
        <v>8420.1329161350004</v>
      </c>
      <c r="E129" s="158">
        <f>-'FS Year'!U70</f>
        <v>11187.963413617999</v>
      </c>
      <c r="F129" s="158">
        <f>-'FS Year'!V70</f>
        <v>13707.967349864</v>
      </c>
      <c r="G129" s="158">
        <f>-'FS Year'!W70</f>
        <v>15651.465285845999</v>
      </c>
      <c r="AL129" s="39">
        <v>45232</v>
      </c>
      <c r="AM129">
        <v>37000</v>
      </c>
      <c r="AN129">
        <v>1075.47</v>
      </c>
      <c r="AP129" s="39">
        <v>45246</v>
      </c>
      <c r="AQ129">
        <v>87.367500000000007</v>
      </c>
      <c r="AR129">
        <v>14.5975</v>
      </c>
    </row>
    <row r="130" spans="2:44">
      <c r="B130" t="s">
        <v>1906</v>
      </c>
      <c r="C130" s="158">
        <f>'FS Year'!S67</f>
        <v>7294.9616661359996</v>
      </c>
      <c r="D130" s="158">
        <f>'FS Year'!T67</f>
        <v>9647.1688732319999</v>
      </c>
      <c r="E130" s="158">
        <f>'FS Year'!U67</f>
        <v>9727.5029114400004</v>
      </c>
      <c r="F130" s="158">
        <f>'FS Year'!V67</f>
        <v>6500.1356089139999</v>
      </c>
      <c r="G130" s="158">
        <f>'FS Year'!W67</f>
        <v>3586.6286640449998</v>
      </c>
      <c r="AL130" s="39">
        <v>45231</v>
      </c>
      <c r="AM130">
        <v>35100</v>
      </c>
      <c r="AN130">
        <v>1039.6600000000001</v>
      </c>
      <c r="AP130" s="39">
        <v>45245</v>
      </c>
      <c r="AQ130">
        <v>88.209599999999995</v>
      </c>
      <c r="AR130">
        <v>14.534800000000001</v>
      </c>
    </row>
    <row r="131" spans="2:44">
      <c r="B131" t="s">
        <v>1907</v>
      </c>
      <c r="C131" s="38">
        <f>C135/'FS Year'!S69</f>
        <v>0.10614976761597826</v>
      </c>
      <c r="D131" s="38">
        <f>D135/'FS Year'!T69</f>
        <v>0.15354987369047846</v>
      </c>
      <c r="E131" s="38">
        <f>E135/'FS Year'!U69</f>
        <v>0.22252055907623911</v>
      </c>
      <c r="F131" s="38">
        <f>F135/'FS Year'!V69</f>
        <v>0.28845365826312175</v>
      </c>
      <c r="G131" s="38">
        <f>G135/'FS Year'!W69</f>
        <v>0.44672009327703555</v>
      </c>
      <c r="AL131" s="39">
        <v>45230</v>
      </c>
      <c r="AM131">
        <v>37700</v>
      </c>
      <c r="AN131">
        <v>1028.19</v>
      </c>
      <c r="AP131" s="39">
        <v>45244</v>
      </c>
      <c r="AQ131">
        <v>87.367500000000007</v>
      </c>
      <c r="AR131">
        <v>14.370699999999999</v>
      </c>
    </row>
    <row r="132" spans="2:44">
      <c r="B132" t="s">
        <v>1908</v>
      </c>
      <c r="C132" s="38">
        <f>FS!K78/'FS Year'!S67</f>
        <v>0.71505058453198922</v>
      </c>
      <c r="D132" s="38">
        <f>FS!L78/'FS Year'!T67</f>
        <v>0.61101538657415444</v>
      </c>
      <c r="E132" s="38">
        <f>FS!M78/'FS Year'!U67</f>
        <v>0.6830300550184506</v>
      </c>
      <c r="F132" s="38">
        <f>FS!N78/'FS Year'!V67</f>
        <v>6.261935304208259E-2</v>
      </c>
      <c r="G132" s="38">
        <f>FS!O78/'FS Year'!W67</f>
        <v>1.1385636112748601</v>
      </c>
      <c r="AL132" s="39">
        <v>45229</v>
      </c>
      <c r="AM132">
        <v>40500</v>
      </c>
      <c r="AN132">
        <v>1042.4000000000001</v>
      </c>
      <c r="AP132" s="39">
        <v>45243</v>
      </c>
      <c r="AQ132">
        <v>84.209699999999998</v>
      </c>
      <c r="AR132">
        <v>14.2456</v>
      </c>
    </row>
    <row r="133" spans="2:44">
      <c r="AL133" s="39">
        <v>45226</v>
      </c>
      <c r="AM133">
        <v>42000</v>
      </c>
      <c r="AN133">
        <v>1060.6199999999999</v>
      </c>
      <c r="AP133" s="39">
        <v>45240</v>
      </c>
      <c r="AQ133">
        <v>82.9465</v>
      </c>
      <c r="AR133">
        <v>14.266400000000001</v>
      </c>
    </row>
    <row r="134" spans="2:44">
      <c r="B134" t="s">
        <v>1909</v>
      </c>
      <c r="C134" s="158">
        <f>'FS Year'!S69-C135</f>
        <v>11587.258918887999</v>
      </c>
      <c r="D134" s="158">
        <f>'FS Year'!T69-D135</f>
        <v>15225.172782027001</v>
      </c>
      <c r="E134" s="158">
        <f>'FS Year'!U69-E135</f>
        <v>16203.677155993999</v>
      </c>
      <c r="F134" s="158">
        <f>'FS Year'!V69-F135</f>
        <v>14330.032946739</v>
      </c>
      <c r="G134" s="158">
        <f>'FS Year'!W69-G135</f>
        <v>10608.935497049999</v>
      </c>
      <c r="AL134" s="39">
        <v>45225</v>
      </c>
      <c r="AM134">
        <v>42000</v>
      </c>
      <c r="AN134">
        <v>1055.45</v>
      </c>
      <c r="AP134" s="39">
        <v>45239</v>
      </c>
      <c r="AQ134">
        <v>84.841200000000001</v>
      </c>
      <c r="AR134">
        <v>14.4246</v>
      </c>
    </row>
    <row r="135" spans="2:44">
      <c r="B135" t="s">
        <v>1910</v>
      </c>
      <c r="C135" s="158">
        <v>1376.0524940129999</v>
      </c>
      <c r="D135" s="158">
        <v>2761.9150673280001</v>
      </c>
      <c r="E135" s="158">
        <v>4637.6162635999999</v>
      </c>
      <c r="F135" s="158">
        <v>5809.2497762379999</v>
      </c>
      <c r="G135" s="158">
        <v>8565.6908867019993</v>
      </c>
      <c r="AL135" s="39">
        <v>45224</v>
      </c>
      <c r="AM135">
        <v>43500</v>
      </c>
      <c r="AN135">
        <v>1101.6600000000001</v>
      </c>
      <c r="AP135" s="39">
        <v>45238</v>
      </c>
      <c r="AQ135">
        <v>83.367599999999996</v>
      </c>
      <c r="AR135">
        <v>14.4186</v>
      </c>
    </row>
    <row r="136" spans="2:44">
      <c r="AL136" s="39">
        <v>45223</v>
      </c>
      <c r="AM136">
        <v>43000</v>
      </c>
      <c r="AN136">
        <v>1105.9000000000001</v>
      </c>
      <c r="AP136" s="39">
        <v>45237</v>
      </c>
      <c r="AQ136">
        <v>80.420199999999994</v>
      </c>
      <c r="AR136">
        <v>13.9894</v>
      </c>
    </row>
    <row r="137" spans="2:44">
      <c r="AL137" s="39">
        <v>45222</v>
      </c>
      <c r="AM137">
        <v>43000</v>
      </c>
      <c r="AN137">
        <v>1093.53</v>
      </c>
      <c r="AP137" s="39">
        <v>45236</v>
      </c>
      <c r="AQ137">
        <v>80.104399999999998</v>
      </c>
      <c r="AR137">
        <v>14.110799999999999</v>
      </c>
    </row>
    <row r="138" spans="2:44">
      <c r="AL138" s="39">
        <v>45219</v>
      </c>
      <c r="AM138">
        <v>44700</v>
      </c>
      <c r="AN138">
        <v>1108.03</v>
      </c>
      <c r="AP138" s="39">
        <v>45233</v>
      </c>
      <c r="AQ138">
        <v>81.999200000000002</v>
      </c>
      <c r="AR138">
        <v>13.944900000000001</v>
      </c>
    </row>
    <row r="139" spans="2:44">
      <c r="AL139" s="39">
        <v>45218</v>
      </c>
      <c r="AM139">
        <v>43000</v>
      </c>
      <c r="AN139">
        <v>1087.8499999999999</v>
      </c>
      <c r="AP139" s="39">
        <v>45232</v>
      </c>
      <c r="AQ139">
        <v>77.893900000000002</v>
      </c>
      <c r="AR139">
        <v>13.914999999999999</v>
      </c>
    </row>
    <row r="140" spans="2:44">
      <c r="AL140" s="39">
        <v>45217</v>
      </c>
      <c r="AM140">
        <v>44700</v>
      </c>
      <c r="AN140">
        <v>1103.4000000000001</v>
      </c>
      <c r="AP140" s="39">
        <v>45231</v>
      </c>
      <c r="AQ140">
        <v>73.894000000000005</v>
      </c>
      <c r="AR140">
        <v>13.4579</v>
      </c>
    </row>
    <row r="141" spans="2:44">
      <c r="AL141" s="39">
        <v>45216</v>
      </c>
      <c r="AM141">
        <v>46300</v>
      </c>
      <c r="AN141">
        <v>1121.6500000000001</v>
      </c>
      <c r="AP141" s="39">
        <v>45230</v>
      </c>
      <c r="AQ141">
        <v>79.367599999999996</v>
      </c>
      <c r="AR141">
        <v>13.202400000000001</v>
      </c>
    </row>
    <row r="142" spans="2:44">
      <c r="AL142" s="39">
        <v>45215</v>
      </c>
      <c r="AM142">
        <v>48600</v>
      </c>
      <c r="AN142">
        <v>1141.42</v>
      </c>
      <c r="AP142" s="39">
        <v>45229</v>
      </c>
      <c r="AQ142">
        <v>85.262299999999996</v>
      </c>
      <c r="AR142">
        <v>13.203099999999999</v>
      </c>
    </row>
    <row r="143" spans="2:44">
      <c r="AL143" s="39">
        <v>45212</v>
      </c>
      <c r="AM143">
        <v>49500</v>
      </c>
      <c r="AN143">
        <v>1154.73</v>
      </c>
      <c r="AP143" s="39">
        <v>45226</v>
      </c>
      <c r="AQ143">
        <v>88.420199999999994</v>
      </c>
      <c r="AR143">
        <v>14.727</v>
      </c>
    </row>
    <row r="144" spans="2:44">
      <c r="AL144" s="39">
        <v>45211</v>
      </c>
      <c r="AM144">
        <v>48400</v>
      </c>
      <c r="AN144">
        <v>1151.6099999999999</v>
      </c>
      <c r="AP144" s="39">
        <v>45225</v>
      </c>
      <c r="AQ144">
        <v>88.420199999999994</v>
      </c>
      <c r="AR144">
        <v>14.655200000000001</v>
      </c>
    </row>
    <row r="145" spans="38:44">
      <c r="AL145" s="39">
        <v>45210</v>
      </c>
      <c r="AM145">
        <v>49300</v>
      </c>
      <c r="AN145">
        <v>1150.81</v>
      </c>
      <c r="AP145" s="39">
        <v>45224</v>
      </c>
      <c r="AQ145">
        <v>91.578000000000003</v>
      </c>
      <c r="AR145">
        <v>15.296900000000001</v>
      </c>
    </row>
    <row r="146" spans="38:44">
      <c r="AL146" s="39">
        <v>45209</v>
      </c>
      <c r="AM146">
        <v>48850</v>
      </c>
      <c r="AN146">
        <v>1143.69</v>
      </c>
      <c r="AP146" s="39">
        <v>45223</v>
      </c>
      <c r="AQ146">
        <v>90.525400000000005</v>
      </c>
      <c r="AR146">
        <v>15.3558</v>
      </c>
    </row>
    <row r="147" spans="38:44">
      <c r="AL147" s="39">
        <v>45208</v>
      </c>
      <c r="AM147">
        <v>47950</v>
      </c>
      <c r="AN147">
        <v>1137.3599999999999</v>
      </c>
      <c r="AP147" s="39">
        <v>45222</v>
      </c>
      <c r="AQ147">
        <v>90.525400000000005</v>
      </c>
      <c r="AR147">
        <v>15.183999999999999</v>
      </c>
    </row>
    <row r="148" spans="38:44">
      <c r="AL148" s="39">
        <v>45205</v>
      </c>
      <c r="AM148">
        <v>48300</v>
      </c>
      <c r="AN148">
        <v>1128.54</v>
      </c>
      <c r="AP148" s="39">
        <v>45219</v>
      </c>
      <c r="AQ148">
        <v>94.104299999999995</v>
      </c>
      <c r="AR148">
        <v>15.385300000000001</v>
      </c>
    </row>
    <row r="149" spans="38:44">
      <c r="AL149" s="39">
        <v>45204</v>
      </c>
      <c r="AM149">
        <v>47000</v>
      </c>
      <c r="AN149">
        <v>1113.8900000000001</v>
      </c>
      <c r="AP149" s="39">
        <v>45218</v>
      </c>
      <c r="AQ149">
        <v>90.525400000000005</v>
      </c>
      <c r="AR149">
        <v>15.1051</v>
      </c>
    </row>
    <row r="150" spans="38:44">
      <c r="AL150" s="39">
        <v>45203</v>
      </c>
      <c r="AM150">
        <v>49200</v>
      </c>
      <c r="AN150">
        <v>1128.67</v>
      </c>
      <c r="AP150" s="39">
        <v>45217</v>
      </c>
      <c r="AQ150">
        <v>94.104299999999995</v>
      </c>
      <c r="AR150">
        <v>15.321</v>
      </c>
    </row>
    <row r="151" spans="38:44">
      <c r="AL151" s="39">
        <v>45202</v>
      </c>
      <c r="AM151">
        <v>49000</v>
      </c>
      <c r="AN151">
        <v>1118.0999999999999</v>
      </c>
      <c r="AP151" s="39">
        <v>45216</v>
      </c>
      <c r="AQ151">
        <v>97.472700000000003</v>
      </c>
      <c r="AR151">
        <v>15.574400000000001</v>
      </c>
    </row>
    <row r="152" spans="38:44">
      <c r="AL152" s="39">
        <v>45201</v>
      </c>
      <c r="AM152">
        <v>51900</v>
      </c>
      <c r="AN152">
        <v>1155.25</v>
      </c>
      <c r="AP152" s="39">
        <v>45215</v>
      </c>
      <c r="AQ152">
        <v>102.31480000000001</v>
      </c>
      <c r="AR152">
        <v>15.849</v>
      </c>
    </row>
    <row r="153" spans="38:44">
      <c r="AL153" s="39">
        <v>45198</v>
      </c>
      <c r="AM153">
        <v>52600</v>
      </c>
      <c r="AN153">
        <v>1154.1500000000001</v>
      </c>
      <c r="AP153" s="39">
        <v>45212</v>
      </c>
      <c r="AQ153">
        <v>104.20950000000001</v>
      </c>
      <c r="AR153">
        <v>16.0334</v>
      </c>
    </row>
    <row r="154" spans="38:44">
      <c r="AL154" s="39">
        <v>45197</v>
      </c>
      <c r="AM154">
        <v>53000</v>
      </c>
      <c r="AN154">
        <v>1152.43</v>
      </c>
      <c r="AP154" s="39">
        <v>45211</v>
      </c>
      <c r="AQ154">
        <v>101.8937</v>
      </c>
      <c r="AR154">
        <v>16.021100000000001</v>
      </c>
    </row>
    <row r="155" spans="38:44">
      <c r="AL155" s="39">
        <v>45196</v>
      </c>
      <c r="AM155">
        <v>52000</v>
      </c>
      <c r="AN155">
        <v>1153.8499999999999</v>
      </c>
      <c r="AP155" s="39">
        <v>45210</v>
      </c>
      <c r="AQ155">
        <v>103.7884</v>
      </c>
      <c r="AR155">
        <v>16.010000000000002</v>
      </c>
    </row>
    <row r="156" spans="38:44">
      <c r="AL156" s="39">
        <v>45195</v>
      </c>
      <c r="AM156">
        <v>51500</v>
      </c>
      <c r="AN156">
        <v>1137.96</v>
      </c>
      <c r="AP156" s="39">
        <v>45209</v>
      </c>
      <c r="AQ156">
        <v>102.8411</v>
      </c>
      <c r="AR156">
        <v>15.911</v>
      </c>
    </row>
    <row r="157" spans="38:44">
      <c r="AL157" s="39">
        <v>45194</v>
      </c>
      <c r="AM157">
        <v>51000</v>
      </c>
      <c r="AN157">
        <v>1153.2</v>
      </c>
      <c r="AP157" s="39">
        <v>45208</v>
      </c>
      <c r="AQ157">
        <v>100.94629999999999</v>
      </c>
      <c r="AR157">
        <v>15.822900000000001</v>
      </c>
    </row>
    <row r="158" spans="38:44">
      <c r="AL158" s="39">
        <v>45191</v>
      </c>
      <c r="AM158">
        <v>52100</v>
      </c>
      <c r="AN158">
        <v>1193.05</v>
      </c>
      <c r="AP158" s="39">
        <v>45205</v>
      </c>
      <c r="AQ158">
        <v>101.6832</v>
      </c>
      <c r="AR158">
        <v>15.700200000000001</v>
      </c>
    </row>
    <row r="159" spans="38:44">
      <c r="AL159" s="39">
        <v>45190</v>
      </c>
      <c r="AM159">
        <v>54200</v>
      </c>
      <c r="AN159">
        <v>1212.74</v>
      </c>
      <c r="AP159" s="39">
        <v>45204</v>
      </c>
      <c r="AQ159">
        <v>98.946399999999997</v>
      </c>
      <c r="AR159">
        <v>15.4964</v>
      </c>
    </row>
    <row r="160" spans="38:44">
      <c r="AL160" s="39">
        <v>45189</v>
      </c>
      <c r="AM160">
        <v>55800</v>
      </c>
      <c r="AN160">
        <v>1226.1099999999999</v>
      </c>
      <c r="AP160" s="39">
        <v>45203</v>
      </c>
      <c r="AQ160">
        <v>103.5779</v>
      </c>
      <c r="AR160">
        <v>15.702</v>
      </c>
    </row>
    <row r="161" spans="38:44">
      <c r="AL161" s="39">
        <v>45188</v>
      </c>
      <c r="AM161">
        <v>55500</v>
      </c>
      <c r="AN161">
        <v>1211.5</v>
      </c>
      <c r="AP161" s="39">
        <v>45202</v>
      </c>
      <c r="AQ161">
        <v>103.1568</v>
      </c>
      <c r="AR161">
        <v>15.555</v>
      </c>
    </row>
    <row r="162" spans="38:44">
      <c r="AL162" s="39">
        <v>45187</v>
      </c>
      <c r="AM162">
        <v>55000</v>
      </c>
      <c r="AN162">
        <v>1211.81</v>
      </c>
      <c r="AP162" s="39">
        <v>45201</v>
      </c>
      <c r="AQ162">
        <v>109.262</v>
      </c>
      <c r="AR162">
        <v>16.0718</v>
      </c>
    </row>
    <row r="163" spans="38:44">
      <c r="AL163" s="39">
        <v>45184</v>
      </c>
      <c r="AM163">
        <v>55900</v>
      </c>
      <c r="AN163">
        <v>1227.3599999999999</v>
      </c>
      <c r="AP163" s="39">
        <v>45198</v>
      </c>
      <c r="AQ163">
        <v>110.73569999999999</v>
      </c>
      <c r="AR163">
        <v>16.0565</v>
      </c>
    </row>
    <row r="164" spans="38:44">
      <c r="AL164" s="39">
        <v>45183</v>
      </c>
      <c r="AM164">
        <v>57300</v>
      </c>
      <c r="AN164">
        <v>1223.81</v>
      </c>
      <c r="AP164" s="39">
        <v>45197</v>
      </c>
      <c r="AQ164">
        <v>49.618600000000001</v>
      </c>
      <c r="AR164">
        <v>16.0335</v>
      </c>
    </row>
    <row r="165" spans="38:44">
      <c r="AL165" s="39">
        <v>45182</v>
      </c>
      <c r="AM165">
        <v>57500</v>
      </c>
      <c r="AN165">
        <v>1238.3900000000001</v>
      </c>
      <c r="AP165" s="39">
        <v>45196</v>
      </c>
      <c r="AQ165">
        <v>48.682400000000001</v>
      </c>
      <c r="AR165">
        <v>16.0532</v>
      </c>
    </row>
    <row r="166" spans="38:44">
      <c r="AL166" s="39">
        <v>45181</v>
      </c>
      <c r="AM166">
        <v>55800</v>
      </c>
      <c r="AN166">
        <v>1245.44</v>
      </c>
      <c r="AP166" s="39">
        <v>45195</v>
      </c>
      <c r="AQ166">
        <v>48.214300000000001</v>
      </c>
      <c r="AR166">
        <v>15.8322</v>
      </c>
    </row>
    <row r="167" spans="38:44">
      <c r="AL167" s="39">
        <v>45180</v>
      </c>
      <c r="AM167">
        <v>54500</v>
      </c>
      <c r="AN167">
        <v>1223.6300000000001</v>
      </c>
      <c r="AP167" s="39">
        <v>45194</v>
      </c>
      <c r="AQ167">
        <v>47.746200000000002</v>
      </c>
      <c r="AR167">
        <v>16.0442</v>
      </c>
    </row>
    <row r="168" spans="38:44">
      <c r="AL168" s="39">
        <v>45177</v>
      </c>
      <c r="AM168">
        <v>55500</v>
      </c>
      <c r="AN168">
        <v>1241.48</v>
      </c>
      <c r="AP168" s="39">
        <v>45191</v>
      </c>
      <c r="AQ168">
        <v>48.776000000000003</v>
      </c>
      <c r="AR168">
        <v>16.598600000000001</v>
      </c>
    </row>
    <row r="169" spans="38:44">
      <c r="AL169" s="39">
        <v>45176</v>
      </c>
      <c r="AM169">
        <v>55000</v>
      </c>
      <c r="AN169">
        <v>1243.1400000000001</v>
      </c>
      <c r="AP169" s="39">
        <v>45190</v>
      </c>
      <c r="AQ169">
        <v>50.741999999999997</v>
      </c>
      <c r="AR169">
        <v>16.872599999999998</v>
      </c>
    </row>
    <row r="170" spans="38:44">
      <c r="AL170" s="39">
        <v>45175</v>
      </c>
      <c r="AM170">
        <v>55000</v>
      </c>
      <c r="AN170">
        <v>1245.5</v>
      </c>
      <c r="AP170" s="39">
        <v>45189</v>
      </c>
      <c r="AQ170">
        <v>52.239899999999999</v>
      </c>
      <c r="AR170">
        <v>17.058599999999998</v>
      </c>
    </row>
    <row r="171" spans="38:44">
      <c r="AL171" s="39">
        <v>45174</v>
      </c>
      <c r="AM171">
        <v>54300</v>
      </c>
      <c r="AN171">
        <v>1234.98</v>
      </c>
      <c r="AP171" s="39">
        <v>45188</v>
      </c>
      <c r="AQ171">
        <v>51.959099999999999</v>
      </c>
      <c r="AR171">
        <v>16.8553</v>
      </c>
    </row>
    <row r="172" spans="38:44">
      <c r="AL172" s="39">
        <v>45169</v>
      </c>
      <c r="AM172">
        <v>53800</v>
      </c>
      <c r="AN172">
        <v>1224.05</v>
      </c>
      <c r="AP172" s="39">
        <v>45187</v>
      </c>
      <c r="AQ172">
        <v>51.491</v>
      </c>
      <c r="AR172">
        <v>16.8596</v>
      </c>
    </row>
    <row r="173" spans="38:44">
      <c r="AL173" s="39">
        <v>45168</v>
      </c>
      <c r="AM173">
        <v>53800</v>
      </c>
      <c r="AN173">
        <v>1213.1600000000001</v>
      </c>
      <c r="AP173" s="39">
        <v>45184</v>
      </c>
      <c r="AQ173">
        <v>52.333599999999997</v>
      </c>
      <c r="AR173">
        <v>17.076000000000001</v>
      </c>
    </row>
    <row r="174" spans="38:44">
      <c r="AL174" s="39">
        <v>45167</v>
      </c>
      <c r="AM174">
        <v>52900</v>
      </c>
      <c r="AN174">
        <v>1204.43</v>
      </c>
      <c r="AP174" s="39">
        <v>45183</v>
      </c>
      <c r="AQ174">
        <v>53.644199999999998</v>
      </c>
      <c r="AR174">
        <v>17.026900000000001</v>
      </c>
    </row>
    <row r="175" spans="38:44">
      <c r="AL175" s="39">
        <v>45166</v>
      </c>
      <c r="AM175">
        <v>51700</v>
      </c>
      <c r="AN175">
        <v>1201.72</v>
      </c>
      <c r="AP175" s="39">
        <v>45182</v>
      </c>
      <c r="AQ175">
        <v>53.831499999999998</v>
      </c>
      <c r="AR175">
        <v>17.229500000000002</v>
      </c>
    </row>
    <row r="176" spans="38:44">
      <c r="AL176" s="39">
        <v>45163</v>
      </c>
      <c r="AM176">
        <v>50500</v>
      </c>
      <c r="AN176">
        <v>1183.3699999999999</v>
      </c>
      <c r="AP176" s="39">
        <v>45181</v>
      </c>
      <c r="AQ176">
        <v>52.239899999999999</v>
      </c>
      <c r="AR176">
        <v>17.3276</v>
      </c>
    </row>
    <row r="177" spans="38:44">
      <c r="AL177" s="39">
        <v>45162</v>
      </c>
      <c r="AM177">
        <v>50300</v>
      </c>
      <c r="AN177">
        <v>1189.3900000000001</v>
      </c>
      <c r="AP177" s="39">
        <v>45180</v>
      </c>
      <c r="AQ177">
        <v>51.0229</v>
      </c>
      <c r="AR177">
        <v>17.019400000000001</v>
      </c>
    </row>
    <row r="178" spans="38:44">
      <c r="AL178" s="39">
        <v>45161</v>
      </c>
      <c r="AM178">
        <v>49700</v>
      </c>
      <c r="AN178">
        <v>1172.56</v>
      </c>
      <c r="AP178" s="39">
        <v>45177</v>
      </c>
      <c r="AQ178">
        <v>51.959099999999999</v>
      </c>
      <c r="AR178">
        <v>17.267700000000001</v>
      </c>
    </row>
    <row r="179" spans="38:44">
      <c r="AL179" s="39">
        <v>45160</v>
      </c>
      <c r="AM179">
        <v>50000</v>
      </c>
      <c r="AN179">
        <v>1180.49</v>
      </c>
      <c r="AP179" s="39">
        <v>45176</v>
      </c>
      <c r="AQ179">
        <v>51.491</v>
      </c>
      <c r="AR179">
        <v>17.290800000000001</v>
      </c>
    </row>
    <row r="180" spans="38:44">
      <c r="AL180" s="39">
        <v>45159</v>
      </c>
      <c r="AM180">
        <v>49000</v>
      </c>
      <c r="AN180">
        <v>1179.76</v>
      </c>
      <c r="AP180" s="39">
        <v>45175</v>
      </c>
      <c r="AQ180">
        <v>51.491</v>
      </c>
      <c r="AR180">
        <v>17.323599999999999</v>
      </c>
    </row>
    <row r="181" spans="38:44">
      <c r="AL181" s="39">
        <v>45156</v>
      </c>
      <c r="AM181">
        <v>50200</v>
      </c>
      <c r="AN181">
        <v>1177.99</v>
      </c>
      <c r="AP181" s="39">
        <v>45174</v>
      </c>
      <c r="AQ181">
        <v>50.835599999999999</v>
      </c>
      <c r="AR181">
        <v>17.163799999999998</v>
      </c>
    </row>
    <row r="182" spans="38:44">
      <c r="AL182" s="39">
        <v>45155</v>
      </c>
      <c r="AM182">
        <v>53900</v>
      </c>
      <c r="AN182">
        <v>1233.48</v>
      </c>
      <c r="AP182" s="39">
        <v>45173</v>
      </c>
      <c r="AR182">
        <v>16.997</v>
      </c>
    </row>
    <row r="183" spans="38:44">
      <c r="AL183" s="39">
        <v>45154</v>
      </c>
      <c r="AM183">
        <v>53800</v>
      </c>
      <c r="AN183">
        <v>1243.26</v>
      </c>
      <c r="AP183" s="39">
        <v>45170</v>
      </c>
      <c r="AR183">
        <v>16.997199999999999</v>
      </c>
    </row>
    <row r="184" spans="38:44">
      <c r="AL184" s="39">
        <v>45153</v>
      </c>
      <c r="AM184">
        <v>54000</v>
      </c>
      <c r="AN184">
        <v>1234.05</v>
      </c>
      <c r="AP184" s="39">
        <v>45169</v>
      </c>
      <c r="AQ184">
        <v>50.3675</v>
      </c>
      <c r="AR184">
        <v>16.997199999999999</v>
      </c>
    </row>
    <row r="185" spans="38:44">
      <c r="AL185" s="39">
        <v>45152</v>
      </c>
      <c r="AM185">
        <v>54200</v>
      </c>
      <c r="AN185">
        <v>1236.8399999999999</v>
      </c>
      <c r="AP185" s="39">
        <v>45168</v>
      </c>
      <c r="AQ185">
        <v>50.3675</v>
      </c>
      <c r="AR185">
        <v>16.845600000000001</v>
      </c>
    </row>
    <row r="186" spans="38:44">
      <c r="AL186" s="39">
        <v>45149</v>
      </c>
      <c r="AM186">
        <v>53300</v>
      </c>
      <c r="AN186">
        <v>1232.21</v>
      </c>
      <c r="AP186" s="39">
        <v>45167</v>
      </c>
      <c r="AQ186">
        <v>49.524999999999999</v>
      </c>
      <c r="AR186">
        <v>16.728899999999999</v>
      </c>
    </row>
    <row r="187" spans="38:44">
      <c r="AL187" s="39">
        <v>45148</v>
      </c>
      <c r="AM187">
        <v>52000</v>
      </c>
      <c r="AN187">
        <v>1220.6099999999999</v>
      </c>
      <c r="AP187" s="39">
        <v>45166</v>
      </c>
      <c r="AQ187">
        <v>48.401499999999999</v>
      </c>
      <c r="AR187">
        <v>16.672499999999999</v>
      </c>
    </row>
    <row r="188" spans="38:44">
      <c r="AL188" s="39">
        <v>45147</v>
      </c>
      <c r="AM188">
        <v>52600</v>
      </c>
      <c r="AN188">
        <v>1233.99</v>
      </c>
      <c r="AP188" s="39">
        <v>45163</v>
      </c>
      <c r="AQ188">
        <v>47.278100000000002</v>
      </c>
      <c r="AR188">
        <v>16.411000000000001</v>
      </c>
    </row>
    <row r="189" spans="38:44">
      <c r="AL189" s="39">
        <v>45146</v>
      </c>
      <c r="AM189">
        <v>53600</v>
      </c>
      <c r="AN189">
        <v>1242.23</v>
      </c>
      <c r="AP189" s="39">
        <v>45162</v>
      </c>
      <c r="AQ189">
        <v>47.090800000000002</v>
      </c>
      <c r="AR189">
        <v>16.4861</v>
      </c>
    </row>
    <row r="190" spans="38:44">
      <c r="AL190" s="39">
        <v>45145</v>
      </c>
      <c r="AM190">
        <v>53800</v>
      </c>
      <c r="AN190">
        <v>1241.42</v>
      </c>
      <c r="AP190" s="39">
        <v>45161</v>
      </c>
      <c r="AQ190">
        <v>46.5291</v>
      </c>
      <c r="AR190">
        <v>16.252099999999999</v>
      </c>
    </row>
    <row r="191" spans="38:44">
      <c r="AL191" s="39">
        <v>45142</v>
      </c>
      <c r="AM191">
        <v>53000</v>
      </c>
      <c r="AN191">
        <v>1225.98</v>
      </c>
      <c r="AP191" s="39">
        <v>45160</v>
      </c>
      <c r="AQ191">
        <v>46.81</v>
      </c>
      <c r="AR191">
        <v>16.362200000000001</v>
      </c>
    </row>
    <row r="192" spans="38:44">
      <c r="AL192" s="39">
        <v>45141</v>
      </c>
      <c r="AM192">
        <v>52700</v>
      </c>
      <c r="AN192">
        <v>1210.95</v>
      </c>
      <c r="AP192" s="39">
        <v>45159</v>
      </c>
      <c r="AQ192">
        <v>45.873800000000003</v>
      </c>
      <c r="AR192">
        <v>16.3522</v>
      </c>
    </row>
    <row r="193" spans="38:44">
      <c r="AL193" s="39">
        <v>45140</v>
      </c>
      <c r="AM193">
        <v>51700</v>
      </c>
      <c r="AN193">
        <v>1220.43</v>
      </c>
      <c r="AP193" s="39">
        <v>45156</v>
      </c>
      <c r="AQ193">
        <v>46.997199999999999</v>
      </c>
      <c r="AR193">
        <v>16.342700000000001</v>
      </c>
    </row>
    <row r="194" spans="38:44">
      <c r="AL194" s="39">
        <v>45139</v>
      </c>
      <c r="AM194">
        <v>51700</v>
      </c>
      <c r="AN194">
        <v>1217.56</v>
      </c>
      <c r="AP194" s="39">
        <v>45155</v>
      </c>
      <c r="AQ194">
        <v>50.461199999999998</v>
      </c>
      <c r="AR194">
        <v>17.113</v>
      </c>
    </row>
    <row r="195" spans="38:44">
      <c r="AL195" s="39">
        <v>45138</v>
      </c>
      <c r="AM195">
        <v>53700</v>
      </c>
      <c r="AN195">
        <v>1222.9000000000001</v>
      </c>
      <c r="AP195" s="39">
        <v>45154</v>
      </c>
      <c r="AQ195">
        <v>50.3675</v>
      </c>
      <c r="AR195">
        <v>17.271899999999999</v>
      </c>
    </row>
    <row r="196" spans="38:44">
      <c r="AL196" s="39">
        <v>45135</v>
      </c>
      <c r="AM196">
        <v>54500</v>
      </c>
      <c r="AN196">
        <v>1207.67</v>
      </c>
      <c r="AP196" s="39">
        <v>45153</v>
      </c>
      <c r="AQ196">
        <v>50.5548</v>
      </c>
      <c r="AR196">
        <v>17.144100000000002</v>
      </c>
    </row>
    <row r="197" spans="38:44">
      <c r="AL197" s="39">
        <v>45134</v>
      </c>
      <c r="AM197">
        <v>54100</v>
      </c>
      <c r="AN197">
        <v>1197.33</v>
      </c>
      <c r="AP197" s="39">
        <v>45152</v>
      </c>
      <c r="AQ197">
        <v>50.741999999999997</v>
      </c>
      <c r="AR197">
        <v>17.181000000000001</v>
      </c>
    </row>
    <row r="198" spans="38:44">
      <c r="AL198" s="39">
        <v>45133</v>
      </c>
      <c r="AM198">
        <v>52099.983999999997</v>
      </c>
      <c r="AN198">
        <v>1200.8399999999999</v>
      </c>
      <c r="AP198" s="39">
        <v>45149</v>
      </c>
      <c r="AQ198">
        <v>49.8994</v>
      </c>
      <c r="AR198">
        <v>17.113600000000002</v>
      </c>
    </row>
    <row r="199" spans="38:44">
      <c r="AL199" s="39">
        <v>45132</v>
      </c>
      <c r="AM199">
        <v>53090.476999999999</v>
      </c>
      <c r="AN199">
        <v>1195.9000000000001</v>
      </c>
      <c r="AP199" s="39">
        <v>45148</v>
      </c>
      <c r="AQ199">
        <v>48.682400000000001</v>
      </c>
      <c r="AR199">
        <v>16.952300000000001</v>
      </c>
    </row>
    <row r="200" spans="38:44">
      <c r="AL200" s="39">
        <v>45131</v>
      </c>
      <c r="AM200">
        <v>53981.921999999999</v>
      </c>
      <c r="AN200">
        <v>1190.72</v>
      </c>
      <c r="AP200" s="39">
        <v>45147</v>
      </c>
      <c r="AQ200">
        <v>49.244100000000003</v>
      </c>
      <c r="AR200">
        <v>17.127700000000001</v>
      </c>
    </row>
    <row r="201" spans="38:44">
      <c r="AL201" s="39">
        <v>45128</v>
      </c>
      <c r="AM201">
        <v>52000.934000000001</v>
      </c>
      <c r="AN201">
        <v>1185.9000000000001</v>
      </c>
      <c r="AP201" s="39">
        <v>45146</v>
      </c>
      <c r="AQ201">
        <v>50.180300000000003</v>
      </c>
      <c r="AR201">
        <v>17.2376</v>
      </c>
    </row>
    <row r="202" spans="38:44">
      <c r="AL202" s="39">
        <v>45127</v>
      </c>
      <c r="AM202">
        <v>48633.254000000001</v>
      </c>
      <c r="AN202">
        <v>1172.81</v>
      </c>
      <c r="AP202" s="39">
        <v>45145</v>
      </c>
      <c r="AQ202">
        <v>50.3675</v>
      </c>
      <c r="AR202">
        <v>17.226400000000002</v>
      </c>
    </row>
    <row r="203" spans="38:44">
      <c r="AL203" s="39">
        <v>45126</v>
      </c>
      <c r="AM203">
        <v>48038.961000000003</v>
      </c>
      <c r="AN203">
        <v>1172.98</v>
      </c>
      <c r="AP203" s="39">
        <v>45142</v>
      </c>
      <c r="AQ203">
        <v>49.618600000000001</v>
      </c>
      <c r="AR203">
        <v>17.012699999999999</v>
      </c>
    </row>
    <row r="204" spans="38:44">
      <c r="AL204" s="39">
        <v>45125</v>
      </c>
      <c r="AM204">
        <v>47593.237999999998</v>
      </c>
      <c r="AN204">
        <v>1174.0899999999999</v>
      </c>
      <c r="AP204" s="39">
        <v>45141</v>
      </c>
      <c r="AQ204">
        <v>49.337699999999998</v>
      </c>
      <c r="AR204">
        <v>16.785299999999999</v>
      </c>
    </row>
    <row r="205" spans="38:44">
      <c r="AL205" s="39">
        <v>45124</v>
      </c>
      <c r="AM205">
        <v>48187.531000000003</v>
      </c>
      <c r="AN205">
        <v>1173.1300000000001</v>
      </c>
      <c r="AP205" s="39">
        <v>45140</v>
      </c>
      <c r="AQ205">
        <v>48.401499999999999</v>
      </c>
      <c r="AR205">
        <v>16.916699999999999</v>
      </c>
    </row>
    <row r="206" spans="38:44">
      <c r="AL206" s="39">
        <v>45121</v>
      </c>
      <c r="AM206">
        <v>48979.93</v>
      </c>
      <c r="AN206">
        <v>1168.4000000000001</v>
      </c>
      <c r="AP206" s="39">
        <v>45139</v>
      </c>
      <c r="AQ206">
        <v>48.401499999999999</v>
      </c>
      <c r="AR206">
        <v>16.521599999999999</v>
      </c>
    </row>
    <row r="207" spans="38:44">
      <c r="AL207" s="39">
        <v>45120</v>
      </c>
      <c r="AM207">
        <v>48880.879000000001</v>
      </c>
      <c r="AN207">
        <v>1165.42</v>
      </c>
      <c r="AP207" s="39">
        <v>45138</v>
      </c>
      <c r="AQ207">
        <v>50.273899999999998</v>
      </c>
      <c r="AR207">
        <v>16.458200000000001</v>
      </c>
    </row>
    <row r="208" spans="38:44">
      <c r="AL208" s="39">
        <v>45119</v>
      </c>
      <c r="AM208">
        <v>48682.781000000003</v>
      </c>
      <c r="AN208">
        <v>1154.2</v>
      </c>
      <c r="AP208" s="39">
        <v>45135</v>
      </c>
      <c r="AQ208">
        <v>51.0229</v>
      </c>
      <c r="AR208">
        <v>16.651900000000001</v>
      </c>
    </row>
    <row r="209" spans="38:44">
      <c r="AL209" s="39">
        <v>45118</v>
      </c>
      <c r="AM209">
        <v>48336.105000000003</v>
      </c>
      <c r="AN209">
        <v>1151.77</v>
      </c>
      <c r="AP209" s="39">
        <v>45134</v>
      </c>
      <c r="AQ209">
        <v>50.648400000000002</v>
      </c>
      <c r="AR209">
        <v>16.509399999999999</v>
      </c>
    </row>
    <row r="210" spans="38:44">
      <c r="AL210" s="39">
        <v>45117</v>
      </c>
      <c r="AM210">
        <v>47296.09</v>
      </c>
      <c r="AN210">
        <v>1149.02</v>
      </c>
      <c r="AP210" s="39">
        <v>45133</v>
      </c>
      <c r="AQ210">
        <v>48.776000000000003</v>
      </c>
      <c r="AR210">
        <v>16.5578</v>
      </c>
    </row>
    <row r="211" spans="38:44">
      <c r="AL211" s="39">
        <v>45114</v>
      </c>
      <c r="AM211">
        <v>45067.476999999999</v>
      </c>
      <c r="AN211">
        <v>1138.07</v>
      </c>
      <c r="AP211" s="39">
        <v>45132</v>
      </c>
      <c r="AQ211">
        <v>49.703299999999999</v>
      </c>
      <c r="AR211">
        <v>16.489599999999999</v>
      </c>
    </row>
    <row r="212" spans="38:44">
      <c r="AL212" s="39">
        <v>45113</v>
      </c>
      <c r="AM212">
        <v>42789.34</v>
      </c>
      <c r="AN212">
        <v>1126.22</v>
      </c>
      <c r="AP212" s="39">
        <v>45131</v>
      </c>
      <c r="AQ212">
        <v>50.5379</v>
      </c>
      <c r="AR212">
        <v>16.418199999999999</v>
      </c>
    </row>
    <row r="213" spans="38:44">
      <c r="AL213" s="39">
        <v>45112</v>
      </c>
      <c r="AM213">
        <v>42937.913999999997</v>
      </c>
      <c r="AN213">
        <v>1134.6199999999999</v>
      </c>
      <c r="AP213" s="39">
        <v>45128</v>
      </c>
      <c r="AQ213">
        <v>48.683300000000003</v>
      </c>
      <c r="AR213">
        <v>16.351800000000001</v>
      </c>
    </row>
    <row r="214" spans="38:44">
      <c r="AL214" s="39">
        <v>45111</v>
      </c>
      <c r="AM214">
        <v>42838.866999999998</v>
      </c>
      <c r="AN214">
        <v>1132</v>
      </c>
      <c r="AP214" s="39">
        <v>45127</v>
      </c>
      <c r="AQ214">
        <v>45.5304</v>
      </c>
      <c r="AR214">
        <v>16.171299999999999</v>
      </c>
    </row>
    <row r="215" spans="38:44">
      <c r="AL215" s="39">
        <v>45110</v>
      </c>
      <c r="AM215">
        <v>42591.241999999998</v>
      </c>
      <c r="AN215">
        <v>1125.5</v>
      </c>
      <c r="AP215" s="39">
        <v>45126</v>
      </c>
      <c r="AQ215">
        <v>44.9741</v>
      </c>
      <c r="AR215">
        <v>16.1736</v>
      </c>
    </row>
    <row r="216" spans="38:44">
      <c r="AL216" s="39">
        <v>45107</v>
      </c>
      <c r="AM216">
        <v>42888.391000000003</v>
      </c>
      <c r="AN216">
        <v>1120.18</v>
      </c>
      <c r="AP216" s="39">
        <v>45125</v>
      </c>
      <c r="AQ216">
        <v>44.556800000000003</v>
      </c>
      <c r="AR216">
        <v>16.1889</v>
      </c>
    </row>
    <row r="217" spans="38:44">
      <c r="AL217" s="39">
        <v>45106</v>
      </c>
      <c r="AM217">
        <v>42294.093999999997</v>
      </c>
      <c r="AN217">
        <v>1125.3900000000001</v>
      </c>
      <c r="AP217" s="39">
        <v>45124</v>
      </c>
      <c r="AQ217">
        <v>45.113199999999999</v>
      </c>
      <c r="AR217">
        <v>16.175699999999999</v>
      </c>
    </row>
    <row r="218" spans="38:44">
      <c r="AL218" s="39">
        <v>45105</v>
      </c>
      <c r="AM218">
        <v>43482.688000000002</v>
      </c>
      <c r="AN218">
        <v>1138.3499999999999</v>
      </c>
      <c r="AP218" s="39">
        <v>45121</v>
      </c>
      <c r="AQ218">
        <v>45.854999999999997</v>
      </c>
      <c r="AR218">
        <v>16.110499999999998</v>
      </c>
    </row>
    <row r="219" spans="38:44">
      <c r="AL219" s="39">
        <v>45104</v>
      </c>
      <c r="AM219">
        <v>43779.836000000003</v>
      </c>
      <c r="AN219">
        <v>1134.33</v>
      </c>
      <c r="AP219" s="39">
        <v>45120</v>
      </c>
      <c r="AQ219">
        <v>45.762300000000003</v>
      </c>
      <c r="AR219">
        <v>16.069400000000002</v>
      </c>
    </row>
    <row r="220" spans="38:44">
      <c r="AL220" s="39">
        <v>45103</v>
      </c>
      <c r="AM220">
        <v>43928.41</v>
      </c>
      <c r="AN220">
        <v>1132.03</v>
      </c>
      <c r="AP220" s="39">
        <v>45119</v>
      </c>
      <c r="AQ220">
        <v>45.576799999999999</v>
      </c>
      <c r="AR220">
        <v>15.9147</v>
      </c>
    </row>
    <row r="221" spans="38:44">
      <c r="AL221" s="39">
        <v>45100</v>
      </c>
      <c r="AM221">
        <v>42492.190999999999</v>
      </c>
      <c r="AN221">
        <v>1129.3800000000001</v>
      </c>
      <c r="AP221" s="39">
        <v>45118</v>
      </c>
      <c r="AQ221">
        <v>45.252299999999998</v>
      </c>
      <c r="AR221">
        <v>15.8812</v>
      </c>
    </row>
    <row r="222" spans="38:44">
      <c r="AL222" s="39">
        <v>45099</v>
      </c>
      <c r="AM222">
        <v>42640.766000000003</v>
      </c>
      <c r="AN222">
        <v>1125.3</v>
      </c>
      <c r="AP222" s="39">
        <v>45117</v>
      </c>
      <c r="AQ222">
        <v>44.278599999999997</v>
      </c>
      <c r="AR222">
        <v>15.8432</v>
      </c>
    </row>
    <row r="223" spans="38:44">
      <c r="AL223" s="39">
        <v>45098</v>
      </c>
      <c r="AM223">
        <v>42294.093999999997</v>
      </c>
      <c r="AN223">
        <v>1118.46</v>
      </c>
      <c r="AP223" s="39">
        <v>45114</v>
      </c>
      <c r="AQ223">
        <v>42.1922</v>
      </c>
      <c r="AR223">
        <v>15.692299999999999</v>
      </c>
    </row>
    <row r="224" spans="38:44">
      <c r="AL224" s="39">
        <v>45097</v>
      </c>
      <c r="AM224">
        <v>42095.995999999999</v>
      </c>
      <c r="AN224">
        <v>1111.72</v>
      </c>
      <c r="AP224" s="39">
        <v>45113</v>
      </c>
      <c r="AQ224">
        <v>40.059399999999997</v>
      </c>
      <c r="AR224">
        <v>15.5289</v>
      </c>
    </row>
    <row r="225" spans="38:44">
      <c r="AL225" s="39">
        <v>45096</v>
      </c>
      <c r="AM225">
        <v>41105.5</v>
      </c>
      <c r="AN225">
        <v>1105.4000000000001</v>
      </c>
      <c r="AP225" s="39">
        <v>45112</v>
      </c>
      <c r="AQ225">
        <v>40.198500000000003</v>
      </c>
      <c r="AR225">
        <v>15.6447</v>
      </c>
    </row>
    <row r="226" spans="38:44">
      <c r="AL226" s="39">
        <v>45093</v>
      </c>
      <c r="AM226">
        <v>40956.925999999999</v>
      </c>
      <c r="AN226">
        <v>1115.22</v>
      </c>
      <c r="AP226" s="39">
        <v>45111</v>
      </c>
      <c r="AQ226">
        <v>40.105699999999999</v>
      </c>
      <c r="AR226">
        <v>15.608599999999999</v>
      </c>
    </row>
    <row r="227" spans="38:44">
      <c r="AL227" s="39">
        <v>45092</v>
      </c>
      <c r="AM227">
        <v>41303.601999999999</v>
      </c>
      <c r="AN227">
        <v>1116.97</v>
      </c>
      <c r="AP227" s="39">
        <v>45110</v>
      </c>
      <c r="AQ227">
        <v>39.873899999999999</v>
      </c>
      <c r="AR227">
        <v>15.5189</v>
      </c>
    </row>
    <row r="228" spans="38:44">
      <c r="AL228" s="39">
        <v>45091</v>
      </c>
      <c r="AM228">
        <v>41650.273000000001</v>
      </c>
      <c r="AN228">
        <v>1117.42</v>
      </c>
      <c r="AP228" s="39">
        <v>45107</v>
      </c>
      <c r="AQ228">
        <v>40.152099999999997</v>
      </c>
      <c r="AR228">
        <v>15.445600000000001</v>
      </c>
    </row>
    <row r="229" spans="38:44">
      <c r="AL229" s="39">
        <v>45090</v>
      </c>
      <c r="AM229">
        <v>42591.241999999998</v>
      </c>
      <c r="AN229">
        <v>1122.46</v>
      </c>
      <c r="AP229" s="39">
        <v>45106</v>
      </c>
      <c r="AQ229">
        <v>23.062899999999999</v>
      </c>
      <c r="AR229">
        <v>15.517099999999999</v>
      </c>
    </row>
    <row r="230" spans="38:44">
      <c r="AL230" s="39">
        <v>45089</v>
      </c>
      <c r="AM230">
        <v>42591.241999999998</v>
      </c>
      <c r="AN230">
        <v>1116.02</v>
      </c>
      <c r="AP230" s="39">
        <v>45105</v>
      </c>
      <c r="AQ230">
        <v>23.710999999999999</v>
      </c>
      <c r="AR230">
        <v>15.6958</v>
      </c>
    </row>
    <row r="231" spans="38:44">
      <c r="AL231" s="39">
        <v>45086</v>
      </c>
      <c r="AM231">
        <v>41006.453000000001</v>
      </c>
      <c r="AN231">
        <v>1107.53</v>
      </c>
      <c r="AP231" s="39">
        <v>45104</v>
      </c>
      <c r="AQ231">
        <v>23.873000000000001</v>
      </c>
      <c r="AR231">
        <v>15.6404</v>
      </c>
    </row>
    <row r="232" spans="38:44">
      <c r="AL232" s="39">
        <v>45085</v>
      </c>
      <c r="AM232">
        <v>40263.582000000002</v>
      </c>
      <c r="AN232">
        <v>1101.32</v>
      </c>
      <c r="AP232" s="39">
        <v>45103</v>
      </c>
      <c r="AQ232">
        <v>23.9541</v>
      </c>
      <c r="AR232">
        <v>15.608700000000001</v>
      </c>
    </row>
    <row r="233" spans="38:44">
      <c r="AL233" s="39">
        <v>45084</v>
      </c>
      <c r="AM233">
        <v>41402.648000000001</v>
      </c>
      <c r="AN233">
        <v>1109.54</v>
      </c>
      <c r="AP233" s="39">
        <v>45100</v>
      </c>
      <c r="AQ233">
        <v>23.1709</v>
      </c>
      <c r="AR233">
        <v>15.572100000000001</v>
      </c>
    </row>
    <row r="234" spans="38:44">
      <c r="AL234" s="39">
        <v>45083</v>
      </c>
      <c r="AM234">
        <v>41402.648000000001</v>
      </c>
      <c r="AN234">
        <v>1108.31</v>
      </c>
      <c r="AP234" s="39">
        <v>45099</v>
      </c>
      <c r="AQ234">
        <v>23.251899999999999</v>
      </c>
      <c r="AR234">
        <v>15.5159</v>
      </c>
    </row>
    <row r="235" spans="38:44">
      <c r="AL235" s="39">
        <v>45082</v>
      </c>
      <c r="AM235">
        <v>40808.351999999999</v>
      </c>
      <c r="AN235">
        <v>1097.82</v>
      </c>
      <c r="AP235" s="39">
        <v>45098</v>
      </c>
      <c r="AQ235">
        <v>23.062899999999999</v>
      </c>
      <c r="AR235">
        <v>15.4216</v>
      </c>
    </row>
    <row r="236" spans="38:44">
      <c r="AL236" s="39">
        <v>45079</v>
      </c>
      <c r="AM236">
        <v>40412.156000000003</v>
      </c>
      <c r="AN236">
        <v>1090.8399999999999</v>
      </c>
      <c r="AP236" s="39">
        <v>45097</v>
      </c>
      <c r="AQ236">
        <v>22.954899999999999</v>
      </c>
      <c r="AR236">
        <v>15.3286</v>
      </c>
    </row>
    <row r="237" spans="38:44">
      <c r="AL237" s="39">
        <v>45078</v>
      </c>
      <c r="AM237">
        <v>38926.413999999997</v>
      </c>
      <c r="AN237">
        <v>1078.3900000000001</v>
      </c>
      <c r="AP237" s="39">
        <v>45096</v>
      </c>
      <c r="AQ237">
        <v>22.4147</v>
      </c>
      <c r="AR237">
        <v>15.2415</v>
      </c>
    </row>
    <row r="238" spans="38:44">
      <c r="AL238" s="39">
        <v>45077</v>
      </c>
      <c r="AM238">
        <v>38827.362999999998</v>
      </c>
      <c r="AN238">
        <v>1075.17</v>
      </c>
      <c r="AP238" s="39">
        <v>45093</v>
      </c>
      <c r="AQ238">
        <v>22.3337</v>
      </c>
      <c r="AR238">
        <v>15.376899999999999</v>
      </c>
    </row>
    <row r="239" spans="38:44">
      <c r="AL239" s="39">
        <v>45076</v>
      </c>
      <c r="AM239">
        <v>39025.464999999997</v>
      </c>
      <c r="AN239">
        <v>1078.05</v>
      </c>
      <c r="AP239" s="39">
        <v>45092</v>
      </c>
      <c r="AQ239">
        <v>22.5228</v>
      </c>
      <c r="AR239">
        <v>15.401</v>
      </c>
    </row>
    <row r="240" spans="38:44">
      <c r="AL240" s="39">
        <v>45075</v>
      </c>
      <c r="AM240">
        <v>38332.116999999998</v>
      </c>
      <c r="AN240">
        <v>1074.98</v>
      </c>
      <c r="AP240" s="39">
        <v>45091</v>
      </c>
      <c r="AQ240">
        <v>22.7118</v>
      </c>
      <c r="AR240">
        <v>15.4072</v>
      </c>
    </row>
    <row r="241" spans="38:44">
      <c r="AL241" s="39">
        <v>45072</v>
      </c>
      <c r="AM241">
        <v>37836.870999999999</v>
      </c>
      <c r="AN241">
        <v>1063.76</v>
      </c>
      <c r="AP241" s="39">
        <v>45090</v>
      </c>
      <c r="AQ241">
        <v>23.224900000000002</v>
      </c>
      <c r="AR241">
        <v>15.476699999999999</v>
      </c>
    </row>
    <row r="242" spans="38:44">
      <c r="AL242" s="39">
        <v>45071</v>
      </c>
      <c r="AM242">
        <v>37638.773000000001</v>
      </c>
      <c r="AN242">
        <v>1064.6300000000001</v>
      </c>
      <c r="AP242" s="39">
        <v>45089</v>
      </c>
      <c r="AQ242">
        <v>23.224900000000002</v>
      </c>
      <c r="AR242">
        <v>15.3879</v>
      </c>
    </row>
    <row r="243" spans="38:44">
      <c r="AL243" s="39">
        <v>45070</v>
      </c>
      <c r="AM243">
        <v>37589.245999999999</v>
      </c>
      <c r="AN243">
        <v>1061.79</v>
      </c>
      <c r="AP243" s="39">
        <v>45086</v>
      </c>
      <c r="AQ243">
        <v>22.360700000000001</v>
      </c>
      <c r="AR243">
        <v>15.270300000000001</v>
      </c>
    </row>
    <row r="244" spans="38:44">
      <c r="AL244" s="39">
        <v>45069</v>
      </c>
      <c r="AM244">
        <v>37886.394999999997</v>
      </c>
      <c r="AN244">
        <v>1065.8499999999999</v>
      </c>
      <c r="AP244" s="39">
        <v>45085</v>
      </c>
      <c r="AQ244">
        <v>21.9556</v>
      </c>
      <c r="AR244">
        <v>15.184699999999999</v>
      </c>
    </row>
    <row r="245" spans="38:44">
      <c r="AL245" s="39">
        <v>45068</v>
      </c>
      <c r="AM245">
        <v>38183.542999999998</v>
      </c>
      <c r="AN245">
        <v>1070.6400000000001</v>
      </c>
      <c r="AP245" s="39">
        <v>45084</v>
      </c>
      <c r="AQ245">
        <v>22.576799999999999</v>
      </c>
      <c r="AR245">
        <v>15.298</v>
      </c>
    </row>
    <row r="246" spans="38:44">
      <c r="AL246" s="39">
        <v>45065</v>
      </c>
      <c r="AM246">
        <v>37935.921999999999</v>
      </c>
      <c r="AN246">
        <v>1067.07</v>
      </c>
      <c r="AP246" s="39">
        <v>45083</v>
      </c>
      <c r="AQ246">
        <v>22.576799999999999</v>
      </c>
      <c r="AR246">
        <v>15.2811</v>
      </c>
    </row>
    <row r="247" spans="38:44">
      <c r="AL247" s="39">
        <v>45064</v>
      </c>
      <c r="AM247">
        <v>37737.82</v>
      </c>
      <c r="AN247">
        <v>1068.31</v>
      </c>
      <c r="AP247" s="39">
        <v>45082</v>
      </c>
      <c r="AQ247">
        <v>22.252700000000001</v>
      </c>
      <c r="AR247">
        <v>15.1364</v>
      </c>
    </row>
    <row r="248" spans="38:44">
      <c r="AL248" s="39">
        <v>45063</v>
      </c>
      <c r="AM248">
        <v>37787.347999999998</v>
      </c>
      <c r="AN248">
        <v>1060.44</v>
      </c>
      <c r="AP248" s="39">
        <v>45079</v>
      </c>
      <c r="AQ248">
        <v>22.0367</v>
      </c>
      <c r="AR248">
        <v>15.0402</v>
      </c>
    </row>
    <row r="249" spans="38:44">
      <c r="AL249" s="39">
        <v>45062</v>
      </c>
      <c r="AM249">
        <v>38084.495999999999</v>
      </c>
      <c r="AN249">
        <v>1065.9100000000001</v>
      </c>
      <c r="AP249" s="39">
        <v>45078</v>
      </c>
      <c r="AQ249">
        <v>21.226500000000001</v>
      </c>
      <c r="AR249">
        <v>14.868499999999999</v>
      </c>
    </row>
    <row r="250" spans="38:44">
      <c r="AL250" s="39">
        <v>45061</v>
      </c>
      <c r="AM250">
        <v>38530.214999999997</v>
      </c>
      <c r="AN250">
        <v>1065.71</v>
      </c>
      <c r="AP250" s="39">
        <v>45077</v>
      </c>
      <c r="AQ250">
        <v>21.172499999999999</v>
      </c>
      <c r="AR250">
        <v>14.824</v>
      </c>
    </row>
    <row r="251" spans="38:44">
      <c r="AL251" s="39">
        <v>45058</v>
      </c>
      <c r="AM251">
        <v>38629.266000000003</v>
      </c>
      <c r="AN251">
        <v>1066.9000000000001</v>
      </c>
      <c r="AP251" s="39">
        <v>45076</v>
      </c>
      <c r="AQ251">
        <v>21.2805</v>
      </c>
      <c r="AR251">
        <v>14.8637</v>
      </c>
    </row>
    <row r="252" spans="38:44">
      <c r="AL252" s="39">
        <v>45057</v>
      </c>
      <c r="AM252">
        <v>38332.116999999998</v>
      </c>
      <c r="AN252">
        <v>1057.1199999999999</v>
      </c>
      <c r="AP252" s="39">
        <v>45075</v>
      </c>
      <c r="AQ252">
        <v>20.9024</v>
      </c>
      <c r="AR252">
        <v>14.821400000000001</v>
      </c>
    </row>
    <row r="253" spans="38:44">
      <c r="AL253" s="39">
        <v>45056</v>
      </c>
      <c r="AM253">
        <v>38629.266000000003</v>
      </c>
      <c r="AN253">
        <v>1058.26</v>
      </c>
      <c r="AP253" s="39">
        <v>45072</v>
      </c>
      <c r="AQ253">
        <v>20.632400000000001</v>
      </c>
      <c r="AR253">
        <v>14.667</v>
      </c>
    </row>
    <row r="254" spans="38:44">
      <c r="AL254" s="39">
        <v>45055</v>
      </c>
      <c r="AM254">
        <v>37589.245999999999</v>
      </c>
      <c r="AN254">
        <v>1053.77</v>
      </c>
      <c r="AP254" s="39">
        <v>45071</v>
      </c>
      <c r="AQ254">
        <v>20.5243</v>
      </c>
      <c r="AR254">
        <v>14.679</v>
      </c>
    </row>
    <row r="255" spans="38:44">
      <c r="AL255" s="39">
        <v>45054</v>
      </c>
      <c r="AM255">
        <v>37490.199000000001</v>
      </c>
      <c r="AN255">
        <v>1053.44</v>
      </c>
      <c r="AP255" s="39">
        <v>45070</v>
      </c>
      <c r="AQ255">
        <v>20.497299999999999</v>
      </c>
      <c r="AR255">
        <v>14.639799999999999</v>
      </c>
    </row>
    <row r="256" spans="38:44">
      <c r="AP256" s="39">
        <v>45069</v>
      </c>
      <c r="AQ256">
        <v>20.659400000000002</v>
      </c>
      <c r="AR256">
        <v>14.6958</v>
      </c>
    </row>
    <row r="257" spans="42:44">
      <c r="AP257" s="39">
        <v>45068</v>
      </c>
      <c r="AQ257">
        <v>20.821400000000001</v>
      </c>
      <c r="AR257">
        <v>14.761799999999999</v>
      </c>
    </row>
    <row r="258" spans="42:44">
      <c r="AP258" s="39">
        <v>45065</v>
      </c>
      <c r="AQ258">
        <v>20.686399999999999</v>
      </c>
      <c r="AR258">
        <v>14.7126</v>
      </c>
    </row>
    <row r="259" spans="42:44">
      <c r="AP259" s="39">
        <v>45064</v>
      </c>
      <c r="AQ259">
        <v>20.578299999999999</v>
      </c>
      <c r="AR259">
        <v>14.728899999999999</v>
      </c>
    </row>
    <row r="260" spans="42:44">
      <c r="AP260" s="39">
        <v>45063</v>
      </c>
      <c r="AQ260">
        <v>20.605399999999999</v>
      </c>
      <c r="AR260">
        <v>14.6204</v>
      </c>
    </row>
    <row r="261" spans="42:44">
      <c r="AP261" s="39">
        <v>45062</v>
      </c>
      <c r="AQ261">
        <v>20.767399999999999</v>
      </c>
      <c r="AR261">
        <v>14.6958</v>
      </c>
    </row>
    <row r="262" spans="42:44">
      <c r="AP262" s="39">
        <v>45061</v>
      </c>
      <c r="AQ262">
        <v>21.010400000000001</v>
      </c>
      <c r="AR262">
        <v>14.693099999999999</v>
      </c>
    </row>
    <row r="263" spans="42:44">
      <c r="AP263" s="39">
        <v>45058</v>
      </c>
      <c r="AQ263">
        <v>21.064499999999999</v>
      </c>
      <c r="AR263">
        <v>14.7095</v>
      </c>
    </row>
    <row r="264" spans="42:44">
      <c r="AP264" s="39">
        <v>45057</v>
      </c>
      <c r="AQ264">
        <v>20.9024</v>
      </c>
      <c r="AR264">
        <v>14.5747</v>
      </c>
    </row>
    <row r="265" spans="42:44">
      <c r="AP265" s="39">
        <v>45056</v>
      </c>
      <c r="AQ265">
        <v>21.064499999999999</v>
      </c>
      <c r="AR265">
        <v>14.590400000000001</v>
      </c>
    </row>
    <row r="266" spans="42:44">
      <c r="AP266" s="39">
        <v>45055</v>
      </c>
      <c r="AQ266">
        <v>20.497299999999999</v>
      </c>
      <c r="AR266">
        <v>14.528499999999999</v>
      </c>
    </row>
    <row r="267" spans="42:44">
      <c r="AP267" s="39">
        <v>45054</v>
      </c>
      <c r="AQ267">
        <v>20.443300000000001</v>
      </c>
      <c r="AR267">
        <v>14.523899999999999</v>
      </c>
    </row>
  </sheetData>
  <mergeCells count="8">
    <mergeCell ref="A3:A4"/>
    <mergeCell ref="A5:A6"/>
    <mergeCell ref="A92:A93"/>
    <mergeCell ref="C67:D67"/>
    <mergeCell ref="E67:F67"/>
    <mergeCell ref="C74:H74"/>
    <mergeCell ref="C81:H81"/>
    <mergeCell ref="A90:A91"/>
  </mergeCells>
  <phoneticPr fontId="64" type="noConversion"/>
  <conditionalFormatting sqref="BB2:BD38">
    <cfRule type="colorScale" priority="1">
      <colorScale>
        <cfvo type="min"/>
        <cfvo type="percentile" val="50"/>
        <cfvo type="max"/>
        <color rgb="FFF8696B"/>
        <color rgb="FFFFEB84"/>
        <color rgb="FF63BE7B"/>
      </colorScale>
    </cfRule>
  </conditionalFormatting>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7F01BD-674F-4626-950E-CEB4D9407497}">
  <dimension ref="A1:BQ55"/>
  <sheetViews>
    <sheetView showGridLines="0" zoomScale="145" zoomScaleNormal="145" workbookViewId="0">
      <pane xSplit="1" ySplit="5" topLeftCell="T45" activePane="bottomRight" state="frozen"/>
      <selection pane="topRight" activeCell="B1" sqref="B1"/>
      <selection pane="bottomLeft" activeCell="A6" sqref="A6"/>
      <selection pane="bottomRight" activeCell="AC14" sqref="AC14"/>
    </sheetView>
  </sheetViews>
  <sheetFormatPr baseColWidth="10" defaultColWidth="13.5" defaultRowHeight="15" outlineLevelRow="1"/>
  <cols>
    <col min="1" max="1" width="34.6640625" style="4" customWidth="1"/>
    <col min="2" max="33" width="9.5" style="1960" customWidth="1"/>
    <col min="34" max="16384" width="13.5" style="4"/>
  </cols>
  <sheetData>
    <row r="1" spans="1:53">
      <c r="A1" s="4">
        <f>4*5</f>
        <v>20</v>
      </c>
    </row>
    <row r="2" spans="1:53" s="1854" customFormat="1" ht="16">
      <c r="A2" s="1853"/>
      <c r="B2" s="1951" t="s">
        <v>1232</v>
      </c>
      <c r="C2" s="1951" t="s">
        <v>1233</v>
      </c>
      <c r="D2" s="1951" t="s">
        <v>1234</v>
      </c>
      <c r="E2" s="1951" t="s">
        <v>1235</v>
      </c>
      <c r="F2" s="1951" t="s">
        <v>75</v>
      </c>
      <c r="G2" s="1951" t="s">
        <v>76</v>
      </c>
      <c r="H2" s="1951" t="s">
        <v>77</v>
      </c>
      <c r="I2" s="1951" t="s">
        <v>78</v>
      </c>
      <c r="J2" s="1951" t="s">
        <v>79</v>
      </c>
      <c r="K2" s="1951" t="s">
        <v>80</v>
      </c>
      <c r="L2" s="1951" t="s">
        <v>81</v>
      </c>
      <c r="M2" s="1951" t="s">
        <v>82</v>
      </c>
      <c r="N2" s="1951" t="s">
        <v>83</v>
      </c>
      <c r="O2" s="1951" t="s">
        <v>84</v>
      </c>
      <c r="P2" s="1951" t="s">
        <v>85</v>
      </c>
      <c r="Q2" s="1951" t="s">
        <v>86</v>
      </c>
      <c r="R2" s="1951" t="s">
        <v>87</v>
      </c>
      <c r="S2" s="1951" t="s">
        <v>88</v>
      </c>
      <c r="T2" s="1951" t="s">
        <v>89</v>
      </c>
      <c r="U2" s="1951" t="s">
        <v>90</v>
      </c>
      <c r="V2" s="1951" t="s">
        <v>91</v>
      </c>
      <c r="W2" s="1951" t="s">
        <v>92</v>
      </c>
      <c r="X2" s="1951" t="s">
        <v>93</v>
      </c>
      <c r="Y2" s="1951" t="s">
        <v>94</v>
      </c>
      <c r="Z2" s="1951" t="s">
        <v>95</v>
      </c>
      <c r="AA2" s="1951" t="s">
        <v>96</v>
      </c>
      <c r="AB2" s="1951" t="s">
        <v>97</v>
      </c>
      <c r="AC2" s="1951" t="s">
        <v>98</v>
      </c>
      <c r="AD2" s="1951" t="s">
        <v>99</v>
      </c>
      <c r="AE2" s="1951" t="s">
        <v>100</v>
      </c>
      <c r="AF2" s="1951" t="s">
        <v>101</v>
      </c>
      <c r="AG2" s="1951" t="s">
        <v>102</v>
      </c>
      <c r="AH2" s="1951" t="s">
        <v>103</v>
      </c>
      <c r="AI2" s="1951" t="s">
        <v>104</v>
      </c>
      <c r="AJ2" s="1951" t="s">
        <v>105</v>
      </c>
      <c r="AK2" s="1951" t="s">
        <v>106</v>
      </c>
      <c r="AL2" s="1951" t="s">
        <v>107</v>
      </c>
      <c r="AM2" s="1951" t="s">
        <v>108</v>
      </c>
      <c r="AN2" s="1951" t="s">
        <v>109</v>
      </c>
      <c r="AO2" s="1951" t="s">
        <v>110</v>
      </c>
      <c r="AP2" s="1951" t="s">
        <v>111</v>
      </c>
      <c r="AQ2" s="1951" t="s">
        <v>112</v>
      </c>
      <c r="AR2" s="1951" t="s">
        <v>113</v>
      </c>
      <c r="AS2" s="1951" t="s">
        <v>114</v>
      </c>
      <c r="AT2" s="1951" t="s">
        <v>115</v>
      </c>
      <c r="AU2" s="1951" t="s">
        <v>116</v>
      </c>
      <c r="AV2" s="1951" t="s">
        <v>117</v>
      </c>
      <c r="AW2" s="1951" t="s">
        <v>118</v>
      </c>
      <c r="AX2" s="1951" t="s">
        <v>119</v>
      </c>
      <c r="AY2" s="1951" t="s">
        <v>120</v>
      </c>
      <c r="AZ2" s="1951" t="s">
        <v>121</v>
      </c>
      <c r="BA2" s="1951" t="s">
        <v>122</v>
      </c>
    </row>
    <row r="3" spans="1:53" s="1856" customFormat="1" hidden="1" outlineLevel="1">
      <c r="A3" s="1855" t="s">
        <v>994</v>
      </c>
      <c r="B3" s="1952">
        <v>143.02494904700001</v>
      </c>
      <c r="C3" s="1952">
        <v>158.01873921200001</v>
      </c>
      <c r="D3" s="1952">
        <v>179.416362892</v>
      </c>
      <c r="E3" s="1952">
        <v>209.253657481</v>
      </c>
      <c r="F3" s="1952">
        <v>275.19569600599999</v>
      </c>
      <c r="G3" s="1952">
        <v>288.37529260100001</v>
      </c>
      <c r="H3" s="1952">
        <v>322.21817756399997</v>
      </c>
      <c r="I3" s="1952">
        <v>337.080211991</v>
      </c>
      <c r="J3" s="1952">
        <v>311.44202938000001</v>
      </c>
      <c r="K3" s="1952">
        <v>327.18293036799997</v>
      </c>
      <c r="L3" s="1952">
        <v>368.93608641700001</v>
      </c>
      <c r="M3" s="1952">
        <v>435.26589278900002</v>
      </c>
      <c r="N3" s="1952">
        <v>470.79241999999999</v>
      </c>
      <c r="O3" s="1952">
        <v>513.38884257999996</v>
      </c>
      <c r="P3" s="1952">
        <v>602.42694325499997</v>
      </c>
      <c r="Q3" s="1952">
        <v>608.97486519999995</v>
      </c>
      <c r="R3" s="1952">
        <v>656.01939727199999</v>
      </c>
      <c r="S3" s="1952">
        <v>719.00372970900003</v>
      </c>
      <c r="T3" s="1952">
        <v>748.163282149</v>
      </c>
      <c r="U3" s="1952">
        <v>797.52719927999999</v>
      </c>
      <c r="V3" s="1952">
        <v>857.82523033300004</v>
      </c>
      <c r="W3" s="1952">
        <v>861.86046780000004</v>
      </c>
      <c r="X3" s="1952">
        <v>866.07677311999998</v>
      </c>
      <c r="Y3" s="1952">
        <v>996.662347576</v>
      </c>
      <c r="Z3" s="1952">
        <v>876.11056511899994</v>
      </c>
      <c r="AA3" s="1952">
        <v>795.75025513000003</v>
      </c>
      <c r="AB3" s="1952">
        <v>1006.840609129</v>
      </c>
      <c r="AC3" s="1952">
        <v>701.82929787700004</v>
      </c>
      <c r="AD3" s="1952">
        <v>719.23091928500003</v>
      </c>
      <c r="AE3" s="1952">
        <v>678.48570584799995</v>
      </c>
      <c r="AF3" s="1952">
        <v>709.53851376199998</v>
      </c>
      <c r="AG3" s="1952">
        <v>806.16394258800005</v>
      </c>
    </row>
    <row r="4" spans="1:53" hidden="1" outlineLevel="1">
      <c r="A4" s="1857" t="s">
        <v>1911</v>
      </c>
      <c r="B4" s="1953">
        <v>-314.12481818999998</v>
      </c>
      <c r="C4" s="1953">
        <v>-517.24500268099996</v>
      </c>
      <c r="D4" s="1953">
        <v>-415.59342231300002</v>
      </c>
      <c r="E4" s="1953">
        <v>-840.29638833499996</v>
      </c>
      <c r="F4" s="1953">
        <v>-531.75777357200002</v>
      </c>
      <c r="G4" s="1953">
        <v>-224.064921078</v>
      </c>
      <c r="H4" s="1953">
        <v>-278.49911333199998</v>
      </c>
      <c r="I4" s="1953">
        <v>-449.34793540200002</v>
      </c>
      <c r="J4" s="1953">
        <v>-357.196267154</v>
      </c>
      <c r="K4" s="1953">
        <v>-528.52583998399996</v>
      </c>
      <c r="L4" s="1953">
        <v>-872.29960020700003</v>
      </c>
      <c r="M4" s="1953">
        <v>-1308.8994567950001</v>
      </c>
      <c r="N4" s="1953">
        <v>-667.96818679600005</v>
      </c>
      <c r="O4" s="1953">
        <v>-992.44568620699999</v>
      </c>
      <c r="P4" s="1953">
        <v>-1007.899391738</v>
      </c>
      <c r="Q4" s="1953">
        <v>-1243.044895261</v>
      </c>
      <c r="R4" s="1953">
        <v>-889.59682549000001</v>
      </c>
      <c r="S4" s="1953">
        <v>-1451.652365381</v>
      </c>
      <c r="T4" s="1953">
        <v>-1321.8980671060001</v>
      </c>
      <c r="U4" s="1953">
        <v>-1300.7361207219999</v>
      </c>
      <c r="V4" s="1953">
        <v>-661.85156050099999</v>
      </c>
      <c r="W4" s="1953">
        <v>-1244.8957580419999</v>
      </c>
      <c r="X4" s="1953">
        <v>-885.44252044799998</v>
      </c>
      <c r="Y4" s="1953">
        <v>-1619.3698463979999</v>
      </c>
      <c r="Z4" s="1953">
        <v>-309.97669331700001</v>
      </c>
      <c r="AA4" s="1953">
        <v>-128.14905436000001</v>
      </c>
      <c r="AB4" s="1953">
        <v>-169.71757129900001</v>
      </c>
      <c r="AC4" s="1953">
        <v>84.459988182000004</v>
      </c>
      <c r="AD4" s="1953">
        <v>-22.506780357</v>
      </c>
      <c r="AE4" s="1953">
        <v>-25.473845353000002</v>
      </c>
      <c r="AF4" s="1953">
        <v>-192.924283078</v>
      </c>
      <c r="AG4" s="1953">
        <v>-62.842918607000001</v>
      </c>
    </row>
    <row r="5" spans="1:53" hidden="1" outlineLevel="1">
      <c r="A5" s="1857" t="s">
        <v>1912</v>
      </c>
      <c r="B5" s="1953">
        <v>346.79510241999998</v>
      </c>
      <c r="C5" s="1953">
        <v>799.80723730700004</v>
      </c>
      <c r="D5" s="1953">
        <v>1385.2040860679999</v>
      </c>
      <c r="E5" s="1953">
        <v>2053.0118153160001</v>
      </c>
      <c r="F5" s="1953">
        <v>371.97394014999998</v>
      </c>
      <c r="G5" s="1953">
        <v>561.68431084300005</v>
      </c>
      <c r="H5" s="1953">
        <v>782.19844726999997</v>
      </c>
      <c r="I5" s="1953">
        <v>1109.371701477</v>
      </c>
      <c r="J5" s="1953">
        <v>602.36928472499994</v>
      </c>
      <c r="K5" s="1953">
        <v>1231.7617864859999</v>
      </c>
      <c r="L5" s="1953">
        <v>2122.8323635810002</v>
      </c>
      <c r="M5" s="1953">
        <v>3454.725836998</v>
      </c>
      <c r="N5" s="1953">
        <v>589.41899523699999</v>
      </c>
      <c r="O5" s="1953">
        <v>1728.373882503</v>
      </c>
      <c r="P5" s="1953">
        <v>2647.3343144959999</v>
      </c>
      <c r="Q5" s="1953">
        <v>4036.2296333949998</v>
      </c>
      <c r="R5" s="1953">
        <v>1092.914635951</v>
      </c>
      <c r="S5" s="1953">
        <v>2298.341623364</v>
      </c>
      <c r="T5" s="1953">
        <v>3418.092790017</v>
      </c>
      <c r="U5" s="1953">
        <v>5183.2256607660001</v>
      </c>
      <c r="V5" s="1953">
        <v>774.60931844000004</v>
      </c>
      <c r="W5" s="1953">
        <v>1742.249124229</v>
      </c>
      <c r="X5" s="1953">
        <v>2823.8315806780001</v>
      </c>
      <c r="Y5" s="1953">
        <v>4075.8723846799999</v>
      </c>
      <c r="Z5" s="1953">
        <v>239.55487963900001</v>
      </c>
      <c r="AA5" s="1953">
        <v>417.21727559800001</v>
      </c>
      <c r="AB5" s="1953">
        <v>428.72624323000002</v>
      </c>
      <c r="AC5" s="1953">
        <v>552.25574452800004</v>
      </c>
      <c r="AD5" s="1953">
        <v>21.959733036999999</v>
      </c>
      <c r="AE5" s="1953">
        <v>46.308042073999999</v>
      </c>
      <c r="AF5" s="1953">
        <v>121.353616085</v>
      </c>
      <c r="AG5" s="1953">
        <v>192.96641856700001</v>
      </c>
    </row>
    <row r="6" spans="1:53" s="1859" customFormat="1" ht="18" customHeight="1" collapsed="1">
      <c r="A6" s="1858" t="s">
        <v>1913</v>
      </c>
      <c r="B6" s="1954"/>
      <c r="C6" s="1954"/>
      <c r="D6" s="1954"/>
      <c r="E6" s="1954"/>
      <c r="F6" s="1954"/>
      <c r="G6" s="1954"/>
      <c r="H6" s="1954"/>
      <c r="I6" s="1954"/>
      <c r="J6" s="1954"/>
      <c r="K6" s="1954"/>
      <c r="L6" s="1954"/>
      <c r="M6" s="1954"/>
      <c r="N6" s="1954"/>
      <c r="O6" s="1954"/>
      <c r="P6" s="1954"/>
      <c r="Q6" s="1954"/>
      <c r="R6" s="1954"/>
      <c r="S6" s="1954"/>
      <c r="T6" s="1954"/>
      <c r="U6" s="1954"/>
      <c r="V6" s="1954"/>
      <c r="W6" s="1954"/>
      <c r="X6" s="1954"/>
      <c r="Y6" s="1954"/>
      <c r="Z6" s="1954"/>
      <c r="AA6" s="1954"/>
      <c r="AB6" s="1954"/>
      <c r="AC6" s="1954"/>
      <c r="AD6" s="1954"/>
      <c r="AE6" s="1954"/>
      <c r="AF6" s="1954"/>
      <c r="AG6" s="1954"/>
    </row>
    <row r="7" spans="1:53" ht="15.75" customHeight="1">
      <c r="A7" s="1860" t="s">
        <v>513</v>
      </c>
      <c r="B7" s="1955">
        <v>1000</v>
      </c>
      <c r="C7" s="1955">
        <v>1013</v>
      </c>
      <c r="D7" s="1955">
        <v>1058</v>
      </c>
      <c r="E7" s="1955">
        <v>1072</v>
      </c>
      <c r="F7" s="1955">
        <v>1071</v>
      </c>
      <c r="G7" s="1955">
        <v>1058</v>
      </c>
      <c r="H7" s="1955">
        <v>1038</v>
      </c>
      <c r="I7" s="1955">
        <v>1032</v>
      </c>
      <c r="J7" s="1955">
        <v>1023</v>
      </c>
      <c r="K7" s="1955">
        <v>1011</v>
      </c>
      <c r="L7" s="1955">
        <v>1011</v>
      </c>
      <c r="M7" s="1955">
        <v>996</v>
      </c>
      <c r="N7" s="1955">
        <v>1009</v>
      </c>
      <c r="O7" s="1955">
        <v>971</v>
      </c>
      <c r="P7" s="1955">
        <v>962</v>
      </c>
      <c r="Q7" s="1955">
        <v>913</v>
      </c>
      <c r="R7" s="1955">
        <v>909</v>
      </c>
      <c r="S7" s="1955">
        <v>936</v>
      </c>
      <c r="T7" s="1955">
        <v>950</v>
      </c>
      <c r="U7" s="1955">
        <v>980</v>
      </c>
      <c r="V7" s="1955">
        <v>985</v>
      </c>
      <c r="W7" s="1955">
        <v>1067</v>
      </c>
      <c r="X7" s="1955">
        <v>1116</v>
      </c>
      <c r="Y7" s="1955">
        <v>1190</v>
      </c>
      <c r="Z7" s="1955">
        <v>1188</v>
      </c>
      <c r="AA7" s="1955">
        <v>1180</v>
      </c>
      <c r="AB7" s="1955">
        <v>1165</v>
      </c>
      <c r="AC7" s="1955">
        <v>1078</v>
      </c>
      <c r="AD7" s="1955">
        <v>1071</v>
      </c>
      <c r="AE7" s="1955">
        <v>1046</v>
      </c>
      <c r="AF7" s="1955">
        <v>1023</v>
      </c>
      <c r="AG7" s="1955">
        <v>1021</v>
      </c>
    </row>
    <row r="8" spans="1:53" ht="15.75" customHeight="1">
      <c r="A8" s="1861" t="s">
        <v>1254</v>
      </c>
      <c r="B8" s="1955">
        <v>314</v>
      </c>
      <c r="C8" s="1955">
        <v>404</v>
      </c>
      <c r="D8" s="1955">
        <v>531</v>
      </c>
      <c r="E8" s="1955">
        <v>642</v>
      </c>
      <c r="F8" s="1955">
        <v>711</v>
      </c>
      <c r="G8" s="1955">
        <v>724</v>
      </c>
      <c r="H8" s="1955">
        <v>737</v>
      </c>
      <c r="I8" s="1955">
        <v>750</v>
      </c>
      <c r="J8" s="1955">
        <v>774</v>
      </c>
      <c r="K8" s="1955">
        <v>838</v>
      </c>
      <c r="L8" s="1955">
        <v>907</v>
      </c>
      <c r="M8" s="1955">
        <v>1018</v>
      </c>
      <c r="N8" s="1955">
        <v>1030</v>
      </c>
      <c r="O8" s="1955">
        <v>1044</v>
      </c>
      <c r="P8" s="1955">
        <v>1124</v>
      </c>
      <c r="Q8" s="1955">
        <v>1427</v>
      </c>
      <c r="R8" s="1955">
        <v>1553</v>
      </c>
      <c r="S8" s="1955">
        <v>1731</v>
      </c>
      <c r="T8" s="1955">
        <v>1781</v>
      </c>
      <c r="U8" s="1955">
        <v>1992</v>
      </c>
      <c r="V8" s="1955">
        <v>2077</v>
      </c>
      <c r="W8" s="1955">
        <v>2131</v>
      </c>
      <c r="X8" s="1955">
        <v>2246</v>
      </c>
      <c r="Y8" s="1955">
        <v>2284</v>
      </c>
      <c r="Z8" s="1955">
        <v>2291</v>
      </c>
      <c r="AA8" s="1955">
        <v>2289</v>
      </c>
      <c r="AB8" s="1955">
        <v>2286</v>
      </c>
      <c r="AC8" s="1955">
        <v>2190</v>
      </c>
      <c r="AD8" s="1955">
        <v>2184</v>
      </c>
      <c r="AE8" s="1955">
        <v>2093</v>
      </c>
      <c r="AF8" s="1955">
        <v>2030</v>
      </c>
      <c r="AG8" s="1955">
        <v>2026</v>
      </c>
    </row>
    <row r="9" spans="1:53" ht="15.75" customHeight="1">
      <c r="A9" s="1860" t="s">
        <v>7</v>
      </c>
      <c r="B9" s="1955">
        <v>67</v>
      </c>
      <c r="C9" s="1955">
        <v>110</v>
      </c>
      <c r="D9" s="1955">
        <v>190</v>
      </c>
      <c r="E9" s="1955">
        <v>283</v>
      </c>
      <c r="F9" s="1955">
        <v>355</v>
      </c>
      <c r="G9" s="1955">
        <v>384</v>
      </c>
      <c r="H9" s="1955">
        <v>409</v>
      </c>
      <c r="I9" s="1955">
        <v>405</v>
      </c>
      <c r="J9" s="1955">
        <v>469</v>
      </c>
      <c r="K9" s="1955">
        <v>600</v>
      </c>
      <c r="L9" s="1955">
        <v>788</v>
      </c>
      <c r="M9" s="1955">
        <v>1008</v>
      </c>
      <c r="N9" s="1955">
        <v>1158</v>
      </c>
      <c r="O9" s="1955">
        <v>1486</v>
      </c>
      <c r="P9" s="1955">
        <v>1623</v>
      </c>
      <c r="Q9" s="1955">
        <v>1719</v>
      </c>
      <c r="R9" s="1955">
        <v>1767</v>
      </c>
      <c r="S9" s="1955">
        <v>1888</v>
      </c>
      <c r="T9" s="1955">
        <v>1934</v>
      </c>
      <c r="U9" s="1955">
        <v>2106</v>
      </c>
      <c r="V9" s="1955">
        <v>2127</v>
      </c>
      <c r="W9" s="1955">
        <v>1889</v>
      </c>
      <c r="X9" s="1955">
        <v>1727</v>
      </c>
      <c r="Y9" s="1955">
        <v>1728</v>
      </c>
      <c r="Z9" s="1955">
        <v>1710</v>
      </c>
      <c r="AA9" s="1955">
        <v>1706</v>
      </c>
      <c r="AB9" s="1955">
        <v>1706</v>
      </c>
      <c r="AC9" s="1955">
        <v>1698</v>
      </c>
      <c r="AD9" s="1955">
        <v>1696</v>
      </c>
      <c r="AE9" s="1955">
        <v>1701</v>
      </c>
      <c r="AF9" s="1955">
        <v>1726</v>
      </c>
      <c r="AG9" s="1955">
        <v>1770</v>
      </c>
    </row>
    <row r="10" spans="1:53" s="1859" customFormat="1" ht="15.75" customHeight="1">
      <c r="A10" s="1859" t="s">
        <v>1914</v>
      </c>
      <c r="B10" s="1956"/>
      <c r="C10" s="1956"/>
      <c r="D10" s="1956"/>
      <c r="E10" s="1956"/>
      <c r="F10" s="1956"/>
      <c r="G10" s="1956"/>
      <c r="H10" s="1956"/>
      <c r="I10" s="1956"/>
      <c r="J10" s="1956"/>
      <c r="K10" s="1956"/>
      <c r="L10" s="1956"/>
      <c r="M10" s="1956"/>
      <c r="N10" s="1956"/>
      <c r="O10" s="1956"/>
      <c r="P10" s="1956"/>
      <c r="Q10" s="1956"/>
      <c r="R10" s="1956"/>
      <c r="S10" s="1956"/>
      <c r="T10" s="1956"/>
      <c r="U10" s="1956"/>
      <c r="V10" s="1956"/>
      <c r="W10" s="1956"/>
      <c r="X10" s="1956"/>
      <c r="Y10" s="1956"/>
      <c r="Z10" s="1956"/>
      <c r="AA10" s="1956"/>
      <c r="AB10" s="1956"/>
      <c r="AC10" s="1956"/>
      <c r="AD10" s="1956"/>
      <c r="AE10" s="1956"/>
      <c r="AF10" s="1956"/>
      <c r="AG10" s="1956"/>
    </row>
    <row r="11" spans="1:53" ht="15.75" customHeight="1">
      <c r="A11" s="1860" t="str">
        <f>A7</f>
        <v>TGDĐ</v>
      </c>
      <c r="B11" s="1957">
        <v>49</v>
      </c>
      <c r="C11" s="1957">
        <f>C7-B7</f>
        <v>13</v>
      </c>
      <c r="D11" s="1957">
        <f t="shared" ref="D11:AG13" si="0">D7-C7</f>
        <v>45</v>
      </c>
      <c r="E11" s="1957">
        <f t="shared" si="0"/>
        <v>14</v>
      </c>
      <c r="F11" s="1957">
        <f t="shared" si="0"/>
        <v>-1</v>
      </c>
      <c r="G11" s="1957">
        <f t="shared" si="0"/>
        <v>-13</v>
      </c>
      <c r="H11" s="1957">
        <f t="shared" si="0"/>
        <v>-20</v>
      </c>
      <c r="I11" s="1957">
        <f t="shared" si="0"/>
        <v>-6</v>
      </c>
      <c r="J11" s="1957">
        <f t="shared" si="0"/>
        <v>-9</v>
      </c>
      <c r="K11" s="1957">
        <f t="shared" si="0"/>
        <v>-12</v>
      </c>
      <c r="L11" s="1957">
        <f t="shared" si="0"/>
        <v>0</v>
      </c>
      <c r="M11" s="1957">
        <f t="shared" si="0"/>
        <v>-15</v>
      </c>
      <c r="N11" s="1957">
        <f t="shared" si="0"/>
        <v>13</v>
      </c>
      <c r="O11" s="1957">
        <f t="shared" si="0"/>
        <v>-38</v>
      </c>
      <c r="P11" s="1957">
        <f t="shared" si="0"/>
        <v>-9</v>
      </c>
      <c r="Q11" s="1957">
        <f t="shared" si="0"/>
        <v>-49</v>
      </c>
      <c r="R11" s="1957">
        <f t="shared" si="0"/>
        <v>-4</v>
      </c>
      <c r="S11" s="1957">
        <f t="shared" si="0"/>
        <v>27</v>
      </c>
      <c r="T11" s="1957">
        <f t="shared" si="0"/>
        <v>14</v>
      </c>
      <c r="U11" s="1957">
        <f t="shared" si="0"/>
        <v>30</v>
      </c>
      <c r="V11" s="1957">
        <f t="shared" si="0"/>
        <v>5</v>
      </c>
      <c r="W11" s="1957">
        <f t="shared" si="0"/>
        <v>82</v>
      </c>
      <c r="X11" s="1957">
        <f t="shared" si="0"/>
        <v>49</v>
      </c>
      <c r="Y11" s="1957">
        <f t="shared" si="0"/>
        <v>74</v>
      </c>
      <c r="Z11" s="1957">
        <f t="shared" si="0"/>
        <v>-2</v>
      </c>
      <c r="AA11" s="1957">
        <f t="shared" si="0"/>
        <v>-8</v>
      </c>
      <c r="AB11" s="1957">
        <f t="shared" si="0"/>
        <v>-15</v>
      </c>
      <c r="AC11" s="1957">
        <f t="shared" si="0"/>
        <v>-87</v>
      </c>
      <c r="AD11" s="1957">
        <f t="shared" si="0"/>
        <v>-7</v>
      </c>
      <c r="AE11" s="1957">
        <f t="shared" si="0"/>
        <v>-25</v>
      </c>
      <c r="AF11" s="1957">
        <f t="shared" si="0"/>
        <v>-23</v>
      </c>
      <c r="AG11" s="1957">
        <f t="shared" si="0"/>
        <v>-2</v>
      </c>
    </row>
    <row r="12" spans="1:53" ht="15.75" customHeight="1">
      <c r="A12" s="1860" t="str">
        <f t="shared" ref="A12:A13" si="1">A8</f>
        <v>ĐMX</v>
      </c>
      <c r="B12" s="1957">
        <v>58</v>
      </c>
      <c r="C12" s="1957">
        <f t="shared" ref="C12:R13" si="2">C8-B8</f>
        <v>90</v>
      </c>
      <c r="D12" s="1957">
        <f t="shared" si="2"/>
        <v>127</v>
      </c>
      <c r="E12" s="1957">
        <f t="shared" si="2"/>
        <v>111</v>
      </c>
      <c r="F12" s="1957">
        <f t="shared" si="2"/>
        <v>69</v>
      </c>
      <c r="G12" s="1957">
        <f t="shared" si="2"/>
        <v>13</v>
      </c>
      <c r="H12" s="1957">
        <f t="shared" si="2"/>
        <v>13</v>
      </c>
      <c r="I12" s="1957">
        <f t="shared" si="2"/>
        <v>13</v>
      </c>
      <c r="J12" s="1957">
        <f t="shared" si="2"/>
        <v>24</v>
      </c>
      <c r="K12" s="1957">
        <f t="shared" si="2"/>
        <v>64</v>
      </c>
      <c r="L12" s="1957">
        <f t="shared" si="2"/>
        <v>69</v>
      </c>
      <c r="M12" s="1957">
        <f t="shared" si="2"/>
        <v>111</v>
      </c>
      <c r="N12" s="1957">
        <f t="shared" si="2"/>
        <v>12</v>
      </c>
      <c r="O12" s="1957">
        <f t="shared" si="2"/>
        <v>14</v>
      </c>
      <c r="P12" s="1957">
        <f t="shared" si="2"/>
        <v>80</v>
      </c>
      <c r="Q12" s="1957">
        <f t="shared" si="2"/>
        <v>303</v>
      </c>
      <c r="R12" s="1957">
        <f t="shared" si="2"/>
        <v>126</v>
      </c>
      <c r="S12" s="1957">
        <f t="shared" si="0"/>
        <v>178</v>
      </c>
      <c r="T12" s="1957">
        <f t="shared" si="0"/>
        <v>50</v>
      </c>
      <c r="U12" s="1957">
        <f t="shared" si="0"/>
        <v>211</v>
      </c>
      <c r="V12" s="1957">
        <f t="shared" si="0"/>
        <v>85</v>
      </c>
      <c r="W12" s="1957">
        <f t="shared" si="0"/>
        <v>54</v>
      </c>
      <c r="X12" s="1957">
        <f t="shared" si="0"/>
        <v>115</v>
      </c>
      <c r="Y12" s="1957">
        <f t="shared" si="0"/>
        <v>38</v>
      </c>
      <c r="Z12" s="1957">
        <f t="shared" si="0"/>
        <v>7</v>
      </c>
      <c r="AA12" s="1957">
        <f t="shared" si="0"/>
        <v>-2</v>
      </c>
      <c r="AB12" s="1957">
        <f t="shared" si="0"/>
        <v>-3</v>
      </c>
      <c r="AC12" s="1957">
        <f t="shared" si="0"/>
        <v>-96</v>
      </c>
      <c r="AD12" s="1957">
        <f t="shared" si="0"/>
        <v>-6</v>
      </c>
      <c r="AE12" s="1957">
        <f t="shared" si="0"/>
        <v>-91</v>
      </c>
      <c r="AF12" s="1957">
        <f t="shared" si="0"/>
        <v>-63</v>
      </c>
      <c r="AG12" s="1957">
        <f t="shared" si="0"/>
        <v>-4</v>
      </c>
    </row>
    <row r="13" spans="1:53">
      <c r="A13" s="1860" t="str">
        <f t="shared" si="1"/>
        <v>BHX</v>
      </c>
      <c r="B13" s="1957">
        <v>27</v>
      </c>
      <c r="C13" s="1957">
        <f t="shared" si="2"/>
        <v>43</v>
      </c>
      <c r="D13" s="1957">
        <f t="shared" si="0"/>
        <v>80</v>
      </c>
      <c r="E13" s="1957">
        <f t="shared" si="0"/>
        <v>93</v>
      </c>
      <c r="F13" s="1957">
        <f t="shared" si="0"/>
        <v>72</v>
      </c>
      <c r="G13" s="1957">
        <f t="shared" si="0"/>
        <v>29</v>
      </c>
      <c r="H13" s="1957">
        <f t="shared" si="0"/>
        <v>25</v>
      </c>
      <c r="I13" s="1957">
        <f t="shared" si="0"/>
        <v>-4</v>
      </c>
      <c r="J13" s="1957">
        <f t="shared" si="0"/>
        <v>64</v>
      </c>
      <c r="K13" s="1957">
        <f t="shared" si="0"/>
        <v>131</v>
      </c>
      <c r="L13" s="1957">
        <f t="shared" si="0"/>
        <v>188</v>
      </c>
      <c r="M13" s="1957">
        <f t="shared" si="0"/>
        <v>220</v>
      </c>
      <c r="N13" s="1957">
        <f t="shared" si="0"/>
        <v>150</v>
      </c>
      <c r="O13" s="1957">
        <f t="shared" si="0"/>
        <v>328</v>
      </c>
      <c r="P13" s="1957">
        <f t="shared" si="0"/>
        <v>137</v>
      </c>
      <c r="Q13" s="1957">
        <f t="shared" si="0"/>
        <v>96</v>
      </c>
      <c r="R13" s="1957">
        <f t="shared" si="0"/>
        <v>48</v>
      </c>
      <c r="S13" s="1957">
        <f t="shared" si="0"/>
        <v>121</v>
      </c>
      <c r="T13" s="1957">
        <f t="shared" si="0"/>
        <v>46</v>
      </c>
      <c r="U13" s="1957">
        <f t="shared" si="0"/>
        <v>172</v>
      </c>
      <c r="V13" s="1957">
        <f t="shared" si="0"/>
        <v>21</v>
      </c>
      <c r="W13" s="1957">
        <f t="shared" si="0"/>
        <v>-238</v>
      </c>
      <c r="X13" s="1957">
        <f t="shared" si="0"/>
        <v>-162</v>
      </c>
      <c r="Y13" s="1957">
        <f t="shared" si="0"/>
        <v>1</v>
      </c>
      <c r="Z13" s="1957">
        <f t="shared" si="0"/>
        <v>-18</v>
      </c>
      <c r="AA13" s="1957">
        <f t="shared" si="0"/>
        <v>-4</v>
      </c>
      <c r="AB13" s="1957">
        <f t="shared" si="0"/>
        <v>0</v>
      </c>
      <c r="AC13" s="1957">
        <f t="shared" si="0"/>
        <v>-8</v>
      </c>
      <c r="AD13" s="1957">
        <f t="shared" si="0"/>
        <v>-2</v>
      </c>
      <c r="AE13" s="1957">
        <f t="shared" si="0"/>
        <v>5</v>
      </c>
      <c r="AF13" s="1957">
        <f t="shared" si="0"/>
        <v>25</v>
      </c>
      <c r="AG13" s="1957">
        <f t="shared" si="0"/>
        <v>44</v>
      </c>
    </row>
    <row r="14" spans="1:53" s="1862" customFormat="1" ht="73" customHeight="1">
      <c r="B14" s="1958" t="s">
        <v>1915</v>
      </c>
      <c r="C14" s="1959"/>
      <c r="D14" s="1959"/>
      <c r="E14" s="1959"/>
      <c r="F14" s="1959" t="s">
        <v>1916</v>
      </c>
      <c r="G14" s="1959" t="s">
        <v>1917</v>
      </c>
      <c r="H14" s="1959" t="s">
        <v>1918</v>
      </c>
      <c r="I14" s="1959" t="s">
        <v>1919</v>
      </c>
      <c r="J14" s="1959" t="s">
        <v>1920</v>
      </c>
      <c r="K14" s="1959" t="s">
        <v>1921</v>
      </c>
      <c r="L14" s="1959" t="s">
        <v>1922</v>
      </c>
      <c r="M14" s="1959" t="s">
        <v>1923</v>
      </c>
      <c r="N14" s="1959" t="s">
        <v>1924</v>
      </c>
      <c r="O14" s="1959" t="s">
        <v>1925</v>
      </c>
      <c r="P14" s="1959" t="s">
        <v>1926</v>
      </c>
      <c r="Q14" s="1959" t="s">
        <v>1927</v>
      </c>
      <c r="R14" s="1959" t="s">
        <v>1928</v>
      </c>
      <c r="S14" s="1959" t="s">
        <v>1929</v>
      </c>
      <c r="T14" s="1959" t="s">
        <v>1930</v>
      </c>
      <c r="U14" s="1959"/>
      <c r="V14" s="1959" t="s">
        <v>1931</v>
      </c>
      <c r="W14" s="1959"/>
      <c r="X14" s="1959" t="s">
        <v>1932</v>
      </c>
      <c r="Y14" s="1959" t="s">
        <v>1933</v>
      </c>
      <c r="Z14" s="1959"/>
      <c r="AA14" s="1959"/>
      <c r="AB14" s="1959" t="s">
        <v>1934</v>
      </c>
      <c r="AC14" s="1959" t="s">
        <v>1935</v>
      </c>
      <c r="AD14" s="1959"/>
      <c r="AE14" s="1959" t="s">
        <v>1936</v>
      </c>
      <c r="AF14" s="1959"/>
      <c r="AG14" s="1959" t="s">
        <v>1937</v>
      </c>
    </row>
    <row r="15" spans="1:53">
      <c r="F15" s="1960" t="s">
        <v>1938</v>
      </c>
      <c r="U15" s="1958" t="s">
        <v>1939</v>
      </c>
    </row>
    <row r="16" spans="1:53">
      <c r="F16" s="1960" t="s">
        <v>1940</v>
      </c>
    </row>
    <row r="18" spans="1:34" s="1863" customFormat="1" hidden="1">
      <c r="A18" s="4" t="s">
        <v>1941</v>
      </c>
      <c r="B18" s="1961"/>
      <c r="C18" s="1961"/>
      <c r="D18" s="1961"/>
      <c r="E18" s="1961"/>
      <c r="F18" s="1961"/>
      <c r="G18" s="1961"/>
      <c r="H18" s="1961">
        <v>318655321155</v>
      </c>
      <c r="I18" s="1961">
        <v>399979036052</v>
      </c>
      <c r="J18" s="1961">
        <v>377007613708</v>
      </c>
      <c r="K18" s="1961">
        <v>433025944060</v>
      </c>
      <c r="L18" s="1961">
        <v>512517942796</v>
      </c>
      <c r="M18" s="1961">
        <v>647582776728</v>
      </c>
      <c r="N18" s="1961">
        <v>778091819420</v>
      </c>
      <c r="O18" s="1961">
        <v>930226470893</v>
      </c>
      <c r="P18" s="1961">
        <v>1084416746906</v>
      </c>
      <c r="Q18" s="1961">
        <v>1376052494013</v>
      </c>
      <c r="R18" s="1961">
        <v>1622366258251</v>
      </c>
      <c r="S18" s="1961">
        <v>1876411557934</v>
      </c>
      <c r="T18" s="1961">
        <v>2249706225904</v>
      </c>
      <c r="U18" s="1961">
        <v>2761915067328</v>
      </c>
      <c r="V18" s="1961">
        <v>3082600645981</v>
      </c>
      <c r="W18" s="1961">
        <v>3400719042695</v>
      </c>
      <c r="X18" s="1961">
        <v>3939268568551</v>
      </c>
      <c r="Y18" s="1961">
        <v>4637616263600</v>
      </c>
      <c r="Z18" s="1961">
        <v>4934019567558</v>
      </c>
      <c r="AA18" s="1961">
        <v>5107067832478</v>
      </c>
      <c r="AB18" s="1961">
        <v>5045344264833</v>
      </c>
      <c r="AC18" s="1961">
        <v>5809249776238</v>
      </c>
      <c r="AD18" s="1961">
        <v>6152065310650</v>
      </c>
      <c r="AE18" s="1961">
        <v>6643808962920</v>
      </c>
      <c r="AF18" s="1961">
        <v>7331712777914</v>
      </c>
      <c r="AG18" s="1961">
        <v>8565690886702</v>
      </c>
    </row>
    <row r="19" spans="1:34" s="1863" customFormat="1" hidden="1">
      <c r="A19" s="4" t="s">
        <v>1942</v>
      </c>
      <c r="B19" s="1961">
        <v>54131880</v>
      </c>
      <c r="C19" s="1961">
        <v>787587533</v>
      </c>
      <c r="D19" s="1961">
        <v>784676498</v>
      </c>
      <c r="E19" s="1961">
        <v>4541910830</v>
      </c>
      <c r="F19" s="1961">
        <v>14059524388</v>
      </c>
      <c r="G19" s="1961">
        <v>32422533937</v>
      </c>
      <c r="H19" s="1961">
        <v>69540365276</v>
      </c>
      <c r="I19" s="1961">
        <v>152404681654</v>
      </c>
      <c r="J19" s="1961">
        <v>17801433001</v>
      </c>
      <c r="K19" s="1961">
        <v>28620018069</v>
      </c>
      <c r="L19" s="1961">
        <v>51606262434</v>
      </c>
      <c r="M19" s="1961">
        <v>90920961249</v>
      </c>
      <c r="N19" s="1961">
        <v>21513076501</v>
      </c>
      <c r="O19" s="1961">
        <v>61907146554</v>
      </c>
      <c r="P19" s="1961">
        <v>158832462563</v>
      </c>
      <c r="Q19" s="1961">
        <v>209561014755</v>
      </c>
      <c r="R19" s="1961">
        <v>33893936674</v>
      </c>
      <c r="S19" s="1961">
        <v>104786159545</v>
      </c>
      <c r="T19" s="1961">
        <v>119114804048</v>
      </c>
      <c r="U19" s="1961">
        <v>149436688488</v>
      </c>
      <c r="V19" s="1961">
        <v>39283640102</v>
      </c>
      <c r="W19" s="1961">
        <v>239852737241</v>
      </c>
      <c r="X19" s="1961">
        <v>404387361967</v>
      </c>
      <c r="Y19" s="1961">
        <v>704841132543</v>
      </c>
      <c r="Z19" s="1961">
        <v>116023148382</v>
      </c>
      <c r="AA19" s="1961">
        <v>365104923124</v>
      </c>
      <c r="AB19" s="1961">
        <v>367252499351</v>
      </c>
      <c r="AC19" s="1961">
        <v>764785979456</v>
      </c>
      <c r="AD19" s="1961">
        <v>68769480763</v>
      </c>
      <c r="AE19" s="1961">
        <v>416484769281</v>
      </c>
      <c r="AF19" s="1961">
        <v>711837999578</v>
      </c>
      <c r="AG19" s="1961">
        <v>714594145475</v>
      </c>
    </row>
    <row r="21" spans="1:34">
      <c r="A21" s="4" t="s">
        <v>1943</v>
      </c>
      <c r="B21" s="1962">
        <f t="shared" ref="B21:AF21" si="3">B18/10^9</f>
        <v>0</v>
      </c>
      <c r="C21" s="1962">
        <f t="shared" si="3"/>
        <v>0</v>
      </c>
      <c r="D21" s="1962">
        <f t="shared" si="3"/>
        <v>0</v>
      </c>
      <c r="E21" s="1962">
        <f t="shared" si="3"/>
        <v>0</v>
      </c>
      <c r="F21" s="1962">
        <f t="shared" si="3"/>
        <v>0</v>
      </c>
      <c r="G21" s="1962">
        <f t="shared" si="3"/>
        <v>0</v>
      </c>
      <c r="H21" s="1962">
        <f t="shared" si="3"/>
        <v>318.65532115500002</v>
      </c>
      <c r="I21" s="1962">
        <f t="shared" si="3"/>
        <v>399.97903605200003</v>
      </c>
      <c r="J21" s="1962">
        <f t="shared" si="3"/>
        <v>377.00761370800001</v>
      </c>
      <c r="K21" s="1962">
        <f t="shared" si="3"/>
        <v>433.02594405999997</v>
      </c>
      <c r="L21" s="1962">
        <f t="shared" si="3"/>
        <v>512.51794279600006</v>
      </c>
      <c r="M21" s="1962">
        <f t="shared" si="3"/>
        <v>647.582776728</v>
      </c>
      <c r="N21" s="1962">
        <f t="shared" si="3"/>
        <v>778.09181941999998</v>
      </c>
      <c r="O21" s="1962">
        <f t="shared" si="3"/>
        <v>930.22647089300006</v>
      </c>
      <c r="P21" s="1962">
        <f t="shared" si="3"/>
        <v>1084.4167469060001</v>
      </c>
      <c r="Q21" s="1962">
        <f t="shared" si="3"/>
        <v>1376.0524940129999</v>
      </c>
      <c r="R21" s="1962">
        <f t="shared" si="3"/>
        <v>1622.3662582510001</v>
      </c>
      <c r="S21" s="1962">
        <f t="shared" si="3"/>
        <v>1876.411557934</v>
      </c>
      <c r="T21" s="1962">
        <f t="shared" si="3"/>
        <v>2249.7062259039999</v>
      </c>
      <c r="U21" s="1962">
        <f t="shared" si="3"/>
        <v>2761.9150673280001</v>
      </c>
      <c r="V21" s="1962">
        <f t="shared" si="3"/>
        <v>3082.6006459810001</v>
      </c>
      <c r="W21" s="1962">
        <f t="shared" si="3"/>
        <v>3400.7190426950001</v>
      </c>
      <c r="X21" s="1962">
        <f t="shared" si="3"/>
        <v>3939.268568551</v>
      </c>
      <c r="Y21" s="1962">
        <f t="shared" si="3"/>
        <v>4637.6162635999999</v>
      </c>
      <c r="Z21" s="1962">
        <f t="shared" si="3"/>
        <v>4934.0195675579998</v>
      </c>
      <c r="AA21" s="1962">
        <f t="shared" si="3"/>
        <v>5107.0678324780001</v>
      </c>
      <c r="AB21" s="1962">
        <f t="shared" si="3"/>
        <v>5045.3442648330001</v>
      </c>
      <c r="AC21" s="1962">
        <f t="shared" si="3"/>
        <v>5809.2497762379999</v>
      </c>
      <c r="AD21" s="1962">
        <f t="shared" si="3"/>
        <v>6152.0653106500004</v>
      </c>
      <c r="AE21" s="1962">
        <f t="shared" si="3"/>
        <v>6643.8089629200003</v>
      </c>
      <c r="AF21" s="1962">
        <f t="shared" si="3"/>
        <v>7331.7127779140001</v>
      </c>
      <c r="AG21" s="1962">
        <f>AG18/10^9</f>
        <v>8565.6908867019993</v>
      </c>
      <c r="AH21" s="1918">
        <v>8983.5679999999993</v>
      </c>
    </row>
    <row r="22" spans="1:34">
      <c r="A22" s="4" t="s">
        <v>1944</v>
      </c>
      <c r="AE22" s="1963">
        <f t="shared" ref="AE22:AG22" si="4">AE21-AA21</f>
        <v>1536.7411304420002</v>
      </c>
      <c r="AF22" s="1963">
        <f t="shared" si="4"/>
        <v>2286.3685130809999</v>
      </c>
      <c r="AG22" s="1963">
        <f t="shared" si="4"/>
        <v>2756.4411104639994</v>
      </c>
      <c r="AH22" s="1919">
        <f>AH21-AD21</f>
        <v>2831.5026893499989</v>
      </c>
    </row>
    <row r="24" spans="1:34" s="1865" customFormat="1">
      <c r="A24" s="1865" t="s">
        <v>843</v>
      </c>
      <c r="B24" s="1964">
        <v>2302.5710682600002</v>
      </c>
      <c r="C24" s="1964">
        <v>2597.5673749699999</v>
      </c>
      <c r="D24" s="1964">
        <v>3003.1366361750001</v>
      </c>
      <c r="E24" s="1964">
        <v>3463.6579949349998</v>
      </c>
      <c r="F24" s="1964">
        <v>3500.3117174210001</v>
      </c>
      <c r="G24" s="1964">
        <v>3418.1273683710001</v>
      </c>
      <c r="H24" s="1964">
        <v>3330.8575633300002</v>
      </c>
      <c r="I24" s="1964">
        <v>3333.1476596020002</v>
      </c>
      <c r="J24" s="1964">
        <v>3633.0496940570001</v>
      </c>
      <c r="K24" s="1964">
        <v>3930.0329229429999</v>
      </c>
      <c r="L24" s="1964">
        <v>4478.0442834730002</v>
      </c>
      <c r="M24" s="1964">
        <v>5403.7769889210003</v>
      </c>
      <c r="N24" s="1964">
        <v>5538.1354736639996</v>
      </c>
      <c r="O24" s="1964">
        <v>6175.4190825719998</v>
      </c>
      <c r="P24" s="1964">
        <v>6502.873343796</v>
      </c>
      <c r="Q24" s="1964">
        <v>7294.9616661359996</v>
      </c>
      <c r="R24" s="1964">
        <v>7744.5702589809998</v>
      </c>
      <c r="S24" s="1964">
        <v>8243.7669314750001</v>
      </c>
      <c r="T24" s="1964">
        <v>8630.4996119589996</v>
      </c>
      <c r="U24" s="1964">
        <v>9634.1756619150001</v>
      </c>
      <c r="V24" s="1964">
        <v>9577.4555986190007</v>
      </c>
      <c r="W24" s="1964">
        <v>9537.399927556</v>
      </c>
      <c r="X24" s="1964">
        <v>9429.5189701010004</v>
      </c>
      <c r="Y24" s="1964">
        <v>9727.5029114400004</v>
      </c>
      <c r="Z24" s="1964">
        <v>9102.2481266790001</v>
      </c>
      <c r="AA24" s="1964">
        <v>8195.5220865489991</v>
      </c>
      <c r="AB24" s="1964">
        <v>7370.7601594429998</v>
      </c>
      <c r="AC24" s="1964">
        <v>6500.1356089139999</v>
      </c>
      <c r="AD24" s="1964">
        <v>5800.2952104300002</v>
      </c>
      <c r="AE24" s="1964">
        <v>4963.4376166430002</v>
      </c>
      <c r="AF24" s="1964">
        <v>4172.0536149400004</v>
      </c>
      <c r="AG24" s="1964">
        <v>3586.6286640449998</v>
      </c>
    </row>
    <row r="25" spans="1:34" s="1865" customFormat="1">
      <c r="A25" s="1865" t="s">
        <v>845</v>
      </c>
      <c r="B25" s="1964">
        <v>2276.0845731059999</v>
      </c>
      <c r="C25" s="1964">
        <v>2571.208852325</v>
      </c>
      <c r="D25" s="1964">
        <v>2976.8990931409999</v>
      </c>
      <c r="E25" s="1964">
        <v>3435.8483332989999</v>
      </c>
      <c r="F25" s="1964">
        <v>3469.2954415630002</v>
      </c>
      <c r="G25" s="1964">
        <v>3386.769615191</v>
      </c>
      <c r="H25" s="1964">
        <v>3300.1536890699999</v>
      </c>
      <c r="I25" s="1964">
        <v>3304.9235294700002</v>
      </c>
      <c r="J25" s="1964">
        <v>3604.9736261140001</v>
      </c>
      <c r="K25" s="1964">
        <v>3901.1122604880002</v>
      </c>
      <c r="L25" s="1964">
        <v>4449.3350442720002</v>
      </c>
      <c r="M25" s="1964">
        <v>5375.2791729740002</v>
      </c>
      <c r="N25" s="1964">
        <v>5508.9146033910001</v>
      </c>
      <c r="O25" s="1964">
        <v>6146.7243763140004</v>
      </c>
      <c r="P25" s="1964">
        <v>6474.7048015529999</v>
      </c>
      <c r="Q25" s="1964">
        <v>7267.3192879079998</v>
      </c>
      <c r="R25" s="1964">
        <v>7716.4946067640003</v>
      </c>
      <c r="S25" s="1964">
        <v>8216.2174432730008</v>
      </c>
      <c r="T25" s="1964">
        <v>8603.4244469080004</v>
      </c>
      <c r="U25" s="1964">
        <v>9566.9549332200004</v>
      </c>
      <c r="V25" s="1964">
        <v>9498.9318118339997</v>
      </c>
      <c r="W25" s="1964">
        <v>9460.3264345000007</v>
      </c>
      <c r="X25" s="1964">
        <v>9353.8957707749996</v>
      </c>
      <c r="Y25" s="1964">
        <v>9653.3300059760004</v>
      </c>
      <c r="Z25" s="1964">
        <v>9029.4133886309992</v>
      </c>
      <c r="AA25" s="1964">
        <v>8124.0255159159997</v>
      </c>
      <c r="AB25" s="1964">
        <v>7300.6017562260004</v>
      </c>
      <c r="AC25" s="1964">
        <v>6431.3153731129996</v>
      </c>
      <c r="AD25" s="1964">
        <v>5732.8131420449999</v>
      </c>
      <c r="AE25" s="1964">
        <v>4897.293715672</v>
      </c>
      <c r="AF25" s="1964">
        <v>4107.2478813850003</v>
      </c>
      <c r="AG25" s="1964">
        <v>3523.1610979060001</v>
      </c>
    </row>
    <row r="26" spans="1:34" s="1864" customFormat="1">
      <c r="A26" s="1864" t="s">
        <v>847</v>
      </c>
      <c r="B26" s="1965">
        <v>3131.100586694</v>
      </c>
      <c r="C26" s="1965">
        <v>3583.3821769629999</v>
      </c>
      <c r="D26" s="1965">
        <v>4168.2954114690001</v>
      </c>
      <c r="E26" s="1965">
        <v>4832.6999063780004</v>
      </c>
      <c r="F26" s="1965">
        <v>5189.2418968780003</v>
      </c>
      <c r="G26" s="1965">
        <v>5360.5634774669998</v>
      </c>
      <c r="H26" s="1965">
        <v>5542.9515424350002</v>
      </c>
      <c r="I26" s="1965">
        <v>5788.3263316760003</v>
      </c>
      <c r="J26" s="1965">
        <v>6366.5209944799999</v>
      </c>
      <c r="K26" s="1965">
        <v>6963.5068235810004</v>
      </c>
      <c r="L26" s="1965">
        <v>7842.1200581330004</v>
      </c>
      <c r="M26" s="1965">
        <v>9148.4559895250004</v>
      </c>
      <c r="N26" s="1965">
        <v>9715.7864117370009</v>
      </c>
      <c r="O26" s="1965">
        <v>10810.716825142999</v>
      </c>
      <c r="P26" s="1965">
        <v>11628.324745583001</v>
      </c>
      <c r="Q26" s="1965">
        <v>12963.311412900999</v>
      </c>
      <c r="R26" s="1965">
        <v>14018.738060314001</v>
      </c>
      <c r="S26" s="1965">
        <v>15150.686306554</v>
      </c>
      <c r="T26" s="1965">
        <v>16255.905656653</v>
      </c>
      <c r="U26" s="1965">
        <v>17987.087849356001</v>
      </c>
      <c r="V26" s="1965">
        <v>18720.568196944001</v>
      </c>
      <c r="W26" s="1965">
        <v>19326.455928513002</v>
      </c>
      <c r="X26" s="1965">
        <v>19904.769151420998</v>
      </c>
      <c r="Y26" s="1965">
        <v>20841.293419594</v>
      </c>
      <c r="Z26" s="1965">
        <v>20960.998273141999</v>
      </c>
      <c r="AA26" s="1965">
        <v>20585.592745369999</v>
      </c>
      <c r="AB26" s="1965">
        <v>20750.175883135998</v>
      </c>
      <c r="AC26" s="1965">
        <v>20139.282722977001</v>
      </c>
      <c r="AD26" s="1965">
        <v>20074.555794985001</v>
      </c>
      <c r="AE26" s="1965">
        <v>19550.338850689001</v>
      </c>
      <c r="AF26" s="1965">
        <v>19064.454816619</v>
      </c>
      <c r="AG26" s="1965">
        <v>19174.626383751998</v>
      </c>
    </row>
    <row r="27" spans="1:34" s="1864" customFormat="1">
      <c r="A27" s="1864" t="s">
        <v>849</v>
      </c>
      <c r="B27" s="1965">
        <v>-855.01601358799996</v>
      </c>
      <c r="C27" s="1965">
        <v>-1012.1733246380001</v>
      </c>
      <c r="D27" s="1965">
        <v>-1191.396318328</v>
      </c>
      <c r="E27" s="1965">
        <v>-1396.851573079</v>
      </c>
      <c r="F27" s="1965">
        <v>-1719.9464553150001</v>
      </c>
      <c r="G27" s="1965">
        <v>-1973.793862276</v>
      </c>
      <c r="H27" s="1965">
        <v>-2242.7978533649998</v>
      </c>
      <c r="I27" s="1965">
        <v>-2483.4028022060002</v>
      </c>
      <c r="J27" s="1965">
        <v>-2761.5473683659998</v>
      </c>
      <c r="K27" s="1965">
        <v>-3062.3945630930002</v>
      </c>
      <c r="L27" s="1965">
        <v>-3392.7850138610002</v>
      </c>
      <c r="M27" s="1965">
        <v>-3773.1768165509998</v>
      </c>
      <c r="N27" s="1965">
        <v>-4206.8718083459999</v>
      </c>
      <c r="O27" s="1965">
        <v>-4663.9924488289998</v>
      </c>
      <c r="P27" s="1965">
        <v>-5153.6199440299997</v>
      </c>
      <c r="Q27" s="1965">
        <v>-5695.9921249930003</v>
      </c>
      <c r="R27" s="1965">
        <v>-6302.2434535499997</v>
      </c>
      <c r="S27" s="1965">
        <v>-6934.4688632810003</v>
      </c>
      <c r="T27" s="1965">
        <v>-7652.4812097450003</v>
      </c>
      <c r="U27" s="1965">
        <v>-8420.1329161360009</v>
      </c>
      <c r="V27" s="1965">
        <v>-9221.6363851099995</v>
      </c>
      <c r="W27" s="1965">
        <v>-9866.1294940129992</v>
      </c>
      <c r="X27" s="1965">
        <v>-10550.873380646</v>
      </c>
      <c r="Y27" s="1965">
        <v>-11187.963413617999</v>
      </c>
      <c r="Z27" s="1965">
        <v>-11931.584884510999</v>
      </c>
      <c r="AA27" s="1965">
        <v>-12461.567229454</v>
      </c>
      <c r="AB27" s="1965">
        <v>-13449.57412691</v>
      </c>
      <c r="AC27" s="1965">
        <v>-13707.967349864</v>
      </c>
      <c r="AD27" s="1965">
        <v>-14341.74265294</v>
      </c>
      <c r="AE27" s="1965">
        <v>-14653.045135017001</v>
      </c>
      <c r="AF27" s="1965">
        <v>-14957.206935234</v>
      </c>
      <c r="AG27" s="1965">
        <v>-15651.465285845999</v>
      </c>
    </row>
    <row r="28" spans="1:34" s="1864" customFormat="1" hidden="1" outlineLevel="1">
      <c r="A28" s="1864" t="s">
        <v>851</v>
      </c>
      <c r="B28" s="1965">
        <v>0</v>
      </c>
      <c r="C28" s="1965">
        <v>0</v>
      </c>
      <c r="D28" s="1965">
        <v>0</v>
      </c>
      <c r="E28" s="1965">
        <v>0</v>
      </c>
      <c r="F28" s="1965">
        <v>0</v>
      </c>
      <c r="G28" s="1965">
        <v>0</v>
      </c>
      <c r="H28" s="1965">
        <v>0</v>
      </c>
      <c r="I28" s="1965">
        <v>0</v>
      </c>
      <c r="J28" s="1965">
        <v>0</v>
      </c>
      <c r="K28" s="1965">
        <v>0</v>
      </c>
      <c r="L28" s="1965">
        <v>0</v>
      </c>
      <c r="M28" s="1965">
        <v>0</v>
      </c>
      <c r="N28" s="1965">
        <v>0</v>
      </c>
      <c r="O28" s="1965">
        <v>0</v>
      </c>
      <c r="P28" s="1965">
        <v>0</v>
      </c>
      <c r="Q28" s="1965">
        <v>0</v>
      </c>
      <c r="R28" s="1965">
        <v>0</v>
      </c>
      <c r="S28" s="1965">
        <v>0</v>
      </c>
      <c r="T28" s="1965">
        <v>0</v>
      </c>
      <c r="U28" s="1965">
        <v>0</v>
      </c>
      <c r="V28" s="1965">
        <v>0</v>
      </c>
      <c r="W28" s="1965">
        <v>0</v>
      </c>
      <c r="X28" s="1965">
        <v>0</v>
      </c>
      <c r="Y28" s="1965">
        <v>0</v>
      </c>
      <c r="Z28" s="1965">
        <v>0</v>
      </c>
      <c r="AA28" s="1965">
        <v>0</v>
      </c>
      <c r="AB28" s="1965">
        <v>0</v>
      </c>
      <c r="AC28" s="1965">
        <v>0</v>
      </c>
      <c r="AD28" s="1965">
        <v>0</v>
      </c>
      <c r="AE28" s="1965">
        <v>0</v>
      </c>
      <c r="AF28" s="1965">
        <v>0</v>
      </c>
      <c r="AG28" s="1965">
        <v>0</v>
      </c>
    </row>
    <row r="29" spans="1:34" s="1864" customFormat="1" hidden="1" outlineLevel="1">
      <c r="A29" s="1864" t="s">
        <v>852</v>
      </c>
      <c r="B29" s="1965">
        <v>0</v>
      </c>
      <c r="C29" s="1965">
        <v>0</v>
      </c>
      <c r="D29" s="1965">
        <v>0</v>
      </c>
      <c r="E29" s="1965">
        <v>0</v>
      </c>
      <c r="F29" s="1965">
        <v>0</v>
      </c>
      <c r="G29" s="1965">
        <v>0</v>
      </c>
      <c r="H29" s="1965">
        <v>0</v>
      </c>
      <c r="I29" s="1965">
        <v>0</v>
      </c>
      <c r="J29" s="1965">
        <v>0</v>
      </c>
      <c r="K29" s="1965">
        <v>0</v>
      </c>
      <c r="L29" s="1965">
        <v>0</v>
      </c>
      <c r="M29" s="1965">
        <v>0</v>
      </c>
      <c r="N29" s="1965">
        <v>0</v>
      </c>
      <c r="O29" s="1965">
        <v>0</v>
      </c>
      <c r="P29" s="1965">
        <v>0</v>
      </c>
      <c r="Q29" s="1965">
        <v>0</v>
      </c>
      <c r="R29" s="1965">
        <v>0</v>
      </c>
      <c r="S29" s="1965">
        <v>0</v>
      </c>
      <c r="T29" s="1965">
        <v>0</v>
      </c>
      <c r="U29" s="1965">
        <v>0</v>
      </c>
      <c r="V29" s="1965">
        <v>0</v>
      </c>
      <c r="W29" s="1965">
        <v>0</v>
      </c>
      <c r="X29" s="1965">
        <v>0</v>
      </c>
      <c r="Y29" s="1965">
        <v>0</v>
      </c>
      <c r="Z29" s="1965">
        <v>0</v>
      </c>
      <c r="AA29" s="1965">
        <v>0</v>
      </c>
      <c r="AB29" s="1965">
        <v>0</v>
      </c>
      <c r="AC29" s="1965">
        <v>0</v>
      </c>
      <c r="AD29" s="1965">
        <v>0</v>
      </c>
      <c r="AE29" s="1965">
        <v>0</v>
      </c>
      <c r="AF29" s="1965">
        <v>0</v>
      </c>
      <c r="AG29" s="1965">
        <v>0</v>
      </c>
    </row>
    <row r="30" spans="1:34" s="1864" customFormat="1" hidden="1" outlineLevel="1">
      <c r="A30" s="1864" t="s">
        <v>854</v>
      </c>
      <c r="B30" s="1965">
        <v>0</v>
      </c>
      <c r="C30" s="1965">
        <v>0</v>
      </c>
      <c r="D30" s="1965">
        <v>0</v>
      </c>
      <c r="E30" s="1965">
        <v>0</v>
      </c>
      <c r="F30" s="1965">
        <v>0</v>
      </c>
      <c r="G30" s="1965">
        <v>0</v>
      </c>
      <c r="H30" s="1965">
        <v>0</v>
      </c>
      <c r="I30" s="1965">
        <v>0</v>
      </c>
      <c r="J30" s="1965">
        <v>0</v>
      </c>
      <c r="K30" s="1965">
        <v>0</v>
      </c>
      <c r="L30" s="1965">
        <v>0</v>
      </c>
      <c r="M30" s="1965">
        <v>0</v>
      </c>
      <c r="N30" s="1965">
        <v>0</v>
      </c>
      <c r="O30" s="1965">
        <v>0</v>
      </c>
      <c r="P30" s="1965">
        <v>0</v>
      </c>
      <c r="Q30" s="1965">
        <v>0</v>
      </c>
      <c r="R30" s="1965">
        <v>0</v>
      </c>
      <c r="S30" s="1965">
        <v>0</v>
      </c>
      <c r="T30" s="1965">
        <v>0</v>
      </c>
      <c r="U30" s="1965">
        <v>0</v>
      </c>
      <c r="V30" s="1965">
        <v>0</v>
      </c>
      <c r="W30" s="1965">
        <v>0</v>
      </c>
      <c r="X30" s="1965">
        <v>0</v>
      </c>
      <c r="Y30" s="1965">
        <v>0</v>
      </c>
      <c r="Z30" s="1965">
        <v>0</v>
      </c>
      <c r="AA30" s="1965">
        <v>0</v>
      </c>
      <c r="AB30" s="1965">
        <v>0</v>
      </c>
      <c r="AC30" s="1965">
        <v>0</v>
      </c>
      <c r="AD30" s="1965">
        <v>0</v>
      </c>
      <c r="AE30" s="1965">
        <v>0</v>
      </c>
      <c r="AF30" s="1965">
        <v>0</v>
      </c>
      <c r="AG30" s="1965">
        <v>0</v>
      </c>
    </row>
    <row r="31" spans="1:34" s="1864" customFormat="1" hidden="1" outlineLevel="1">
      <c r="A31" s="1864" t="s">
        <v>856</v>
      </c>
      <c r="B31" s="1965">
        <v>26.486495154</v>
      </c>
      <c r="C31" s="1965">
        <v>26.358522645000001</v>
      </c>
      <c r="D31" s="1965">
        <v>26.237543034000002</v>
      </c>
      <c r="E31" s="1965">
        <v>27.809661636000001</v>
      </c>
      <c r="F31" s="1965">
        <v>31.016275858</v>
      </c>
      <c r="G31" s="1965">
        <v>31.35775318</v>
      </c>
      <c r="H31" s="1965">
        <v>30.703874259999999</v>
      </c>
      <c r="I31" s="1965">
        <v>28.224130131999999</v>
      </c>
      <c r="J31" s="1965">
        <v>28.076067943000002</v>
      </c>
      <c r="K31" s="1965">
        <v>28.920662454999999</v>
      </c>
      <c r="L31" s="1965">
        <v>28.709239200999999</v>
      </c>
      <c r="M31" s="1965">
        <v>28.497815946999999</v>
      </c>
      <c r="N31" s="1965">
        <v>29.220870272999999</v>
      </c>
      <c r="O31" s="1965">
        <v>28.694706258</v>
      </c>
      <c r="P31" s="1965">
        <v>28.168542243000001</v>
      </c>
      <c r="Q31" s="1965">
        <v>27.642378227999998</v>
      </c>
      <c r="R31" s="1965">
        <v>28.075652216999998</v>
      </c>
      <c r="S31" s="1965">
        <v>27.549488201999999</v>
      </c>
      <c r="T31" s="1965">
        <v>27.075165050999999</v>
      </c>
      <c r="U31" s="1965">
        <v>67.220728695000005</v>
      </c>
      <c r="V31" s="1965">
        <v>78.523786784999999</v>
      </c>
      <c r="W31" s="1965">
        <v>77.073493056000004</v>
      </c>
      <c r="X31" s="1965">
        <v>75.623199326000005</v>
      </c>
      <c r="Y31" s="1965">
        <v>74.172905463999996</v>
      </c>
      <c r="Z31" s="1965">
        <v>72.834738048000006</v>
      </c>
      <c r="AA31" s="1965">
        <v>71.496570633000005</v>
      </c>
      <c r="AB31" s="1965">
        <v>70.158403217</v>
      </c>
      <c r="AC31" s="1965">
        <v>68.820235800999995</v>
      </c>
      <c r="AD31" s="1965">
        <v>67.482068385000005</v>
      </c>
      <c r="AE31" s="1965">
        <v>66.143900970999994</v>
      </c>
      <c r="AF31" s="1965">
        <v>64.805733555000003</v>
      </c>
      <c r="AG31" s="1965">
        <v>63.467566138999999</v>
      </c>
    </row>
    <row r="32" spans="1:34" s="1864" customFormat="1" hidden="1" outlineLevel="1">
      <c r="A32" s="1864" t="s">
        <v>857</v>
      </c>
      <c r="B32" s="1965">
        <v>31.108130144</v>
      </c>
      <c r="C32" s="1965">
        <v>31.108130144</v>
      </c>
      <c r="D32" s="1965">
        <v>31.108130144</v>
      </c>
      <c r="E32" s="1965">
        <v>32.779467144000002</v>
      </c>
      <c r="F32" s="1965">
        <v>42.833498124999998</v>
      </c>
      <c r="G32" s="1965">
        <v>43.892454125</v>
      </c>
      <c r="H32" s="1965">
        <v>43.885640125000002</v>
      </c>
      <c r="I32" s="1965">
        <v>33.838423143999997</v>
      </c>
      <c r="J32" s="1965">
        <v>33.838423143999997</v>
      </c>
      <c r="K32" s="1965">
        <v>34.852200199999999</v>
      </c>
      <c r="L32" s="1965">
        <v>34.852200199999999</v>
      </c>
      <c r="M32" s="1965">
        <v>34.852200199999999</v>
      </c>
      <c r="N32" s="1965">
        <v>35.811638199999997</v>
      </c>
      <c r="O32" s="1965">
        <v>35.811638199999997</v>
      </c>
      <c r="P32" s="1965">
        <v>35.811638199999997</v>
      </c>
      <c r="Q32" s="1965">
        <v>35.811638199999997</v>
      </c>
      <c r="R32" s="1965">
        <v>36.771076200000003</v>
      </c>
      <c r="S32" s="1965">
        <v>36.771076200000003</v>
      </c>
      <c r="T32" s="1965">
        <v>36.771076200000003</v>
      </c>
      <c r="U32" s="1965">
        <v>77.304561509999999</v>
      </c>
      <c r="V32" s="1965">
        <v>90.297772827000003</v>
      </c>
      <c r="W32" s="1965">
        <v>90.297772827000003</v>
      </c>
      <c r="X32" s="1965">
        <v>90.297772827000003</v>
      </c>
      <c r="Y32" s="1965">
        <v>90.297772827000003</v>
      </c>
      <c r="Z32" s="1965">
        <v>90.297772827000003</v>
      </c>
      <c r="AA32" s="1965">
        <v>90.297772827000003</v>
      </c>
      <c r="AB32" s="1965">
        <v>90.297772827000003</v>
      </c>
      <c r="AC32" s="1965">
        <v>90.297772827000003</v>
      </c>
      <c r="AD32" s="1965">
        <v>90.297772827000003</v>
      </c>
      <c r="AE32" s="1965">
        <v>90.297772827000003</v>
      </c>
      <c r="AF32" s="1965">
        <v>90.297772827000003</v>
      </c>
      <c r="AG32" s="1965">
        <v>90.297772827000003</v>
      </c>
    </row>
    <row r="33" spans="1:35" s="1864" customFormat="1" hidden="1" outlineLevel="1">
      <c r="A33" s="1864" t="s">
        <v>858</v>
      </c>
      <c r="B33" s="1965">
        <v>-4.6216349900000004</v>
      </c>
      <c r="C33" s="1965">
        <v>-4.7496074989999997</v>
      </c>
      <c r="D33" s="1965">
        <v>-4.8705871099999998</v>
      </c>
      <c r="E33" s="1965">
        <v>-4.9698055080000003</v>
      </c>
      <c r="F33" s="1965">
        <v>-11.817222267</v>
      </c>
      <c r="G33" s="1965">
        <v>-12.534700945000001</v>
      </c>
      <c r="H33" s="1965">
        <v>-13.181765864999999</v>
      </c>
      <c r="I33" s="1965">
        <v>-5.6142930120000001</v>
      </c>
      <c r="J33" s="1965">
        <v>-5.7623552010000001</v>
      </c>
      <c r="K33" s="1965">
        <v>-5.931537745</v>
      </c>
      <c r="L33" s="1965">
        <v>-6.1429609989999996</v>
      </c>
      <c r="M33" s="1965">
        <v>-6.3543842530000001</v>
      </c>
      <c r="N33" s="1965">
        <v>-6.5907679269999999</v>
      </c>
      <c r="O33" s="1965">
        <v>-7.1169319419999999</v>
      </c>
      <c r="P33" s="1965">
        <v>-7.6430959569999999</v>
      </c>
      <c r="Q33" s="1965">
        <v>-8.1692599720000008</v>
      </c>
      <c r="R33" s="1965">
        <v>-8.6954239829999995</v>
      </c>
      <c r="S33" s="1965">
        <v>-9.2215879980000004</v>
      </c>
      <c r="T33" s="1965">
        <v>-9.6959111490000005</v>
      </c>
      <c r="U33" s="1965">
        <v>-10.083832814999999</v>
      </c>
      <c r="V33" s="1965">
        <v>-11.773986042000001</v>
      </c>
      <c r="W33" s="1965">
        <v>-13.224279771000001</v>
      </c>
      <c r="X33" s="1965">
        <v>-14.674573500999999</v>
      </c>
      <c r="Y33" s="1965">
        <v>-16.124867363</v>
      </c>
      <c r="Z33" s="1965">
        <v>-17.463034779000001</v>
      </c>
      <c r="AA33" s="1965">
        <v>-18.801202193999998</v>
      </c>
      <c r="AB33" s="1965">
        <v>-20.139369609999999</v>
      </c>
      <c r="AC33" s="1965">
        <v>-21.477537026</v>
      </c>
      <c r="AD33" s="1965">
        <v>-22.815704442000001</v>
      </c>
      <c r="AE33" s="1965">
        <v>-24.153871855999999</v>
      </c>
      <c r="AF33" s="1965">
        <v>-25.492039272</v>
      </c>
      <c r="AG33" s="1965">
        <v>-26.830206688000001</v>
      </c>
    </row>
    <row r="34" spans="1:35" collapsed="1">
      <c r="A34" s="1866" t="s">
        <v>1943</v>
      </c>
      <c r="B34" s="1962">
        <v>0</v>
      </c>
      <c r="C34" s="1962">
        <v>0</v>
      </c>
      <c r="D34" s="1962">
        <v>0</v>
      </c>
      <c r="E34" s="1962">
        <v>0</v>
      </c>
      <c r="F34" s="1962">
        <v>0</v>
      </c>
      <c r="G34" s="1962">
        <v>0</v>
      </c>
      <c r="H34" s="1962">
        <v>318.65532115500002</v>
      </c>
      <c r="I34" s="1962">
        <v>399.97903605200003</v>
      </c>
      <c r="J34" s="1962">
        <v>377.00761370800001</v>
      </c>
      <c r="K34" s="1962">
        <v>433.02594405999997</v>
      </c>
      <c r="L34" s="1962">
        <v>512.51794279600006</v>
      </c>
      <c r="M34" s="1962">
        <v>647.582776728</v>
      </c>
      <c r="N34" s="1962">
        <v>778.09181941999998</v>
      </c>
      <c r="O34" s="1962">
        <v>930.22647089300006</v>
      </c>
      <c r="P34" s="1962">
        <v>1084.4167469060001</v>
      </c>
      <c r="Q34" s="1962">
        <v>1376.0524940129999</v>
      </c>
      <c r="R34" s="1962">
        <v>1622.3662582510001</v>
      </c>
      <c r="S34" s="1962">
        <v>1876.411557934</v>
      </c>
      <c r="T34" s="1962">
        <v>2249.7062259039999</v>
      </c>
      <c r="U34" s="1962">
        <v>2761.9150673280001</v>
      </c>
      <c r="V34" s="1962">
        <v>3082.6006459810001</v>
      </c>
      <c r="W34" s="1962">
        <v>3400.7190426950001</v>
      </c>
      <c r="X34" s="1962">
        <v>3939.268568551</v>
      </c>
      <c r="Y34" s="1962">
        <v>4637.6162635999999</v>
      </c>
      <c r="Z34" s="1962">
        <v>4934.0195675579998</v>
      </c>
      <c r="AA34" s="1962">
        <v>5107.0678324780001</v>
      </c>
      <c r="AB34" s="1962">
        <v>5045.3442648330001</v>
      </c>
      <c r="AC34" s="1962">
        <v>5809.2497762379999</v>
      </c>
      <c r="AD34" s="1962">
        <v>6152.0653106500004</v>
      </c>
      <c r="AE34" s="1962">
        <v>6643.8089629200003</v>
      </c>
      <c r="AF34" s="1962">
        <v>7331.7127779140001</v>
      </c>
      <c r="AG34" s="1962">
        <v>8565.6908867019993</v>
      </c>
    </row>
    <row r="35" spans="1:35" s="1868" customFormat="1">
      <c r="A35" s="1867" t="s">
        <v>1945</v>
      </c>
      <c r="B35" s="1966">
        <f t="shared" ref="B35" si="5">B26-B34</f>
        <v>3131.100586694</v>
      </c>
      <c r="C35" s="1966">
        <f t="shared" ref="C35" si="6">C26-C34</f>
        <v>3583.3821769629999</v>
      </c>
      <c r="D35" s="1966">
        <f t="shared" ref="D35" si="7">D26-D34</f>
        <v>4168.2954114690001</v>
      </c>
      <c r="E35" s="1966">
        <f t="shared" ref="E35" si="8">E26-E34</f>
        <v>4832.6999063780004</v>
      </c>
      <c r="F35" s="1966">
        <f t="shared" ref="F35" si="9">F26-F34</f>
        <v>5189.2418968780003</v>
      </c>
      <c r="G35" s="1966">
        <f t="shared" ref="G35" si="10">G26-G34</f>
        <v>5360.5634774669998</v>
      </c>
      <c r="H35" s="1966">
        <f t="shared" ref="H35" si="11">H26-H34</f>
        <v>5224.2962212800003</v>
      </c>
      <c r="I35" s="1966">
        <f t="shared" ref="I35" si="12">I26-I34</f>
        <v>5388.3472956240003</v>
      </c>
      <c r="J35" s="1966">
        <f t="shared" ref="J35" si="13">J26-J34</f>
        <v>5989.5133807719994</v>
      </c>
      <c r="K35" s="1966">
        <f t="shared" ref="K35" si="14">K26-K34</f>
        <v>6530.4808795210001</v>
      </c>
      <c r="L35" s="1966">
        <f t="shared" ref="L35" si="15">L26-L34</f>
        <v>7329.6021153370002</v>
      </c>
      <c r="M35" s="1966">
        <f t="shared" ref="M35" si="16">M26-M34</f>
        <v>8500.8732127969997</v>
      </c>
      <c r="N35" s="1966">
        <f t="shared" ref="N35" si="17">N26-N34</f>
        <v>8937.6945923170006</v>
      </c>
      <c r="O35" s="1966">
        <f t="shared" ref="O35" si="18">O26-O34</f>
        <v>9880.4903542499997</v>
      </c>
      <c r="P35" s="1966">
        <f t="shared" ref="P35" si="19">P26-P34</f>
        <v>10543.907998677001</v>
      </c>
      <c r="Q35" s="1966">
        <f t="shared" ref="Q35" si="20">Q26-Q34</f>
        <v>11587.258918887999</v>
      </c>
      <c r="R35" s="1966">
        <f t="shared" ref="R35" si="21">R26-R34</f>
        <v>12396.371802063</v>
      </c>
      <c r="S35" s="1966">
        <f t="shared" ref="S35" si="22">S26-S34</f>
        <v>13274.274748620001</v>
      </c>
      <c r="T35" s="1966">
        <f t="shared" ref="T35" si="23">T26-T34</f>
        <v>14006.199430749</v>
      </c>
      <c r="U35" s="1966">
        <f t="shared" ref="U35" si="24">U26-U34</f>
        <v>15225.172782028001</v>
      </c>
      <c r="V35" s="1966">
        <f t="shared" ref="V35" si="25">V26-V34</f>
        <v>15637.967550963001</v>
      </c>
      <c r="W35" s="1966">
        <f t="shared" ref="W35" si="26">W26-W34</f>
        <v>15925.736885818002</v>
      </c>
      <c r="X35" s="1966">
        <f t="shared" ref="X35" si="27">X26-X34</f>
        <v>15965.500582869998</v>
      </c>
      <c r="Y35" s="1966">
        <f t="shared" ref="Y35" si="28">Y26-Y34</f>
        <v>16203.677155993999</v>
      </c>
      <c r="Z35" s="1966">
        <f t="shared" ref="Z35" si="29">Z26-Z34</f>
        <v>16026.978705583999</v>
      </c>
      <c r="AA35" s="1966">
        <f t="shared" ref="AA35" si="30">AA26-AA34</f>
        <v>15478.524912891999</v>
      </c>
      <c r="AB35" s="1966">
        <f t="shared" ref="AB35" si="31">AB26-AB34</f>
        <v>15704.831618302998</v>
      </c>
      <c r="AC35" s="1966">
        <f t="shared" ref="AC35" si="32">AC26-AC34</f>
        <v>14330.032946739</v>
      </c>
      <c r="AD35" s="1966">
        <f t="shared" ref="AD35" si="33">AD26-AD34</f>
        <v>13922.490484335001</v>
      </c>
      <c r="AE35" s="1966">
        <f t="shared" ref="AE35" si="34">AE26-AE34</f>
        <v>12906.529887769</v>
      </c>
      <c r="AF35" s="1966">
        <f>AF26-AF34</f>
        <v>11732.742038705001</v>
      </c>
      <c r="AG35" s="1966">
        <f>AG26-AG34</f>
        <v>10608.935497049999</v>
      </c>
    </row>
    <row r="36" spans="1:35" s="1865" customFormat="1">
      <c r="A36" s="1865" t="s">
        <v>1103</v>
      </c>
      <c r="B36" s="1964">
        <v>3131.100586694</v>
      </c>
      <c r="C36" s="1964">
        <v>3583.3821769629999</v>
      </c>
      <c r="D36" s="1964">
        <v>4168.2954114690001</v>
      </c>
      <c r="E36" s="1964">
        <v>4842.2979691219998</v>
      </c>
      <c r="F36" s="1964">
        <v>5189.2418968789998</v>
      </c>
      <c r="G36" s="1964">
        <v>5360.5634774669998</v>
      </c>
      <c r="H36" s="1964">
        <v>5542.9515424350002</v>
      </c>
      <c r="I36" s="1964">
        <v>5788.3263316760003</v>
      </c>
      <c r="J36" s="1964">
        <v>6366.5209944799999</v>
      </c>
      <c r="K36" s="1964">
        <v>6963.5068235810004</v>
      </c>
      <c r="L36" s="1964">
        <v>7842.1200581330004</v>
      </c>
      <c r="M36" s="1964">
        <v>9148.4559895250004</v>
      </c>
      <c r="N36" s="1964">
        <v>9715.7864117370009</v>
      </c>
      <c r="O36" s="1964">
        <v>10810.716825142999</v>
      </c>
      <c r="P36" s="1964">
        <v>11628.324745583001</v>
      </c>
      <c r="Q36" s="1964">
        <v>12963.311412900999</v>
      </c>
      <c r="R36" s="1964">
        <v>14018.738060314001</v>
      </c>
      <c r="S36" s="1964">
        <v>15150.686306554</v>
      </c>
      <c r="T36" s="1964">
        <v>16255.905656653</v>
      </c>
      <c r="U36" s="1964">
        <v>17987.087849356001</v>
      </c>
      <c r="V36" s="1964">
        <v>18720.568196944001</v>
      </c>
      <c r="W36" s="1964">
        <v>19326.455928513002</v>
      </c>
      <c r="X36" s="1964">
        <v>19904.769151420998</v>
      </c>
      <c r="Y36" s="1964">
        <v>20841.293419594</v>
      </c>
      <c r="Z36" s="1964">
        <v>20960.998273141999</v>
      </c>
      <c r="AA36" s="1964">
        <v>20585.592745369999</v>
      </c>
      <c r="AB36" s="1964">
        <v>20750.175883135998</v>
      </c>
      <c r="AC36" s="1964">
        <v>20139.282722977001</v>
      </c>
      <c r="AD36" s="1964">
        <v>20074.555794985001</v>
      </c>
      <c r="AE36" s="1964">
        <v>19550.338850689001</v>
      </c>
      <c r="AF36" s="1964">
        <v>19064.454816619</v>
      </c>
      <c r="AG36" s="1964">
        <v>19174.626383751998</v>
      </c>
    </row>
    <row r="37" spans="1:35" s="1864" customFormat="1">
      <c r="A37" s="1864" t="s">
        <v>1104</v>
      </c>
      <c r="B37" s="1965">
        <v>2784.487122434</v>
      </c>
      <c r="C37" s="1965">
        <v>2784.487122434</v>
      </c>
      <c r="D37" s="1965">
        <v>2784.487122434</v>
      </c>
      <c r="E37" s="1965">
        <v>2784.487122434</v>
      </c>
      <c r="F37" s="1965">
        <v>4832.6999063780004</v>
      </c>
      <c r="G37" s="1965">
        <v>4832.6999063780004</v>
      </c>
      <c r="H37" s="1965">
        <v>4832.6999063780004</v>
      </c>
      <c r="I37" s="1965">
        <v>4832.6999063780004</v>
      </c>
      <c r="J37" s="1965">
        <v>5788.3263316760003</v>
      </c>
      <c r="K37" s="1965">
        <v>5788.3263316760003</v>
      </c>
      <c r="L37" s="1965">
        <v>5788.3263316760003</v>
      </c>
      <c r="M37" s="1965">
        <v>5788.3263316760003</v>
      </c>
      <c r="N37" s="1965">
        <v>9148.4559895250004</v>
      </c>
      <c r="O37" s="1965">
        <v>9148.4559895250004</v>
      </c>
      <c r="P37" s="1965">
        <v>9148.4559895250004</v>
      </c>
      <c r="Q37" s="1965">
        <v>9148.4559895250004</v>
      </c>
      <c r="R37" s="1965">
        <v>12963.311412900999</v>
      </c>
      <c r="S37" s="1965">
        <v>12963.311412900999</v>
      </c>
      <c r="T37" s="1965">
        <v>12963.311412900999</v>
      </c>
      <c r="U37" s="1965">
        <v>12963.311412900999</v>
      </c>
      <c r="V37" s="1965">
        <v>17987.087849355001</v>
      </c>
      <c r="W37" s="1965">
        <v>17987.087849355001</v>
      </c>
      <c r="X37" s="1965">
        <v>17987.087849355001</v>
      </c>
      <c r="Y37" s="1965">
        <v>17987.087849355001</v>
      </c>
      <c r="Z37" s="1965">
        <v>20841.513609195001</v>
      </c>
      <c r="AA37" s="1965">
        <v>20841.513609195001</v>
      </c>
      <c r="AB37" s="1965">
        <v>20841.513609195001</v>
      </c>
      <c r="AC37" s="1965">
        <v>20841.513609195001</v>
      </c>
      <c r="AD37" s="1965">
        <v>20139.282722977001</v>
      </c>
      <c r="AE37" s="1965">
        <v>20139.282722977001</v>
      </c>
      <c r="AF37" s="1965">
        <v>20139.282722977001</v>
      </c>
      <c r="AG37" s="1965">
        <v>20139.282722977001</v>
      </c>
    </row>
    <row r="38" spans="1:35" s="1864" customFormat="1">
      <c r="A38" s="1864" t="s">
        <v>1105</v>
      </c>
      <c r="B38" s="1965">
        <v>346.79510241999998</v>
      </c>
      <c r="C38" s="1965">
        <v>799.80723730700004</v>
      </c>
      <c r="D38" s="1965">
        <v>1385.2040860679999</v>
      </c>
      <c r="E38" s="1965">
        <v>2053.0118153160001</v>
      </c>
      <c r="F38" s="1965">
        <v>371.97394014999998</v>
      </c>
      <c r="G38" s="1965">
        <v>561.68431084300005</v>
      </c>
      <c r="H38" s="1965">
        <v>782.19844726999997</v>
      </c>
      <c r="I38" s="1965">
        <v>1109.371701477</v>
      </c>
      <c r="J38" s="1965">
        <v>602.36928472499994</v>
      </c>
      <c r="K38" s="1965">
        <v>1231.7617864859999</v>
      </c>
      <c r="L38" s="1965">
        <v>2122.8323635810002</v>
      </c>
      <c r="M38" s="1965">
        <v>3454.725836998</v>
      </c>
      <c r="N38" s="1965">
        <v>589.41899523699999</v>
      </c>
      <c r="O38" s="1965">
        <v>1728.373882503</v>
      </c>
      <c r="P38" s="1965">
        <v>2647.3343144959999</v>
      </c>
      <c r="Q38" s="1965">
        <v>4036.2296333949998</v>
      </c>
      <c r="R38" s="1965">
        <v>1092.914635951</v>
      </c>
      <c r="S38" s="1965">
        <v>2298.341623364</v>
      </c>
      <c r="T38" s="1965">
        <v>3418.092790017</v>
      </c>
      <c r="U38" s="1965">
        <v>5183.2256607660001</v>
      </c>
      <c r="V38" s="1965">
        <v>774.60931844000004</v>
      </c>
      <c r="W38" s="1965">
        <v>1742.249124229</v>
      </c>
      <c r="X38" s="1965">
        <v>2823.8315806780001</v>
      </c>
      <c r="Y38" s="1965">
        <v>4075.8723846799999</v>
      </c>
      <c r="Z38" s="1965">
        <v>239.55487963900001</v>
      </c>
      <c r="AA38" s="1965">
        <v>417.21727559800001</v>
      </c>
      <c r="AB38" s="1965">
        <v>428.72624323000002</v>
      </c>
      <c r="AC38" s="1965">
        <v>552.25574452800004</v>
      </c>
      <c r="AD38" s="1965">
        <v>21.959733036999999</v>
      </c>
      <c r="AE38" s="1965">
        <v>46.308042073999999</v>
      </c>
      <c r="AF38" s="1965">
        <v>121.353616085</v>
      </c>
      <c r="AG38" s="1965">
        <v>192.96641856700001</v>
      </c>
    </row>
    <row r="39" spans="1:35" s="1864" customFormat="1">
      <c r="A39" s="1864" t="s">
        <v>1106</v>
      </c>
      <c r="B39" s="1965">
        <v>-0.18163815999999999</v>
      </c>
      <c r="C39" s="1965">
        <v>-0.91218277800000003</v>
      </c>
      <c r="D39" s="1965">
        <v>-1.395797033</v>
      </c>
      <c r="E39" s="1965">
        <v>4.799031372</v>
      </c>
      <c r="F39" s="1965">
        <v>-15.431949649</v>
      </c>
      <c r="G39" s="1965">
        <v>-33.820739754000002</v>
      </c>
      <c r="H39" s="1965">
        <v>-71.946811213000004</v>
      </c>
      <c r="I39" s="1965">
        <v>-153.745276179</v>
      </c>
      <c r="J39" s="1965">
        <v>-24.174621921</v>
      </c>
      <c r="K39" s="1965">
        <v>-56.581294581000002</v>
      </c>
      <c r="L39" s="1965">
        <v>-69.038637124000005</v>
      </c>
      <c r="M39" s="1965">
        <v>-94.596179148999994</v>
      </c>
      <c r="N39" s="1965">
        <v>-22.088573024999999</v>
      </c>
      <c r="O39" s="1965">
        <v>-66.113046885000003</v>
      </c>
      <c r="P39" s="1965">
        <v>-167.46555843799999</v>
      </c>
      <c r="Q39" s="1965">
        <v>-221.374210019</v>
      </c>
      <c r="R39" s="1965">
        <v>-37.487988538000003</v>
      </c>
      <c r="S39" s="1965">
        <v>-110.966729711</v>
      </c>
      <c r="T39" s="1965">
        <v>-125.498546265</v>
      </c>
      <c r="U39" s="1965">
        <v>-159.44922431099999</v>
      </c>
      <c r="V39" s="1965">
        <v>-41.128970850999998</v>
      </c>
      <c r="W39" s="1965">
        <v>-402.88104507100002</v>
      </c>
      <c r="X39" s="1965">
        <v>-906.15027861199997</v>
      </c>
      <c r="Y39" s="1965">
        <v>-1221.666814441</v>
      </c>
      <c r="Z39" s="1965">
        <v>-120.070215692</v>
      </c>
      <c r="AA39" s="1965">
        <v>-673.13813942299998</v>
      </c>
      <c r="AB39" s="1965">
        <v>-520.06396928900006</v>
      </c>
      <c r="AC39" s="1965">
        <v>-1254.4866307459999</v>
      </c>
      <c r="AD39" s="1965">
        <v>-86.686661029000007</v>
      </c>
      <c r="AE39" s="1965">
        <v>-635.25191436199998</v>
      </c>
      <c r="AF39" s="1965">
        <v>-1196.1815224429999</v>
      </c>
      <c r="AG39" s="1965">
        <v>-1157.6227577919999</v>
      </c>
    </row>
    <row r="40" spans="1:35" s="1865" customFormat="1">
      <c r="A40" s="1865" t="s">
        <v>1107</v>
      </c>
      <c r="B40" s="1964">
        <v>855.01601358799996</v>
      </c>
      <c r="C40" s="1964">
        <v>1012.1733246380001</v>
      </c>
      <c r="D40" s="1964">
        <v>1191.396318328</v>
      </c>
      <c r="E40" s="1964">
        <v>1405.9698959909999</v>
      </c>
      <c r="F40" s="1964">
        <v>1719.9464553150001</v>
      </c>
      <c r="G40" s="1964">
        <v>1976.793862275</v>
      </c>
      <c r="H40" s="1964">
        <v>2242.7978533649998</v>
      </c>
      <c r="I40" s="1964">
        <v>2483.4028022060002</v>
      </c>
      <c r="J40" s="1964">
        <v>2761.5473683659998</v>
      </c>
      <c r="K40" s="1964">
        <v>3062.3945630930002</v>
      </c>
      <c r="L40" s="1964">
        <v>3392.7850138610002</v>
      </c>
      <c r="M40" s="1964">
        <v>3773.1768165509998</v>
      </c>
      <c r="N40" s="1964">
        <v>4206.8718083459999</v>
      </c>
      <c r="O40" s="1964">
        <v>4663.9924488289998</v>
      </c>
      <c r="P40" s="1964">
        <v>5153.6199440299997</v>
      </c>
      <c r="Q40" s="1964">
        <v>5695.9921249930003</v>
      </c>
      <c r="R40" s="1964">
        <v>6302.2434535499997</v>
      </c>
      <c r="S40" s="1964">
        <v>6934.4688632810003</v>
      </c>
      <c r="T40" s="1964">
        <v>7652.4812097450003</v>
      </c>
      <c r="U40" s="1964">
        <v>8420.1329161360009</v>
      </c>
      <c r="V40" s="1964">
        <v>9221.6363851099995</v>
      </c>
      <c r="W40" s="1964">
        <v>9866.1294940129992</v>
      </c>
      <c r="X40" s="1964">
        <v>10550.873380646</v>
      </c>
      <c r="Y40" s="1964">
        <v>11187.963413617999</v>
      </c>
      <c r="Z40" s="1964">
        <v>11931.584884510999</v>
      </c>
      <c r="AA40" s="1964">
        <v>12461.567229454</v>
      </c>
      <c r="AB40" s="1964">
        <v>13449.57412691</v>
      </c>
      <c r="AC40" s="1964">
        <v>13707.967349864</v>
      </c>
      <c r="AD40" s="1964">
        <v>14341.74265294</v>
      </c>
      <c r="AE40" s="1964">
        <v>14653.045135017001</v>
      </c>
      <c r="AF40" s="1964">
        <v>14957.206935234</v>
      </c>
      <c r="AG40" s="1964">
        <v>15651.465285845999</v>
      </c>
    </row>
    <row r="41" spans="1:35" s="1864" customFormat="1">
      <c r="A41" s="1864" t="s">
        <v>1108</v>
      </c>
      <c r="B41" s="1965">
        <v>714.67834106600003</v>
      </c>
      <c r="C41" s="1965">
        <v>714.67834106600003</v>
      </c>
      <c r="D41" s="1965">
        <v>714.67834106600003</v>
      </c>
      <c r="E41" s="1965">
        <v>714.67834106600003</v>
      </c>
      <c r="F41" s="1965">
        <v>1396.851573079</v>
      </c>
      <c r="G41" s="1965">
        <v>1396.851573079</v>
      </c>
      <c r="H41" s="1965">
        <v>1396.851573079</v>
      </c>
      <c r="I41" s="1965">
        <v>1396.851573079</v>
      </c>
      <c r="J41" s="1965">
        <v>2483.4028022060002</v>
      </c>
      <c r="K41" s="1965">
        <v>2483.4028022060002</v>
      </c>
      <c r="L41" s="1965">
        <v>2483.4028022060002</v>
      </c>
      <c r="M41" s="1965">
        <v>2483.4028022060002</v>
      </c>
      <c r="N41" s="1965">
        <v>3773.1768165509998</v>
      </c>
      <c r="O41" s="1965">
        <v>3773.1768165509998</v>
      </c>
      <c r="P41" s="1965">
        <v>3773.1768165509998</v>
      </c>
      <c r="Q41" s="1965">
        <v>3773.1768165509998</v>
      </c>
      <c r="R41" s="1965">
        <v>5695.9921249930003</v>
      </c>
      <c r="S41" s="1965">
        <v>5695.9921249930003</v>
      </c>
      <c r="T41" s="1965">
        <v>5695.9921249930003</v>
      </c>
      <c r="U41" s="1965">
        <v>5695.9921249930003</v>
      </c>
      <c r="V41" s="1965">
        <v>8420.1329161350004</v>
      </c>
      <c r="W41" s="1965">
        <v>8420.1329161350004</v>
      </c>
      <c r="X41" s="1965">
        <v>8420.1329161350004</v>
      </c>
      <c r="Y41" s="1965">
        <v>8420.1329161350004</v>
      </c>
      <c r="Z41" s="1965">
        <v>11188.183603219</v>
      </c>
      <c r="AA41" s="1965">
        <v>11188.183603219</v>
      </c>
      <c r="AB41" s="1965">
        <v>11188.183603219</v>
      </c>
      <c r="AC41" s="1965">
        <v>11188.183603219</v>
      </c>
      <c r="AD41" s="1965">
        <v>13707.967349864</v>
      </c>
      <c r="AE41" s="1965">
        <v>13707.967349864</v>
      </c>
      <c r="AF41" s="1965">
        <v>13707.967349864</v>
      </c>
      <c r="AG41" s="1965">
        <v>13707.967349864</v>
      </c>
    </row>
    <row r="42" spans="1:35" s="1864" customFormat="1">
      <c r="A42" s="1864" t="s">
        <v>1105</v>
      </c>
      <c r="B42" s="1965">
        <v>140.39180440199999</v>
      </c>
      <c r="C42" s="1965">
        <v>298.27966006999998</v>
      </c>
      <c r="D42" s="1965">
        <v>477.57795438599999</v>
      </c>
      <c r="E42" s="1965">
        <v>686.73239346900004</v>
      </c>
      <c r="F42" s="1965">
        <v>337.15440662399999</v>
      </c>
      <c r="G42" s="1965">
        <v>612.36492313300005</v>
      </c>
      <c r="H42" s="1965">
        <v>915.48664556200004</v>
      </c>
      <c r="I42" s="1965">
        <v>1238.956605226</v>
      </c>
      <c r="J42" s="1965">
        <v>295.94599916099997</v>
      </c>
      <c r="K42" s="1965">
        <v>607.61177895599997</v>
      </c>
      <c r="L42" s="1965">
        <v>960.98847408899996</v>
      </c>
      <c r="M42" s="1965">
        <v>1380.694975594</v>
      </c>
      <c r="N42" s="1965">
        <v>455.20806829600002</v>
      </c>
      <c r="O42" s="1965">
        <v>952.72277883200002</v>
      </c>
      <c r="P42" s="1965">
        <v>1539.275590042</v>
      </c>
      <c r="Q42" s="1965">
        <v>2132.3763231970001</v>
      </c>
      <c r="R42" s="1965">
        <v>640.14526523100005</v>
      </c>
      <c r="S42" s="1965">
        <v>1343.2748628960001</v>
      </c>
      <c r="T42" s="1965">
        <v>2075.6158538640002</v>
      </c>
      <c r="U42" s="1965">
        <v>2873.5774796300002</v>
      </c>
      <c r="V42" s="1965">
        <v>840.78710907699997</v>
      </c>
      <c r="W42" s="1965">
        <v>1685.849315119</v>
      </c>
      <c r="X42" s="1965">
        <v>2535.1278264779999</v>
      </c>
      <c r="Y42" s="1965">
        <v>3514.9919121620001</v>
      </c>
      <c r="Z42" s="1965">
        <v>859.42442967399995</v>
      </c>
      <c r="AA42" s="1965">
        <v>1638.488549359</v>
      </c>
      <c r="AB42" s="1965">
        <v>2628.6430230420001</v>
      </c>
      <c r="AC42" s="1965">
        <v>3313.7861854729999</v>
      </c>
      <c r="AD42" s="1965">
        <v>702.54478383900005</v>
      </c>
      <c r="AE42" s="1965">
        <v>1364.344354244</v>
      </c>
      <c r="AF42" s="1965">
        <v>1965.1089243839999</v>
      </c>
      <c r="AG42" s="1965">
        <v>2662.49892335</v>
      </c>
    </row>
    <row r="43" spans="1:35" s="1864" customFormat="1">
      <c r="A43" s="1864" t="s">
        <v>1106</v>
      </c>
      <c r="B43" s="1965">
        <v>-5.413188E-2</v>
      </c>
      <c r="C43" s="1965">
        <v>-0.78467649799999994</v>
      </c>
      <c r="D43" s="1965">
        <v>-0.85997712400000004</v>
      </c>
      <c r="E43" s="1965">
        <v>4.559161456</v>
      </c>
      <c r="F43" s="1965">
        <v>-14.059524388</v>
      </c>
      <c r="G43" s="1965">
        <v>-32.422633937000001</v>
      </c>
      <c r="H43" s="1965">
        <v>-69.540365276000003</v>
      </c>
      <c r="I43" s="1965">
        <v>-152.40537609899999</v>
      </c>
      <c r="J43" s="1965">
        <v>-17.801433000999999</v>
      </c>
      <c r="K43" s="1965">
        <v>-28.620018069</v>
      </c>
      <c r="L43" s="1965">
        <v>-51.606262434000001</v>
      </c>
      <c r="M43" s="1965">
        <v>-90.920961249000001</v>
      </c>
      <c r="N43" s="1965">
        <v>-21.513076501</v>
      </c>
      <c r="O43" s="1965">
        <v>-61.907146554000001</v>
      </c>
      <c r="P43" s="1965">
        <v>-158.83246256300001</v>
      </c>
      <c r="Q43" s="1965">
        <v>-209.561014755</v>
      </c>
      <c r="R43" s="1965">
        <v>-33.893936674000003</v>
      </c>
      <c r="S43" s="1965">
        <v>-104.79812460799999</v>
      </c>
      <c r="T43" s="1965">
        <v>-119.12676911200001</v>
      </c>
      <c r="U43" s="1965">
        <v>-149.436688487</v>
      </c>
      <c r="V43" s="1965">
        <v>-39.283640102</v>
      </c>
      <c r="W43" s="1965">
        <v>-239.852737241</v>
      </c>
      <c r="X43" s="1965">
        <v>-404.387361967</v>
      </c>
      <c r="Y43" s="1965">
        <v>-747.16141467900002</v>
      </c>
      <c r="Z43" s="1965">
        <v>-116.023148382</v>
      </c>
      <c r="AA43" s="1965">
        <v>-365.10492312399998</v>
      </c>
      <c r="AB43" s="1965">
        <v>-367.25249935099998</v>
      </c>
      <c r="AC43" s="1965">
        <v>-794.00243882799998</v>
      </c>
      <c r="AD43" s="1965">
        <v>-68.769480763000004</v>
      </c>
      <c r="AE43" s="1965">
        <v>-419.26656909100001</v>
      </c>
      <c r="AF43" s="1965">
        <v>-715.86933901400005</v>
      </c>
      <c r="AG43" s="1965">
        <v>-719.00098736799998</v>
      </c>
    </row>
    <row r="44" spans="1:35">
      <c r="U44" s="1962">
        <f>U26-U34</f>
        <v>15225.172782028001</v>
      </c>
    </row>
    <row r="45" spans="1:35">
      <c r="AC45" s="1962">
        <f>AC26-AC34</f>
        <v>14330.032946739</v>
      </c>
      <c r="AD45" s="1960">
        <f>16661.5-4463</f>
        <v>12198.5</v>
      </c>
      <c r="AG45" s="1967"/>
    </row>
    <row r="46" spans="1:35">
      <c r="AC46" s="1967">
        <f>AC45/3284.569</f>
        <v>4.3628351076622227</v>
      </c>
      <c r="AD46" s="1960">
        <f>AD45/(2700-602)</f>
        <v>5.8143469971401336</v>
      </c>
    </row>
    <row r="48" spans="1:35">
      <c r="A48" s="4" t="s">
        <v>1911</v>
      </c>
      <c r="B48" s="1864">
        <f>'FS Quarter'!AL181</f>
        <v>-314.12481818999998</v>
      </c>
      <c r="C48" s="1864">
        <f>'FS Quarter'!AM181</f>
        <v>-517.24500268099996</v>
      </c>
      <c r="D48" s="1864">
        <f>'FS Quarter'!AN181</f>
        <v>-415.59342231300002</v>
      </c>
      <c r="E48" s="1864">
        <f>'FS Quarter'!AO181</f>
        <v>-840.29638833499996</v>
      </c>
      <c r="F48" s="1864">
        <f>'FS Quarter'!AP181</f>
        <v>-531.75777357200002</v>
      </c>
      <c r="G48" s="1864">
        <f>'FS Quarter'!AQ181</f>
        <v>-224.064921078</v>
      </c>
      <c r="H48" s="1864">
        <f>'FS Quarter'!AR181</f>
        <v>-278.49911333199998</v>
      </c>
      <c r="I48" s="1864">
        <f>'FS Quarter'!AS181</f>
        <v>-449.34793540200002</v>
      </c>
      <c r="J48" s="1864">
        <f>'FS Quarter'!AT181</f>
        <v>-357.196267154</v>
      </c>
      <c r="K48" s="1864">
        <f>'FS Quarter'!AU181</f>
        <v>-528.52583998399996</v>
      </c>
      <c r="L48" s="1864">
        <f>'FS Quarter'!AV181</f>
        <v>-872.29960020700003</v>
      </c>
      <c r="M48" s="1864">
        <f>'FS Quarter'!AW181</f>
        <v>-1308.8994567950001</v>
      </c>
      <c r="N48" s="1864">
        <f>'FS Quarter'!AX181</f>
        <v>-667.96818679600005</v>
      </c>
      <c r="O48" s="1864">
        <f>'FS Quarter'!AY181</f>
        <v>-992.44568620699999</v>
      </c>
      <c r="P48" s="1864">
        <f>'FS Quarter'!AZ181</f>
        <v>-1007.899391738</v>
      </c>
      <c r="Q48" s="1864">
        <f>'FS Quarter'!BA181</f>
        <v>-1243.044895261</v>
      </c>
      <c r="R48" s="1864">
        <f>'FS Quarter'!BB181</f>
        <v>-889.59682549000001</v>
      </c>
      <c r="S48" s="1864">
        <f>'FS Quarter'!BC181</f>
        <v>-1451.652365381</v>
      </c>
      <c r="T48" s="1864">
        <f>'FS Quarter'!BD181</f>
        <v>-1321.8980671060001</v>
      </c>
      <c r="U48" s="1864">
        <f>'FS Quarter'!BE181</f>
        <v>-1300.7361207219999</v>
      </c>
      <c r="V48" s="1864">
        <f>'FS Quarter'!BF181</f>
        <v>-661.85156050099999</v>
      </c>
      <c r="W48" s="1864">
        <f>'FS Quarter'!BG181</f>
        <v>-1244.8957580419999</v>
      </c>
      <c r="X48" s="1864">
        <f>'FS Quarter'!BH181</f>
        <v>-885.44252044799998</v>
      </c>
      <c r="Y48" s="1864">
        <f>'FS Quarter'!BI181</f>
        <v>-1619.3698463979999</v>
      </c>
      <c r="Z48" s="1864">
        <f>'FS Quarter'!BJ181</f>
        <v>-309.97669331700001</v>
      </c>
      <c r="AA48" s="1864">
        <f>'FS Quarter'!BK181</f>
        <v>-128.11193515799999</v>
      </c>
      <c r="AB48" s="1864">
        <f>'FS Quarter'!BL181</f>
        <v>-169.71757129900001</v>
      </c>
      <c r="AC48" s="1864">
        <f>'FS Quarter'!BM181</f>
        <v>84.459988182000004</v>
      </c>
      <c r="AD48" s="1864">
        <f>'FS Quarter'!BN181</f>
        <v>-22.51</v>
      </c>
      <c r="AE48" s="1864">
        <f>'FS Quarter'!BO181</f>
        <v>70.487406066999995</v>
      </c>
      <c r="AF48" s="1864">
        <f>'FS Quarter'!BP181</f>
        <v>-192.92</v>
      </c>
      <c r="AG48" s="1864">
        <f>'FS Quarter'!BQ181</f>
        <v>-62.842918607000001</v>
      </c>
      <c r="AH48" s="1864">
        <f>'FS Quarter'!BR181</f>
        <v>-163.05494624900001</v>
      </c>
      <c r="AI48" s="1864">
        <f>'FS Quarter'!BS181</f>
        <v>-411.54801924600002</v>
      </c>
    </row>
    <row r="49" spans="1:69">
      <c r="A49" s="4" t="s">
        <v>198</v>
      </c>
      <c r="B49" s="1864">
        <f>'FS Quarter'!AL161</f>
        <v>143.02494904700001</v>
      </c>
      <c r="C49" s="1864">
        <f>'FS Quarter'!AM161</f>
        <v>158.01873921200001</v>
      </c>
      <c r="D49" s="1864">
        <f>'FS Quarter'!AN161</f>
        <v>179.416362892</v>
      </c>
      <c r="E49" s="1864">
        <f>'FS Quarter'!AO161</f>
        <v>209.253657481</v>
      </c>
      <c r="F49" s="1864">
        <f>'FS Quarter'!AP161</f>
        <v>275.19569600599999</v>
      </c>
      <c r="G49" s="1864">
        <f>'FS Quarter'!AQ161</f>
        <v>288.37529260100001</v>
      </c>
      <c r="H49" s="1864">
        <f>'FS Quarter'!AR161</f>
        <v>322.21817756399997</v>
      </c>
      <c r="I49" s="1864">
        <f>'FS Quarter'!AS161</f>
        <v>337.080211991</v>
      </c>
      <c r="J49" s="1864">
        <f>'FS Quarter'!AT161</f>
        <v>311.44202938000001</v>
      </c>
      <c r="K49" s="1864">
        <f>'FS Quarter'!AU161</f>
        <v>327.18293036799997</v>
      </c>
      <c r="L49" s="1864">
        <f>'FS Quarter'!AV161</f>
        <v>368.93608641700001</v>
      </c>
      <c r="M49" s="1864">
        <f>'FS Quarter'!AW161</f>
        <v>435.26589278900002</v>
      </c>
      <c r="N49" s="1864">
        <f>'FS Quarter'!AX161</f>
        <v>470.79241999999999</v>
      </c>
      <c r="O49" s="1864">
        <f>'FS Quarter'!AY161</f>
        <v>513.38884257999996</v>
      </c>
      <c r="P49" s="1864">
        <f>'FS Quarter'!AZ161</f>
        <v>602.42694325499997</v>
      </c>
      <c r="Q49" s="1864">
        <f>'FS Quarter'!BA161</f>
        <v>608.97486519999995</v>
      </c>
      <c r="R49" s="1864">
        <f>'FS Quarter'!BB161</f>
        <v>656.01939727199999</v>
      </c>
      <c r="S49" s="1864">
        <f>'FS Quarter'!BC161</f>
        <v>719.00372970900003</v>
      </c>
      <c r="T49" s="1864">
        <f>'FS Quarter'!BD161</f>
        <v>748.163282149</v>
      </c>
      <c r="U49" s="1864">
        <f>'FS Quarter'!BE161</f>
        <v>797.52719927999999</v>
      </c>
      <c r="V49" s="1864">
        <f>'FS Quarter'!BF161</f>
        <v>857.82523033300004</v>
      </c>
      <c r="W49" s="1864">
        <f>'FS Quarter'!BG161</f>
        <v>861.86046780000004</v>
      </c>
      <c r="X49" s="1864">
        <f>'FS Quarter'!BH161</f>
        <v>866.07677311999998</v>
      </c>
      <c r="Y49" s="1864">
        <f>'FS Quarter'!BI161</f>
        <v>996.662347576</v>
      </c>
      <c r="Z49" s="1864">
        <f>'FS Quarter'!BJ161</f>
        <v>876.11056511899994</v>
      </c>
      <c r="AA49" s="1864">
        <f>'FS Quarter'!BK161</f>
        <v>841.37811462900004</v>
      </c>
      <c r="AB49" s="1864">
        <f>'FS Quarter'!BL161</f>
        <v>1006.840609129</v>
      </c>
      <c r="AC49" s="1864">
        <f>'FS Quarter'!BM161</f>
        <v>701.82929787700004</v>
      </c>
      <c r="AD49" s="1864">
        <f>'FS Quarter'!BN161</f>
        <v>719.23</v>
      </c>
      <c r="AE49" s="1864">
        <f>'FS Quarter'!BO161</f>
        <v>678.48570584699996</v>
      </c>
      <c r="AF49" s="1864">
        <f>'FS Quarter'!BP161</f>
        <v>709.54</v>
      </c>
      <c r="AG49" s="1864">
        <f>'FS Quarter'!BQ161</f>
        <v>806.16394258800005</v>
      </c>
      <c r="AH49" s="1864">
        <f>'FS Quarter'!BR161</f>
        <v>508.91946675000003</v>
      </c>
      <c r="AI49" s="1864">
        <f>'FS Quarter'!BS161</f>
        <v>489.299387395</v>
      </c>
    </row>
    <row r="50" spans="1:69">
      <c r="A50" s="4" t="s">
        <v>1946</v>
      </c>
      <c r="F50" s="2034">
        <f t="shared" ref="F50:AH50" si="35">F49-B49</f>
        <v>132.17074695899998</v>
      </c>
      <c r="G50" s="2034">
        <f t="shared" si="35"/>
        <v>130.356553389</v>
      </c>
      <c r="H50" s="2034">
        <f t="shared" si="35"/>
        <v>142.80181467199998</v>
      </c>
      <c r="I50" s="2034">
        <f t="shared" si="35"/>
        <v>127.82655450999999</v>
      </c>
      <c r="J50" s="2034">
        <f t="shared" si="35"/>
        <v>36.246333374000017</v>
      </c>
      <c r="K50" s="2034">
        <f t="shared" si="35"/>
        <v>38.80763776699996</v>
      </c>
      <c r="L50" s="2034">
        <f t="shared" si="35"/>
        <v>46.71790885300004</v>
      </c>
      <c r="M50" s="2034">
        <f t="shared" si="35"/>
        <v>98.185680798000021</v>
      </c>
      <c r="N50" s="2034">
        <f t="shared" si="35"/>
        <v>159.35039061999998</v>
      </c>
      <c r="O50" s="2034">
        <f t="shared" si="35"/>
        <v>186.20591221199999</v>
      </c>
      <c r="P50" s="2034">
        <f t="shared" si="35"/>
        <v>233.49085683799996</v>
      </c>
      <c r="Q50" s="2034">
        <f t="shared" si="35"/>
        <v>173.70897241099993</v>
      </c>
      <c r="R50" s="2034">
        <f t="shared" si="35"/>
        <v>185.226977272</v>
      </c>
      <c r="S50" s="2034">
        <f t="shared" si="35"/>
        <v>205.61488712900007</v>
      </c>
      <c r="T50" s="2034">
        <f t="shared" si="35"/>
        <v>145.73633889400003</v>
      </c>
      <c r="U50" s="2034">
        <f t="shared" si="35"/>
        <v>188.55233408000004</v>
      </c>
      <c r="V50" s="2034">
        <f t="shared" si="35"/>
        <v>201.80583306100004</v>
      </c>
      <c r="W50" s="2034">
        <f t="shared" si="35"/>
        <v>142.85673809100001</v>
      </c>
      <c r="X50" s="2034">
        <f t="shared" si="35"/>
        <v>117.91349097099999</v>
      </c>
      <c r="Y50" s="2034">
        <f t="shared" si="35"/>
        <v>199.13514829600001</v>
      </c>
      <c r="Z50" s="2034">
        <f t="shared" si="35"/>
        <v>18.285334785999908</v>
      </c>
      <c r="AA50" s="2034">
        <f t="shared" si="35"/>
        <v>-20.482353171</v>
      </c>
      <c r="AB50" s="2034">
        <f t="shared" si="35"/>
        <v>140.76383600899999</v>
      </c>
      <c r="AC50" s="2034">
        <f t="shared" si="35"/>
        <v>-294.83304969899996</v>
      </c>
      <c r="AD50" s="2034">
        <f t="shared" si="35"/>
        <v>-156.88056511899993</v>
      </c>
      <c r="AE50" s="2034">
        <f t="shared" si="35"/>
        <v>-162.89240878200008</v>
      </c>
      <c r="AF50" s="2034">
        <f t="shared" si="35"/>
        <v>-297.30060912900001</v>
      </c>
      <c r="AG50" s="2034">
        <f t="shared" si="35"/>
        <v>104.33464471100001</v>
      </c>
      <c r="AH50" s="2034">
        <f t="shared" si="35"/>
        <v>-210.31053324999999</v>
      </c>
      <c r="AI50" s="2034">
        <f>AI49-AE49</f>
        <v>-189.18631845199997</v>
      </c>
    </row>
    <row r="51" spans="1:69">
      <c r="B51" s="1960">
        <v>1</v>
      </c>
      <c r="C51" s="1960">
        <v>1</v>
      </c>
      <c r="D51" s="1960">
        <v>1</v>
      </c>
      <c r="E51" s="1960">
        <v>1</v>
      </c>
      <c r="F51" s="1960">
        <v>1</v>
      </c>
      <c r="G51" s="1960">
        <v>1</v>
      </c>
      <c r="H51" s="1960">
        <v>1</v>
      </c>
      <c r="I51" s="1960">
        <v>1</v>
      </c>
      <c r="J51" s="1960">
        <v>1</v>
      </c>
      <c r="K51" s="1960">
        <v>1</v>
      </c>
      <c r="L51" s="1960">
        <v>1</v>
      </c>
      <c r="M51" s="1960">
        <v>1</v>
      </c>
      <c r="N51" s="1960">
        <v>1</v>
      </c>
      <c r="O51" s="1960">
        <v>1</v>
      </c>
      <c r="P51" s="1960">
        <v>1</v>
      </c>
      <c r="Q51" s="1960">
        <v>1</v>
      </c>
      <c r="R51" s="1960">
        <v>1</v>
      </c>
      <c r="S51" s="1960">
        <v>1</v>
      </c>
      <c r="T51" s="1960">
        <v>1</v>
      </c>
      <c r="U51" s="1960">
        <v>1</v>
      </c>
      <c r="V51" s="1960">
        <v>1</v>
      </c>
      <c r="W51" s="1960">
        <v>1</v>
      </c>
      <c r="X51" s="1960">
        <v>1</v>
      </c>
      <c r="Y51" s="1960">
        <v>1</v>
      </c>
      <c r="Z51" s="1960">
        <v>1</v>
      </c>
      <c r="AA51" s="1960">
        <v>1</v>
      </c>
      <c r="AB51" s="1960">
        <v>1</v>
      </c>
      <c r="AC51" s="1960">
        <v>1</v>
      </c>
      <c r="AD51" s="1960">
        <v>1</v>
      </c>
      <c r="AE51" s="1960">
        <v>1</v>
      </c>
      <c r="AF51" s="1960">
        <v>1</v>
      </c>
      <c r="AG51" s="1960">
        <v>1</v>
      </c>
      <c r="AH51" s="1960">
        <v>1</v>
      </c>
      <c r="AI51" s="1960">
        <v>1</v>
      </c>
      <c r="AJ51" s="1960">
        <v>1</v>
      </c>
      <c r="AK51" s="1960">
        <v>1</v>
      </c>
      <c r="AL51" s="1960">
        <v>1</v>
      </c>
      <c r="AM51" s="1960">
        <v>1</v>
      </c>
      <c r="AN51" s="1960">
        <v>1</v>
      </c>
      <c r="AO51" s="1960">
        <v>1</v>
      </c>
      <c r="AP51" s="1960">
        <v>1</v>
      </c>
      <c r="AQ51" s="1960">
        <v>1</v>
      </c>
      <c r="AR51" s="1960">
        <v>1</v>
      </c>
      <c r="AS51" s="1960">
        <v>1</v>
      </c>
      <c r="AT51" s="1960">
        <v>1</v>
      </c>
      <c r="AU51" s="1960">
        <v>1</v>
      </c>
      <c r="AV51" s="1960">
        <v>1</v>
      </c>
      <c r="AW51" s="1960">
        <v>1</v>
      </c>
      <c r="AX51" s="1960">
        <v>1</v>
      </c>
      <c r="AY51" s="1960">
        <v>1</v>
      </c>
      <c r="AZ51" s="1960">
        <v>1</v>
      </c>
      <c r="BA51" s="1960">
        <v>1</v>
      </c>
      <c r="BB51" s="1960">
        <v>1</v>
      </c>
      <c r="BC51" s="1960">
        <v>1</v>
      </c>
      <c r="BD51" s="1960">
        <v>1</v>
      </c>
      <c r="BE51" s="1960">
        <v>1</v>
      </c>
      <c r="BF51" s="1960">
        <v>1</v>
      </c>
      <c r="BG51" s="1960">
        <v>1</v>
      </c>
      <c r="BH51" s="1960">
        <v>1</v>
      </c>
      <c r="BI51" s="1960">
        <v>1</v>
      </c>
      <c r="BJ51" s="1960">
        <v>1</v>
      </c>
      <c r="BK51" s="1960">
        <v>1</v>
      </c>
      <c r="BL51" s="1960">
        <v>1</v>
      </c>
      <c r="BM51" s="1960">
        <v>1</v>
      </c>
      <c r="BN51" s="1960">
        <v>1</v>
      </c>
      <c r="BO51" s="1960">
        <v>1</v>
      </c>
      <c r="BP51" s="1960">
        <v>1</v>
      </c>
      <c r="BQ51" s="1960">
        <v>1</v>
      </c>
    </row>
    <row r="52" spans="1:69">
      <c r="U52" s="1960" t="str">
        <f>IF(COUNT(B51:U51)=20,B2,"NA")</f>
        <v>Q1/2017</v>
      </c>
      <c r="V52" s="1960" t="str">
        <f t="shared" ref="V52:AH52" si="36">IF(COUNT(C51:V51)=20,C2,"NA")</f>
        <v>Q2/2017</v>
      </c>
      <c r="W52" s="1960" t="str">
        <f t="shared" si="36"/>
        <v>Q3/2017</v>
      </c>
      <c r="X52" s="1960" t="str">
        <f t="shared" si="36"/>
        <v>Q4/2017</v>
      </c>
      <c r="Y52" s="1960" t="str">
        <f t="shared" si="36"/>
        <v>Q1/2018</v>
      </c>
      <c r="Z52" s="1960" t="str">
        <f t="shared" si="36"/>
        <v>Q2/2018</v>
      </c>
      <c r="AA52" s="1960" t="str">
        <f t="shared" si="36"/>
        <v>Q3/2018</v>
      </c>
      <c r="AB52" s="1960" t="str">
        <f t="shared" si="36"/>
        <v>Q4/2018</v>
      </c>
      <c r="AC52" s="1960" t="str">
        <f t="shared" si="36"/>
        <v>Q1/2019</v>
      </c>
      <c r="AD52" s="1960" t="str">
        <f t="shared" si="36"/>
        <v>Q2/2019</v>
      </c>
      <c r="AE52" s="1960" t="str">
        <f t="shared" si="36"/>
        <v>Q3/2019</v>
      </c>
      <c r="AF52" s="1960" t="str">
        <f t="shared" si="36"/>
        <v>Q4/2019</v>
      </c>
      <c r="AG52" s="1960" t="str">
        <f t="shared" si="36"/>
        <v>Q1/2020</v>
      </c>
      <c r="AH52" s="1960" t="str">
        <f t="shared" si="36"/>
        <v>Q2/2020</v>
      </c>
      <c r="AI52" s="1960" t="str">
        <f>IF(COUNT(P51:AI51)=20,P2,"NA")</f>
        <v>Q3/2020</v>
      </c>
      <c r="AJ52" s="1960" t="str">
        <f t="shared" ref="AJ52" si="37">IF(COUNT(Q51:AJ51)=20,Q2,"NA")</f>
        <v>Q4/2020</v>
      </c>
      <c r="AK52" s="1960" t="str">
        <f t="shared" ref="AK52" si="38">IF(COUNT(R51:AK51)=20,R2,"NA")</f>
        <v>Q1/2021</v>
      </c>
      <c r="AL52" s="1960" t="str">
        <f t="shared" ref="AL52" si="39">IF(COUNT(S51:AL51)=20,S2,"NA")</f>
        <v>Q2/2021</v>
      </c>
      <c r="AM52" s="1960" t="str">
        <f t="shared" ref="AM52" si="40">IF(COUNT(T51:AM51)=20,T2,"NA")</f>
        <v>Q3/2021</v>
      </c>
      <c r="AN52" s="1960" t="str">
        <f t="shared" ref="AN52" si="41">IF(COUNT(U51:AN51)=20,U2,"NA")</f>
        <v>Q4/2021</v>
      </c>
      <c r="AO52" s="1960" t="str">
        <f t="shared" ref="AO52" si="42">IF(COUNT(V51:AO51)=20,V2,"NA")</f>
        <v>Q1/2022</v>
      </c>
      <c r="AP52" s="1960" t="str">
        <f t="shared" ref="AP52" si="43">IF(COUNT(W51:AP51)=20,W2,"NA")</f>
        <v>Q2/2022</v>
      </c>
      <c r="AQ52" s="1960" t="str">
        <f t="shared" ref="AQ52" si="44">IF(COUNT(X51:AQ51)=20,X2,"NA")</f>
        <v>Q3/2022</v>
      </c>
      <c r="AR52" s="1960" t="str">
        <f t="shared" ref="AR52" si="45">IF(COUNT(Y51:AR51)=20,Y2,"NA")</f>
        <v>Q4/2022</v>
      </c>
      <c r="AS52" s="1960" t="str">
        <f t="shared" ref="AS52" si="46">IF(COUNT(Z51:AS51)=20,Z2,"NA")</f>
        <v>Q1/2023</v>
      </c>
      <c r="AT52" s="1960" t="str">
        <f t="shared" ref="AT52" si="47">IF(COUNT(AA51:AT51)=20,AA2,"NA")</f>
        <v>Q2/2023</v>
      </c>
      <c r="AU52" s="1960" t="str">
        <f t="shared" ref="AU52" si="48">IF(COUNT(AB51:AU51)=20,AB2,"NA")</f>
        <v>Q3/2023</v>
      </c>
      <c r="AV52" s="1960" t="str">
        <f t="shared" ref="AV52" si="49">IF(COUNT(AC51:AV51)=20,AC2,"NA")</f>
        <v>Q4/2023</v>
      </c>
      <c r="AW52" s="1960" t="str">
        <f t="shared" ref="AW52" si="50">IF(COUNT(AD51:AW51)=20,AD2,"NA")</f>
        <v>Q1/2024</v>
      </c>
    </row>
    <row r="53" spans="1:69">
      <c r="A53" s="4" t="s">
        <v>1947</v>
      </c>
      <c r="U53" s="1962">
        <f>'FS Quarter'!AL72-'FS Quarter'!AH72</f>
        <v>1385.9522716409999</v>
      </c>
      <c r="V53" s="1962">
        <f>'FS Quarter'!AM72-'FS Quarter'!AI72</f>
        <v>1498.703265314</v>
      </c>
      <c r="W53" s="1962">
        <f>'FS Quarter'!AN72-'FS Quarter'!AJ72</f>
        <v>1445.8711432269999</v>
      </c>
      <c r="X53" s="1962">
        <f>'FS Quarter'!AO72-'FS Quarter'!AK72</f>
        <v>1366.340151931</v>
      </c>
      <c r="Y53" s="1962">
        <f>'FS Quarter'!AP72-'FS Quarter'!AL72</f>
        <v>1193.2108684570003</v>
      </c>
      <c r="Z53" s="1962">
        <f>'FS Quarter'!AQ72-'FS Quarter'!AM72</f>
        <v>815.560762866</v>
      </c>
      <c r="AA53" s="1962">
        <f>'FS Quarter'!AR72-'FS Quarter'!AN72</f>
        <v>323.25459592900006</v>
      </c>
      <c r="AB53" s="1962">
        <f>'FS Quarter'!AS72-'FS Quarter'!AO72</f>
        <v>-130.92480382899976</v>
      </c>
      <c r="AC53" s="1962">
        <f>'FS Quarter'!AT72-'FS Quarter'!AP72</f>
        <v>135.67818455099996</v>
      </c>
      <c r="AD53" s="1962">
        <f>'FS Quarter'!AU72-'FS Quarter'!AQ72</f>
        <v>514.34264529700022</v>
      </c>
      <c r="AE53" s="1962">
        <f>'FS Quarter'!AV72-'FS Quarter'!AR72</f>
        <v>1149.1813552020003</v>
      </c>
      <c r="AF53" s="1962">
        <f>'FS Quarter'!AW72-'FS Quarter'!AS72</f>
        <v>2070.355643504</v>
      </c>
      <c r="AG53" s="1962">
        <f>'FS Quarter'!AX72-'FS Quarter'!AT72</f>
        <v>1903.940977277</v>
      </c>
      <c r="AH53" s="1962">
        <f>'FS Quarter'!AY72-'FS Quarter'!AU72</f>
        <v>2245.6121158260003</v>
      </c>
      <c r="AI53" s="1962">
        <f>'FS Quarter'!AZ72-'FS Quarter'!AV72</f>
        <v>2025.3697572809997</v>
      </c>
      <c r="AJ53" s="1962">
        <f>'FS Quarter'!BA72-'FS Quarter'!AW72</f>
        <v>1892.0401149339996</v>
      </c>
      <c r="AK53" s="1962">
        <f>'FS Quarter'!BB72-'FS Quarter'!AX72</f>
        <v>2207.5800033730002</v>
      </c>
      <c r="AL53" s="1962">
        <f>'FS Quarter'!BC72-'FS Quarter'!AY72</f>
        <v>2069.4930669590003</v>
      </c>
      <c r="AM53" s="1962">
        <f>'FS Quarter'!BD72-'FS Quarter'!AZ72</f>
        <v>2128.7196453550005</v>
      </c>
      <c r="AN53" s="1962">
        <f>'FS Quarter'!BE72-'FS Quarter'!BA72</f>
        <v>2299.6356453120006</v>
      </c>
      <c r="AO53" s="1962">
        <f>'FS Quarter'!BF72-'FS Quarter'!BB72</f>
        <v>1782.4372050699994</v>
      </c>
      <c r="AP53" s="1962">
        <f>'FS Quarter'!BG72-'FS Quarter'!BC72</f>
        <v>1244.1089912269999</v>
      </c>
      <c r="AQ53" s="1962">
        <f>'FS Quarter'!BH72-'FS Quarter'!BD72</f>
        <v>750.47132386699923</v>
      </c>
      <c r="AR53" s="1962">
        <f>'FS Quarter'!BI72-'FS Quarter'!BE72</f>
        <v>86.375072756000009</v>
      </c>
      <c r="AS53" s="1962">
        <f>IF('FS Quarter'!BJ72-'FS Quarter'!BF72&gt;0,'FS Quarter'!BJ72-'FS Quarter'!BF72,-Z48)</f>
        <v>309.97669331700001</v>
      </c>
      <c r="AT53" s="1962">
        <f>'FS Quarter'!BK72-'FS Quarter'!BG72</f>
        <v>-1088.433946223</v>
      </c>
      <c r="AU53" s="1962">
        <f>'FS Quarter'!BL72-'FS Quarter'!BH72</f>
        <v>-2053.2940145489993</v>
      </c>
      <c r="AV53" s="1962">
        <f>'FS Quarter'!BM72-'FS Quarter'!BI72</f>
        <v>-3222.0146328630008</v>
      </c>
      <c r="AW53" s="1962">
        <f>'FS Quarter'!BN72-'FS Quarter'!BJ72</f>
        <v>-3621.0857707749992</v>
      </c>
    </row>
    <row r="54" spans="1:69">
      <c r="A54" s="4" t="s">
        <v>1948</v>
      </c>
      <c r="U54" s="2035">
        <f>U53/20</f>
        <v>69.297613582049991</v>
      </c>
      <c r="V54" s="2035">
        <f t="shared" ref="V54:AI54" si="51">V53/20</f>
        <v>74.935163265699998</v>
      </c>
      <c r="W54" s="2035">
        <f t="shared" si="51"/>
        <v>72.293557161349995</v>
      </c>
      <c r="X54" s="2035">
        <f t="shared" si="51"/>
        <v>68.317007596549999</v>
      </c>
      <c r="Y54" s="2035">
        <f t="shared" si="51"/>
        <v>59.660543422850012</v>
      </c>
      <c r="Z54" s="2035">
        <f t="shared" si="51"/>
        <v>40.778038143300002</v>
      </c>
      <c r="AA54" s="2035">
        <f t="shared" si="51"/>
        <v>16.162729796450002</v>
      </c>
      <c r="AB54" s="2035">
        <f t="shared" si="51"/>
        <v>-6.5462401914499875</v>
      </c>
      <c r="AC54" s="2035">
        <f t="shared" si="51"/>
        <v>6.7839092275499979</v>
      </c>
      <c r="AD54" s="2035">
        <f t="shared" si="51"/>
        <v>25.717132264850012</v>
      </c>
      <c r="AE54" s="2035">
        <f t="shared" si="51"/>
        <v>57.459067760100012</v>
      </c>
      <c r="AF54" s="2035">
        <f t="shared" si="51"/>
        <v>103.5177821752</v>
      </c>
      <c r="AG54" s="2035">
        <f t="shared" si="51"/>
        <v>95.19704886385</v>
      </c>
      <c r="AH54" s="2035">
        <f t="shared" si="51"/>
        <v>112.28060579130002</v>
      </c>
      <c r="AI54" s="2035">
        <f t="shared" si="51"/>
        <v>101.26848786404999</v>
      </c>
      <c r="AJ54" s="2035">
        <f t="shared" ref="AJ54" si="52">AJ53/20</f>
        <v>94.602005746699973</v>
      </c>
      <c r="AK54" s="2035">
        <f t="shared" ref="AK54" si="53">AK53/20</f>
        <v>110.37900016865001</v>
      </c>
      <c r="AL54" s="2035">
        <f t="shared" ref="AL54" si="54">AL53/20</f>
        <v>103.47465334795001</v>
      </c>
      <c r="AM54" s="2035">
        <f t="shared" ref="AM54" si="55">AM53/20</f>
        <v>106.43598226775002</v>
      </c>
      <c r="AN54" s="2035">
        <f t="shared" ref="AN54" si="56">AN53/20</f>
        <v>114.98178226560003</v>
      </c>
      <c r="AO54" s="2035">
        <f t="shared" ref="AO54" si="57">AO53/20</f>
        <v>89.121860253499975</v>
      </c>
      <c r="AP54" s="2035">
        <f t="shared" ref="AP54" si="58">AP53/20</f>
        <v>62.205449561349994</v>
      </c>
      <c r="AQ54" s="2035">
        <f t="shared" ref="AQ54" si="59">AQ53/20</f>
        <v>37.523566193349964</v>
      </c>
      <c r="AR54" s="2035">
        <f t="shared" ref="AR54" si="60">AR53/20</f>
        <v>4.3187536378000004</v>
      </c>
      <c r="AS54" s="2035">
        <f t="shared" ref="AS54" si="61">AS53/20</f>
        <v>15.498834665850001</v>
      </c>
      <c r="AT54" s="2035">
        <f t="shared" ref="AT54" si="62">AT53/20</f>
        <v>-54.421697311149998</v>
      </c>
      <c r="AU54" s="2035">
        <f t="shared" ref="AU54" si="63">AU53/20</f>
        <v>-102.66470072744997</v>
      </c>
      <c r="AV54" s="2035">
        <f t="shared" ref="AV54" si="64">AV53/20</f>
        <v>-161.10073164315003</v>
      </c>
      <c r="AW54" s="2035">
        <f t="shared" ref="AW54" si="65">AW53/20</f>
        <v>-181.05428853874997</v>
      </c>
    </row>
    <row r="55" spans="1:69">
      <c r="A55" s="4" t="s">
        <v>1949</v>
      </c>
    </row>
  </sheetData>
  <phoneticPr fontId="64" type="noConversion"/>
  <conditionalFormatting sqref="B11:AG11">
    <cfRule type="colorScale" priority="4">
      <colorScale>
        <cfvo type="min"/>
        <cfvo type="percentile" val="50"/>
        <cfvo type="max"/>
        <color rgb="FFF8696B"/>
        <color rgb="FFFFEB84"/>
        <color rgb="FF63BE7B"/>
      </colorScale>
    </cfRule>
  </conditionalFormatting>
  <conditionalFormatting sqref="B12:AG12">
    <cfRule type="colorScale" priority="3">
      <colorScale>
        <cfvo type="min"/>
        <cfvo type="percentile" val="50"/>
        <cfvo type="max"/>
        <color rgb="FFF8696B"/>
        <color rgb="FFFFEB84"/>
        <color rgb="FF63BE7B"/>
      </colorScale>
    </cfRule>
  </conditionalFormatting>
  <conditionalFormatting sqref="B13:AG13">
    <cfRule type="colorScale" priority="2">
      <colorScale>
        <cfvo type="min"/>
        <cfvo type="percentile" val="50"/>
        <cfvo type="max"/>
        <color rgb="FFF8696B"/>
        <color rgb="FFFFEB84"/>
        <color rgb="FF63BE7B"/>
      </colorScale>
    </cfRule>
  </conditionalFormatting>
  <conditionalFormatting sqref="F50:AI50">
    <cfRule type="cellIs" dxfId="0" priority="1" operator="lessThan">
      <formula>0</formula>
    </cfRule>
  </conditionalFormatting>
  <pageMargins left="0.7" right="0.7" top="0.75" bottom="0.75" header="0.3" footer="0.3"/>
  <pageSetup orientation="portrai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66999F-D4F6-499F-BA2A-6394D38379F6}">
  <dimension ref="A1:CV121"/>
  <sheetViews>
    <sheetView workbookViewId="0">
      <pane xSplit="1" ySplit="3" topLeftCell="E79" activePane="bottomRight" state="frozen"/>
      <selection pane="topRight" activeCell="B1" sqref="B1"/>
      <selection pane="bottomLeft" activeCell="A3" sqref="A3"/>
      <selection pane="bottomRight" activeCell="J100" sqref="J100"/>
    </sheetView>
  </sheetViews>
  <sheetFormatPr baseColWidth="10" defaultColWidth="9.1640625" defaultRowHeight="15" outlineLevelRow="1" outlineLevelCol="1"/>
  <cols>
    <col min="1" max="1" width="25.5" style="112" customWidth="1"/>
    <col min="2" max="2" width="13.1640625" style="329" customWidth="1"/>
    <col min="3" max="3" width="11.83203125" style="329" customWidth="1"/>
    <col min="4" max="4" width="10.6640625" style="329" bestFit="1" customWidth="1"/>
    <col min="5" max="5" width="14.83203125" style="112" customWidth="1"/>
    <col min="6" max="9" width="10.6640625" style="112" bestFit="1" customWidth="1"/>
    <col min="10" max="10" width="9.83203125" style="112" bestFit="1" customWidth="1"/>
    <col min="11" max="17" width="9.83203125" style="112" customWidth="1"/>
    <col min="18" max="18" width="10.33203125" style="112" bestFit="1" customWidth="1"/>
    <col min="19" max="21" width="9.1640625" style="112"/>
    <col min="22" max="22" width="19.5" style="112" customWidth="1" outlineLevel="1"/>
    <col min="23" max="27" width="12.33203125" style="112" customWidth="1" outlineLevel="1"/>
    <col min="28" max="30" width="9.1640625" style="112" customWidth="1" outlineLevel="1"/>
    <col min="31" max="31" width="9.5" style="112" customWidth="1" outlineLevel="1"/>
    <col min="32" max="32" width="9.1640625" style="112" bestFit="1" customWidth="1"/>
    <col min="33" max="35" width="9.5" style="112" bestFit="1" customWidth="1"/>
    <col min="36" max="36" width="9.1640625" style="112" bestFit="1" customWidth="1"/>
    <col min="37" max="37" width="9.5" style="112" bestFit="1" customWidth="1"/>
    <col min="38" max="40" width="9.1640625" style="112" bestFit="1" customWidth="1"/>
    <col min="41" max="16384" width="9.1640625" style="112"/>
  </cols>
  <sheetData>
    <row r="1" spans="1:100">
      <c r="B1" s="112"/>
      <c r="C1" s="112"/>
      <c r="D1" s="112"/>
      <c r="V1" s="112">
        <f t="shared" ref="V1:BD1" si="0">ROUNDUP(MONTH(V2)/3, 0)</f>
        <v>1</v>
      </c>
      <c r="W1" s="112">
        <f t="shared" si="0"/>
        <v>1</v>
      </c>
      <c r="X1" s="112">
        <f t="shared" si="0"/>
        <v>1</v>
      </c>
      <c r="Y1" s="112">
        <f t="shared" si="0"/>
        <v>1</v>
      </c>
      <c r="Z1" s="112">
        <f t="shared" si="0"/>
        <v>1</v>
      </c>
      <c r="AA1" s="112">
        <f t="shared" si="0"/>
        <v>1</v>
      </c>
      <c r="AB1" s="112">
        <f t="shared" si="0"/>
        <v>1</v>
      </c>
      <c r="AC1" s="112">
        <f t="shared" si="0"/>
        <v>1</v>
      </c>
      <c r="AD1" s="112">
        <f t="shared" si="0"/>
        <v>1</v>
      </c>
      <c r="AE1" s="112">
        <v>42020</v>
      </c>
      <c r="AF1" s="283" t="s">
        <v>22</v>
      </c>
      <c r="AG1" s="283" t="s">
        <v>23</v>
      </c>
      <c r="AH1" s="283" t="s">
        <v>24</v>
      </c>
      <c r="AI1" s="283" t="s">
        <v>25</v>
      </c>
      <c r="AJ1" s="283" t="s">
        <v>1950</v>
      </c>
      <c r="AK1" s="283" t="s">
        <v>1951</v>
      </c>
      <c r="AL1" s="283" t="s">
        <v>1952</v>
      </c>
      <c r="AM1" s="283" t="s">
        <v>1953</v>
      </c>
      <c r="AN1" s="112">
        <f t="shared" si="0"/>
        <v>1</v>
      </c>
      <c r="AO1" s="112">
        <f t="shared" si="0"/>
        <v>1</v>
      </c>
      <c r="AP1" s="112">
        <f t="shared" si="0"/>
        <v>1</v>
      </c>
      <c r="AQ1" s="112">
        <f t="shared" si="0"/>
        <v>1</v>
      </c>
      <c r="AR1" s="112">
        <f t="shared" si="0"/>
        <v>1</v>
      </c>
      <c r="AS1" s="112">
        <f t="shared" si="0"/>
        <v>1</v>
      </c>
      <c r="AT1" s="112">
        <f t="shared" si="0"/>
        <v>1</v>
      </c>
      <c r="AU1" s="112">
        <f t="shared" si="0"/>
        <v>1</v>
      </c>
      <c r="AV1" s="112">
        <f t="shared" si="0"/>
        <v>1</v>
      </c>
      <c r="AW1" s="112">
        <f t="shared" si="0"/>
        <v>1</v>
      </c>
      <c r="AX1" s="112">
        <f t="shared" si="0"/>
        <v>1</v>
      </c>
      <c r="AY1" s="112">
        <f t="shared" si="0"/>
        <v>1</v>
      </c>
      <c r="AZ1" s="112">
        <f t="shared" si="0"/>
        <v>1</v>
      </c>
      <c r="BA1" s="112">
        <f t="shared" si="0"/>
        <v>1</v>
      </c>
      <c r="BB1" s="112">
        <f t="shared" si="0"/>
        <v>1</v>
      </c>
      <c r="BC1" s="112">
        <f t="shared" si="0"/>
        <v>1</v>
      </c>
      <c r="BD1" s="112">
        <f t="shared" si="0"/>
        <v>1</v>
      </c>
      <c r="BE1" s="112">
        <v>1</v>
      </c>
      <c r="BF1" s="112">
        <f>ROUNDUP(MONTH(BF2)/3, 0)</f>
        <v>1</v>
      </c>
      <c r="BG1" s="112">
        <f>ROUNDUP(MONTH(BG2)/3, 0)</f>
        <v>1</v>
      </c>
      <c r="BH1" s="112">
        <v>0</v>
      </c>
      <c r="BI1" s="112">
        <v>0</v>
      </c>
      <c r="BJ1" s="112">
        <v>2</v>
      </c>
      <c r="BK1" s="112">
        <f t="shared" ref="BK1:CV1" si="1">ROUNDUP(MONTH(BK2)/3, 0)</f>
        <v>1</v>
      </c>
      <c r="BL1" s="112">
        <f t="shared" si="1"/>
        <v>1</v>
      </c>
      <c r="BM1" s="339">
        <f t="shared" si="1"/>
        <v>1</v>
      </c>
      <c r="BN1" s="112">
        <f t="shared" si="1"/>
        <v>1</v>
      </c>
      <c r="BO1" s="112">
        <f t="shared" si="1"/>
        <v>1</v>
      </c>
      <c r="BP1" s="112">
        <f t="shared" si="1"/>
        <v>1</v>
      </c>
      <c r="BQ1" s="112">
        <f t="shared" si="1"/>
        <v>1</v>
      </c>
      <c r="BR1" s="112">
        <f t="shared" si="1"/>
        <v>1</v>
      </c>
      <c r="BS1" s="112">
        <f t="shared" si="1"/>
        <v>1</v>
      </c>
      <c r="BT1" s="112">
        <f t="shared" si="1"/>
        <v>1</v>
      </c>
      <c r="BU1" s="112">
        <f t="shared" si="1"/>
        <v>1</v>
      </c>
      <c r="BV1" s="112">
        <f t="shared" si="1"/>
        <v>1</v>
      </c>
      <c r="BW1" s="112">
        <f t="shared" si="1"/>
        <v>1</v>
      </c>
      <c r="BX1" s="112">
        <f t="shared" si="1"/>
        <v>1</v>
      </c>
      <c r="BY1" s="112">
        <f t="shared" si="1"/>
        <v>1</v>
      </c>
      <c r="BZ1" s="112">
        <f t="shared" si="1"/>
        <v>1</v>
      </c>
      <c r="CA1" s="112">
        <f t="shared" si="1"/>
        <v>1</v>
      </c>
      <c r="CB1" s="112">
        <f t="shared" si="1"/>
        <v>1</v>
      </c>
      <c r="CC1" s="112">
        <f t="shared" si="1"/>
        <v>1</v>
      </c>
      <c r="CD1" s="112">
        <f t="shared" si="1"/>
        <v>1</v>
      </c>
      <c r="CE1" s="112">
        <f t="shared" si="1"/>
        <v>1</v>
      </c>
      <c r="CF1" s="112">
        <f t="shared" si="1"/>
        <v>1</v>
      </c>
      <c r="CG1" s="112">
        <f t="shared" si="1"/>
        <v>1</v>
      </c>
      <c r="CH1" s="112">
        <f t="shared" si="1"/>
        <v>1</v>
      </c>
      <c r="CI1" s="112">
        <f t="shared" si="1"/>
        <v>1</v>
      </c>
      <c r="CJ1" s="112">
        <f t="shared" si="1"/>
        <v>1</v>
      </c>
      <c r="CK1" s="112">
        <f t="shared" si="1"/>
        <v>1</v>
      </c>
      <c r="CL1" s="112">
        <f t="shared" si="1"/>
        <v>1</v>
      </c>
      <c r="CM1" s="112">
        <f t="shared" si="1"/>
        <v>1</v>
      </c>
      <c r="CN1" s="112">
        <f t="shared" si="1"/>
        <v>1</v>
      </c>
      <c r="CO1" s="112">
        <f t="shared" si="1"/>
        <v>1</v>
      </c>
      <c r="CP1" s="112">
        <f t="shared" si="1"/>
        <v>1</v>
      </c>
      <c r="CQ1" s="112">
        <f t="shared" si="1"/>
        <v>1</v>
      </c>
      <c r="CR1" s="112">
        <f t="shared" si="1"/>
        <v>1</v>
      </c>
      <c r="CS1" s="112">
        <f t="shared" si="1"/>
        <v>1</v>
      </c>
      <c r="CT1" s="112">
        <f t="shared" si="1"/>
        <v>1</v>
      </c>
      <c r="CU1" s="112">
        <f t="shared" si="1"/>
        <v>1</v>
      </c>
      <c r="CV1" s="112">
        <f t="shared" si="1"/>
        <v>1</v>
      </c>
    </row>
    <row r="2" spans="1:100" s="306" customFormat="1" ht="20">
      <c r="A2" s="306" t="s">
        <v>1954</v>
      </c>
      <c r="B2" s="321"/>
      <c r="C2" s="321"/>
      <c r="D2" s="321"/>
    </row>
    <row r="3" spans="1:100" s="211" customFormat="1">
      <c r="B3" s="322">
        <f>FS!J1</f>
        <v>2019</v>
      </c>
      <c r="C3" s="322">
        <f>FS!K1</f>
        <v>2020</v>
      </c>
      <c r="D3" s="322">
        <f>FS!L1</f>
        <v>2021</v>
      </c>
      <c r="E3" s="211">
        <f>FS!M1</f>
        <v>2022</v>
      </c>
      <c r="F3" s="211">
        <f>FS!N1</f>
        <v>2023</v>
      </c>
      <c r="G3" s="211">
        <f>FS!O1</f>
        <v>2024</v>
      </c>
      <c r="H3" s="211">
        <f>FS!P1</f>
        <v>2025</v>
      </c>
      <c r="I3" s="211">
        <f>FS!Q1</f>
        <v>2026</v>
      </c>
      <c r="J3" s="211">
        <f>FS!R1</f>
        <v>2027</v>
      </c>
      <c r="K3" s="211">
        <f>FS!S1</f>
        <v>2028</v>
      </c>
      <c r="L3" s="211">
        <f>FS!T1</f>
        <v>2029</v>
      </c>
      <c r="M3" s="211">
        <f>FS!U1</f>
        <v>2030</v>
      </c>
      <c r="N3" s="211">
        <f>FS!V1</f>
        <v>0</v>
      </c>
      <c r="O3" s="211">
        <f>FS!W1</f>
        <v>0</v>
      </c>
      <c r="R3" s="211">
        <f>FS!W1</f>
        <v>0</v>
      </c>
      <c r="S3" s="211">
        <f>FS!X1</f>
        <v>0</v>
      </c>
      <c r="AE3" s="211" t="str">
        <f>Rev_Year!AF5</f>
        <v>Q4/2020</v>
      </c>
      <c r="AF3" s="211" t="str">
        <f>Rev_Year!AG5</f>
        <v>Q1/2021</v>
      </c>
      <c r="AG3" s="211" t="str">
        <f>Rev_Year!AH5</f>
        <v>Q2/2021</v>
      </c>
      <c r="AH3" s="211" t="str">
        <f>Rev_Year!AI5</f>
        <v>Q3/2021</v>
      </c>
      <c r="AI3" s="211" t="str">
        <f>Rev_Year!AJ5</f>
        <v>Q4/2021</v>
      </c>
      <c r="AJ3" s="211" t="str">
        <f>Rev_Year!AK5</f>
        <v>Q1/2022</v>
      </c>
      <c r="AK3" s="211" t="str">
        <f>Rev_Year!AL5</f>
        <v>Q2/2022</v>
      </c>
      <c r="AL3" s="211" t="str">
        <f>Rev_Year!AM5</f>
        <v>Q3/2022</v>
      </c>
      <c r="AM3" s="211" t="str">
        <f>Rev_Year!AN5</f>
        <v>Q4/2022</v>
      </c>
      <c r="AN3" s="211" t="str">
        <f>Rev_Year!AO5</f>
        <v>Q1/2023</v>
      </c>
    </row>
    <row r="4" spans="1:100" s="308" customFormat="1" ht="20">
      <c r="A4" s="281" t="s">
        <v>1955</v>
      </c>
      <c r="B4" s="323">
        <f t="shared" ref="B4:J4" si="2">B22+B39</f>
        <v>5403.7768000000005</v>
      </c>
      <c r="C4" s="323">
        <f t="shared" si="2"/>
        <v>7294.9610000000002</v>
      </c>
      <c r="D4" s="323">
        <f t="shared" si="2"/>
        <v>9647.1679399999994</v>
      </c>
      <c r="E4" s="309">
        <f t="shared" si="2"/>
        <v>9727.5018700060009</v>
      </c>
      <c r="F4" s="309">
        <f t="shared" si="2"/>
        <v>6499.5470461560708</v>
      </c>
      <c r="G4" s="309">
        <f t="shared" si="2"/>
        <v>3585.4102759049979</v>
      </c>
      <c r="H4" s="309">
        <f t="shared" si="2"/>
        <v>3161.1499438606556</v>
      </c>
      <c r="I4" s="309">
        <f t="shared" si="2"/>
        <v>3084.1128689527918</v>
      </c>
      <c r="J4" s="309">
        <f t="shared" si="2"/>
        <v>3100.9169953940018</v>
      </c>
      <c r="K4" s="309">
        <f t="shared" ref="K4:O4" si="3">K22+K39</f>
        <v>3263.0631406340649</v>
      </c>
      <c r="L4" s="309">
        <f t="shared" si="3"/>
        <v>3069.1718627134501</v>
      </c>
      <c r="M4" s="309">
        <f t="shared" si="3"/>
        <v>2268.7689475759803</v>
      </c>
      <c r="N4" s="309">
        <f t="shared" si="3"/>
        <v>415.84670165505634</v>
      </c>
      <c r="O4" s="309">
        <f t="shared" si="3"/>
        <v>-1431.5099803523972</v>
      </c>
      <c r="P4" s="309"/>
      <c r="Q4" s="309"/>
      <c r="R4" s="281"/>
      <c r="S4" s="281"/>
    </row>
    <row r="5" spans="1:100" s="311" customFormat="1" ht="20">
      <c r="A5" s="310" t="str">
        <f>A16</f>
        <v>DEP for year</v>
      </c>
      <c r="B5" s="324">
        <f>B16+B33</f>
        <v>-1381.434975594</v>
      </c>
      <c r="C5" s="324">
        <f>C16+C33</f>
        <v>-2134.19</v>
      </c>
      <c r="D5" s="324">
        <f>D16+D33</f>
        <v>-2859.3215720000003</v>
      </c>
      <c r="E5" s="197">
        <f>-FS!M124+FS!M125</f>
        <v>-3581.4248188289998</v>
      </c>
      <c r="F5" s="197">
        <f>-FS!N124+FS!N125</f>
        <v>-3378.5307272549999</v>
      </c>
      <c r="G5" s="197">
        <f>G16+G33</f>
        <v>-2668.5399233500002</v>
      </c>
      <c r="H5" s="197">
        <f>H16+H33</f>
        <v>-2766.9039524028658</v>
      </c>
      <c r="I5" s="197">
        <f>I16+I33</f>
        <v>-2344.3513848336511</v>
      </c>
      <c r="J5" s="197">
        <f>J16+J33</f>
        <v>-2012.8501064467303</v>
      </c>
      <c r="K5" s="197">
        <f t="shared" ref="K5:O5" si="4">K16+K33</f>
        <v>-1987.2874873356943</v>
      </c>
      <c r="L5" s="197">
        <f t="shared" si="4"/>
        <v>-1873.6209772303337</v>
      </c>
      <c r="M5" s="197">
        <f t="shared" si="4"/>
        <v>-1905.1994905660379</v>
      </c>
      <c r="N5" s="197">
        <f t="shared" si="4"/>
        <v>-2277.6764261587805</v>
      </c>
      <c r="O5" s="197">
        <f t="shared" si="4"/>
        <v>-2090.5930608772037</v>
      </c>
      <c r="P5" s="197"/>
      <c r="Q5" s="197"/>
      <c r="R5" s="112"/>
      <c r="S5" s="112"/>
    </row>
    <row r="6" spans="1:100" s="276" customFormat="1" ht="20">
      <c r="B6" s="322"/>
      <c r="C6" s="322"/>
      <c r="D6" s="322"/>
      <c r="E6" s="209">
        <f t="shared" ref="E6:J6" si="5">E5+E15+E32</f>
        <v>-12011.640962799001</v>
      </c>
      <c r="F6" s="209">
        <f t="shared" si="5"/>
        <v>-14582.618972843</v>
      </c>
      <c r="G6" s="209">
        <f t="shared" si="5"/>
        <v>-16398.673105184</v>
      </c>
      <c r="H6" s="209">
        <f t="shared" si="5"/>
        <v>-18446.576070218867</v>
      </c>
      <c r="I6" s="209">
        <f t="shared" si="5"/>
        <v>-20790.927455052515</v>
      </c>
      <c r="J6" s="209">
        <f t="shared" si="5"/>
        <v>-22803.777561499246</v>
      </c>
      <c r="K6" s="209">
        <f t="shared" ref="K6:O6" si="6">K5+K15+K32</f>
        <v>-24791.065048834942</v>
      </c>
      <c r="L6" s="209">
        <f t="shared" si="6"/>
        <v>-26664.686026065276</v>
      </c>
      <c r="M6" s="209">
        <f t="shared" si="6"/>
        <v>-28569.885516631311</v>
      </c>
      <c r="N6" s="209">
        <f t="shared" si="6"/>
        <v>-30847.561942790093</v>
      </c>
      <c r="O6" s="209">
        <f t="shared" si="6"/>
        <v>-32938.1550036673</v>
      </c>
      <c r="P6" s="209"/>
      <c r="Q6" s="209"/>
      <c r="R6" s="211"/>
      <c r="S6" s="211"/>
    </row>
    <row r="7" spans="1:100" s="281" customFormat="1">
      <c r="A7" s="281" t="s">
        <v>1956</v>
      </c>
      <c r="B7" s="325"/>
      <c r="C7" s="325"/>
      <c r="D7" s="325"/>
      <c r="W7" s="281" t="s">
        <v>1957</v>
      </c>
      <c r="X7" s="281" t="s">
        <v>1958</v>
      </c>
      <c r="Y7" s="281" t="s">
        <v>1959</v>
      </c>
      <c r="Z7" s="281" t="s">
        <v>1960</v>
      </c>
      <c r="AA7" s="281" t="s">
        <v>1961</v>
      </c>
      <c r="AB7" s="281" t="s">
        <v>1962</v>
      </c>
    </row>
    <row r="8" spans="1:100" s="198" customFormat="1">
      <c r="A8" s="305" t="s">
        <v>1963</v>
      </c>
      <c r="B8" s="326">
        <f>'FS Year'!Q69</f>
        <v>5788.3263316760003</v>
      </c>
      <c r="C8" s="326">
        <f>'FS Year'!R69</f>
        <v>9148.4559895250004</v>
      </c>
      <c r="D8" s="326">
        <f>'FS Year'!S69</f>
        <v>12963.311412900999</v>
      </c>
      <c r="E8" s="326">
        <f>'FS Year'!T69</f>
        <v>17987.087849355001</v>
      </c>
      <c r="F8" s="326">
        <f>'FS Year'!U69</f>
        <v>20841.293419594</v>
      </c>
      <c r="G8" s="326">
        <f>'FS Year'!V69</f>
        <v>20139.282722977001</v>
      </c>
      <c r="H8" s="198">
        <f t="shared" ref="H8:J8" si="7">G13</f>
        <v>19174.626383751998</v>
      </c>
      <c r="I8" s="198">
        <f t="shared" si="7"/>
        <v>21516.818483225703</v>
      </c>
      <c r="J8" s="198">
        <f t="shared" si="7"/>
        <v>23783.695791230035</v>
      </c>
      <c r="K8" s="198">
        <f t="shared" ref="K8" si="8">J13</f>
        <v>25812.958828774754</v>
      </c>
      <c r="L8" s="198">
        <f t="shared" ref="L8" si="9">K13</f>
        <v>27961.978179738402</v>
      </c>
      <c r="M8" s="198">
        <f t="shared" ref="M8" si="10">L13</f>
        <v>29641.384128122671</v>
      </c>
      <c r="N8" s="198">
        <f t="shared" ref="N8" si="11">M13</f>
        <v>30745.967765175574</v>
      </c>
      <c r="O8" s="198">
        <f t="shared" ref="O8" si="12">N13</f>
        <v>31170.640078337437</v>
      </c>
      <c r="R8" s="198" t="e">
        <f>'FS Year'!Z69</f>
        <v>#DIV/0!</v>
      </c>
      <c r="V8" s="198" t="s">
        <v>1964</v>
      </c>
      <c r="W8" s="198">
        <v>8330.8837100000001</v>
      </c>
      <c r="X8" s="198">
        <v>254.35616771599999</v>
      </c>
      <c r="Y8" s="198">
        <v>1131.5834281530001</v>
      </c>
      <c r="Z8" s="198">
        <v>25.9988785</v>
      </c>
      <c r="AA8" s="198">
        <v>0.68799999999999994</v>
      </c>
      <c r="AB8" s="198">
        <v>53.526696000000001</v>
      </c>
    </row>
    <row r="9" spans="1:100" s="198" customFormat="1">
      <c r="A9" s="305" t="s">
        <v>1965</v>
      </c>
      <c r="B9" s="326">
        <v>2954.66</v>
      </c>
      <c r="C9" s="326">
        <v>4006.67</v>
      </c>
      <c r="D9" s="326">
        <v>4974.6595850000003</v>
      </c>
      <c r="E9" s="198">
        <v>3506.0038058680002</v>
      </c>
      <c r="F9" s="198">
        <f>SUM(F48:F50)</f>
        <v>522.93057067252187</v>
      </c>
      <c r="G9" s="198">
        <f>163.3</f>
        <v>163.30000000000001</v>
      </c>
      <c r="H9" s="198">
        <f>SUM(H48:H50)</f>
        <v>2342.1920994737047</v>
      </c>
      <c r="I9" s="198">
        <f>SUM(I48:I50)</f>
        <v>2266.8773080043338</v>
      </c>
      <c r="J9" s="198">
        <f>SUM(J48:J50)</f>
        <v>2029.2630375447197</v>
      </c>
      <c r="K9" s="198">
        <f t="shared" ref="K9:O9" si="13">SUM(K48:K50)</f>
        <v>2149.0193509636474</v>
      </c>
      <c r="L9" s="198">
        <f t="shared" si="13"/>
        <v>1679.4059483842691</v>
      </c>
      <c r="M9" s="198">
        <f t="shared" si="13"/>
        <v>1104.5836370529041</v>
      </c>
      <c r="N9" s="198">
        <f t="shared" si="13"/>
        <v>424.67231316186331</v>
      </c>
      <c r="O9" s="198">
        <f t="shared" si="13"/>
        <v>243.1894975156867</v>
      </c>
      <c r="V9" s="198" t="s">
        <v>1966</v>
      </c>
      <c r="W9" s="198">
        <v>2895.5455568550001</v>
      </c>
      <c r="X9" s="198">
        <v>84.397587364000003</v>
      </c>
      <c r="Y9" s="198">
        <v>535.04876794300003</v>
      </c>
      <c r="Z9" s="198">
        <v>0</v>
      </c>
      <c r="AA9" s="198">
        <v>0.35198499999999999</v>
      </c>
      <c r="AB9" s="198">
        <f>Z9</f>
        <v>0</v>
      </c>
    </row>
    <row r="10" spans="1:100" s="198" customFormat="1">
      <c r="A10" s="305" t="s">
        <v>1967</v>
      </c>
      <c r="B10" s="326">
        <v>500.065</v>
      </c>
      <c r="C10" s="326">
        <v>2.9558999999999998E-2</v>
      </c>
      <c r="D10" s="326">
        <v>98.331999999999994</v>
      </c>
      <c r="E10" s="198">
        <v>569.86857881200001</v>
      </c>
      <c r="G10" s="198">
        <v>29.66</v>
      </c>
      <c r="V10" s="198" t="s">
        <v>1968</v>
      </c>
      <c r="W10" s="198">
        <f t="shared" ref="W10:AB10" si="14">W8/W9</f>
        <v>2.8771378472278633</v>
      </c>
      <c r="X10" s="198">
        <f t="shared" si="14"/>
        <v>3.0137848208738753</v>
      </c>
      <c r="Y10" s="198">
        <f t="shared" si="14"/>
        <v>2.1149164262229463</v>
      </c>
      <c r="Z10" s="198" t="e">
        <f t="shared" si="14"/>
        <v>#DIV/0!</v>
      </c>
      <c r="AA10" s="198">
        <f t="shared" si="14"/>
        <v>1.954628748384164</v>
      </c>
      <c r="AB10" s="198" t="e">
        <f t="shared" si="14"/>
        <v>#DIV/0!</v>
      </c>
    </row>
    <row r="11" spans="1:100" s="198" customFormat="1">
      <c r="A11" s="305" t="s">
        <v>1969</v>
      </c>
      <c r="B11" s="326"/>
      <c r="C11" s="326"/>
      <c r="D11" s="326">
        <v>110.23390000000001</v>
      </c>
      <c r="V11" s="198" t="s">
        <v>1970</v>
      </c>
      <c r="W11" s="198">
        <v>5</v>
      </c>
      <c r="X11" s="198">
        <v>6</v>
      </c>
      <c r="Y11" s="198">
        <v>5</v>
      </c>
      <c r="Z11" s="198">
        <v>0</v>
      </c>
      <c r="AA11" s="198">
        <v>4</v>
      </c>
      <c r="AB11" s="198">
        <v>10</v>
      </c>
    </row>
    <row r="12" spans="1:100" s="198" customFormat="1">
      <c r="A12" s="305" t="s">
        <v>1971</v>
      </c>
      <c r="B12" s="326">
        <v>-94.596000000000004</v>
      </c>
      <c r="C12" s="326">
        <v>-221.374</v>
      </c>
      <c r="D12" s="326">
        <v>-159.44900000000001</v>
      </c>
      <c r="E12" s="198">
        <f>'FS Year'!U239</f>
        <v>-1220.692858036</v>
      </c>
      <c r="F12" s="198">
        <f>'FS Year'!V239</f>
        <v>-1254.4866307459999</v>
      </c>
      <c r="G12" s="198">
        <f>'FS Year'!W239</f>
        <v>-1157.6227577919999</v>
      </c>
      <c r="S12" s="198">
        <f>-($E$9+$E$10)/($E$16-$D$16)</f>
        <v>6.6222143174060513</v>
      </c>
      <c r="V12" s="198" t="str">
        <f>A9</f>
        <v>Purchase</v>
      </c>
      <c r="W12" s="198">
        <v>4246.6989999999996</v>
      </c>
      <c r="X12" s="198">
        <v>79.796000000000006</v>
      </c>
      <c r="Y12" s="198">
        <v>648.16353500000002</v>
      </c>
      <c r="AA12" s="198">
        <v>0.95899999999999996</v>
      </c>
      <c r="AC12" s="343">
        <f>-D22/D16</f>
        <v>3.3481243659023718</v>
      </c>
      <c r="AD12" s="198">
        <f>SUM(W12:AC12)</f>
        <v>4978.965659365902</v>
      </c>
    </row>
    <row r="13" spans="1:100" s="198" customFormat="1">
      <c r="A13" s="305" t="s">
        <v>1964</v>
      </c>
      <c r="B13" s="326">
        <f>SUM(B8:B12)</f>
        <v>9148.4553316760012</v>
      </c>
      <c r="C13" s="326">
        <f t="shared" ref="C13:S13" si="15">SUM(C8:C12)</f>
        <v>12933.781548525001</v>
      </c>
      <c r="D13" s="326">
        <f t="shared" si="15"/>
        <v>17987.087897900998</v>
      </c>
      <c r="E13" s="198">
        <f>'FS Year'!U69</f>
        <v>20841.293419594</v>
      </c>
      <c r="F13" s="198">
        <f>'FS Year'!V69</f>
        <v>20139.282722977001</v>
      </c>
      <c r="G13" s="198">
        <f>'FS Year'!W69</f>
        <v>19174.626383751998</v>
      </c>
      <c r="H13" s="198">
        <f t="shared" si="15"/>
        <v>21516.818483225703</v>
      </c>
      <c r="I13" s="198">
        <f t="shared" si="15"/>
        <v>23783.695791230035</v>
      </c>
      <c r="J13" s="198">
        <f t="shared" si="15"/>
        <v>25812.958828774754</v>
      </c>
      <c r="K13" s="198">
        <f t="shared" ref="K13:O13" si="16">SUM(K8:K12)</f>
        <v>27961.978179738402</v>
      </c>
      <c r="L13" s="198">
        <f t="shared" si="16"/>
        <v>29641.384128122671</v>
      </c>
      <c r="M13" s="198">
        <f t="shared" si="16"/>
        <v>30745.967765175574</v>
      </c>
      <c r="N13" s="198">
        <f t="shared" si="16"/>
        <v>31170.640078337437</v>
      </c>
      <c r="O13" s="198">
        <f t="shared" si="16"/>
        <v>31413.829575853124</v>
      </c>
      <c r="R13" s="198" t="e">
        <f t="shared" si="15"/>
        <v>#DIV/0!</v>
      </c>
      <c r="S13" s="198">
        <f t="shared" si="15"/>
        <v>6.6222143174060513</v>
      </c>
      <c r="V13" s="198" t="s">
        <v>1972</v>
      </c>
      <c r="W13" s="202">
        <f>W12/$AD$12</f>
        <v>0.85292795543017252</v>
      </c>
      <c r="X13" s="202">
        <f>X12/$AD$12</f>
        <v>1.6026621884787703E-2</v>
      </c>
      <c r="Y13" s="202">
        <f>Y12/$AD$12</f>
        <v>0.13018035860133792</v>
      </c>
      <c r="Z13" s="202">
        <f>Z12/$AD$12</f>
        <v>0</v>
      </c>
      <c r="AA13" s="202">
        <f>AA12/$AD$12</f>
        <v>1.9261028607337971E-4</v>
      </c>
      <c r="AB13" s="198">
        <f>-D39/D33</f>
        <v>41.896538756442695</v>
      </c>
      <c r="AC13" s="198">
        <f>-(E10+E9)/(E16-D16)</f>
        <v>6.6222143174060513</v>
      </c>
    </row>
    <row r="14" spans="1:100" s="269" customFormat="1">
      <c r="A14" s="269" t="s">
        <v>1973</v>
      </c>
      <c r="B14" s="327"/>
      <c r="C14" s="327"/>
      <c r="D14" s="327"/>
    </row>
    <row r="15" spans="1:100" s="198" customFormat="1">
      <c r="A15" s="305" t="s">
        <v>1963</v>
      </c>
      <c r="B15" s="326">
        <v>-2483.502</v>
      </c>
      <c r="C15" s="326">
        <v>-3773.1768000000002</v>
      </c>
      <c r="D15" s="326">
        <v>-5695.9920000000002</v>
      </c>
      <c r="E15" s="198">
        <f t="shared" ref="E15:J15" si="17">D19</f>
        <v>-8420.1323120000015</v>
      </c>
      <c r="F15" s="198">
        <f t="shared" si="17"/>
        <v>-11187.963413617999</v>
      </c>
      <c r="G15" s="198">
        <f t="shared" si="17"/>
        <v>-13707.967349864</v>
      </c>
      <c r="H15" s="198">
        <f t="shared" si="17"/>
        <v>-15651.465285845999</v>
      </c>
      <c r="I15" s="198">
        <f t="shared" si="17"/>
        <v>-18412.328238248865</v>
      </c>
      <c r="J15" s="198">
        <f t="shared" si="17"/>
        <v>-20750.638623082516</v>
      </c>
      <c r="K15" s="198">
        <f t="shared" ref="K15" si="18">J19</f>
        <v>-22757.447729529245</v>
      </c>
      <c r="L15" s="198">
        <f t="shared" ref="L15" si="19">K19</f>
        <v>-24738.69421686494</v>
      </c>
      <c r="M15" s="198">
        <f t="shared" ref="M15" si="20">L19</f>
        <v>-26606.274194095273</v>
      </c>
      <c r="N15" s="198">
        <f t="shared" ref="N15" si="21">M19</f>
        <v>-28505.432684661311</v>
      </c>
      <c r="O15" s="198">
        <f t="shared" ref="O15" si="22">N19</f>
        <v>-30777.068110820092</v>
      </c>
      <c r="V15" s="198" t="s">
        <v>1974</v>
      </c>
      <c r="W15" s="198">
        <f>239.852737241/Rev_Month!BB42*SUM(Rev_Month!BB42:BE42)</f>
        <v>395.61367815846216</v>
      </c>
      <c r="X15" s="198">
        <f>906</f>
        <v>906</v>
      </c>
    </row>
    <row r="16" spans="1:100" s="198" customFormat="1">
      <c r="A16" s="305" t="s">
        <v>1975</v>
      </c>
      <c r="B16" s="326">
        <v>-1380.694975594</v>
      </c>
      <c r="C16" s="326">
        <v>-2132.3760000000002</v>
      </c>
      <c r="D16" s="326">
        <v>-2857.4070000000002</v>
      </c>
      <c r="E16" s="198">
        <f>-'FS Year'!U242</f>
        <v>-3472.8918196270001</v>
      </c>
      <c r="F16" s="198">
        <f>-'FS Year'!V242</f>
        <v>-3313.7861854729999</v>
      </c>
      <c r="G16" s="198">
        <f>-'FS Year'!W242</f>
        <v>-2662.49892335</v>
      </c>
      <c r="H16" s="198">
        <f>H69+H63-AVERAGE(E121:F121)</f>
        <v>-2760.8629524028656</v>
      </c>
      <c r="I16" s="198">
        <f t="shared" ref="I16" si="23">I69+I63-AVERAGE(F121:H121)</f>
        <v>-2338.3103848336509</v>
      </c>
      <c r="J16" s="198">
        <f>J69+J63-AVERAGE(G121:I121)</f>
        <v>-2006.8091064467303</v>
      </c>
      <c r="K16" s="198">
        <f>K69+K63</f>
        <v>-1981.2464873356944</v>
      </c>
      <c r="L16" s="198">
        <f t="shared" ref="L16:O16" si="24">L69+L63</f>
        <v>-1867.5799772303337</v>
      </c>
      <c r="M16" s="198">
        <f t="shared" si="24"/>
        <v>-1899.1584905660379</v>
      </c>
      <c r="N16" s="198">
        <f t="shared" si="24"/>
        <v>-2271.6354261587803</v>
      </c>
      <c r="O16" s="198">
        <f t="shared" si="24"/>
        <v>-2084.5520608772035</v>
      </c>
      <c r="T16" s="203">
        <f>D22/E16</f>
        <v>-2.7547515145540933</v>
      </c>
      <c r="V16" s="198" t="s">
        <v>1976</v>
      </c>
      <c r="W16" s="198">
        <v>2022</v>
      </c>
    </row>
    <row r="17" spans="1:23" s="198" customFormat="1">
      <c r="A17" s="305" t="s">
        <v>1977</v>
      </c>
      <c r="B17" s="326">
        <v>90.92</v>
      </c>
      <c r="C17" s="326"/>
      <c r="D17" s="326">
        <v>-16.170000000000002</v>
      </c>
      <c r="V17" s="198">
        <f>Rev_Month!BB42</f>
        <v>-251</v>
      </c>
      <c r="W17" s="198">
        <f>SUM(Rev_Month!BB42:BE42)</f>
        <v>-414</v>
      </c>
    </row>
    <row r="18" spans="1:23" s="198" customFormat="1">
      <c r="A18" s="305" t="s">
        <v>1971</v>
      </c>
      <c r="B18" s="326"/>
      <c r="C18" s="326">
        <v>209.56100000000001</v>
      </c>
      <c r="D18" s="326">
        <v>149.436688</v>
      </c>
      <c r="E18" s="198">
        <f>-'FS Year'!U243</f>
        <v>704.84113254299996</v>
      </c>
      <c r="F18" s="198">
        <f>-'FS Year'!V243</f>
        <v>794.00243882799998</v>
      </c>
      <c r="G18" s="198">
        <f>-'FS Year'!W243</f>
        <v>719.00098736799998</v>
      </c>
      <c r="T18" s="198">
        <f>IF(F3-$E$3&lt;$AC$13,-(($E$9+$E$10)/$AC$13),0)</f>
        <v>-615.48481962699998</v>
      </c>
    </row>
    <row r="19" spans="1:23" s="198" customFormat="1">
      <c r="A19" s="305" t="s">
        <v>1964</v>
      </c>
      <c r="B19" s="326">
        <f>SUM(B15:B17)</f>
        <v>-3773.2769755939999</v>
      </c>
      <c r="C19" s="326">
        <f t="shared" ref="C19:J19" si="25">SUM(C15:C18)</f>
        <v>-5695.9918000000007</v>
      </c>
      <c r="D19" s="326">
        <f t="shared" si="25"/>
        <v>-8420.1323120000015</v>
      </c>
      <c r="E19" s="198">
        <f>'FS Year'!U70</f>
        <v>-11187.963413617999</v>
      </c>
      <c r="F19" s="198">
        <f>'FS Year'!V70</f>
        <v>-13707.967349864</v>
      </c>
      <c r="G19" s="198">
        <f>'FS Year'!W70</f>
        <v>-15651.465285845999</v>
      </c>
      <c r="H19" s="198">
        <f t="shared" si="25"/>
        <v>-18412.328238248865</v>
      </c>
      <c r="I19" s="198">
        <f t="shared" si="25"/>
        <v>-20750.638623082516</v>
      </c>
      <c r="J19" s="198">
        <f t="shared" si="25"/>
        <v>-22757.447729529245</v>
      </c>
      <c r="K19" s="198">
        <f t="shared" ref="K19:O19" si="26">SUM(K15:K18)</f>
        <v>-24738.69421686494</v>
      </c>
      <c r="L19" s="198">
        <f t="shared" si="26"/>
        <v>-26606.274194095273</v>
      </c>
      <c r="M19" s="198">
        <f t="shared" si="26"/>
        <v>-28505.432684661311</v>
      </c>
      <c r="N19" s="198">
        <f t="shared" si="26"/>
        <v>-30777.068110820092</v>
      </c>
      <c r="O19" s="198">
        <f t="shared" si="26"/>
        <v>-32861.620171697294</v>
      </c>
    </row>
    <row r="20" spans="1:23" s="269" customFormat="1">
      <c r="A20" s="269" t="s">
        <v>1978</v>
      </c>
      <c r="B20" s="327"/>
      <c r="C20" s="327"/>
      <c r="D20" s="327"/>
      <c r="T20" s="269">
        <f>IF(F3-E3&lt;E23,(E22/-E16),0)</f>
        <v>2.7796230079556006</v>
      </c>
    </row>
    <row r="21" spans="1:23" s="198" customFormat="1">
      <c r="A21" s="198" t="s">
        <v>1979</v>
      </c>
      <c r="B21" s="326">
        <v>3305.9234999999999</v>
      </c>
      <c r="C21" s="326">
        <v>6375.2790000000005</v>
      </c>
      <c r="D21" s="326">
        <v>7267.3190000000004</v>
      </c>
      <c r="E21" s="198">
        <f t="shared" ref="E21:J21" si="27">E8+E15</f>
        <v>9566.9555373549993</v>
      </c>
      <c r="F21" s="198">
        <f t="shared" si="27"/>
        <v>9653.3300059760004</v>
      </c>
      <c r="G21" s="198">
        <f t="shared" si="27"/>
        <v>6431.3153731130005</v>
      </c>
      <c r="H21" s="198">
        <f t="shared" si="27"/>
        <v>3523.1610979059988</v>
      </c>
      <c r="I21" s="198">
        <f t="shared" si="27"/>
        <v>3104.4902449768379</v>
      </c>
      <c r="J21" s="198">
        <f t="shared" si="27"/>
        <v>3033.0571681475194</v>
      </c>
      <c r="K21" s="198">
        <f t="shared" ref="K21:O21" si="28">K8+K15</f>
        <v>3055.5110992455084</v>
      </c>
      <c r="L21" s="198">
        <f t="shared" si="28"/>
        <v>3223.2839628734619</v>
      </c>
      <c r="M21" s="198">
        <f t="shared" si="28"/>
        <v>3035.1099340273977</v>
      </c>
      <c r="N21" s="198">
        <f t="shared" si="28"/>
        <v>2240.5350805142625</v>
      </c>
      <c r="O21" s="198">
        <f t="shared" si="28"/>
        <v>393.57196751734591</v>
      </c>
    </row>
    <row r="22" spans="1:23" s="198" customFormat="1">
      <c r="A22" s="198" t="s">
        <v>1980</v>
      </c>
      <c r="B22" s="326">
        <v>5375.2790000000005</v>
      </c>
      <c r="C22" s="326">
        <v>7267.3190000000004</v>
      </c>
      <c r="D22" s="326">
        <v>9566.9539999999997</v>
      </c>
      <c r="E22" s="198">
        <f t="shared" ref="E22:K22" si="29">E13+E19</f>
        <v>9653.3300059760004</v>
      </c>
      <c r="F22" s="198">
        <f t="shared" si="29"/>
        <v>6431.3153731130005</v>
      </c>
      <c r="G22" s="198">
        <f t="shared" si="29"/>
        <v>3523.1610979059988</v>
      </c>
      <c r="H22" s="198">
        <f>H13+H19</f>
        <v>3104.4902449768379</v>
      </c>
      <c r="I22" s="198">
        <f t="shared" si="29"/>
        <v>3033.0571681475194</v>
      </c>
      <c r="J22" s="198">
        <f t="shared" si="29"/>
        <v>3055.5110992455084</v>
      </c>
      <c r="K22" s="198">
        <f t="shared" si="29"/>
        <v>3223.2839628734619</v>
      </c>
      <c r="L22" s="198">
        <f t="shared" ref="L22:O22" si="30">L13+L19</f>
        <v>3035.1099340273977</v>
      </c>
      <c r="M22" s="198">
        <f t="shared" si="30"/>
        <v>2240.5350805142625</v>
      </c>
      <c r="N22" s="198">
        <f t="shared" si="30"/>
        <v>393.57196751734591</v>
      </c>
      <c r="O22" s="198">
        <f t="shared" si="30"/>
        <v>-1447.7905958441697</v>
      </c>
      <c r="R22" s="195">
        <f>9353.895/3023.865</f>
        <v>3.0933573423416725</v>
      </c>
    </row>
    <row r="23" spans="1:23" s="198" customFormat="1">
      <c r="B23" s="326"/>
      <c r="C23" s="326"/>
      <c r="D23" s="341">
        <f>-D22/D16</f>
        <v>3.3481243659023718</v>
      </c>
      <c r="E23" s="341">
        <f>-E22/E16</f>
        <v>2.7796230079556006</v>
      </c>
      <c r="F23" s="341">
        <f>-F22/F16</f>
        <v>1.9407756002202701</v>
      </c>
      <c r="G23" s="341">
        <f>-G22/G16</f>
        <v>1.3232535296101076</v>
      </c>
      <c r="R23" s="195"/>
    </row>
    <row r="24" spans="1:23" s="280" customFormat="1">
      <c r="A24" s="280" t="s">
        <v>1981</v>
      </c>
      <c r="B24" s="328"/>
      <c r="C24" s="328"/>
      <c r="D24" s="328"/>
    </row>
    <row r="25" spans="1:23" s="198" customFormat="1" outlineLevel="1">
      <c r="A25" s="305" t="s">
        <v>1963</v>
      </c>
      <c r="B25" s="326">
        <v>33.838000000000001</v>
      </c>
      <c r="C25" s="326">
        <v>34.851999999999997</v>
      </c>
      <c r="D25" s="326">
        <v>35.811</v>
      </c>
      <c r="E25" s="198">
        <f t="shared" ref="E25:J25" si="31">D30</f>
        <v>90.296695999999997</v>
      </c>
      <c r="F25" s="198">
        <f t="shared" si="31"/>
        <v>90.296695999999997</v>
      </c>
      <c r="G25" s="198">
        <f t="shared" si="31"/>
        <v>90.397505013070273</v>
      </c>
      <c r="H25" s="198">
        <f t="shared" si="31"/>
        <v>90.456009968998984</v>
      </c>
      <c r="I25" s="198">
        <f t="shared" si="31"/>
        <v>90.907530853817917</v>
      </c>
      <c r="J25" s="198">
        <f t="shared" si="31"/>
        <v>91.34453277527264</v>
      </c>
      <c r="K25" s="198">
        <f t="shared" ref="K25" si="32">J30</f>
        <v>91.735728118493398</v>
      </c>
      <c r="L25" s="198">
        <f t="shared" ref="L25" si="33">K30</f>
        <v>92.150009730602903</v>
      </c>
      <c r="M25" s="198">
        <f t="shared" ref="M25" si="34">L30</f>
        <v>92.473760656052207</v>
      </c>
      <c r="N25" s="198">
        <f t="shared" ref="N25" si="35">M30</f>
        <v>92.686699031717765</v>
      </c>
      <c r="O25" s="198">
        <f t="shared" ref="O25" si="36">N30</f>
        <v>92.768566107710399</v>
      </c>
      <c r="V25" s="198">
        <f>(68+14+30*2)</f>
        <v>142</v>
      </c>
    </row>
    <row r="26" spans="1:23" s="198" customFormat="1" outlineLevel="1">
      <c r="A26" s="305" t="s">
        <v>1965</v>
      </c>
      <c r="B26" s="326">
        <v>1.0137769999999999</v>
      </c>
      <c r="C26" s="326">
        <v>0.95899999999999996</v>
      </c>
      <c r="D26" s="326">
        <v>0.95899999999999996</v>
      </c>
      <c r="E26" s="198">
        <v>0</v>
      </c>
      <c r="F26" s="198">
        <f>F51</f>
        <v>0.10080901307027067</v>
      </c>
      <c r="G26" s="198">
        <f>G51</f>
        <v>5.8504955928718509E-2</v>
      </c>
      <c r="H26" s="198">
        <f>H51</f>
        <v>0.45152088481893821</v>
      </c>
      <c r="I26" s="198">
        <f>I51</f>
        <v>0.43700192145472683</v>
      </c>
      <c r="J26" s="198">
        <f>J51</f>
        <v>0.39119534322075566</v>
      </c>
      <c r="K26" s="198">
        <f t="shared" ref="K26:O26" si="37">K51</f>
        <v>0.41428161210951098</v>
      </c>
      <c r="L26" s="198">
        <f t="shared" si="37"/>
        <v>0.32375092544930106</v>
      </c>
      <c r="M26" s="198">
        <f t="shared" si="37"/>
        <v>0.2129383756655642</v>
      </c>
      <c r="N26" s="198">
        <f t="shared" si="37"/>
        <v>8.186707599262931E-2</v>
      </c>
      <c r="O26" s="198">
        <f t="shared" si="37"/>
        <v>4.6881354062132348E-2</v>
      </c>
    </row>
    <row r="27" spans="1:23" s="198" customFormat="1" outlineLevel="1">
      <c r="A27" s="305" t="s">
        <v>1967</v>
      </c>
      <c r="B27" s="326"/>
      <c r="C27" s="326"/>
      <c r="D27" s="326"/>
    </row>
    <row r="28" spans="1:23" s="198" customFormat="1" outlineLevel="1">
      <c r="A28" s="305" t="s">
        <v>1969</v>
      </c>
      <c r="B28" s="326"/>
      <c r="C28" s="326"/>
      <c r="D28" s="326">
        <v>53.526696000000001</v>
      </c>
    </row>
    <row r="29" spans="1:23" s="198" customFormat="1" outlineLevel="1">
      <c r="A29" s="305" t="s">
        <v>1971</v>
      </c>
      <c r="B29" s="326"/>
      <c r="C29" s="326"/>
      <c r="D29" s="326"/>
    </row>
    <row r="30" spans="1:23" s="198" customFormat="1" outlineLevel="1">
      <c r="A30" s="305" t="s">
        <v>1964</v>
      </c>
      <c r="B30" s="326">
        <f>SUM(B25:B29)</f>
        <v>34.851776999999998</v>
      </c>
      <c r="C30" s="326">
        <f>SUM(C25:C29)</f>
        <v>35.811</v>
      </c>
      <c r="D30" s="326">
        <f t="shared" ref="D30:J30" si="38">SUM(D25:D29)</f>
        <v>90.296695999999997</v>
      </c>
      <c r="E30" s="198">
        <f t="shared" si="38"/>
        <v>90.296695999999997</v>
      </c>
      <c r="F30" s="198">
        <f t="shared" si="38"/>
        <v>90.397505013070273</v>
      </c>
      <c r="G30" s="198">
        <f t="shared" si="38"/>
        <v>90.456009968998984</v>
      </c>
      <c r="H30" s="198">
        <f t="shared" si="38"/>
        <v>90.907530853817917</v>
      </c>
      <c r="I30" s="198">
        <f t="shared" si="38"/>
        <v>91.34453277527264</v>
      </c>
      <c r="J30" s="198">
        <f t="shared" si="38"/>
        <v>91.735728118493398</v>
      </c>
      <c r="K30" s="198">
        <f t="shared" ref="K30:O30" si="39">SUM(K25:K29)</f>
        <v>92.150009730602903</v>
      </c>
      <c r="L30" s="198">
        <f t="shared" si="39"/>
        <v>92.473760656052207</v>
      </c>
      <c r="M30" s="198">
        <f t="shared" si="39"/>
        <v>92.686699031717765</v>
      </c>
      <c r="N30" s="198">
        <f t="shared" si="39"/>
        <v>92.768566107710399</v>
      </c>
      <c r="O30" s="198">
        <f t="shared" si="39"/>
        <v>92.815447461772536</v>
      </c>
    </row>
    <row r="31" spans="1:23" s="198" customFormat="1" outlineLevel="1">
      <c r="A31" s="269" t="s">
        <v>1973</v>
      </c>
      <c r="B31" s="326"/>
      <c r="C31" s="326"/>
      <c r="D31" s="326"/>
    </row>
    <row r="32" spans="1:23" s="198" customFormat="1" outlineLevel="1">
      <c r="A32" s="305" t="s">
        <v>1963</v>
      </c>
      <c r="B32" s="326">
        <v>-5.6139999999999999</v>
      </c>
      <c r="C32" s="326">
        <v>-6.3540000000000001</v>
      </c>
      <c r="D32" s="326">
        <v>-8.1692599700000006</v>
      </c>
      <c r="E32" s="198">
        <f t="shared" ref="E32:J32" si="40">D36</f>
        <v>-10.08383197</v>
      </c>
      <c r="F32" s="198">
        <f t="shared" si="40"/>
        <v>-16.124831970000002</v>
      </c>
      <c r="G32" s="198">
        <f t="shared" si="40"/>
        <v>-22.165831970000003</v>
      </c>
      <c r="H32" s="198">
        <f t="shared" si="40"/>
        <v>-28.206831970000003</v>
      </c>
      <c r="I32" s="198">
        <f t="shared" si="40"/>
        <v>-34.247831970000007</v>
      </c>
      <c r="J32" s="198">
        <f t="shared" si="40"/>
        <v>-40.288831970000011</v>
      </c>
      <c r="K32" s="198">
        <f t="shared" ref="K32" si="41">J36</f>
        <v>-46.329831970000015</v>
      </c>
      <c r="L32" s="198">
        <f t="shared" ref="L32" si="42">K36</f>
        <v>-52.370831970000012</v>
      </c>
      <c r="M32" s="198">
        <f t="shared" ref="M32" si="43">L36</f>
        <v>-58.411831970000009</v>
      </c>
      <c r="N32" s="198">
        <f t="shared" ref="N32" si="44">M36</f>
        <v>-64.452831970000005</v>
      </c>
      <c r="O32" s="198">
        <f t="shared" ref="O32" si="45">N36</f>
        <v>-70.493831970000002</v>
      </c>
    </row>
    <row r="33" spans="1:40" s="198" customFormat="1" outlineLevel="1">
      <c r="A33" s="305" t="s">
        <v>1975</v>
      </c>
      <c r="B33" s="326">
        <v>-0.74</v>
      </c>
      <c r="C33" s="326">
        <v>-1.8140000000000001</v>
      </c>
      <c r="D33" s="326">
        <v>-1.9145719999999999</v>
      </c>
      <c r="E33" s="198">
        <v>-6.0410000000000004</v>
      </c>
      <c r="F33" s="198">
        <f>-E39/-(E39/E33)</f>
        <v>-6.0410000000000004</v>
      </c>
      <c r="G33" s="198">
        <f>-F39/-(F39/F33)</f>
        <v>-6.0410000000000004</v>
      </c>
      <c r="H33" s="198">
        <f>-G39/-(G39/G33)</f>
        <v>-6.0410000000000013</v>
      </c>
      <c r="I33" s="198">
        <f>-H39/-(H39/H33)</f>
        <v>-6.0410000000000013</v>
      </c>
      <c r="J33" s="198">
        <f>-I39/-(I39/I33)</f>
        <v>-6.0410000000000004</v>
      </c>
      <c r="K33" s="198">
        <f t="shared" ref="K33:O33" si="46">-J39/-(J39/J33)</f>
        <v>-6.0410000000000004</v>
      </c>
      <c r="L33" s="198">
        <f t="shared" si="46"/>
        <v>-6.0410000000000004</v>
      </c>
      <c r="M33" s="198">
        <f t="shared" si="46"/>
        <v>-6.0409999999999995</v>
      </c>
      <c r="N33" s="198">
        <f t="shared" si="46"/>
        <v>-6.0409999999999995</v>
      </c>
      <c r="O33" s="198">
        <f t="shared" si="46"/>
        <v>-6.0409999999999995</v>
      </c>
    </row>
    <row r="34" spans="1:40" s="198" customFormat="1" outlineLevel="1">
      <c r="A34" s="305" t="s">
        <v>1977</v>
      </c>
      <c r="B34" s="326"/>
      <c r="C34" s="326"/>
      <c r="D34" s="326"/>
    </row>
    <row r="35" spans="1:40" s="198" customFormat="1" outlineLevel="1">
      <c r="A35" s="305" t="s">
        <v>1971</v>
      </c>
      <c r="B35" s="326"/>
      <c r="C35" s="326"/>
      <c r="D35" s="326"/>
    </row>
    <row r="36" spans="1:40" s="198" customFormat="1" outlineLevel="1">
      <c r="A36" s="305" t="s">
        <v>1964</v>
      </c>
      <c r="B36" s="326">
        <f>B32+B33</f>
        <v>-6.3540000000000001</v>
      </c>
      <c r="C36" s="326">
        <f>C32+C33</f>
        <v>-8.1679999999999993</v>
      </c>
      <c r="D36" s="326">
        <f t="shared" ref="D36:J36" si="47">SUM(D32:D33)</f>
        <v>-10.08383197</v>
      </c>
      <c r="E36" s="198">
        <f t="shared" si="47"/>
        <v>-16.124831970000002</v>
      </c>
      <c r="F36" s="198">
        <f t="shared" si="47"/>
        <v>-22.165831970000003</v>
      </c>
      <c r="G36" s="198">
        <f t="shared" si="47"/>
        <v>-28.206831970000003</v>
      </c>
      <c r="H36" s="198">
        <f t="shared" si="47"/>
        <v>-34.247831970000007</v>
      </c>
      <c r="I36" s="198">
        <f t="shared" si="47"/>
        <v>-40.288831970000011</v>
      </c>
      <c r="J36" s="198">
        <f t="shared" si="47"/>
        <v>-46.329831970000015</v>
      </c>
      <c r="K36" s="198">
        <f t="shared" ref="K36:O36" si="48">SUM(K32:K33)</f>
        <v>-52.370831970000012</v>
      </c>
      <c r="L36" s="198">
        <f t="shared" si="48"/>
        <v>-58.411831970000009</v>
      </c>
      <c r="M36" s="198">
        <f t="shared" si="48"/>
        <v>-64.452831970000005</v>
      </c>
      <c r="N36" s="198">
        <f t="shared" si="48"/>
        <v>-70.493831970000002</v>
      </c>
      <c r="O36" s="198">
        <f t="shared" si="48"/>
        <v>-76.534831969999999</v>
      </c>
    </row>
    <row r="37" spans="1:40" s="198" customFormat="1" outlineLevel="1">
      <c r="A37" s="269" t="s">
        <v>1978</v>
      </c>
      <c r="B37" s="326"/>
      <c r="C37" s="326"/>
      <c r="D37" s="326"/>
    </row>
    <row r="38" spans="1:40" s="198" customFormat="1" outlineLevel="1">
      <c r="A38" s="198" t="s">
        <v>1979</v>
      </c>
      <c r="B38" s="326">
        <v>28.224</v>
      </c>
      <c r="C38" s="326">
        <v>28.497800000000002</v>
      </c>
      <c r="D38" s="326">
        <v>27.641999999999999</v>
      </c>
      <c r="E38" s="198">
        <f t="shared" ref="E38:J38" si="49">E25+E32</f>
        <v>80.212864029999992</v>
      </c>
      <c r="F38" s="198">
        <f t="shared" si="49"/>
        <v>74.171864029999995</v>
      </c>
      <c r="G38" s="198">
        <f t="shared" si="49"/>
        <v>68.231673043070273</v>
      </c>
      <c r="H38" s="198">
        <f t="shared" si="49"/>
        <v>62.249177998998981</v>
      </c>
      <c r="I38" s="198">
        <f t="shared" si="49"/>
        <v>56.65969888381791</v>
      </c>
      <c r="J38" s="198">
        <f t="shared" si="49"/>
        <v>51.055700805272629</v>
      </c>
      <c r="K38" s="198">
        <f t="shared" ref="K38:O38" si="50">K25+K32</f>
        <v>45.405896148493383</v>
      </c>
      <c r="L38" s="198">
        <f t="shared" si="50"/>
        <v>39.779177760602892</v>
      </c>
      <c r="M38" s="198">
        <f t="shared" si="50"/>
        <v>34.061928686052198</v>
      </c>
      <c r="N38" s="198">
        <f t="shared" si="50"/>
        <v>28.23386706171776</v>
      </c>
      <c r="O38" s="198">
        <f t="shared" si="50"/>
        <v>22.274734137710396</v>
      </c>
    </row>
    <row r="39" spans="1:40" s="198" customFormat="1" outlineLevel="1">
      <c r="A39" s="198" t="s">
        <v>1980</v>
      </c>
      <c r="B39" s="326">
        <v>28.497800000000002</v>
      </c>
      <c r="C39" s="326">
        <v>27.641999999999999</v>
      </c>
      <c r="D39" s="326">
        <v>80.213939999999994</v>
      </c>
      <c r="E39" s="198">
        <f t="shared" ref="E39:J39" si="51">E30+E36</f>
        <v>74.171864029999995</v>
      </c>
      <c r="F39" s="198">
        <f t="shared" si="51"/>
        <v>68.231673043070273</v>
      </c>
      <c r="G39" s="198">
        <f t="shared" si="51"/>
        <v>62.249177998998981</v>
      </c>
      <c r="H39" s="198">
        <f t="shared" si="51"/>
        <v>56.65969888381791</v>
      </c>
      <c r="I39" s="198">
        <f t="shared" si="51"/>
        <v>51.055700805272629</v>
      </c>
      <c r="J39" s="198">
        <f t="shared" si="51"/>
        <v>45.405896148493383</v>
      </c>
      <c r="K39" s="198">
        <f t="shared" ref="K39:O39" si="52">K30+K36</f>
        <v>39.779177760602892</v>
      </c>
      <c r="L39" s="198">
        <f t="shared" si="52"/>
        <v>34.061928686052198</v>
      </c>
      <c r="M39" s="198">
        <f t="shared" si="52"/>
        <v>28.23386706171776</v>
      </c>
      <c r="N39" s="198">
        <f t="shared" si="52"/>
        <v>22.274734137710396</v>
      </c>
      <c r="O39" s="198">
        <f t="shared" si="52"/>
        <v>16.280615491772537</v>
      </c>
    </row>
    <row r="40" spans="1:40" s="280" customFormat="1" ht="16.5" customHeight="1">
      <c r="A40" s="280" t="s">
        <v>1982</v>
      </c>
      <c r="B40" s="328">
        <f>'FS Year'!R81</f>
        <v>87.43043831</v>
      </c>
      <c r="C40" s="328">
        <f>'FS Year'!S81</f>
        <v>132.62036247</v>
      </c>
      <c r="D40" s="328">
        <f>'FS Year'!T81</f>
        <v>79.697939172000005</v>
      </c>
      <c r="E40" s="328">
        <f>'FS Year'!U81</f>
        <v>69.320373958000005</v>
      </c>
      <c r="F40" s="328">
        <f>'FS Year'!V81</f>
        <v>4.4938569340000001</v>
      </c>
      <c r="G40" s="328">
        <f>'FS Year'!W81</f>
        <v>24.526423340000001</v>
      </c>
      <c r="H40" s="280">
        <f>G40</f>
        <v>24.526423340000001</v>
      </c>
      <c r="I40" s="280">
        <f>H40</f>
        <v>24.526423340000001</v>
      </c>
      <c r="J40" s="280">
        <f>I40</f>
        <v>24.526423340000001</v>
      </c>
      <c r="K40" s="280">
        <f t="shared" ref="K40:O40" si="53">J40</f>
        <v>24.526423340000001</v>
      </c>
      <c r="L40" s="280">
        <f t="shared" si="53"/>
        <v>24.526423340000001</v>
      </c>
      <c r="M40" s="280">
        <f t="shared" si="53"/>
        <v>24.526423340000001</v>
      </c>
      <c r="N40" s="280">
        <f t="shared" si="53"/>
        <v>24.526423340000001</v>
      </c>
      <c r="O40" s="280">
        <f t="shared" si="53"/>
        <v>24.526423340000001</v>
      </c>
      <c r="V40" s="198" t="s">
        <v>1964</v>
      </c>
    </row>
    <row r="41" spans="1:40" s="270" customFormat="1">
      <c r="A41" s="307" t="s">
        <v>1983</v>
      </c>
      <c r="B41" s="327">
        <f t="shared" ref="B41:K41" si="54">SUMIF(B42:B45,"&gt;0",B42:B45)</f>
        <v>871</v>
      </c>
      <c r="C41" s="327">
        <f t="shared" si="54"/>
        <v>1120</v>
      </c>
      <c r="D41" s="327">
        <f t="shared" si="54"/>
        <v>1009</v>
      </c>
      <c r="E41" s="270">
        <f>SUMIF(E42:E45,"&gt;0",E42:E45)</f>
        <v>1045</v>
      </c>
      <c r="F41" s="270">
        <f>SUMIF(F42:F45,"&gt;0",F42:F45)</f>
        <v>0</v>
      </c>
      <c r="G41" s="270">
        <f t="shared" si="54"/>
        <v>72</v>
      </c>
      <c r="H41" s="270">
        <f>SUMIF(H42:H45,"&gt;0",H42:H45)</f>
        <v>797</v>
      </c>
      <c r="I41" s="270">
        <f t="shared" si="54"/>
        <v>810</v>
      </c>
      <c r="J41" s="270">
        <f t="shared" si="54"/>
        <v>715</v>
      </c>
      <c r="K41" s="270">
        <f t="shared" si="54"/>
        <v>743</v>
      </c>
      <c r="L41" s="270">
        <f t="shared" ref="L41:O41" si="55">SUMIF(L42:L45,"&gt;0",L42:L45)</f>
        <v>637</v>
      </c>
      <c r="M41" s="270">
        <f>SUMIF(M42:M45,"&gt;0",M42:M45)</f>
        <v>405</v>
      </c>
      <c r="N41" s="270">
        <f t="shared" si="55"/>
        <v>0</v>
      </c>
      <c r="O41" s="270">
        <f t="shared" si="55"/>
        <v>0.21564102564102566</v>
      </c>
      <c r="V41" s="198" t="s">
        <v>1966</v>
      </c>
      <c r="AF41" s="270">
        <f>AF59-AE59</f>
        <v>275.33333333333394</v>
      </c>
      <c r="AG41" s="270">
        <f>AG59-AF59</f>
        <v>268.33333333333303</v>
      </c>
      <c r="AH41" s="270">
        <f>AH59-AG59</f>
        <v>185</v>
      </c>
      <c r="AI41" s="270">
        <f>AI59-AH59</f>
        <v>397</v>
      </c>
      <c r="AJ41" s="270">
        <f>AJ59-AI59</f>
        <v>352</v>
      </c>
    </row>
    <row r="42" spans="1:40" s="198" customFormat="1">
      <c r="A42" s="305" t="str">
        <f>Rev_Year!A59</f>
        <v>Mobile (TGDĐ)</v>
      </c>
      <c r="B42" s="326">
        <f>Rev_Year!F64-Rev_Year!E64</f>
        <v>-36</v>
      </c>
      <c r="C42" s="326">
        <f>Rev_Year!G64-Rev_Year!F64</f>
        <v>-83</v>
      </c>
      <c r="D42" s="326">
        <f>Rev_Year!H64-Rev_Year!G64</f>
        <v>57</v>
      </c>
      <c r="E42" s="198">
        <f>Rev_Year!I64-Rev_Year!H64</f>
        <v>220</v>
      </c>
      <c r="F42" s="198">
        <f>Rev_Year!J65</f>
        <v>-89</v>
      </c>
      <c r="G42" s="198">
        <f>Rev_Year!K65</f>
        <v>-46</v>
      </c>
      <c r="H42" s="198">
        <f>Rev_Year!L65</f>
        <v>-8</v>
      </c>
      <c r="I42" s="198">
        <f>Rev_Year!M65</f>
        <v>0</v>
      </c>
      <c r="J42" s="198">
        <f>Rev_Year!N65</f>
        <v>0</v>
      </c>
      <c r="K42" s="198">
        <f>Rev_Year!O65</f>
        <v>0</v>
      </c>
      <c r="L42" s="198">
        <f>Rev_Year!P65</f>
        <v>0</v>
      </c>
      <c r="M42" s="198">
        <f>Rev_Year!Q65</f>
        <v>0</v>
      </c>
      <c r="N42" s="198">
        <f>Rev_Year!R65</f>
        <v>0</v>
      </c>
      <c r="O42" s="198">
        <f>Rev_Year!S65</f>
        <v>0</v>
      </c>
      <c r="V42" s="198" t="s">
        <v>1968</v>
      </c>
      <c r="AK42" s="198">
        <f>AVERAGE(AF47:AJ47)*(SUM(AK54:AK56,AK58)-SUM(AJ54:AJ56,AJ58))</f>
        <v>549.92263427752323</v>
      </c>
      <c r="AL42" s="198">
        <f>AVERAGE(AF47:AJ47)*(SUM(AL54:AL56,AL58)-SUM(AJ54:AJ56,AJ58))</f>
        <v>2299.3458293005951</v>
      </c>
    </row>
    <row r="43" spans="1:40" s="198" customFormat="1">
      <c r="A43" s="305" t="str">
        <f>Rev_Year!A71</f>
        <v>CE (ĐMX)</v>
      </c>
      <c r="B43" s="326">
        <f>Rev_Year!F76-Rev_Year!E76</f>
        <v>268</v>
      </c>
      <c r="C43" s="326">
        <f>Rev_Year!G76-Rev_Year!F76</f>
        <v>409</v>
      </c>
      <c r="D43" s="326">
        <f>Rev_Year!H76-Rev_Year!G76</f>
        <v>565</v>
      </c>
      <c r="E43" s="198">
        <f>Rev_Year!I76-Rev_Year!H76</f>
        <v>292</v>
      </c>
      <c r="F43" s="198">
        <f>Rev_Year!J77</f>
        <v>-136</v>
      </c>
      <c r="G43" s="198">
        <f>Rev_Year!K77</f>
        <v>-158</v>
      </c>
      <c r="H43" s="198">
        <f>Rev_Year!L77</f>
        <v>-9</v>
      </c>
      <c r="I43" s="198">
        <f>Rev_Year!M77</f>
        <v>0</v>
      </c>
      <c r="J43" s="198">
        <f>Rev_Year!N77</f>
        <v>0</v>
      </c>
      <c r="K43" s="198">
        <f>Rev_Year!O77</f>
        <v>0</v>
      </c>
      <c r="L43" s="198">
        <f>Rev_Year!P77</f>
        <v>0</v>
      </c>
      <c r="M43" s="198">
        <f>Rev_Year!Q77</f>
        <v>0</v>
      </c>
      <c r="N43" s="198">
        <f>Rev_Year!R77</f>
        <v>0</v>
      </c>
      <c r="O43" s="198">
        <f>Rev_Year!S77</f>
        <v>0</v>
      </c>
      <c r="V43" s="198" t="s">
        <v>1970</v>
      </c>
      <c r="AK43" s="198">
        <f>AK46-AK42</f>
        <v>694.97312376447667</v>
      </c>
      <c r="AL43" s="198">
        <f>AL46-AL42</f>
        <v>-392.59851130059519</v>
      </c>
    </row>
    <row r="44" spans="1:40" s="198" customFormat="1">
      <c r="A44" s="305" t="str">
        <f>Rev_Year!A102</f>
        <v>Grocery (BHX)</v>
      </c>
      <c r="B44" s="326">
        <f>Rev_Year!F107-Rev_Year!E107</f>
        <v>603</v>
      </c>
      <c r="C44" s="326">
        <f>Rev_Year!G107-Rev_Year!F107</f>
        <v>711</v>
      </c>
      <c r="D44" s="326">
        <f>Rev_Year!H107-Rev_Year!G107</f>
        <v>387</v>
      </c>
      <c r="E44" s="198">
        <f>IF(Rev_Year!I107-Rev_Year!H107&lt;0,0,Rev_Year!I107-Rev_Year!H107)</f>
        <v>0</v>
      </c>
      <c r="F44" s="198">
        <f>Rev_Month!BJ42+SUM(Rev_Month!BM42:BU42)</f>
        <v>-2</v>
      </c>
      <c r="G44" s="198">
        <f>Rev_Year!K107-Rev_Year!J107</f>
        <v>72</v>
      </c>
      <c r="H44" s="198">
        <f>Rev_Year!L107-Rev_Year!K107</f>
        <v>767</v>
      </c>
      <c r="I44" s="198">
        <f>Rev_Year!M107-Rev_Year!L107</f>
        <v>810</v>
      </c>
      <c r="J44" s="198">
        <f>Rev_Year!N107-Rev_Year!M107</f>
        <v>715</v>
      </c>
      <c r="K44" s="198">
        <f>Rev_Year!O107-Rev_Year!N107</f>
        <v>690</v>
      </c>
      <c r="L44" s="198">
        <f>Rev_Year!P107-Rev_Year!O107</f>
        <v>575</v>
      </c>
      <c r="M44" s="198">
        <f>Rev_Year!Q107-Rev_Year!P107</f>
        <v>345</v>
      </c>
      <c r="N44" s="198">
        <f>Rev_Year!R107-Rev_Year!Q107</f>
        <v>-5671.7823076923078</v>
      </c>
      <c r="O44" s="198">
        <f>Rev_Year!S107-Rev_Year!R107</f>
        <v>0.21564102564102566</v>
      </c>
      <c r="V44" s="198" t="str">
        <f>A41</f>
        <v>New store</v>
      </c>
      <c r="W44" s="198">
        <v>2990.317</v>
      </c>
      <c r="X44" s="198">
        <v>57.037999999999997</v>
      </c>
      <c r="Y44" s="198">
        <v>458.64789999999999</v>
      </c>
      <c r="AC44" s="198">
        <v>3506.0038</v>
      </c>
      <c r="AK44" s="340">
        <f>AK43/1500</f>
        <v>0.46331541584298447</v>
      </c>
    </row>
    <row r="45" spans="1:40">
      <c r="A45" s="305" t="str">
        <f>Rev_Year!A165</f>
        <v>Pharmacity (An Khang)</v>
      </c>
      <c r="B45" s="329">
        <f>Rev_Year!F167-Rev_Year!E167</f>
        <v>0</v>
      </c>
      <c r="C45" s="329">
        <f>Rev_Year!G167-Rev_Year!F167</f>
        <v>0</v>
      </c>
      <c r="D45" s="329">
        <f>Rev_Year!H167-Rev_Year!G167</f>
        <v>0</v>
      </c>
      <c r="E45" s="112">
        <f>Rev_Year!I167-Rev_Year!H167</f>
        <v>533</v>
      </c>
      <c r="F45" s="198">
        <f>Rev_Year!J167-Rev_Year!I167</f>
        <v>-2</v>
      </c>
      <c r="G45" s="198">
        <f>Rev_Year!K167-Rev_Year!J167</f>
        <v>-205</v>
      </c>
      <c r="H45" s="198">
        <f>Rev_Year!L167-Rev_Year!K167</f>
        <v>30</v>
      </c>
      <c r="I45" s="198">
        <f>Rev_Year!M167-Rev_Year!L167</f>
        <v>0</v>
      </c>
      <c r="J45" s="198">
        <f>Rev_Year!N167-Rev_Year!M167</f>
        <v>0</v>
      </c>
      <c r="K45" s="198">
        <f>Rev_Year!O167-Rev_Year!N167</f>
        <v>53</v>
      </c>
      <c r="L45" s="198">
        <f>Rev_Year!P167-Rev_Year!O167</f>
        <v>62</v>
      </c>
      <c r="M45" s="198">
        <f>Rev_Year!Q167-Rev_Year!P167</f>
        <v>60</v>
      </c>
      <c r="N45" s="198">
        <f>Rev_Year!R167-Rev_Year!Q167</f>
        <v>-531</v>
      </c>
      <c r="O45" s="198">
        <f>Rev_Year!S167-Rev_Year!R167</f>
        <v>0</v>
      </c>
      <c r="P45" s="198"/>
      <c r="Q45" s="198"/>
      <c r="S45" s="112">
        <f>500/150</f>
        <v>3.3333333333333335</v>
      </c>
      <c r="V45" s="198" t="s">
        <v>1972</v>
      </c>
      <c r="W45" s="202">
        <f>W44/$AC$44</f>
        <v>0.85291322274094516</v>
      </c>
      <c r="X45" s="202">
        <f>X44/$AC$44</f>
        <v>1.626866462609082E-2</v>
      </c>
      <c r="Y45" s="202">
        <f>Y44/$AC$44</f>
        <v>0.13081785593044709</v>
      </c>
    </row>
    <row r="46" spans="1:40" s="281" customFormat="1">
      <c r="A46" s="281" t="s">
        <v>285</v>
      </c>
      <c r="B46" s="330">
        <f>-'FS Year'!R177</f>
        <v>3066.9211641400002</v>
      </c>
      <c r="C46" s="330">
        <f>-'FS Year'!S177</f>
        <v>3911.3581600020002</v>
      </c>
      <c r="D46" s="330">
        <f>-'FS Year'!T177</f>
        <v>4976.8765900159997</v>
      </c>
      <c r="E46" s="330">
        <f>-'FS Year'!U177</f>
        <v>4411.5596853890002</v>
      </c>
      <c r="F46" s="330">
        <f>-'FS Year'!V177</f>
        <v>523.38333079400002</v>
      </c>
      <c r="G46" s="330">
        <f>-'FS Year'!W177</f>
        <v>303.747827395</v>
      </c>
      <c r="H46" s="280">
        <f>H61+H67</f>
        <v>2344.2200000000003</v>
      </c>
      <c r="I46" s="280">
        <f t="shared" ref="I46:K46" si="56">I61+I67</f>
        <v>2268.84</v>
      </c>
      <c r="J46" s="280">
        <f t="shared" si="56"/>
        <v>2031.02</v>
      </c>
      <c r="K46" s="280">
        <f t="shared" si="56"/>
        <v>2150.88</v>
      </c>
      <c r="L46" s="280">
        <f t="shared" ref="L46:O46" si="57">L61+L67</f>
        <v>1680.8600000000001</v>
      </c>
      <c r="M46" s="280">
        <f t="shared" si="57"/>
        <v>1105.54</v>
      </c>
      <c r="N46" s="280">
        <f t="shared" si="57"/>
        <v>425.03999999999996</v>
      </c>
      <c r="O46" s="280">
        <f t="shared" si="57"/>
        <v>243.40005416051207</v>
      </c>
      <c r="P46" s="280"/>
      <c r="Q46" s="280"/>
      <c r="AE46" s="280">
        <f>-'FS Quarter'!BA181</f>
        <v>1243.044895261</v>
      </c>
      <c r="AF46" s="280">
        <f>-'FS Quarter'!BB181</f>
        <v>889.59682549000001</v>
      </c>
      <c r="AG46" s="280">
        <f>-'FS Quarter'!BC181</f>
        <v>1451.652365381</v>
      </c>
      <c r="AH46" s="280">
        <f>-'FS Quarter'!BD181</f>
        <v>1321.8980671060001</v>
      </c>
      <c r="AI46" s="280">
        <f>-'FS Quarter'!BE181</f>
        <v>1300.7361207219999</v>
      </c>
      <c r="AJ46" s="280">
        <f>-'FS Quarter'!BF181</f>
        <v>661.85156050099999</v>
      </c>
      <c r="AK46" s="280">
        <f>-'FS Quarter'!BG181</f>
        <v>1244.8957580419999</v>
      </c>
      <c r="AL46" s="280">
        <v>1906.747318</v>
      </c>
      <c r="AM46" s="280">
        <f>-'FS Quarter'!BT181</f>
        <v>119.682197534</v>
      </c>
      <c r="AN46" s="280">
        <f>-'FS Quarter'!BU181</f>
        <v>0</v>
      </c>
    </row>
    <row r="47" spans="1:40" s="238" customFormat="1">
      <c r="A47" s="286" t="s">
        <v>1984</v>
      </c>
      <c r="B47" s="331">
        <f>B46/B41</f>
        <v>3.5211494421814011</v>
      </c>
      <c r="C47" s="331">
        <f>C46/C41</f>
        <v>3.4922840714303574</v>
      </c>
      <c r="D47" s="331">
        <f>D46/D41</f>
        <v>4.9324842319286422</v>
      </c>
      <c r="E47" s="331">
        <f>E46/E41</f>
        <v>4.221588215683254</v>
      </c>
      <c r="F47" s="312">
        <f>E47</f>
        <v>4.221588215683254</v>
      </c>
      <c r="G47" s="312">
        <f>G46/G41</f>
        <v>4.218719824930556</v>
      </c>
      <c r="H47" s="312">
        <f>500/150</f>
        <v>3.3333333333333335</v>
      </c>
      <c r="I47" s="312">
        <f>H47*1.01</f>
        <v>3.3666666666666667</v>
      </c>
      <c r="J47" s="312">
        <f>I47*1.01</f>
        <v>3.4003333333333332</v>
      </c>
      <c r="K47" s="312">
        <f t="shared" ref="K47" si="58">500/150</f>
        <v>3.3333333333333335</v>
      </c>
      <c r="L47" s="312">
        <f t="shared" ref="L47:M47" si="59">K47*1.01</f>
        <v>3.3666666666666667</v>
      </c>
      <c r="M47" s="312">
        <f t="shared" si="59"/>
        <v>3.4003333333333332</v>
      </c>
      <c r="N47" s="312">
        <f t="shared" ref="N47" si="60">500/150</f>
        <v>3.3333333333333335</v>
      </c>
      <c r="O47" s="312">
        <f t="shared" ref="O47" si="61">N47*1.01</f>
        <v>3.3666666666666667</v>
      </c>
      <c r="P47" s="312"/>
      <c r="Q47" s="312"/>
      <c r="AE47" s="238" t="e">
        <f>AE46/AE60</f>
        <v>#DIV/0!</v>
      </c>
      <c r="AF47" s="221">
        <f t="shared" ref="AF47:AK47" si="62">AVERAGE(AE46:AF46)/AF60</f>
        <v>3.872836054632558</v>
      </c>
      <c r="AG47" s="221">
        <f t="shared" si="62"/>
        <v>4.362576132057769</v>
      </c>
      <c r="AH47" s="221">
        <f t="shared" si="62"/>
        <v>7.4960822499648643</v>
      </c>
      <c r="AI47" s="221">
        <f t="shared" si="62"/>
        <v>3.3030657277430731</v>
      </c>
      <c r="AJ47" s="221">
        <f t="shared" si="62"/>
        <v>2.7877665926463067</v>
      </c>
      <c r="AK47" s="221">
        <f t="shared" si="62"/>
        <v>59.585853704468747</v>
      </c>
    </row>
    <row r="48" spans="1:40">
      <c r="A48" s="305" t="str">
        <f>W7</f>
        <v>Buldings and structures</v>
      </c>
      <c r="B48" s="324"/>
      <c r="C48" s="324"/>
      <c r="D48" s="324">
        <f t="shared" ref="D48:J48" si="63">$W$13*D$46</f>
        <v>4244.9171743506358</v>
      </c>
      <c r="E48" s="197">
        <f t="shared" si="63"/>
        <v>3762.742582717015</v>
      </c>
      <c r="F48" s="197">
        <f t="shared" si="63"/>
        <v>446.40827424036007</v>
      </c>
      <c r="G48" s="197">
        <f t="shared" si="63"/>
        <v>259.07501338637428</v>
      </c>
      <c r="H48" s="197">
        <f t="shared" si="63"/>
        <v>1999.4507716785192</v>
      </c>
      <c r="I48" s="197">
        <f t="shared" si="63"/>
        <v>1935.1570623981927</v>
      </c>
      <c r="J48" s="197">
        <f t="shared" si="63"/>
        <v>1732.3137360377889</v>
      </c>
      <c r="K48" s="197">
        <f t="shared" ref="K48:O48" si="64">$W$13*K$46</f>
        <v>1834.5456807756495</v>
      </c>
      <c r="L48" s="197">
        <f t="shared" si="64"/>
        <v>1433.6524831643599</v>
      </c>
      <c r="M48" s="197">
        <f t="shared" si="64"/>
        <v>942.94597184627287</v>
      </c>
      <c r="N48" s="197">
        <f t="shared" si="64"/>
        <v>362.5284981760405</v>
      </c>
      <c r="O48" s="197">
        <f t="shared" si="64"/>
        <v>207.60271054671881</v>
      </c>
      <c r="P48" s="197"/>
      <c r="Q48" s="197"/>
      <c r="AE48" s="198">
        <f>AVERAGEIF(Rev_Month!$AI$1:$CF$1,'Fixed Asset &amp; Interest'!AE1,Rev_Month!$AI$23:$CF$23)</f>
        <v>1299.6666666666667</v>
      </c>
    </row>
    <row r="49" spans="1:40">
      <c r="A49" s="305" t="str">
        <f>X7</f>
        <v>Means of transportation</v>
      </c>
      <c r="D49" s="324">
        <f t="shared" ref="D49:J49" si="65">$X$13*D$46</f>
        <v>79.762519275438009</v>
      </c>
      <c r="E49" s="197">
        <f t="shared" si="65"/>
        <v>70.702398999902499</v>
      </c>
      <c r="F49" s="197">
        <f t="shared" si="65"/>
        <v>8.3880667434362017</v>
      </c>
      <c r="G49" s="197">
        <f t="shared" si="65"/>
        <v>4.8680515779854243</v>
      </c>
      <c r="H49" s="197">
        <f t="shared" si="65"/>
        <v>37.569927554757029</v>
      </c>
      <c r="I49" s="197">
        <f t="shared" si="65"/>
        <v>36.361840797081733</v>
      </c>
      <c r="J49" s="197">
        <f t="shared" si="65"/>
        <v>32.550389580441518</v>
      </c>
      <c r="K49" s="197">
        <f t="shared" ref="K49:O49" si="66">$X$13*K$46</f>
        <v>34.471340479552175</v>
      </c>
      <c r="L49" s="197">
        <f t="shared" si="66"/>
        <v>26.938507661264261</v>
      </c>
      <c r="M49" s="197">
        <f t="shared" si="66"/>
        <v>17.718071558508196</v>
      </c>
      <c r="N49" s="197">
        <f t="shared" si="66"/>
        <v>6.8119553659101646</v>
      </c>
      <c r="O49" s="197">
        <f t="shared" si="66"/>
        <v>3.900880634767375</v>
      </c>
      <c r="P49" s="197"/>
      <c r="Q49" s="197"/>
    </row>
    <row r="50" spans="1:40">
      <c r="A50" s="305" t="str">
        <f>Y7</f>
        <v>OE</v>
      </c>
      <c r="D50" s="324">
        <f t="shared" ref="D50:J50" si="67">$Y$13*D$46</f>
        <v>647.89157920288665</v>
      </c>
      <c r="E50" s="197">
        <f t="shared" si="67"/>
        <v>574.29842183514552</v>
      </c>
      <c r="F50" s="197">
        <f t="shared" si="67"/>
        <v>68.134229688725597</v>
      </c>
      <c r="G50" s="197">
        <f t="shared" si="67"/>
        <v>39.542001094658396</v>
      </c>
      <c r="H50" s="197">
        <f t="shared" si="67"/>
        <v>305.1714002404284</v>
      </c>
      <c r="I50" s="197">
        <f t="shared" si="67"/>
        <v>295.35840480905955</v>
      </c>
      <c r="J50" s="197">
        <f t="shared" si="67"/>
        <v>264.39891192648935</v>
      </c>
      <c r="K50" s="197">
        <f t="shared" ref="K50:O50" si="68">$Y$13*K$46</f>
        <v>280.0023297084457</v>
      </c>
      <c r="L50" s="197">
        <f t="shared" si="68"/>
        <v>218.81495755864486</v>
      </c>
      <c r="M50" s="197">
        <f t="shared" si="68"/>
        <v>143.91959364812311</v>
      </c>
      <c r="N50" s="197">
        <f t="shared" si="68"/>
        <v>55.331859619912663</v>
      </c>
      <c r="O50" s="197">
        <f t="shared" si="68"/>
        <v>31.685906334200531</v>
      </c>
      <c r="P50" s="197"/>
      <c r="Q50" s="197"/>
    </row>
    <row r="51" spans="1:40">
      <c r="A51" s="305" t="s">
        <v>185</v>
      </c>
      <c r="D51" s="332">
        <f t="shared" ref="D51:J51" si="69">$AA$13*D$46</f>
        <v>0.95859762375488822</v>
      </c>
      <c r="E51" s="203">
        <f t="shared" si="69"/>
        <v>0.84971177303256429</v>
      </c>
      <c r="F51" s="203">
        <f t="shared" si="69"/>
        <v>0.10080901307027067</v>
      </c>
      <c r="G51" s="203">
        <f t="shared" si="69"/>
        <v>5.8504955928718509E-2</v>
      </c>
      <c r="H51" s="203">
        <f t="shared" si="69"/>
        <v>0.45152088481893821</v>
      </c>
      <c r="I51" s="203">
        <f t="shared" si="69"/>
        <v>0.43700192145472683</v>
      </c>
      <c r="J51" s="203">
        <f t="shared" si="69"/>
        <v>0.39119534322075566</v>
      </c>
      <c r="K51" s="203">
        <f t="shared" ref="K51:O51" si="70">$AA$13*K$46</f>
        <v>0.41428161210951098</v>
      </c>
      <c r="L51" s="203">
        <f t="shared" si="70"/>
        <v>0.32375092544930106</v>
      </c>
      <c r="M51" s="203">
        <f t="shared" si="70"/>
        <v>0.2129383756655642</v>
      </c>
      <c r="N51" s="203">
        <f t="shared" si="70"/>
        <v>8.186707599262931E-2</v>
      </c>
      <c r="O51" s="203">
        <f t="shared" si="70"/>
        <v>4.6881354062132348E-2</v>
      </c>
      <c r="P51" s="203"/>
      <c r="Q51" s="203"/>
    </row>
    <row r="52" spans="1:40">
      <c r="A52" s="305" t="s">
        <v>1985</v>
      </c>
      <c r="D52" s="332"/>
      <c r="E52" s="198">
        <f>AK44*Rev_Month!BE41</f>
        <v>799.68240774499122</v>
      </c>
      <c r="F52" s="203"/>
      <c r="G52" s="203"/>
      <c r="H52" s="203"/>
      <c r="I52" s="203"/>
      <c r="J52" s="203"/>
      <c r="K52" s="203"/>
      <c r="L52" s="203"/>
      <c r="M52" s="203"/>
      <c r="N52" s="203"/>
      <c r="O52" s="203"/>
      <c r="P52" s="203"/>
      <c r="Q52" s="203"/>
    </row>
    <row r="53" spans="1:40" s="281" customFormat="1">
      <c r="A53" s="281" t="s">
        <v>1975</v>
      </c>
      <c r="B53" s="325"/>
      <c r="C53" s="325"/>
      <c r="D53" s="325"/>
      <c r="E53" s="309">
        <f t="shared" ref="E53:H53" si="71">SUM(E54:E58)</f>
        <v>0</v>
      </c>
      <c r="F53" s="309">
        <f>SUM(F54:F58)</f>
        <v>104.33171416299072</v>
      </c>
      <c r="G53" s="309">
        <f t="shared" si="71"/>
        <v>164.88108522784367</v>
      </c>
      <c r="H53" s="309">
        <f t="shared" si="71"/>
        <v>632.1800544252975</v>
      </c>
      <c r="I53" s="309">
        <f>SUM(I54:I59)</f>
        <v>1084.4527051466252</v>
      </c>
      <c r="J53" s="309">
        <f t="shared" ref="J53:O53" si="72">SUM(J54:J59)</f>
        <v>1489.3180985053596</v>
      </c>
      <c r="K53" s="309">
        <f t="shared" si="72"/>
        <v>1813.7447802554741</v>
      </c>
      <c r="L53" s="309">
        <f t="shared" si="72"/>
        <v>2088.2595863434617</v>
      </c>
      <c r="M53" s="309">
        <f t="shared" si="72"/>
        <v>1841.3399767652215</v>
      </c>
      <c r="N53" s="309">
        <f t="shared" si="72"/>
        <v>1300.8230880097808</v>
      </c>
      <c r="O53" s="309">
        <f t="shared" si="72"/>
        <v>1300.8230880097808</v>
      </c>
      <c r="P53" s="309"/>
      <c r="Q53" s="309"/>
      <c r="U53" s="281" t="s">
        <v>1986</v>
      </c>
    </row>
    <row r="54" spans="1:40">
      <c r="A54" s="112" t="s">
        <v>622</v>
      </c>
      <c r="E54" s="198"/>
      <c r="F54" s="197"/>
      <c r="G54" s="197"/>
      <c r="H54" s="197"/>
      <c r="I54" s="197"/>
      <c r="J54" s="197"/>
      <c r="K54" s="197"/>
      <c r="L54" s="197"/>
      <c r="M54" s="197"/>
      <c r="N54" s="197"/>
      <c r="O54" s="197"/>
      <c r="P54" s="197"/>
      <c r="Q54" s="197"/>
      <c r="U54" s="197" t="str">
        <f>A42</f>
        <v>Mobile (TGDĐ)</v>
      </c>
      <c r="AE54" s="198">
        <f>AVERAGEIF(Rev_Month!$AI$1:$CF$1,'Fixed Asset &amp; Interest'!AE1,Rev_Month!$AI$10:$CF$10)</f>
        <v>931.33333333333337</v>
      </c>
      <c r="AF54" s="198">
        <f>AVERAGEIF(Rev_Month!$AI$1:$CF$1,'Fixed Asset &amp; Interest'!AF1,Rev_Month!$AI$10:$CF$10)</f>
        <v>908.33333333333337</v>
      </c>
      <c r="AG54" s="198">
        <f>AVERAGEIF(Rev_Month!$AI$1:$CF$1,'Fixed Asset &amp; Interest'!AG1,Rev_Month!$AI$10:$CF$10)</f>
        <v>928.66666666666663</v>
      </c>
      <c r="AH54" s="198">
        <f>AVERAGEIF(Rev_Month!$AI$1:$CF$1,'Fixed Asset &amp; Interest'!AH1,Rev_Month!$AI$10:$CF$10)</f>
        <v>949.33333333333337</v>
      </c>
      <c r="AI54" s="198">
        <f>AVERAGEIF(Rev_Month!$AI$1:$CF$1,'Fixed Asset &amp; Interest'!AI1,Rev_Month!$AI$10:$CF$10)</f>
        <v>965.33333333333337</v>
      </c>
      <c r="AJ54" s="198">
        <f>AVERAGEIF(Rev_Month!$AI$1:$CF$1,'Fixed Asset &amp; Interest'!AJ1,Rev_Month!$AI$10:$CF$10)</f>
        <v>980.5</v>
      </c>
      <c r="AK54" s="198">
        <f>AVERAGEIF(Rev_Month!$AI$1:$CF$1,'Fixed Asset &amp; Interest'!AK1,Rev_Month!$AI$10:$CF$10)</f>
        <v>1001</v>
      </c>
      <c r="AL54" s="198">
        <f>AVERAGEIF(Rev_Month!$AI$1:$CF$1,'Fixed Asset &amp; Interest'!AL1,Rev_Month!$AI$10:$CF$10)</f>
        <v>1032.3333333333333</v>
      </c>
      <c r="AM54" s="198">
        <f>AVERAGEIF(Rev_Month!$AI$1:$CF$1,'Fixed Asset &amp; Interest'!AM1,Rev_Month!$AI$10:$CF$10)</f>
        <v>1077</v>
      </c>
      <c r="AN54" s="198" t="e">
        <f>AVERAGEIF(Rev_Month!$AI$1:$CF$1,'Fixed Asset &amp; Interest'!AN1,Rev_Month!$AI$10:$CF$10)</f>
        <v>#DIV/0!</v>
      </c>
    </row>
    <row r="55" spans="1:40">
      <c r="A55" s="112" t="s">
        <v>623</v>
      </c>
      <c r="F55" s="198">
        <f>F48/MAX($W$10,$W$11)+F49/MAX($X$10,$X$11)+F50/MAX($Y$10,$Y$11)+F51/MAX( $AA$10,$AA$11)</f>
        <v>104.33171416299072</v>
      </c>
      <c r="G55" s="197">
        <f>F55</f>
        <v>104.33171416299072</v>
      </c>
      <c r="H55" s="197">
        <f>G55</f>
        <v>104.33171416299072</v>
      </c>
      <c r="I55" s="197">
        <f>H55</f>
        <v>104.33171416299072</v>
      </c>
      <c r="J55" s="197">
        <f>I55</f>
        <v>104.33171416299072</v>
      </c>
      <c r="K55" s="197">
        <f>K48/MAX($W$10,$W$11)+K49/MAX($X$10,$X$11)+K50/MAX($Y$10,$Y$11)+K51/MAX( $AA$10,$AA$11)</f>
        <v>428.75839591310512</v>
      </c>
      <c r="L55" s="197">
        <f t="shared" ref="L55:O55" si="73">K55</f>
        <v>428.75839591310512</v>
      </c>
      <c r="M55" s="197">
        <f t="shared" si="73"/>
        <v>428.75839591310512</v>
      </c>
      <c r="N55" s="197">
        <f t="shared" si="73"/>
        <v>428.75839591310512</v>
      </c>
      <c r="O55" s="197">
        <f t="shared" si="73"/>
        <v>428.75839591310512</v>
      </c>
      <c r="P55" s="197"/>
      <c r="Q55" s="197"/>
      <c r="U55" s="112" t="s">
        <v>36</v>
      </c>
      <c r="AE55" s="198">
        <f>IF(ISNUMBER(AVERAGEIF(Rev_Month!$AI$1:$CF$1,'Fixed Asset &amp; Interest'!AE1,Rev_Month!$AI$16:$CF$16)),AVERAGEIF(Rev_Month!$AI$1:$CF$1,'Fixed Asset &amp; Interest'!AE1,Rev_Month!$AI$16:$CF$16),0)</f>
        <v>0</v>
      </c>
      <c r="AF55" s="198">
        <f>IF(ISNUMBER(AVERAGEIF(Rev_Month!$AI$1:$CF$1,'Fixed Asset &amp; Interest'!AF1,Rev_Month!$AI$16:$CF$16)),AVERAGEIF(Rev_Month!$AI$1:$CF$1,'Fixed Asset &amp; Interest'!AF1,Rev_Month!$AI$16:$CF$16),0)</f>
        <v>0</v>
      </c>
      <c r="AG55" s="198">
        <f>IF(ISNUMBER(AVERAGEIF(Rev_Month!$AI$1:$CF$1,'Fixed Asset &amp; Interest'!AG1,Rev_Month!$AI$16:$CF$16)),AVERAGEIF(Rev_Month!$AI$1:$CF$1,'Fixed Asset &amp; Interest'!AG1,Rev_Month!$AI$16:$CF$16),0)</f>
        <v>0</v>
      </c>
      <c r="AH55" s="198">
        <f>IF(ISNUMBER(AVERAGEIF(Rev_Month!$AI$1:$CF$1,'Fixed Asset &amp; Interest'!AH1,Rev_Month!$AI$16:$CF$16)),AVERAGEIF(Rev_Month!$AI$1:$CF$1,'Fixed Asset &amp; Interest'!AH1,Rev_Month!$AI$16:$CF$16),0)</f>
        <v>0</v>
      </c>
      <c r="AI55" s="198">
        <f>IF(ISNUMBER(AVERAGEIF(Rev_Month!$AI$1:$CF$1,'Fixed Asset &amp; Interest'!AI1,Rev_Month!$AI$16:$CF$16)),AVERAGEIF(Rev_Month!$AI$1:$CF$1,'Fixed Asset &amp; Interest'!AI1,Rev_Month!$AI$16:$CF$16),0)</f>
        <v>0</v>
      </c>
      <c r="AJ55" s="198">
        <f>IF(ISNUMBER(AVERAGEIF(Rev_Month!$AI$1:$CF$1,'Fixed Asset &amp; Interest'!AJ1,Rev_Month!$AI$16:$CF$16)),AVERAGEIF(Rev_Month!$AI$1:$CF$1,'Fixed Asset &amp; Interest'!AJ1,Rev_Month!$AI$16:$CF$16),0)</f>
        <v>25.5</v>
      </c>
      <c r="AK55" s="198">
        <f>IF(ISNUMBER(AVERAGEIF(Rev_Month!$AI$1:$CF$1,'Fixed Asset &amp; Interest'!AK1,Rev_Month!$AI$16:$CF$16)),AVERAGEIF(Rev_Month!$AI$1:$CF$1,'Fixed Asset &amp; Interest'!AK1,Rev_Month!$AI$16:$CF$16),0)</f>
        <v>42.5</v>
      </c>
      <c r="AL55" s="198">
        <f>IF(ISNUMBER(AVERAGEIF(Rev_Month!$AI$1:$CF$1,'Fixed Asset &amp; Interest'!AL1,Rev_Month!$AI$16:$CF$16)),AVERAGEIF(Rev_Month!$AI$1:$CF$1,'Fixed Asset &amp; Interest'!AL1,Rev_Month!$AI$16:$CF$16),0)</f>
        <v>58.333333333333336</v>
      </c>
      <c r="AM55" s="198">
        <f>IF(ISNUMBER(AVERAGEIF(Rev_Month!$AI$1:$CF$1,'Fixed Asset &amp; Interest'!AM1,Rev_Month!$AI$16:$CF$16)),AVERAGEIF(Rev_Month!$AI$1:$CF$1,'Fixed Asset &amp; Interest'!AM1,Rev_Month!$AI$16:$CF$16),0)</f>
        <v>97</v>
      </c>
      <c r="AN55" s="198">
        <f>IF(ISNUMBER(AVERAGEIF(Rev_Month!$AI$1:$CF$1,'Fixed Asset &amp; Interest'!AN1,Rev_Month!$AI$16:$CF$16)),AVERAGEIF(Rev_Month!$AI$1:$CF$1,'Fixed Asset &amp; Interest'!AN1,Rev_Month!$AI$16:$CF$16),0)</f>
        <v>0</v>
      </c>
    </row>
    <row r="56" spans="1:40">
      <c r="A56" s="112" t="s">
        <v>624</v>
      </c>
      <c r="G56" s="198">
        <f>G48/MAX($W$10,$W$11)+G49/MAX($X$10,$X$11)+G50/MAX($Y$10,$Y$11)+G51/MAX( $AA$10,$AA$11)</f>
        <v>60.549371064852956</v>
      </c>
      <c r="H56" s="197">
        <f>G56</f>
        <v>60.549371064852956</v>
      </c>
      <c r="I56" s="197">
        <f>H56</f>
        <v>60.549371064852956</v>
      </c>
      <c r="J56" s="197">
        <f>I56</f>
        <v>60.549371064852956</v>
      </c>
      <c r="K56" s="197">
        <f t="shared" ref="K56:O56" si="74">J56</f>
        <v>60.549371064852956</v>
      </c>
      <c r="L56" s="197">
        <f>L48/MAX($W$10,$W$11)+L49/MAX($X$10,$X$11)+L50/MAX($Y$10,$Y$11)+L51/MAX( $AA$10,$AA$11)</f>
        <v>335.06417715284061</v>
      </c>
      <c r="M56" s="197">
        <f>L56</f>
        <v>335.06417715284061</v>
      </c>
      <c r="N56" s="197">
        <f t="shared" si="74"/>
        <v>335.06417715284061</v>
      </c>
      <c r="O56" s="197">
        <f t="shared" si="74"/>
        <v>335.06417715284061</v>
      </c>
      <c r="P56" s="197"/>
      <c r="Q56" s="197"/>
      <c r="U56" s="197" t="str">
        <f>A43</f>
        <v>CE (ĐMX)</v>
      </c>
      <c r="AE56" s="198">
        <f>AVERAGEIF(Rev_Month!$AI$1:$CF$1,'Fixed Asset &amp; Interest'!AE1,Rev_Month!$AI$23:$CF$23)</f>
        <v>1299.6666666666667</v>
      </c>
      <c r="AF56" s="198">
        <f>AVERAGEIF(Rev_Month!$AI$1:$CF$1,'Fixed Asset &amp; Interest'!AF1,Rev_Month!$AI$23:$CF$23)</f>
        <v>1528</v>
      </c>
      <c r="AG56" s="198">
        <f>AVERAGEIF(Rev_Month!$AI$1:$CF$1,'Fixed Asset &amp; Interest'!AG1,Rev_Month!$AI$23:$CF$23)</f>
        <v>1686</v>
      </c>
      <c r="AH56" s="198">
        <f>AVERAGEIF(Rev_Month!$AI$1:$CF$1,'Fixed Asset &amp; Interest'!AH1,Rev_Month!$AI$23:$CF$23)</f>
        <v>1770.6666666666667</v>
      </c>
      <c r="AI56" s="198">
        <f>AVERAGEIF(Rev_Month!$AI$1:$CF$1,'Fixed Asset &amp; Interest'!AI1,Rev_Month!$AI$23:$CF$23)</f>
        <v>1878.6666666666667</v>
      </c>
      <c r="AJ56" s="198">
        <f>AVERAGEIF(Rev_Month!$AI$1:$CF$1,'Fixed Asset &amp; Interest'!AJ1,Rev_Month!$AI$23:$CF$23)</f>
        <v>2057.5</v>
      </c>
      <c r="AK56" s="198">
        <f>AVERAGEIF(Rev_Month!$AI$1:$CF$1,'Fixed Asset &amp; Interest'!AK1,Rev_Month!$AI$23:$CF$23)</f>
        <v>2104</v>
      </c>
      <c r="AL56" s="198">
        <f>AVERAGEIF(Rev_Month!$AI$1:$CF$1,'Fixed Asset &amp; Interest'!AL1,Rev_Month!$AI$23:$CF$23)</f>
        <v>2217.6666666666665</v>
      </c>
      <c r="AM56" s="198">
        <f>AVERAGEIF(Rev_Month!$AI$1:$CF$1,'Fixed Asset &amp; Interest'!AM1,Rev_Month!$AI$23:$CF$23)</f>
        <v>2276.6666666666665</v>
      </c>
      <c r="AN56" s="198" t="e">
        <f>AVERAGEIF(Rev_Month!$AI$1:$CF$1,'Fixed Asset &amp; Interest'!AN1,Rev_Month!$AI$23:$CF$23)</f>
        <v>#DIV/0!</v>
      </c>
    </row>
    <row r="57" spans="1:40">
      <c r="A57" s="112" t="s">
        <v>625</v>
      </c>
      <c r="H57" s="198">
        <f>H48/MAX($W$10,$W$11)+H49/MAX($X$10,$X$11)+H50/MAX($Y$10,$Y$11)+H51/MAX( $AA$10,$AA$11)</f>
        <v>467.2989691974538</v>
      </c>
      <c r="I57" s="197">
        <f>H57</f>
        <v>467.2989691974538</v>
      </c>
      <c r="J57" s="197">
        <f>I57</f>
        <v>467.2989691974538</v>
      </c>
      <c r="K57" s="198">
        <f>J57</f>
        <v>467.2989691974538</v>
      </c>
      <c r="L57" s="197">
        <f t="shared" ref="L57:M59" si="75">K57</f>
        <v>467.2989691974538</v>
      </c>
      <c r="M57" s="197">
        <f>M48/MAX($W$10,$W$11)+M49/MAX($X$10,$X$11)+M50/MAX($Y$10,$Y$11)+M51/MAX( $AA$10,$AA$11)</f>
        <v>220.37935961921363</v>
      </c>
      <c r="N57" s="198">
        <f t="shared" ref="N57" si="76">N48/MAX($W$10,$W$11)+N49/MAX($X$10,$X$11)+N50/MAX($Y$10,$Y$11)+N51/MAX( $AA$10,$AA$11)</f>
        <v>84.727864222507151</v>
      </c>
      <c r="O57" s="197">
        <f t="shared" ref="O57:O58" si="77">N57</f>
        <v>84.727864222507151</v>
      </c>
      <c r="P57" s="197"/>
      <c r="Q57" s="197"/>
      <c r="U57" s="197" t="str">
        <f>A44</f>
        <v>Grocery (BHX)</v>
      </c>
      <c r="AE57" s="198">
        <f>AVERAGEIF(Rev_Month!$AI$1:$CF$1,'Fixed Asset &amp; Interest'!AE1,Rev_Month!$AI$41:$CF$41)</f>
        <v>1687.3333333333333</v>
      </c>
      <c r="AF57" s="198">
        <f>AVERAGEIF(Rev_Month!$AI$1:$CF$1,'Fixed Asset &amp; Interest'!AF1,Rev_Month!$AI$41:$CF$41)</f>
        <v>1757.3333333333333</v>
      </c>
      <c r="AG57" s="198">
        <f>AVERAGEIF(Rev_Month!$AI$1:$CF$1,'Fixed Asset &amp; Interest'!AG1,Rev_Month!$AI$41:$CF$41)</f>
        <v>1847.3333333333333</v>
      </c>
      <c r="AH57" s="198">
        <f>AVERAGEIF(Rev_Month!$AI$1:$CF$1,'Fixed Asset &amp; Interest'!AH1,Rev_Month!$AI$41:$CF$41)</f>
        <v>1927</v>
      </c>
      <c r="AI57" s="198">
        <f>AVERAGEIF(Rev_Month!$AI$1:$CF$1,'Fixed Asset &amp; Interest'!AI1,Rev_Month!$AI$41:$CF$41)</f>
        <v>2022</v>
      </c>
      <c r="AJ57" s="198">
        <f>AVERAGEIF(Rev_Month!$AI$1:$CF$1,'Fixed Asset &amp; Interest'!AJ1,Rev_Month!$AI$41:$CF$41)</f>
        <v>2124.5</v>
      </c>
      <c r="AK57" s="198">
        <f>AVERAGEIF(Rev_Month!$AI$1:$CF$1,'Fixed Asset &amp; Interest'!AK1,Rev_Month!$AI$41:$CF$41)</f>
        <v>2014.5</v>
      </c>
      <c r="AL57" s="198">
        <f>AVERAGEIF(Rev_Month!$AI$1:$CF$1,'Fixed Asset &amp; Interest'!AL1,Rev_Month!$AI$41:$CF$41)</f>
        <v>1729.6666666666667</v>
      </c>
      <c r="AM57" s="198">
        <f>AVERAGEIF(Rev_Month!$AI$1:$CF$1,'Fixed Asset &amp; Interest'!AM1,Rev_Month!$AI$41:$CF$41)</f>
        <v>1728</v>
      </c>
      <c r="AN57" s="198" t="e">
        <f>AVERAGEIF(Rev_Month!$AI$1:$CF$1,'Fixed Asset &amp; Interest'!AN1,Rev_Month!$AI$41:$CF$41)</f>
        <v>#DIV/0!</v>
      </c>
    </row>
    <row r="58" spans="1:40">
      <c r="A58" s="112" t="s">
        <v>1987</v>
      </c>
      <c r="I58" s="198">
        <f>I48/MAX($W$10,$W$11)+I49/MAX($X$10,$X$11)+I50/MAX($Y$10,$Y$11)+I51/MAX( $AA$10,$AA$11)</f>
        <v>452.27265072132781</v>
      </c>
      <c r="J58" s="197">
        <f>I58</f>
        <v>452.27265072132781</v>
      </c>
      <c r="K58" s="197">
        <f>J58</f>
        <v>452.27265072132781</v>
      </c>
      <c r="L58" s="197">
        <f t="shared" si="75"/>
        <v>452.27265072132781</v>
      </c>
      <c r="M58" s="197">
        <f t="shared" si="75"/>
        <v>452.27265072132781</v>
      </c>
      <c r="N58" s="197">
        <f t="shared" ref="N58" si="78">M58</f>
        <v>452.27265072132781</v>
      </c>
      <c r="O58" s="197">
        <f t="shared" si="77"/>
        <v>452.27265072132781</v>
      </c>
      <c r="P58" s="197"/>
      <c r="Q58" s="197"/>
      <c r="U58" s="197" t="str">
        <f>A45</f>
        <v>Pharmacity (An Khang)</v>
      </c>
      <c r="AE58" s="112">
        <f>IF(ISNUMBER(AVERAGEIF(Rev_Month!$AI$1:$CF$1,'Fixed Asset &amp; Interest'!AE1,Rev_Month!$AI$57:$CF$57)),AVERAGEIF(Rev_Month!$AI$1:$CF$1,'Fixed Asset &amp; Interest'!AE1,Rev_Month!$AI$57:$CF$57),0)</f>
        <v>0</v>
      </c>
      <c r="AF58" s="112">
        <f>IF(ISNUMBER(AVERAGEIF(Rev_Month!$AI$1:$CF$1,'Fixed Asset &amp; Interest'!AF1,Rev_Month!$AI$57:$CF$57)),AVERAGEIF(Rev_Month!$AI$1:$CF$1,'Fixed Asset &amp; Interest'!AF1,Rev_Month!$AI$57:$CF$57),0)</f>
        <v>0</v>
      </c>
      <c r="AG58" s="112">
        <f>IF(ISNUMBER(AVERAGEIF(Rev_Month!$AI$1:$CF$1,'Fixed Asset &amp; Interest'!AG1,Rev_Month!$AI$57:$CF$57)),AVERAGEIF(Rev_Month!$AI$1:$CF$1,'Fixed Asset &amp; Interest'!AG1,Rev_Month!$AI$57:$CF$57),0)</f>
        <v>0</v>
      </c>
      <c r="AH58" s="112">
        <f>IF(ISNUMBER(AVERAGEIF(Rev_Month!$AI$1:$CF$1,'Fixed Asset &amp; Interest'!AH1,Rev_Month!$AI$57:$CF$57)),AVERAGEIF(Rev_Month!$AI$1:$CF$1,'Fixed Asset &amp; Interest'!AH1,Rev_Month!$AI$57:$CF$57),0)</f>
        <v>0</v>
      </c>
      <c r="AI58" s="112">
        <f>IF(ISNUMBER(AVERAGEIF(Rev_Month!$AI$1:$CF$1,'Fixed Asset &amp; Interest'!AI1,Rev_Month!$AI$57:$CF$57)),AVERAGEIF(Rev_Month!$AI$1:$CF$1,'Fixed Asset &amp; Interest'!AI1,Rev_Month!$AI$57:$CF$57),0)</f>
        <v>178</v>
      </c>
      <c r="AJ58" s="112">
        <f>IF(ISNUMBER(AVERAGEIF(Rev_Month!$AI$1:$CF$1,'Fixed Asset &amp; Interest'!AJ1,Rev_Month!$AI$57:$CF$57)),AVERAGEIF(Rev_Month!$AI$1:$CF$1,'Fixed Asset &amp; Interest'!AJ1,Rev_Month!$AI$57:$CF$57),0)</f>
        <v>208</v>
      </c>
      <c r="AK58" s="112">
        <f>IF(ISNUMBER(AVERAGEIF(Rev_Month!$AI$1:$CF$1,'Fixed Asset &amp; Interest'!AK1,Rev_Month!$AI$57:$CF$57)),AVERAGEIF(Rev_Month!$AI$1:$CF$1,'Fixed Asset &amp; Interest'!AK1,Rev_Month!$AI$57:$CF$57),0)</f>
        <v>250</v>
      </c>
      <c r="AL58" s="112">
        <f>IF(ISNUMBER(AVERAGEIF(Rev_Month!$AI$1:$CF$1,'Fixed Asset &amp; Interest'!AL1,Rev_Month!$AI$57:$CF$57)),AVERAGEIF(Rev_Month!$AI$1:$CF$1,'Fixed Asset &amp; Interest'!AL1,Rev_Month!$AI$57:$CF$57),0)</f>
        <v>490</v>
      </c>
      <c r="AM58" s="112">
        <f>IF(ISNUMBER(AVERAGEIF(Rev_Month!$AI$1:$CF$1,'Fixed Asset &amp; Interest'!AM1,Rev_Month!$AI$57:$CF$57)),AVERAGEIF(Rev_Month!$AI$1:$CF$1,'Fixed Asset &amp; Interest'!AM1,Rev_Month!$AI$57:$CF$57),0)</f>
        <v>532.66666666666663</v>
      </c>
      <c r="AN58" s="112">
        <f>IF(ISNUMBER(AVERAGEIF(Rev_Month!$AI$1:$CF$1,'Fixed Asset &amp; Interest'!AN1,Rev_Month!$AI$57:$CF$57)),AVERAGEIF(Rev_Month!$AI$1:$CF$1,'Fixed Asset &amp; Interest'!AN1,Rev_Month!$AI$57:$CF$57),0)</f>
        <v>0</v>
      </c>
    </row>
    <row r="59" spans="1:40">
      <c r="A59" s="112" t="s">
        <v>1988</v>
      </c>
      <c r="D59" s="326">
        <v>2761.9150673280001</v>
      </c>
      <c r="E59" s="198">
        <v>4637.6162635999999</v>
      </c>
      <c r="F59" s="198">
        <v>5809.2497762379999</v>
      </c>
      <c r="G59" s="198">
        <v>8565.6908867019993</v>
      </c>
      <c r="I59" s="198"/>
      <c r="J59" s="198">
        <f>J48/MAX($W$10,$W$11)+J49/MAX($X$10,$X$11)+J50/MAX($Y$10,$Y$11)+J51/MAX( $AA$10,$AA$11)</f>
        <v>404.86539335873437</v>
      </c>
      <c r="K59" s="198">
        <f>J59</f>
        <v>404.86539335873437</v>
      </c>
      <c r="L59" s="198">
        <f t="shared" si="75"/>
        <v>404.86539335873437</v>
      </c>
      <c r="M59" s="198">
        <f t="shared" si="75"/>
        <v>404.86539335873437</v>
      </c>
      <c r="O59" s="198"/>
      <c r="P59" s="197"/>
      <c r="Q59" s="197"/>
      <c r="AE59" s="197">
        <f>SUM(AE54:AE58)</f>
        <v>3918.333333333333</v>
      </c>
      <c r="AF59" s="197">
        <f>SUM(AF54:AF58)</f>
        <v>4193.666666666667</v>
      </c>
      <c r="AG59" s="197">
        <f t="shared" ref="AG59:AM59" si="79">SUM(AG54:AG58)</f>
        <v>4462</v>
      </c>
      <c r="AH59" s="197">
        <f t="shared" si="79"/>
        <v>4647</v>
      </c>
      <c r="AI59" s="197">
        <f t="shared" si="79"/>
        <v>5044</v>
      </c>
      <c r="AJ59" s="197">
        <f t="shared" si="79"/>
        <v>5396</v>
      </c>
      <c r="AK59" s="197">
        <f t="shared" si="79"/>
        <v>5412</v>
      </c>
      <c r="AL59" s="197">
        <f t="shared" si="79"/>
        <v>5528</v>
      </c>
      <c r="AM59" s="197">
        <f t="shared" si="79"/>
        <v>5711.333333333333</v>
      </c>
    </row>
    <row r="60" spans="1:40">
      <c r="A60" s="211" t="s">
        <v>39</v>
      </c>
      <c r="E60" s="195">
        <f>E9/(E54-E52/10)</f>
        <v>-43.842452602583968</v>
      </c>
      <c r="F60" s="195">
        <f>F9/F55</f>
        <v>5.0121918811338713</v>
      </c>
      <c r="I60" s="198"/>
      <c r="J60" s="197"/>
      <c r="L60" s="198"/>
      <c r="M60" s="197"/>
      <c r="O60" s="198"/>
      <c r="P60" s="197"/>
      <c r="Q60" s="197"/>
      <c r="AF60" s="197">
        <f>AF59-AE59</f>
        <v>275.33333333333394</v>
      </c>
      <c r="AG60" s="197">
        <f t="shared" ref="AG60:AM60" si="80">AG59-AF59</f>
        <v>268.33333333333303</v>
      </c>
      <c r="AH60" s="197">
        <f t="shared" si="80"/>
        <v>185</v>
      </c>
      <c r="AI60" s="197">
        <f t="shared" si="80"/>
        <v>397</v>
      </c>
      <c r="AJ60" s="197">
        <f t="shared" si="80"/>
        <v>352</v>
      </c>
      <c r="AK60" s="197">
        <f t="shared" si="80"/>
        <v>16</v>
      </c>
      <c r="AL60" s="197">
        <f t="shared" si="80"/>
        <v>116</v>
      </c>
      <c r="AM60" s="197">
        <f t="shared" si="80"/>
        <v>183.33333333333303</v>
      </c>
    </row>
    <row r="61" spans="1:40">
      <c r="A61" s="112" t="s">
        <v>1989</v>
      </c>
      <c r="E61" s="198">
        <f>D47*(E42+E43)</f>
        <v>2525.4319267474648</v>
      </c>
      <c r="F61" s="198">
        <f>1*(F42+F43)</f>
        <v>-225</v>
      </c>
      <c r="G61" s="198">
        <f>G47*(G42+G43)</f>
        <v>-860.61884428583346</v>
      </c>
      <c r="H61" s="301">
        <f>Rev_Month!CH35*0.7*0.2</f>
        <v>426.72</v>
      </c>
      <c r="I61" s="301">
        <f>Rev_Month!CI35*0.4*0.2</f>
        <v>243.84000000000003</v>
      </c>
      <c r="J61" s="301">
        <f>Rev_Month!CJ35*0.4*0.2</f>
        <v>243.52000000000004</v>
      </c>
      <c r="K61" s="301">
        <f>Rev_Month!CK35*0.7*0.2</f>
        <v>425.88000000000005</v>
      </c>
      <c r="L61" s="301">
        <f>Rev_Month!CL35*0.4*0.2</f>
        <v>243.36</v>
      </c>
      <c r="M61" s="301">
        <f>Rev_Month!CM35*0.4*0.2</f>
        <v>243.04000000000002</v>
      </c>
      <c r="N61" s="301">
        <f>Rev_Month!CN35*0.7*0.2</f>
        <v>425.03999999999996</v>
      </c>
      <c r="O61" s="301">
        <f>Rev_Month!CO35*0.4*0.2</f>
        <v>242.96</v>
      </c>
      <c r="P61" s="301"/>
      <c r="Q61" s="301"/>
    </row>
    <row r="62" spans="1:40">
      <c r="A62" s="112" t="s">
        <v>1964</v>
      </c>
      <c r="D62" s="326">
        <f>(Rev_Year!H234+Rev_Year!H235)*'Fixed Asset &amp; Interest'!D13/Rev_Year!H233</f>
        <v>10512.579785631957</v>
      </c>
      <c r="E62" s="197">
        <f t="shared" ref="E62:J62" si="81">D62+E61</f>
        <v>13038.011712379423</v>
      </c>
      <c r="F62" s="197">
        <f t="shared" si="81"/>
        <v>12813.011712379423</v>
      </c>
      <c r="G62" s="197">
        <f t="shared" si="81"/>
        <v>11952.39286809359</v>
      </c>
      <c r="H62" s="197">
        <f t="shared" si="81"/>
        <v>12379.112868093589</v>
      </c>
      <c r="I62" s="197">
        <f t="shared" si="81"/>
        <v>12622.952868093589</v>
      </c>
      <c r="J62" s="197">
        <f t="shared" si="81"/>
        <v>12866.47286809359</v>
      </c>
      <c r="K62" s="197">
        <f t="shared" ref="K62" si="82">J62+K61</f>
        <v>13292.352868093589</v>
      </c>
      <c r="L62" s="197">
        <f t="shared" ref="L62" si="83">K62+L61</f>
        <v>13535.712868093589</v>
      </c>
      <c r="M62" s="197">
        <f t="shared" ref="M62" si="84">L62+M61</f>
        <v>13778.75286809359</v>
      </c>
      <c r="N62" s="197">
        <f t="shared" ref="N62" si="85">M62+N61</f>
        <v>14203.792868093591</v>
      </c>
      <c r="O62" s="197">
        <f t="shared" ref="O62" si="86">N62+O61</f>
        <v>14446.75286809359</v>
      </c>
      <c r="P62" s="197"/>
      <c r="Q62" s="197"/>
      <c r="T62" s="197">
        <f>K48/MAX($W$10,$W$11)+K49/MAX($X$10,$X$11)+K50/MAX($Y$10,$Y$11)+K51/MAX( $AA$10,$AA$11)</f>
        <v>428.75839591310512</v>
      </c>
      <c r="U62" s="197">
        <f>L48/MAX($W$10,$W$11)+L49/MAX($X$10,$X$11)+L50/MAX($Y$10,$Y$11)+L51/MAX( $AA$10,$AA$11)</f>
        <v>335.06417715284061</v>
      </c>
    </row>
    <row r="63" spans="1:40" s="278" customFormat="1">
      <c r="A63" s="278" t="s">
        <v>1990</v>
      </c>
      <c r="B63" s="377"/>
      <c r="C63" s="377"/>
      <c r="D63" s="378">
        <f>(Rev_Year!H234+Rev_Year!H235)*(D16)/Rev_Year!H233+D18</f>
        <v>-1520.5790053701658</v>
      </c>
      <c r="E63" s="279">
        <f>-(IF(E3-$E$3&lt;D65,D64/D65,0)+E61/5)</f>
        <v>-2025.6653907196587</v>
      </c>
      <c r="F63" s="984">
        <f>F113</f>
        <v>-1722.6441555591214</v>
      </c>
      <c r="G63" s="984">
        <f>G113</f>
        <v>-1428.2298439682934</v>
      </c>
      <c r="H63" s="984">
        <f t="shared" ref="H63:I63" si="87">H113</f>
        <v>-1661.4362836418527</v>
      </c>
      <c r="I63" s="984">
        <f t="shared" si="87"/>
        <v>-1333.3073523051262</v>
      </c>
      <c r="J63" s="984">
        <f>J113</f>
        <v>-820.52617309109598</v>
      </c>
      <c r="K63" s="984">
        <f>K113</f>
        <v>-288.86389136559313</v>
      </c>
      <c r="L63" s="984">
        <f>L113</f>
        <v>-45.916981132075477</v>
      </c>
      <c r="M63" s="984">
        <f t="shared" ref="M63:O63" si="88">M113</f>
        <v>-45.856603773584908</v>
      </c>
      <c r="N63" s="984">
        <f t="shared" si="88"/>
        <v>-80.19622641509433</v>
      </c>
      <c r="O63" s="984">
        <f t="shared" si="88"/>
        <v>-45.841509433962266</v>
      </c>
      <c r="P63" s="984"/>
      <c r="Q63" s="984"/>
      <c r="R63" s="1524"/>
      <c r="T63" s="902">
        <f>F63+F69</f>
        <v>-3177.8897562722641</v>
      </c>
    </row>
    <row r="64" spans="1:40">
      <c r="A64" s="112" t="s">
        <v>1964</v>
      </c>
      <c r="C64" s="335">
        <f>-D64/D63</f>
        <v>5.9135373752400335</v>
      </c>
      <c r="D64" s="324">
        <f t="shared" ref="D64:K64" si="89">D62+D63</f>
        <v>8992.0007802617911</v>
      </c>
      <c r="E64" s="324">
        <f t="shared" si="89"/>
        <v>11012.346321659763</v>
      </c>
      <c r="F64" s="324">
        <f>F62+F63</f>
        <v>11090.367556820302</v>
      </c>
      <c r="G64" s="324">
        <f>G62+G63+(G12+G18)</f>
        <v>10085.541253701296</v>
      </c>
      <c r="H64" s="324">
        <f>H62+H63</f>
        <v>10717.676584451736</v>
      </c>
      <c r="I64" s="324">
        <f t="shared" si="89"/>
        <v>11289.645515788463</v>
      </c>
      <c r="J64" s="324">
        <f t="shared" si="89"/>
        <v>12045.946695002494</v>
      </c>
      <c r="K64" s="324">
        <f t="shared" si="89"/>
        <v>13003.488976727996</v>
      </c>
      <c r="L64" s="324">
        <f t="shared" ref="L64:O64" si="90">L62+L63</f>
        <v>13489.795886961514</v>
      </c>
      <c r="M64" s="324">
        <f t="shared" si="90"/>
        <v>13732.896264320005</v>
      </c>
      <c r="N64" s="324">
        <f t="shared" si="90"/>
        <v>14123.596641678496</v>
      </c>
      <c r="O64" s="324">
        <f t="shared" si="90"/>
        <v>14400.911358659629</v>
      </c>
      <c r="P64" s="324"/>
      <c r="Q64" s="324"/>
    </row>
    <row r="65" spans="1:25">
      <c r="C65" s="335"/>
      <c r="D65" s="335">
        <f t="shared" ref="D65:J65" si="91">-D64/D63</f>
        <v>5.9135373752400335</v>
      </c>
      <c r="E65" s="335">
        <f>-E64/E63</f>
        <v>5.4364093754632412</v>
      </c>
      <c r="F65" s="335">
        <f t="shared" si="91"/>
        <v>6.4379909925278112</v>
      </c>
      <c r="G65" s="335">
        <f>-G64/G63</f>
        <v>7.0615673634706617</v>
      </c>
      <c r="H65" s="335">
        <f t="shared" si="91"/>
        <v>6.4508502011035231</v>
      </c>
      <c r="I65" s="335">
        <f t="shared" si="91"/>
        <v>8.4673991306430878</v>
      </c>
      <c r="J65" s="335">
        <f t="shared" si="91"/>
        <v>14.680758627872722</v>
      </c>
      <c r="K65" s="335">
        <f t="shared" ref="K65:O65" si="92">-K64/K63</f>
        <v>45.01597245420497</v>
      </c>
      <c r="L65" s="335">
        <f t="shared" si="92"/>
        <v>293.78664612465491</v>
      </c>
      <c r="M65" s="335">
        <f t="shared" si="92"/>
        <v>299.4747786409481</v>
      </c>
      <c r="N65" s="335">
        <f t="shared" si="92"/>
        <v>176.11298278019959</v>
      </c>
      <c r="O65" s="335">
        <f t="shared" si="92"/>
        <v>314.1456626642082</v>
      </c>
      <c r="P65" s="335"/>
      <c r="Q65" s="335"/>
    </row>
    <row r="66" spans="1:25">
      <c r="A66" s="211" t="s">
        <v>278</v>
      </c>
      <c r="I66" s="198"/>
      <c r="J66" s="197"/>
      <c r="L66" s="198"/>
      <c r="M66" s="197"/>
      <c r="O66" s="198"/>
      <c r="P66" s="197"/>
      <c r="Q66" s="197"/>
    </row>
    <row r="67" spans="1:25">
      <c r="A67" s="112" t="s">
        <v>1989</v>
      </c>
      <c r="E67" s="197">
        <f>E46-E45*0.5-E61</f>
        <v>1619.6277586415354</v>
      </c>
      <c r="F67" s="198">
        <f>F47*F44</f>
        <v>-8.4431764313665081</v>
      </c>
      <c r="G67" s="198">
        <f>G44*500/150</f>
        <v>240</v>
      </c>
      <c r="H67" s="301">
        <f>Rev_Year!L109*2.5</f>
        <v>1917.5</v>
      </c>
      <c r="I67" s="301">
        <f>Rev_Year!M109*2.5</f>
        <v>2025</v>
      </c>
      <c r="J67" s="301">
        <f>Rev_Year!N109*2.5</f>
        <v>1787.5</v>
      </c>
      <c r="K67" s="301">
        <f>Rev_Year!O109*2.5</f>
        <v>1725</v>
      </c>
      <c r="L67" s="301">
        <f>Rev_Year!P109*2.5</f>
        <v>1437.5</v>
      </c>
      <c r="M67" s="301">
        <f>Rev_Year!Q109*2.5</f>
        <v>862.5</v>
      </c>
      <c r="N67" s="301">
        <f>Rev_Year!R109*2.5</f>
        <v>0</v>
      </c>
      <c r="O67" s="301">
        <f>Rev_Year!S109*2.5</f>
        <v>0.44005416051206303</v>
      </c>
      <c r="P67" s="301"/>
      <c r="Q67" s="301"/>
    </row>
    <row r="68" spans="1:25">
      <c r="A68" s="112" t="s">
        <v>1991</v>
      </c>
      <c r="D68" s="326">
        <f>Rev_Year!H236*'Fixed Asset &amp; Interest'!D13/Rev_Year!H233</f>
        <v>7474.5081122690417</v>
      </c>
      <c r="E68" s="197">
        <f>D68+E67+E12</f>
        <v>7873.4430128745771</v>
      </c>
      <c r="F68" s="197">
        <f>E68+F67</f>
        <v>7864.9998364432104</v>
      </c>
      <c r="G68" s="197">
        <f>F68+G67</f>
        <v>8104.9998364432104</v>
      </c>
      <c r="H68" s="197">
        <f>G68+H67</f>
        <v>10022.49983644321</v>
      </c>
      <c r="I68" s="197">
        <f>H68+I67</f>
        <v>12047.49983644321</v>
      </c>
      <c r="J68" s="197">
        <f>I68+J67</f>
        <v>13834.99983644321</v>
      </c>
      <c r="K68" s="197">
        <f t="shared" ref="K68:O68" si="93">J68+K67</f>
        <v>15559.99983644321</v>
      </c>
      <c r="L68" s="197">
        <f t="shared" si="93"/>
        <v>16997.49983644321</v>
      </c>
      <c r="M68" s="197">
        <f t="shared" si="93"/>
        <v>17859.99983644321</v>
      </c>
      <c r="N68" s="197">
        <f t="shared" si="93"/>
        <v>17859.99983644321</v>
      </c>
      <c r="O68" s="197">
        <f t="shared" si="93"/>
        <v>17860.439890603724</v>
      </c>
      <c r="P68" s="197"/>
      <c r="Q68" s="197"/>
    </row>
    <row r="69" spans="1:25">
      <c r="A69" s="187" t="s">
        <v>1990</v>
      </c>
      <c r="B69" s="344"/>
      <c r="C69" s="344"/>
      <c r="D69" s="345">
        <f>Rev_Year!H236*(D16)/Rev_Year!H233</f>
        <v>-1187.3913066298342</v>
      </c>
      <c r="E69" s="301">
        <f>D69-E67/5.3-(E12/5.3)</f>
        <v>-1262.6620425931428</v>
      </c>
      <c r="F69" s="301">
        <f>F118</f>
        <v>-1455.2456007131429</v>
      </c>
      <c r="G69" s="301">
        <f>G118</f>
        <v>-1106.9484101770163</v>
      </c>
      <c r="H69" s="301">
        <f>H118</f>
        <v>-924.90136330497512</v>
      </c>
      <c r="I69" s="301">
        <f>I118</f>
        <v>-873.39448332581162</v>
      </c>
      <c r="J69" s="301">
        <f t="shared" ref="J69:K69" si="94">J118</f>
        <v>-1058.9622641509436</v>
      </c>
      <c r="K69" s="301">
        <f t="shared" si="94"/>
        <v>-1692.3825959701012</v>
      </c>
      <c r="L69" s="301">
        <f>L118</f>
        <v>-1821.6629960982582</v>
      </c>
      <c r="M69" s="301">
        <f t="shared" ref="M69:O69" si="95">M118</f>
        <v>-1853.3018867924529</v>
      </c>
      <c r="N69" s="301">
        <f t="shared" si="95"/>
        <v>-2191.439199743686</v>
      </c>
      <c r="O69" s="301">
        <f t="shared" si="95"/>
        <v>-2038.7105514432412</v>
      </c>
      <c r="P69" s="301"/>
      <c r="Q69" s="301"/>
      <c r="R69" s="195">
        <v>5.3</v>
      </c>
      <c r="T69" s="983"/>
      <c r="Y69" s="112">
        <f>777/4</f>
        <v>194.25</v>
      </c>
    </row>
    <row r="70" spans="1:25">
      <c r="A70" s="112" t="s">
        <v>1964</v>
      </c>
      <c r="C70" s="341">
        <f>-E70/E69</f>
        <v>5.235590163702712</v>
      </c>
      <c r="D70" s="324">
        <f t="shared" ref="D70:J70" si="96">SUM(D68:D69)</f>
        <v>6287.1168056392071</v>
      </c>
      <c r="E70" s="324">
        <f>SUM(E68:E69)</f>
        <v>6610.7809702814338</v>
      </c>
      <c r="F70" s="324">
        <f>SUM(F68:F69)</f>
        <v>6409.7542357300672</v>
      </c>
      <c r="G70" s="324">
        <f t="shared" si="96"/>
        <v>6998.0514262661945</v>
      </c>
      <c r="H70" s="324">
        <f t="shared" si="96"/>
        <v>9097.5984731382359</v>
      </c>
      <c r="I70" s="324">
        <f t="shared" si="96"/>
        <v>11174.105353117398</v>
      </c>
      <c r="J70" s="324">
        <f t="shared" si="96"/>
        <v>12776.037572292267</v>
      </c>
      <c r="K70" s="324">
        <f t="shared" ref="K70:O70" si="97">SUM(K68:K69)</f>
        <v>13867.61724047311</v>
      </c>
      <c r="L70" s="324">
        <f t="shared" si="97"/>
        <v>15175.836840344953</v>
      </c>
      <c r="M70" s="324">
        <f t="shared" si="97"/>
        <v>16006.697949650757</v>
      </c>
      <c r="N70" s="324">
        <f t="shared" si="97"/>
        <v>15668.560636699523</v>
      </c>
      <c r="O70" s="324">
        <f t="shared" si="97"/>
        <v>15821.729339160484</v>
      </c>
      <c r="P70" s="324"/>
      <c r="Q70" s="324"/>
    </row>
    <row r="71" spans="1:25">
      <c r="D71" s="332">
        <f t="shared" ref="D71:J71" si="98">-D70/D69</f>
        <v>5.2948988008712092</v>
      </c>
      <c r="E71" s="332">
        <f>-E70/(E115+E116)</f>
        <v>4.4279056322508055</v>
      </c>
      <c r="F71" s="332">
        <f>-F70/F69</f>
        <v>4.4045858874879729</v>
      </c>
      <c r="G71" s="332">
        <f t="shared" si="98"/>
        <v>6.3219309607636633</v>
      </c>
      <c r="H71" s="332">
        <f t="shared" si="98"/>
        <v>9.8362904781862799</v>
      </c>
      <c r="I71" s="332">
        <f t="shared" si="98"/>
        <v>12.793881306150869</v>
      </c>
      <c r="J71" s="332">
        <f t="shared" si="98"/>
        <v>12.064676905683564</v>
      </c>
      <c r="K71" s="332">
        <f t="shared" ref="K71:O71" si="99">-K70/K69</f>
        <v>8.1941384137928726</v>
      </c>
      <c r="L71" s="332">
        <f t="shared" si="99"/>
        <v>8.3307597908336657</v>
      </c>
      <c r="M71" s="332">
        <f t="shared" si="99"/>
        <v>8.6368540731126497</v>
      </c>
      <c r="N71" s="332">
        <f t="shared" si="99"/>
        <v>7.1498952097471573</v>
      </c>
      <c r="O71" s="332">
        <f t="shared" si="99"/>
        <v>7.7606550512822849</v>
      </c>
      <c r="P71" s="332"/>
      <c r="Q71" s="332"/>
      <c r="R71" s="197"/>
      <c r="S71" s="112">
        <f>95.379/175.482</f>
        <v>0.54352583170923519</v>
      </c>
    </row>
    <row r="72" spans="1:25">
      <c r="A72" s="112" t="s">
        <v>1992</v>
      </c>
      <c r="D72" s="403">
        <f>D69/AVERAGE(Rev_Year!AG107:AJ107)</f>
        <v>-0.61722744984006972</v>
      </c>
      <c r="E72" s="214">
        <f>D72*AVERAGE(Rev_Year!AK107:AN107)-E67/5</f>
        <v>-1478.9124172415375</v>
      </c>
      <c r="U72" s="319"/>
    </row>
    <row r="73" spans="1:25" s="278" customFormat="1">
      <c r="A73" s="336" t="s">
        <v>542</v>
      </c>
      <c r="B73" s="337">
        <f>'FS Year'!R7</f>
        <v>631.17785435099995</v>
      </c>
      <c r="C73" s="337">
        <f>'FS Year'!S7</f>
        <v>794.12178266700005</v>
      </c>
      <c r="D73" s="337">
        <f>'FS Year'!T7</f>
        <v>1287.9560261629999</v>
      </c>
      <c r="E73" s="337">
        <f>'FS Year'!U7</f>
        <v>1313.1373043230001</v>
      </c>
      <c r="F73" s="337">
        <f>'FS Year'!V7</f>
        <v>2166.9637150909998</v>
      </c>
      <c r="G73" s="337">
        <f>'FS Year'!W7</f>
        <v>2376.5026052630001</v>
      </c>
      <c r="H73" s="338">
        <f ca="1">SUM(H74:H76)</f>
        <v>2818.1737170695746</v>
      </c>
      <c r="I73" s="338">
        <f ca="1">SUM(I74:I76)</f>
        <v>2817.2551810932928</v>
      </c>
      <c r="J73" s="338">
        <f ca="1">SUM(J74:J76)</f>
        <v>3084.1383750204973</v>
      </c>
      <c r="K73" s="338">
        <f ca="1">SUM(K74:K76)</f>
        <v>3494.4560256128334</v>
      </c>
      <c r="L73" s="338">
        <f t="shared" ref="L73:O73" ca="1" si="100">SUM(L74:L76)</f>
        <v>4071.3546213466589</v>
      </c>
      <c r="M73" s="338">
        <f t="shared" ca="1" si="100"/>
        <v>4795.0134331422742</v>
      </c>
      <c r="N73" s="338">
        <f t="shared" ca="1" si="100"/>
        <v>2582.0459841102502</v>
      </c>
      <c r="O73" s="338">
        <f t="shared" si="100"/>
        <v>483.43567807679312</v>
      </c>
      <c r="P73" s="338"/>
      <c r="Q73" s="338"/>
    </row>
    <row r="74" spans="1:25">
      <c r="A74" s="313" t="s">
        <v>544</v>
      </c>
      <c r="B74" s="333">
        <f>'FS Year'!R332</f>
        <v>343.57902438799999</v>
      </c>
      <c r="C74" s="333">
        <f>'FS Year'!S332</f>
        <v>567.42226849600002</v>
      </c>
      <c r="D74" s="333">
        <f>'FS Year'!T332</f>
        <v>968.12770415399996</v>
      </c>
      <c r="E74" s="333">
        <f>'FS Year'!U332</f>
        <v>854.20577891599999</v>
      </c>
      <c r="F74" s="333">
        <f>'FS Year'!V332</f>
        <v>1828.042318022</v>
      </c>
      <c r="G74" s="333">
        <f>'FS Year'!W332+'FS Year'!W333</f>
        <v>2155.6458694600001</v>
      </c>
      <c r="H74" s="198">
        <f ca="1">H82*AVERAGE(G77:H77)</f>
        <v>2571.0202867280414</v>
      </c>
      <c r="I74" s="198">
        <f ca="1">I82*AVERAGE(H77:I77)</f>
        <v>2601.2971837739815</v>
      </c>
      <c r="J74" s="198">
        <f ca="1">J82*AVERAGE(I77:J77)</f>
        <v>2863.4674645834825</v>
      </c>
      <c r="K74" s="198">
        <f ca="1">K82*AVERAGE(J77:K77)</f>
        <v>3286.2884685177337</v>
      </c>
      <c r="L74" s="198">
        <f t="shared" ref="L74:O74" ca="1" si="101">L82*AVERAGE(K77:L77)</f>
        <v>3869.5957256878633</v>
      </c>
      <c r="M74" s="198">
        <f t="shared" ca="1" si="101"/>
        <v>4591.4009417244779</v>
      </c>
      <c r="N74" s="198">
        <f t="shared" ca="1" si="101"/>
        <v>2395.316902763454</v>
      </c>
      <c r="O74" s="198">
        <f t="shared" si="101"/>
        <v>297.92478863150927</v>
      </c>
      <c r="P74" s="198"/>
      <c r="Q74" s="198"/>
    </row>
    <row r="75" spans="1:25">
      <c r="A75" s="313" t="s">
        <v>1993</v>
      </c>
      <c r="B75" s="333">
        <f>'FS Year'!R340</f>
        <v>287.23416443100001</v>
      </c>
      <c r="C75" s="333">
        <f>'FS Year'!S340</f>
        <v>226.36414449599999</v>
      </c>
      <c r="D75" s="333">
        <f>'FS Year'!T340</f>
        <v>299.65597464500001</v>
      </c>
      <c r="E75" s="333">
        <f>'FS Year'!U340</f>
        <v>315.79068537400002</v>
      </c>
      <c r="F75" s="333">
        <f>'FS Year'!V340</f>
        <v>334.70102847800001</v>
      </c>
      <c r="G75" s="333">
        <f>'FS Year'!W340</f>
        <v>219.554321528</v>
      </c>
      <c r="H75" s="198">
        <f>G75*0.9</f>
        <v>197.5988893752</v>
      </c>
      <c r="I75" s="198">
        <f t="shared" ref="I75:J75" si="102">H75</f>
        <v>197.5988893752</v>
      </c>
      <c r="J75" s="198">
        <f t="shared" si="102"/>
        <v>197.5988893752</v>
      </c>
      <c r="K75" s="198">
        <f t="shared" ref="K75" si="103">J75*0.9</f>
        <v>177.83900043768</v>
      </c>
      <c r="L75" s="198">
        <f t="shared" ref="L75" si="104">K75</f>
        <v>177.83900043768</v>
      </c>
      <c r="M75" s="198">
        <f t="shared" ref="M75" si="105">L75</f>
        <v>177.83900043768</v>
      </c>
      <c r="N75" s="198">
        <f t="shared" ref="N75" si="106">M75*0.9</f>
        <v>160.055100393912</v>
      </c>
      <c r="O75" s="198">
        <f t="shared" ref="O75" si="107">N75</f>
        <v>160.055100393912</v>
      </c>
      <c r="P75" s="198"/>
      <c r="Q75" s="198"/>
    </row>
    <row r="76" spans="1:25">
      <c r="A76" s="313" t="s">
        <v>546</v>
      </c>
      <c r="B76" s="333">
        <f>'FS Year'!R337</f>
        <v>0.36466553200000001</v>
      </c>
      <c r="C76" s="333">
        <f>'FS Year'!S337</f>
        <v>0.33536967499999998</v>
      </c>
      <c r="D76" s="333">
        <f>'FS Year'!T337</f>
        <v>20.172347364</v>
      </c>
      <c r="E76" s="333">
        <f>'FS Year'!U337</f>
        <v>143.14084003299999</v>
      </c>
      <c r="F76" s="333">
        <f>'FS Year'!V337</f>
        <v>4.2203685909999997</v>
      </c>
      <c r="G76" s="333">
        <f>'FS Year'!W337</f>
        <v>1.3024142750000001</v>
      </c>
      <c r="H76" s="198">
        <f>AVERAGE(E76:G76)</f>
        <v>49.554540966333327</v>
      </c>
      <c r="I76" s="198">
        <f>AVERAGE(F76:H76)</f>
        <v>18.359107944111109</v>
      </c>
      <c r="J76" s="198">
        <f>AVERAGE(G76:I76)</f>
        <v>23.072021061814809</v>
      </c>
      <c r="K76" s="198">
        <f t="shared" ref="K76:O76" si="108">AVERAGE(H76:J76)</f>
        <v>30.32855665741975</v>
      </c>
      <c r="L76" s="198">
        <f t="shared" si="108"/>
        <v>23.919895221115222</v>
      </c>
      <c r="M76" s="198">
        <f t="shared" si="108"/>
        <v>25.773490980116595</v>
      </c>
      <c r="N76" s="198">
        <f t="shared" si="108"/>
        <v>26.673980952883856</v>
      </c>
      <c r="O76" s="198">
        <f t="shared" si="108"/>
        <v>25.455789051371891</v>
      </c>
      <c r="P76" s="198"/>
      <c r="Q76" s="198"/>
    </row>
    <row r="77" spans="1:25" s="211" customFormat="1">
      <c r="A77" s="318" t="s">
        <v>1994</v>
      </c>
      <c r="B77" s="327">
        <f t="shared" ref="B77:J77" si="109">SUM(B78:B81)</f>
        <v>6252.2368164680001</v>
      </c>
      <c r="C77" s="327">
        <f t="shared" si="109"/>
        <v>15485.176219843001</v>
      </c>
      <c r="D77" s="327">
        <f t="shared" si="109"/>
        <v>19340.5597949</v>
      </c>
      <c r="E77" s="327">
        <f t="shared" si="109"/>
        <v>15146.732574029002</v>
      </c>
      <c r="F77" s="327">
        <f t="shared" si="109"/>
        <v>26848.630628633</v>
      </c>
      <c r="G77" s="327">
        <f t="shared" si="109"/>
        <v>40259.487893151003</v>
      </c>
      <c r="H77" s="209">
        <f t="shared" ca="1" si="109"/>
        <v>43837.780272792435</v>
      </c>
      <c r="I77" s="209">
        <f t="shared" ca="1" si="109"/>
        <v>47205.853168827984</v>
      </c>
      <c r="J77" s="209">
        <f t="shared" ca="1" si="109"/>
        <v>53013.56191519503</v>
      </c>
      <c r="K77" s="209">
        <f t="shared" ref="K77:O77" ca="1" si="110">SUM(K78:K81)</f>
        <v>62004.300933169485</v>
      </c>
      <c r="L77" s="209">
        <f t="shared" ca="1" si="110"/>
        <v>73428.919467148051</v>
      </c>
      <c r="M77" s="209">
        <f t="shared" ca="1" si="110"/>
        <v>87266.99291430875</v>
      </c>
      <c r="N77" s="209">
        <f t="shared" si="110"/>
        <v>6037.7145961010001</v>
      </c>
      <c r="O77" s="209">
        <f t="shared" si="110"/>
        <v>6037.7145961010001</v>
      </c>
      <c r="P77" s="209"/>
      <c r="Q77" s="209"/>
    </row>
    <row r="78" spans="1:25">
      <c r="A78" s="313" t="str">
        <f>FS!C7</f>
        <v>Cash And Cash Equivalents</v>
      </c>
      <c r="B78" s="326">
        <f>'FS Year'!R33</f>
        <v>3115.2368164680001</v>
      </c>
      <c r="C78" s="326">
        <f>'FS Year'!S33</f>
        <v>7347.8573979250004</v>
      </c>
      <c r="D78" s="326">
        <f>'FS Year'!T33</f>
        <v>4142.015762555</v>
      </c>
      <c r="E78" s="326">
        <f>'FS Year'!U33</f>
        <v>5061.0205474220002</v>
      </c>
      <c r="F78" s="326">
        <f>'FS Year'!V33</f>
        <v>5365.7048571719997</v>
      </c>
      <c r="G78" s="326">
        <f>'FS Year'!W33</f>
        <v>5697.3315407299997</v>
      </c>
      <c r="H78" s="198">
        <f ca="1">FS!P7</f>
        <v>6775.623920371434</v>
      </c>
      <c r="I78" s="198">
        <f ca="1">FS!Q7</f>
        <v>10143.696816406977</v>
      </c>
      <c r="J78" s="198">
        <f ca="1">FS!R7</f>
        <v>15951.405562774024</v>
      </c>
      <c r="K78" s="198">
        <f ca="1">FS!S7</f>
        <v>24942.144580748478</v>
      </c>
      <c r="L78" s="198">
        <f ca="1">FS!T7</f>
        <v>36366.763114727059</v>
      </c>
      <c r="M78" s="198">
        <f ca="1">FS!U7</f>
        <v>50204.836561887758</v>
      </c>
      <c r="N78" s="198">
        <f>FS!V7</f>
        <v>0</v>
      </c>
      <c r="O78" s="198">
        <f>FS!W7</f>
        <v>0</v>
      </c>
      <c r="P78" s="198"/>
      <c r="Q78" s="198"/>
    </row>
    <row r="79" spans="1:25">
      <c r="A79" s="313" t="str">
        <f>FS!C8</f>
        <v>Short-Term Investments</v>
      </c>
      <c r="B79" s="326">
        <f>'FS Year'!R36</f>
        <v>3137</v>
      </c>
      <c r="C79" s="326">
        <f>'FS Year'!S36</f>
        <v>8057.3188219180001</v>
      </c>
      <c r="D79" s="326">
        <f>'FS Year'!T36</f>
        <v>14236.626334707</v>
      </c>
      <c r="E79" s="326">
        <f>'FS Year'!U36</f>
        <v>10059.049605640001</v>
      </c>
      <c r="F79" s="326">
        <f>'FS Year'!V36</f>
        <v>18937.008073822999</v>
      </c>
      <c r="G79" s="326">
        <f>'FS Year'!W36</f>
        <v>28524.44175632</v>
      </c>
      <c r="H79" s="198">
        <f ca="1">FS!P8</f>
        <v>31024.44175632</v>
      </c>
      <c r="I79" s="198">
        <f ca="1">FS!Q8</f>
        <v>31024.44175632</v>
      </c>
      <c r="J79" s="198">
        <f ca="1">FS!R8</f>
        <v>31024.44175632</v>
      </c>
      <c r="K79" s="198">
        <f ca="1">FS!S8</f>
        <v>31024.44175632</v>
      </c>
      <c r="L79" s="198">
        <f ca="1">FS!T8</f>
        <v>31024.44175632</v>
      </c>
      <c r="M79" s="198">
        <f ca="1">FS!U8</f>
        <v>31024.44175632</v>
      </c>
      <c r="N79" s="198">
        <f>FS!V8</f>
        <v>0</v>
      </c>
      <c r="O79" s="198">
        <f>FS!W8</f>
        <v>0</v>
      </c>
      <c r="P79" s="198"/>
      <c r="Q79" s="198"/>
    </row>
    <row r="80" spans="1:25">
      <c r="A80" s="313" t="str">
        <f>'FS Year'!B45</f>
        <v>Short-Term Loans Receivables</v>
      </c>
      <c r="B80" s="326">
        <f>'FS Year'!R45</f>
        <v>0</v>
      </c>
      <c r="C80" s="326">
        <f>'FS Year'!S45</f>
        <v>80</v>
      </c>
      <c r="D80" s="326">
        <f>'FS Year'!T45</f>
        <v>961.91769763800005</v>
      </c>
      <c r="E80" s="326">
        <f>'FS Year'!U45</f>
        <v>26.662420966999999</v>
      </c>
      <c r="F80" s="326">
        <f>'FS Year'!V45</f>
        <v>2085.9176976379999</v>
      </c>
      <c r="G80" s="326">
        <f>'FS Year'!W45</f>
        <v>6037.7145961010001</v>
      </c>
      <c r="H80" s="197">
        <f t="shared" ref="H80:J81" si="111">G80</f>
        <v>6037.7145961010001</v>
      </c>
      <c r="I80" s="197">
        <f t="shared" si="111"/>
        <v>6037.7145961010001</v>
      </c>
      <c r="J80" s="197">
        <f t="shared" si="111"/>
        <v>6037.7145961010001</v>
      </c>
      <c r="K80" s="197">
        <f t="shared" ref="K80:K82" si="112">J80</f>
        <v>6037.7145961010001</v>
      </c>
      <c r="L80" s="197">
        <f t="shared" ref="L80:L82" si="113">K80</f>
        <v>6037.7145961010001</v>
      </c>
      <c r="M80" s="197">
        <f t="shared" ref="M80:M82" si="114">L80</f>
        <v>6037.7145961010001</v>
      </c>
      <c r="N80" s="197">
        <f t="shared" ref="N80:N81" si="115">M80</f>
        <v>6037.7145961010001</v>
      </c>
      <c r="O80" s="197">
        <f t="shared" ref="O80:O81" si="116">N80</f>
        <v>6037.7145961010001</v>
      </c>
      <c r="P80" s="197"/>
      <c r="Q80" s="197"/>
    </row>
    <row r="81" spans="1:18">
      <c r="A81" s="313" t="str">
        <f>'FS Year'!B64</f>
        <v>Long-Term Loans Receivables</v>
      </c>
      <c r="B81" s="326">
        <f>'FS Year'!R64</f>
        <v>0</v>
      </c>
      <c r="C81" s="326">
        <f>'FS Year'!S64</f>
        <v>0</v>
      </c>
      <c r="D81" s="326">
        <f>'FS Year'!T64</f>
        <v>0</v>
      </c>
      <c r="E81" s="326">
        <f>'FS Year'!U64</f>
        <v>0</v>
      </c>
      <c r="F81" s="326">
        <f>'FS Year'!V89</f>
        <v>460</v>
      </c>
      <c r="G81" s="326">
        <f>'FS Year'!W89</f>
        <v>0</v>
      </c>
      <c r="H81" s="197">
        <f t="shared" si="111"/>
        <v>0</v>
      </c>
      <c r="I81" s="197">
        <f t="shared" si="111"/>
        <v>0</v>
      </c>
      <c r="J81" s="197">
        <f t="shared" si="111"/>
        <v>0</v>
      </c>
      <c r="K81" s="197">
        <f t="shared" si="112"/>
        <v>0</v>
      </c>
      <c r="L81" s="197">
        <f t="shared" si="113"/>
        <v>0</v>
      </c>
      <c r="M81" s="197">
        <f t="shared" si="114"/>
        <v>0</v>
      </c>
      <c r="N81" s="197">
        <f t="shared" si="115"/>
        <v>0</v>
      </c>
      <c r="O81" s="197">
        <f t="shared" si="116"/>
        <v>0</v>
      </c>
      <c r="P81" s="197"/>
      <c r="Q81" s="197"/>
    </row>
    <row r="82" spans="1:18" s="316" customFormat="1">
      <c r="A82" s="315" t="s">
        <v>1995</v>
      </c>
      <c r="B82" s="334">
        <f>B74/B77</f>
        <v>5.4952976746343703E-2</v>
      </c>
      <c r="C82" s="334">
        <f>C74/AVERAGE(B77:C77)</f>
        <v>5.2206973069716833E-2</v>
      </c>
      <c r="D82" s="334">
        <f>D74/AVERAGE(C77:D77)</f>
        <v>5.5598405945772762E-2</v>
      </c>
      <c r="E82" s="334">
        <f>E74/AVERAGE(D77:E77)</f>
        <v>4.9537422061326476E-2</v>
      </c>
      <c r="F82" s="334">
        <f>F74/AVERAGE(E77:F77)</f>
        <v>8.7059245526712056E-2</v>
      </c>
      <c r="G82" s="334">
        <f>G74/AVERAGE(F77:G77)</f>
        <v>6.424396680888185E-2</v>
      </c>
      <c r="H82" s="317">
        <f>G82-0.31%</f>
        <v>6.1143966808881851E-2</v>
      </c>
      <c r="I82" s="317">
        <f>H82-0.4%</f>
        <v>5.7143966808881855E-2</v>
      </c>
      <c r="J82" s="317">
        <f>I82</f>
        <v>5.7143966808881855E-2</v>
      </c>
      <c r="K82" s="317">
        <f t="shared" si="112"/>
        <v>5.7143966808881855E-2</v>
      </c>
      <c r="L82" s="317">
        <f t="shared" si="113"/>
        <v>5.7143966808881855E-2</v>
      </c>
      <c r="M82" s="317">
        <f t="shared" si="114"/>
        <v>5.7143966808881855E-2</v>
      </c>
      <c r="N82" s="317">
        <f t="shared" ref="N82" si="117">M82-0.58%</f>
        <v>5.1343966808881855E-2</v>
      </c>
      <c r="O82" s="317">
        <f t="shared" ref="O82" si="118">N82-0.2%</f>
        <v>4.9343966808881853E-2</v>
      </c>
      <c r="P82" s="317"/>
      <c r="Q82" s="317"/>
    </row>
    <row r="83" spans="1:18" s="278" customFormat="1">
      <c r="A83" s="336" t="s">
        <v>549</v>
      </c>
      <c r="B83" s="337">
        <f>'FS Year'!R341</f>
        <v>569.75484484399999</v>
      </c>
      <c r="C83" s="337">
        <f>'FS Year'!S341</f>
        <v>594.15151375100004</v>
      </c>
      <c r="D83" s="337">
        <f>'FS Year'!T341</f>
        <v>714.70722574499996</v>
      </c>
      <c r="E83" s="337">
        <f>'FS Year'!U341</f>
        <v>1382.6204545319999</v>
      </c>
      <c r="F83" s="337">
        <f>'FS Year'!V341</f>
        <v>1556.146106982</v>
      </c>
      <c r="G83" s="337">
        <f>'FS Year'!W341</f>
        <v>1188.4656095099999</v>
      </c>
      <c r="H83" s="279">
        <f ca="1">SUM(H84:H86)</f>
        <v>1233.9314900178645</v>
      </c>
      <c r="I83" s="279">
        <f ca="1">SUM(I84:I86)</f>
        <v>1290.0114253329207</v>
      </c>
      <c r="J83" s="279">
        <f ca="1">SUM(J84:J86)</f>
        <v>1277.6040434689321</v>
      </c>
      <c r="K83" s="279">
        <f t="shared" ref="K83:O83" ca="1" si="119">SUM(K84:K86)</f>
        <v>1275.6087126415539</v>
      </c>
      <c r="L83" s="279">
        <f t="shared" ca="1" si="119"/>
        <v>1276.3966783334536</v>
      </c>
      <c r="M83" s="279">
        <f t="shared" ca="1" si="119"/>
        <v>1264.5389916479699</v>
      </c>
      <c r="N83" s="279">
        <f ca="1">SUM(N84:N86)</f>
        <v>724.98458520243344</v>
      </c>
      <c r="O83" s="279">
        <f t="shared" ca="1" si="119"/>
        <v>107.50814962254975</v>
      </c>
      <c r="P83" s="279"/>
      <c r="Q83" s="279"/>
      <c r="R83" s="279"/>
    </row>
    <row r="84" spans="1:18">
      <c r="A84" s="313" t="s">
        <v>550</v>
      </c>
      <c r="B84" s="333">
        <f>'FS Year'!R342</f>
        <v>568.13671713400004</v>
      </c>
      <c r="C84" s="333">
        <f>'FS Year'!S342</f>
        <v>594.00382102100002</v>
      </c>
      <c r="D84" s="333">
        <f>'FS Year'!T342</f>
        <v>674.427746189</v>
      </c>
      <c r="E84" s="333">
        <f>'FS Year'!U342</f>
        <v>1362.1439091029999</v>
      </c>
      <c r="F84" s="333">
        <f>'FS Year'!V342</f>
        <v>1447.7183547970001</v>
      </c>
      <c r="G84" s="333">
        <f>'FS Year'!W342</f>
        <v>1137.2361297479999</v>
      </c>
      <c r="H84" s="198">
        <f ca="1">H90*AVERAGE(G87:H87)</f>
        <v>1189.0917862278645</v>
      </c>
      <c r="I84" s="198">
        <f ca="1">I90*AVERAGE(H87:I87)</f>
        <v>1221.8457800872538</v>
      </c>
      <c r="J84" s="198">
        <f ca="1">J90*AVERAGE(I87:J87)</f>
        <v>1222.8591005363764</v>
      </c>
      <c r="K84" s="198">
        <f t="shared" ref="K84:O84" ca="1" si="120">K90*AVERAGE(J87:K87)</f>
        <v>1221.8443472107022</v>
      </c>
      <c r="L84" s="198">
        <f t="shared" ca="1" si="120"/>
        <v>1217.5050271304287</v>
      </c>
      <c r="M84" s="198">
        <f t="shared" ca="1" si="120"/>
        <v>1208.7386717924926</v>
      </c>
      <c r="N84" s="198">
        <f ca="1">N90*AVERAGE(M87:N87)</f>
        <v>669.31078383010561</v>
      </c>
      <c r="O84" s="198">
        <f t="shared" ca="1" si="120"/>
        <v>50.719558812273114</v>
      </c>
      <c r="P84" s="198"/>
      <c r="Q84" s="198"/>
      <c r="R84" s="198"/>
    </row>
    <row r="85" spans="1:18">
      <c r="A85" s="313" t="s">
        <v>552</v>
      </c>
      <c r="B85" s="333">
        <f>'FS Year'!R346</f>
        <v>3.5984154999999997E-2</v>
      </c>
      <c r="C85" s="333">
        <f>'FS Year'!S346</f>
        <v>5.9418874000000003E-2</v>
      </c>
      <c r="D85" s="333">
        <f>'FS Year'!T346</f>
        <v>40.279479555999998</v>
      </c>
      <c r="E85" s="333">
        <f>'FS Year'!U346</f>
        <v>13.385429290999999</v>
      </c>
      <c r="F85" s="333">
        <f>'FS Year'!V346</f>
        <v>84.000285446999996</v>
      </c>
      <c r="G85" s="333">
        <f>'FS Year'!W346</f>
        <v>25.885524365999999</v>
      </c>
      <c r="H85" s="314">
        <f>G85</f>
        <v>25.885524365999999</v>
      </c>
      <c r="I85" s="314">
        <f t="shared" ref="I85:J86" si="121">AVERAGE(F85:H85)</f>
        <v>45.257111393000002</v>
      </c>
      <c r="J85" s="314">
        <f t="shared" si="121"/>
        <v>32.342720041666666</v>
      </c>
      <c r="K85" s="314">
        <f t="shared" ref="K85" si="122">J85</f>
        <v>32.342720041666666</v>
      </c>
      <c r="L85" s="314">
        <f t="shared" ref="L85:L86" si="123">AVERAGE(I85:K85)</f>
        <v>36.647517158777781</v>
      </c>
      <c r="M85" s="314">
        <f t="shared" ref="M85:M86" si="124">AVERAGE(J85:L85)</f>
        <v>33.777652414037043</v>
      </c>
      <c r="N85" s="314">
        <f t="shared" ref="N85" si="125">M85</f>
        <v>33.777652414037043</v>
      </c>
      <c r="O85" s="314">
        <f t="shared" ref="O85:O86" si="126">AVERAGE(L85:N85)</f>
        <v>34.734273995617286</v>
      </c>
      <c r="P85" s="314"/>
      <c r="Q85" s="314"/>
    </row>
    <row r="86" spans="1:18">
      <c r="A86" s="313" t="s">
        <v>553</v>
      </c>
      <c r="B86" s="333">
        <f>'FS Year'!R349</f>
        <v>1.582143555</v>
      </c>
      <c r="C86" s="333">
        <f>'FS Year'!S349</f>
        <v>8.8273855999999998E-2</v>
      </c>
      <c r="D86" s="333">
        <f>'FS Year'!T349</f>
        <v>0</v>
      </c>
      <c r="E86" s="333">
        <f>'FS Year'!U349</f>
        <v>7.0911161380000003</v>
      </c>
      <c r="F86" s="333">
        <f>'FS Year'!V349</f>
        <v>24.427466738</v>
      </c>
      <c r="G86" s="333">
        <f>'FS Year'!W349</f>
        <v>25.343955395999998</v>
      </c>
      <c r="H86" s="314">
        <f>AVERAGE(E86:G86)</f>
        <v>18.954179423999999</v>
      </c>
      <c r="I86" s="314">
        <f t="shared" si="121"/>
        <v>22.908533852666665</v>
      </c>
      <c r="J86" s="314">
        <f t="shared" si="121"/>
        <v>22.40222289088889</v>
      </c>
      <c r="K86" s="314">
        <f>AVERAGE(H86:J86)</f>
        <v>21.421645389185187</v>
      </c>
      <c r="L86" s="314">
        <f t="shared" si="123"/>
        <v>22.244134044246916</v>
      </c>
      <c r="M86" s="314">
        <f t="shared" si="124"/>
        <v>22.022667441440333</v>
      </c>
      <c r="N86" s="314">
        <f t="shared" ref="N86" si="127">AVERAGE(K86:M86)</f>
        <v>21.896148958290812</v>
      </c>
      <c r="O86" s="314">
        <f t="shared" si="126"/>
        <v>22.054316814659355</v>
      </c>
      <c r="P86" s="314"/>
      <c r="Q86" s="314"/>
    </row>
    <row r="87" spans="1:18" s="269" customFormat="1">
      <c r="A87" s="320" t="s">
        <v>1994</v>
      </c>
      <c r="B87" s="327">
        <f ca="1">SUM(B88:B89)</f>
        <v>14153.152286848999</v>
      </c>
      <c r="C87" s="327">
        <f t="shared" ref="C87:J87" ca="1" si="128">SUM(C88:C89)</f>
        <v>16751.856988576998</v>
      </c>
      <c r="D87" s="327">
        <f t="shared" ca="1" si="128"/>
        <v>24647.474278786001</v>
      </c>
      <c r="E87" s="327">
        <f ca="1">SUM(E88:E89)</f>
        <v>16589.388631456</v>
      </c>
      <c r="F87" s="327">
        <f ca="1">SUM(F88:F89)</f>
        <v>25113.791817780999</v>
      </c>
      <c r="G87" s="327">
        <f ca="1">SUM(G88:G89)</f>
        <v>27300.246721779</v>
      </c>
      <c r="H87" s="269">
        <f t="shared" ca="1" si="128"/>
        <v>27503.765461893134</v>
      </c>
      <c r="I87" s="269">
        <f t="shared" ca="1" si="128"/>
        <v>27541.358024336943</v>
      </c>
      <c r="J87" s="269">
        <f t="shared" ca="1" si="128"/>
        <v>27549.416353488545</v>
      </c>
      <c r="K87" s="269">
        <f t="shared" ref="K87:O87" ca="1" si="129">SUM(K88:K89)</f>
        <v>27495.642580514061</v>
      </c>
      <c r="L87" s="269">
        <f t="shared" ca="1" si="129"/>
        <v>27353.926535086201</v>
      </c>
      <c r="M87" s="269">
        <f t="shared" ca="1" si="129"/>
        <v>27100.711305254095</v>
      </c>
      <c r="N87" s="269">
        <f t="shared" si="129"/>
        <v>0</v>
      </c>
      <c r="O87" s="269">
        <f t="shared" ca="1" si="129"/>
        <v>2186.4549039980011</v>
      </c>
    </row>
    <row r="88" spans="1:18">
      <c r="A88" s="112" t="str">
        <f>FS!C29</f>
        <v>Short-Term Borrowings</v>
      </c>
      <c r="B88" s="326">
        <f ca="1">FS!J29</f>
        <v>13031.015620192</v>
      </c>
      <c r="C88" s="326">
        <f ca="1">FS!K29</f>
        <v>15625.180321923999</v>
      </c>
      <c r="D88" s="326">
        <f ca="1">FS!L29</f>
        <v>24647.474278786001</v>
      </c>
      <c r="E88" s="326">
        <f ca="1">FS!M29</f>
        <v>10688.138631456</v>
      </c>
      <c r="F88" s="326">
        <f ca="1">FS!N29</f>
        <v>19128.541817780999</v>
      </c>
      <c r="G88" s="326">
        <f ca="1">FS!O29</f>
        <v>27300.246721779</v>
      </c>
      <c r="H88" s="198">
        <f ca="1">FS!P29</f>
        <v>27503.765461893134</v>
      </c>
      <c r="I88" s="198">
        <f ca="1">FS!Q29</f>
        <v>27541.358024336943</v>
      </c>
      <c r="J88" s="198">
        <f ca="1">FS!R29</f>
        <v>27549.416353488545</v>
      </c>
      <c r="K88" s="198">
        <f ca="1">FS!S29</f>
        <v>27495.642580514061</v>
      </c>
      <c r="L88" s="198">
        <f ca="1">FS!T29</f>
        <v>27353.926535086201</v>
      </c>
      <c r="M88" s="198">
        <f ca="1">FS!U29</f>
        <v>27100.711305254095</v>
      </c>
      <c r="N88" s="198">
        <f>FS!V29</f>
        <v>0</v>
      </c>
      <c r="O88" s="198">
        <f ca="1">FS!W29</f>
        <v>8171.7049039980011</v>
      </c>
      <c r="P88" s="198"/>
      <c r="Q88" s="198"/>
      <c r="R88" s="197"/>
    </row>
    <row r="89" spans="1:18">
      <c r="A89" s="112" t="str">
        <f>FS!C36</f>
        <v>Long-Term Borrowings</v>
      </c>
      <c r="B89" s="326">
        <f ca="1">FS!J36</f>
        <v>1122.136666657</v>
      </c>
      <c r="C89" s="326">
        <f ca="1">FS!K36</f>
        <v>1126.676666653</v>
      </c>
      <c r="D89" s="326">
        <f ca="1">FS!L36</f>
        <v>0</v>
      </c>
      <c r="E89" s="326">
        <f ca="1">FS!M36</f>
        <v>5901.25</v>
      </c>
      <c r="F89" s="326">
        <f ca="1">FS!N36</f>
        <v>5985.25</v>
      </c>
      <c r="G89" s="326">
        <f ca="1">FS!O36</f>
        <v>0</v>
      </c>
      <c r="H89" s="198">
        <f ca="1">FS!P36</f>
        <v>0</v>
      </c>
      <c r="I89" s="198">
        <f ca="1">FS!Q36</f>
        <v>0</v>
      </c>
      <c r="J89" s="198">
        <f ca="1">FS!R36</f>
        <v>0</v>
      </c>
      <c r="K89" s="198">
        <f ca="1">FS!S36</f>
        <v>0</v>
      </c>
      <c r="L89" s="198">
        <f ca="1">FS!T36</f>
        <v>0</v>
      </c>
      <c r="M89" s="198">
        <f ca="1">FS!U36</f>
        <v>0</v>
      </c>
      <c r="N89" s="198">
        <f>FS!V36</f>
        <v>0</v>
      </c>
      <c r="O89" s="198">
        <f ca="1">FS!W36</f>
        <v>-5985.25</v>
      </c>
      <c r="P89" s="198"/>
      <c r="Q89" s="198"/>
    </row>
    <row r="90" spans="1:18" s="238" customFormat="1">
      <c r="A90" s="238" t="str">
        <f>A82</f>
        <v>Interest rate (%)</v>
      </c>
      <c r="B90" s="335">
        <f ca="1">B84/B87</f>
        <v>4.0142062038144556E-2</v>
      </c>
      <c r="C90" s="334">
        <f ca="1">C84/AVERAGE(C87,B87)</f>
        <v>3.8440617553434614E-2</v>
      </c>
      <c r="D90" s="334">
        <f ca="1">D84/AVERAGE(D87,C87)</f>
        <v>3.2581576829511856E-2</v>
      </c>
      <c r="E90" s="334">
        <f ca="1">E84/AVERAGE(E87,D87)</f>
        <v>6.6064380894730199E-2</v>
      </c>
      <c r="F90" s="334">
        <f ca="1">F84/AVERAGE(F87,E87)</f>
        <v>6.9429637701576674E-2</v>
      </c>
      <c r="G90" s="334">
        <f ca="1">G84/AVERAGE(G87,F87)</f>
        <v>4.3394333328833648E-2</v>
      </c>
      <c r="H90" s="272">
        <f ca="1">G90</f>
        <v>4.3394333328833648E-2</v>
      </c>
      <c r="I90" s="272">
        <f ca="1">H90+0.1%</f>
        <v>4.4394333328833649E-2</v>
      </c>
      <c r="J90" s="272">
        <f ca="1">I90</f>
        <v>4.4394333328833649E-2</v>
      </c>
      <c r="K90" s="272">
        <f t="shared" ref="K90:M90" ca="1" si="130">J90</f>
        <v>4.4394333328833649E-2</v>
      </c>
      <c r="L90" s="272">
        <f t="shared" ca="1" si="130"/>
        <v>4.4394333328833649E-2</v>
      </c>
      <c r="M90" s="272">
        <f t="shared" ca="1" si="130"/>
        <v>4.4394333328833649E-2</v>
      </c>
      <c r="N90" s="272">
        <f t="shared" ref="N90" ca="1" si="131">M90+0.5%</f>
        <v>4.9394333328833646E-2</v>
      </c>
      <c r="O90" s="272">
        <f t="shared" ref="O90" ca="1" si="132">N90-0.3%</f>
        <v>4.6394333328833644E-2</v>
      </c>
      <c r="P90" s="272"/>
      <c r="Q90" s="272"/>
    </row>
    <row r="91" spans="1:18">
      <c r="D91" s="329" t="s">
        <v>1996</v>
      </c>
      <c r="E91" s="202">
        <f t="shared" ref="E91:J91" ca="1" si="133">(1+E90)^(1/4)-1</f>
        <v>1.612200914643136E-2</v>
      </c>
      <c r="F91" s="202">
        <f ca="1">(1+F90)^(1/4)-1</f>
        <v>1.6922962424589683E-2</v>
      </c>
      <c r="G91" s="202">
        <f ca="1">(1+G90)^(1/4)-1</f>
        <v>1.0676385328569404E-2</v>
      </c>
      <c r="H91" s="202">
        <f t="shared" ca="1" si="133"/>
        <v>1.0676385328569404E-2</v>
      </c>
      <c r="I91" s="202">
        <f t="shared" ca="1" si="133"/>
        <v>1.0918459038134154E-2</v>
      </c>
      <c r="J91" s="202">
        <f t="shared" ca="1" si="133"/>
        <v>1.0918459038134154E-2</v>
      </c>
      <c r="K91" s="202">
        <f t="shared" ref="K91:O91" ca="1" si="134">(1+K90)^(1/4)-1</f>
        <v>1.0918459038134154E-2</v>
      </c>
      <c r="L91" s="202">
        <f t="shared" ca="1" si="134"/>
        <v>1.0918459038134154E-2</v>
      </c>
      <c r="M91" s="202">
        <f t="shared" ca="1" si="134"/>
        <v>1.0918459038134154E-2</v>
      </c>
      <c r="N91" s="202">
        <f t="shared" ca="1" si="134"/>
        <v>1.2126226757978253E-2</v>
      </c>
      <c r="O91" s="202">
        <f t="shared" ca="1" si="134"/>
        <v>1.1402085421563735E-2</v>
      </c>
      <c r="P91" s="202"/>
      <c r="Q91" s="202"/>
    </row>
    <row r="92" spans="1:18">
      <c r="A92" s="112" t="s">
        <v>1997</v>
      </c>
      <c r="E92" s="214">
        <f ca="1">E89*E91</f>
        <v>95.140006475378058</v>
      </c>
      <c r="F92" s="214">
        <f ca="1">F89*F91</f>
        <v>101.2881608517754</v>
      </c>
      <c r="G92" s="214">
        <f ca="1">G89*G91</f>
        <v>0</v>
      </c>
    </row>
    <row r="93" spans="1:18">
      <c r="A93" s="112" t="s">
        <v>1998</v>
      </c>
      <c r="D93" s="329">
        <v>120</v>
      </c>
    </row>
    <row r="94" spans="1:18">
      <c r="A94" s="112" t="s">
        <v>1999</v>
      </c>
      <c r="E94" s="112">
        <v>250</v>
      </c>
      <c r="F94" s="112">
        <v>250</v>
      </c>
      <c r="G94" s="112">
        <v>250</v>
      </c>
      <c r="H94" s="112">
        <f>G94</f>
        <v>250</v>
      </c>
      <c r="K94" s="112">
        <f t="shared" ref="K94" si="135">J94</f>
        <v>0</v>
      </c>
      <c r="N94" s="112">
        <f t="shared" ref="N94" si="136">M94</f>
        <v>0</v>
      </c>
    </row>
    <row r="95" spans="1:18">
      <c r="A95" s="112" t="s">
        <v>2000</v>
      </c>
      <c r="D95" s="352">
        <v>23000</v>
      </c>
      <c r="E95" s="352">
        <v>23600</v>
      </c>
      <c r="F95" s="352">
        <v>23600</v>
      </c>
      <c r="G95" s="352">
        <v>23600</v>
      </c>
      <c r="H95" s="352">
        <v>24502</v>
      </c>
      <c r="K95" s="352">
        <v>24503</v>
      </c>
      <c r="N95" s="352">
        <v>24504</v>
      </c>
    </row>
    <row r="96" spans="1:18">
      <c r="D96" s="326">
        <f>SUM(D93:D94)*D95/10^3</f>
        <v>2760</v>
      </c>
      <c r="E96" s="326">
        <f>SUM(E93:E94)*E95/10^3</f>
        <v>5900</v>
      </c>
      <c r="F96" s="326">
        <f>SUM(F93:F94)*F95/10^3</f>
        <v>5900</v>
      </c>
      <c r="G96" s="326">
        <f>SUM(G93:G94)*G95/10^3</f>
        <v>5900</v>
      </c>
      <c r="H96" s="326">
        <f>SUM(H93:H94)*H95/10^3</f>
        <v>6125.5</v>
      </c>
      <c r="K96" s="326">
        <f t="shared" ref="K96" si="137">SUM(K93:K94)*K95/10^3</f>
        <v>0</v>
      </c>
      <c r="N96" s="326">
        <f t="shared" ref="N96" si="138">SUM(N93:N94)*N95/10^3</f>
        <v>0</v>
      </c>
    </row>
    <row r="97" spans="1:25">
      <c r="A97" s="112" t="s">
        <v>2001</v>
      </c>
      <c r="D97" s="353">
        <f ca="1">D96/D87</f>
        <v>0.11197901938274961</v>
      </c>
      <c r="E97" s="353">
        <f ca="1">E96/E87</f>
        <v>0.35564903150274652</v>
      </c>
      <c r="F97" s="353">
        <f ca="1">F96/F87</f>
        <v>0.23493067246908919</v>
      </c>
      <c r="G97" s="353">
        <f ca="1">G96/G87</f>
        <v>0.21611526299112988</v>
      </c>
      <c r="H97" s="353">
        <f ca="1">H96/H87</f>
        <v>0.22271495910212619</v>
      </c>
      <c r="K97" s="353">
        <f t="shared" ref="K97" ca="1" si="139">K96/K87</f>
        <v>0</v>
      </c>
      <c r="N97" s="353" t="e">
        <f t="shared" ref="N97" si="140">N96/N87</f>
        <v>#DIV/0!</v>
      </c>
    </row>
    <row r="98" spans="1:25">
      <c r="A98" s="112" t="s">
        <v>1995</v>
      </c>
      <c r="D98" s="354">
        <v>0.05</v>
      </c>
      <c r="E98" s="266">
        <f>D98+2%</f>
        <v>7.0000000000000007E-2</v>
      </c>
      <c r="F98" s="266">
        <f>E98+2%</f>
        <v>9.0000000000000011E-2</v>
      </c>
      <c r="G98" s="266">
        <f>F98+2%</f>
        <v>0.11000000000000001</v>
      </c>
      <c r="H98" s="266">
        <f>G98</f>
        <v>0.11000000000000001</v>
      </c>
      <c r="K98" s="266">
        <f t="shared" ref="K98" si="141">J98</f>
        <v>0</v>
      </c>
      <c r="N98" s="266">
        <f t="shared" ref="N98" si="142">M98</f>
        <v>0</v>
      </c>
    </row>
    <row r="99" spans="1:25">
      <c r="D99" s="324">
        <f>D96*D98</f>
        <v>138</v>
      </c>
      <c r="E99" s="324">
        <f>D96*D98*3/4+E96*E98/4</f>
        <v>206.75</v>
      </c>
      <c r="F99" s="324">
        <f>E96*E98*3/4+F96*F98/4</f>
        <v>442.50000000000011</v>
      </c>
      <c r="G99" s="324">
        <f>F96*F98*3/4+G96*G98/4</f>
        <v>560.50000000000011</v>
      </c>
      <c r="H99" s="324">
        <f>H96*H98</f>
        <v>673.80500000000006</v>
      </c>
      <c r="K99" s="324">
        <f t="shared" ref="K99" si="143">K96*K98</f>
        <v>0</v>
      </c>
      <c r="N99" s="324">
        <f t="shared" ref="N99" si="144">N96*N98</f>
        <v>0</v>
      </c>
    </row>
    <row r="101" spans="1:25">
      <c r="A101" s="112" t="s">
        <v>567</v>
      </c>
    </row>
    <row r="102" spans="1:25">
      <c r="A102" s="329" t="s">
        <v>2002</v>
      </c>
      <c r="D102" s="326">
        <f>'FS Year'!T237</f>
        <v>12963.311412900999</v>
      </c>
      <c r="E102" s="326">
        <f>'FS Year'!U237</f>
        <v>17987.087849355001</v>
      </c>
      <c r="F102" s="326">
        <f>'FS Year'!V237</f>
        <v>20841.513609195001</v>
      </c>
      <c r="G102" s="326">
        <f>'FS Year'!W237</f>
        <v>20139.282722977001</v>
      </c>
    </row>
    <row r="103" spans="1:25">
      <c r="A103" s="329" t="s">
        <v>1942</v>
      </c>
      <c r="D103" s="326">
        <f>'FS Year'!T239</f>
        <v>-159.44922431200001</v>
      </c>
      <c r="E103" s="326">
        <f>'FS Year'!U239</f>
        <v>-1220.692858036</v>
      </c>
      <c r="F103" s="326">
        <f>'FS Year'!V239</f>
        <v>-1254.4866307459999</v>
      </c>
      <c r="G103" s="326">
        <f>'FS Year'!W239</f>
        <v>-1157.6227577919999</v>
      </c>
    </row>
    <row r="104" spans="1:25">
      <c r="A104" s="329" t="s">
        <v>2003</v>
      </c>
      <c r="D104" s="326">
        <f>'FS Year'!T236</f>
        <v>17987.087849355001</v>
      </c>
      <c r="E104" s="326">
        <f>'FS Year'!U236</f>
        <v>20841.513609195001</v>
      </c>
      <c r="F104" s="326">
        <f>'FS Year'!V236</f>
        <v>20139.282722977001</v>
      </c>
      <c r="G104" s="326">
        <f>'FS Year'!W236</f>
        <v>19174.626383751998</v>
      </c>
    </row>
    <row r="105" spans="1:25">
      <c r="A105" s="329" t="s">
        <v>2004</v>
      </c>
      <c r="D105" s="326">
        <f>-'Report''s chart'!D135</f>
        <v>-2761.9150673280001</v>
      </c>
      <c r="E105" s="326">
        <f>-'Report''s chart'!E135</f>
        <v>-4637.6162635999999</v>
      </c>
      <c r="F105" s="326">
        <f>-'Report''s chart'!F135</f>
        <v>-5809.2497762379999</v>
      </c>
      <c r="G105" s="326">
        <f>-'Report''s chart'!G135</f>
        <v>-8565.6908867019993</v>
      </c>
    </row>
    <row r="106" spans="1:25">
      <c r="A106" s="329" t="s">
        <v>2005</v>
      </c>
      <c r="D106" s="326">
        <f>'FS Year'!T68</f>
        <v>9566.9549332200004</v>
      </c>
      <c r="E106" s="326">
        <f>'FS Year'!U68</f>
        <v>9653.3300059760004</v>
      </c>
      <c r="F106" s="326">
        <f>'FS Year'!V68</f>
        <v>6431.3153731129996</v>
      </c>
      <c r="G106" s="326">
        <f>'FS Year'!W68</f>
        <v>3523.1610979060001</v>
      </c>
    </row>
    <row r="107" spans="1:25">
      <c r="A107" s="329" t="s">
        <v>2006</v>
      </c>
      <c r="D107" s="341">
        <f>D106/D108</f>
        <v>3.3292837938205984</v>
      </c>
      <c r="E107" s="341">
        <f t="shared" ref="E107:G107" si="145">E106/E108</f>
        <v>2.7796230079556006</v>
      </c>
      <c r="F107" s="341">
        <f t="shared" si="145"/>
        <v>1.9407756002202698</v>
      </c>
      <c r="G107" s="341">
        <f t="shared" si="145"/>
        <v>1.323253529610108</v>
      </c>
    </row>
    <row r="108" spans="1:25">
      <c r="A108" s="329" t="s">
        <v>2007</v>
      </c>
      <c r="D108" s="326">
        <f>'FS Year'!T242</f>
        <v>2873.5774796300002</v>
      </c>
      <c r="E108" s="326">
        <f>'FS Year'!U242</f>
        <v>3472.8918196270001</v>
      </c>
      <c r="F108" s="326">
        <f>'FS Year'!V242</f>
        <v>3313.7861854729999</v>
      </c>
      <c r="G108" s="326">
        <f>'FS Year'!W242</f>
        <v>2662.49892335</v>
      </c>
    </row>
    <row r="109" spans="1:25" s="350" customFormat="1" ht="32">
      <c r="A109" s="1870" t="s">
        <v>497</v>
      </c>
      <c r="B109" s="1870"/>
      <c r="C109" s="1870"/>
      <c r="D109" s="1870"/>
      <c r="F109" s="350" t="s">
        <v>2008</v>
      </c>
      <c r="G109" s="350" t="s">
        <v>2009</v>
      </c>
    </row>
    <row r="110" spans="1:25">
      <c r="A110" s="329" t="s">
        <v>2010</v>
      </c>
      <c r="D110" s="324">
        <f>D63</f>
        <v>-1520.5790053701658</v>
      </c>
      <c r="E110" s="197">
        <f>D110</f>
        <v>-1520.5790053701658</v>
      </c>
      <c r="F110" s="198">
        <f>E113</f>
        <v>-1997.0755953225175</v>
      </c>
      <c r="G110" s="198">
        <f>Valuation_Senario!I277</f>
        <v>-1722.6441555591214</v>
      </c>
      <c r="H110" s="198">
        <f>Valuation_Senario!J277</f>
        <v>-1580.923076094683</v>
      </c>
      <c r="I110" s="198">
        <f>Valuation_Senario!K277</f>
        <v>-1287.299805135315</v>
      </c>
      <c r="J110" s="198">
        <f>Valuation_Senario!L277</f>
        <v>-774.57900327977518</v>
      </c>
      <c r="K110" s="198">
        <f>Valuation_Senario!M277</f>
        <v>-208.50917438446106</v>
      </c>
      <c r="L110" s="198">
        <f>Valuation_Senario!N277</f>
        <v>0</v>
      </c>
      <c r="M110" s="198">
        <f>Valuation_Senario!O277</f>
        <v>0</v>
      </c>
      <c r="N110" s="198">
        <f>Valuation_Senario!P277</f>
        <v>0</v>
      </c>
      <c r="O110" s="198">
        <f>Valuation_Senario!Q277</f>
        <v>0</v>
      </c>
      <c r="P110" s="198"/>
      <c r="Q110" s="198"/>
      <c r="R110" s="198"/>
      <c r="S110" s="198"/>
      <c r="T110" s="198"/>
      <c r="U110" s="198"/>
      <c r="V110" s="198"/>
      <c r="W110" s="198"/>
      <c r="X110" s="198"/>
      <c r="Y110" s="198"/>
    </row>
    <row r="111" spans="1:25">
      <c r="A111" s="329" t="s">
        <v>2011</v>
      </c>
      <c r="E111" s="198">
        <f>-E61/5.3</f>
        <v>-476.49658995235188</v>
      </c>
      <c r="F111" s="198"/>
      <c r="G111" s="198"/>
      <c r="H111" s="198">
        <f>-H61/5.3</f>
        <v>-80.513207547169813</v>
      </c>
      <c r="I111" s="198">
        <f t="shared" ref="I111:K111" si="146">-I61/5.3</f>
        <v>-46.007547169811332</v>
      </c>
      <c r="J111" s="198">
        <f t="shared" si="146"/>
        <v>-45.947169811320762</v>
      </c>
      <c r="K111" s="198">
        <f t="shared" si="146"/>
        <v>-80.354716981132086</v>
      </c>
      <c r="L111" s="198">
        <f t="shared" ref="L111:O111" si="147">-L61/5.3</f>
        <v>-45.916981132075477</v>
      </c>
      <c r="M111" s="198">
        <f t="shared" si="147"/>
        <v>-45.856603773584908</v>
      </c>
      <c r="N111" s="198">
        <f t="shared" si="147"/>
        <v>-80.19622641509433</v>
      </c>
      <c r="O111" s="198">
        <f t="shared" si="147"/>
        <v>-45.841509433962266</v>
      </c>
      <c r="P111" s="198"/>
      <c r="Q111" s="198"/>
      <c r="R111" s="198"/>
      <c r="S111" s="198"/>
      <c r="T111" s="198"/>
      <c r="U111" s="198"/>
      <c r="V111" s="198"/>
      <c r="W111" s="198"/>
      <c r="X111" s="198"/>
      <c r="Y111" s="198"/>
    </row>
    <row r="112" spans="1:25">
      <c r="A112" s="329" t="s">
        <v>2012</v>
      </c>
      <c r="F112" s="198">
        <f>-(F12-200)/5.3</f>
        <v>274.43143976339621</v>
      </c>
      <c r="G112" s="198">
        <f>-((F12-200)*221/206)/5.3</f>
        <v>294.41431159082794</v>
      </c>
      <c r="H112" s="198"/>
      <c r="I112" s="198"/>
      <c r="J112" s="198"/>
      <c r="K112" s="198"/>
      <c r="L112" s="198"/>
      <c r="M112" s="198"/>
      <c r="N112" s="198"/>
      <c r="O112" s="198"/>
      <c r="P112" s="198"/>
      <c r="Q112" s="198"/>
      <c r="R112" s="198"/>
      <c r="S112" s="198"/>
      <c r="T112" s="198"/>
      <c r="U112" s="198"/>
      <c r="V112" s="198"/>
      <c r="W112" s="198"/>
      <c r="X112" s="198"/>
      <c r="Y112" s="198"/>
    </row>
    <row r="113" spans="1:25">
      <c r="A113" s="329" t="s">
        <v>2013</v>
      </c>
      <c r="E113" s="197">
        <f>SUM(E110:E112)</f>
        <v>-1997.0755953225175</v>
      </c>
      <c r="F113" s="198">
        <f>F110+F112</f>
        <v>-1722.6441555591214</v>
      </c>
      <c r="G113" s="198">
        <f t="shared" ref="G113" si="148">G110+G112</f>
        <v>-1428.2298439682934</v>
      </c>
      <c r="H113" s="198">
        <f>H110+H112+H111</f>
        <v>-1661.4362836418527</v>
      </c>
      <c r="I113" s="198">
        <f t="shared" ref="I113:O113" si="149">I110+I112+I111</f>
        <v>-1333.3073523051262</v>
      </c>
      <c r="J113" s="198">
        <f t="shared" si="149"/>
        <v>-820.52617309109598</v>
      </c>
      <c r="K113" s="198">
        <f t="shared" si="149"/>
        <v>-288.86389136559313</v>
      </c>
      <c r="L113" s="198">
        <f t="shared" si="149"/>
        <v>-45.916981132075477</v>
      </c>
      <c r="M113" s="198">
        <f t="shared" si="149"/>
        <v>-45.856603773584908</v>
      </c>
      <c r="N113" s="198">
        <f t="shared" si="149"/>
        <v>-80.19622641509433</v>
      </c>
      <c r="O113" s="198">
        <f t="shared" si="149"/>
        <v>-45.841509433962266</v>
      </c>
      <c r="P113" s="198"/>
      <c r="Q113" s="198"/>
      <c r="R113" s="198"/>
      <c r="S113" s="198"/>
      <c r="T113" s="198"/>
      <c r="U113" s="198"/>
      <c r="V113" s="198"/>
      <c r="W113" s="198"/>
      <c r="X113" s="198"/>
      <c r="Y113" s="198"/>
    </row>
    <row r="114" spans="1:25" s="350" customFormat="1" ht="64">
      <c r="A114" s="1870" t="s">
        <v>7</v>
      </c>
      <c r="B114" s="1870"/>
      <c r="C114" s="1870"/>
      <c r="D114" s="1870"/>
      <c r="E114" s="350" t="s">
        <v>2014</v>
      </c>
      <c r="F114" s="350" t="s">
        <v>2015</v>
      </c>
    </row>
    <row r="115" spans="1:25">
      <c r="A115" s="329" t="s">
        <v>2010</v>
      </c>
      <c r="D115" s="324">
        <f>D69</f>
        <v>-1187.3913066298342</v>
      </c>
      <c r="E115" s="197">
        <f>D115</f>
        <v>-1187.3913066298342</v>
      </c>
      <c r="F115" s="197">
        <f>E116+E115</f>
        <v>-1492.9814497697466</v>
      </c>
      <c r="G115" s="197">
        <f>Valuation_Senario!I265+$E$116</f>
        <v>-1084.306900743054</v>
      </c>
      <c r="H115" s="197">
        <f>Valuation_Senario!J265+$E$116</f>
        <v>-590.18438217289963</v>
      </c>
      <c r="I115" s="197">
        <f>Valuation_Senario!K265+$E$116*0.5</f>
        <v>-160.65863426920771</v>
      </c>
      <c r="J115" s="197">
        <f>Valuation_Senario!L265</f>
        <v>0</v>
      </c>
      <c r="K115" s="197">
        <f>Valuation_Senario!M265+$E$116</f>
        <v>-305.59014313991236</v>
      </c>
      <c r="L115" s="197">
        <f>Valuation_Senario!N265+$E$116*0.5</f>
        <v>-152.79507156995618</v>
      </c>
      <c r="M115" s="197">
        <f>Valuation_Senario!O265</f>
        <v>0</v>
      </c>
      <c r="N115" s="197">
        <f>Valuation_Senario!P265+$E$116</f>
        <v>-305.59014313991236</v>
      </c>
      <c r="O115" s="197">
        <f>Valuation_Senario!Q265+$E$116*0.5</f>
        <v>-152.79507156995618</v>
      </c>
      <c r="P115" s="197"/>
      <c r="Q115" s="197"/>
    </row>
    <row r="116" spans="1:25">
      <c r="A116" s="329" t="s">
        <v>2016</v>
      </c>
      <c r="E116" s="198">
        <f>-E67/5.3</f>
        <v>-305.59014313991236</v>
      </c>
      <c r="G116" s="198">
        <f>-G67/5.3*0.5</f>
        <v>-22.641509433962266</v>
      </c>
      <c r="H116" s="198">
        <f>-SUM($G$67:G67)/5.3-(H67/5.3)*0.8</f>
        <v>-334.71698113207543</v>
      </c>
      <c r="I116" s="198">
        <f>-SUM($G$67:H67)/5.3-(I67/5.3)*0.8</f>
        <v>-712.73584905660391</v>
      </c>
      <c r="J116" s="198">
        <f>-SUM($G$67:I67)/5.3-(J67/5.3)*0.8</f>
        <v>-1058.9622641509436</v>
      </c>
      <c r="K116" s="198">
        <f>-SUM($G$67:J67)/5.3-(K67/5.3)*0.8</f>
        <v>-1386.7924528301887</v>
      </c>
      <c r="L116" s="198">
        <f>-SUM($G$67:K67)/5.3-(L67/5.3)*0.8</f>
        <v>-1668.867924528302</v>
      </c>
      <c r="M116" s="198">
        <f>-SUM($G$67:L67)/5.3-(M67/5.3)*0.8</f>
        <v>-1853.3018867924529</v>
      </c>
      <c r="N116" s="198">
        <f>-SUM($G$67:M67)/5.3-(N67/5.3)*0.8</f>
        <v>-1885.8490566037738</v>
      </c>
      <c r="O116" s="198">
        <f>-SUM($G$67:N67)/5.3-(O67/5.3)*0.8</f>
        <v>-1885.915479873285</v>
      </c>
      <c r="P116" s="198"/>
      <c r="Q116" s="198"/>
    </row>
    <row r="117" spans="1:25">
      <c r="A117" s="329" t="s">
        <v>2012</v>
      </c>
      <c r="E117" s="198">
        <f>-E12/5.3</f>
        <v>230.31940717660376</v>
      </c>
      <c r="F117" s="198">
        <f>200/5.3</f>
        <v>37.735849056603776</v>
      </c>
    </row>
    <row r="118" spans="1:25">
      <c r="A118" s="112" t="s">
        <v>2013</v>
      </c>
      <c r="D118" s="324">
        <f>SUM(D115:D117)</f>
        <v>-1187.3913066298342</v>
      </c>
      <c r="E118" s="324">
        <f>SUM(E115:E117)</f>
        <v>-1262.6620425931428</v>
      </c>
      <c r="F118" s="324">
        <f>SUM(F115:F117)</f>
        <v>-1455.2456007131429</v>
      </c>
      <c r="G118" s="324">
        <f t="shared" ref="G118" si="150">SUM(G115:G117)</f>
        <v>-1106.9484101770163</v>
      </c>
      <c r="H118" s="324">
        <f>SUM(H115:H117)</f>
        <v>-924.90136330497512</v>
      </c>
      <c r="I118" s="324">
        <f>SUM(I115:I117)</f>
        <v>-873.39448332581162</v>
      </c>
      <c r="J118" s="324">
        <f t="shared" ref="J118:O118" si="151">SUM(J115:J117)</f>
        <v>-1058.9622641509436</v>
      </c>
      <c r="K118" s="324">
        <f>SUM(K115:K117)</f>
        <v>-1692.3825959701012</v>
      </c>
      <c r="L118" s="324">
        <f t="shared" si="151"/>
        <v>-1821.6629960982582</v>
      </c>
      <c r="M118" s="324">
        <f t="shared" ref="M118" si="152">SUM(M115:M117)</f>
        <v>-1853.3018867924529</v>
      </c>
      <c r="N118" s="324">
        <f t="shared" si="151"/>
        <v>-2191.439199743686</v>
      </c>
      <c r="O118" s="324">
        <f t="shared" si="151"/>
        <v>-2038.7105514432412</v>
      </c>
      <c r="P118" s="324"/>
      <c r="Q118" s="324"/>
    </row>
    <row r="119" spans="1:25">
      <c r="E119" s="197">
        <f>E118+E113</f>
        <v>-3259.7376379156603</v>
      </c>
      <c r="F119" s="197">
        <f t="shared" ref="F119:J119" si="153">F118+F113</f>
        <v>-3177.8897562722641</v>
      </c>
      <c r="G119" s="197">
        <f t="shared" si="153"/>
        <v>-2535.1782541453094</v>
      </c>
      <c r="H119" s="197">
        <f t="shared" si="153"/>
        <v>-2586.3376469468276</v>
      </c>
      <c r="I119" s="197">
        <f t="shared" si="153"/>
        <v>-2206.7018356309377</v>
      </c>
      <c r="J119" s="197">
        <f t="shared" si="153"/>
        <v>-1879.4884372420397</v>
      </c>
      <c r="K119" s="197">
        <f t="shared" ref="K119:O119" si="154">K118+K113</f>
        <v>-1981.2464873356944</v>
      </c>
      <c r="L119" s="197">
        <f t="shared" si="154"/>
        <v>-1867.5799772303337</v>
      </c>
      <c r="M119" s="197">
        <f t="shared" si="154"/>
        <v>-1899.1584905660379</v>
      </c>
      <c r="N119" s="197">
        <f t="shared" si="154"/>
        <v>-2271.6354261587803</v>
      </c>
      <c r="O119" s="197">
        <f t="shared" si="154"/>
        <v>-2084.5520608772035</v>
      </c>
      <c r="P119" s="197"/>
      <c r="Q119" s="197"/>
    </row>
    <row r="120" spans="1:25">
      <c r="E120" s="214">
        <f>E119/-E108</f>
        <v>0.93862343177328422</v>
      </c>
      <c r="F120" s="214">
        <f>F119/-F108</f>
        <v>0.95899058611672672</v>
      </c>
      <c r="G120" s="214">
        <f>G119/-G108</f>
        <v>0.95218001100841998</v>
      </c>
    </row>
    <row r="121" spans="1:25">
      <c r="E121" s="197">
        <f>E108+E119</f>
        <v>213.15418171133979</v>
      </c>
      <c r="F121" s="197">
        <f t="shared" ref="F121" si="155">F108+F119</f>
        <v>135.89642920073584</v>
      </c>
      <c r="G121" s="197">
        <f>G108+G119</f>
        <v>127.3206692046906</v>
      </c>
    </row>
  </sheetData>
  <pageMargins left="0.7" right="0.7" top="0.75" bottom="0.75" header="0.3" footer="0.3"/>
  <pageSetup paperSize="9" orientation="portrait" r:id="rId1"/>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FD076-CA3E-4CAF-B65C-F293B25BDF8F}">
  <dimension ref="A1:AX1887"/>
  <sheetViews>
    <sheetView topLeftCell="R1" zoomScale="85" zoomScaleNormal="85" workbookViewId="0">
      <selection activeCell="AB42" sqref="AB42"/>
    </sheetView>
  </sheetViews>
  <sheetFormatPr baseColWidth="10" defaultColWidth="9.1640625" defaultRowHeight="15"/>
  <cols>
    <col min="1" max="1" width="9.1640625" style="966"/>
    <col min="2" max="2" width="10.5" style="967" bestFit="1" customWidth="1"/>
    <col min="3" max="9" width="9.1640625" style="966"/>
    <col min="10" max="10" width="9.1640625" style="973"/>
    <col min="11" max="11" width="9.1640625" style="966"/>
    <col min="12" max="12" width="10.6640625" style="990" bestFit="1" customWidth="1"/>
    <col min="13" max="13" width="11" style="969" bestFit="1" customWidth="1"/>
    <col min="14" max="14" width="10.1640625" style="969" bestFit="1" customWidth="1"/>
    <col min="15" max="15" width="10" style="974" bestFit="1" customWidth="1"/>
    <col min="16" max="16" width="9.1640625" style="966"/>
    <col min="17" max="17" width="10.5" style="967" bestFit="1" customWidth="1"/>
    <col min="18" max="24" width="9.1640625" style="966"/>
    <col min="25" max="25" width="10.5" style="967" bestFit="1" customWidth="1"/>
    <col min="26" max="26" width="12.33203125" style="966" bestFit="1" customWidth="1"/>
    <col min="27" max="27" width="10.5" style="973" bestFit="1" customWidth="1"/>
    <col min="28" max="38" width="9.1640625" style="966"/>
    <col min="39" max="39" width="10.5" style="967" bestFit="1" customWidth="1"/>
    <col min="40" max="40" width="11.5" style="974" bestFit="1" customWidth="1"/>
    <col min="41" max="41" width="9.1640625" style="976"/>
    <col min="42" max="44" width="9.1640625" style="966"/>
    <col min="45" max="45" width="10.5" style="967" bestFit="1" customWidth="1"/>
    <col min="46" max="46" width="10" style="974" bestFit="1" customWidth="1"/>
    <col min="47" max="47" width="11" style="974" bestFit="1" customWidth="1"/>
    <col min="48" max="48" width="9.33203125" style="974" bestFit="1" customWidth="1"/>
    <col min="49" max="16384" width="9.1640625" style="966"/>
  </cols>
  <sheetData>
    <row r="1" spans="1:50">
      <c r="C1" s="966">
        <f>58300/C17-1</f>
        <v>-0.12462462462462465</v>
      </c>
      <c r="K1" s="966">
        <f ca="1">K2*58300</f>
        <v>85611.043099999995</v>
      </c>
      <c r="Y1" s="967" t="e" vm="2">
        <v>#VALUE!</v>
      </c>
      <c r="Z1" s="972" cm="1">
        <f t="array" aca="1" ref="Z1" ca="1">_FV(Y1,"Shares outstanding",TRUE)/10^9</f>
        <v>1.4684569999999999</v>
      </c>
      <c r="AA1" s="973">
        <f>55700</f>
        <v>55700</v>
      </c>
      <c r="AB1" s="966">
        <f ca="1">AA1*Z1</f>
        <v>81793.054899999988</v>
      </c>
    </row>
    <row r="2" spans="1:50" ht="45">
      <c r="A2" s="966" t="s">
        <v>2017</v>
      </c>
      <c r="B2" s="967" t="s">
        <v>2018</v>
      </c>
      <c r="C2" s="966" t="s">
        <v>2019</v>
      </c>
      <c r="D2" s="966" t="s">
        <v>2020</v>
      </c>
      <c r="E2" s="966" t="s">
        <v>2021</v>
      </c>
      <c r="F2" s="966" t="s">
        <v>2022</v>
      </c>
      <c r="G2" s="966" t="s">
        <v>2023</v>
      </c>
      <c r="H2" s="966" t="s">
        <v>2024</v>
      </c>
      <c r="I2" s="966" t="s">
        <v>2025</v>
      </c>
      <c r="J2" s="973" t="e" vm="2">
        <v>#VALUE!</v>
      </c>
      <c r="K2" s="968" cm="1">
        <f t="array" aca="1" ref="K2" ca="1">_FV(J2,"Shares outstanding",TRUE)/10^9</f>
        <v>1.4684569999999999</v>
      </c>
      <c r="L2" s="990" t="s">
        <v>2018</v>
      </c>
      <c r="M2" s="969" t="s">
        <v>2026</v>
      </c>
      <c r="N2" s="969" t="s">
        <v>2027</v>
      </c>
      <c r="O2" s="974" t="s">
        <v>2028</v>
      </c>
      <c r="Q2" s="967" t="s">
        <v>2018</v>
      </c>
      <c r="R2" s="966" t="s">
        <v>2029</v>
      </c>
      <c r="S2" s="966" t="s">
        <v>2030</v>
      </c>
      <c r="T2" s="966" t="s">
        <v>2031</v>
      </c>
      <c r="U2" s="970" t="s">
        <v>2032</v>
      </c>
      <c r="Y2" s="967" t="s">
        <v>2018</v>
      </c>
      <c r="Z2" s="966" t="s">
        <v>2033</v>
      </c>
      <c r="AA2" s="978" t="s">
        <v>2034</v>
      </c>
      <c r="AB2" s="966" t="s">
        <v>2035</v>
      </c>
      <c r="AC2" s="966" t="s">
        <v>2036</v>
      </c>
      <c r="AE2" s="970"/>
      <c r="AM2" s="967" t="s">
        <v>2018</v>
      </c>
      <c r="AN2" s="974" t="s">
        <v>2037</v>
      </c>
      <c r="AO2" s="976" t="s">
        <v>2030</v>
      </c>
      <c r="AS2" s="967" t="s">
        <v>2018</v>
      </c>
      <c r="AT2" s="974" t="s">
        <v>2026</v>
      </c>
      <c r="AU2" s="974" t="s">
        <v>2027</v>
      </c>
      <c r="AV2" s="974" t="s">
        <v>2028</v>
      </c>
    </row>
    <row r="3" spans="1:50">
      <c r="A3" s="966">
        <v>1</v>
      </c>
      <c r="B3" s="967">
        <v>45415</v>
      </c>
      <c r="C3" s="966">
        <v>55700</v>
      </c>
      <c r="D3" s="966">
        <v>629.64681350000001</v>
      </c>
      <c r="E3" s="966">
        <v>84.158197999999999</v>
      </c>
      <c r="F3" s="966">
        <v>100289.9</v>
      </c>
      <c r="G3" s="966">
        <v>81447.000658899997</v>
      </c>
      <c r="H3" s="966">
        <v>716.84</v>
      </c>
      <c r="I3" s="966">
        <v>77.7</v>
      </c>
      <c r="L3" s="991">
        <v>44929</v>
      </c>
      <c r="M3" s="982">
        <v>62778.861116400003</v>
      </c>
      <c r="N3" s="969">
        <v>67272</v>
      </c>
      <c r="O3" s="974">
        <v>5043.2036863337999</v>
      </c>
      <c r="Q3" s="967">
        <v>45415</v>
      </c>
      <c r="R3" s="966">
        <v>55700</v>
      </c>
      <c r="S3" s="971">
        <v>0.47475566435075001</v>
      </c>
      <c r="T3" s="969">
        <v>545.48861550000004</v>
      </c>
      <c r="U3" s="966">
        <v>716.84</v>
      </c>
      <c r="V3" s="972">
        <v>1711.47</v>
      </c>
      <c r="W3" s="971">
        <f>T3/V3</f>
        <v>0.31872519851355852</v>
      </c>
      <c r="Y3" s="967">
        <v>45869</v>
      </c>
      <c r="AB3" s="974"/>
      <c r="AC3" s="974"/>
      <c r="AE3" s="974"/>
      <c r="AF3" s="974"/>
      <c r="AG3" s="974"/>
      <c r="AH3" s="974"/>
      <c r="AJ3" s="974"/>
      <c r="AK3" s="974"/>
      <c r="AL3" s="974"/>
      <c r="AM3" s="967">
        <v>45415</v>
      </c>
      <c r="AN3" s="974">
        <v>1048.19498896</v>
      </c>
      <c r="AO3" s="38">
        <v>0.47475566435075001</v>
      </c>
      <c r="AS3" s="967">
        <v>44929</v>
      </c>
      <c r="AT3" s="974">
        <v>62778.861116400003</v>
      </c>
      <c r="AU3" s="974">
        <v>67272</v>
      </c>
      <c r="AV3" s="974">
        <v>5043.2036863337999</v>
      </c>
      <c r="AW3" s="982">
        <f ca="1">Valuation_Senario!I388</f>
        <v>116665.31671889745</v>
      </c>
      <c r="AX3" s="985">
        <f ca="1">FS!P104</f>
        <v>6757.4049217238035</v>
      </c>
    </row>
    <row r="4" spans="1:50">
      <c r="L4" s="991">
        <v>44930</v>
      </c>
      <c r="M4" s="982">
        <v>62778.861116400003</v>
      </c>
      <c r="N4" s="969">
        <v>67272</v>
      </c>
      <c r="O4" s="974">
        <v>5043.2020287031501</v>
      </c>
      <c r="S4" s="971"/>
      <c r="T4" s="969"/>
      <c r="V4" s="972"/>
      <c r="W4" s="971"/>
      <c r="AB4" s="974"/>
      <c r="AC4" s="974"/>
      <c r="AE4" s="974"/>
      <c r="AF4" s="974"/>
      <c r="AG4" s="974"/>
      <c r="AH4" s="974"/>
      <c r="AJ4" s="974"/>
      <c r="AK4" s="974"/>
      <c r="AL4" s="974"/>
      <c r="AO4" s="38"/>
      <c r="AS4" s="967">
        <v>44930</v>
      </c>
      <c r="AT4" s="974">
        <v>62778.861116400003</v>
      </c>
      <c r="AU4" s="974">
        <v>67272</v>
      </c>
      <c r="AV4" s="974">
        <v>5043.2020287031501</v>
      </c>
      <c r="AW4" s="982">
        <f ca="1">AW3</f>
        <v>116665.31671889745</v>
      </c>
      <c r="AX4" s="985">
        <f ca="1">AX3</f>
        <v>6757.4049217238035</v>
      </c>
    </row>
    <row r="5" spans="1:50">
      <c r="L5" s="991">
        <v>44931</v>
      </c>
      <c r="M5" s="982">
        <v>64315.406668199998</v>
      </c>
      <c r="N5" s="969">
        <v>67272</v>
      </c>
      <c r="O5" s="974">
        <v>5043.2100374577703</v>
      </c>
      <c r="S5" s="971"/>
      <c r="T5" s="969"/>
      <c r="V5" s="972"/>
      <c r="W5" s="971"/>
      <c r="AB5" s="974"/>
      <c r="AC5" s="974"/>
      <c r="AE5" s="974"/>
      <c r="AF5" s="974"/>
      <c r="AG5" s="974"/>
      <c r="AH5" s="974"/>
      <c r="AJ5" s="974"/>
      <c r="AK5" s="974"/>
      <c r="AL5" s="974"/>
      <c r="AO5" s="38"/>
      <c r="AS5" s="967">
        <v>44931</v>
      </c>
      <c r="AT5" s="974">
        <v>64315.406668199998</v>
      </c>
      <c r="AU5" s="974">
        <v>67272</v>
      </c>
      <c r="AV5" s="974">
        <v>5043.2100374577703</v>
      </c>
      <c r="AW5" s="982">
        <f ca="1">AW3</f>
        <v>116665.31671889745</v>
      </c>
      <c r="AX5" s="985">
        <f ca="1">AX3</f>
        <v>6757.4049217238035</v>
      </c>
    </row>
    <row r="6" spans="1:50">
      <c r="A6" s="966">
        <v>2</v>
      </c>
      <c r="B6" s="967">
        <v>45414</v>
      </c>
      <c r="C6" s="966">
        <v>55600</v>
      </c>
      <c r="D6" s="966">
        <v>311.31362130000002</v>
      </c>
      <c r="E6" s="966">
        <v>71.659446399999993</v>
      </c>
      <c r="F6" s="966">
        <v>100143.67999999999</v>
      </c>
      <c r="G6" s="966">
        <v>81300.776241200001</v>
      </c>
      <c r="H6" s="966">
        <v>716.84</v>
      </c>
      <c r="I6" s="966">
        <v>77.56</v>
      </c>
      <c r="L6" s="991">
        <v>44932</v>
      </c>
      <c r="M6" s="982">
        <v>63656.887146000001</v>
      </c>
      <c r="N6" s="969">
        <v>67272</v>
      </c>
      <c r="O6" s="974">
        <v>5043.2083798567583</v>
      </c>
      <c r="Q6" s="967">
        <v>45414</v>
      </c>
      <c r="R6" s="966">
        <v>55600</v>
      </c>
      <c r="S6" s="971">
        <v>0.46769696313795001</v>
      </c>
      <c r="T6" s="969">
        <v>239.65417489999999</v>
      </c>
      <c r="U6" s="966">
        <v>716.84</v>
      </c>
      <c r="V6" s="972">
        <v>1242.08</v>
      </c>
      <c r="W6" s="971">
        <f t="shared" ref="W6:W72" si="0">T6/V6</f>
        <v>0.19294584479260596</v>
      </c>
      <c r="AM6" s="967">
        <v>45414</v>
      </c>
      <c r="AN6" s="974">
        <v>1048.19498896</v>
      </c>
      <c r="AO6" s="38">
        <v>0.46769696313795001</v>
      </c>
      <c r="AS6" s="967">
        <v>44932</v>
      </c>
      <c r="AT6" s="974">
        <v>63656.887146000001</v>
      </c>
      <c r="AU6" s="974">
        <v>67272</v>
      </c>
      <c r="AV6" s="974">
        <v>5043.2083798567583</v>
      </c>
      <c r="AW6" s="982">
        <f ca="1">AW3</f>
        <v>116665.31671889745</v>
      </c>
      <c r="AX6" s="985">
        <f>AX7</f>
        <v>3721.8684416610026</v>
      </c>
    </row>
    <row r="7" spans="1:50">
      <c r="A7" s="966">
        <v>3</v>
      </c>
      <c r="B7" s="967">
        <v>45408</v>
      </c>
      <c r="C7" s="966">
        <v>54900</v>
      </c>
      <c r="D7" s="966">
        <v>315.11529000000002</v>
      </c>
      <c r="E7" s="966">
        <v>40.612909999999999</v>
      </c>
      <c r="F7" s="966">
        <v>100038.69</v>
      </c>
      <c r="G7" s="966">
        <v>80277.205317300002</v>
      </c>
      <c r="H7" s="966">
        <v>114.59</v>
      </c>
      <c r="I7" s="966">
        <v>479.11</v>
      </c>
      <c r="L7" s="991">
        <v>44935</v>
      </c>
      <c r="M7" s="982">
        <v>63803.224817599999</v>
      </c>
      <c r="N7" s="969">
        <v>67272</v>
      </c>
      <c r="O7" s="974">
        <v>5043.2067222557471</v>
      </c>
      <c r="Q7" s="967">
        <v>45408</v>
      </c>
      <c r="R7" s="966">
        <v>54900</v>
      </c>
      <c r="S7" s="971">
        <v>0.46456073105920997</v>
      </c>
      <c r="T7" s="969">
        <v>274.50238000000002</v>
      </c>
      <c r="U7" s="966">
        <v>114.59</v>
      </c>
      <c r="V7" s="966">
        <v>681.29</v>
      </c>
      <c r="W7" s="971">
        <f t="shared" si="0"/>
        <v>0.40291561596383335</v>
      </c>
      <c r="AM7" s="967">
        <v>45408</v>
      </c>
      <c r="AN7" s="974">
        <v>167.55853996000002</v>
      </c>
      <c r="AO7" s="38">
        <v>0.46456073105920997</v>
      </c>
      <c r="AS7" s="967">
        <v>44935</v>
      </c>
      <c r="AT7" s="974">
        <v>63803.224817599999</v>
      </c>
      <c r="AU7" s="974">
        <v>67272</v>
      </c>
      <c r="AV7" s="974">
        <v>5043.2067222557471</v>
      </c>
      <c r="AW7" s="982">
        <f ca="1">AW6</f>
        <v>116665.31671889745</v>
      </c>
      <c r="AX7" s="985">
        <f>AX8</f>
        <v>3721.8684416610026</v>
      </c>
    </row>
    <row r="8" spans="1:50">
      <c r="L8" s="991">
        <v>44936</v>
      </c>
      <c r="M8" s="982">
        <v>63144.705295400003</v>
      </c>
      <c r="N8" s="969">
        <v>67272</v>
      </c>
      <c r="O8" s="974">
        <v>5043.2050646547359</v>
      </c>
      <c r="S8" s="971"/>
      <c r="T8" s="969"/>
      <c r="W8" s="971"/>
      <c r="AO8" s="38"/>
      <c r="AS8" s="967">
        <v>44936</v>
      </c>
      <c r="AT8" s="974">
        <v>63144.705295400003</v>
      </c>
      <c r="AU8" s="974">
        <v>67272</v>
      </c>
      <c r="AV8" s="974">
        <v>5043.2050646547359</v>
      </c>
      <c r="AW8" s="982">
        <f ca="1">AW7</f>
        <v>116665.31671889745</v>
      </c>
      <c r="AX8" s="985">
        <f>AX9</f>
        <v>3721.8684416610026</v>
      </c>
    </row>
    <row r="9" spans="1:50">
      <c r="L9" s="991">
        <v>44937</v>
      </c>
      <c r="M9" s="982">
        <v>61461.822072000003</v>
      </c>
      <c r="N9" s="969">
        <v>67272</v>
      </c>
      <c r="O9" s="974">
        <v>5043.2147309622515</v>
      </c>
      <c r="S9" s="971"/>
      <c r="T9" s="969"/>
      <c r="W9" s="971"/>
      <c r="AO9" s="38"/>
      <c r="AS9" s="967">
        <v>44937</v>
      </c>
      <c r="AT9" s="974">
        <v>61461.822072000003</v>
      </c>
      <c r="AU9" s="974">
        <v>67272</v>
      </c>
      <c r="AV9" s="974">
        <v>5043.2147309622515</v>
      </c>
      <c r="AW9" s="969">
        <f>N10</f>
        <v>67272</v>
      </c>
      <c r="AX9" s="985">
        <f>FS!O104</f>
        <v>3721.8684416610026</v>
      </c>
    </row>
    <row r="10" spans="1:50">
      <c r="L10" s="990">
        <v>44938</v>
      </c>
      <c r="M10" s="969">
        <v>61754.4974152</v>
      </c>
      <c r="N10" s="969">
        <v>67272</v>
      </c>
      <c r="O10" s="974">
        <v>5043.2130733564281</v>
      </c>
      <c r="S10" s="971"/>
      <c r="T10" s="969"/>
      <c r="W10" s="971"/>
      <c r="AO10" s="38"/>
      <c r="AS10" s="967">
        <v>44938</v>
      </c>
      <c r="AT10" s="974">
        <v>61754.4974152</v>
      </c>
      <c r="AU10" s="974">
        <v>67272</v>
      </c>
      <c r="AV10" s="974">
        <v>5043.2130733564281</v>
      </c>
    </row>
    <row r="11" spans="1:50">
      <c r="A11" s="966">
        <v>4</v>
      </c>
      <c r="B11" s="967">
        <v>45526</v>
      </c>
      <c r="C11" s="966">
        <v>70000</v>
      </c>
      <c r="D11" s="966">
        <v>266.01945999999998</v>
      </c>
      <c r="E11" s="966">
        <v>55.436019999999999</v>
      </c>
      <c r="F11" s="966">
        <v>98430.22</v>
      </c>
      <c r="G11" s="966">
        <v>102334.07716</v>
      </c>
      <c r="H11" s="974">
        <v>1506.74</v>
      </c>
      <c r="I11" s="966">
        <v>469.51</v>
      </c>
      <c r="J11" s="973">
        <v>1.46256448026</v>
      </c>
      <c r="L11" s="990">
        <v>44939</v>
      </c>
      <c r="M11" s="969">
        <v>62266.679265799998</v>
      </c>
      <c r="N11" s="969">
        <v>67272</v>
      </c>
      <c r="O11" s="974">
        <v>5043.2114157506048</v>
      </c>
      <c r="Q11" s="967">
        <v>45407</v>
      </c>
      <c r="R11" s="966">
        <v>53800</v>
      </c>
      <c r="S11" s="971">
        <v>0.46099999379790002</v>
      </c>
      <c r="T11" s="969">
        <v>210.58344</v>
      </c>
      <c r="U11" s="966">
        <v>114.59</v>
      </c>
      <c r="V11" s="972">
        <v>1049.4000000000001</v>
      </c>
      <c r="W11" s="971">
        <f t="shared" si="0"/>
        <v>0.20067032590051456</v>
      </c>
      <c r="AM11" s="967">
        <v>45407</v>
      </c>
      <c r="AN11" s="974">
        <v>167.55853996000002</v>
      </c>
      <c r="AO11" s="38">
        <v>0.46099999379790002</v>
      </c>
      <c r="AS11" s="967">
        <v>44939</v>
      </c>
      <c r="AT11" s="974">
        <v>62266.679265799998</v>
      </c>
      <c r="AU11" s="974">
        <v>67272</v>
      </c>
      <c r="AV11" s="974">
        <v>5043.2114157506048</v>
      </c>
    </row>
    <row r="12" spans="1:50">
      <c r="A12" s="966">
        <v>5</v>
      </c>
      <c r="B12" s="967">
        <v>45525</v>
      </c>
      <c r="C12" s="966">
        <v>69800</v>
      </c>
      <c r="D12" s="966">
        <v>189.56619000000001</v>
      </c>
      <c r="E12" s="966">
        <v>29.204619999999998</v>
      </c>
      <c r="F12" s="966">
        <v>96236.86</v>
      </c>
      <c r="G12" s="966">
        <v>102041.6940824</v>
      </c>
      <c r="H12" s="974">
        <v>1506.74</v>
      </c>
      <c r="I12" s="966">
        <v>456.42</v>
      </c>
      <c r="J12" s="973">
        <v>1.46256448026</v>
      </c>
      <c r="L12" s="990">
        <v>44942</v>
      </c>
      <c r="M12" s="969">
        <v>61608.159743600001</v>
      </c>
      <c r="N12" s="969">
        <v>67272</v>
      </c>
      <c r="O12" s="974">
        <v>5043.2097581447815</v>
      </c>
      <c r="Q12" s="967">
        <v>45406</v>
      </c>
      <c r="R12" s="966">
        <v>52300</v>
      </c>
      <c r="S12" s="971">
        <v>0.46104263490275998</v>
      </c>
      <c r="T12" s="969">
        <v>160.36157</v>
      </c>
      <c r="U12" s="966">
        <v>114.59</v>
      </c>
      <c r="V12" s="966">
        <v>642.35</v>
      </c>
      <c r="W12" s="971">
        <f t="shared" si="0"/>
        <v>0.24964827586206895</v>
      </c>
      <c r="AM12" s="967">
        <v>45406</v>
      </c>
      <c r="AN12" s="974">
        <v>167.55853996000002</v>
      </c>
      <c r="AO12" s="38">
        <v>0.46104263490275998</v>
      </c>
      <c r="AS12" s="967">
        <v>44942</v>
      </c>
      <c r="AT12" s="974">
        <v>61608.159743600001</v>
      </c>
      <c r="AU12" s="974">
        <v>67272</v>
      </c>
      <c r="AV12" s="974">
        <v>5043.2097581447815</v>
      </c>
    </row>
    <row r="13" spans="1:50">
      <c r="A13" s="966">
        <v>6</v>
      </c>
      <c r="B13" s="967">
        <v>45524</v>
      </c>
      <c r="C13" s="966">
        <v>69500</v>
      </c>
      <c r="D13" s="966">
        <v>333.16529750000001</v>
      </c>
      <c r="E13" s="966">
        <v>241.930925</v>
      </c>
      <c r="F13" s="966">
        <v>92581.25</v>
      </c>
      <c r="G13" s="966">
        <v>101603.119466</v>
      </c>
      <c r="H13" s="974">
        <v>1506.74</v>
      </c>
      <c r="I13" s="966">
        <v>434.61</v>
      </c>
      <c r="J13" s="973">
        <v>1.46256448026</v>
      </c>
      <c r="L13" s="990">
        <v>44943</v>
      </c>
      <c r="M13" s="969">
        <v>61534.990907799998</v>
      </c>
      <c r="N13" s="969">
        <v>67272</v>
      </c>
      <c r="O13" s="974">
        <v>5043.2081005045084</v>
      </c>
      <c r="Q13" s="967">
        <v>45405</v>
      </c>
      <c r="R13" s="966">
        <v>49800</v>
      </c>
      <c r="S13" s="971">
        <v>0.46249889628556001</v>
      </c>
      <c r="T13" s="969">
        <v>91.234372500000006</v>
      </c>
      <c r="U13" s="966">
        <v>114.59</v>
      </c>
      <c r="V13" s="966">
        <v>917.28</v>
      </c>
      <c r="W13" s="971">
        <f t="shared" si="0"/>
        <v>9.9461857339089493E-2</v>
      </c>
      <c r="AM13" s="967">
        <v>45405</v>
      </c>
      <c r="AN13" s="974">
        <v>167.55853996000002</v>
      </c>
      <c r="AO13" s="38">
        <v>0.46249889628556001</v>
      </c>
      <c r="AS13" s="967">
        <v>44943</v>
      </c>
      <c r="AT13" s="974">
        <v>61534.990907799998</v>
      </c>
      <c r="AU13" s="974">
        <v>67272</v>
      </c>
      <c r="AV13" s="974">
        <v>5043.2081005045084</v>
      </c>
    </row>
    <row r="14" spans="1:50">
      <c r="A14" s="966">
        <v>7</v>
      </c>
      <c r="B14" s="967">
        <v>45523</v>
      </c>
      <c r="C14" s="966">
        <v>69000</v>
      </c>
      <c r="D14" s="966">
        <v>192.26495</v>
      </c>
      <c r="E14" s="966">
        <v>280.84584425000003</v>
      </c>
      <c r="F14" s="966">
        <v>90826.55</v>
      </c>
      <c r="G14" s="966">
        <v>100872.16177200001</v>
      </c>
      <c r="H14" s="974">
        <v>1506.74</v>
      </c>
      <c r="I14" s="966">
        <v>424.13</v>
      </c>
      <c r="J14" s="973">
        <v>1.46256448026</v>
      </c>
      <c r="L14" s="990">
        <v>44944</v>
      </c>
      <c r="M14" s="969">
        <v>61315.484400399997</v>
      </c>
      <c r="N14" s="969">
        <v>67272</v>
      </c>
      <c r="O14" s="974">
        <v>5043.2031276870384</v>
      </c>
      <c r="Q14" s="967">
        <v>45404</v>
      </c>
      <c r="R14" s="966">
        <v>48600</v>
      </c>
      <c r="S14" s="971">
        <v>0.45966480035205998</v>
      </c>
      <c r="T14" s="969">
        <v>-88.58089425</v>
      </c>
      <c r="U14" s="966">
        <v>114.59</v>
      </c>
      <c r="V14" s="966">
        <v>643.49</v>
      </c>
      <c r="W14" s="971">
        <f t="shared" si="0"/>
        <v>-0.1376569865110569</v>
      </c>
      <c r="Y14" s="967">
        <v>45657</v>
      </c>
      <c r="AB14" s="974"/>
      <c r="AC14" s="974"/>
      <c r="AM14" s="967">
        <v>45404</v>
      </c>
      <c r="AN14" s="974">
        <v>167.55853996000002</v>
      </c>
      <c r="AO14" s="38">
        <v>0.45966480035205998</v>
      </c>
      <c r="AS14" s="967">
        <v>44944</v>
      </c>
      <c r="AT14" s="974">
        <v>61315.484400399997</v>
      </c>
      <c r="AU14" s="974">
        <v>67272</v>
      </c>
      <c r="AV14" s="974">
        <v>5043.2031276870384</v>
      </c>
    </row>
    <row r="15" spans="1:50">
      <c r="A15" s="966">
        <v>8</v>
      </c>
      <c r="B15" s="967">
        <v>45520</v>
      </c>
      <c r="C15" s="966">
        <v>69000</v>
      </c>
      <c r="D15" s="966">
        <v>26.099534999999999</v>
      </c>
      <c r="E15" s="966">
        <v>123.99911</v>
      </c>
      <c r="F15" s="966">
        <v>90241.66</v>
      </c>
      <c r="G15" s="966">
        <v>100872.16177200001</v>
      </c>
      <c r="H15" s="974">
        <v>1506.74</v>
      </c>
      <c r="I15" s="966">
        <v>420.64</v>
      </c>
      <c r="J15" s="973">
        <v>1.46256448026</v>
      </c>
      <c r="L15" s="990">
        <v>44945</v>
      </c>
      <c r="M15" s="969">
        <v>62998.367623799997</v>
      </c>
      <c r="N15" s="969">
        <v>67272</v>
      </c>
      <c r="O15" s="974">
        <v>5043.2014700812151</v>
      </c>
      <c r="Q15" s="967">
        <v>45401</v>
      </c>
      <c r="R15" s="966">
        <v>48200</v>
      </c>
      <c r="S15" s="971">
        <v>0.45797011710823998</v>
      </c>
      <c r="T15" s="969">
        <v>-97.899574999999999</v>
      </c>
      <c r="U15" s="966">
        <v>114.59</v>
      </c>
      <c r="V15" s="966">
        <v>467.67</v>
      </c>
      <c r="W15" s="971">
        <f t="shared" si="0"/>
        <v>-0.20933473389355742</v>
      </c>
      <c r="AM15" s="967">
        <v>45401</v>
      </c>
      <c r="AN15" s="974">
        <v>167.55853996000002</v>
      </c>
      <c r="AO15" s="38">
        <v>0.45797011710823998</v>
      </c>
      <c r="AS15" s="967">
        <v>44945</v>
      </c>
      <c r="AT15" s="974">
        <v>62998.367623799997</v>
      </c>
      <c r="AU15" s="974">
        <v>67272</v>
      </c>
      <c r="AV15" s="974">
        <v>5043.2014700812151</v>
      </c>
    </row>
    <row r="16" spans="1:50">
      <c r="A16" s="966">
        <v>9</v>
      </c>
      <c r="B16" s="967">
        <v>45519</v>
      </c>
      <c r="C16" s="966">
        <v>65900</v>
      </c>
      <c r="D16" s="966">
        <v>109.8400595</v>
      </c>
      <c r="E16" s="966">
        <v>81.620230000000006</v>
      </c>
      <c r="F16" s="966">
        <v>91996.35</v>
      </c>
      <c r="G16" s="966">
        <v>96340.224069200005</v>
      </c>
      <c r="H16" s="974">
        <v>1506.74</v>
      </c>
      <c r="I16" s="966">
        <v>431.12</v>
      </c>
      <c r="J16" s="973">
        <v>1.46256448026</v>
      </c>
      <c r="L16" s="990">
        <v>44953</v>
      </c>
      <c r="M16" s="969">
        <v>65778.783384199996</v>
      </c>
      <c r="N16" s="969">
        <v>67272</v>
      </c>
      <c r="O16" s="974">
        <v>5043.2144515426371</v>
      </c>
      <c r="Q16" s="967">
        <v>45399</v>
      </c>
      <c r="R16" s="966">
        <v>49400</v>
      </c>
      <c r="S16" s="971">
        <v>0.45881333812337999</v>
      </c>
      <c r="T16" s="969">
        <v>28.219829499999999</v>
      </c>
      <c r="U16" s="966">
        <v>114.59</v>
      </c>
      <c r="V16" s="966">
        <v>371.4</v>
      </c>
      <c r="W16" s="971">
        <f t="shared" si="0"/>
        <v>7.5982308831448575E-2</v>
      </c>
      <c r="AM16" s="967">
        <v>45399</v>
      </c>
      <c r="AN16" s="974">
        <v>167.55853996000002</v>
      </c>
      <c r="AO16" s="38">
        <v>0.45881333812337999</v>
      </c>
      <c r="AS16" s="967">
        <v>44953</v>
      </c>
      <c r="AT16" s="974">
        <v>65778.783384199996</v>
      </c>
      <c r="AU16" s="974">
        <v>67272</v>
      </c>
      <c r="AV16" s="974">
        <v>5043.2144515426371</v>
      </c>
    </row>
    <row r="17" spans="1:48">
      <c r="A17" s="966">
        <v>10</v>
      </c>
      <c r="B17" s="967">
        <v>45518</v>
      </c>
      <c r="C17" s="966">
        <v>66600</v>
      </c>
      <c r="D17" s="966">
        <v>149.42846</v>
      </c>
      <c r="E17" s="966">
        <v>91.746144999999999</v>
      </c>
      <c r="F17" s="966">
        <v>92727.47</v>
      </c>
      <c r="G17" s="966">
        <v>97363.564840799998</v>
      </c>
      <c r="H17" s="974">
        <v>1506.74</v>
      </c>
      <c r="I17" s="966">
        <v>435.48</v>
      </c>
      <c r="J17" s="973">
        <v>1.46256448026</v>
      </c>
      <c r="L17" s="990">
        <v>44956</v>
      </c>
      <c r="M17" s="969">
        <v>66729.978249599997</v>
      </c>
      <c r="N17" s="969">
        <v>67272</v>
      </c>
      <c r="O17" s="974">
        <v>5043.2127939320035</v>
      </c>
      <c r="Q17" s="967">
        <v>45398</v>
      </c>
      <c r="R17" s="966">
        <v>49900</v>
      </c>
      <c r="S17" s="971">
        <v>0.45780579851728997</v>
      </c>
      <c r="T17" s="969">
        <v>57.682315000000003</v>
      </c>
      <c r="U17" s="966">
        <v>114.59</v>
      </c>
      <c r="V17" s="966">
        <v>683.1</v>
      </c>
      <c r="W17" s="971">
        <f t="shared" si="0"/>
        <v>8.4441977748499486E-2</v>
      </c>
      <c r="AM17" s="967">
        <v>45398</v>
      </c>
      <c r="AN17" s="974">
        <v>167.55853996000002</v>
      </c>
      <c r="AO17" s="38">
        <v>0.45780579851728997</v>
      </c>
      <c r="AS17" s="967">
        <v>44956</v>
      </c>
      <c r="AT17" s="974">
        <v>66729.978249599997</v>
      </c>
      <c r="AU17" s="974">
        <v>67272</v>
      </c>
      <c r="AV17" s="974">
        <v>5043.2127939320035</v>
      </c>
    </row>
    <row r="18" spans="1:48">
      <c r="A18" s="966">
        <v>11</v>
      </c>
      <c r="B18" s="967">
        <v>45517</v>
      </c>
      <c r="C18" s="966">
        <v>66700</v>
      </c>
      <c r="D18" s="966">
        <v>139.83003500000001</v>
      </c>
      <c r="E18" s="966">
        <v>34.267225000000003</v>
      </c>
      <c r="F18" s="966">
        <v>92727.47</v>
      </c>
      <c r="G18" s="966">
        <v>97509.756379600003</v>
      </c>
      <c r="H18" s="974">
        <v>1506.74</v>
      </c>
      <c r="I18" s="966">
        <v>435.48</v>
      </c>
      <c r="J18" s="973">
        <v>1.46256448026</v>
      </c>
      <c r="L18" s="990">
        <v>44957</v>
      </c>
      <c r="M18" s="969">
        <v>67168.9912644</v>
      </c>
      <c r="N18" s="969">
        <v>67272</v>
      </c>
      <c r="O18" s="974">
        <v>5043.2141720364161</v>
      </c>
      <c r="Q18" s="967">
        <v>45397</v>
      </c>
      <c r="R18" s="966">
        <v>49900</v>
      </c>
      <c r="S18" s="971">
        <v>0.45667929432873999</v>
      </c>
      <c r="T18" s="969">
        <v>105.56281</v>
      </c>
      <c r="U18" s="966">
        <v>114.59</v>
      </c>
      <c r="V18" s="966">
        <v>874.07</v>
      </c>
      <c r="W18" s="971">
        <f t="shared" si="0"/>
        <v>0.12077157435903302</v>
      </c>
      <c r="AM18" s="967">
        <v>45397</v>
      </c>
      <c r="AN18" s="974">
        <v>167.55853996000002</v>
      </c>
      <c r="AO18" s="38">
        <v>0.45667929432873999</v>
      </c>
      <c r="AS18" s="967">
        <v>44957</v>
      </c>
      <c r="AT18" s="974">
        <v>67168.9912644</v>
      </c>
      <c r="AU18" s="974">
        <v>67272</v>
      </c>
      <c r="AV18" s="974">
        <v>5043.2141720364161</v>
      </c>
    </row>
    <row r="19" spans="1:48">
      <c r="A19" s="966">
        <v>12</v>
      </c>
      <c r="B19" s="967">
        <v>45516</v>
      </c>
      <c r="C19" s="966">
        <v>66600</v>
      </c>
      <c r="D19" s="966">
        <v>84.576459999999997</v>
      </c>
      <c r="E19" s="966">
        <v>71.275589999999994</v>
      </c>
      <c r="F19" s="966">
        <v>95798.19</v>
      </c>
      <c r="G19" s="966">
        <v>97363.564840799998</v>
      </c>
      <c r="H19" s="974">
        <v>1506.74</v>
      </c>
      <c r="I19" s="966">
        <v>453.81</v>
      </c>
      <c r="J19" s="973">
        <v>1.46256448026</v>
      </c>
      <c r="L19" s="990">
        <v>44958</v>
      </c>
      <c r="M19" s="969">
        <v>67608.004279200002</v>
      </c>
      <c r="N19" s="969">
        <v>67272</v>
      </c>
      <c r="O19" s="974">
        <v>5043.209199190077</v>
      </c>
      <c r="Q19" s="967">
        <v>45394</v>
      </c>
      <c r="R19" s="966">
        <v>52000</v>
      </c>
      <c r="S19" s="971">
        <v>0.45574313757223001</v>
      </c>
      <c r="T19" s="969">
        <v>13.30087</v>
      </c>
      <c r="U19" s="966">
        <v>114.59</v>
      </c>
      <c r="V19" s="966">
        <v>371.84</v>
      </c>
      <c r="W19" s="971">
        <f t="shared" si="0"/>
        <v>3.577041200516351E-2</v>
      </c>
      <c r="AM19" s="967">
        <v>45394</v>
      </c>
      <c r="AN19" s="974">
        <v>167.55853996000002</v>
      </c>
      <c r="AO19" s="38">
        <v>0.45574313757223001</v>
      </c>
      <c r="AS19" s="967">
        <v>44958</v>
      </c>
      <c r="AT19" s="974">
        <v>67608.004279200002</v>
      </c>
      <c r="AU19" s="974">
        <v>67272</v>
      </c>
      <c r="AV19" s="974">
        <v>5043.209199190077</v>
      </c>
    </row>
    <row r="20" spans="1:48">
      <c r="A20" s="966">
        <v>13</v>
      </c>
      <c r="B20" s="967">
        <v>45513</v>
      </c>
      <c r="C20" s="966">
        <v>65600</v>
      </c>
      <c r="D20" s="966">
        <v>142.54341400000001</v>
      </c>
      <c r="E20" s="966">
        <v>67.728975000000005</v>
      </c>
      <c r="F20" s="966">
        <v>96236.86</v>
      </c>
      <c r="G20" s="966">
        <v>95901.649452800004</v>
      </c>
      <c r="H20" s="974">
        <v>1506.74</v>
      </c>
      <c r="I20" s="966">
        <v>456.42</v>
      </c>
      <c r="J20" s="973">
        <v>1.46256448026</v>
      </c>
      <c r="L20" s="990">
        <v>44959</v>
      </c>
      <c r="M20" s="969">
        <v>68047.017294000005</v>
      </c>
      <c r="N20" s="969">
        <v>67272</v>
      </c>
      <c r="O20" s="974">
        <v>4099.7670353290232</v>
      </c>
      <c r="Q20" s="967">
        <v>45393</v>
      </c>
      <c r="R20" s="966">
        <v>52300</v>
      </c>
      <c r="S20" s="971">
        <v>0.45648559847661002</v>
      </c>
      <c r="T20" s="969">
        <v>74.814438999999993</v>
      </c>
      <c r="U20" s="966">
        <v>114.59</v>
      </c>
      <c r="V20" s="966">
        <v>379.96</v>
      </c>
      <c r="W20" s="971">
        <f t="shared" si="0"/>
        <v>0.19690082903463521</v>
      </c>
      <c r="AM20" s="967">
        <v>45393</v>
      </c>
      <c r="AN20" s="974">
        <v>167.55853996000002</v>
      </c>
      <c r="AO20" s="38">
        <v>0.45648559847661002</v>
      </c>
      <c r="AS20" s="967">
        <v>44959</v>
      </c>
      <c r="AT20" s="974">
        <v>68047.017294000005</v>
      </c>
      <c r="AU20" s="974">
        <v>67272</v>
      </c>
      <c r="AV20" s="974">
        <v>4099.7670353290232</v>
      </c>
    </row>
    <row r="21" spans="1:48">
      <c r="A21" s="966">
        <v>14</v>
      </c>
      <c r="B21" s="967">
        <v>45512</v>
      </c>
      <c r="C21" s="966">
        <v>62400</v>
      </c>
      <c r="D21" s="966">
        <v>88.330960399999995</v>
      </c>
      <c r="E21" s="966">
        <v>136.85760999999999</v>
      </c>
      <c r="F21" s="966">
        <v>95798.19</v>
      </c>
      <c r="G21" s="966">
        <v>91223.520211199997</v>
      </c>
      <c r="H21" s="974">
        <v>1506.74</v>
      </c>
      <c r="I21" s="966">
        <v>453.81</v>
      </c>
      <c r="J21" s="973">
        <v>1.46256448026</v>
      </c>
      <c r="L21" s="990">
        <v>44960</v>
      </c>
      <c r="M21" s="969">
        <v>68925.043323599995</v>
      </c>
      <c r="N21" s="969">
        <v>67272</v>
      </c>
      <c r="O21" s="974">
        <v>4099.7670353290232</v>
      </c>
      <c r="Q21" s="967">
        <v>45392</v>
      </c>
      <c r="R21" s="966">
        <v>52000</v>
      </c>
      <c r="S21" s="971">
        <v>0.45577460588759999</v>
      </c>
      <c r="T21" s="969">
        <v>-48.526649599999999</v>
      </c>
      <c r="U21" s="966">
        <v>114.59</v>
      </c>
      <c r="V21" s="966">
        <v>541.63</v>
      </c>
      <c r="W21" s="971">
        <f t="shared" si="0"/>
        <v>-8.9593725606041022E-2</v>
      </c>
      <c r="AM21" s="967">
        <v>45392</v>
      </c>
      <c r="AN21" s="974">
        <v>167.55853996000002</v>
      </c>
      <c r="AO21" s="38">
        <v>0.45577460588759999</v>
      </c>
      <c r="AS21" s="967">
        <v>44960</v>
      </c>
      <c r="AT21" s="974">
        <v>68925.043323599995</v>
      </c>
      <c r="AU21" s="974">
        <v>67272</v>
      </c>
      <c r="AV21" s="974">
        <v>4099.7670353290232</v>
      </c>
    </row>
    <row r="22" spans="1:48">
      <c r="A22" s="966">
        <v>15</v>
      </c>
      <c r="B22" s="967">
        <v>45511</v>
      </c>
      <c r="C22" s="966">
        <v>62300</v>
      </c>
      <c r="D22" s="966">
        <v>367.73274459999999</v>
      </c>
      <c r="E22" s="966">
        <v>91.611217999999994</v>
      </c>
      <c r="F22" s="966">
        <v>96967.98</v>
      </c>
      <c r="G22" s="966">
        <v>91077.328672400006</v>
      </c>
      <c r="H22" s="974">
        <v>1506.74</v>
      </c>
      <c r="I22" s="966">
        <v>460.79</v>
      </c>
      <c r="J22" s="973">
        <v>1.46256448026</v>
      </c>
      <c r="L22" s="990">
        <v>44963</v>
      </c>
      <c r="M22" s="969">
        <v>73022.498128399995</v>
      </c>
      <c r="N22" s="969">
        <v>67272</v>
      </c>
      <c r="O22" s="974">
        <v>4099.7670353290232</v>
      </c>
      <c r="Q22" s="967">
        <v>45391</v>
      </c>
      <c r="R22" s="966">
        <v>52800</v>
      </c>
      <c r="S22" s="971">
        <v>0.45551696204518999</v>
      </c>
      <c r="T22" s="969">
        <v>276.12152659999998</v>
      </c>
      <c r="U22" s="966">
        <v>114.59</v>
      </c>
      <c r="V22" s="972">
        <v>1092.23</v>
      </c>
      <c r="W22" s="971">
        <f t="shared" si="0"/>
        <v>0.25280529430614429</v>
      </c>
      <c r="AM22" s="967">
        <v>45391</v>
      </c>
      <c r="AN22" s="974">
        <v>167.55853996000002</v>
      </c>
      <c r="AO22" s="38">
        <v>0.45551696204518999</v>
      </c>
      <c r="AS22" s="967">
        <v>44963</v>
      </c>
      <c r="AT22" s="974">
        <v>73022.498128399995</v>
      </c>
      <c r="AU22" s="974">
        <v>67272</v>
      </c>
      <c r="AV22" s="974">
        <v>4099.7670353290232</v>
      </c>
    </row>
    <row r="23" spans="1:48">
      <c r="A23" s="966">
        <v>16</v>
      </c>
      <c r="B23" s="967">
        <v>45510</v>
      </c>
      <c r="C23" s="966">
        <v>62300</v>
      </c>
      <c r="D23" s="966">
        <v>82.214132899999996</v>
      </c>
      <c r="E23" s="966">
        <v>65.821179999999998</v>
      </c>
      <c r="F23" s="966">
        <v>92873.7</v>
      </c>
      <c r="G23" s="966">
        <v>91077.328672400006</v>
      </c>
      <c r="H23" s="974">
        <v>1506.74</v>
      </c>
      <c r="I23" s="966">
        <v>436.35</v>
      </c>
      <c r="J23" s="973">
        <v>1.46256448026</v>
      </c>
      <c r="L23" s="990">
        <v>44964</v>
      </c>
      <c r="M23" s="969">
        <v>69949.407024800006</v>
      </c>
      <c r="N23" s="969">
        <v>67272</v>
      </c>
      <c r="O23" s="974">
        <v>4099.7670353290232</v>
      </c>
      <c r="Q23" s="967">
        <v>45390</v>
      </c>
      <c r="R23" s="966">
        <v>50000</v>
      </c>
      <c r="S23" s="971">
        <v>0.45156117886461999</v>
      </c>
      <c r="T23" s="969">
        <v>16.392952900000001</v>
      </c>
      <c r="U23" s="966">
        <v>114.59</v>
      </c>
      <c r="V23" s="966">
        <v>316.85000000000002</v>
      </c>
      <c r="W23" s="971">
        <f t="shared" si="0"/>
        <v>5.1737266529903736E-2</v>
      </c>
      <c r="AM23" s="967">
        <v>45390</v>
      </c>
      <c r="AN23" s="974">
        <v>167.55853996000002</v>
      </c>
      <c r="AO23" s="38">
        <v>0.45156117886461999</v>
      </c>
      <c r="AS23" s="967">
        <v>44964</v>
      </c>
      <c r="AT23" s="974">
        <v>69949.407024800006</v>
      </c>
      <c r="AU23" s="974">
        <v>67272</v>
      </c>
      <c r="AV23" s="974">
        <v>4099.7670353290232</v>
      </c>
    </row>
    <row r="24" spans="1:48">
      <c r="A24" s="966">
        <v>17</v>
      </c>
      <c r="B24" s="967">
        <v>45509</v>
      </c>
      <c r="C24" s="966">
        <v>61600</v>
      </c>
      <c r="D24" s="966">
        <v>195.04804469999999</v>
      </c>
      <c r="E24" s="966">
        <v>74.095916099999997</v>
      </c>
      <c r="F24" s="966">
        <v>94335.94</v>
      </c>
      <c r="G24" s="966">
        <v>90053.987900799999</v>
      </c>
      <c r="H24" s="974">
        <v>1506.74</v>
      </c>
      <c r="I24" s="966">
        <v>445.08</v>
      </c>
      <c r="J24" s="973">
        <v>1.46256448026</v>
      </c>
      <c r="L24" s="990">
        <v>44965</v>
      </c>
      <c r="M24" s="969">
        <v>68998.212159400005</v>
      </c>
      <c r="N24" s="969">
        <v>67272</v>
      </c>
      <c r="O24" s="974">
        <v>4099.7670353290232</v>
      </c>
      <c r="Q24" s="967">
        <v>45387</v>
      </c>
      <c r="R24" s="966">
        <v>51000</v>
      </c>
      <c r="S24" s="971">
        <v>0.45181207598221002</v>
      </c>
      <c r="T24" s="969">
        <v>120.95212859999999</v>
      </c>
      <c r="U24" s="966">
        <v>114.59</v>
      </c>
      <c r="V24" s="966">
        <v>476.67</v>
      </c>
      <c r="W24" s="971">
        <f t="shared" si="0"/>
        <v>0.2537439499024482</v>
      </c>
      <c r="AM24" s="967">
        <v>45387</v>
      </c>
      <c r="AN24" s="974">
        <v>167.55853996000002</v>
      </c>
      <c r="AO24" s="38">
        <v>0.45181207598221002</v>
      </c>
      <c r="AS24" s="967">
        <v>44965</v>
      </c>
      <c r="AT24" s="974">
        <v>68998.212159400005</v>
      </c>
      <c r="AU24" s="974">
        <v>67272</v>
      </c>
      <c r="AV24" s="974">
        <v>4099.7670353290232</v>
      </c>
    </row>
    <row r="25" spans="1:48">
      <c r="A25" s="966">
        <v>18</v>
      </c>
      <c r="B25" s="967">
        <v>45506</v>
      </c>
      <c r="C25" s="966">
        <v>62900</v>
      </c>
      <c r="D25" s="966">
        <v>210.63753779999999</v>
      </c>
      <c r="E25" s="966">
        <v>100.184235</v>
      </c>
      <c r="F25" s="966">
        <v>93897.27</v>
      </c>
      <c r="G25" s="966">
        <v>91954.477905199994</v>
      </c>
      <c r="H25" s="974">
        <v>1506.74</v>
      </c>
      <c r="I25" s="966">
        <v>442.46</v>
      </c>
      <c r="J25" s="973">
        <v>1.46256448026</v>
      </c>
      <c r="L25" s="990">
        <v>44966</v>
      </c>
      <c r="M25" s="969">
        <v>66876.315921200003</v>
      </c>
      <c r="N25" s="969">
        <v>67272</v>
      </c>
      <c r="O25" s="974">
        <v>4099.7670353290232</v>
      </c>
      <c r="Q25" s="967">
        <v>45386</v>
      </c>
      <c r="R25" s="966">
        <v>50700</v>
      </c>
      <c r="S25" s="971">
        <v>0.45191844162155997</v>
      </c>
      <c r="T25" s="969">
        <v>110.4533028</v>
      </c>
      <c r="U25" s="966">
        <v>114.59</v>
      </c>
      <c r="V25" s="966">
        <v>670.37</v>
      </c>
      <c r="W25" s="971">
        <f t="shared" si="0"/>
        <v>0.16476468636723005</v>
      </c>
      <c r="AM25" s="967">
        <v>45386</v>
      </c>
      <c r="AN25" s="974">
        <v>167.55853996000002</v>
      </c>
      <c r="AO25" s="38">
        <v>0.45191844162155997</v>
      </c>
      <c r="AS25" s="967">
        <v>44966</v>
      </c>
      <c r="AT25" s="974">
        <v>66876.315921200003</v>
      </c>
      <c r="AU25" s="974">
        <v>67272</v>
      </c>
      <c r="AV25" s="974">
        <v>4099.7670353290232</v>
      </c>
    </row>
    <row r="26" spans="1:48">
      <c r="A26" s="966">
        <v>19</v>
      </c>
      <c r="B26" s="967">
        <v>45505</v>
      </c>
      <c r="C26" s="966">
        <v>62100</v>
      </c>
      <c r="D26" s="966">
        <v>146.91533000000001</v>
      </c>
      <c r="E26" s="966">
        <v>187.08573200000001</v>
      </c>
      <c r="F26" s="966">
        <v>93166.15</v>
      </c>
      <c r="G26" s="966">
        <v>90784.945594799996</v>
      </c>
      <c r="H26" s="974">
        <v>1506.74</v>
      </c>
      <c r="I26" s="966">
        <v>438.1</v>
      </c>
      <c r="J26" s="973">
        <v>1.46256448026</v>
      </c>
      <c r="L26" s="990">
        <v>44967</v>
      </c>
      <c r="M26" s="969">
        <v>65120.263862</v>
      </c>
      <c r="N26" s="969">
        <v>67272</v>
      </c>
      <c r="O26" s="974">
        <v>4099.7670353290232</v>
      </c>
      <c r="Q26" s="967">
        <v>45385</v>
      </c>
      <c r="R26" s="966">
        <v>50200</v>
      </c>
      <c r="S26" s="971">
        <v>0.44959323925719002</v>
      </c>
      <c r="T26" s="969">
        <v>-40.170402000000003</v>
      </c>
      <c r="U26" s="966">
        <v>114.59</v>
      </c>
      <c r="V26" s="966">
        <v>863.19</v>
      </c>
      <c r="W26" s="971">
        <f t="shared" si="0"/>
        <v>-4.6537149410906059E-2</v>
      </c>
      <c r="AM26" s="967">
        <v>45385</v>
      </c>
      <c r="AN26" s="974">
        <v>167.55853996000002</v>
      </c>
      <c r="AO26" s="38">
        <v>0.44959323925719002</v>
      </c>
      <c r="AS26" s="967">
        <v>44967</v>
      </c>
      <c r="AT26" s="974">
        <v>65120.263862</v>
      </c>
      <c r="AU26" s="974">
        <v>67272</v>
      </c>
      <c r="AV26" s="974">
        <v>4099.7670353290232</v>
      </c>
    </row>
    <row r="27" spans="1:48">
      <c r="A27" s="966">
        <v>20</v>
      </c>
      <c r="B27" s="967">
        <v>45504</v>
      </c>
      <c r="C27" s="966">
        <v>63800</v>
      </c>
      <c r="D27" s="966">
        <v>117.475362</v>
      </c>
      <c r="E27" s="966">
        <v>46.754043600000003</v>
      </c>
      <c r="F27" s="966">
        <v>95213.29</v>
      </c>
      <c r="G27" s="966">
        <v>93270.201754399997</v>
      </c>
      <c r="H27" s="974">
        <v>1506.74</v>
      </c>
      <c r="I27" s="966">
        <v>450.32</v>
      </c>
      <c r="J27" s="973">
        <v>1.46256448026</v>
      </c>
      <c r="L27" s="990">
        <v>44970</v>
      </c>
      <c r="M27" s="969">
        <v>64388.575504</v>
      </c>
      <c r="N27" s="969">
        <v>67272</v>
      </c>
      <c r="O27" s="974">
        <v>4099.7670353290232</v>
      </c>
      <c r="Q27" s="967">
        <v>45384</v>
      </c>
      <c r="R27" s="966">
        <v>51600</v>
      </c>
      <c r="S27" s="971">
        <v>0.44801568921504997</v>
      </c>
      <c r="T27" s="969">
        <v>70.721318400000001</v>
      </c>
      <c r="U27" s="966">
        <v>114.59</v>
      </c>
      <c r="V27" s="966">
        <v>671.2</v>
      </c>
      <c r="W27" s="971">
        <f t="shared" si="0"/>
        <v>0.10536549225268176</v>
      </c>
      <c r="AM27" s="967">
        <v>45384</v>
      </c>
      <c r="AN27" s="974">
        <v>167.55853996000002</v>
      </c>
      <c r="AO27" s="38">
        <v>0.44801568921504997</v>
      </c>
      <c r="AS27" s="967">
        <v>44970</v>
      </c>
      <c r="AT27" s="974">
        <v>64388.575504</v>
      </c>
      <c r="AU27" s="974">
        <v>67272</v>
      </c>
      <c r="AV27" s="974">
        <v>4099.7670353290232</v>
      </c>
    </row>
    <row r="28" spans="1:48">
      <c r="A28" s="966">
        <v>21</v>
      </c>
      <c r="B28" s="967">
        <v>45503</v>
      </c>
      <c r="C28" s="966">
        <v>63000</v>
      </c>
      <c r="D28" s="966">
        <v>161.50708</v>
      </c>
      <c r="E28" s="966">
        <v>31.81015</v>
      </c>
      <c r="F28" s="966">
        <v>94920.84</v>
      </c>
      <c r="G28" s="966">
        <v>92100.669443999999</v>
      </c>
      <c r="H28" s="974">
        <v>1506.74</v>
      </c>
      <c r="I28" s="966">
        <v>448.57</v>
      </c>
      <c r="J28" s="973">
        <v>1.46256448026</v>
      </c>
      <c r="L28" s="990">
        <v>44971</v>
      </c>
      <c r="M28" s="969">
        <v>61608.159743600001</v>
      </c>
      <c r="N28" s="969">
        <v>67272</v>
      </c>
      <c r="O28" s="974">
        <v>4099.7670353290232</v>
      </c>
      <c r="Q28" s="967">
        <v>45383</v>
      </c>
      <c r="R28" s="966">
        <v>51400</v>
      </c>
      <c r="S28" s="971">
        <v>0.44516288176337998</v>
      </c>
      <c r="T28" s="969">
        <v>129.69693000000001</v>
      </c>
      <c r="U28" s="966">
        <v>114.59</v>
      </c>
      <c r="V28" s="966">
        <v>816.32</v>
      </c>
      <c r="W28" s="971">
        <f t="shared" si="0"/>
        <v>0.15888001029008234</v>
      </c>
      <c r="AM28" s="967">
        <v>45383</v>
      </c>
      <c r="AN28" s="974">
        <v>167.55853996000002</v>
      </c>
      <c r="AO28" s="38">
        <v>0.44516288176337998</v>
      </c>
      <c r="AS28" s="967">
        <v>44971</v>
      </c>
      <c r="AT28" s="974">
        <v>61608.159743600001</v>
      </c>
      <c r="AU28" s="974">
        <v>67272</v>
      </c>
      <c r="AV28" s="974">
        <v>4099.7670353290232</v>
      </c>
    </row>
    <row r="29" spans="1:48">
      <c r="A29" s="966">
        <v>22</v>
      </c>
      <c r="B29" s="967">
        <v>45502</v>
      </c>
      <c r="C29" s="966">
        <v>62000</v>
      </c>
      <c r="D29" s="966">
        <v>194.33902699999999</v>
      </c>
      <c r="E29" s="966">
        <v>24.593133000000002</v>
      </c>
      <c r="F29" s="966">
        <v>94482.17</v>
      </c>
      <c r="G29" s="966">
        <v>90638.754056000005</v>
      </c>
      <c r="H29" s="974">
        <v>716.74</v>
      </c>
      <c r="I29" s="966">
        <v>445.95</v>
      </c>
      <c r="J29" s="973">
        <v>1.46334560534</v>
      </c>
      <c r="L29" s="990">
        <v>44972</v>
      </c>
      <c r="M29" s="969">
        <v>62193.510430000002</v>
      </c>
      <c r="N29" s="969">
        <v>67272</v>
      </c>
      <c r="O29" s="974">
        <v>4099.7670353290232</v>
      </c>
      <c r="Q29" s="967">
        <v>45380</v>
      </c>
      <c r="R29" s="966">
        <v>51100</v>
      </c>
      <c r="S29" s="971">
        <v>0.44516288176337998</v>
      </c>
      <c r="T29" s="969">
        <v>169.74589399999999</v>
      </c>
      <c r="U29" s="966">
        <v>114.59</v>
      </c>
      <c r="V29" s="966">
        <v>718.2</v>
      </c>
      <c r="W29" s="971">
        <f t="shared" si="0"/>
        <v>0.2363490587580061</v>
      </c>
      <c r="AM29" s="967">
        <v>45380</v>
      </c>
      <c r="AN29" s="974">
        <v>167.55853996000002</v>
      </c>
      <c r="AO29" s="38">
        <v>0.44516288176337998</v>
      </c>
      <c r="AS29" s="967">
        <v>44972</v>
      </c>
      <c r="AT29" s="974">
        <v>62193.510430000002</v>
      </c>
      <c r="AU29" s="974">
        <v>67272</v>
      </c>
      <c r="AV29" s="974">
        <v>4099.7670353290232</v>
      </c>
    </row>
    <row r="30" spans="1:48">
      <c r="A30" s="966">
        <v>23</v>
      </c>
      <c r="B30" s="967">
        <v>45499</v>
      </c>
      <c r="C30" s="966">
        <v>61000</v>
      </c>
      <c r="D30" s="966">
        <v>76.596301100000005</v>
      </c>
      <c r="E30" s="966">
        <v>41.854849999999999</v>
      </c>
      <c r="F30" s="966">
        <v>94335.94</v>
      </c>
      <c r="G30" s="966">
        <v>89176.838667999997</v>
      </c>
      <c r="H30" s="974">
        <v>716.74</v>
      </c>
      <c r="I30" s="966">
        <v>445.08</v>
      </c>
      <c r="J30" s="973">
        <v>1.46333901722</v>
      </c>
      <c r="L30" s="990">
        <v>44973</v>
      </c>
      <c r="M30" s="969">
        <v>62193.510430000002</v>
      </c>
      <c r="N30" s="969">
        <v>67272</v>
      </c>
      <c r="O30" s="974">
        <v>4099.7670353290232</v>
      </c>
      <c r="Q30" s="967">
        <v>45379</v>
      </c>
      <c r="R30" s="966">
        <v>51000</v>
      </c>
      <c r="S30" s="971">
        <v>0.44298191225285999</v>
      </c>
      <c r="T30" s="969">
        <v>34.741451099999999</v>
      </c>
      <c r="U30" s="966">
        <v>114.59</v>
      </c>
      <c r="V30" s="966">
        <v>664.11</v>
      </c>
      <c r="W30" s="971">
        <f t="shared" si="0"/>
        <v>5.2312796223517186E-2</v>
      </c>
      <c r="AM30" s="967">
        <v>45379</v>
      </c>
      <c r="AN30" s="974">
        <v>167.55853996000002</v>
      </c>
      <c r="AO30" s="38">
        <v>0.44298191225285999</v>
      </c>
      <c r="AS30" s="967">
        <v>44973</v>
      </c>
      <c r="AT30" s="974">
        <v>62193.510430000002</v>
      </c>
      <c r="AU30" s="974">
        <v>67272</v>
      </c>
      <c r="AV30" s="974">
        <v>4099.7670353290232</v>
      </c>
    </row>
    <row r="31" spans="1:48">
      <c r="A31" s="966">
        <v>24</v>
      </c>
      <c r="B31" s="967">
        <v>45498</v>
      </c>
      <c r="C31" s="966">
        <v>61000</v>
      </c>
      <c r="D31" s="966">
        <v>58.688879100000001</v>
      </c>
      <c r="E31" s="966">
        <v>29.205735000000001</v>
      </c>
      <c r="F31" s="966">
        <v>93897.27</v>
      </c>
      <c r="G31" s="966">
        <v>89176.838667999997</v>
      </c>
      <c r="H31" s="974">
        <v>716.75</v>
      </c>
      <c r="I31" s="966">
        <v>442.46</v>
      </c>
      <c r="J31" s="973">
        <v>1.46333682118</v>
      </c>
      <c r="L31" s="990">
        <v>44974</v>
      </c>
      <c r="M31" s="969">
        <v>62559.354609000002</v>
      </c>
      <c r="N31" s="969">
        <v>67272</v>
      </c>
      <c r="O31" s="974">
        <v>4099.7670353290232</v>
      </c>
      <c r="Q31" s="967">
        <v>45378</v>
      </c>
      <c r="R31" s="966">
        <v>50700</v>
      </c>
      <c r="S31" s="971">
        <v>0.44417822075009</v>
      </c>
      <c r="T31" s="969">
        <v>29.483144100000001</v>
      </c>
      <c r="U31" s="966">
        <v>114.59</v>
      </c>
      <c r="V31" s="966">
        <v>700.72</v>
      </c>
      <c r="W31" s="971">
        <f t="shared" si="0"/>
        <v>4.2075499628953072E-2</v>
      </c>
      <c r="AM31" s="967">
        <v>45378</v>
      </c>
      <c r="AN31" s="974">
        <v>167.55853996000002</v>
      </c>
      <c r="AO31" s="38">
        <v>0.44417822075009</v>
      </c>
      <c r="AS31" s="967">
        <v>44974</v>
      </c>
      <c r="AT31" s="974">
        <v>62559.354609000002</v>
      </c>
      <c r="AU31" s="974">
        <v>67272</v>
      </c>
      <c r="AV31" s="974">
        <v>4099.7670353290232</v>
      </c>
    </row>
    <row r="32" spans="1:48">
      <c r="A32" s="966">
        <v>25</v>
      </c>
      <c r="B32" s="967">
        <v>45497</v>
      </c>
      <c r="C32" s="966">
        <v>61400</v>
      </c>
      <c r="D32" s="966">
        <v>40.158290000000001</v>
      </c>
      <c r="E32" s="966">
        <v>180.91244284999999</v>
      </c>
      <c r="F32" s="966">
        <v>90899.67</v>
      </c>
      <c r="G32" s="966">
        <v>89761.604823200003</v>
      </c>
      <c r="H32" s="974">
        <v>716.75</v>
      </c>
      <c r="I32" s="966">
        <v>424.57</v>
      </c>
      <c r="J32" s="973">
        <v>1.4633346251400001</v>
      </c>
      <c r="L32" s="990">
        <v>44977</v>
      </c>
      <c r="M32" s="969">
        <v>63364.211802799997</v>
      </c>
      <c r="N32" s="969">
        <v>67272</v>
      </c>
      <c r="O32" s="974">
        <v>4099.7670353290232</v>
      </c>
      <c r="Q32" s="967">
        <v>45377</v>
      </c>
      <c r="R32" s="966">
        <v>48650</v>
      </c>
      <c r="S32" s="971">
        <v>0.44417822075009</v>
      </c>
      <c r="T32" s="969">
        <v>-140.75415285</v>
      </c>
      <c r="U32" s="966">
        <v>114.59</v>
      </c>
      <c r="V32" s="966">
        <v>456.64</v>
      </c>
      <c r="W32" s="971">
        <f t="shared" si="0"/>
        <v>-0.30823877200858446</v>
      </c>
      <c r="AM32" s="967">
        <v>45377</v>
      </c>
      <c r="AN32" s="974">
        <v>167.55853996000002</v>
      </c>
      <c r="AO32" s="38">
        <v>0.44417822075009</v>
      </c>
      <c r="AS32" s="967">
        <v>44977</v>
      </c>
      <c r="AT32" s="974">
        <v>63364.211802799997</v>
      </c>
      <c r="AU32" s="974">
        <v>67272</v>
      </c>
      <c r="AV32" s="974">
        <v>4099.7670353290232</v>
      </c>
    </row>
    <row r="33" spans="1:48">
      <c r="A33" s="966">
        <v>26</v>
      </c>
      <c r="B33" s="967">
        <v>45496</v>
      </c>
      <c r="C33" s="966">
        <v>62500</v>
      </c>
      <c r="D33" s="966">
        <v>37.926363000000002</v>
      </c>
      <c r="E33" s="966">
        <v>36.140509999999999</v>
      </c>
      <c r="F33" s="966">
        <v>90387.88</v>
      </c>
      <c r="G33" s="966">
        <v>91369.711750000002</v>
      </c>
      <c r="H33" s="974">
        <v>716.75</v>
      </c>
      <c r="I33" s="966">
        <v>421.52</v>
      </c>
      <c r="J33" s="973">
        <v>1.4633324291099998</v>
      </c>
      <c r="L33" s="990">
        <v>44978</v>
      </c>
      <c r="M33" s="969">
        <v>63291.042967000001</v>
      </c>
      <c r="N33" s="969">
        <v>67272</v>
      </c>
      <c r="O33" s="974">
        <v>4099.7670353290232</v>
      </c>
      <c r="Q33" s="967">
        <v>45376</v>
      </c>
      <c r="R33" s="966">
        <v>48300</v>
      </c>
      <c r="S33" s="971">
        <v>0.44393569946618999</v>
      </c>
      <c r="T33" s="969">
        <v>1.7858529999999999</v>
      </c>
      <c r="U33" s="966">
        <v>114.59</v>
      </c>
      <c r="V33" s="966">
        <v>541.21</v>
      </c>
      <c r="W33" s="971">
        <f t="shared" si="0"/>
        <v>3.2997413203747156E-3</v>
      </c>
      <c r="AM33" s="967">
        <v>45376</v>
      </c>
      <c r="AN33" s="974">
        <v>167.55853996000002</v>
      </c>
      <c r="AO33" s="38">
        <v>0.44393569946618999</v>
      </c>
      <c r="AS33" s="967">
        <v>44978</v>
      </c>
      <c r="AT33" s="974">
        <v>63291.042967000001</v>
      </c>
      <c r="AU33" s="974">
        <v>67272</v>
      </c>
      <c r="AV33" s="974">
        <v>4099.7670353290232</v>
      </c>
    </row>
    <row r="34" spans="1:48">
      <c r="A34" s="966">
        <v>27</v>
      </c>
      <c r="B34" s="967">
        <v>45495</v>
      </c>
      <c r="C34" s="966">
        <v>65300</v>
      </c>
      <c r="D34" s="966">
        <v>62.140479999999997</v>
      </c>
      <c r="E34" s="966">
        <v>23.142720000000001</v>
      </c>
      <c r="F34" s="966">
        <v>91557.68</v>
      </c>
      <c r="G34" s="966">
        <v>95463.074836400003</v>
      </c>
      <c r="H34" s="974">
        <v>716.75</v>
      </c>
      <c r="I34" s="966">
        <v>428.5</v>
      </c>
      <c r="J34" s="973">
        <v>1.46333023307</v>
      </c>
      <c r="L34" s="990">
        <v>44979</v>
      </c>
      <c r="M34" s="969">
        <v>64827.588518800003</v>
      </c>
      <c r="N34" s="969">
        <v>67272</v>
      </c>
      <c r="O34" s="974">
        <v>4099.7670353290232</v>
      </c>
      <c r="Q34" s="967">
        <v>45373</v>
      </c>
      <c r="R34" s="966">
        <v>49100</v>
      </c>
      <c r="S34" s="971">
        <v>0.44362332330562998</v>
      </c>
      <c r="T34" s="969">
        <v>38.99776</v>
      </c>
      <c r="U34" s="966">
        <v>114.59</v>
      </c>
      <c r="V34" s="966">
        <v>706.6</v>
      </c>
      <c r="W34" s="971">
        <f t="shared" si="0"/>
        <v>5.5190716105292949E-2</v>
      </c>
      <c r="AM34" s="967">
        <v>45373</v>
      </c>
      <c r="AN34" s="974">
        <v>167.55853996000002</v>
      </c>
      <c r="AO34" s="38">
        <v>0.44362332330562998</v>
      </c>
      <c r="AS34" s="967">
        <v>44979</v>
      </c>
      <c r="AT34" s="974">
        <v>64827.588518800003</v>
      </c>
      <c r="AU34" s="974">
        <v>67272</v>
      </c>
      <c r="AV34" s="974">
        <v>4099.7670353290232</v>
      </c>
    </row>
    <row r="35" spans="1:48">
      <c r="A35" s="966">
        <v>28</v>
      </c>
      <c r="B35" s="967">
        <v>45492</v>
      </c>
      <c r="C35" s="966">
        <v>65600</v>
      </c>
      <c r="D35" s="966">
        <v>76.784929099999999</v>
      </c>
      <c r="E35" s="966">
        <v>25.7121596</v>
      </c>
      <c r="F35" s="966">
        <v>90680.33</v>
      </c>
      <c r="G35" s="966">
        <v>95901.649452800004</v>
      </c>
      <c r="H35" s="974">
        <v>716.75</v>
      </c>
      <c r="I35" s="966">
        <v>423.26</v>
      </c>
      <c r="J35" s="973">
        <v>1.46332364495</v>
      </c>
      <c r="L35" s="990">
        <v>44980</v>
      </c>
      <c r="M35" s="969">
        <v>65120.263862</v>
      </c>
      <c r="N35" s="969">
        <v>67272</v>
      </c>
      <c r="O35" s="974">
        <v>4099.7670353290232</v>
      </c>
      <c r="Q35" s="967">
        <v>45372</v>
      </c>
      <c r="R35" s="966">
        <v>48500</v>
      </c>
      <c r="S35" s="971">
        <v>0.44385772637917997</v>
      </c>
      <c r="T35" s="969">
        <v>51.0727695</v>
      </c>
      <c r="U35" s="966">
        <v>114.59</v>
      </c>
      <c r="V35" s="966">
        <v>455.95</v>
      </c>
      <c r="W35" s="971">
        <f t="shared" si="0"/>
        <v>0.11201396973352341</v>
      </c>
      <c r="AM35" s="967">
        <v>45372</v>
      </c>
      <c r="AN35" s="974">
        <v>167.55853996000002</v>
      </c>
      <c r="AO35" s="38">
        <v>0.44385772637917997</v>
      </c>
      <c r="AS35" s="967">
        <v>44980</v>
      </c>
      <c r="AT35" s="974">
        <v>65120.263862</v>
      </c>
      <c r="AU35" s="974">
        <v>67272</v>
      </c>
      <c r="AV35" s="974">
        <v>4099.7670353290232</v>
      </c>
    </row>
    <row r="36" spans="1:48">
      <c r="A36" s="966">
        <v>29</v>
      </c>
      <c r="B36" s="967">
        <v>45491</v>
      </c>
      <c r="C36" s="966">
        <v>65000</v>
      </c>
      <c r="D36" s="966">
        <v>136.63174000000001</v>
      </c>
      <c r="E36" s="966">
        <v>76.881566000000007</v>
      </c>
      <c r="F36" s="966">
        <v>89949.21</v>
      </c>
      <c r="G36" s="966">
        <v>95024.500220000002</v>
      </c>
      <c r="H36" s="974">
        <v>716.75</v>
      </c>
      <c r="I36" s="966">
        <v>418.9</v>
      </c>
      <c r="J36" s="973">
        <v>1.4633214489200002</v>
      </c>
      <c r="L36" s="990">
        <v>44981</v>
      </c>
      <c r="M36" s="969">
        <v>62925.198788000002</v>
      </c>
      <c r="N36" s="969">
        <v>67272</v>
      </c>
      <c r="O36" s="974">
        <v>4099.7670353290232</v>
      </c>
      <c r="Q36" s="967">
        <v>45371</v>
      </c>
      <c r="R36" s="966">
        <v>48000</v>
      </c>
      <c r="S36" s="971">
        <v>0.44227208546072999</v>
      </c>
      <c r="T36" s="969">
        <v>59.750174000000001</v>
      </c>
      <c r="U36" s="966">
        <v>114.59</v>
      </c>
      <c r="V36" s="972">
        <v>1011.17</v>
      </c>
      <c r="W36" s="971">
        <f t="shared" si="0"/>
        <v>5.9090137167835281E-2</v>
      </c>
      <c r="AM36" s="967">
        <v>45371</v>
      </c>
      <c r="AN36" s="974">
        <v>167.55853996000002</v>
      </c>
      <c r="AO36" s="38">
        <v>0.44227208546072999</v>
      </c>
      <c r="AS36" s="967">
        <v>44981</v>
      </c>
      <c r="AT36" s="974">
        <v>62925.198788000002</v>
      </c>
      <c r="AU36" s="974">
        <v>67272</v>
      </c>
      <c r="AV36" s="974">
        <v>4099.7670353290232</v>
      </c>
    </row>
    <row r="37" spans="1:48">
      <c r="A37" s="966">
        <v>30</v>
      </c>
      <c r="B37" s="967">
        <v>45490</v>
      </c>
      <c r="C37" s="966">
        <v>63500</v>
      </c>
      <c r="D37" s="966">
        <v>4.85351</v>
      </c>
      <c r="E37" s="966">
        <v>44.262014999999998</v>
      </c>
      <c r="F37" s="966">
        <v>86293.6</v>
      </c>
      <c r="G37" s="966">
        <v>92831.627137999996</v>
      </c>
      <c r="H37" s="974">
        <v>716.75</v>
      </c>
      <c r="I37" s="966">
        <v>397.08</v>
      </c>
      <c r="J37" s="973">
        <v>1.4633192528800001</v>
      </c>
      <c r="L37" s="990">
        <v>44984</v>
      </c>
      <c r="M37" s="969">
        <v>62925.198788000002</v>
      </c>
      <c r="N37" s="969">
        <v>67272</v>
      </c>
      <c r="O37" s="974">
        <v>4099.7670353290232</v>
      </c>
      <c r="Q37" s="967">
        <v>45370</v>
      </c>
      <c r="R37" s="966">
        <v>45500</v>
      </c>
      <c r="S37" s="971">
        <v>0.44313324444065999</v>
      </c>
      <c r="T37" s="969">
        <v>-39.408504999999998</v>
      </c>
      <c r="U37" s="966">
        <v>114.59</v>
      </c>
      <c r="V37" s="966">
        <v>370.85</v>
      </c>
      <c r="W37" s="971">
        <f t="shared" si="0"/>
        <v>-0.10626534987191585</v>
      </c>
      <c r="AM37" s="967">
        <v>45370</v>
      </c>
      <c r="AN37" s="974">
        <v>167.55853996000002</v>
      </c>
      <c r="AO37" s="38">
        <v>0.44313324444065999</v>
      </c>
      <c r="AS37" s="967">
        <v>44984</v>
      </c>
      <c r="AT37" s="974">
        <v>62925.198788000002</v>
      </c>
      <c r="AU37" s="974">
        <v>67272</v>
      </c>
      <c r="AV37" s="974">
        <v>4099.7670353290232</v>
      </c>
    </row>
    <row r="38" spans="1:48">
      <c r="A38" s="966">
        <v>31</v>
      </c>
      <c r="B38" s="967">
        <v>45489</v>
      </c>
      <c r="C38" s="966">
        <v>64100</v>
      </c>
      <c r="D38" s="966">
        <v>69.459890000000001</v>
      </c>
      <c r="E38" s="966">
        <v>55.284894999999999</v>
      </c>
      <c r="F38" s="966">
        <v>86878.5</v>
      </c>
      <c r="G38" s="966">
        <v>93708.776370799998</v>
      </c>
      <c r="H38" s="974">
        <v>716.75</v>
      </c>
      <c r="I38" s="966">
        <v>400.57</v>
      </c>
      <c r="J38" s="973">
        <v>1.46331705684</v>
      </c>
      <c r="L38" s="990">
        <v>44985</v>
      </c>
      <c r="M38" s="969">
        <v>61608.159743600001</v>
      </c>
      <c r="N38" s="969">
        <v>67272</v>
      </c>
      <c r="O38" s="974">
        <v>4099.7670353290232</v>
      </c>
      <c r="Q38" s="967">
        <v>45369</v>
      </c>
      <c r="R38" s="966">
        <v>45900</v>
      </c>
      <c r="S38" s="971">
        <v>0.44400075858525001</v>
      </c>
      <c r="T38" s="969">
        <v>14.174994999999999</v>
      </c>
      <c r="U38" s="966">
        <v>114.59</v>
      </c>
      <c r="V38" s="966">
        <v>591.39</v>
      </c>
      <c r="W38" s="971">
        <f t="shared" si="0"/>
        <v>2.3968946042374744E-2</v>
      </c>
      <c r="AM38" s="967">
        <v>45369</v>
      </c>
      <c r="AN38" s="974">
        <v>167.55853996000002</v>
      </c>
      <c r="AO38" s="38">
        <v>0.44400075858525001</v>
      </c>
      <c r="AS38" s="967">
        <v>44985</v>
      </c>
      <c r="AT38" s="974">
        <v>61608.159743600001</v>
      </c>
      <c r="AU38" s="974">
        <v>67272</v>
      </c>
      <c r="AV38" s="974">
        <v>4099.7670353290232</v>
      </c>
    </row>
    <row r="39" spans="1:48">
      <c r="A39" s="966">
        <v>32</v>
      </c>
      <c r="B39" s="967">
        <v>45488</v>
      </c>
      <c r="C39" s="966">
        <v>64300</v>
      </c>
      <c r="D39" s="966">
        <v>54.902974999999998</v>
      </c>
      <c r="E39" s="966">
        <v>62.020879999999998</v>
      </c>
      <c r="F39" s="966">
        <v>88998.75</v>
      </c>
      <c r="G39" s="966">
        <v>94001.159448399994</v>
      </c>
      <c r="H39" s="974">
        <v>716.76</v>
      </c>
      <c r="I39" s="966">
        <v>413.23</v>
      </c>
      <c r="J39" s="973">
        <v>1.4633148608</v>
      </c>
      <c r="L39" s="990">
        <v>44986</v>
      </c>
      <c r="M39" s="969">
        <v>59266.756997999997</v>
      </c>
      <c r="N39" s="969">
        <v>67272</v>
      </c>
      <c r="O39" s="974">
        <v>4099.7670353290232</v>
      </c>
      <c r="Q39" s="967">
        <v>45366</v>
      </c>
      <c r="R39" s="966">
        <v>47350</v>
      </c>
      <c r="S39" s="971">
        <v>0.44400075858525001</v>
      </c>
      <c r="T39" s="969">
        <v>-7.1179050000000004</v>
      </c>
      <c r="U39" s="966">
        <v>114.59</v>
      </c>
      <c r="V39" s="966">
        <v>417.15</v>
      </c>
      <c r="W39" s="971">
        <f t="shared" si="0"/>
        <v>-1.7063178712693278E-2</v>
      </c>
      <c r="Z39" s="966">
        <f>50*(1.15)^2</f>
        <v>66.124999999999986</v>
      </c>
      <c r="AA39" s="973">
        <v>25</v>
      </c>
      <c r="AM39" s="967">
        <v>45366</v>
      </c>
      <c r="AN39" s="974">
        <v>167.55853996000002</v>
      </c>
      <c r="AO39" s="38">
        <v>0.44400075858525001</v>
      </c>
      <c r="AS39" s="967">
        <v>44986</v>
      </c>
      <c r="AT39" s="974">
        <v>59266.756997999997</v>
      </c>
      <c r="AU39" s="974">
        <v>67272</v>
      </c>
      <c r="AV39" s="974">
        <v>4099.7670353290232</v>
      </c>
    </row>
    <row r="40" spans="1:48">
      <c r="A40" s="966">
        <v>33</v>
      </c>
      <c r="B40" s="967">
        <v>45485</v>
      </c>
      <c r="C40" s="966">
        <v>64800</v>
      </c>
      <c r="D40" s="966">
        <v>75.854791599999999</v>
      </c>
      <c r="E40" s="966">
        <v>132.09806</v>
      </c>
      <c r="F40" s="966">
        <v>88852.53</v>
      </c>
      <c r="G40" s="966">
        <v>94732.117142400006</v>
      </c>
      <c r="H40" s="974">
        <v>716.76</v>
      </c>
      <c r="I40" s="966">
        <v>412.36</v>
      </c>
      <c r="J40" s="973">
        <v>1.46330827269</v>
      </c>
      <c r="L40" s="990">
        <v>44987</v>
      </c>
      <c r="M40" s="969">
        <v>58535.068639999998</v>
      </c>
      <c r="N40" s="969">
        <v>67272</v>
      </c>
      <c r="O40" s="974">
        <v>4099.7670353290232</v>
      </c>
      <c r="Q40" s="967">
        <v>45365</v>
      </c>
      <c r="R40" s="966">
        <v>47250</v>
      </c>
      <c r="S40" s="971">
        <v>0.44828873510653</v>
      </c>
      <c r="T40" s="969">
        <v>-56.243268399999998</v>
      </c>
      <c r="U40" s="966">
        <v>114.59</v>
      </c>
      <c r="V40" s="966">
        <v>670.22</v>
      </c>
      <c r="W40" s="971">
        <f t="shared" si="0"/>
        <v>-8.3917621676464438E-2</v>
      </c>
      <c r="Z40" s="966">
        <f>Z39*2%</f>
        <v>1.3224999999999998</v>
      </c>
      <c r="AA40" s="973">
        <f>AA39*4%</f>
        <v>1</v>
      </c>
      <c r="AM40" s="967">
        <v>45365</v>
      </c>
      <c r="AN40" s="974">
        <v>167.55853996000002</v>
      </c>
      <c r="AO40" s="38">
        <v>0.44828873510653</v>
      </c>
      <c r="AS40" s="967">
        <v>44987</v>
      </c>
      <c r="AT40" s="974">
        <v>58535.068639999998</v>
      </c>
      <c r="AU40" s="974">
        <v>67272</v>
      </c>
      <c r="AV40" s="974">
        <v>4099.7670353290232</v>
      </c>
    </row>
    <row r="41" spans="1:48">
      <c r="A41" s="966">
        <v>34</v>
      </c>
      <c r="B41" s="967">
        <v>45484</v>
      </c>
      <c r="C41" s="966">
        <v>64800</v>
      </c>
      <c r="D41" s="966">
        <v>105.13391005</v>
      </c>
      <c r="E41" s="966">
        <v>36.664250000000003</v>
      </c>
      <c r="F41" s="966">
        <v>90753.44</v>
      </c>
      <c r="G41" s="966">
        <v>94732.117142400006</v>
      </c>
      <c r="H41" s="974">
        <v>716.76</v>
      </c>
      <c r="I41" s="966">
        <v>423.7</v>
      </c>
      <c r="J41" s="973">
        <v>1.4633060766500001</v>
      </c>
      <c r="L41" s="990">
        <v>44988</v>
      </c>
      <c r="M41" s="969">
        <v>59705.7700128</v>
      </c>
      <c r="N41" s="969">
        <v>67272</v>
      </c>
      <c r="O41" s="974">
        <v>4099.7670353290232</v>
      </c>
      <c r="Q41" s="967">
        <v>45364</v>
      </c>
      <c r="R41" s="966">
        <v>48550</v>
      </c>
      <c r="S41" s="971">
        <v>0.44828873510653</v>
      </c>
      <c r="T41" s="969">
        <v>68.469660050000002</v>
      </c>
      <c r="U41" s="966">
        <v>114.59</v>
      </c>
      <c r="V41" s="966">
        <v>427.55</v>
      </c>
      <c r="W41" s="971">
        <f t="shared" si="0"/>
        <v>0.16014421716758273</v>
      </c>
      <c r="AA41" s="973">
        <f>AA40+Z40*0.45</f>
        <v>1.5951249999999999</v>
      </c>
      <c r="AB41" s="966">
        <f>4.4+0.8</f>
        <v>5.2</v>
      </c>
      <c r="AM41" s="967">
        <v>45364</v>
      </c>
      <c r="AN41" s="974">
        <v>167.55853996000002</v>
      </c>
      <c r="AO41" s="38">
        <v>0.44828873510653</v>
      </c>
      <c r="AS41" s="967">
        <v>44988</v>
      </c>
      <c r="AT41" s="974">
        <v>59705.7700128</v>
      </c>
      <c r="AU41" s="974">
        <v>67272</v>
      </c>
      <c r="AV41" s="974">
        <v>4099.7670353290232</v>
      </c>
    </row>
    <row r="42" spans="1:48">
      <c r="A42" s="966">
        <v>35</v>
      </c>
      <c r="B42" s="967">
        <v>45483</v>
      </c>
      <c r="C42" s="966">
        <v>65200</v>
      </c>
      <c r="D42" s="966">
        <v>125.458095</v>
      </c>
      <c r="E42" s="966">
        <v>388.17475445000002</v>
      </c>
      <c r="F42" s="966">
        <v>88121.4</v>
      </c>
      <c r="G42" s="966">
        <v>95316.883297599998</v>
      </c>
      <c r="H42" s="974">
        <v>716.76</v>
      </c>
      <c r="I42" s="966">
        <v>407.99</v>
      </c>
      <c r="J42" s="973">
        <v>1.4633038806099998</v>
      </c>
      <c r="L42" s="990">
        <v>44991</v>
      </c>
      <c r="M42" s="969">
        <v>58974.0816548</v>
      </c>
      <c r="N42" s="969">
        <v>67272</v>
      </c>
      <c r="O42" s="974">
        <v>4099.7670353290232</v>
      </c>
      <c r="Q42" s="967">
        <v>45363</v>
      </c>
      <c r="R42" s="966">
        <v>46750</v>
      </c>
      <c r="S42" s="971">
        <v>0.45015701684842002</v>
      </c>
      <c r="T42" s="969">
        <v>-262.71665945000001</v>
      </c>
      <c r="U42" s="966">
        <v>114.59</v>
      </c>
      <c r="V42" s="966">
        <v>842.35</v>
      </c>
      <c r="W42" s="971">
        <f t="shared" si="0"/>
        <v>-0.31188539140499794</v>
      </c>
      <c r="AA42" s="973">
        <f>AA41</f>
        <v>1.5951249999999999</v>
      </c>
      <c r="AM42" s="967">
        <v>45363</v>
      </c>
      <c r="AN42" s="974">
        <v>167.55853996000002</v>
      </c>
      <c r="AO42" s="38">
        <v>0.45015701684842002</v>
      </c>
      <c r="AS42" s="967">
        <v>44991</v>
      </c>
      <c r="AT42" s="974">
        <v>58974.0816548</v>
      </c>
      <c r="AU42" s="974">
        <v>67272</v>
      </c>
      <c r="AV42" s="974">
        <v>4099.7670353290232</v>
      </c>
    </row>
    <row r="43" spans="1:48">
      <c r="A43" s="966">
        <v>36</v>
      </c>
      <c r="B43" s="967">
        <v>45482</v>
      </c>
      <c r="C43" s="966">
        <v>66800</v>
      </c>
      <c r="D43" s="966">
        <v>167.82481999999999</v>
      </c>
      <c r="E43" s="966">
        <v>200.766715</v>
      </c>
      <c r="F43" s="966">
        <v>87609.62</v>
      </c>
      <c r="G43" s="966">
        <v>97655.947918399994</v>
      </c>
      <c r="H43" s="974">
        <v>716.76</v>
      </c>
      <c r="I43" s="966">
        <v>404.94</v>
      </c>
      <c r="J43" s="973">
        <v>1.46330168457</v>
      </c>
      <c r="L43" s="990">
        <v>44992</v>
      </c>
      <c r="M43" s="969">
        <v>57657.0426104</v>
      </c>
      <c r="N43" s="969">
        <v>67272</v>
      </c>
      <c r="O43" s="974">
        <v>4099.7670353290232</v>
      </c>
      <c r="Q43" s="967">
        <v>45362</v>
      </c>
      <c r="R43" s="966">
        <v>46400</v>
      </c>
      <c r="S43" s="971">
        <v>0.44899183499103001</v>
      </c>
      <c r="T43" s="969">
        <v>-32.941895000000002</v>
      </c>
      <c r="U43" s="966">
        <v>114.59</v>
      </c>
      <c r="V43" s="966">
        <v>683.76</v>
      </c>
      <c r="W43" s="971">
        <f t="shared" si="0"/>
        <v>-4.8177569615069617E-2</v>
      </c>
      <c r="AA43" s="973">
        <f>(AA42/5.3)^(1/2)-1</f>
        <v>-0.45139542370476393</v>
      </c>
      <c r="AM43" s="967">
        <v>45362</v>
      </c>
      <c r="AN43" s="974">
        <v>167.55853996000002</v>
      </c>
      <c r="AO43" s="38">
        <v>0.44899183499103001</v>
      </c>
      <c r="AS43" s="967">
        <v>44992</v>
      </c>
      <c r="AT43" s="974">
        <v>57657.0426104</v>
      </c>
      <c r="AU43" s="974">
        <v>67272</v>
      </c>
      <c r="AV43" s="974">
        <v>4099.7670353290232</v>
      </c>
    </row>
    <row r="44" spans="1:48">
      <c r="A44" s="966">
        <v>37</v>
      </c>
      <c r="B44" s="967">
        <v>45481</v>
      </c>
      <c r="C44" s="966">
        <v>67000</v>
      </c>
      <c r="D44" s="966">
        <v>123.1750091</v>
      </c>
      <c r="E44" s="966">
        <v>160.84583499999999</v>
      </c>
      <c r="F44" s="966">
        <v>89583.65</v>
      </c>
      <c r="G44" s="966">
        <v>97948.330996000004</v>
      </c>
      <c r="H44" s="974">
        <v>716.76</v>
      </c>
      <c r="I44" s="966">
        <v>416.72</v>
      </c>
      <c r="J44" s="973">
        <v>1.4632994885299999</v>
      </c>
      <c r="L44" s="990">
        <v>44993</v>
      </c>
      <c r="M44" s="969">
        <v>57657.0426104</v>
      </c>
      <c r="N44" s="969">
        <v>67272</v>
      </c>
      <c r="O44" s="974">
        <v>4099.7670353290232</v>
      </c>
      <c r="Q44" s="967">
        <v>45359</v>
      </c>
      <c r="R44" s="966">
        <v>47750</v>
      </c>
      <c r="S44" s="971">
        <v>0.44899183499103001</v>
      </c>
      <c r="T44" s="969">
        <v>-37.670825899999997</v>
      </c>
      <c r="U44" s="966">
        <v>114.59</v>
      </c>
      <c r="V44" s="972">
        <v>1041</v>
      </c>
      <c r="W44" s="971">
        <f t="shared" si="0"/>
        <v>-3.618715264169068E-2</v>
      </c>
      <c r="AM44" s="967">
        <v>45359</v>
      </c>
      <c r="AN44" s="974">
        <v>167.55853996000002</v>
      </c>
      <c r="AO44" s="38">
        <v>0.44899183499103001</v>
      </c>
      <c r="AS44" s="967">
        <v>44993</v>
      </c>
      <c r="AT44" s="974">
        <v>57657.0426104</v>
      </c>
      <c r="AU44" s="974">
        <v>67272</v>
      </c>
      <c r="AV44" s="974">
        <v>4099.7670353290232</v>
      </c>
    </row>
    <row r="45" spans="1:48">
      <c r="A45" s="966">
        <v>38</v>
      </c>
      <c r="B45" s="967">
        <v>45478</v>
      </c>
      <c r="C45" s="966">
        <v>65600</v>
      </c>
      <c r="D45" s="966">
        <v>38.895924999999998</v>
      </c>
      <c r="E45" s="966">
        <v>96.014624999999995</v>
      </c>
      <c r="F45" s="966">
        <v>91411.45</v>
      </c>
      <c r="G45" s="966">
        <v>95901.649452800004</v>
      </c>
      <c r="H45" s="974">
        <v>716.77</v>
      </c>
      <c r="I45" s="966">
        <v>427.63</v>
      </c>
      <c r="J45" s="973">
        <v>1.4632929004200002</v>
      </c>
      <c r="L45" s="990">
        <v>44994</v>
      </c>
      <c r="M45" s="969">
        <v>58096.055625200002</v>
      </c>
      <c r="N45" s="969">
        <v>67272</v>
      </c>
      <c r="O45" s="974">
        <v>4099.7670353290232</v>
      </c>
      <c r="Q45" s="967">
        <v>45358</v>
      </c>
      <c r="R45" s="966">
        <v>49000</v>
      </c>
      <c r="S45" s="971">
        <v>0.44879289920312998</v>
      </c>
      <c r="T45" s="969">
        <v>-57.118699999999997</v>
      </c>
      <c r="U45" s="966">
        <v>114.59</v>
      </c>
      <c r="V45" s="966">
        <v>491.23</v>
      </c>
      <c r="W45" s="971">
        <f t="shared" si="0"/>
        <v>-0.11627689676933411</v>
      </c>
      <c r="AM45" s="967">
        <v>45358</v>
      </c>
      <c r="AN45" s="974">
        <v>167.55853996000002</v>
      </c>
      <c r="AO45" s="38">
        <v>0.44879289920312998</v>
      </c>
      <c r="AS45" s="967">
        <v>44994</v>
      </c>
      <c r="AT45" s="974">
        <v>58096.055625200002</v>
      </c>
      <c r="AU45" s="974">
        <v>67272</v>
      </c>
      <c r="AV45" s="974">
        <v>4099.7670353290232</v>
      </c>
    </row>
    <row r="46" spans="1:48">
      <c r="A46" s="966">
        <v>39</v>
      </c>
      <c r="B46" s="967">
        <v>45477</v>
      </c>
      <c r="C46" s="966">
        <v>65100</v>
      </c>
      <c r="D46" s="966">
        <v>112.91436</v>
      </c>
      <c r="E46" s="966">
        <v>117.422945</v>
      </c>
      <c r="F46" s="966">
        <v>90972.78</v>
      </c>
      <c r="G46" s="966">
        <v>95170.691758800007</v>
      </c>
      <c r="H46" s="974">
        <v>716.77</v>
      </c>
      <c r="I46" s="966">
        <v>425.01</v>
      </c>
      <c r="J46" s="973">
        <v>1.4632907043800001</v>
      </c>
      <c r="L46" s="990">
        <v>44995</v>
      </c>
      <c r="M46" s="969">
        <v>57657.0426104</v>
      </c>
      <c r="N46" s="969">
        <v>67272</v>
      </c>
      <c r="O46" s="974">
        <v>4099.7670353290232</v>
      </c>
      <c r="Q46" s="967">
        <v>45357</v>
      </c>
      <c r="R46" s="966">
        <v>48700</v>
      </c>
      <c r="S46" s="971">
        <v>0.45028461078780002</v>
      </c>
      <c r="T46" s="969">
        <v>-4.5085850000000001</v>
      </c>
      <c r="U46" s="966">
        <v>114.59</v>
      </c>
      <c r="V46" s="966">
        <v>800.42</v>
      </c>
      <c r="W46" s="971">
        <f t="shared" si="0"/>
        <v>-5.632774043627096E-3</v>
      </c>
      <c r="AM46" s="967">
        <v>45357</v>
      </c>
      <c r="AN46" s="974">
        <v>167.55853996000002</v>
      </c>
      <c r="AO46" s="38">
        <v>0.45028461078780002</v>
      </c>
      <c r="AS46" s="967">
        <v>44995</v>
      </c>
      <c r="AT46" s="974">
        <v>57657.0426104</v>
      </c>
      <c r="AU46" s="974">
        <v>67272</v>
      </c>
      <c r="AV46" s="974">
        <v>4099.7670353290232</v>
      </c>
    </row>
    <row r="47" spans="1:48">
      <c r="A47" s="966">
        <v>40</v>
      </c>
      <c r="B47" s="967">
        <v>45476</v>
      </c>
      <c r="C47" s="966">
        <v>65500</v>
      </c>
      <c r="D47" s="966">
        <v>355.615275</v>
      </c>
      <c r="E47" s="966">
        <v>144.2218062</v>
      </c>
      <c r="F47" s="966">
        <v>92873.7</v>
      </c>
      <c r="G47" s="966">
        <v>95755.457913999999</v>
      </c>
      <c r="H47" s="974">
        <v>716.77</v>
      </c>
      <c r="I47" s="966">
        <v>436.36</v>
      </c>
      <c r="J47" s="973">
        <v>1.46328850834</v>
      </c>
      <c r="L47" s="990">
        <v>44998</v>
      </c>
      <c r="M47" s="969">
        <v>58535.068639999998</v>
      </c>
      <c r="N47" s="969">
        <v>67272</v>
      </c>
      <c r="O47" s="974">
        <v>4099.7670353290232</v>
      </c>
      <c r="Q47" s="967">
        <v>45356</v>
      </c>
      <c r="R47" s="966">
        <v>50000</v>
      </c>
      <c r="S47" s="971">
        <v>0.44606807041747998</v>
      </c>
      <c r="T47" s="969">
        <v>211.39346879999999</v>
      </c>
      <c r="U47" s="966">
        <v>114.59</v>
      </c>
      <c r="V47" s="972">
        <v>1125.94</v>
      </c>
      <c r="W47" s="971">
        <f t="shared" si="0"/>
        <v>0.18774843135513436</v>
      </c>
      <c r="AM47" s="967">
        <v>45356</v>
      </c>
      <c r="AN47" s="974">
        <v>167.55853996000002</v>
      </c>
      <c r="AO47" s="38">
        <v>0.44606807041747998</v>
      </c>
      <c r="AS47" s="967">
        <v>44998</v>
      </c>
      <c r="AT47" s="974">
        <v>58535.068639999998</v>
      </c>
      <c r="AU47" s="974">
        <v>67272</v>
      </c>
      <c r="AV47" s="974">
        <v>4099.7670353290232</v>
      </c>
    </row>
    <row r="48" spans="1:48">
      <c r="A48" s="966">
        <v>41</v>
      </c>
      <c r="B48" s="967">
        <v>45475</v>
      </c>
      <c r="C48" s="966">
        <v>66000</v>
      </c>
      <c r="D48" s="966">
        <v>191.07761550000001</v>
      </c>
      <c r="E48" s="966">
        <v>115.27746575</v>
      </c>
      <c r="F48" s="966">
        <v>89079.17</v>
      </c>
      <c r="G48" s="966">
        <v>96486.415607999996</v>
      </c>
      <c r="H48" s="974">
        <v>716.77</v>
      </c>
      <c r="I48" s="966">
        <v>413.67</v>
      </c>
      <c r="J48" s="973">
        <v>1.4632863122999999</v>
      </c>
      <c r="L48" s="990">
        <v>44999</v>
      </c>
      <c r="M48" s="969">
        <v>58169.224460999998</v>
      </c>
      <c r="N48" s="969">
        <v>67272</v>
      </c>
      <c r="O48" s="974">
        <v>4099.7670353290232</v>
      </c>
      <c r="Q48" s="967">
        <v>45355</v>
      </c>
      <c r="R48" s="966">
        <v>47400</v>
      </c>
      <c r="S48" s="971">
        <v>0.44446851647187002</v>
      </c>
      <c r="T48" s="969">
        <v>75.800149750000003</v>
      </c>
      <c r="U48" s="966">
        <v>114.59</v>
      </c>
      <c r="V48" s="966">
        <v>844.33</v>
      </c>
      <c r="W48" s="971">
        <f t="shared" si="0"/>
        <v>8.9775502173320851E-2</v>
      </c>
      <c r="AM48" s="967">
        <v>45355</v>
      </c>
      <c r="AN48" s="974">
        <v>167.55853996000002</v>
      </c>
      <c r="AO48" s="38">
        <v>0.44446851647187002</v>
      </c>
      <c r="AS48" s="967">
        <v>44999</v>
      </c>
      <c r="AT48" s="974">
        <v>58169.224460999998</v>
      </c>
      <c r="AU48" s="974">
        <v>67272</v>
      </c>
      <c r="AV48" s="974">
        <v>4099.7670353290232</v>
      </c>
    </row>
    <row r="49" spans="1:48">
      <c r="A49" s="966">
        <v>42</v>
      </c>
      <c r="B49" s="967">
        <v>45474</v>
      </c>
      <c r="C49" s="966">
        <v>65800</v>
      </c>
      <c r="D49" s="966">
        <v>197.49485000000001</v>
      </c>
      <c r="E49" s="966">
        <v>58.824464999999996</v>
      </c>
      <c r="F49" s="966">
        <v>87909.25</v>
      </c>
      <c r="G49" s="966">
        <v>96194.0325304</v>
      </c>
      <c r="H49" s="974">
        <v>716.77</v>
      </c>
      <c r="I49" s="966">
        <v>406.68</v>
      </c>
      <c r="J49" s="973">
        <v>1.4632841162699999</v>
      </c>
      <c r="L49" s="990">
        <v>45000</v>
      </c>
      <c r="M49" s="969">
        <v>57657.0426104</v>
      </c>
      <c r="N49" s="969">
        <v>67272</v>
      </c>
      <c r="O49" s="974">
        <v>4099.7670353290232</v>
      </c>
      <c r="Q49" s="967">
        <v>45352</v>
      </c>
      <c r="R49" s="966">
        <v>46600</v>
      </c>
      <c r="S49" s="971">
        <v>0.44446851647187002</v>
      </c>
      <c r="T49" s="969">
        <v>138.67038500000001</v>
      </c>
      <c r="U49" s="966">
        <v>114.59</v>
      </c>
      <c r="V49" s="966">
        <v>757.36</v>
      </c>
      <c r="W49" s="971">
        <f t="shared" si="0"/>
        <v>0.18309705424104786</v>
      </c>
      <c r="AM49" s="967">
        <v>45352</v>
      </c>
      <c r="AN49" s="974">
        <v>167.55853996000002</v>
      </c>
      <c r="AO49" s="38">
        <v>0.44446851647187002</v>
      </c>
      <c r="AS49" s="967">
        <v>45000</v>
      </c>
      <c r="AT49" s="974">
        <v>57657.0426104</v>
      </c>
      <c r="AU49" s="974">
        <v>67272</v>
      </c>
      <c r="AV49" s="974">
        <v>4099.7670353290232</v>
      </c>
    </row>
    <row r="50" spans="1:48">
      <c r="A50" s="966">
        <v>43</v>
      </c>
      <c r="B50" s="967">
        <v>45471</v>
      </c>
      <c r="C50" s="966">
        <v>62400</v>
      </c>
      <c r="D50" s="966">
        <v>93.468626999999998</v>
      </c>
      <c r="E50" s="966">
        <v>81.061372050000003</v>
      </c>
      <c r="F50" s="966">
        <v>87324.29</v>
      </c>
      <c r="G50" s="966">
        <v>91244.036644799999</v>
      </c>
      <c r="H50" s="974">
        <v>716.77</v>
      </c>
      <c r="I50" s="966">
        <v>403.19</v>
      </c>
      <c r="J50" s="973">
        <v>1.4632784264800001</v>
      </c>
      <c r="L50" s="990">
        <v>45001</v>
      </c>
      <c r="M50" s="969">
        <v>56486.341237599998</v>
      </c>
      <c r="N50" s="969">
        <v>67272</v>
      </c>
      <c r="O50" s="974">
        <v>4099.7670353290232</v>
      </c>
      <c r="Q50" s="967">
        <v>45351</v>
      </c>
      <c r="R50" s="966">
        <v>46200</v>
      </c>
      <c r="S50" s="971">
        <v>0.44294518076778999</v>
      </c>
      <c r="T50" s="969">
        <v>12.40725495</v>
      </c>
      <c r="U50" s="966">
        <v>114.59</v>
      </c>
      <c r="V50" s="966">
        <v>726.44</v>
      </c>
      <c r="W50" s="971">
        <f t="shared" si="0"/>
        <v>1.7079531619954846E-2</v>
      </c>
      <c r="AM50" s="967">
        <v>45351</v>
      </c>
      <c r="AN50" s="974">
        <v>167.55853996000002</v>
      </c>
      <c r="AO50" s="38">
        <v>0.44294518076778999</v>
      </c>
      <c r="AS50" s="967">
        <v>45001</v>
      </c>
      <c r="AT50" s="974">
        <v>56486.341237599998</v>
      </c>
      <c r="AU50" s="974">
        <v>67272</v>
      </c>
      <c r="AV50" s="974">
        <v>4099.7670353290232</v>
      </c>
    </row>
    <row r="51" spans="1:48">
      <c r="A51" s="966">
        <v>44</v>
      </c>
      <c r="B51" s="967">
        <v>45470</v>
      </c>
      <c r="C51" s="966">
        <v>63400</v>
      </c>
      <c r="D51" s="966">
        <v>203.70425700000001</v>
      </c>
      <c r="E51" s="966">
        <v>186.7220872</v>
      </c>
      <c r="F51" s="966">
        <v>86008.13</v>
      </c>
      <c r="G51" s="966">
        <v>92706.280821799999</v>
      </c>
      <c r="H51" s="974">
        <v>716.78</v>
      </c>
      <c r="I51" s="966">
        <v>395.34</v>
      </c>
      <c r="J51" s="973">
        <v>1.4632753321099998</v>
      </c>
      <c r="L51" s="990">
        <v>45002</v>
      </c>
      <c r="M51" s="969">
        <v>58535.068639999998</v>
      </c>
      <c r="N51" s="969">
        <v>67272</v>
      </c>
      <c r="O51" s="974">
        <v>4099.7670353290232</v>
      </c>
      <c r="Q51" s="967">
        <v>45350</v>
      </c>
      <c r="R51" s="966">
        <v>45300</v>
      </c>
      <c r="S51" s="971">
        <v>0.44485214564531</v>
      </c>
      <c r="T51" s="969">
        <v>16.982169800000001</v>
      </c>
      <c r="U51" s="966">
        <v>114.59</v>
      </c>
      <c r="V51" s="966">
        <v>747.37</v>
      </c>
      <c r="W51" s="971">
        <f t="shared" si="0"/>
        <v>2.2722573557943188E-2</v>
      </c>
      <c r="AM51" s="967">
        <v>45350</v>
      </c>
      <c r="AN51" s="974">
        <v>167.55853996000002</v>
      </c>
      <c r="AO51" s="38">
        <v>0.44485214564531</v>
      </c>
      <c r="AS51" s="967">
        <v>45002</v>
      </c>
      <c r="AT51" s="974">
        <v>58535.068639999998</v>
      </c>
      <c r="AU51" s="974">
        <v>67272</v>
      </c>
      <c r="AV51" s="974">
        <v>4099.7670353290232</v>
      </c>
    </row>
    <row r="52" spans="1:48">
      <c r="A52" s="966">
        <v>45</v>
      </c>
      <c r="B52" s="967">
        <v>45469</v>
      </c>
      <c r="C52" s="966">
        <v>62600</v>
      </c>
      <c r="D52" s="966">
        <v>207.45391499999999</v>
      </c>
      <c r="E52" s="966">
        <v>270.71232250000003</v>
      </c>
      <c r="F52" s="966">
        <v>85203.82</v>
      </c>
      <c r="G52" s="966">
        <v>91536.485480200005</v>
      </c>
      <c r="H52" s="974">
        <v>716.78</v>
      </c>
      <c r="I52" s="966">
        <v>390.54</v>
      </c>
      <c r="J52" s="973">
        <v>1.46327223774</v>
      </c>
      <c r="L52" s="990">
        <v>45005</v>
      </c>
      <c r="M52" s="969">
        <v>57657.0426104</v>
      </c>
      <c r="N52" s="969">
        <v>67272</v>
      </c>
      <c r="O52" s="974">
        <v>4099.7670353290232</v>
      </c>
      <c r="Q52" s="967">
        <v>45349</v>
      </c>
      <c r="R52" s="966">
        <v>44750</v>
      </c>
      <c r="S52" s="971">
        <v>0.44612641082913002</v>
      </c>
      <c r="T52" s="969">
        <v>-63.258407499999997</v>
      </c>
      <c r="U52" s="966">
        <v>114.59</v>
      </c>
      <c r="V52" s="966">
        <v>526.77</v>
      </c>
      <c r="W52" s="971">
        <f t="shared" si="0"/>
        <v>-0.12008733887654954</v>
      </c>
      <c r="Z52" s="974"/>
      <c r="AM52" s="967">
        <v>45349</v>
      </c>
      <c r="AN52" s="974">
        <v>167.55853996000002</v>
      </c>
      <c r="AO52" s="38">
        <v>0.44612641082913002</v>
      </c>
      <c r="AS52" s="967">
        <v>45005</v>
      </c>
      <c r="AT52" s="974">
        <v>57657.0426104</v>
      </c>
      <c r="AU52" s="974">
        <v>67272</v>
      </c>
      <c r="AV52" s="974">
        <v>4099.7670353290232</v>
      </c>
    </row>
    <row r="53" spans="1:48">
      <c r="A53" s="966">
        <v>46</v>
      </c>
      <c r="B53" s="967">
        <v>45468</v>
      </c>
      <c r="C53" s="966">
        <v>62000</v>
      </c>
      <c r="D53" s="966">
        <v>179.0514254</v>
      </c>
      <c r="E53" s="966">
        <v>260.4683617</v>
      </c>
      <c r="F53" s="966">
        <v>84618.86</v>
      </c>
      <c r="G53" s="966">
        <v>90659.138974000001</v>
      </c>
      <c r="H53" s="974">
        <v>716.78</v>
      </c>
      <c r="I53" s="966">
        <v>387.05</v>
      </c>
      <c r="J53" s="973">
        <v>1.4632691433699998</v>
      </c>
      <c r="L53" s="990">
        <v>45006</v>
      </c>
      <c r="M53" s="969">
        <v>57657.0426104</v>
      </c>
      <c r="N53" s="969">
        <v>67272</v>
      </c>
      <c r="O53" s="974">
        <v>4099.7670353290232</v>
      </c>
      <c r="Q53" s="967">
        <v>45348</v>
      </c>
      <c r="R53" s="966">
        <v>44350</v>
      </c>
      <c r="S53" s="971">
        <v>0.44732605271273002</v>
      </c>
      <c r="T53" s="969">
        <v>-81.416936300000003</v>
      </c>
      <c r="U53" s="966">
        <v>114.59</v>
      </c>
      <c r="V53" s="966">
        <v>693.06</v>
      </c>
      <c r="W53" s="971">
        <f t="shared" si="0"/>
        <v>-0.11747458560586387</v>
      </c>
      <c r="Z53" s="974"/>
      <c r="AM53" s="967">
        <v>45348</v>
      </c>
      <c r="AN53" s="974">
        <v>167.55853996000002</v>
      </c>
      <c r="AO53" s="38">
        <v>0.44732605271273002</v>
      </c>
      <c r="AS53" s="967">
        <v>45006</v>
      </c>
      <c r="AT53" s="974">
        <v>57657.0426104</v>
      </c>
      <c r="AU53" s="974">
        <v>67272</v>
      </c>
      <c r="AV53" s="974">
        <v>4099.7670353290232</v>
      </c>
    </row>
    <row r="54" spans="1:48">
      <c r="A54" s="966">
        <v>47</v>
      </c>
      <c r="B54" s="967">
        <v>45467</v>
      </c>
      <c r="C54" s="966">
        <v>62000</v>
      </c>
      <c r="D54" s="966">
        <v>46.005420000000001</v>
      </c>
      <c r="E54" s="966">
        <v>229.55624</v>
      </c>
      <c r="F54" s="966">
        <v>84107.02</v>
      </c>
      <c r="G54" s="966">
        <v>90659.138974000001</v>
      </c>
      <c r="H54" s="974">
        <v>716.78</v>
      </c>
      <c r="I54" s="966">
        <v>383.99</v>
      </c>
      <c r="J54" s="973">
        <v>1.46326604901</v>
      </c>
      <c r="L54" s="990">
        <v>45007</v>
      </c>
      <c r="M54" s="969">
        <v>55754.652879599998</v>
      </c>
      <c r="N54" s="969">
        <v>67272</v>
      </c>
      <c r="O54" s="974">
        <v>4099.7670353290232</v>
      </c>
      <c r="Q54" s="967">
        <v>45345</v>
      </c>
      <c r="R54" s="966">
        <v>44000</v>
      </c>
      <c r="S54" s="971">
        <v>0.44732605271273002</v>
      </c>
      <c r="T54" s="969">
        <v>-183.55081999999999</v>
      </c>
      <c r="U54" s="966">
        <v>114.59</v>
      </c>
      <c r="V54" s="966">
        <v>789.85</v>
      </c>
      <c r="W54" s="971">
        <f t="shared" si="0"/>
        <v>-0.23238693422801796</v>
      </c>
      <c r="Z54" s="974"/>
      <c r="AM54" s="967">
        <v>45345</v>
      </c>
      <c r="AN54" s="974">
        <v>167.55853996000002</v>
      </c>
      <c r="AO54" s="38">
        <v>0.44732605271273002</v>
      </c>
      <c r="AS54" s="967">
        <v>45007</v>
      </c>
      <c r="AT54" s="974">
        <v>55754.652879599998</v>
      </c>
      <c r="AU54" s="974">
        <v>67272</v>
      </c>
      <c r="AV54" s="974">
        <v>4099.7670353290232</v>
      </c>
    </row>
    <row r="55" spans="1:48">
      <c r="A55" s="966">
        <v>48</v>
      </c>
      <c r="B55" s="967">
        <v>45464</v>
      </c>
      <c r="C55" s="966">
        <v>63500</v>
      </c>
      <c r="D55" s="966">
        <v>21.72035</v>
      </c>
      <c r="E55" s="966">
        <v>127.20593839999999</v>
      </c>
      <c r="F55" s="966">
        <v>86008.13</v>
      </c>
      <c r="G55" s="966">
        <v>92852.505239499995</v>
      </c>
      <c r="H55" s="974">
        <v>716.78</v>
      </c>
      <c r="I55" s="966">
        <v>395.34</v>
      </c>
      <c r="J55" s="973">
        <v>1.4632567659000002</v>
      </c>
      <c r="L55" s="990">
        <v>45008</v>
      </c>
      <c r="M55" s="969">
        <v>56340.003565999999</v>
      </c>
      <c r="N55" s="969">
        <v>67272</v>
      </c>
      <c r="O55" s="974">
        <v>4099.7670353290232</v>
      </c>
      <c r="Q55" s="967">
        <v>45344</v>
      </c>
      <c r="R55" s="966">
        <v>45300</v>
      </c>
      <c r="S55" s="971">
        <v>0.44927006341679998</v>
      </c>
      <c r="T55" s="969">
        <v>-105.4855884</v>
      </c>
      <c r="U55" s="966">
        <v>114.59</v>
      </c>
      <c r="V55" s="966">
        <v>541.69000000000005</v>
      </c>
      <c r="W55" s="971">
        <f t="shared" si="0"/>
        <v>-0.19473423618674884</v>
      </c>
      <c r="Z55" s="974"/>
      <c r="AM55" s="967">
        <v>45344</v>
      </c>
      <c r="AN55" s="974">
        <v>167.55853996000002</v>
      </c>
      <c r="AO55" s="38">
        <v>0.44927006341679998</v>
      </c>
      <c r="AS55" s="967">
        <v>45008</v>
      </c>
      <c r="AT55" s="974">
        <v>56340.003565999999</v>
      </c>
      <c r="AU55" s="974">
        <v>67272</v>
      </c>
      <c r="AV55" s="974">
        <v>4099.7670353290232</v>
      </c>
    </row>
    <row r="56" spans="1:48">
      <c r="A56" s="966">
        <v>49</v>
      </c>
      <c r="B56" s="967">
        <v>45463</v>
      </c>
      <c r="C56" s="966">
        <v>63500</v>
      </c>
      <c r="D56" s="966">
        <v>8.9919700000000002</v>
      </c>
      <c r="E56" s="966">
        <v>103.694965</v>
      </c>
      <c r="F56" s="966">
        <v>87178.05</v>
      </c>
      <c r="G56" s="966">
        <v>92852.505239499995</v>
      </c>
      <c r="H56" s="974">
        <v>716.79</v>
      </c>
      <c r="I56" s="966">
        <v>402.32</v>
      </c>
      <c r="J56" s="973">
        <v>1.46325367153</v>
      </c>
      <c r="L56" s="990">
        <v>45009</v>
      </c>
      <c r="M56" s="969">
        <v>55535.146372199997</v>
      </c>
      <c r="N56" s="969">
        <v>67272</v>
      </c>
      <c r="O56" s="974">
        <v>4099.7670353290232</v>
      </c>
      <c r="Q56" s="967">
        <v>45343</v>
      </c>
      <c r="R56" s="966">
        <v>46100</v>
      </c>
      <c r="S56" s="971">
        <v>0.45031196874667001</v>
      </c>
      <c r="T56" s="969">
        <v>-94.702995000000001</v>
      </c>
      <c r="U56" s="966">
        <v>114.59</v>
      </c>
      <c r="V56" s="966">
        <v>324.2</v>
      </c>
      <c r="W56" s="971">
        <f t="shared" si="0"/>
        <v>-0.29211287785317708</v>
      </c>
      <c r="Y56" s="967">
        <v>45407</v>
      </c>
      <c r="Z56" s="974"/>
      <c r="AM56" s="967">
        <v>45343</v>
      </c>
      <c r="AN56" s="974">
        <v>167.55853996000002</v>
      </c>
      <c r="AO56" s="38">
        <v>0.45031196874667001</v>
      </c>
      <c r="AS56" s="967">
        <v>45009</v>
      </c>
      <c r="AT56" s="974">
        <v>55535.146372199997</v>
      </c>
      <c r="AU56" s="974">
        <v>67272</v>
      </c>
      <c r="AV56" s="974">
        <v>4099.7670353290232</v>
      </c>
    </row>
    <row r="57" spans="1:48">
      <c r="A57" s="966">
        <v>50</v>
      </c>
      <c r="B57" s="967">
        <v>45462</v>
      </c>
      <c r="C57" s="966">
        <v>63300</v>
      </c>
      <c r="D57" s="966">
        <v>13.272205</v>
      </c>
      <c r="E57" s="966">
        <v>99.486873000000003</v>
      </c>
      <c r="F57" s="966">
        <v>88201.73</v>
      </c>
      <c r="G57" s="966">
        <v>92560.056404100003</v>
      </c>
      <c r="H57" s="974">
        <v>716.79</v>
      </c>
      <c r="I57" s="966">
        <v>408.43</v>
      </c>
      <c r="J57" s="973">
        <v>1.4632505771600002</v>
      </c>
      <c r="L57" s="990">
        <v>45012</v>
      </c>
      <c r="M57" s="969">
        <v>55315.639864800003</v>
      </c>
      <c r="N57" s="969">
        <v>67272</v>
      </c>
      <c r="O57" s="974">
        <v>4099.7670353290232</v>
      </c>
      <c r="Q57" s="967">
        <v>45342</v>
      </c>
      <c r="R57" s="966">
        <v>46800</v>
      </c>
      <c r="S57" s="971">
        <v>0.45094345344223002</v>
      </c>
      <c r="T57" s="969">
        <v>-86.214668000000003</v>
      </c>
      <c r="U57" s="966">
        <v>114.59</v>
      </c>
      <c r="V57" s="966">
        <v>435.36</v>
      </c>
      <c r="W57" s="971">
        <f t="shared" si="0"/>
        <v>-0.19803075156192576</v>
      </c>
      <c r="Y57" s="967">
        <v>45406</v>
      </c>
      <c r="Z57" s="974"/>
      <c r="AM57" s="967">
        <v>45342</v>
      </c>
      <c r="AN57" s="974">
        <v>167.55853996000002</v>
      </c>
      <c r="AO57" s="38">
        <v>0.45094345344223002</v>
      </c>
      <c r="AS57" s="967">
        <v>45012</v>
      </c>
      <c r="AT57" s="974">
        <v>55315.639864800003</v>
      </c>
      <c r="AU57" s="974">
        <v>67272</v>
      </c>
      <c r="AV57" s="974">
        <v>4099.7670353290232</v>
      </c>
    </row>
    <row r="58" spans="1:48">
      <c r="A58" s="966">
        <v>51</v>
      </c>
      <c r="B58" s="967">
        <v>45461</v>
      </c>
      <c r="C58" s="966">
        <v>62200</v>
      </c>
      <c r="D58" s="966">
        <v>21.104675</v>
      </c>
      <c r="E58" s="966">
        <v>82.104550000000003</v>
      </c>
      <c r="F58" s="966">
        <v>88201.73</v>
      </c>
      <c r="G58" s="966">
        <v>90951.587809400007</v>
      </c>
      <c r="H58" s="974">
        <v>716.79</v>
      </c>
      <c r="I58" s="966">
        <v>408.43</v>
      </c>
      <c r="J58" s="973">
        <v>1.4632474827899999</v>
      </c>
      <c r="L58" s="990">
        <v>45013</v>
      </c>
      <c r="M58" s="969">
        <v>55535.146372199997</v>
      </c>
      <c r="N58" s="969">
        <v>67272</v>
      </c>
      <c r="O58" s="974">
        <v>4099.7670353290232</v>
      </c>
      <c r="Q58" s="967">
        <v>45341</v>
      </c>
      <c r="R58" s="966">
        <v>46800</v>
      </c>
      <c r="S58" s="971">
        <v>0.45229416510683002</v>
      </c>
      <c r="T58" s="969">
        <v>-60.999875000000003</v>
      </c>
      <c r="U58" s="966">
        <v>114.59</v>
      </c>
      <c r="V58" s="966">
        <v>405.75</v>
      </c>
      <c r="W58" s="971">
        <f t="shared" si="0"/>
        <v>-0.15033857054836722</v>
      </c>
      <c r="Y58" s="967">
        <v>45415</v>
      </c>
      <c r="Z58" s="974">
        <f ca="1">H3*Valuation_Senario!$L$372</f>
        <v>1052.6487158800001</v>
      </c>
      <c r="AA58" s="973">
        <v>77.7</v>
      </c>
      <c r="AM58" s="967">
        <v>45341</v>
      </c>
      <c r="AN58" s="974">
        <v>167.55853996000002</v>
      </c>
      <c r="AO58" s="38">
        <v>0.45229416510683002</v>
      </c>
      <c r="AS58" s="967">
        <v>45013</v>
      </c>
      <c r="AT58" s="974">
        <v>55535.146372199997</v>
      </c>
      <c r="AU58" s="974">
        <v>67272</v>
      </c>
      <c r="AV58" s="974">
        <v>4099.7670353290232</v>
      </c>
    </row>
    <row r="59" spans="1:48">
      <c r="A59" s="966">
        <v>52</v>
      </c>
      <c r="B59" s="967">
        <v>45460</v>
      </c>
      <c r="C59" s="966">
        <v>62000</v>
      </c>
      <c r="D59" s="966">
        <v>4.7771800000000004</v>
      </c>
      <c r="E59" s="966">
        <v>57.634335</v>
      </c>
      <c r="F59" s="966">
        <v>87470.53</v>
      </c>
      <c r="G59" s="966">
        <v>90659.138974000001</v>
      </c>
      <c r="H59" s="974">
        <v>716.79</v>
      </c>
      <c r="I59" s="966">
        <v>404.07</v>
      </c>
      <c r="J59" s="973">
        <v>1.4632443884200002</v>
      </c>
      <c r="L59" s="990">
        <v>45014</v>
      </c>
      <c r="M59" s="969">
        <v>55754.652879599998</v>
      </c>
      <c r="N59" s="969">
        <v>67272</v>
      </c>
      <c r="O59" s="974">
        <v>4099.7670353290232</v>
      </c>
      <c r="Q59" s="967">
        <v>45338</v>
      </c>
      <c r="R59" s="966">
        <v>46300</v>
      </c>
      <c r="S59" s="971">
        <v>0.45229416510683002</v>
      </c>
      <c r="T59" s="969">
        <v>-52.857154999999999</v>
      </c>
      <c r="U59" s="966">
        <v>114.59</v>
      </c>
      <c r="V59" s="966">
        <v>236.26</v>
      </c>
      <c r="W59" s="971">
        <f t="shared" si="0"/>
        <v>-0.22372451959705408</v>
      </c>
      <c r="Y59" s="967">
        <v>45414</v>
      </c>
      <c r="Z59" s="974">
        <f ca="1">H6*Valuation_Senario!$L$372</f>
        <v>1052.6487158800001</v>
      </c>
      <c r="AA59" s="973">
        <v>77.56</v>
      </c>
      <c r="AM59" s="967">
        <v>45338</v>
      </c>
      <c r="AN59" s="974">
        <v>167.55853996000002</v>
      </c>
      <c r="AO59" s="38">
        <v>0.45229416510683002</v>
      </c>
      <c r="AS59" s="967">
        <v>45014</v>
      </c>
      <c r="AT59" s="974">
        <v>55754.652879599998</v>
      </c>
      <c r="AU59" s="974">
        <v>67272</v>
      </c>
      <c r="AV59" s="974">
        <v>4099.7670353290232</v>
      </c>
    </row>
    <row r="60" spans="1:48">
      <c r="A60" s="966">
        <v>53</v>
      </c>
      <c r="B60" s="967">
        <v>45457</v>
      </c>
      <c r="C60" s="966">
        <v>63000</v>
      </c>
      <c r="D60" s="966">
        <v>28.046154999999999</v>
      </c>
      <c r="E60" s="966">
        <v>112.229585</v>
      </c>
      <c r="F60" s="966">
        <v>86812.45</v>
      </c>
      <c r="G60" s="966">
        <v>92121.383151000002</v>
      </c>
      <c r="H60" s="974">
        <v>716.8</v>
      </c>
      <c r="I60" s="966">
        <v>400.14</v>
      </c>
      <c r="J60" s="973">
        <v>1.4632351053199999</v>
      </c>
      <c r="L60" s="990">
        <v>45015</v>
      </c>
      <c r="M60" s="969">
        <v>57218.029595599997</v>
      </c>
      <c r="N60" s="969">
        <v>67272</v>
      </c>
      <c r="O60" s="974">
        <v>4099.7670353290232</v>
      </c>
      <c r="Q60" s="967">
        <v>45337</v>
      </c>
      <c r="R60" s="966">
        <v>45850</v>
      </c>
      <c r="S60" s="971">
        <v>0.45292421476521</v>
      </c>
      <c r="T60" s="969">
        <v>-84.183430000000001</v>
      </c>
      <c r="U60" s="966">
        <v>114.59</v>
      </c>
      <c r="V60" s="966">
        <v>449.97</v>
      </c>
      <c r="W60" s="971">
        <f t="shared" si="0"/>
        <v>-0.18708676133964486</v>
      </c>
      <c r="Y60" s="967">
        <v>45408</v>
      </c>
      <c r="Z60" s="974">
        <f ca="1">H7*Valuation_Senario!$L$372</f>
        <v>168.27048762999999</v>
      </c>
      <c r="AA60" s="973">
        <v>479.11</v>
      </c>
      <c r="AM60" s="967">
        <v>45337</v>
      </c>
      <c r="AN60" s="974">
        <v>167.55853996000002</v>
      </c>
      <c r="AO60" s="38">
        <v>0.45292421476521</v>
      </c>
      <c r="AS60" s="967">
        <v>45015</v>
      </c>
      <c r="AT60" s="974">
        <v>57218.029595599997</v>
      </c>
      <c r="AU60" s="974">
        <v>67272</v>
      </c>
      <c r="AV60" s="974">
        <v>4099.7670353290232</v>
      </c>
    </row>
    <row r="61" spans="1:48">
      <c r="A61" s="966">
        <v>54</v>
      </c>
      <c r="B61" s="967">
        <v>45456</v>
      </c>
      <c r="C61" s="966">
        <v>64000</v>
      </c>
      <c r="D61" s="966">
        <v>2.8866000000000001</v>
      </c>
      <c r="E61" s="966">
        <v>47.946215000000002</v>
      </c>
      <c r="F61" s="966">
        <v>87909.25</v>
      </c>
      <c r="G61" s="966">
        <v>93583.627328000002</v>
      </c>
      <c r="H61" s="974">
        <v>716.8</v>
      </c>
      <c r="I61" s="966">
        <v>406.68</v>
      </c>
      <c r="J61" s="973">
        <v>1.4632320109500001</v>
      </c>
      <c r="L61" s="990">
        <v>45016</v>
      </c>
      <c r="M61" s="969">
        <v>56632.678909200004</v>
      </c>
      <c r="N61" s="969">
        <v>67272</v>
      </c>
      <c r="O61" s="974">
        <v>4099.7670353290232</v>
      </c>
      <c r="Q61" s="967">
        <v>45329</v>
      </c>
      <c r="R61" s="966">
        <v>46600</v>
      </c>
      <c r="S61" s="971">
        <v>0.45394118188223997</v>
      </c>
      <c r="T61" s="969">
        <v>-45.059615000000001</v>
      </c>
      <c r="U61" s="966">
        <v>114.59</v>
      </c>
      <c r="V61" s="966">
        <v>315.19</v>
      </c>
      <c r="W61" s="971">
        <f t="shared" si="0"/>
        <v>-0.14296016688346713</v>
      </c>
      <c r="Y61" s="967">
        <v>45407</v>
      </c>
      <c r="Z61" s="974">
        <f ca="1">H11*Valuation_Senario!$L$372</f>
        <v>2212.5829001799998</v>
      </c>
      <c r="AA61" s="973">
        <v>469.51</v>
      </c>
      <c r="AM61" s="967">
        <v>45329</v>
      </c>
      <c r="AN61" s="974">
        <v>167.55853996000002</v>
      </c>
      <c r="AO61" s="38">
        <v>0.45394118188223997</v>
      </c>
      <c r="AS61" s="967">
        <v>45016</v>
      </c>
      <c r="AT61" s="974">
        <v>56632.678909200004</v>
      </c>
      <c r="AU61" s="974">
        <v>67272</v>
      </c>
      <c r="AV61" s="974">
        <v>4099.7670353290232</v>
      </c>
    </row>
    <row r="62" spans="1:48">
      <c r="A62" s="966">
        <v>55</v>
      </c>
      <c r="B62" s="967">
        <v>45455</v>
      </c>
      <c r="C62" s="966">
        <v>63400</v>
      </c>
      <c r="D62" s="966">
        <v>20.51003</v>
      </c>
      <c r="E62" s="966">
        <v>67.565946400000001</v>
      </c>
      <c r="F62" s="966">
        <v>88494.21</v>
      </c>
      <c r="G62" s="966">
        <v>92706.280821799999</v>
      </c>
      <c r="H62" s="974">
        <v>716.8</v>
      </c>
      <c r="I62" s="966">
        <v>410.18</v>
      </c>
      <c r="J62" s="973">
        <v>1.4632289165799999</v>
      </c>
      <c r="L62" s="990">
        <v>45019</v>
      </c>
      <c r="M62" s="969">
        <v>56486.341237599998</v>
      </c>
      <c r="N62" s="969">
        <v>67272</v>
      </c>
      <c r="O62" s="974">
        <v>4099.7670353290232</v>
      </c>
      <c r="Q62" s="967">
        <v>45328</v>
      </c>
      <c r="R62" s="966">
        <v>47000</v>
      </c>
      <c r="S62" s="971">
        <v>0.45394118188223997</v>
      </c>
      <c r="T62" s="969">
        <v>-47.055916400000001</v>
      </c>
      <c r="U62" s="966">
        <v>114.59</v>
      </c>
      <c r="V62" s="966">
        <v>467.61</v>
      </c>
      <c r="W62" s="971">
        <f t="shared" si="0"/>
        <v>-0.10063068882188148</v>
      </c>
      <c r="Y62" s="967">
        <v>45406</v>
      </c>
      <c r="Z62" s="974">
        <f ca="1">H12*Valuation_Senario!$L$372</f>
        <v>2212.5829001799998</v>
      </c>
      <c r="AA62" s="973">
        <v>456.42</v>
      </c>
      <c r="AM62" s="967">
        <v>45328</v>
      </c>
      <c r="AN62" s="974">
        <v>167.55853996000002</v>
      </c>
      <c r="AO62" s="38">
        <v>0.45394118188223997</v>
      </c>
      <c r="AS62" s="967">
        <v>45019</v>
      </c>
      <c r="AT62" s="974">
        <v>56486.341237599998</v>
      </c>
      <c r="AU62" s="974">
        <v>67272</v>
      </c>
      <c r="AV62" s="974">
        <v>4099.7670353290232</v>
      </c>
    </row>
    <row r="63" spans="1:48">
      <c r="A63" s="966">
        <v>56</v>
      </c>
      <c r="B63" s="967">
        <v>45454</v>
      </c>
      <c r="C63" s="966">
        <v>62300</v>
      </c>
      <c r="D63" s="966">
        <v>43.374290000000002</v>
      </c>
      <c r="E63" s="966">
        <v>44.750079999999997</v>
      </c>
      <c r="F63" s="966">
        <v>89079.17</v>
      </c>
      <c r="G63" s="966">
        <v>91097.812227100003</v>
      </c>
      <c r="H63" s="974">
        <v>716.8</v>
      </c>
      <c r="I63" s="966">
        <v>413.67</v>
      </c>
      <c r="J63" s="973">
        <v>1.4632258222100001</v>
      </c>
      <c r="L63" s="990">
        <v>45020</v>
      </c>
      <c r="M63" s="969">
        <v>56413.172401800002</v>
      </c>
      <c r="N63" s="969">
        <v>67272</v>
      </c>
      <c r="O63" s="974">
        <v>4099.7670353290232</v>
      </c>
      <c r="Q63" s="967">
        <v>45327</v>
      </c>
      <c r="R63" s="966">
        <v>47400</v>
      </c>
      <c r="S63" s="971">
        <v>0.45475935808179002</v>
      </c>
      <c r="T63" s="969">
        <v>-1.3757900000000001</v>
      </c>
      <c r="U63" s="966">
        <v>114.59</v>
      </c>
      <c r="V63" s="966">
        <v>356.08</v>
      </c>
      <c r="W63" s="971">
        <f t="shared" si="0"/>
        <v>-3.8637104021568189E-3</v>
      </c>
      <c r="Y63" s="967">
        <v>45405</v>
      </c>
      <c r="Z63" s="974">
        <f ca="1">H13*Valuation_Senario!$L$372</f>
        <v>2212.5829001799998</v>
      </c>
      <c r="AA63" s="973">
        <v>434.61</v>
      </c>
      <c r="AM63" s="967">
        <v>45327</v>
      </c>
      <c r="AN63" s="974">
        <v>167.55853996000002</v>
      </c>
      <c r="AO63" s="38">
        <v>0.45475935808179002</v>
      </c>
      <c r="AS63" s="967">
        <v>45020</v>
      </c>
      <c r="AT63" s="974">
        <v>56413.172401800002</v>
      </c>
      <c r="AU63" s="974">
        <v>67272</v>
      </c>
      <c r="AV63" s="974">
        <v>4099.7670353290232</v>
      </c>
    </row>
    <row r="64" spans="1:48">
      <c r="A64" s="966">
        <v>57</v>
      </c>
      <c r="B64" s="967">
        <v>45453</v>
      </c>
      <c r="C64" s="966">
        <v>63000</v>
      </c>
      <c r="D64" s="966">
        <v>141.87756999999999</v>
      </c>
      <c r="E64" s="966">
        <v>81.820724999999996</v>
      </c>
      <c r="F64" s="966">
        <v>89079.17</v>
      </c>
      <c r="G64" s="966">
        <v>92121.383151000002</v>
      </c>
      <c r="H64" s="974">
        <v>716.8</v>
      </c>
      <c r="I64" s="966">
        <v>413.67</v>
      </c>
      <c r="J64" s="973">
        <v>1.4632227278399998</v>
      </c>
      <c r="L64" s="990">
        <v>45021</v>
      </c>
      <c r="M64" s="969">
        <v>57071.691923999999</v>
      </c>
      <c r="N64" s="969">
        <v>67272</v>
      </c>
      <c r="O64" s="974">
        <v>4099.7670353290232</v>
      </c>
      <c r="Q64" s="967">
        <v>45324</v>
      </c>
      <c r="R64" s="966">
        <v>47400</v>
      </c>
      <c r="S64" s="971">
        <v>0.45419545680402001</v>
      </c>
      <c r="T64" s="969">
        <v>60.056845000000003</v>
      </c>
      <c r="U64" s="966">
        <v>114.59</v>
      </c>
      <c r="V64" s="966">
        <v>599.99</v>
      </c>
      <c r="W64" s="971">
        <f t="shared" si="0"/>
        <v>0.10009640994016568</v>
      </c>
      <c r="Y64" s="967">
        <v>45404</v>
      </c>
      <c r="Z64" s="974">
        <f ca="1">H14*Valuation_Senario!$L$372</f>
        <v>2212.5829001799998</v>
      </c>
      <c r="AA64" s="973">
        <v>424.13</v>
      </c>
      <c r="AM64" s="967">
        <v>45324</v>
      </c>
      <c r="AN64" s="974">
        <v>167.55853996000002</v>
      </c>
      <c r="AO64" s="38">
        <v>0.45419545680402001</v>
      </c>
      <c r="AS64" s="967">
        <v>45021</v>
      </c>
      <c r="AT64" s="974">
        <v>57071.691923999999</v>
      </c>
      <c r="AU64" s="974">
        <v>67272</v>
      </c>
      <c r="AV64" s="974">
        <v>4099.7670353290232</v>
      </c>
    </row>
    <row r="65" spans="1:48">
      <c r="A65" s="966">
        <v>58</v>
      </c>
      <c r="B65" s="967">
        <v>45450</v>
      </c>
      <c r="C65" s="966">
        <v>62100</v>
      </c>
      <c r="D65" s="966">
        <v>121.4404</v>
      </c>
      <c r="E65" s="966">
        <v>64.908119999999997</v>
      </c>
      <c r="F65" s="966">
        <v>87324.29</v>
      </c>
      <c r="G65" s="966">
        <v>90805.363391699997</v>
      </c>
      <c r="H65" s="974">
        <v>716.81</v>
      </c>
      <c r="I65" s="966">
        <v>403.19</v>
      </c>
      <c r="J65" s="973">
        <v>1.46321344473</v>
      </c>
      <c r="L65" s="990">
        <v>45022</v>
      </c>
      <c r="M65" s="969">
        <v>58242.393296800001</v>
      </c>
      <c r="N65" s="969">
        <v>67272</v>
      </c>
      <c r="O65" s="974">
        <v>4099.7670353290232</v>
      </c>
      <c r="Q65" s="967">
        <v>45323</v>
      </c>
      <c r="R65" s="966">
        <v>46200</v>
      </c>
      <c r="S65" s="971">
        <v>0.45419545680402001</v>
      </c>
      <c r="T65" s="969">
        <v>56.53228</v>
      </c>
      <c r="U65" s="966">
        <v>114.59</v>
      </c>
      <c r="V65" s="966">
        <v>527.09</v>
      </c>
      <c r="W65" s="971">
        <f t="shared" si="0"/>
        <v>0.10725356201028287</v>
      </c>
      <c r="Y65" s="967">
        <v>45401</v>
      </c>
      <c r="Z65" s="974">
        <f ca="1">H15*Valuation_Senario!$L$372</f>
        <v>2212.5829001799998</v>
      </c>
      <c r="AA65" s="973">
        <v>420.64</v>
      </c>
      <c r="AM65" s="967">
        <v>45323</v>
      </c>
      <c r="AN65" s="974">
        <v>167.55853996000002</v>
      </c>
      <c r="AO65" s="38">
        <v>0.45419545680402001</v>
      </c>
      <c r="AS65" s="967">
        <v>45022</v>
      </c>
      <c r="AT65" s="974">
        <v>58242.393296800001</v>
      </c>
      <c r="AU65" s="974">
        <v>67272</v>
      </c>
      <c r="AV65" s="974">
        <v>4099.7670353290232</v>
      </c>
    </row>
    <row r="66" spans="1:48">
      <c r="A66" s="966">
        <v>59</v>
      </c>
      <c r="B66" s="967">
        <v>45449</v>
      </c>
      <c r="C66" s="966">
        <v>61900</v>
      </c>
      <c r="D66" s="966">
        <v>71.67690365</v>
      </c>
      <c r="E66" s="966">
        <v>72.40822</v>
      </c>
      <c r="F66" s="966">
        <v>85569.42</v>
      </c>
      <c r="G66" s="966">
        <v>90512.914556300006</v>
      </c>
      <c r="H66" s="974">
        <v>716.81</v>
      </c>
      <c r="I66" s="966">
        <v>392.72</v>
      </c>
      <c r="J66" s="973">
        <v>1.4632103503699998</v>
      </c>
      <c r="L66" s="990">
        <v>45023</v>
      </c>
      <c r="M66" s="969">
        <v>58169.224460999998</v>
      </c>
      <c r="N66" s="969">
        <v>67272</v>
      </c>
      <c r="O66" s="974">
        <v>4099.7670353290232</v>
      </c>
      <c r="Q66" s="967">
        <v>45322</v>
      </c>
      <c r="R66" s="966">
        <v>45000</v>
      </c>
      <c r="S66" s="971">
        <v>0.45309315075912998</v>
      </c>
      <c r="T66" s="969">
        <v>-0.73131634999999995</v>
      </c>
      <c r="U66" s="966">
        <v>114.59</v>
      </c>
      <c r="V66" s="966">
        <v>430.52</v>
      </c>
      <c r="W66" s="971">
        <f t="shared" si="0"/>
        <v>-1.6986814782123942E-3</v>
      </c>
      <c r="Y66" s="967">
        <v>45399</v>
      </c>
      <c r="Z66" s="974">
        <f ca="1">H16*Valuation_Senario!$L$372</f>
        <v>2212.5829001799998</v>
      </c>
      <c r="AA66" s="973">
        <v>431.12</v>
      </c>
      <c r="AM66" s="967">
        <v>45322</v>
      </c>
      <c r="AN66" s="974">
        <v>167.55853996000002</v>
      </c>
      <c r="AO66" s="38">
        <v>0.45309315075912998</v>
      </c>
      <c r="AS66" s="967">
        <v>45023</v>
      </c>
      <c r="AT66" s="974">
        <v>58169.224460999998</v>
      </c>
      <c r="AU66" s="974">
        <v>67272</v>
      </c>
      <c r="AV66" s="974">
        <v>4099.7670353290232</v>
      </c>
    </row>
    <row r="67" spans="1:48">
      <c r="A67" s="966">
        <v>60</v>
      </c>
      <c r="B67" s="967">
        <v>45448</v>
      </c>
      <c r="C67" s="966">
        <v>62000</v>
      </c>
      <c r="D67" s="966">
        <v>18.19096</v>
      </c>
      <c r="E67" s="966">
        <v>45.785359999999997</v>
      </c>
      <c r="F67" s="966">
        <v>86980.41</v>
      </c>
      <c r="G67" s="966">
        <v>90659.138974000001</v>
      </c>
      <c r="H67" s="974">
        <v>716.81</v>
      </c>
      <c r="I67" s="966">
        <v>95.39</v>
      </c>
      <c r="J67" s="973">
        <v>1.463207256</v>
      </c>
      <c r="L67" s="990">
        <v>45026</v>
      </c>
      <c r="M67" s="969">
        <v>57218.029595599997</v>
      </c>
      <c r="N67" s="969">
        <v>67272</v>
      </c>
      <c r="O67" s="974">
        <v>4099.7670353290232</v>
      </c>
      <c r="Q67" s="967">
        <v>45321</v>
      </c>
      <c r="R67" s="966">
        <v>45400</v>
      </c>
      <c r="S67" s="971">
        <v>0.45292986471160002</v>
      </c>
      <c r="T67" s="969">
        <v>-27.5944</v>
      </c>
      <c r="U67" s="966">
        <v>475.92</v>
      </c>
      <c r="V67" s="966">
        <v>356.43</v>
      </c>
      <c r="W67" s="971">
        <f t="shared" si="0"/>
        <v>-7.7418848020649217E-2</v>
      </c>
      <c r="Y67" s="967">
        <v>45398</v>
      </c>
      <c r="Z67" s="974">
        <f ca="1">H17*Valuation_Senario!$L$372</f>
        <v>2212.5829001799998</v>
      </c>
      <c r="AA67" s="973">
        <v>435.48</v>
      </c>
      <c r="AM67" s="967">
        <v>45321</v>
      </c>
      <c r="AN67" s="974">
        <v>695.91116448000002</v>
      </c>
      <c r="AO67" s="38">
        <v>0.45292986471160002</v>
      </c>
      <c r="AS67" s="967">
        <v>45026</v>
      </c>
      <c r="AT67" s="974">
        <v>57218.029595599997</v>
      </c>
      <c r="AU67" s="974">
        <v>67272</v>
      </c>
      <c r="AV67" s="974">
        <v>4099.7670353290232</v>
      </c>
    </row>
    <row r="68" spans="1:48">
      <c r="A68" s="966">
        <v>61</v>
      </c>
      <c r="B68" s="967">
        <v>45447</v>
      </c>
      <c r="C68" s="966">
        <v>63800</v>
      </c>
      <c r="D68" s="966">
        <v>32.058987999999999</v>
      </c>
      <c r="E68" s="966">
        <v>58.998092499999998</v>
      </c>
      <c r="F68" s="966">
        <v>85810.49</v>
      </c>
      <c r="G68" s="966">
        <v>93291.178492599996</v>
      </c>
      <c r="H68" s="974">
        <v>716.81</v>
      </c>
      <c r="I68" s="966">
        <v>93.71</v>
      </c>
      <c r="J68" s="973">
        <v>1.4632041616300002</v>
      </c>
      <c r="L68" s="990">
        <v>45027</v>
      </c>
      <c r="M68" s="969">
        <v>57071.691923999999</v>
      </c>
      <c r="N68" s="969">
        <v>67272</v>
      </c>
      <c r="O68" s="974">
        <v>4099.7670353290232</v>
      </c>
      <c r="Q68" s="967">
        <v>45320</v>
      </c>
      <c r="R68" s="966">
        <v>44600</v>
      </c>
      <c r="S68" s="971">
        <v>0.45317006260198001</v>
      </c>
      <c r="T68" s="969">
        <v>-26.939104499999999</v>
      </c>
      <c r="U68" s="966">
        <v>475.92</v>
      </c>
      <c r="V68" s="966">
        <v>219.07</v>
      </c>
      <c r="W68" s="971">
        <f t="shared" si="0"/>
        <v>-0.12297030401241613</v>
      </c>
      <c r="Y68" s="967">
        <v>45397</v>
      </c>
      <c r="Z68" s="974">
        <f ca="1">H18*Valuation_Senario!$L$372</f>
        <v>2212.5829001799998</v>
      </c>
      <c r="AA68" s="973">
        <v>435.48</v>
      </c>
      <c r="AM68" s="967">
        <v>45320</v>
      </c>
      <c r="AN68" s="974">
        <v>695.91116448000002</v>
      </c>
      <c r="AO68" s="38">
        <v>0.45317006260198001</v>
      </c>
      <c r="AS68" s="967">
        <v>45027</v>
      </c>
      <c r="AT68" s="974">
        <v>57071.691923999999</v>
      </c>
      <c r="AU68" s="974">
        <v>67272</v>
      </c>
      <c r="AV68" s="974">
        <v>4099.7670353290232</v>
      </c>
    </row>
    <row r="69" spans="1:48">
      <c r="A69" s="966">
        <v>62</v>
      </c>
      <c r="B69" s="967">
        <v>45446</v>
      </c>
      <c r="C69" s="966">
        <v>64000</v>
      </c>
      <c r="D69" s="966">
        <v>20.9059238</v>
      </c>
      <c r="E69" s="966">
        <v>32.720615000000002</v>
      </c>
      <c r="F69" s="966">
        <v>86249.21</v>
      </c>
      <c r="G69" s="966">
        <v>93583.627328000002</v>
      </c>
      <c r="H69" s="974">
        <v>716.81</v>
      </c>
      <c r="I69" s="966">
        <v>94.34</v>
      </c>
      <c r="J69" s="973">
        <v>1.46320106726</v>
      </c>
      <c r="L69" s="990">
        <v>45028</v>
      </c>
      <c r="M69" s="969">
        <v>59998.445355999997</v>
      </c>
      <c r="N69" s="969">
        <v>67272</v>
      </c>
      <c r="O69" s="974">
        <v>4099.7670353290232</v>
      </c>
      <c r="Q69" s="967">
        <v>45317</v>
      </c>
      <c r="R69" s="966">
        <v>44900</v>
      </c>
      <c r="S69" s="971">
        <v>0.45351643821014997</v>
      </c>
      <c r="T69" s="969">
        <v>-11.8146912</v>
      </c>
      <c r="U69" s="966">
        <v>475.92</v>
      </c>
      <c r="V69" s="966">
        <v>218.79</v>
      </c>
      <c r="W69" s="971">
        <f t="shared" si="0"/>
        <v>-5.4000142602495547E-2</v>
      </c>
      <c r="Y69" s="967">
        <v>45394</v>
      </c>
      <c r="Z69" s="974">
        <f ca="1">H19*Valuation_Senario!$L$372</f>
        <v>2212.5829001799998</v>
      </c>
      <c r="AA69" s="973">
        <v>453.81</v>
      </c>
      <c r="AM69" s="967">
        <v>45317</v>
      </c>
      <c r="AN69" s="974">
        <v>695.91116448000002</v>
      </c>
      <c r="AO69" s="38">
        <v>0.45351643821014997</v>
      </c>
      <c r="AS69" s="967">
        <v>45028</v>
      </c>
      <c r="AT69" s="974">
        <v>59998.445355999997</v>
      </c>
      <c r="AU69" s="974">
        <v>67272</v>
      </c>
      <c r="AV69" s="974">
        <v>4099.7670353290232</v>
      </c>
    </row>
    <row r="70" spans="1:48">
      <c r="A70" s="966">
        <v>63</v>
      </c>
      <c r="B70" s="967">
        <v>45443</v>
      </c>
      <c r="C70" s="966">
        <v>63600</v>
      </c>
      <c r="D70" s="966">
        <v>24.207992950000001</v>
      </c>
      <c r="E70" s="966">
        <v>54.7849571</v>
      </c>
      <c r="F70" s="966">
        <v>86687.93</v>
      </c>
      <c r="G70" s="966">
        <v>92998.729657200005</v>
      </c>
      <c r="H70" s="974">
        <v>716.82</v>
      </c>
      <c r="I70" s="966">
        <v>94.97</v>
      </c>
      <c r="J70" s="973">
        <v>1.4631917841500002</v>
      </c>
      <c r="L70" s="990">
        <v>45029</v>
      </c>
      <c r="M70" s="969">
        <v>59559.432341200001</v>
      </c>
      <c r="N70" s="969">
        <v>67272</v>
      </c>
      <c r="O70" s="974">
        <v>4099.7670353290232</v>
      </c>
      <c r="Q70" s="967">
        <v>45316</v>
      </c>
      <c r="R70" s="966">
        <v>45200</v>
      </c>
      <c r="S70" s="971">
        <v>0.4544393406899</v>
      </c>
      <c r="T70" s="969">
        <v>-30.576964149999998</v>
      </c>
      <c r="U70" s="966">
        <v>475.92</v>
      </c>
      <c r="V70" s="966">
        <v>384.44</v>
      </c>
      <c r="W70" s="971">
        <f t="shared" si="0"/>
        <v>-7.9536375377171981E-2</v>
      </c>
      <c r="Y70" s="967">
        <v>45393</v>
      </c>
      <c r="Z70" s="974">
        <f ca="1">H20*Valuation_Senario!$L$372</f>
        <v>2212.5829001799998</v>
      </c>
      <c r="AA70" s="973">
        <v>456.42</v>
      </c>
      <c r="AM70" s="967">
        <v>45316</v>
      </c>
      <c r="AN70" s="974">
        <v>695.91116448000002</v>
      </c>
      <c r="AO70" s="38">
        <v>0.4544393406899</v>
      </c>
      <c r="AS70" s="967">
        <v>45029</v>
      </c>
      <c r="AT70" s="974">
        <v>59559.432341200001</v>
      </c>
      <c r="AU70" s="974">
        <v>67272</v>
      </c>
      <c r="AV70" s="974">
        <v>4099.7670353290232</v>
      </c>
    </row>
    <row r="71" spans="1:48">
      <c r="A71" s="966">
        <v>64</v>
      </c>
      <c r="B71" s="967">
        <v>45442</v>
      </c>
      <c r="C71" s="966">
        <v>62800</v>
      </c>
      <c r="D71" s="966">
        <v>33.357824899999997</v>
      </c>
      <c r="E71" s="966">
        <v>96.557535000000001</v>
      </c>
      <c r="F71" s="966">
        <v>85518.02</v>
      </c>
      <c r="G71" s="966">
        <v>91828.934315599996</v>
      </c>
      <c r="H71" s="974">
        <v>716.82</v>
      </c>
      <c r="I71" s="966">
        <v>93.29</v>
      </c>
      <c r="J71" s="973">
        <v>1.4631886897799999</v>
      </c>
      <c r="L71" s="990">
        <v>45030</v>
      </c>
      <c r="M71" s="969">
        <v>59632.601176999997</v>
      </c>
      <c r="N71" s="969">
        <v>67272</v>
      </c>
      <c r="O71" s="974">
        <v>4099.7670353290232</v>
      </c>
      <c r="Q71" s="967">
        <v>45315</v>
      </c>
      <c r="R71" s="966">
        <v>44400</v>
      </c>
      <c r="S71" s="971">
        <v>0.45505719321558002</v>
      </c>
      <c r="T71" s="969">
        <v>-63.199710099999997</v>
      </c>
      <c r="U71" s="966">
        <v>475.92</v>
      </c>
      <c r="V71" s="966">
        <v>495.67</v>
      </c>
      <c r="W71" s="971">
        <f t="shared" si="0"/>
        <v>-0.12750360138802025</v>
      </c>
      <c r="Y71" s="967">
        <v>45392</v>
      </c>
      <c r="Z71" s="974">
        <f ca="1">H21*Valuation_Senario!$L$372</f>
        <v>2212.5829001799998</v>
      </c>
      <c r="AA71" s="973">
        <v>453.81</v>
      </c>
      <c r="AM71" s="967">
        <v>45315</v>
      </c>
      <c r="AN71" s="974">
        <v>695.91116448000002</v>
      </c>
      <c r="AO71" s="38">
        <v>0.45505719321558002</v>
      </c>
      <c r="AS71" s="967">
        <v>45030</v>
      </c>
      <c r="AT71" s="974">
        <v>59632.601176999997</v>
      </c>
      <c r="AU71" s="974">
        <v>67272</v>
      </c>
      <c r="AV71" s="974">
        <v>4099.7670353290232</v>
      </c>
    </row>
    <row r="72" spans="1:48">
      <c r="A72" s="966">
        <v>65</v>
      </c>
      <c r="B72" s="967">
        <v>45441</v>
      </c>
      <c r="C72" s="966">
        <v>60500</v>
      </c>
      <c r="D72" s="966">
        <v>42.675370000000001</v>
      </c>
      <c r="E72" s="966">
        <v>66.081825600000002</v>
      </c>
      <c r="F72" s="966">
        <v>86980.41</v>
      </c>
      <c r="G72" s="966">
        <v>88465.772708499993</v>
      </c>
      <c r="H72" s="974">
        <v>716.82</v>
      </c>
      <c r="I72" s="966">
        <v>95.39</v>
      </c>
      <c r="J72" s="973">
        <v>1.4631855954200002</v>
      </c>
      <c r="L72" s="990">
        <v>45033</v>
      </c>
      <c r="M72" s="969">
        <v>60071.614191799999</v>
      </c>
      <c r="N72" s="969">
        <v>67272</v>
      </c>
      <c r="O72" s="974">
        <v>4099.7670353290232</v>
      </c>
      <c r="Q72" s="967">
        <v>45314</v>
      </c>
      <c r="R72" s="966">
        <v>45400</v>
      </c>
      <c r="S72" s="971">
        <v>0.45493457885521998</v>
      </c>
      <c r="T72" s="969">
        <v>-23.406455600000001</v>
      </c>
      <c r="U72" s="966">
        <v>475.92</v>
      </c>
      <c r="V72" s="966">
        <v>336.46</v>
      </c>
      <c r="W72" s="971">
        <f t="shared" si="0"/>
        <v>-6.9566829935207755E-2</v>
      </c>
      <c r="Y72" s="967">
        <v>45391</v>
      </c>
      <c r="Z72" s="974">
        <f ca="1">H22*Valuation_Senario!$L$372</f>
        <v>2212.5829001799998</v>
      </c>
      <c r="AA72" s="973">
        <v>460.79</v>
      </c>
      <c r="AM72" s="967">
        <v>45314</v>
      </c>
      <c r="AN72" s="974">
        <v>695.91116448000002</v>
      </c>
      <c r="AO72" s="38">
        <v>0.45493457885521998</v>
      </c>
      <c r="AS72" s="967">
        <v>45033</v>
      </c>
      <c r="AT72" s="974">
        <v>60071.614191799999</v>
      </c>
      <c r="AU72" s="974">
        <v>67272</v>
      </c>
      <c r="AV72" s="974">
        <v>4099.7670353290232</v>
      </c>
    </row>
    <row r="73" spans="1:48">
      <c r="A73" s="966">
        <v>66</v>
      </c>
      <c r="B73" s="967">
        <v>45440</v>
      </c>
      <c r="C73" s="966">
        <v>61500</v>
      </c>
      <c r="D73" s="966">
        <v>43.8120555</v>
      </c>
      <c r="E73" s="966">
        <v>17.3577391</v>
      </c>
      <c r="F73" s="966">
        <v>88077.21</v>
      </c>
      <c r="G73" s="966">
        <v>89928.016885499994</v>
      </c>
      <c r="H73" s="974">
        <v>716.82</v>
      </c>
      <c r="I73" s="966">
        <v>96.97</v>
      </c>
      <c r="J73" s="973">
        <v>1.4631825010499999</v>
      </c>
      <c r="L73" s="990">
        <v>45034</v>
      </c>
      <c r="M73" s="969">
        <v>58535.068639999998</v>
      </c>
      <c r="N73" s="969">
        <v>67272</v>
      </c>
      <c r="O73" s="974">
        <v>4099.7670353290232</v>
      </c>
      <c r="Q73" s="967">
        <v>45313</v>
      </c>
      <c r="R73" s="966">
        <v>46150</v>
      </c>
      <c r="S73" s="971">
        <v>0.45492050182381</v>
      </c>
      <c r="T73" s="969">
        <v>26.4543164</v>
      </c>
      <c r="U73" s="966">
        <v>475.92</v>
      </c>
      <c r="V73" s="966">
        <v>364.66</v>
      </c>
      <c r="W73" s="971">
        <f t="shared" ref="W73:W136" si="1">T73/V73</f>
        <v>7.2545155487303239E-2</v>
      </c>
      <c r="Y73" s="967">
        <v>45390</v>
      </c>
      <c r="Z73" s="974">
        <f ca="1">H23*Valuation_Senario!$L$372</f>
        <v>2212.5829001799998</v>
      </c>
      <c r="AA73" s="973">
        <v>436.35</v>
      </c>
      <c r="AM73" s="967">
        <v>45313</v>
      </c>
      <c r="AN73" s="974">
        <v>695.91116448000002</v>
      </c>
      <c r="AO73" s="38">
        <v>0.45492050182381</v>
      </c>
      <c r="AS73" s="967">
        <v>45034</v>
      </c>
      <c r="AT73" s="974">
        <v>58535.068639999998</v>
      </c>
      <c r="AU73" s="974">
        <v>67272</v>
      </c>
      <c r="AV73" s="974">
        <v>4099.7670353290232</v>
      </c>
    </row>
    <row r="74" spans="1:48">
      <c r="A74" s="966">
        <v>67</v>
      </c>
      <c r="B74" s="967">
        <v>45439</v>
      </c>
      <c r="C74" s="966">
        <v>60000</v>
      </c>
      <c r="D74" s="966">
        <v>169.9799525</v>
      </c>
      <c r="E74" s="966">
        <v>105.6634875</v>
      </c>
      <c r="F74" s="966">
        <v>87930.97</v>
      </c>
      <c r="G74" s="966">
        <v>87734.65062</v>
      </c>
      <c r="H74" s="974">
        <v>716.82</v>
      </c>
      <c r="I74" s="966">
        <v>96.76</v>
      </c>
      <c r="J74" s="973">
        <v>1.4631794066800001</v>
      </c>
      <c r="L74" s="990">
        <v>45035</v>
      </c>
      <c r="M74" s="969">
        <v>58315.562132599996</v>
      </c>
      <c r="N74" s="969">
        <v>67272</v>
      </c>
      <c r="O74" s="974">
        <v>4099.7670353290232</v>
      </c>
      <c r="Q74" s="967">
        <v>45310</v>
      </c>
      <c r="R74" s="966">
        <v>46050</v>
      </c>
      <c r="S74" s="971">
        <v>0.45486683826668001</v>
      </c>
      <c r="T74" s="969">
        <v>64.316464999999994</v>
      </c>
      <c r="U74" s="966">
        <v>475.92</v>
      </c>
      <c r="V74" s="966">
        <v>591.9</v>
      </c>
      <c r="W74" s="971">
        <f t="shared" si="1"/>
        <v>0.10866103226896434</v>
      </c>
      <c r="Y74" s="967">
        <v>45387</v>
      </c>
      <c r="Z74" s="974">
        <f ca="1">H24*Valuation_Senario!$L$372</f>
        <v>2212.5829001799998</v>
      </c>
      <c r="AA74" s="973">
        <v>445.08</v>
      </c>
      <c r="AM74" s="967">
        <v>45310</v>
      </c>
      <c r="AN74" s="974">
        <v>695.91116448000002</v>
      </c>
      <c r="AO74" s="38">
        <v>0.45486683826668001</v>
      </c>
      <c r="AS74" s="967">
        <v>45035</v>
      </c>
      <c r="AT74" s="974">
        <v>58315.562132599996</v>
      </c>
      <c r="AU74" s="974">
        <v>67272</v>
      </c>
      <c r="AV74" s="974">
        <v>4099.7670353290232</v>
      </c>
    </row>
    <row r="75" spans="1:48">
      <c r="A75" s="966">
        <v>68</v>
      </c>
      <c r="B75" s="967">
        <v>45436</v>
      </c>
      <c r="C75" s="966">
        <v>60500</v>
      </c>
      <c r="D75" s="966">
        <v>160.714743</v>
      </c>
      <c r="E75" s="966">
        <v>39.041345</v>
      </c>
      <c r="F75" s="966">
        <v>87638.49</v>
      </c>
      <c r="G75" s="966">
        <v>88465.772708499993</v>
      </c>
      <c r="H75" s="974">
        <v>716.83</v>
      </c>
      <c r="I75" s="966">
        <v>96.34</v>
      </c>
      <c r="J75" s="973">
        <v>1.4631701235699999</v>
      </c>
      <c r="L75" s="990">
        <v>45036</v>
      </c>
      <c r="M75" s="969">
        <v>58461.899804200002</v>
      </c>
      <c r="N75" s="969">
        <v>67272</v>
      </c>
      <c r="O75" s="974">
        <v>4099.7670353290232</v>
      </c>
      <c r="Q75" s="967">
        <v>45309</v>
      </c>
      <c r="R75" s="966">
        <v>45850</v>
      </c>
      <c r="S75" s="971">
        <v>0.45510508108971998</v>
      </c>
      <c r="T75" s="969">
        <v>121.67339800000001</v>
      </c>
      <c r="U75" s="966">
        <v>475.92</v>
      </c>
      <c r="V75" s="966">
        <v>423.03</v>
      </c>
      <c r="W75" s="971">
        <f t="shared" si="1"/>
        <v>0.28762356806845851</v>
      </c>
      <c r="Y75" s="967">
        <v>45386</v>
      </c>
      <c r="Z75" s="974">
        <f ca="1">H25*Valuation_Senario!$L$372</f>
        <v>2212.5829001799998</v>
      </c>
      <c r="AA75" s="973">
        <v>442.46</v>
      </c>
      <c r="AM75" s="967">
        <v>45309</v>
      </c>
      <c r="AN75" s="974">
        <v>695.91116448000002</v>
      </c>
      <c r="AO75" s="38">
        <v>0.45510508108971998</v>
      </c>
      <c r="AS75" s="967">
        <v>45036</v>
      </c>
      <c r="AT75" s="974">
        <v>58461.899804200002</v>
      </c>
      <c r="AU75" s="974">
        <v>67272</v>
      </c>
      <c r="AV75" s="974">
        <v>4099.7670353290232</v>
      </c>
    </row>
    <row r="76" spans="1:48">
      <c r="A76" s="966">
        <v>69</v>
      </c>
      <c r="B76" s="967">
        <v>45435</v>
      </c>
      <c r="C76" s="966">
        <v>62000</v>
      </c>
      <c r="D76" s="966">
        <v>348.28858559999998</v>
      </c>
      <c r="E76" s="966">
        <v>189.33870895000001</v>
      </c>
      <c r="F76" s="966">
        <v>86249.21</v>
      </c>
      <c r="G76" s="966">
        <v>90659.138974000001</v>
      </c>
      <c r="H76" s="974">
        <v>716.83</v>
      </c>
      <c r="I76" s="966">
        <v>94.34</v>
      </c>
      <c r="J76" s="973">
        <v>1.4631670292000001</v>
      </c>
      <c r="L76" s="990">
        <v>45037</v>
      </c>
      <c r="M76" s="969">
        <v>59266.756997999997</v>
      </c>
      <c r="N76" s="969">
        <v>67272</v>
      </c>
      <c r="O76" s="974">
        <v>4099.7670353290232</v>
      </c>
      <c r="Q76" s="967">
        <v>45308</v>
      </c>
      <c r="R76" s="966">
        <v>44900</v>
      </c>
      <c r="S76" s="971">
        <v>0.45479536589810998</v>
      </c>
      <c r="T76" s="969">
        <v>158.94987664999999</v>
      </c>
      <c r="U76" s="966">
        <v>475.92</v>
      </c>
      <c r="V76" s="966">
        <v>667.17</v>
      </c>
      <c r="W76" s="971">
        <f t="shared" si="1"/>
        <v>0.23824494004526584</v>
      </c>
      <c r="Y76" s="967">
        <v>45385</v>
      </c>
      <c r="Z76" s="974">
        <f ca="1">H26*Valuation_Senario!$L$372</f>
        <v>2212.5829001799998</v>
      </c>
      <c r="AA76" s="973">
        <v>438.1</v>
      </c>
      <c r="AM76" s="967">
        <v>45308</v>
      </c>
      <c r="AN76" s="974">
        <v>695.91116448000002</v>
      </c>
      <c r="AO76" s="38">
        <v>0.45479536589810998</v>
      </c>
      <c r="AS76" s="967">
        <v>45037</v>
      </c>
      <c r="AT76" s="974">
        <v>59266.756997999997</v>
      </c>
      <c r="AU76" s="974">
        <v>67272</v>
      </c>
      <c r="AV76" s="974">
        <v>4099.7670353290232</v>
      </c>
    </row>
    <row r="77" spans="1:48">
      <c r="A77" s="966">
        <v>70</v>
      </c>
      <c r="B77" s="967">
        <v>45434</v>
      </c>
      <c r="C77" s="966">
        <v>61000</v>
      </c>
      <c r="D77" s="966">
        <v>283.0360996</v>
      </c>
      <c r="E77" s="966">
        <v>135.27368999999999</v>
      </c>
      <c r="F77" s="966">
        <v>85371.78</v>
      </c>
      <c r="G77" s="966">
        <v>89196.894797000001</v>
      </c>
      <c r="H77" s="974">
        <v>716.83</v>
      </c>
      <c r="I77" s="966">
        <v>93.08</v>
      </c>
      <c r="J77" s="973">
        <v>1.4631639348299998</v>
      </c>
      <c r="L77" s="990">
        <v>45040</v>
      </c>
      <c r="M77" s="969">
        <v>59120.419326399999</v>
      </c>
      <c r="N77" s="969">
        <v>67272</v>
      </c>
      <c r="O77" s="974">
        <v>4099.7670353290232</v>
      </c>
      <c r="Q77" s="967">
        <v>45307</v>
      </c>
      <c r="R77" s="966">
        <v>44300</v>
      </c>
      <c r="S77" s="971">
        <v>0.45202314740123001</v>
      </c>
      <c r="T77" s="969">
        <v>147.76240960000001</v>
      </c>
      <c r="U77" s="966">
        <v>475.92</v>
      </c>
      <c r="V77" s="966">
        <v>800.31</v>
      </c>
      <c r="W77" s="971">
        <f t="shared" si="1"/>
        <v>0.1846314673064188</v>
      </c>
      <c r="Y77" s="967">
        <v>45384</v>
      </c>
      <c r="Z77" s="974">
        <f ca="1">H27*Valuation_Senario!$L$372</f>
        <v>2212.5829001799998</v>
      </c>
      <c r="AA77" s="973">
        <v>450.32</v>
      </c>
      <c r="AM77" s="967">
        <v>45307</v>
      </c>
      <c r="AN77" s="974">
        <v>695.91116448000002</v>
      </c>
      <c r="AO77" s="38">
        <v>0.45202314740123001</v>
      </c>
      <c r="AS77" s="967">
        <v>45040</v>
      </c>
      <c r="AT77" s="974">
        <v>59120.419326399999</v>
      </c>
      <c r="AU77" s="974">
        <v>67272</v>
      </c>
      <c r="AV77" s="974">
        <v>4099.7670353290232</v>
      </c>
    </row>
    <row r="78" spans="1:48">
      <c r="A78" s="966">
        <v>71</v>
      </c>
      <c r="B78" s="967">
        <v>45433</v>
      </c>
      <c r="C78" s="966">
        <v>60500</v>
      </c>
      <c r="D78" s="966">
        <v>152.993165</v>
      </c>
      <c r="E78" s="966">
        <v>97.023030000000006</v>
      </c>
      <c r="F78" s="966">
        <v>83324.42</v>
      </c>
      <c r="G78" s="966">
        <v>88465.772708499993</v>
      </c>
      <c r="H78" s="974">
        <v>716.83</v>
      </c>
      <c r="I78" s="966">
        <v>90.14</v>
      </c>
      <c r="J78" s="973">
        <v>1.4631608404600001</v>
      </c>
      <c r="L78" s="990">
        <v>45041</v>
      </c>
      <c r="M78" s="969">
        <v>57510.704938800001</v>
      </c>
      <c r="N78" s="969">
        <v>67272</v>
      </c>
      <c r="O78" s="974">
        <v>4099.7670353290232</v>
      </c>
      <c r="Q78" s="967">
        <v>45306</v>
      </c>
      <c r="R78" s="966">
        <v>42900</v>
      </c>
      <c r="S78" s="971">
        <v>0.44776658657728002</v>
      </c>
      <c r="T78" s="969">
        <v>55.970134999999999</v>
      </c>
      <c r="U78" s="966">
        <v>475.92</v>
      </c>
      <c r="V78" s="966">
        <v>433.09</v>
      </c>
      <c r="W78" s="971">
        <f t="shared" si="1"/>
        <v>0.12923442009743932</v>
      </c>
      <c r="Y78" s="967">
        <v>45383</v>
      </c>
      <c r="Z78" s="974">
        <f ca="1">H28*Valuation_Senario!$L$372</f>
        <v>2212.5829001799998</v>
      </c>
      <c r="AA78" s="973">
        <v>448.57</v>
      </c>
      <c r="AM78" s="967">
        <v>45306</v>
      </c>
      <c r="AN78" s="974">
        <v>695.91116448000002</v>
      </c>
      <c r="AO78" s="38">
        <v>0.44776658657728002</v>
      </c>
      <c r="AS78" s="967">
        <v>45041</v>
      </c>
      <c r="AT78" s="974">
        <v>57510.704938800001</v>
      </c>
      <c r="AU78" s="974">
        <v>67272</v>
      </c>
      <c r="AV78" s="974">
        <v>4099.7670353290232</v>
      </c>
    </row>
    <row r="79" spans="1:48">
      <c r="A79" s="966">
        <v>72</v>
      </c>
      <c r="B79" s="967">
        <v>45432</v>
      </c>
      <c r="C79" s="966">
        <v>60000</v>
      </c>
      <c r="D79" s="966">
        <v>67.113714999999999</v>
      </c>
      <c r="E79" s="966">
        <v>15.254135</v>
      </c>
      <c r="F79" s="966">
        <v>81862.02</v>
      </c>
      <c r="G79" s="966">
        <v>87734.65062</v>
      </c>
      <c r="H79" s="974">
        <v>716.83</v>
      </c>
      <c r="I79" s="966">
        <v>88.04</v>
      </c>
      <c r="J79" s="973">
        <v>1.4631577460999998</v>
      </c>
      <c r="L79" s="990">
        <v>45042</v>
      </c>
      <c r="M79" s="969">
        <v>56193.665894400001</v>
      </c>
      <c r="N79" s="969">
        <v>67272</v>
      </c>
      <c r="O79" s="974">
        <v>4099.7670353290232</v>
      </c>
      <c r="Q79" s="967">
        <v>45303</v>
      </c>
      <c r="R79" s="966">
        <v>41900</v>
      </c>
      <c r="S79" s="971">
        <v>0.44660099470928</v>
      </c>
      <c r="T79" s="969">
        <v>51.859580000000001</v>
      </c>
      <c r="U79" s="966">
        <v>475.92</v>
      </c>
      <c r="V79" s="966">
        <v>328.12</v>
      </c>
      <c r="W79" s="971">
        <f t="shared" si="1"/>
        <v>0.15805065220041448</v>
      </c>
      <c r="Y79" s="967">
        <v>45380</v>
      </c>
      <c r="Z79" s="974">
        <f ca="1">H29*Valuation_Senario!$L$372</f>
        <v>1052.50187018</v>
      </c>
      <c r="AA79" s="973">
        <v>445.95</v>
      </c>
      <c r="AM79" s="967">
        <v>45303</v>
      </c>
      <c r="AN79" s="974">
        <v>695.91116448000002</v>
      </c>
      <c r="AO79" s="38">
        <v>0.44660099470928</v>
      </c>
      <c r="AS79" s="967">
        <v>45042</v>
      </c>
      <c r="AT79" s="974">
        <v>56193.665894400001</v>
      </c>
      <c r="AU79" s="974">
        <v>67272</v>
      </c>
      <c r="AV79" s="974">
        <v>4099.7670353290232</v>
      </c>
    </row>
    <row r="80" spans="1:48">
      <c r="A80" s="966">
        <v>73</v>
      </c>
      <c r="B80" s="967">
        <v>45429</v>
      </c>
      <c r="C80" s="966">
        <v>59600</v>
      </c>
      <c r="D80" s="966">
        <v>57.875109000000002</v>
      </c>
      <c r="E80" s="966">
        <v>86.036069999999995</v>
      </c>
      <c r="F80" s="966">
        <v>82666.34</v>
      </c>
      <c r="G80" s="966">
        <v>87149.752949200003</v>
      </c>
      <c r="H80" s="974">
        <v>716.84</v>
      </c>
      <c r="I80" s="966">
        <v>89.2</v>
      </c>
      <c r="J80" s="973">
        <v>1.4631453686199998</v>
      </c>
      <c r="L80" s="990">
        <v>45043</v>
      </c>
      <c r="M80" s="969">
        <v>55169.302193199997</v>
      </c>
      <c r="N80" s="969">
        <v>67272</v>
      </c>
      <c r="O80" s="974">
        <v>4099.7670353290232</v>
      </c>
      <c r="Q80" s="967">
        <v>45302</v>
      </c>
      <c r="R80" s="966">
        <v>42450</v>
      </c>
      <c r="S80" s="971">
        <v>0.44587274750652001</v>
      </c>
      <c r="T80" s="969">
        <v>-28.160961</v>
      </c>
      <c r="U80" s="966">
        <v>475.92</v>
      </c>
      <c r="V80" s="966">
        <v>242.46</v>
      </c>
      <c r="W80" s="971">
        <f t="shared" si="1"/>
        <v>-0.11614683246721108</v>
      </c>
      <c r="Y80" s="967">
        <v>45379</v>
      </c>
      <c r="Z80" s="974">
        <f ca="1">H30*Valuation_Senario!$L$372</f>
        <v>1052.50187018</v>
      </c>
      <c r="AA80" s="973">
        <v>445.08</v>
      </c>
      <c r="AM80" s="967">
        <v>45302</v>
      </c>
      <c r="AN80" s="974">
        <v>695.91116448000002</v>
      </c>
      <c r="AO80" s="38">
        <v>0.44587274750652001</v>
      </c>
      <c r="AS80" s="967">
        <v>45043</v>
      </c>
      <c r="AT80" s="974">
        <v>55169.302193199997</v>
      </c>
      <c r="AU80" s="974">
        <v>67272</v>
      </c>
      <c r="AV80" s="974">
        <v>4099.7670353290232</v>
      </c>
    </row>
    <row r="81" spans="1:48">
      <c r="A81" s="966">
        <v>74</v>
      </c>
      <c r="B81" s="967">
        <v>45428</v>
      </c>
      <c r="C81" s="966">
        <v>59900</v>
      </c>
      <c r="D81" s="966">
        <v>71.177993549999997</v>
      </c>
      <c r="E81" s="966">
        <v>28.335505000000001</v>
      </c>
      <c r="F81" s="966">
        <v>82373.86</v>
      </c>
      <c r="G81" s="966">
        <v>87588.426202300005</v>
      </c>
      <c r="H81" s="974">
        <v>716.84</v>
      </c>
      <c r="I81" s="966">
        <v>88.78</v>
      </c>
      <c r="J81" s="973">
        <v>1.4631453686199998</v>
      </c>
      <c r="L81" s="990">
        <v>45044</v>
      </c>
      <c r="M81" s="969">
        <v>56193.665894400001</v>
      </c>
      <c r="N81" s="969">
        <v>67272</v>
      </c>
      <c r="O81" s="974">
        <v>4099.7670353290232</v>
      </c>
      <c r="Q81" s="967">
        <v>45301</v>
      </c>
      <c r="R81" s="966">
        <v>42250</v>
      </c>
      <c r="S81" s="971">
        <v>0.44548647376454997</v>
      </c>
      <c r="T81" s="969">
        <v>42.842488549999999</v>
      </c>
      <c r="U81" s="966">
        <v>475.92</v>
      </c>
      <c r="V81" s="966">
        <v>336</v>
      </c>
      <c r="W81" s="971">
        <f t="shared" si="1"/>
        <v>0.12750740639880953</v>
      </c>
      <c r="Y81" s="967">
        <v>45378</v>
      </c>
      <c r="Z81" s="974">
        <f ca="1">H31*Valuation_Senario!$L$372</f>
        <v>1052.5165547499998</v>
      </c>
      <c r="AA81" s="973">
        <v>442.46</v>
      </c>
      <c r="AM81" s="967">
        <v>45301</v>
      </c>
      <c r="AN81" s="974">
        <v>695.91116448000002</v>
      </c>
      <c r="AO81" s="38">
        <v>0.44548647376454997</v>
      </c>
      <c r="AS81" s="967">
        <v>45044</v>
      </c>
      <c r="AT81" s="974">
        <v>56193.665894400001</v>
      </c>
      <c r="AU81" s="974">
        <v>67272</v>
      </c>
      <c r="AV81" s="974">
        <v>4099.7670353290232</v>
      </c>
    </row>
    <row r="82" spans="1:48">
      <c r="A82" s="966">
        <v>75</v>
      </c>
      <c r="B82" s="967">
        <v>45427</v>
      </c>
      <c r="C82" s="966">
        <v>60800</v>
      </c>
      <c r="D82" s="966">
        <v>67.615359999999995</v>
      </c>
      <c r="E82" s="966">
        <v>47.1980298</v>
      </c>
      <c r="F82" s="966">
        <v>83031.94</v>
      </c>
      <c r="G82" s="966">
        <v>88904.445961599995</v>
      </c>
      <c r="H82" s="974">
        <v>716.84</v>
      </c>
      <c r="I82" s="966">
        <v>89.72</v>
      </c>
      <c r="J82" s="973">
        <v>1.4631453686199998</v>
      </c>
      <c r="L82" s="990">
        <v>45050</v>
      </c>
      <c r="M82" s="969">
        <v>56559.510073400001</v>
      </c>
      <c r="N82" s="969">
        <v>67272</v>
      </c>
      <c r="O82" s="974">
        <v>4099.7670353290232</v>
      </c>
      <c r="Q82" s="967">
        <v>45300</v>
      </c>
      <c r="R82" s="966">
        <v>42700</v>
      </c>
      <c r="S82" s="971">
        <v>0.44496164854928</v>
      </c>
      <c r="T82" s="969">
        <v>20.417330199999999</v>
      </c>
      <c r="U82" s="966">
        <v>475.92</v>
      </c>
      <c r="V82" s="966">
        <v>428.87</v>
      </c>
      <c r="W82" s="971">
        <f t="shared" si="1"/>
        <v>4.7607270734721471E-2</v>
      </c>
      <c r="Y82" s="967">
        <v>45377</v>
      </c>
      <c r="Z82" s="974">
        <f ca="1">H32*Valuation_Senario!$L$372</f>
        <v>1052.5165547499998</v>
      </c>
      <c r="AA82" s="973">
        <v>424.57</v>
      </c>
      <c r="AM82" s="967">
        <v>45300</v>
      </c>
      <c r="AN82" s="974">
        <v>695.91116448000002</v>
      </c>
      <c r="AO82" s="38">
        <v>0.44496164854928</v>
      </c>
      <c r="AS82" s="967">
        <v>45050</v>
      </c>
      <c r="AT82" s="974">
        <v>56559.510073400001</v>
      </c>
      <c r="AU82" s="974">
        <v>67272</v>
      </c>
      <c r="AV82" s="974">
        <v>4099.7670353290232</v>
      </c>
    </row>
    <row r="83" spans="1:48">
      <c r="A83" s="966">
        <v>76</v>
      </c>
      <c r="B83" s="967">
        <v>45426</v>
      </c>
      <c r="C83" s="966">
        <v>60100</v>
      </c>
      <c r="D83" s="966">
        <v>26.519359999999999</v>
      </c>
      <c r="E83" s="966">
        <v>46.415577949999999</v>
      </c>
      <c r="F83" s="966">
        <v>83763.14</v>
      </c>
      <c r="G83" s="966">
        <v>87880.875037699996</v>
      </c>
      <c r="H83" s="974">
        <v>716.84</v>
      </c>
      <c r="I83" s="966">
        <v>90.77</v>
      </c>
      <c r="J83" s="973">
        <v>1.4631453686199998</v>
      </c>
      <c r="L83" s="990">
        <v>45051</v>
      </c>
      <c r="M83" s="969">
        <v>57364.367267200003</v>
      </c>
      <c r="N83" s="969">
        <v>67272</v>
      </c>
      <c r="O83" s="974">
        <v>4099.7670353290232</v>
      </c>
      <c r="Q83" s="967">
        <v>45299</v>
      </c>
      <c r="R83" s="966">
        <v>43200</v>
      </c>
      <c r="S83" s="971">
        <v>0.44494627315089003</v>
      </c>
      <c r="T83" s="969">
        <v>-19.89621795</v>
      </c>
      <c r="U83" s="966">
        <v>475.92</v>
      </c>
      <c r="V83" s="966">
        <v>316.95</v>
      </c>
      <c r="W83" s="971">
        <f t="shared" si="1"/>
        <v>-6.2773995740653107E-2</v>
      </c>
      <c r="Y83" s="967">
        <v>45376</v>
      </c>
      <c r="Z83" s="974">
        <f ca="1">H33*Valuation_Senario!$L$372</f>
        <v>1052.5165547499998</v>
      </c>
      <c r="AA83" s="973">
        <v>421.52</v>
      </c>
      <c r="AM83" s="967">
        <v>45299</v>
      </c>
      <c r="AN83" s="974">
        <v>695.91116448000002</v>
      </c>
      <c r="AO83" s="38">
        <v>0.44494627315089003</v>
      </c>
      <c r="AS83" s="967">
        <v>45051</v>
      </c>
      <c r="AT83" s="974">
        <v>57364.367267200003</v>
      </c>
      <c r="AU83" s="974">
        <v>67272</v>
      </c>
      <c r="AV83" s="974">
        <v>4099.7670353290232</v>
      </c>
    </row>
    <row r="84" spans="1:48">
      <c r="A84" s="966">
        <v>77</v>
      </c>
      <c r="B84" s="967">
        <v>45425</v>
      </c>
      <c r="C84" s="966">
        <v>58300</v>
      </c>
      <c r="D84" s="966">
        <v>68.318348</v>
      </c>
      <c r="E84" s="966">
        <v>68.362009999999998</v>
      </c>
      <c r="F84" s="966">
        <v>84713.7</v>
      </c>
      <c r="G84" s="966">
        <v>85248.835519100001</v>
      </c>
      <c r="H84" s="974">
        <v>716.84</v>
      </c>
      <c r="I84" s="966">
        <v>92.14</v>
      </c>
      <c r="J84" s="973">
        <v>1.4631453686199998</v>
      </c>
      <c r="L84" s="990">
        <v>45054</v>
      </c>
      <c r="M84" s="969">
        <v>55461.977536400002</v>
      </c>
      <c r="N84" s="969">
        <v>67272</v>
      </c>
      <c r="O84" s="974">
        <v>2676.5625883455559</v>
      </c>
      <c r="Q84" s="967">
        <v>45296</v>
      </c>
      <c r="R84" s="966">
        <v>43850</v>
      </c>
      <c r="S84" s="971">
        <v>0.44496752536821998</v>
      </c>
      <c r="T84" s="969">
        <v>-4.3661999999999999E-2</v>
      </c>
      <c r="U84" s="966">
        <v>475.92</v>
      </c>
      <c r="V84" s="966">
        <v>438.64</v>
      </c>
      <c r="W84" s="971">
        <f t="shared" si="1"/>
        <v>-9.9539485683020247E-5</v>
      </c>
      <c r="Y84" s="967">
        <v>45373</v>
      </c>
      <c r="Z84" s="974">
        <f ca="1">H34*Valuation_Senario!$L$372</f>
        <v>1052.5165547499998</v>
      </c>
      <c r="AA84" s="973">
        <v>428.5</v>
      </c>
      <c r="AM84" s="967">
        <v>45296</v>
      </c>
      <c r="AN84" s="974">
        <v>695.91116448000002</v>
      </c>
      <c r="AO84" s="38">
        <v>0.44496752536821998</v>
      </c>
      <c r="AS84" s="967">
        <v>45054</v>
      </c>
      <c r="AT84" s="974">
        <v>55461.977536400002</v>
      </c>
      <c r="AU84" s="974">
        <v>67272</v>
      </c>
      <c r="AV84" s="974">
        <v>2676.5625883455559</v>
      </c>
    </row>
    <row r="85" spans="1:48">
      <c r="A85" s="966">
        <v>78</v>
      </c>
      <c r="B85" s="967">
        <v>45422</v>
      </c>
      <c r="C85" s="966">
        <v>58900</v>
      </c>
      <c r="D85" s="966">
        <v>18.471599999999999</v>
      </c>
      <c r="E85" s="966">
        <v>27.661619999999999</v>
      </c>
      <c r="F85" s="966">
        <v>83763.14</v>
      </c>
      <c r="G85" s="966">
        <v>86126.182025300004</v>
      </c>
      <c r="H85" s="974">
        <v>716.84</v>
      </c>
      <c r="I85" s="966">
        <v>90.77</v>
      </c>
      <c r="J85" s="973">
        <v>1.4631453686199998</v>
      </c>
      <c r="L85" s="990">
        <v>45055</v>
      </c>
      <c r="M85" s="969">
        <v>55315.639864800003</v>
      </c>
      <c r="N85" s="969">
        <v>67272</v>
      </c>
      <c r="O85" s="974">
        <v>2676.5651128592312</v>
      </c>
      <c r="Q85" s="967">
        <v>45295</v>
      </c>
      <c r="R85" s="966">
        <v>43200</v>
      </c>
      <c r="S85" s="971">
        <v>0.44476798686469998</v>
      </c>
      <c r="T85" s="969">
        <v>-9.1900200000000005</v>
      </c>
      <c r="U85" s="966">
        <v>475.92</v>
      </c>
      <c r="V85" s="966">
        <v>422.85</v>
      </c>
      <c r="W85" s="971">
        <f t="shared" si="1"/>
        <v>-2.1733522525718339E-2</v>
      </c>
      <c r="Y85" s="967">
        <v>45372</v>
      </c>
      <c r="Z85" s="974">
        <f ca="1">H35*Valuation_Senario!$L$372</f>
        <v>1052.5165547499998</v>
      </c>
      <c r="AA85" s="973">
        <v>423.26</v>
      </c>
      <c r="AM85" s="967">
        <v>45295</v>
      </c>
      <c r="AN85" s="974">
        <v>695.91116448000002</v>
      </c>
      <c r="AO85" s="38">
        <v>0.44476798686469998</v>
      </c>
      <c r="AS85" s="967">
        <v>45055</v>
      </c>
      <c r="AT85" s="974">
        <v>55315.639864800003</v>
      </c>
      <c r="AU85" s="974">
        <v>67272</v>
      </c>
      <c r="AV85" s="974">
        <v>2676.5651128592312</v>
      </c>
    </row>
    <row r="86" spans="1:48">
      <c r="A86" s="966">
        <v>79</v>
      </c>
      <c r="B86" s="967">
        <v>45421</v>
      </c>
      <c r="C86" s="966">
        <v>58900</v>
      </c>
      <c r="D86" s="966">
        <v>31.12472</v>
      </c>
      <c r="E86" s="966">
        <v>50.482653450000001</v>
      </c>
      <c r="F86" s="966">
        <v>83763.14</v>
      </c>
      <c r="G86" s="966">
        <v>86126.182025300004</v>
      </c>
      <c r="H86" s="974">
        <v>716.84</v>
      </c>
      <c r="I86" s="966">
        <v>90.77</v>
      </c>
      <c r="J86" s="973">
        <v>1.4631453686199998</v>
      </c>
      <c r="L86" s="990">
        <v>45056</v>
      </c>
      <c r="M86" s="969">
        <v>55388.808700599999</v>
      </c>
      <c r="N86" s="969">
        <v>67272</v>
      </c>
      <c r="O86" s="974">
        <v>2676.5580480814083</v>
      </c>
      <c r="Q86" s="967">
        <v>45294</v>
      </c>
      <c r="R86" s="966">
        <v>43200</v>
      </c>
      <c r="S86" s="971">
        <v>0.4453586071681</v>
      </c>
      <c r="T86" s="969">
        <v>-19.357933450000001</v>
      </c>
      <c r="U86" s="966">
        <v>475.92</v>
      </c>
      <c r="V86" s="966">
        <v>304.67</v>
      </c>
      <c r="W86" s="971">
        <f t="shared" si="1"/>
        <v>-6.353737962385532E-2</v>
      </c>
      <c r="Y86" s="967">
        <v>45371</v>
      </c>
      <c r="Z86" s="974">
        <f ca="1">H36*Valuation_Senario!$L$372</f>
        <v>1052.5165547499998</v>
      </c>
      <c r="AA86" s="973">
        <v>418.9</v>
      </c>
      <c r="AM86" s="967">
        <v>45294</v>
      </c>
      <c r="AN86" s="974">
        <v>695.91116448000002</v>
      </c>
      <c r="AO86" s="38">
        <v>0.4453586071681</v>
      </c>
      <c r="AS86" s="967">
        <v>45056</v>
      </c>
      <c r="AT86" s="974">
        <v>55388.808700599999</v>
      </c>
      <c r="AU86" s="974">
        <v>67272</v>
      </c>
      <c r="AV86" s="974">
        <v>2676.5580480814083</v>
      </c>
    </row>
    <row r="87" spans="1:48">
      <c r="A87" s="966">
        <v>80</v>
      </c>
      <c r="B87" s="967">
        <v>45420</v>
      </c>
      <c r="C87" s="966">
        <v>59100</v>
      </c>
      <c r="D87" s="966">
        <v>68.327155000000005</v>
      </c>
      <c r="E87" s="966">
        <v>53.999045000000002</v>
      </c>
      <c r="F87" s="966">
        <v>82666.34</v>
      </c>
      <c r="G87" s="966">
        <v>86418.630860699996</v>
      </c>
      <c r="H87" s="974">
        <v>716.84</v>
      </c>
      <c r="I87" s="966">
        <v>89.2</v>
      </c>
      <c r="J87" s="973">
        <v>1.4631453686199998</v>
      </c>
      <c r="L87" s="990">
        <v>45057</v>
      </c>
      <c r="M87" s="969">
        <v>55535.146372199997</v>
      </c>
      <c r="N87" s="969">
        <v>67272</v>
      </c>
      <c r="O87" s="974">
        <v>2676.5605725812761</v>
      </c>
      <c r="Q87" s="967">
        <v>45293</v>
      </c>
      <c r="R87" s="966">
        <v>42450</v>
      </c>
      <c r="S87" s="971">
        <v>0.44472944586606999</v>
      </c>
      <c r="T87" s="969">
        <v>14.328110000000001</v>
      </c>
      <c r="U87" s="966">
        <v>475.92</v>
      </c>
      <c r="V87" s="966">
        <v>348.55</v>
      </c>
      <c r="W87" s="971">
        <f t="shared" si="1"/>
        <v>4.1107760722995268E-2</v>
      </c>
      <c r="Y87" s="967">
        <v>45370</v>
      </c>
      <c r="Z87" s="974">
        <f ca="1">H37*Valuation_Senario!$L$372</f>
        <v>1052.5165547499998</v>
      </c>
      <c r="AA87" s="973">
        <v>397.08</v>
      </c>
      <c r="AM87" s="967">
        <v>45293</v>
      </c>
      <c r="AN87" s="974">
        <v>695.91116448000002</v>
      </c>
      <c r="AO87" s="38">
        <v>0.44472944586606999</v>
      </c>
      <c r="AS87" s="967">
        <v>45057</v>
      </c>
      <c r="AT87" s="974">
        <v>55535.146372199997</v>
      </c>
      <c r="AU87" s="974">
        <v>67272</v>
      </c>
      <c r="AV87" s="974">
        <v>2676.5605725812761</v>
      </c>
    </row>
    <row r="88" spans="1:48">
      <c r="A88" s="966">
        <v>81</v>
      </c>
      <c r="B88" s="967">
        <v>45419</v>
      </c>
      <c r="C88" s="966">
        <v>59300</v>
      </c>
      <c r="D88" s="966">
        <v>18.587879999999998</v>
      </c>
      <c r="E88" s="966">
        <v>24.716014999999999</v>
      </c>
      <c r="F88" s="966">
        <v>83178.179999999993</v>
      </c>
      <c r="G88" s="966">
        <v>86711.079696100001</v>
      </c>
      <c r="H88" s="974">
        <v>716.84</v>
      </c>
      <c r="I88" s="966">
        <v>89.93</v>
      </c>
      <c r="J88" s="973">
        <v>1.4631453686199998</v>
      </c>
      <c r="L88" s="990">
        <v>45058</v>
      </c>
      <c r="M88" s="969">
        <v>57071.691923999999</v>
      </c>
      <c r="N88" s="969">
        <v>67272</v>
      </c>
      <c r="O88" s="974">
        <v>2676.5630970811444</v>
      </c>
      <c r="Q88" s="967">
        <v>45289</v>
      </c>
      <c r="R88" s="966">
        <v>42800</v>
      </c>
      <c r="S88" s="971">
        <v>0.44472944586606999</v>
      </c>
      <c r="T88" s="969">
        <v>-6.1281350000000003</v>
      </c>
      <c r="U88" s="966">
        <v>475.92</v>
      </c>
      <c r="V88" s="966">
        <v>242.85</v>
      </c>
      <c r="W88" s="971">
        <f t="shared" si="1"/>
        <v>-2.5234239242330658E-2</v>
      </c>
      <c r="Y88" s="967">
        <v>45369</v>
      </c>
      <c r="Z88" s="974">
        <f ca="1">H38*Valuation_Senario!$L$372</f>
        <v>1052.5165547499998</v>
      </c>
      <c r="AA88" s="973">
        <v>400.57</v>
      </c>
      <c r="AM88" s="967">
        <v>45289</v>
      </c>
      <c r="AN88" s="974">
        <v>695.91116448000002</v>
      </c>
      <c r="AO88" s="38">
        <v>0.44472944586606999</v>
      </c>
      <c r="AS88" s="967">
        <v>45058</v>
      </c>
      <c r="AT88" s="974">
        <v>57071.691923999999</v>
      </c>
      <c r="AU88" s="974">
        <v>67272</v>
      </c>
      <c r="AV88" s="974">
        <v>2676.5630970811444</v>
      </c>
    </row>
    <row r="89" spans="1:48">
      <c r="A89" s="966">
        <v>82</v>
      </c>
      <c r="B89" s="967">
        <v>45418</v>
      </c>
      <c r="C89" s="966">
        <v>58300</v>
      </c>
      <c r="D89" s="966">
        <v>83.947663000000006</v>
      </c>
      <c r="E89" s="966">
        <v>56.201034999999997</v>
      </c>
      <c r="F89" s="966">
        <v>83543.78</v>
      </c>
      <c r="G89" s="966">
        <v>85248.835519100001</v>
      </c>
      <c r="H89" s="974">
        <v>716.84</v>
      </c>
      <c r="I89" s="966">
        <v>90.46</v>
      </c>
      <c r="J89" s="973">
        <v>1.4631453686199998</v>
      </c>
      <c r="L89" s="990">
        <v>45061</v>
      </c>
      <c r="M89" s="969">
        <v>56632.678909200004</v>
      </c>
      <c r="N89" s="969">
        <v>67272</v>
      </c>
      <c r="O89" s="974">
        <v>2676.5656215810127</v>
      </c>
      <c r="Q89" s="967">
        <v>45288</v>
      </c>
      <c r="R89" s="966">
        <v>43050</v>
      </c>
      <c r="S89" s="971">
        <v>0.4451541485371</v>
      </c>
      <c r="T89" s="969">
        <v>27.746628000000001</v>
      </c>
      <c r="U89" s="966">
        <v>475.92</v>
      </c>
      <c r="V89" s="966">
        <v>350.33</v>
      </c>
      <c r="W89" s="971">
        <f t="shared" si="1"/>
        <v>7.9201404390146446E-2</v>
      </c>
      <c r="Y89" s="967">
        <v>45366</v>
      </c>
      <c r="Z89" s="974">
        <f ca="1">H39*Valuation_Senario!$L$372</f>
        <v>1052.5312393199999</v>
      </c>
      <c r="AA89" s="973">
        <v>413.23</v>
      </c>
      <c r="AM89" s="967">
        <v>45288</v>
      </c>
      <c r="AN89" s="974">
        <v>695.91116448000002</v>
      </c>
      <c r="AO89" s="38">
        <v>0.4451541485371</v>
      </c>
      <c r="AS89" s="967">
        <v>45061</v>
      </c>
      <c r="AT89" s="974">
        <v>56632.678909200004</v>
      </c>
      <c r="AU89" s="974">
        <v>67272</v>
      </c>
      <c r="AV89" s="974">
        <v>2676.5656215810127</v>
      </c>
    </row>
    <row r="90" spans="1:48">
      <c r="A90" s="966">
        <v>83</v>
      </c>
      <c r="B90" s="967">
        <v>45415</v>
      </c>
      <c r="C90" s="966">
        <v>55700</v>
      </c>
      <c r="D90" s="966">
        <v>67.579809999999995</v>
      </c>
      <c r="E90" s="966">
        <v>45.237834999999997</v>
      </c>
      <c r="F90" s="966">
        <v>83251.3</v>
      </c>
      <c r="G90" s="966">
        <v>81447.000658899997</v>
      </c>
      <c r="H90" s="974">
        <v>716.84</v>
      </c>
      <c r="I90" s="966">
        <v>90.04</v>
      </c>
      <c r="J90" s="973">
        <v>1.4631453686199998</v>
      </c>
      <c r="L90" s="990">
        <v>45062</v>
      </c>
      <c r="M90" s="969">
        <v>57071.691923999999</v>
      </c>
      <c r="N90" s="969">
        <v>67272</v>
      </c>
      <c r="O90" s="974">
        <v>2676.568146080881</v>
      </c>
      <c r="Q90" s="967">
        <v>45287</v>
      </c>
      <c r="R90" s="966">
        <v>42850</v>
      </c>
      <c r="S90" s="971">
        <v>0.44496370543591002</v>
      </c>
      <c r="T90" s="969">
        <v>22.341975000000001</v>
      </c>
      <c r="U90" s="966">
        <v>475.92</v>
      </c>
      <c r="V90" s="966">
        <v>272.33999999999997</v>
      </c>
      <c r="W90" s="971">
        <f t="shared" si="1"/>
        <v>8.2037067636043196E-2</v>
      </c>
      <c r="Y90" s="967">
        <v>45365</v>
      </c>
      <c r="Z90" s="974">
        <f ca="1">H40*Valuation_Senario!$L$372</f>
        <v>1052.5312393199999</v>
      </c>
      <c r="AA90" s="973">
        <v>412.36</v>
      </c>
      <c r="AM90" s="967">
        <v>45287</v>
      </c>
      <c r="AN90" s="974">
        <v>695.91116448000002</v>
      </c>
      <c r="AO90" s="38">
        <v>0.44496370543591002</v>
      </c>
      <c r="AS90" s="967">
        <v>45062</v>
      </c>
      <c r="AT90" s="974">
        <v>57071.691923999999</v>
      </c>
      <c r="AU90" s="974">
        <v>67272</v>
      </c>
      <c r="AV90" s="974">
        <v>2676.568146080881</v>
      </c>
    </row>
    <row r="91" spans="1:48">
      <c r="A91" s="966">
        <v>84</v>
      </c>
      <c r="B91" s="967">
        <v>45414</v>
      </c>
      <c r="C91" s="966">
        <v>55600</v>
      </c>
      <c r="D91" s="966">
        <v>60.663535000000003</v>
      </c>
      <c r="E91" s="966">
        <v>53.433644999999999</v>
      </c>
      <c r="F91" s="966">
        <v>83031.94</v>
      </c>
      <c r="G91" s="966">
        <v>81300.776241200001</v>
      </c>
      <c r="H91" s="974">
        <v>716.84</v>
      </c>
      <c r="I91" s="966">
        <v>89.72</v>
      </c>
      <c r="J91" s="973">
        <v>1.4631453686199998</v>
      </c>
      <c r="L91" s="990">
        <v>45063</v>
      </c>
      <c r="M91" s="969">
        <v>56925.3542524</v>
      </c>
      <c r="N91" s="969">
        <v>67272</v>
      </c>
      <c r="O91" s="974">
        <v>2676.5610811649908</v>
      </c>
      <c r="Q91" s="967">
        <v>45286</v>
      </c>
      <c r="R91" s="966">
        <v>42700</v>
      </c>
      <c r="S91" s="971"/>
      <c r="T91" s="969">
        <v>7.2298900000000001</v>
      </c>
      <c r="U91" s="966">
        <v>475.92</v>
      </c>
      <c r="V91" s="966">
        <v>400.89</v>
      </c>
      <c r="W91" s="971">
        <f t="shared" si="1"/>
        <v>1.8034598019406822E-2</v>
      </c>
      <c r="Y91" s="967">
        <v>45364</v>
      </c>
      <c r="Z91" s="974">
        <f ca="1">H41*Valuation_Senario!$L$372</f>
        <v>1052.5312393199999</v>
      </c>
      <c r="AA91" s="973">
        <v>423.7</v>
      </c>
      <c r="AM91" s="967">
        <v>45286</v>
      </c>
      <c r="AN91" s="974">
        <v>695.91116448000002</v>
      </c>
      <c r="AO91" s="38"/>
      <c r="AS91" s="967">
        <v>45063</v>
      </c>
      <c r="AT91" s="974">
        <v>56925.3542524</v>
      </c>
      <c r="AU91" s="974">
        <v>67272</v>
      </c>
      <c r="AV91" s="974">
        <v>2676.5610811649908</v>
      </c>
    </row>
    <row r="92" spans="1:48">
      <c r="A92" s="966">
        <v>85</v>
      </c>
      <c r="B92" s="967">
        <v>45408</v>
      </c>
      <c r="C92" s="966">
        <v>54900</v>
      </c>
      <c r="D92" s="966">
        <v>17.098575</v>
      </c>
      <c r="E92" s="966">
        <v>27.80980465</v>
      </c>
      <c r="F92" s="966">
        <v>82958.820000000007</v>
      </c>
      <c r="G92" s="966">
        <v>80277.205317300002</v>
      </c>
      <c r="H92" s="974">
        <v>114.59</v>
      </c>
      <c r="I92" s="966">
        <v>89.62</v>
      </c>
      <c r="J92" s="973">
        <v>1.46325236503</v>
      </c>
      <c r="L92" s="990">
        <v>45064</v>
      </c>
      <c r="M92" s="969">
        <v>56266.834730199997</v>
      </c>
      <c r="N92" s="969">
        <v>67272</v>
      </c>
      <c r="O92" s="974">
        <v>2676.5636056510521</v>
      </c>
      <c r="Q92" s="967">
        <v>45285</v>
      </c>
      <c r="R92" s="966">
        <v>42650</v>
      </c>
      <c r="S92" s="971">
        <v>0.44410081211104002</v>
      </c>
      <c r="T92" s="969">
        <v>-10.71122965</v>
      </c>
      <c r="U92" s="966">
        <v>475.92</v>
      </c>
      <c r="V92" s="966">
        <v>420.47</v>
      </c>
      <c r="W92" s="971">
        <f t="shared" si="1"/>
        <v>-2.5474420648322112E-2</v>
      </c>
      <c r="Y92" s="967">
        <v>45363</v>
      </c>
      <c r="Z92" s="974">
        <f ca="1">H42*Valuation_Senario!$L$372</f>
        <v>1052.5312393199999</v>
      </c>
      <c r="AA92" s="973">
        <v>407.99</v>
      </c>
      <c r="AM92" s="967">
        <v>45285</v>
      </c>
      <c r="AN92" s="974">
        <v>695.91116448000002</v>
      </c>
      <c r="AO92" s="38">
        <v>0.44410081211104002</v>
      </c>
      <c r="AS92" s="967">
        <v>45064</v>
      </c>
      <c r="AT92" s="974">
        <v>56266.834730199997</v>
      </c>
      <c r="AU92" s="974">
        <v>67272</v>
      </c>
      <c r="AV92" s="974">
        <v>2676.5636056510521</v>
      </c>
    </row>
    <row r="93" spans="1:48">
      <c r="A93" s="966">
        <v>86</v>
      </c>
      <c r="B93" s="967">
        <v>45407</v>
      </c>
      <c r="C93" s="966">
        <v>53800</v>
      </c>
      <c r="D93" s="966">
        <v>118.82406</v>
      </c>
      <c r="E93" s="966">
        <v>63.930950000000003</v>
      </c>
      <c r="F93" s="966">
        <v>82520.100000000006</v>
      </c>
      <c r="G93" s="966">
        <v>78668.736722600006</v>
      </c>
      <c r="H93" s="974">
        <v>114.59</v>
      </c>
      <c r="I93" s="966">
        <v>88.99</v>
      </c>
      <c r="J93" s="973">
        <v>1.4632527875299999</v>
      </c>
      <c r="L93" s="990">
        <v>45065</v>
      </c>
      <c r="M93" s="969">
        <v>55827.821715400001</v>
      </c>
      <c r="N93" s="969">
        <v>67272</v>
      </c>
      <c r="O93" s="974">
        <v>2676.5661301371133</v>
      </c>
      <c r="Q93" s="967">
        <v>45282</v>
      </c>
      <c r="R93" s="966">
        <v>42350</v>
      </c>
      <c r="S93" s="971">
        <v>0.44454649365898002</v>
      </c>
      <c r="T93" s="969">
        <v>54.89311</v>
      </c>
      <c r="U93" s="966">
        <v>475.92</v>
      </c>
      <c r="V93" s="966">
        <v>315.67</v>
      </c>
      <c r="W93" s="971">
        <f t="shared" si="1"/>
        <v>0.17389397155257072</v>
      </c>
      <c r="Y93" s="967">
        <v>45362</v>
      </c>
      <c r="Z93" s="974">
        <f ca="1">H43*Valuation_Senario!$L$372</f>
        <v>1052.5312393199999</v>
      </c>
      <c r="AA93" s="973">
        <v>404.94</v>
      </c>
      <c r="AM93" s="967">
        <v>45282</v>
      </c>
      <c r="AN93" s="974">
        <v>695.91116448000002</v>
      </c>
      <c r="AO93" s="38">
        <v>0.44454649365898002</v>
      </c>
      <c r="AS93" s="967">
        <v>45065</v>
      </c>
      <c r="AT93" s="974">
        <v>55827.821715400001</v>
      </c>
      <c r="AU93" s="974">
        <v>67272</v>
      </c>
      <c r="AV93" s="974">
        <v>2676.5661301371133</v>
      </c>
    </row>
    <row r="94" spans="1:48">
      <c r="A94" s="966">
        <v>87</v>
      </c>
      <c r="B94" s="967">
        <v>45406</v>
      </c>
      <c r="C94" s="966">
        <v>52300</v>
      </c>
      <c r="D94" s="966">
        <v>81.185332000000002</v>
      </c>
      <c r="E94" s="966">
        <v>50.183900000000001</v>
      </c>
      <c r="F94" s="966">
        <v>82958.820000000007</v>
      </c>
      <c r="G94" s="966">
        <v>76475.370457099998</v>
      </c>
      <c r="H94" s="974">
        <v>114.59</v>
      </c>
      <c r="I94" s="966">
        <v>89.62</v>
      </c>
      <c r="J94" s="973">
        <v>1.46325321002</v>
      </c>
      <c r="L94" s="990">
        <v>45068</v>
      </c>
      <c r="M94" s="969">
        <v>55754.652879599998</v>
      </c>
      <c r="N94" s="969">
        <v>67272</v>
      </c>
      <c r="O94" s="974">
        <v>2676.568654623175</v>
      </c>
      <c r="Q94" s="967">
        <v>45281</v>
      </c>
      <c r="R94" s="966">
        <v>42650</v>
      </c>
      <c r="S94" s="971">
        <v>0.44401798996505998</v>
      </c>
      <c r="T94" s="969">
        <v>31.001432000000001</v>
      </c>
      <c r="U94" s="966">
        <v>475.92</v>
      </c>
      <c r="V94" s="966">
        <v>365.81</v>
      </c>
      <c r="W94" s="971">
        <f t="shared" si="1"/>
        <v>8.4747360651704434E-2</v>
      </c>
      <c r="Y94" s="967">
        <v>45359</v>
      </c>
      <c r="Z94" s="974">
        <f ca="1">H44*Valuation_Senario!$L$372</f>
        <v>1052.5312393199999</v>
      </c>
      <c r="AA94" s="973">
        <v>416.72</v>
      </c>
      <c r="AM94" s="967">
        <v>45281</v>
      </c>
      <c r="AN94" s="974">
        <v>695.91116448000002</v>
      </c>
      <c r="AO94" s="38">
        <v>0.44401798996505998</v>
      </c>
      <c r="AS94" s="967">
        <v>45068</v>
      </c>
      <c r="AT94" s="974">
        <v>55754.652879599998</v>
      </c>
      <c r="AU94" s="974">
        <v>67272</v>
      </c>
      <c r="AV94" s="974">
        <v>2676.568654623175</v>
      </c>
    </row>
    <row r="95" spans="1:48">
      <c r="A95" s="966">
        <v>88</v>
      </c>
      <c r="B95" s="967">
        <v>45405</v>
      </c>
      <c r="C95" s="966">
        <v>49800</v>
      </c>
      <c r="D95" s="966">
        <v>630.95355629999995</v>
      </c>
      <c r="E95" s="966">
        <v>525.36919999999998</v>
      </c>
      <c r="F95" s="966">
        <v>82593.22</v>
      </c>
      <c r="G95" s="966">
        <v>72819.760014600004</v>
      </c>
      <c r="H95" s="974">
        <v>114.59</v>
      </c>
      <c r="I95" s="966">
        <v>89.09</v>
      </c>
      <c r="J95" s="973">
        <v>1.4632536325200001</v>
      </c>
      <c r="L95" s="990">
        <v>45069</v>
      </c>
      <c r="M95" s="969">
        <v>56047.328222800003</v>
      </c>
      <c r="N95" s="969">
        <v>67272</v>
      </c>
      <c r="O95" s="974">
        <v>2676.5711791092367</v>
      </c>
      <c r="Q95" s="967">
        <v>45280</v>
      </c>
      <c r="R95" s="966">
        <v>42400</v>
      </c>
      <c r="S95" s="971">
        <v>0.44153405267109003</v>
      </c>
      <c r="T95" s="969">
        <v>105.5843563</v>
      </c>
      <c r="U95" s="966">
        <v>475.92</v>
      </c>
      <c r="V95" s="972">
        <v>1020.61</v>
      </c>
      <c r="W95" s="971">
        <f t="shared" si="1"/>
        <v>0.10345220632758839</v>
      </c>
      <c r="Y95" s="967">
        <v>45358</v>
      </c>
      <c r="Z95" s="974">
        <f ca="1">H45*Valuation_Senario!$L$372</f>
        <v>1052.5459238899998</v>
      </c>
      <c r="AA95" s="973">
        <v>427.63</v>
      </c>
      <c r="AM95" s="967">
        <v>45280</v>
      </c>
      <c r="AN95" s="974">
        <v>695.91116448000002</v>
      </c>
      <c r="AO95" s="38">
        <v>0.44153405267109003</v>
      </c>
      <c r="AS95" s="967">
        <v>45069</v>
      </c>
      <c r="AT95" s="974">
        <v>56047.328222800003</v>
      </c>
      <c r="AU95" s="974">
        <v>67272</v>
      </c>
      <c r="AV95" s="974">
        <v>2676.5711791092367</v>
      </c>
    </row>
    <row r="96" spans="1:48">
      <c r="A96" s="966">
        <v>89</v>
      </c>
      <c r="B96" s="967">
        <v>45404</v>
      </c>
      <c r="C96" s="966">
        <v>48600</v>
      </c>
      <c r="D96" s="966">
        <v>61.325715000000002</v>
      </c>
      <c r="E96" s="966">
        <v>50.365184999999997</v>
      </c>
      <c r="F96" s="966">
        <v>80034.02</v>
      </c>
      <c r="G96" s="966">
        <v>71065.067002199998</v>
      </c>
      <c r="H96" s="974">
        <v>114.59</v>
      </c>
      <c r="I96" s="966">
        <v>85.41</v>
      </c>
      <c r="J96" s="973">
        <v>1.4632540550199999</v>
      </c>
      <c r="L96" s="990">
        <v>45070</v>
      </c>
      <c r="M96" s="969">
        <v>56413.172401800002</v>
      </c>
      <c r="N96" s="969">
        <v>67272</v>
      </c>
      <c r="O96" s="974">
        <v>2676.5641140552793</v>
      </c>
      <c r="Q96" s="967">
        <v>45279</v>
      </c>
      <c r="R96" s="966">
        <v>40650</v>
      </c>
      <c r="S96" s="971">
        <v>0.44153405267109003</v>
      </c>
      <c r="T96" s="969">
        <v>10.96053</v>
      </c>
      <c r="U96" s="966">
        <v>475.91</v>
      </c>
      <c r="V96" s="966">
        <v>283.52</v>
      </c>
      <c r="W96" s="971">
        <f t="shared" si="1"/>
        <v>3.865875423250565E-2</v>
      </c>
      <c r="Y96" s="967">
        <v>45357</v>
      </c>
      <c r="Z96" s="974">
        <f ca="1">H46*Valuation_Senario!$L$372</f>
        <v>1052.5459238899998</v>
      </c>
      <c r="AA96" s="973">
        <v>425.01</v>
      </c>
      <c r="AM96" s="967">
        <v>45279</v>
      </c>
      <c r="AN96" s="974">
        <v>695.8965420400001</v>
      </c>
      <c r="AO96" s="38">
        <v>0.44153405267109003</v>
      </c>
      <c r="AS96" s="967">
        <v>45070</v>
      </c>
      <c r="AT96" s="974">
        <v>56413.172401800002</v>
      </c>
      <c r="AU96" s="974">
        <v>67272</v>
      </c>
      <c r="AV96" s="974">
        <v>2676.5641140552793</v>
      </c>
    </row>
    <row r="97" spans="1:48">
      <c r="A97" s="966">
        <v>90</v>
      </c>
      <c r="B97" s="967">
        <v>45401</v>
      </c>
      <c r="C97" s="966">
        <v>48200</v>
      </c>
      <c r="D97" s="966">
        <v>56.709609999999998</v>
      </c>
      <c r="E97" s="966">
        <v>63.773105000000001</v>
      </c>
      <c r="F97" s="966">
        <v>78498.5</v>
      </c>
      <c r="G97" s="966">
        <v>70480.1693314</v>
      </c>
      <c r="H97" s="974">
        <v>114.59</v>
      </c>
      <c r="I97" s="966">
        <v>83.21</v>
      </c>
      <c r="J97" s="973">
        <v>1.4632553225</v>
      </c>
      <c r="L97" s="990">
        <v>45071</v>
      </c>
      <c r="M97" s="969">
        <v>55974.159387</v>
      </c>
      <c r="N97" s="969">
        <v>67272</v>
      </c>
      <c r="O97" s="974">
        <v>2676.566638527534</v>
      </c>
      <c r="Q97" s="967">
        <v>45278</v>
      </c>
      <c r="R97" s="966">
        <v>39600</v>
      </c>
      <c r="S97" s="971">
        <v>0.44205859292897998</v>
      </c>
      <c r="T97" s="969">
        <v>-7.0634949999999996</v>
      </c>
      <c r="U97" s="966">
        <v>475.91</v>
      </c>
      <c r="V97" s="966">
        <v>405.1</v>
      </c>
      <c r="W97" s="971">
        <f t="shared" si="1"/>
        <v>-1.7436423105406072E-2</v>
      </c>
      <c r="Y97" s="967">
        <v>45356</v>
      </c>
      <c r="Z97" s="974">
        <f ca="1">H47*Valuation_Senario!$L$372</f>
        <v>1052.5459238899998</v>
      </c>
      <c r="AA97" s="973">
        <v>436.36</v>
      </c>
      <c r="AM97" s="967">
        <v>45278</v>
      </c>
      <c r="AN97" s="974">
        <v>695.8965420400001</v>
      </c>
      <c r="AO97" s="38">
        <v>0.44205859292897998</v>
      </c>
      <c r="AS97" s="967">
        <v>45071</v>
      </c>
      <c r="AT97" s="974">
        <v>55974.159387</v>
      </c>
      <c r="AU97" s="974">
        <v>67272</v>
      </c>
      <c r="AV97" s="974">
        <v>2676.566638527534</v>
      </c>
    </row>
    <row r="98" spans="1:48">
      <c r="A98" s="966">
        <v>91</v>
      </c>
      <c r="B98" s="967">
        <v>45399</v>
      </c>
      <c r="C98" s="966">
        <v>49400</v>
      </c>
      <c r="D98" s="966">
        <v>262.66550999999998</v>
      </c>
      <c r="E98" s="966">
        <v>291.00840499999998</v>
      </c>
      <c r="F98" s="966">
        <v>80180.259999999995</v>
      </c>
      <c r="G98" s="966">
        <v>72234.862343800007</v>
      </c>
      <c r="H98" s="974">
        <v>114.59</v>
      </c>
      <c r="I98" s="966">
        <v>85.62</v>
      </c>
      <c r="J98" s="973">
        <v>1.4632561675</v>
      </c>
      <c r="L98" s="990">
        <v>45072</v>
      </c>
      <c r="M98" s="969">
        <v>55535.146372199997</v>
      </c>
      <c r="N98" s="969">
        <v>67272</v>
      </c>
      <c r="O98" s="974">
        <v>2676.5691629997887</v>
      </c>
      <c r="Q98" s="967">
        <v>45275</v>
      </c>
      <c r="R98" s="966">
        <v>40750</v>
      </c>
      <c r="S98" s="971">
        <v>0.44201410814301001</v>
      </c>
      <c r="T98" s="969">
        <v>-28.342894999999999</v>
      </c>
      <c r="U98" s="966">
        <v>475.91</v>
      </c>
      <c r="V98" s="966">
        <v>627.82000000000005</v>
      </c>
      <c r="W98" s="971">
        <f t="shared" si="1"/>
        <v>-4.5144938039565471E-2</v>
      </c>
      <c r="Y98" s="967">
        <v>45355</v>
      </c>
      <c r="Z98" s="974">
        <f ca="1">H48*Valuation_Senario!$L$372</f>
        <v>1052.5459238899998</v>
      </c>
      <c r="AA98" s="973">
        <v>413.67</v>
      </c>
      <c r="AM98" s="967">
        <v>45275</v>
      </c>
      <c r="AN98" s="974">
        <v>695.8965420400001</v>
      </c>
      <c r="AO98" s="38">
        <v>0.44201410814301001</v>
      </c>
      <c r="AS98" s="967">
        <v>45072</v>
      </c>
      <c r="AT98" s="974">
        <v>55535.146372199997</v>
      </c>
      <c r="AU98" s="974">
        <v>67272</v>
      </c>
      <c r="AV98" s="974">
        <v>2676.5691629997887</v>
      </c>
    </row>
    <row r="99" spans="1:48">
      <c r="A99" s="966">
        <v>92</v>
      </c>
      <c r="B99" s="967">
        <v>45398</v>
      </c>
      <c r="C99" s="966">
        <v>49900</v>
      </c>
      <c r="D99" s="966">
        <v>359.6603988</v>
      </c>
      <c r="E99" s="966">
        <v>336.83731740000002</v>
      </c>
      <c r="F99" s="966">
        <v>81423.3</v>
      </c>
      <c r="G99" s="966">
        <v>72965.9844323</v>
      </c>
      <c r="H99" s="974">
        <v>114.59</v>
      </c>
      <c r="I99" s="966">
        <v>87.41</v>
      </c>
      <c r="J99" s="973">
        <v>1.4632565899900001</v>
      </c>
      <c r="L99" s="990">
        <v>45075</v>
      </c>
      <c r="M99" s="969">
        <v>55608.315208</v>
      </c>
      <c r="N99" s="969">
        <v>67272</v>
      </c>
      <c r="O99" s="974">
        <v>2676.5716874720438</v>
      </c>
      <c r="Q99" s="967">
        <v>45274</v>
      </c>
      <c r="R99" s="966">
        <v>41600</v>
      </c>
      <c r="S99" s="971">
        <v>0.44243792245768998</v>
      </c>
      <c r="T99" s="969">
        <v>22.8230814</v>
      </c>
      <c r="U99" s="966">
        <v>475.91</v>
      </c>
      <c r="V99" s="966">
        <v>605.1</v>
      </c>
      <c r="W99" s="971">
        <f t="shared" si="1"/>
        <v>3.7717867129400097E-2</v>
      </c>
      <c r="Y99" s="967">
        <v>45352</v>
      </c>
      <c r="Z99" s="974">
        <f ca="1">H49*Valuation_Senario!$L$372</f>
        <v>1052.5459238899998</v>
      </c>
      <c r="AA99" s="973">
        <v>406.68</v>
      </c>
      <c r="AM99" s="967">
        <v>45274</v>
      </c>
      <c r="AN99" s="974">
        <v>695.8965420400001</v>
      </c>
      <c r="AO99" s="38">
        <v>0.44243792245768998</v>
      </c>
      <c r="AS99" s="967">
        <v>45075</v>
      </c>
      <c r="AT99" s="974">
        <v>55608.315208</v>
      </c>
      <c r="AU99" s="974">
        <v>67272</v>
      </c>
      <c r="AV99" s="974">
        <v>2676.5716874720438</v>
      </c>
    </row>
    <row r="100" spans="1:48">
      <c r="A100" s="966">
        <v>93</v>
      </c>
      <c r="B100" s="967">
        <v>45397</v>
      </c>
      <c r="C100" s="966">
        <v>49900</v>
      </c>
      <c r="D100" s="966">
        <v>119.559105</v>
      </c>
      <c r="E100" s="966">
        <v>153.77364499999999</v>
      </c>
      <c r="F100" s="966">
        <v>81569.539999999994</v>
      </c>
      <c r="G100" s="966">
        <v>72965.9844323</v>
      </c>
      <c r="H100" s="974">
        <v>114.59</v>
      </c>
      <c r="I100" s="966">
        <v>87.62</v>
      </c>
      <c r="J100" s="973">
        <v>1.46325701249</v>
      </c>
      <c r="L100" s="990">
        <v>45076</v>
      </c>
      <c r="M100" s="969">
        <v>55900.990551199997</v>
      </c>
      <c r="N100" s="969">
        <v>67272</v>
      </c>
      <c r="O100" s="974">
        <v>2676.5595733769296</v>
      </c>
      <c r="Q100" s="967">
        <v>45273</v>
      </c>
      <c r="R100" s="966">
        <v>41700</v>
      </c>
      <c r="S100" s="971">
        <v>0.44207116795481</v>
      </c>
      <c r="T100" s="969">
        <v>-34.21454</v>
      </c>
      <c r="U100" s="966">
        <v>475.91</v>
      </c>
      <c r="V100" s="966">
        <v>569.44000000000005</v>
      </c>
      <c r="W100" s="971">
        <f t="shared" si="1"/>
        <v>-6.0084539196403476E-2</v>
      </c>
      <c r="Y100" s="967">
        <v>45351</v>
      </c>
      <c r="Z100" s="974">
        <f ca="1">H50*Valuation_Senario!$L$372</f>
        <v>1052.5459238899998</v>
      </c>
      <c r="AA100" s="973">
        <v>403.19</v>
      </c>
      <c r="AM100" s="967">
        <v>45273</v>
      </c>
      <c r="AN100" s="974">
        <v>695.8965420400001</v>
      </c>
      <c r="AO100" s="38">
        <v>0.44207116795481</v>
      </c>
      <c r="AS100" s="967">
        <v>45076</v>
      </c>
      <c r="AT100" s="974">
        <v>55900.990551199997</v>
      </c>
      <c r="AU100" s="974">
        <v>67272</v>
      </c>
      <c r="AV100" s="974">
        <v>2676.5595733769296</v>
      </c>
    </row>
    <row r="101" spans="1:48">
      <c r="A101" s="966">
        <v>94</v>
      </c>
      <c r="B101" s="967">
        <v>45394</v>
      </c>
      <c r="C101" s="966">
        <v>52000</v>
      </c>
      <c r="D101" s="966">
        <v>52.843472499999997</v>
      </c>
      <c r="E101" s="966">
        <v>58.530932499999999</v>
      </c>
      <c r="F101" s="966">
        <v>82739.460000000006</v>
      </c>
      <c r="G101" s="966">
        <v>76036.697203999996</v>
      </c>
      <c r="H101" s="974">
        <v>114.59</v>
      </c>
      <c r="I101" s="966">
        <v>89.3</v>
      </c>
      <c r="J101" s="973">
        <v>1.46325827998</v>
      </c>
      <c r="L101" s="990">
        <v>45077</v>
      </c>
      <c r="M101" s="969">
        <v>56632.678909200004</v>
      </c>
      <c r="N101" s="969">
        <v>67272</v>
      </c>
      <c r="O101" s="974">
        <v>2676.5671467522739</v>
      </c>
      <c r="Q101" s="967">
        <v>45272</v>
      </c>
      <c r="R101" s="966">
        <v>42500</v>
      </c>
      <c r="S101" s="971">
        <v>0.44177008690357999</v>
      </c>
      <c r="T101" s="969">
        <v>-5.6874599999999997</v>
      </c>
      <c r="U101" s="966">
        <v>475.91</v>
      </c>
      <c r="V101" s="966">
        <v>308.39999999999998</v>
      </c>
      <c r="W101" s="971">
        <f t="shared" si="1"/>
        <v>-1.8441828793774321E-2</v>
      </c>
      <c r="Y101" s="967">
        <v>45350</v>
      </c>
      <c r="Z101" s="974">
        <f ca="1">H51*Valuation_Senario!$L$372</f>
        <v>1052.5606084599999</v>
      </c>
      <c r="AA101" s="973">
        <v>395.34</v>
      </c>
      <c r="AM101" s="967">
        <v>45272</v>
      </c>
      <c r="AN101" s="974">
        <v>695.8965420400001</v>
      </c>
      <c r="AO101" s="38">
        <v>0.44177008690357999</v>
      </c>
      <c r="AS101" s="967">
        <v>45077</v>
      </c>
      <c r="AT101" s="974">
        <v>56632.678909200004</v>
      </c>
      <c r="AU101" s="974">
        <v>67272</v>
      </c>
      <c r="AV101" s="974">
        <v>2676.5671467522739</v>
      </c>
    </row>
    <row r="102" spans="1:48">
      <c r="A102" s="966">
        <v>95</v>
      </c>
      <c r="B102" s="967">
        <v>45393</v>
      </c>
      <c r="C102" s="966">
        <v>52300</v>
      </c>
      <c r="D102" s="966">
        <v>55.563965000000003</v>
      </c>
      <c r="E102" s="966">
        <v>55.066742050000002</v>
      </c>
      <c r="F102" s="966">
        <v>82739.460000000006</v>
      </c>
      <c r="G102" s="966">
        <v>76475.370457099998</v>
      </c>
      <c r="H102" s="974">
        <v>114.59</v>
      </c>
      <c r="I102" s="966">
        <v>89.3</v>
      </c>
      <c r="J102" s="973">
        <v>1.4632587024700001</v>
      </c>
      <c r="L102" s="990">
        <v>45078</v>
      </c>
      <c r="M102" s="969">
        <v>57657.0426104</v>
      </c>
      <c r="N102" s="969">
        <v>67272</v>
      </c>
      <c r="O102" s="974">
        <v>2676.5696712107224</v>
      </c>
      <c r="Q102" s="967">
        <v>45271</v>
      </c>
      <c r="R102" s="966">
        <v>42500</v>
      </c>
      <c r="S102" s="971">
        <v>0.44181188065315002</v>
      </c>
      <c r="T102" s="969">
        <v>0.49722295</v>
      </c>
      <c r="U102" s="966">
        <v>475.91</v>
      </c>
      <c r="V102" s="966">
        <v>314.22000000000003</v>
      </c>
      <c r="W102" s="971">
        <f t="shared" si="1"/>
        <v>1.5824038889949716E-3</v>
      </c>
      <c r="Y102" s="967">
        <v>45349</v>
      </c>
      <c r="Z102" s="974">
        <f ca="1">H52*Valuation_Senario!$L$372</f>
        <v>1052.5606084599999</v>
      </c>
      <c r="AA102" s="973">
        <v>390.54</v>
      </c>
      <c r="AM102" s="967">
        <v>45271</v>
      </c>
      <c r="AN102" s="974">
        <v>695.8965420400001</v>
      </c>
      <c r="AO102" s="38">
        <v>0.44181188065315002</v>
      </c>
      <c r="AS102" s="967">
        <v>45078</v>
      </c>
      <c r="AT102" s="974">
        <v>57657.0426104</v>
      </c>
      <c r="AU102" s="974">
        <v>67272</v>
      </c>
      <c r="AV102" s="974">
        <v>2676.5696712107224</v>
      </c>
    </row>
    <row r="103" spans="1:48">
      <c r="A103" s="966">
        <v>96</v>
      </c>
      <c r="B103" s="967">
        <v>45392</v>
      </c>
      <c r="C103" s="966">
        <v>52000</v>
      </c>
      <c r="D103" s="966">
        <v>63.96087</v>
      </c>
      <c r="E103" s="966">
        <v>40.567316550000001</v>
      </c>
      <c r="F103" s="966">
        <v>82885.7</v>
      </c>
      <c r="G103" s="966">
        <v>76036.697203999996</v>
      </c>
      <c r="H103" s="974">
        <v>114.59</v>
      </c>
      <c r="I103" s="966">
        <v>89.51</v>
      </c>
      <c r="J103" s="973">
        <v>1.46325912497</v>
      </c>
      <c r="L103" s="990">
        <v>45079</v>
      </c>
      <c r="M103" s="969">
        <v>57350.0152848</v>
      </c>
      <c r="N103" s="969">
        <v>67272</v>
      </c>
      <c r="O103" s="974">
        <v>2676.5575570327683</v>
      </c>
      <c r="Q103" s="967">
        <v>45268</v>
      </c>
      <c r="R103" s="966">
        <v>42600</v>
      </c>
      <c r="S103" s="971">
        <v>0.44248327304941998</v>
      </c>
      <c r="T103" s="969">
        <v>23.393553449999999</v>
      </c>
      <c r="U103" s="966">
        <v>475.91</v>
      </c>
      <c r="V103" s="966">
        <v>742.16</v>
      </c>
      <c r="W103" s="971">
        <f t="shared" si="1"/>
        <v>3.1520903107146704E-2</v>
      </c>
      <c r="Y103" s="967">
        <v>45348</v>
      </c>
      <c r="Z103" s="974">
        <f ca="1">H53*Valuation_Senario!$L$372</f>
        <v>1052.5606084599999</v>
      </c>
      <c r="AA103" s="973">
        <v>387.05</v>
      </c>
      <c r="AM103" s="967">
        <v>45268</v>
      </c>
      <c r="AN103" s="974">
        <v>695.8965420400001</v>
      </c>
      <c r="AO103" s="38">
        <v>0.44248327304941998</v>
      </c>
      <c r="AS103" s="967">
        <v>45079</v>
      </c>
      <c r="AT103" s="974">
        <v>57350.0152848</v>
      </c>
      <c r="AU103" s="974">
        <v>67272</v>
      </c>
      <c r="AV103" s="974">
        <v>2676.5575570327683</v>
      </c>
    </row>
    <row r="104" spans="1:48">
      <c r="A104" s="966">
        <v>97</v>
      </c>
      <c r="B104" s="967">
        <v>45391</v>
      </c>
      <c r="C104" s="966">
        <v>52800</v>
      </c>
      <c r="D104" s="966">
        <v>64.514754999999994</v>
      </c>
      <c r="E104" s="966">
        <v>81.508274999999998</v>
      </c>
      <c r="F104" s="966">
        <v>80326.5</v>
      </c>
      <c r="G104" s="966">
        <v>77206.492545600006</v>
      </c>
      <c r="H104" s="974">
        <v>114.59</v>
      </c>
      <c r="I104" s="966">
        <v>85.83</v>
      </c>
      <c r="J104" s="973">
        <v>1.4632595474600001</v>
      </c>
      <c r="L104" s="990">
        <v>45082</v>
      </c>
      <c r="M104" s="969">
        <v>57496.3163442</v>
      </c>
      <c r="N104" s="969">
        <v>67272</v>
      </c>
      <c r="O104" s="974">
        <v>2676.5582423977212</v>
      </c>
      <c r="Q104" s="967">
        <v>45267</v>
      </c>
      <c r="R104" s="966">
        <v>40850</v>
      </c>
      <c r="S104" s="971">
        <v>0.44247507283694998</v>
      </c>
      <c r="T104" s="969">
        <v>-16.99352</v>
      </c>
      <c r="U104" s="966">
        <v>475.91</v>
      </c>
      <c r="V104" s="966">
        <v>465.69</v>
      </c>
      <c r="W104" s="971">
        <f t="shared" si="1"/>
        <v>-3.6491056282076058E-2</v>
      </c>
      <c r="Y104" s="967">
        <v>45345</v>
      </c>
      <c r="Z104" s="974">
        <f ca="1">H54*Valuation_Senario!$L$372</f>
        <v>1052.5606084599999</v>
      </c>
      <c r="AA104" s="973">
        <v>383.99</v>
      </c>
      <c r="AM104" s="967">
        <v>45267</v>
      </c>
      <c r="AN104" s="974">
        <v>695.8965420400001</v>
      </c>
      <c r="AO104" s="38">
        <v>0.44247507283694998</v>
      </c>
      <c r="AS104" s="967">
        <v>45082</v>
      </c>
      <c r="AT104" s="974">
        <v>57496.3163442</v>
      </c>
      <c r="AU104" s="974">
        <v>67272</v>
      </c>
      <c r="AV104" s="974">
        <v>2676.5582423977212</v>
      </c>
    </row>
    <row r="105" spans="1:48">
      <c r="A105" s="966">
        <v>98</v>
      </c>
      <c r="B105" s="967">
        <v>45390</v>
      </c>
      <c r="C105" s="966">
        <v>50000</v>
      </c>
      <c r="D105" s="966">
        <v>46.615094999999997</v>
      </c>
      <c r="E105" s="966">
        <v>61.379345000000001</v>
      </c>
      <c r="F105" s="966">
        <v>80472.740000000005</v>
      </c>
      <c r="G105" s="966">
        <v>73112.208849999995</v>
      </c>
      <c r="H105" s="974">
        <v>114.59</v>
      </c>
      <c r="I105" s="966">
        <v>86.05</v>
      </c>
      <c r="J105" s="973">
        <v>1.46325996996</v>
      </c>
      <c r="L105" s="990">
        <v>45083</v>
      </c>
      <c r="M105" s="969">
        <v>59690.832235200003</v>
      </c>
      <c r="N105" s="969">
        <v>67272</v>
      </c>
      <c r="O105" s="974">
        <v>2676.5589277809581</v>
      </c>
      <c r="Q105" s="967">
        <v>45266</v>
      </c>
      <c r="R105" s="966">
        <v>40950</v>
      </c>
      <c r="S105" s="971">
        <v>0.44149766081148001</v>
      </c>
      <c r="T105" s="969">
        <v>-14.764250000000001</v>
      </c>
      <c r="U105" s="966">
        <v>475.91</v>
      </c>
      <c r="V105" s="966">
        <v>396.96</v>
      </c>
      <c r="W105" s="971">
        <f t="shared" si="1"/>
        <v>-3.7193294034663447E-2</v>
      </c>
      <c r="Y105" s="967">
        <v>45344</v>
      </c>
      <c r="Z105" s="974">
        <f ca="1">H55*Valuation_Senario!$L$372</f>
        <v>1052.5606084599999</v>
      </c>
      <c r="AA105" s="973">
        <v>395.34</v>
      </c>
      <c r="AM105" s="967">
        <v>45266</v>
      </c>
      <c r="AN105" s="974">
        <v>695.8965420400001</v>
      </c>
      <c r="AO105" s="38">
        <v>0.44149766081148001</v>
      </c>
      <c r="AS105" s="967">
        <v>45083</v>
      </c>
      <c r="AT105" s="974">
        <v>59690.832235200003</v>
      </c>
      <c r="AU105" s="974">
        <v>67272</v>
      </c>
      <c r="AV105" s="974">
        <v>2676.5589277809581</v>
      </c>
    </row>
    <row r="106" spans="1:48">
      <c r="A106" s="966">
        <v>99</v>
      </c>
      <c r="B106" s="967">
        <v>45387</v>
      </c>
      <c r="C106" s="966">
        <v>51000</v>
      </c>
      <c r="D106" s="966">
        <v>26.982983000000001</v>
      </c>
      <c r="E106" s="966">
        <v>26.951608</v>
      </c>
      <c r="F106" s="966">
        <v>79083.460000000006</v>
      </c>
      <c r="G106" s="966">
        <v>74574.453026999996</v>
      </c>
      <c r="H106" s="974">
        <v>114.59</v>
      </c>
      <c r="I106" s="966">
        <v>84.05</v>
      </c>
      <c r="J106" s="973">
        <v>1.46326123745</v>
      </c>
      <c r="L106" s="990">
        <v>45084</v>
      </c>
      <c r="M106" s="969">
        <v>60276.036472799999</v>
      </c>
      <c r="N106" s="969">
        <v>67272</v>
      </c>
      <c r="O106" s="974">
        <v>2676.5609838758169</v>
      </c>
      <c r="Q106" s="967">
        <v>45265</v>
      </c>
      <c r="R106" s="966">
        <v>40000</v>
      </c>
      <c r="S106" s="971">
        <v>0.44149766081148001</v>
      </c>
      <c r="T106" s="969">
        <v>3.1375E-2</v>
      </c>
      <c r="U106" s="966">
        <v>475.91</v>
      </c>
      <c r="V106" s="966">
        <v>286.60000000000002</v>
      </c>
      <c r="W106" s="971">
        <f t="shared" si="1"/>
        <v>1.0947313328681088E-4</v>
      </c>
      <c r="Y106" s="967">
        <v>45343</v>
      </c>
      <c r="Z106" s="974">
        <f ca="1">H56*Valuation_Senario!$L$372</f>
        <v>1052.5752930299998</v>
      </c>
      <c r="AA106" s="973">
        <v>402.32</v>
      </c>
      <c r="AM106" s="967">
        <v>45265</v>
      </c>
      <c r="AN106" s="974">
        <v>695.8965420400001</v>
      </c>
      <c r="AO106" s="38">
        <v>0.44149766081148001</v>
      </c>
      <c r="AS106" s="967">
        <v>45084</v>
      </c>
      <c r="AT106" s="974">
        <v>60276.036472799999</v>
      </c>
      <c r="AU106" s="974">
        <v>67272</v>
      </c>
      <c r="AV106" s="974">
        <v>2676.5609838758169</v>
      </c>
    </row>
    <row r="107" spans="1:48">
      <c r="A107" s="966">
        <v>100</v>
      </c>
      <c r="B107" s="967">
        <v>45386</v>
      </c>
      <c r="C107" s="966">
        <v>50700</v>
      </c>
      <c r="D107" s="966">
        <v>22.317094999999998</v>
      </c>
      <c r="E107" s="966">
        <v>34.297505000000001</v>
      </c>
      <c r="F107" s="966">
        <v>79010.34</v>
      </c>
      <c r="G107" s="966">
        <v>74135.779773899994</v>
      </c>
      <c r="H107" s="974">
        <v>114.59</v>
      </c>
      <c r="I107" s="966">
        <v>83.94</v>
      </c>
      <c r="J107" s="973">
        <v>1.4632616599400001</v>
      </c>
      <c r="L107" s="990">
        <v>45085</v>
      </c>
      <c r="M107" s="969">
        <v>61153.842829200003</v>
      </c>
      <c r="N107" s="969">
        <v>67272</v>
      </c>
      <c r="O107" s="974">
        <v>2676.5616692407693</v>
      </c>
      <c r="Q107" s="967">
        <v>45264</v>
      </c>
      <c r="R107" s="966">
        <v>39950</v>
      </c>
      <c r="S107" s="971">
        <v>0.44139249308651002</v>
      </c>
      <c r="T107" s="969">
        <v>-11.980409999999999</v>
      </c>
      <c r="U107" s="966">
        <v>475.91</v>
      </c>
      <c r="V107" s="966">
        <v>448.46</v>
      </c>
      <c r="W107" s="971">
        <f t="shared" si="1"/>
        <v>-2.6714556482183471E-2</v>
      </c>
      <c r="Y107" s="967">
        <v>45342</v>
      </c>
      <c r="Z107" s="974">
        <f ca="1">H57*Valuation_Senario!$L$372</f>
        <v>1052.5752930299998</v>
      </c>
      <c r="AA107" s="973">
        <v>408.43</v>
      </c>
      <c r="AM107" s="967">
        <v>45264</v>
      </c>
      <c r="AN107" s="974">
        <v>695.8965420400001</v>
      </c>
      <c r="AO107" s="38">
        <v>0.44139249308651002</v>
      </c>
      <c r="AS107" s="967">
        <v>45085</v>
      </c>
      <c r="AT107" s="974">
        <v>61153.842829200003</v>
      </c>
      <c r="AU107" s="974">
        <v>67272</v>
      </c>
      <c r="AV107" s="974">
        <v>2676.5616692407693</v>
      </c>
    </row>
    <row r="108" spans="1:48">
      <c r="A108" s="966">
        <v>101</v>
      </c>
      <c r="B108" s="967">
        <v>45385</v>
      </c>
      <c r="C108" s="966">
        <v>50200</v>
      </c>
      <c r="D108" s="966">
        <v>20.8523</v>
      </c>
      <c r="E108" s="966">
        <v>15.622545000000001</v>
      </c>
      <c r="F108" s="966">
        <v>77255.460000000006</v>
      </c>
      <c r="G108" s="966">
        <v>73404.657685400001</v>
      </c>
      <c r="H108" s="974">
        <v>114.59</v>
      </c>
      <c r="I108" s="966">
        <v>81.42</v>
      </c>
      <c r="J108" s="973">
        <v>1.46326208244</v>
      </c>
      <c r="L108" s="990">
        <v>45086</v>
      </c>
      <c r="M108" s="969">
        <v>61153.842829200003</v>
      </c>
      <c r="N108" s="969">
        <v>67272</v>
      </c>
      <c r="O108" s="974">
        <v>2676.5623546057222</v>
      </c>
      <c r="Q108" s="967">
        <v>45261</v>
      </c>
      <c r="R108" s="966">
        <v>38750</v>
      </c>
      <c r="S108" s="971">
        <v>0.44129962568025</v>
      </c>
      <c r="T108" s="969">
        <v>5.2297549999999999</v>
      </c>
      <c r="U108" s="966">
        <v>475.91</v>
      </c>
      <c r="V108" s="966">
        <v>194.67</v>
      </c>
      <c r="W108" s="971">
        <f t="shared" si="1"/>
        <v>2.6864719782195512E-2</v>
      </c>
      <c r="Y108" s="967">
        <v>45341</v>
      </c>
      <c r="Z108" s="974">
        <f ca="1">H58*Valuation_Senario!$L$372</f>
        <v>1052.5752930299998</v>
      </c>
      <c r="AA108" s="973">
        <v>408.43</v>
      </c>
      <c r="AM108" s="967">
        <v>45261</v>
      </c>
      <c r="AN108" s="974">
        <v>695.8965420400001</v>
      </c>
      <c r="AO108" s="38">
        <v>0.44129962568025</v>
      </c>
      <c r="AS108" s="967">
        <v>45086</v>
      </c>
      <c r="AT108" s="974">
        <v>61153.842829200003</v>
      </c>
      <c r="AU108" s="974">
        <v>67272</v>
      </c>
      <c r="AV108" s="974">
        <v>2676.5623546057222</v>
      </c>
    </row>
    <row r="109" spans="1:48">
      <c r="A109" s="966">
        <v>102</v>
      </c>
      <c r="B109" s="967">
        <v>45384</v>
      </c>
      <c r="C109" s="966">
        <v>51600</v>
      </c>
      <c r="D109" s="966">
        <v>18.7</v>
      </c>
      <c r="E109" s="966">
        <v>16.582464999999999</v>
      </c>
      <c r="F109" s="966">
        <v>76889.86</v>
      </c>
      <c r="G109" s="966">
        <v>75451.799533199999</v>
      </c>
      <c r="H109" s="974">
        <v>114.59</v>
      </c>
      <c r="I109" s="966">
        <v>80.900000000000006</v>
      </c>
      <c r="J109" s="973">
        <v>1.4632625049300001</v>
      </c>
      <c r="L109" s="990">
        <v>45089</v>
      </c>
      <c r="M109" s="969">
        <v>59471.380646099999</v>
      </c>
      <c r="N109" s="969">
        <v>67272</v>
      </c>
      <c r="O109" s="974">
        <v>2676.5630399706752</v>
      </c>
      <c r="Q109" s="967">
        <v>45260</v>
      </c>
      <c r="R109" s="966">
        <v>38500</v>
      </c>
      <c r="S109" s="971">
        <v>0.44347149978842998</v>
      </c>
      <c r="T109" s="969">
        <v>2.1175350000000002</v>
      </c>
      <c r="U109" s="966">
        <v>475.91</v>
      </c>
      <c r="V109" s="966">
        <v>192.23</v>
      </c>
      <c r="W109" s="971">
        <f t="shared" si="1"/>
        <v>1.1015632315455446E-2</v>
      </c>
      <c r="Y109" s="967">
        <v>45338</v>
      </c>
      <c r="Z109" s="974">
        <f ca="1">H59*Valuation_Senario!$L$372</f>
        <v>1052.5752930299998</v>
      </c>
      <c r="AA109" s="973">
        <v>404.07</v>
      </c>
      <c r="AM109" s="967">
        <v>45260</v>
      </c>
      <c r="AN109" s="974">
        <v>695.8965420400001</v>
      </c>
      <c r="AO109" s="38">
        <v>0.44347149978842998</v>
      </c>
      <c r="AS109" s="967">
        <v>45089</v>
      </c>
      <c r="AT109" s="974">
        <v>59471.380646099999</v>
      </c>
      <c r="AU109" s="974">
        <v>67272</v>
      </c>
      <c r="AV109" s="974">
        <v>2676.5630399706752</v>
      </c>
    </row>
    <row r="110" spans="1:48">
      <c r="A110" s="966">
        <v>103</v>
      </c>
      <c r="B110" s="967">
        <v>45383</v>
      </c>
      <c r="C110" s="966">
        <v>51400</v>
      </c>
      <c r="D110" s="966">
        <v>22.609235000000002</v>
      </c>
      <c r="E110" s="966">
        <v>144.33159975000001</v>
      </c>
      <c r="F110" s="966">
        <v>77334.86</v>
      </c>
      <c r="G110" s="966">
        <v>75159.350697799993</v>
      </c>
      <c r="H110" s="974">
        <v>114.59</v>
      </c>
      <c r="I110" s="966">
        <v>81.53</v>
      </c>
      <c r="J110" s="973">
        <v>1.46326292743</v>
      </c>
      <c r="L110" s="990">
        <v>45090</v>
      </c>
      <c r="M110" s="969">
        <v>60568.6385916</v>
      </c>
      <c r="N110" s="969">
        <v>67272</v>
      </c>
      <c r="O110" s="974">
        <v>2676.5637253356276</v>
      </c>
      <c r="Q110" s="967">
        <v>45259</v>
      </c>
      <c r="R110" s="966">
        <v>38800</v>
      </c>
      <c r="S110" s="971">
        <v>0.44432063179006998</v>
      </c>
      <c r="T110" s="969">
        <v>-121.72236475</v>
      </c>
      <c r="U110" s="966">
        <v>475.91</v>
      </c>
      <c r="V110" s="966">
        <v>368.88</v>
      </c>
      <c r="W110" s="971">
        <f t="shared" si="1"/>
        <v>-0.3299782171708957</v>
      </c>
      <c r="Y110" s="967">
        <v>45337</v>
      </c>
      <c r="Z110" s="974">
        <f ca="1">H60*Valuation_Senario!$L$372</f>
        <v>1052.5899775999999</v>
      </c>
      <c r="AA110" s="973">
        <v>400.14</v>
      </c>
      <c r="AM110" s="967">
        <v>45259</v>
      </c>
      <c r="AN110" s="974">
        <v>695.8965420400001</v>
      </c>
      <c r="AO110" s="38">
        <v>0.44432063179006998</v>
      </c>
      <c r="AS110" s="967">
        <v>45090</v>
      </c>
      <c r="AT110" s="974">
        <v>60568.6385916</v>
      </c>
      <c r="AU110" s="974">
        <v>67272</v>
      </c>
      <c r="AV110" s="974">
        <v>2676.5637253356276</v>
      </c>
    </row>
    <row r="111" spans="1:48">
      <c r="A111" s="966">
        <v>104</v>
      </c>
      <c r="B111" s="967">
        <v>45380</v>
      </c>
      <c r="C111" s="966">
        <v>51100</v>
      </c>
      <c r="D111" s="966">
        <v>47.080755000000003</v>
      </c>
      <c r="E111" s="966">
        <v>65.260300000000001</v>
      </c>
      <c r="F111" s="966">
        <v>76164.81</v>
      </c>
      <c r="G111" s="966">
        <v>74720.677444700006</v>
      </c>
      <c r="H111" s="974">
        <v>114.59</v>
      </c>
      <c r="I111" s="966">
        <v>79.849999999999994</v>
      </c>
      <c r="J111" s="973">
        <v>1.46326419492</v>
      </c>
      <c r="L111" s="990">
        <v>45091</v>
      </c>
      <c r="M111" s="969">
        <v>62909.455542000003</v>
      </c>
      <c r="N111" s="969">
        <v>67272</v>
      </c>
      <c r="O111" s="974">
        <v>2676.5657814304859</v>
      </c>
      <c r="Q111" s="967">
        <v>45258</v>
      </c>
      <c r="R111" s="966">
        <v>38000</v>
      </c>
      <c r="S111" s="971">
        <v>0.44436081283119</v>
      </c>
      <c r="T111" s="969">
        <v>-18.179545000000001</v>
      </c>
      <c r="U111" s="966">
        <v>475.91</v>
      </c>
      <c r="V111" s="966">
        <v>256.52999999999997</v>
      </c>
      <c r="W111" s="971">
        <f t="shared" si="1"/>
        <v>-7.0867130550033144E-2</v>
      </c>
      <c r="Y111" s="967">
        <v>45329</v>
      </c>
      <c r="Z111" s="974">
        <f ca="1">H61*Valuation_Senario!$L$372</f>
        <v>1052.5899775999999</v>
      </c>
      <c r="AA111" s="973">
        <v>406.68</v>
      </c>
      <c r="AM111" s="967">
        <v>45258</v>
      </c>
      <c r="AN111" s="974">
        <v>695.8965420400001</v>
      </c>
      <c r="AO111" s="38">
        <v>0.44436081283119</v>
      </c>
      <c r="AS111" s="967">
        <v>45091</v>
      </c>
      <c r="AT111" s="974">
        <v>62909.455542000003</v>
      </c>
      <c r="AU111" s="974">
        <v>67272</v>
      </c>
      <c r="AV111" s="974">
        <v>2676.5657814304859</v>
      </c>
    </row>
    <row r="112" spans="1:48">
      <c r="A112" s="966">
        <v>105</v>
      </c>
      <c r="B112" s="967">
        <v>45379</v>
      </c>
      <c r="C112" s="966">
        <v>51000</v>
      </c>
      <c r="D112" s="966">
        <v>27.948360000000001</v>
      </c>
      <c r="E112" s="966">
        <v>24.719100000000001</v>
      </c>
      <c r="F112" s="966">
        <v>76164.81</v>
      </c>
      <c r="G112" s="966">
        <v>74574.453026999996</v>
      </c>
      <c r="H112" s="974">
        <v>114.59</v>
      </c>
      <c r="I112" s="966">
        <v>79.849999999999994</v>
      </c>
      <c r="J112" s="973">
        <v>1.4632646174100001</v>
      </c>
      <c r="L112" s="990">
        <v>45092</v>
      </c>
      <c r="M112" s="969">
        <v>62909.455542000003</v>
      </c>
      <c r="N112" s="969">
        <v>67272</v>
      </c>
      <c r="O112" s="974">
        <v>2676.5664667954388</v>
      </c>
      <c r="Q112" s="967">
        <v>45257</v>
      </c>
      <c r="R112" s="966">
        <v>38000</v>
      </c>
      <c r="S112" s="971">
        <v>0.44455030607443002</v>
      </c>
      <c r="T112" s="969">
        <v>3.22926</v>
      </c>
      <c r="U112" s="966">
        <v>475.91</v>
      </c>
      <c r="V112" s="966">
        <v>233.69</v>
      </c>
      <c r="W112" s="971">
        <f t="shared" si="1"/>
        <v>1.3818563053618041E-2</v>
      </c>
      <c r="Y112" s="967">
        <v>45328</v>
      </c>
      <c r="Z112" s="974">
        <f ca="1">H62*Valuation_Senario!$L$372</f>
        <v>1052.5899775999999</v>
      </c>
      <c r="AA112" s="973">
        <v>410.18</v>
      </c>
      <c r="AM112" s="967">
        <v>45257</v>
      </c>
      <c r="AN112" s="974">
        <v>695.8965420400001</v>
      </c>
      <c r="AO112" s="38">
        <v>0.44455030607443002</v>
      </c>
      <c r="AS112" s="967">
        <v>45092</v>
      </c>
      <c r="AT112" s="974">
        <v>62909.455542000003</v>
      </c>
      <c r="AU112" s="974">
        <v>67272</v>
      </c>
      <c r="AV112" s="974">
        <v>2676.5664667954388</v>
      </c>
    </row>
    <row r="113" spans="1:48">
      <c r="A113" s="966">
        <v>106</v>
      </c>
      <c r="B113" s="967">
        <v>45378</v>
      </c>
      <c r="C113" s="966">
        <v>50700</v>
      </c>
      <c r="D113" s="966">
        <v>64.184955000000002</v>
      </c>
      <c r="E113" s="966">
        <v>58.277700000000003</v>
      </c>
      <c r="F113" s="966">
        <v>76969.22</v>
      </c>
      <c r="G113" s="966">
        <v>74135.779773899994</v>
      </c>
      <c r="H113" s="974">
        <v>114.59</v>
      </c>
      <c r="I113" s="966">
        <v>81</v>
      </c>
      <c r="J113" s="973">
        <v>1.46326503991</v>
      </c>
      <c r="L113" s="990">
        <v>45093</v>
      </c>
      <c r="M113" s="969">
        <v>61519.595477700001</v>
      </c>
      <c r="N113" s="969">
        <v>67272</v>
      </c>
      <c r="O113" s="974">
        <v>2676.5671521603917</v>
      </c>
      <c r="Q113" s="967">
        <v>45254</v>
      </c>
      <c r="R113" s="966">
        <v>38550</v>
      </c>
      <c r="S113" s="971">
        <v>0.44492157206087002</v>
      </c>
      <c r="T113" s="969">
        <v>5.9072550000000001</v>
      </c>
      <c r="U113" s="966">
        <v>475.91</v>
      </c>
      <c r="V113" s="966">
        <v>442.62</v>
      </c>
      <c r="W113" s="971">
        <f t="shared" si="1"/>
        <v>1.3346109529619087E-2</v>
      </c>
      <c r="Y113" s="967">
        <v>45327</v>
      </c>
      <c r="Z113" s="974">
        <f ca="1">H63*Valuation_Senario!$L$372</f>
        <v>1052.5899775999999</v>
      </c>
      <c r="AA113" s="973">
        <v>413.67</v>
      </c>
      <c r="AM113" s="967">
        <v>45254</v>
      </c>
      <c r="AN113" s="974">
        <v>695.8965420400001</v>
      </c>
      <c r="AO113" s="38">
        <v>0.44492157206087002</v>
      </c>
      <c r="AS113" s="967">
        <v>45093</v>
      </c>
      <c r="AT113" s="974">
        <v>61519.595477700001</v>
      </c>
      <c r="AU113" s="974">
        <v>67272</v>
      </c>
      <c r="AV113" s="974">
        <v>2676.5671521603917</v>
      </c>
    </row>
    <row r="114" spans="1:48">
      <c r="A114" s="966">
        <v>107</v>
      </c>
      <c r="B114" s="967">
        <v>45377</v>
      </c>
      <c r="C114" s="966">
        <v>48650</v>
      </c>
      <c r="D114" s="966">
        <v>44.445010500000002</v>
      </c>
      <c r="E114" s="966">
        <v>85.841431400000005</v>
      </c>
      <c r="F114" s="966">
        <v>75141.02</v>
      </c>
      <c r="G114" s="966">
        <v>71138.179211049996</v>
      </c>
      <c r="H114" s="974">
        <v>114.59</v>
      </c>
      <c r="I114" s="966">
        <v>78.38</v>
      </c>
      <c r="J114" s="973">
        <v>1.4632654624100001</v>
      </c>
      <c r="L114" s="990">
        <v>45096</v>
      </c>
      <c r="M114" s="969">
        <v>61007.541769800002</v>
      </c>
      <c r="N114" s="969">
        <v>67272</v>
      </c>
      <c r="O114" s="974">
        <v>2676.5678375253442</v>
      </c>
      <c r="Q114" s="967">
        <v>45253</v>
      </c>
      <c r="R114" s="966">
        <v>37300</v>
      </c>
      <c r="S114" s="971">
        <v>0.44533383774298002</v>
      </c>
      <c r="T114" s="969">
        <v>-41.396420900000003</v>
      </c>
      <c r="U114" s="966">
        <v>475.91</v>
      </c>
      <c r="V114" s="966">
        <v>377.11</v>
      </c>
      <c r="W114" s="971">
        <f t="shared" si="1"/>
        <v>-0.10977280077430988</v>
      </c>
      <c r="Y114" s="967">
        <v>45324</v>
      </c>
      <c r="Z114" s="974">
        <f ca="1">H64*Valuation_Senario!$L$372</f>
        <v>1052.5899775999999</v>
      </c>
      <c r="AA114" s="973">
        <v>413.67</v>
      </c>
      <c r="AM114" s="967">
        <v>45253</v>
      </c>
      <c r="AN114" s="974">
        <v>695.8965420400001</v>
      </c>
      <c r="AO114" s="38">
        <v>0.44533383774298002</v>
      </c>
      <c r="AS114" s="967">
        <v>45096</v>
      </c>
      <c r="AT114" s="974">
        <v>61007.541769800002</v>
      </c>
      <c r="AU114" s="974">
        <v>67272</v>
      </c>
      <c r="AV114" s="974">
        <v>2676.5678375253442</v>
      </c>
    </row>
    <row r="115" spans="1:48">
      <c r="A115" s="966">
        <v>108</v>
      </c>
      <c r="B115" s="967">
        <v>45376</v>
      </c>
      <c r="C115" s="966">
        <v>48300</v>
      </c>
      <c r="D115" s="966">
        <v>49.429720000000003</v>
      </c>
      <c r="E115" s="966">
        <v>107.83727</v>
      </c>
      <c r="F115" s="966">
        <v>78797.42</v>
      </c>
      <c r="G115" s="966">
        <v>70626.393749099996</v>
      </c>
      <c r="H115" s="974">
        <v>114.59</v>
      </c>
      <c r="I115" s="966">
        <v>83.63</v>
      </c>
      <c r="J115" s="973">
        <v>1.4632658849000002</v>
      </c>
      <c r="L115" s="990">
        <v>45097</v>
      </c>
      <c r="M115" s="969">
        <v>60495.488061900003</v>
      </c>
      <c r="N115" s="969">
        <v>67272</v>
      </c>
      <c r="O115" s="974">
        <v>2676.5685228902971</v>
      </c>
      <c r="Q115" s="967">
        <v>45252</v>
      </c>
      <c r="R115" s="966">
        <v>39800</v>
      </c>
      <c r="S115" s="971">
        <v>0.44592292392330002</v>
      </c>
      <c r="T115" s="969">
        <v>-58.407550000000001</v>
      </c>
      <c r="U115" s="966">
        <v>475.91</v>
      </c>
      <c r="V115" s="966">
        <v>615.4</v>
      </c>
      <c r="W115" s="971">
        <f t="shared" si="1"/>
        <v>-9.4909896002599942E-2</v>
      </c>
      <c r="Y115" s="967">
        <v>45323</v>
      </c>
      <c r="Z115" s="974">
        <f ca="1">H65*Valuation_Senario!$L$372</f>
        <v>1052.6046621699998</v>
      </c>
      <c r="AA115" s="973">
        <v>403.19</v>
      </c>
      <c r="AM115" s="967">
        <v>45252</v>
      </c>
      <c r="AN115" s="974">
        <v>695.8965420400001</v>
      </c>
      <c r="AO115" s="38">
        <v>0.44592292392330002</v>
      </c>
      <c r="AS115" s="967">
        <v>45097</v>
      </c>
      <c r="AT115" s="974">
        <v>60495.488061900003</v>
      </c>
      <c r="AU115" s="974">
        <v>67272</v>
      </c>
      <c r="AV115" s="974">
        <v>2676.5685228902971</v>
      </c>
    </row>
    <row r="116" spans="1:48">
      <c r="A116" s="966">
        <v>109</v>
      </c>
      <c r="B116" s="967">
        <v>45373</v>
      </c>
      <c r="C116" s="966">
        <v>49100</v>
      </c>
      <c r="D116" s="966">
        <v>46.133139999999997</v>
      </c>
      <c r="E116" s="966">
        <v>69.701734999999999</v>
      </c>
      <c r="F116" s="966">
        <v>80406.23</v>
      </c>
      <c r="G116" s="966">
        <v>71796.189090700005</v>
      </c>
      <c r="H116" s="974">
        <v>114.59</v>
      </c>
      <c r="I116" s="966">
        <v>85.94</v>
      </c>
      <c r="J116" s="973">
        <v>1.46326715239</v>
      </c>
      <c r="L116" s="990">
        <v>45098</v>
      </c>
      <c r="M116" s="969">
        <v>60714.939651000001</v>
      </c>
      <c r="N116" s="969">
        <v>67272</v>
      </c>
      <c r="O116" s="974">
        <v>2676.5705790034399</v>
      </c>
      <c r="Q116" s="967">
        <v>45251</v>
      </c>
      <c r="R116" s="966">
        <v>40900</v>
      </c>
      <c r="S116" s="971">
        <v>0.44617829220673999</v>
      </c>
      <c r="T116" s="969">
        <v>-23.568594999999998</v>
      </c>
      <c r="U116" s="966">
        <v>475.91</v>
      </c>
      <c r="V116" s="966">
        <v>275.79000000000002</v>
      </c>
      <c r="W116" s="971">
        <f t="shared" si="1"/>
        <v>-8.5458482903658567E-2</v>
      </c>
      <c r="Y116" s="967">
        <v>45322</v>
      </c>
      <c r="Z116" s="974">
        <f ca="1">H66*Valuation_Senario!$L$372</f>
        <v>1052.6046621699998</v>
      </c>
      <c r="AA116" s="973">
        <v>392.72</v>
      </c>
      <c r="AM116" s="967">
        <v>45251</v>
      </c>
      <c r="AN116" s="974">
        <v>695.8965420400001</v>
      </c>
      <c r="AO116" s="38">
        <v>0.44617829220673999</v>
      </c>
      <c r="AS116" s="967">
        <v>45098</v>
      </c>
      <c r="AT116" s="974">
        <v>60714.939651000001</v>
      </c>
      <c r="AU116" s="974">
        <v>67272</v>
      </c>
      <c r="AV116" s="974">
        <v>2676.5705790034399</v>
      </c>
    </row>
    <row r="117" spans="1:48">
      <c r="A117" s="966">
        <v>110</v>
      </c>
      <c r="B117" s="967">
        <v>45372</v>
      </c>
      <c r="C117" s="966">
        <v>48500</v>
      </c>
      <c r="D117" s="966">
        <v>29.003264999999999</v>
      </c>
      <c r="E117" s="966">
        <v>49.741990000000001</v>
      </c>
      <c r="F117" s="966">
        <v>79894.34</v>
      </c>
      <c r="G117" s="966">
        <v>70918.842584500002</v>
      </c>
      <c r="H117" s="974">
        <v>114.59</v>
      </c>
      <c r="I117" s="966">
        <v>85.2</v>
      </c>
      <c r="J117" s="973">
        <v>1.4632675748800001</v>
      </c>
      <c r="L117" s="990">
        <v>45099</v>
      </c>
      <c r="M117" s="969">
        <v>62177.950245</v>
      </c>
      <c r="N117" s="969">
        <v>67272</v>
      </c>
      <c r="O117" s="974">
        <v>2676.5712643683928</v>
      </c>
      <c r="Q117" s="967">
        <v>45250</v>
      </c>
      <c r="R117" s="966">
        <v>40550</v>
      </c>
      <c r="S117" s="971">
        <v>0.44770182334921999</v>
      </c>
      <c r="T117" s="969">
        <v>-20.738724999999999</v>
      </c>
      <c r="U117" s="966">
        <v>475.91</v>
      </c>
      <c r="V117" s="966">
        <v>314.88</v>
      </c>
      <c r="W117" s="971">
        <f t="shared" si="1"/>
        <v>-6.5862312627032515E-2</v>
      </c>
      <c r="Y117" s="967">
        <v>45321</v>
      </c>
      <c r="Z117" s="974">
        <f ca="1">H67*Valuation_Senario!$L$372</f>
        <v>1052.6046621699998</v>
      </c>
      <c r="AA117" s="973">
        <v>95.39</v>
      </c>
      <c r="AM117" s="967">
        <v>45250</v>
      </c>
      <c r="AN117" s="974">
        <v>695.8965420400001</v>
      </c>
      <c r="AO117" s="38">
        <v>0.44770182334921999</v>
      </c>
      <c r="AS117" s="967">
        <v>45099</v>
      </c>
      <c r="AT117" s="974">
        <v>62177.950245</v>
      </c>
      <c r="AU117" s="974">
        <v>67272</v>
      </c>
      <c r="AV117" s="974">
        <v>2676.5712643683928</v>
      </c>
    </row>
    <row r="118" spans="1:48">
      <c r="A118" s="966">
        <v>111</v>
      </c>
      <c r="B118" s="967">
        <v>45371</v>
      </c>
      <c r="C118" s="966">
        <v>48000</v>
      </c>
      <c r="D118" s="966">
        <v>49.930140000000002</v>
      </c>
      <c r="E118" s="966">
        <v>115.05473499999999</v>
      </c>
      <c r="F118" s="966">
        <v>81137.509999999995</v>
      </c>
      <c r="G118" s="966">
        <v>70187.720495999994</v>
      </c>
      <c r="H118" s="974">
        <v>114.59</v>
      </c>
      <c r="I118" s="966">
        <v>86.99</v>
      </c>
      <c r="J118" s="973">
        <v>1.46326799738</v>
      </c>
      <c r="L118" s="990">
        <v>45100</v>
      </c>
      <c r="M118" s="969">
        <v>62470.552363800001</v>
      </c>
      <c r="N118" s="969">
        <v>67272</v>
      </c>
      <c r="O118" s="974">
        <v>2676.5719497333453</v>
      </c>
      <c r="Q118" s="967">
        <v>45247</v>
      </c>
      <c r="R118" s="966">
        <v>41400</v>
      </c>
      <c r="S118" s="971">
        <v>0.44926430550093999</v>
      </c>
      <c r="T118" s="969">
        <v>-65.124594999999999</v>
      </c>
      <c r="U118" s="966">
        <v>475.91</v>
      </c>
      <c r="V118" s="966">
        <v>458.56</v>
      </c>
      <c r="W118" s="971">
        <f t="shared" si="1"/>
        <v>-0.1420197902128402</v>
      </c>
      <c r="Y118" s="967">
        <v>45320</v>
      </c>
      <c r="Z118" s="974">
        <f ca="1">H68*Valuation_Senario!$L$372</f>
        <v>1052.6046621699998</v>
      </c>
      <c r="AA118" s="973">
        <v>93.71</v>
      </c>
      <c r="AM118" s="967">
        <v>45247</v>
      </c>
      <c r="AN118" s="974">
        <v>695.8965420400001</v>
      </c>
      <c r="AO118" s="38">
        <v>0.44926430550093999</v>
      </c>
      <c r="AS118" s="967">
        <v>45100</v>
      </c>
      <c r="AT118" s="974">
        <v>62470.552363800001</v>
      </c>
      <c r="AU118" s="974">
        <v>67272</v>
      </c>
      <c r="AV118" s="974">
        <v>2676.5719497333453</v>
      </c>
    </row>
    <row r="119" spans="1:48">
      <c r="A119" s="966">
        <v>112</v>
      </c>
      <c r="B119" s="967">
        <v>45370</v>
      </c>
      <c r="C119" s="966">
        <v>45500</v>
      </c>
      <c r="D119" s="966">
        <v>42.703265000000002</v>
      </c>
      <c r="E119" s="966">
        <v>123.80334000000001</v>
      </c>
      <c r="F119" s="966">
        <v>81283.77</v>
      </c>
      <c r="G119" s="966">
        <v>66532.110053500001</v>
      </c>
      <c r="H119" s="974">
        <v>114.59</v>
      </c>
      <c r="I119" s="966">
        <v>87.2</v>
      </c>
      <c r="J119" s="973">
        <v>1.4632684198800001</v>
      </c>
      <c r="L119" s="990">
        <v>45103</v>
      </c>
      <c r="M119" s="969">
        <v>62982.6060717</v>
      </c>
      <c r="N119" s="969">
        <v>67272</v>
      </c>
      <c r="O119" s="974">
        <v>2676.5579963794312</v>
      </c>
      <c r="Q119" s="967">
        <v>45246</v>
      </c>
      <c r="R119" s="966">
        <v>41500</v>
      </c>
      <c r="S119" s="971">
        <v>0.45029740926942002</v>
      </c>
      <c r="T119" s="969">
        <v>-81.100075000000004</v>
      </c>
      <c r="U119" s="966">
        <v>475.91</v>
      </c>
      <c r="V119" s="966">
        <v>436.16</v>
      </c>
      <c r="W119" s="971">
        <f t="shared" si="1"/>
        <v>-0.1859411110601614</v>
      </c>
      <c r="Y119" s="967">
        <v>45317</v>
      </c>
      <c r="Z119" s="974">
        <f ca="1">H69*Valuation_Senario!$L$372</f>
        <v>1052.6046621699998</v>
      </c>
      <c r="AA119" s="973">
        <v>94.34</v>
      </c>
      <c r="AM119" s="967">
        <v>45246</v>
      </c>
      <c r="AN119" s="974">
        <v>695.8965420400001</v>
      </c>
      <c r="AO119" s="38">
        <v>0.45029740926942002</v>
      </c>
      <c r="AS119" s="967">
        <v>45103</v>
      </c>
      <c r="AT119" s="974">
        <v>62982.6060717</v>
      </c>
      <c r="AU119" s="974">
        <v>67272</v>
      </c>
      <c r="AV119" s="974">
        <v>2676.5579963794312</v>
      </c>
    </row>
    <row r="120" spans="1:48">
      <c r="A120" s="966">
        <v>113</v>
      </c>
      <c r="B120" s="967">
        <v>45369</v>
      </c>
      <c r="C120" s="966">
        <v>45900</v>
      </c>
      <c r="D120" s="966">
        <v>73.469224999999994</v>
      </c>
      <c r="E120" s="966">
        <v>113.513805</v>
      </c>
      <c r="F120" s="966">
        <v>81868.789999999994</v>
      </c>
      <c r="G120" s="966">
        <v>67117.007724299998</v>
      </c>
      <c r="H120" s="974">
        <v>114.59</v>
      </c>
      <c r="I120" s="966">
        <v>88.04</v>
      </c>
      <c r="J120" s="973">
        <v>1.46326884237</v>
      </c>
      <c r="L120" s="990">
        <v>45104</v>
      </c>
      <c r="M120" s="969">
        <v>62763.154482600003</v>
      </c>
      <c r="N120" s="969">
        <v>67272</v>
      </c>
      <c r="O120" s="974">
        <v>2676.5586817406356</v>
      </c>
      <c r="Q120" s="967">
        <v>45245</v>
      </c>
      <c r="R120" s="966">
        <v>41900</v>
      </c>
      <c r="S120" s="971">
        <v>0.45316099043357999</v>
      </c>
      <c r="T120" s="969">
        <v>-40.044580000000003</v>
      </c>
      <c r="U120" s="966">
        <v>475.91</v>
      </c>
      <c r="V120" s="966">
        <v>534.41</v>
      </c>
      <c r="W120" s="971">
        <f t="shared" si="1"/>
        <v>-7.4932317883273147E-2</v>
      </c>
      <c r="Y120" s="967">
        <v>45316</v>
      </c>
      <c r="Z120" s="974">
        <f ca="1">H70*Valuation_Senario!$L$372</f>
        <v>1052.6193467400001</v>
      </c>
      <c r="AA120" s="973">
        <v>94.97</v>
      </c>
      <c r="AM120" s="967">
        <v>45245</v>
      </c>
      <c r="AN120" s="974">
        <v>695.8965420400001</v>
      </c>
      <c r="AO120" s="38">
        <v>0.45316099043357999</v>
      </c>
      <c r="AS120" s="967">
        <v>45104</v>
      </c>
      <c r="AT120" s="974">
        <v>62763.154482600003</v>
      </c>
      <c r="AU120" s="974">
        <v>67272</v>
      </c>
      <c r="AV120" s="974">
        <v>2676.5586817406356</v>
      </c>
    </row>
    <row r="121" spans="1:48">
      <c r="A121" s="966">
        <v>114</v>
      </c>
      <c r="B121" s="967">
        <v>45366</v>
      </c>
      <c r="C121" s="966">
        <v>47350</v>
      </c>
      <c r="D121" s="966">
        <v>87.342756249999994</v>
      </c>
      <c r="E121" s="966">
        <v>217.23460410000001</v>
      </c>
      <c r="F121" s="966">
        <v>81283.77</v>
      </c>
      <c r="G121" s="966">
        <v>69237.261780949993</v>
      </c>
      <c r="H121" s="974">
        <v>114.59</v>
      </c>
      <c r="I121" s="966">
        <v>87.2</v>
      </c>
      <c r="J121" s="973">
        <v>1.4632701098599998</v>
      </c>
      <c r="L121" s="990">
        <v>45105</v>
      </c>
      <c r="M121" s="969">
        <v>64884.519843900001</v>
      </c>
      <c r="N121" s="969">
        <v>67272</v>
      </c>
      <c r="O121" s="974">
        <v>2676.5607378242489</v>
      </c>
      <c r="Q121" s="967">
        <v>45244</v>
      </c>
      <c r="R121" s="966">
        <v>41500</v>
      </c>
      <c r="S121" s="971">
        <v>0.45324941605808</v>
      </c>
      <c r="T121" s="969">
        <v>-129.89184785</v>
      </c>
      <c r="U121" s="966">
        <v>475.91</v>
      </c>
      <c r="V121" s="966">
        <v>632.58000000000004</v>
      </c>
      <c r="W121" s="971">
        <f t="shared" si="1"/>
        <v>-0.20533663386449144</v>
      </c>
      <c r="Y121" s="967">
        <v>45315</v>
      </c>
      <c r="Z121" s="974">
        <f ca="1">H71*Valuation_Senario!$L$372</f>
        <v>1052.6193467400001</v>
      </c>
      <c r="AA121" s="973">
        <v>93.29</v>
      </c>
      <c r="AM121" s="967">
        <v>45244</v>
      </c>
      <c r="AN121" s="974">
        <v>695.8965420400001</v>
      </c>
      <c r="AO121" s="38">
        <v>0.45324941605808</v>
      </c>
      <c r="AS121" s="967">
        <v>45105</v>
      </c>
      <c r="AT121" s="974">
        <v>64884.519843900001</v>
      </c>
      <c r="AU121" s="974">
        <v>67272</v>
      </c>
      <c r="AV121" s="974">
        <v>2676.5607378242489</v>
      </c>
    </row>
    <row r="122" spans="1:48">
      <c r="A122" s="966">
        <v>115</v>
      </c>
      <c r="B122" s="967">
        <v>45365</v>
      </c>
      <c r="C122" s="966">
        <v>47250</v>
      </c>
      <c r="D122" s="966">
        <v>27.141729999999999</v>
      </c>
      <c r="E122" s="966">
        <v>74.588560000000001</v>
      </c>
      <c r="F122" s="966">
        <v>79089.929999999993</v>
      </c>
      <c r="G122" s="966">
        <v>69091.037363249998</v>
      </c>
      <c r="H122" s="974">
        <v>114.59</v>
      </c>
      <c r="I122" s="966">
        <v>84.05</v>
      </c>
      <c r="J122" s="973">
        <v>1.4632705323599999</v>
      </c>
      <c r="L122" s="990">
        <v>45106</v>
      </c>
      <c r="M122" s="969">
        <v>64665.068254799997</v>
      </c>
      <c r="N122" s="969">
        <v>67272</v>
      </c>
      <c r="O122" s="974">
        <v>2676.5614231854534</v>
      </c>
      <c r="Q122" s="967">
        <v>45243</v>
      </c>
      <c r="R122" s="966">
        <v>40000</v>
      </c>
      <c r="S122" s="971">
        <v>0.45225669765269</v>
      </c>
      <c r="T122" s="969">
        <v>-47.446829999999999</v>
      </c>
      <c r="U122" s="966">
        <v>475.91</v>
      </c>
      <c r="V122" s="966">
        <v>378.15</v>
      </c>
      <c r="W122" s="971">
        <f t="shared" si="1"/>
        <v>-0.12547092423641412</v>
      </c>
      <c r="Y122" s="967">
        <v>45314</v>
      </c>
      <c r="Z122" s="974">
        <f ca="1">H72*Valuation_Senario!$L$372</f>
        <v>1052.6193467400001</v>
      </c>
      <c r="AA122" s="973">
        <v>95.39</v>
      </c>
      <c r="AM122" s="967">
        <v>45243</v>
      </c>
      <c r="AN122" s="974">
        <v>695.8965420400001</v>
      </c>
      <c r="AO122" s="38">
        <v>0.45225669765269</v>
      </c>
      <c r="AS122" s="967">
        <v>45106</v>
      </c>
      <c r="AT122" s="974">
        <v>64665.068254799997</v>
      </c>
      <c r="AU122" s="974">
        <v>67272</v>
      </c>
      <c r="AV122" s="974">
        <v>2676.5614231854534</v>
      </c>
    </row>
    <row r="123" spans="1:48">
      <c r="A123" s="966">
        <v>116</v>
      </c>
      <c r="B123" s="967">
        <v>45364</v>
      </c>
      <c r="C123" s="966">
        <v>48550</v>
      </c>
      <c r="D123" s="966">
        <v>34.652144999999997</v>
      </c>
      <c r="E123" s="966">
        <v>26.850014999999999</v>
      </c>
      <c r="F123" s="966">
        <v>78212.39</v>
      </c>
      <c r="G123" s="966">
        <v>70991.95479335</v>
      </c>
      <c r="H123" s="974">
        <v>114.59</v>
      </c>
      <c r="I123" s="966">
        <v>82.79</v>
      </c>
      <c r="J123" s="973">
        <v>1.4632709548499998</v>
      </c>
      <c r="L123" s="990">
        <v>45107</v>
      </c>
      <c r="M123" s="969">
        <v>64226.165076600002</v>
      </c>
      <c r="N123" s="969">
        <v>67272</v>
      </c>
      <c r="O123" s="974">
        <v>2676.5621085466578</v>
      </c>
      <c r="Q123" s="967">
        <v>45240</v>
      </c>
      <c r="R123" s="966">
        <v>39400</v>
      </c>
      <c r="S123" s="971">
        <v>0.45789990073887998</v>
      </c>
      <c r="T123" s="969">
        <v>7.80213</v>
      </c>
      <c r="U123" s="966">
        <v>475.91</v>
      </c>
      <c r="V123" s="966">
        <v>439.59</v>
      </c>
      <c r="W123" s="971">
        <f t="shared" si="1"/>
        <v>1.7748652153142704E-2</v>
      </c>
      <c r="Y123" s="967">
        <v>45313</v>
      </c>
      <c r="Z123" s="974">
        <f ca="1">H73*Valuation_Senario!$L$372</f>
        <v>1052.6193467400001</v>
      </c>
      <c r="AA123" s="973">
        <v>96.97</v>
      </c>
      <c r="AM123" s="967">
        <v>45240</v>
      </c>
      <c r="AN123" s="974">
        <v>695.8965420400001</v>
      </c>
      <c r="AO123" s="38">
        <v>0.45789990073887998</v>
      </c>
      <c r="AS123" s="967">
        <v>45107</v>
      </c>
      <c r="AT123" s="974">
        <v>64226.165076600002</v>
      </c>
      <c r="AU123" s="974">
        <v>67272</v>
      </c>
      <c r="AV123" s="974">
        <v>2676.5621085466578</v>
      </c>
    </row>
    <row r="124" spans="1:48">
      <c r="A124" s="966">
        <v>117</v>
      </c>
      <c r="B124" s="967">
        <v>45363</v>
      </c>
      <c r="C124" s="966">
        <v>46750</v>
      </c>
      <c r="D124" s="966">
        <v>32.655056999999999</v>
      </c>
      <c r="E124" s="966">
        <v>86.614575000000002</v>
      </c>
      <c r="F124" s="966">
        <v>79528.7</v>
      </c>
      <c r="G124" s="966">
        <v>68359.915274750005</v>
      </c>
      <c r="H124" s="974">
        <v>114.59</v>
      </c>
      <c r="I124" s="966">
        <v>84.68</v>
      </c>
      <c r="J124" s="973">
        <v>1.4632713773499999</v>
      </c>
      <c r="L124" s="990">
        <v>45110</v>
      </c>
      <c r="M124" s="969">
        <v>62470.552363800001</v>
      </c>
      <c r="N124" s="969">
        <v>67272</v>
      </c>
      <c r="O124" s="974">
        <v>2676.5627939078618</v>
      </c>
      <c r="Q124" s="967">
        <v>45239</v>
      </c>
      <c r="R124" s="966">
        <v>40300</v>
      </c>
      <c r="S124" s="971">
        <v>0.45789990073887998</v>
      </c>
      <c r="T124" s="969">
        <v>-53.959518000000003</v>
      </c>
      <c r="U124" s="966">
        <v>475.91</v>
      </c>
      <c r="V124" s="966">
        <v>493.52</v>
      </c>
      <c r="W124" s="971">
        <f t="shared" si="1"/>
        <v>-0.10933603096125791</v>
      </c>
      <c r="Y124" s="967">
        <v>45310</v>
      </c>
      <c r="Z124" s="974">
        <f ca="1">H74*Valuation_Senario!$L$372</f>
        <v>1052.6193467400001</v>
      </c>
      <c r="AA124" s="973">
        <v>96.76</v>
      </c>
      <c r="AM124" s="967">
        <v>45239</v>
      </c>
      <c r="AN124" s="974">
        <v>695.8965420400001</v>
      </c>
      <c r="AO124" s="38">
        <v>0.45789990073887998</v>
      </c>
      <c r="AS124" s="967">
        <v>45110</v>
      </c>
      <c r="AT124" s="974">
        <v>62470.552363800001</v>
      </c>
      <c r="AU124" s="974">
        <v>67272</v>
      </c>
      <c r="AV124" s="974">
        <v>2676.5627939078618</v>
      </c>
    </row>
    <row r="125" spans="1:48">
      <c r="A125" s="966">
        <v>118</v>
      </c>
      <c r="B125" s="967">
        <v>45362</v>
      </c>
      <c r="C125" s="966">
        <v>46400</v>
      </c>
      <c r="D125" s="966">
        <v>60.705506</v>
      </c>
      <c r="E125" s="966">
        <v>296.4546588</v>
      </c>
      <c r="F125" s="966">
        <v>78504.899999999994</v>
      </c>
      <c r="G125" s="966">
        <v>67848.129812800005</v>
      </c>
      <c r="H125" s="974">
        <v>114.59</v>
      </c>
      <c r="I125" s="966">
        <v>83.21</v>
      </c>
      <c r="J125" s="973">
        <v>1.46327179984</v>
      </c>
      <c r="L125" s="990">
        <v>45111</v>
      </c>
      <c r="M125" s="969">
        <v>63348.358720199998</v>
      </c>
      <c r="N125" s="969">
        <v>67272</v>
      </c>
      <c r="O125" s="974">
        <v>2676.5634792690666</v>
      </c>
      <c r="Q125" s="967">
        <v>45238</v>
      </c>
      <c r="R125" s="966">
        <v>39600</v>
      </c>
      <c r="S125" s="971">
        <v>0.46078882192628001</v>
      </c>
      <c r="T125" s="969">
        <v>-235.74915279999999</v>
      </c>
      <c r="U125" s="966">
        <v>475.91</v>
      </c>
      <c r="V125" s="966">
        <v>753.85</v>
      </c>
      <c r="W125" s="971">
        <f t="shared" si="1"/>
        <v>-0.31272687245473235</v>
      </c>
      <c r="Y125" s="967">
        <v>45309</v>
      </c>
      <c r="Z125" s="974">
        <f ca="1">H75*Valuation_Senario!$L$372</f>
        <v>1052.63403131</v>
      </c>
      <c r="AA125" s="973">
        <v>96.34</v>
      </c>
      <c r="AM125" s="967">
        <v>45238</v>
      </c>
      <c r="AN125" s="974">
        <v>695.8965420400001</v>
      </c>
      <c r="AO125" s="38">
        <v>0.46078882192628001</v>
      </c>
      <c r="AS125" s="967">
        <v>45111</v>
      </c>
      <c r="AT125" s="974">
        <v>63348.358720199998</v>
      </c>
      <c r="AU125" s="974">
        <v>67272</v>
      </c>
      <c r="AV125" s="974">
        <v>2676.5634792690666</v>
      </c>
    </row>
    <row r="126" spans="1:48">
      <c r="A126" s="966">
        <v>119</v>
      </c>
      <c r="B126" s="967">
        <v>45359</v>
      </c>
      <c r="C126" s="966">
        <v>47750</v>
      </c>
      <c r="D126" s="966">
        <v>93.654825399999993</v>
      </c>
      <c r="E126" s="966">
        <v>215.33463739999999</v>
      </c>
      <c r="F126" s="966">
        <v>76457.320000000007</v>
      </c>
      <c r="G126" s="966">
        <v>69822.159451750005</v>
      </c>
      <c r="H126" s="974">
        <v>114.59</v>
      </c>
      <c r="I126" s="966">
        <v>80.27</v>
      </c>
      <c r="J126" s="973">
        <v>1.4632730673299998</v>
      </c>
      <c r="L126" s="990">
        <v>45112</v>
      </c>
      <c r="M126" s="969">
        <v>62909.455542000003</v>
      </c>
      <c r="N126" s="969">
        <v>67272</v>
      </c>
      <c r="O126" s="974">
        <v>2676.565535370964</v>
      </c>
      <c r="Q126" s="967">
        <v>45237</v>
      </c>
      <c r="R126" s="966">
        <v>38200</v>
      </c>
      <c r="S126" s="971">
        <v>0.46187080442791001</v>
      </c>
      <c r="T126" s="969">
        <v>-121.679812</v>
      </c>
      <c r="U126" s="966">
        <v>475.91</v>
      </c>
      <c r="V126" s="966">
        <v>530.96</v>
      </c>
      <c r="W126" s="971">
        <f t="shared" si="1"/>
        <v>-0.22916945155943949</v>
      </c>
      <c r="Y126" s="967">
        <v>45308</v>
      </c>
      <c r="Z126" s="974">
        <f ca="1">H76*Valuation_Senario!$L$372</f>
        <v>1052.63403131</v>
      </c>
      <c r="AA126" s="973">
        <v>94.34</v>
      </c>
      <c r="AM126" s="967">
        <v>45237</v>
      </c>
      <c r="AN126" s="974">
        <v>695.8965420400001</v>
      </c>
      <c r="AO126" s="38">
        <v>0.46187080442791001</v>
      </c>
      <c r="AS126" s="967">
        <v>45112</v>
      </c>
      <c r="AT126" s="974">
        <v>62909.455542000003</v>
      </c>
      <c r="AU126" s="974">
        <v>67272</v>
      </c>
      <c r="AV126" s="974">
        <v>2676.565535370964</v>
      </c>
    </row>
    <row r="127" spans="1:48">
      <c r="A127" s="966">
        <v>120</v>
      </c>
      <c r="B127" s="967">
        <v>45358</v>
      </c>
      <c r="C127" s="966">
        <v>49000</v>
      </c>
      <c r="D127" s="966">
        <v>79.899723800000004</v>
      </c>
      <c r="E127" s="966">
        <v>125.5056754</v>
      </c>
      <c r="F127" s="966">
        <v>76237.94</v>
      </c>
      <c r="G127" s="966">
        <v>71649.964672999995</v>
      </c>
      <c r="H127" s="974">
        <v>114.59</v>
      </c>
      <c r="I127" s="966">
        <v>79.95</v>
      </c>
      <c r="J127" s="973">
        <v>1.4632734898299999</v>
      </c>
      <c r="L127" s="990">
        <v>45113</v>
      </c>
      <c r="M127" s="969">
        <v>63275.208190500001</v>
      </c>
      <c r="N127" s="969">
        <v>67272</v>
      </c>
      <c r="O127" s="974">
        <v>2676.5662207321684</v>
      </c>
      <c r="Q127" s="967">
        <v>45236</v>
      </c>
      <c r="R127" s="966">
        <v>38050</v>
      </c>
      <c r="S127" s="971">
        <v>0.46142957286193997</v>
      </c>
      <c r="T127" s="969">
        <v>-45.605951599999997</v>
      </c>
      <c r="U127" s="966">
        <v>475.91</v>
      </c>
      <c r="V127" s="966">
        <v>499.58</v>
      </c>
      <c r="W127" s="971">
        <f t="shared" si="1"/>
        <v>-9.1288585611914011E-2</v>
      </c>
      <c r="Y127" s="967">
        <v>45307</v>
      </c>
      <c r="Z127" s="974">
        <f ca="1">H77*Valuation_Senario!$L$372</f>
        <v>1052.63403131</v>
      </c>
      <c r="AA127" s="973">
        <v>93.08</v>
      </c>
      <c r="AM127" s="967">
        <v>45236</v>
      </c>
      <c r="AN127" s="974">
        <v>695.8965420400001</v>
      </c>
      <c r="AO127" s="38">
        <v>0.46142957286193997</v>
      </c>
      <c r="AS127" s="967">
        <v>45113</v>
      </c>
      <c r="AT127" s="974">
        <v>63275.208190500001</v>
      </c>
      <c r="AU127" s="974">
        <v>67272</v>
      </c>
      <c r="AV127" s="974">
        <v>2676.5662207321684</v>
      </c>
    </row>
    <row r="128" spans="1:48">
      <c r="A128" s="966">
        <v>121</v>
      </c>
      <c r="B128" s="967">
        <v>45357</v>
      </c>
      <c r="C128" s="966">
        <v>48700</v>
      </c>
      <c r="D128" s="966">
        <v>99.099715000000003</v>
      </c>
      <c r="E128" s="966">
        <v>42.553800000000003</v>
      </c>
      <c r="F128" s="966">
        <v>77554.240000000005</v>
      </c>
      <c r="G128" s="966">
        <v>71211.291419899993</v>
      </c>
      <c r="H128" s="974">
        <v>114.59</v>
      </c>
      <c r="I128" s="966">
        <v>81.84</v>
      </c>
      <c r="J128" s="973">
        <v>1.46327391232</v>
      </c>
      <c r="L128" s="990">
        <v>45114</v>
      </c>
      <c r="M128" s="969">
        <v>63421.509249900002</v>
      </c>
      <c r="N128" s="969">
        <v>67272</v>
      </c>
      <c r="O128" s="974">
        <v>2676.5669060933728</v>
      </c>
      <c r="Q128" s="967">
        <v>45233</v>
      </c>
      <c r="R128" s="966">
        <v>38950</v>
      </c>
      <c r="S128" s="971">
        <v>0.46762032326883002</v>
      </c>
      <c r="T128" s="969">
        <v>56.545915000000001</v>
      </c>
      <c r="U128" s="966">
        <v>475.91</v>
      </c>
      <c r="V128" s="966">
        <v>475.07</v>
      </c>
      <c r="W128" s="971">
        <f t="shared" si="1"/>
        <v>0.11902649083292989</v>
      </c>
      <c r="Y128" s="967">
        <v>45306</v>
      </c>
      <c r="Z128" s="974">
        <f ca="1">H78*Valuation_Senario!$L$372</f>
        <v>1052.63403131</v>
      </c>
      <c r="AA128" s="973">
        <v>90.14</v>
      </c>
      <c r="AM128" s="967">
        <v>45233</v>
      </c>
      <c r="AN128" s="974">
        <v>695.8965420400001</v>
      </c>
      <c r="AO128" s="38">
        <v>0.46762032326883002</v>
      </c>
      <c r="AS128" s="967">
        <v>45114</v>
      </c>
      <c r="AT128" s="974">
        <v>63421.509249900002</v>
      </c>
      <c r="AU128" s="974">
        <v>67272</v>
      </c>
      <c r="AV128" s="974">
        <v>2676.5669060933728</v>
      </c>
    </row>
    <row r="129" spans="1:48">
      <c r="A129" s="966">
        <v>122</v>
      </c>
      <c r="B129" s="967">
        <v>45356</v>
      </c>
      <c r="C129" s="966">
        <v>50000</v>
      </c>
      <c r="D129" s="966">
        <v>112.88535</v>
      </c>
      <c r="E129" s="966">
        <v>397.19225499999999</v>
      </c>
      <c r="F129" s="966">
        <v>74702.25</v>
      </c>
      <c r="G129" s="966">
        <v>73112.208849999995</v>
      </c>
      <c r="H129" s="974">
        <v>114.59</v>
      </c>
      <c r="I129" s="966">
        <v>77.75</v>
      </c>
      <c r="J129" s="973">
        <v>1.4632743348199999</v>
      </c>
      <c r="L129" s="990">
        <v>45117</v>
      </c>
      <c r="M129" s="969">
        <v>63202.057660799997</v>
      </c>
      <c r="N129" s="969">
        <v>67272</v>
      </c>
      <c r="O129" s="974">
        <v>2676.5675914545773</v>
      </c>
      <c r="Q129" s="967">
        <v>45232</v>
      </c>
      <c r="R129" s="966">
        <v>37000</v>
      </c>
      <c r="S129" s="971">
        <v>0.47125102337626001</v>
      </c>
      <c r="T129" s="969">
        <v>-284.30690499999997</v>
      </c>
      <c r="U129" s="966">
        <v>475.91</v>
      </c>
      <c r="V129" s="966">
        <v>768.65</v>
      </c>
      <c r="W129" s="971">
        <f t="shared" si="1"/>
        <v>-0.36987823456709812</v>
      </c>
      <c r="Y129" s="967">
        <v>45303</v>
      </c>
      <c r="Z129" s="974">
        <f ca="1">H79*Valuation_Senario!$L$372</f>
        <v>1052.63403131</v>
      </c>
      <c r="AA129" s="973">
        <v>88.04</v>
      </c>
      <c r="AM129" s="967">
        <v>45232</v>
      </c>
      <c r="AN129" s="974">
        <v>695.8965420400001</v>
      </c>
      <c r="AO129" s="38">
        <v>0.47125102337626001</v>
      </c>
      <c r="AS129" s="967">
        <v>45117</v>
      </c>
      <c r="AT129" s="974">
        <v>63202.057660799997</v>
      </c>
      <c r="AU129" s="974">
        <v>67272</v>
      </c>
      <c r="AV129" s="974">
        <v>2676.5675914545773</v>
      </c>
    </row>
    <row r="130" spans="1:48">
      <c r="A130" s="966">
        <v>123</v>
      </c>
      <c r="B130" s="967">
        <v>45355</v>
      </c>
      <c r="C130" s="966">
        <v>47400</v>
      </c>
      <c r="D130" s="966">
        <v>115.98547000000001</v>
      </c>
      <c r="E130" s="966">
        <v>303.82190279999998</v>
      </c>
      <c r="F130" s="966">
        <v>71923.38</v>
      </c>
      <c r="G130" s="966">
        <v>69317.683591199995</v>
      </c>
      <c r="H130" s="974">
        <v>114.59</v>
      </c>
      <c r="I130" s="966">
        <v>73.75</v>
      </c>
      <c r="J130" s="973">
        <v>1.46327475732</v>
      </c>
      <c r="L130" s="990">
        <v>45118</v>
      </c>
      <c r="M130" s="969">
        <v>66566.982027000005</v>
      </c>
      <c r="N130" s="969">
        <v>80903.900000000009</v>
      </c>
      <c r="O130" s="974">
        <v>2676.5682768157808</v>
      </c>
      <c r="Q130" s="967">
        <v>45231</v>
      </c>
      <c r="R130" s="966">
        <v>35100</v>
      </c>
      <c r="S130" s="971">
        <v>0.47193007887109001</v>
      </c>
      <c r="T130" s="969">
        <v>-187.83643280000001</v>
      </c>
      <c r="U130" s="966">
        <v>475.91</v>
      </c>
      <c r="V130" s="966">
        <v>775.98</v>
      </c>
      <c r="W130" s="971">
        <f t="shared" si="1"/>
        <v>-0.2420634975128225</v>
      </c>
      <c r="Y130" s="967">
        <v>45302</v>
      </c>
      <c r="Z130" s="974">
        <f ca="1">H80*Valuation_Senario!$L$372</f>
        <v>1052.6487158800001</v>
      </c>
      <c r="AA130" s="973">
        <v>89.2</v>
      </c>
      <c r="AM130" s="967">
        <v>45231</v>
      </c>
      <c r="AN130" s="974">
        <v>695.8965420400001</v>
      </c>
      <c r="AO130" s="38">
        <v>0.47193007887109001</v>
      </c>
      <c r="AS130" s="967">
        <v>45118</v>
      </c>
      <c r="AT130" s="974">
        <v>66566.982027000005</v>
      </c>
      <c r="AU130" s="974">
        <v>80903.900000000009</v>
      </c>
      <c r="AV130" s="974">
        <v>2676.5682768157808</v>
      </c>
    </row>
    <row r="131" spans="1:48">
      <c r="A131" s="966">
        <v>124</v>
      </c>
      <c r="B131" s="967">
        <v>45352</v>
      </c>
      <c r="C131" s="966">
        <v>46600</v>
      </c>
      <c r="D131" s="966">
        <v>96.636847500000002</v>
      </c>
      <c r="E131" s="966">
        <v>174.54641045</v>
      </c>
      <c r="F131" s="966">
        <v>75726.039999999994</v>
      </c>
      <c r="G131" s="966">
        <v>68147.764880799994</v>
      </c>
      <c r="H131" s="974">
        <v>114.59</v>
      </c>
      <c r="I131" s="966">
        <v>79.22</v>
      </c>
      <c r="J131" s="973">
        <v>1.46327475732</v>
      </c>
      <c r="L131" s="990">
        <v>45119</v>
      </c>
      <c r="M131" s="969">
        <v>69858.755863500002</v>
      </c>
      <c r="N131" s="969">
        <v>80903.900000000009</v>
      </c>
      <c r="O131" s="974">
        <v>2676.5703328993941</v>
      </c>
      <c r="Q131" s="967">
        <v>45230</v>
      </c>
      <c r="R131" s="966">
        <v>37700</v>
      </c>
      <c r="S131" s="971">
        <v>0.47073211666434001</v>
      </c>
      <c r="T131" s="969">
        <v>-77.909562949999994</v>
      </c>
      <c r="U131" s="966">
        <v>475.91</v>
      </c>
      <c r="V131" s="966">
        <v>581.4</v>
      </c>
      <c r="W131" s="971">
        <f t="shared" si="1"/>
        <v>-0.13400337624699002</v>
      </c>
      <c r="Y131" s="967">
        <v>45301</v>
      </c>
      <c r="Z131" s="974">
        <f ca="1">H81*Valuation_Senario!$L$372</f>
        <v>1052.6487158800001</v>
      </c>
      <c r="AA131" s="973">
        <v>88.78</v>
      </c>
      <c r="AM131" s="967">
        <v>45230</v>
      </c>
      <c r="AN131" s="974">
        <v>695.8965420400001</v>
      </c>
      <c r="AO131" s="38">
        <v>0.47073211666434001</v>
      </c>
      <c r="AS131" s="967">
        <v>45119</v>
      </c>
      <c r="AT131" s="974">
        <v>69858.755863500002</v>
      </c>
      <c r="AU131" s="974">
        <v>80903.900000000009</v>
      </c>
      <c r="AV131" s="974">
        <v>2676.5703328993941</v>
      </c>
    </row>
    <row r="132" spans="1:48">
      <c r="A132" s="966">
        <v>125</v>
      </c>
      <c r="B132" s="967">
        <v>45351</v>
      </c>
      <c r="C132" s="966">
        <v>46200</v>
      </c>
      <c r="D132" s="966">
        <v>38.165399999999998</v>
      </c>
      <c r="E132" s="966">
        <v>35.050609999999999</v>
      </c>
      <c r="F132" s="966">
        <v>78042.179999999993</v>
      </c>
      <c r="G132" s="966">
        <v>67562.805525599993</v>
      </c>
      <c r="H132" s="974">
        <v>114.59</v>
      </c>
      <c r="I132" s="966">
        <v>37.9</v>
      </c>
      <c r="J132" s="973">
        <v>1.46327475732</v>
      </c>
      <c r="L132" s="990">
        <v>45120</v>
      </c>
      <c r="M132" s="969">
        <v>71394.916987200006</v>
      </c>
      <c r="N132" s="969">
        <v>80903.900000000009</v>
      </c>
      <c r="O132" s="974">
        <v>2676.571018260599</v>
      </c>
      <c r="Q132" s="967">
        <v>45229</v>
      </c>
      <c r="R132" s="966">
        <v>40500</v>
      </c>
      <c r="S132" s="971">
        <v>0.47040434392150998</v>
      </c>
      <c r="T132" s="969">
        <v>3.1147900000000002</v>
      </c>
      <c r="U132" s="966">
        <v>1068.7</v>
      </c>
      <c r="V132" s="966">
        <v>180.35</v>
      </c>
      <c r="W132" s="971">
        <f t="shared" si="1"/>
        <v>1.7270806764624343E-2</v>
      </c>
      <c r="Y132" s="967">
        <v>45300</v>
      </c>
      <c r="Z132" s="974">
        <f ca="1">H82*Valuation_Senario!$L$372</f>
        <v>1052.6487158800001</v>
      </c>
      <c r="AA132" s="973">
        <v>89.72</v>
      </c>
      <c r="AM132" s="967">
        <v>45229</v>
      </c>
      <c r="AN132" s="974">
        <v>1562.7001628000003</v>
      </c>
      <c r="AO132" s="38">
        <v>0.47040434392150998</v>
      </c>
      <c r="AS132" s="967">
        <v>45120</v>
      </c>
      <c r="AT132" s="974">
        <v>71394.916987200006</v>
      </c>
      <c r="AU132" s="974">
        <v>80903.900000000009</v>
      </c>
      <c r="AV132" s="974">
        <v>2676.571018260599</v>
      </c>
    </row>
    <row r="133" spans="1:48">
      <c r="A133" s="966">
        <v>126</v>
      </c>
      <c r="B133" s="967">
        <v>45350</v>
      </c>
      <c r="C133" s="966">
        <v>45300</v>
      </c>
      <c r="D133" s="966">
        <v>37.099483200000002</v>
      </c>
      <c r="E133" s="966">
        <v>44.672564999999999</v>
      </c>
      <c r="F133" s="966">
        <v>80236.02</v>
      </c>
      <c r="G133" s="966">
        <v>66246.646976400007</v>
      </c>
      <c r="H133" s="974">
        <v>114.59</v>
      </c>
      <c r="I133" s="966">
        <v>39.299999999999997</v>
      </c>
      <c r="J133" s="973">
        <v>1.46327475732</v>
      </c>
      <c r="L133" s="990">
        <v>45121</v>
      </c>
      <c r="M133" s="969">
        <v>71906.970695099997</v>
      </c>
      <c r="N133" s="969">
        <v>80903.900000000009</v>
      </c>
      <c r="O133" s="974">
        <v>2676.571703621803</v>
      </c>
      <c r="Q133" s="967">
        <v>45226</v>
      </c>
      <c r="R133" s="966">
        <v>42000</v>
      </c>
      <c r="S133" s="971">
        <v>0.47069613481535999</v>
      </c>
      <c r="T133" s="969">
        <v>-7.5730817999999998</v>
      </c>
      <c r="U133" s="966">
        <v>1068.7</v>
      </c>
      <c r="V133" s="966">
        <v>198.75</v>
      </c>
      <c r="W133" s="971">
        <f t="shared" si="1"/>
        <v>-3.8103556226415092E-2</v>
      </c>
      <c r="Y133" s="967">
        <v>45299</v>
      </c>
      <c r="Z133" s="974">
        <f ca="1">H83*Valuation_Senario!$L$372</f>
        <v>1052.6487158800001</v>
      </c>
      <c r="AA133" s="973">
        <v>90.77</v>
      </c>
      <c r="AM133" s="967">
        <v>45226</v>
      </c>
      <c r="AN133" s="974">
        <v>1562.7001628000003</v>
      </c>
      <c r="AO133" s="38">
        <v>0.47069613481535999</v>
      </c>
      <c r="AS133" s="967">
        <v>45121</v>
      </c>
      <c r="AT133" s="974">
        <v>71906.970695099997</v>
      </c>
      <c r="AU133" s="974">
        <v>80903.900000000009</v>
      </c>
      <c r="AV133" s="974">
        <v>2676.571703621803</v>
      </c>
    </row>
    <row r="134" spans="1:48">
      <c r="A134" s="966">
        <v>127</v>
      </c>
      <c r="B134" s="967">
        <v>45349</v>
      </c>
      <c r="C134" s="966">
        <v>44750</v>
      </c>
      <c r="D134" s="966">
        <v>120.833703</v>
      </c>
      <c r="E134" s="966">
        <v>56.051834999999997</v>
      </c>
      <c r="F134" s="966">
        <v>80236.02</v>
      </c>
      <c r="G134" s="966">
        <v>65442.327862999999</v>
      </c>
      <c r="H134" s="974">
        <v>114.59</v>
      </c>
      <c r="I134" s="966">
        <v>39.299999999999997</v>
      </c>
      <c r="J134" s="973">
        <v>1.46327475732</v>
      </c>
      <c r="L134" s="990">
        <v>45124</v>
      </c>
      <c r="M134" s="969">
        <v>72199.572813899998</v>
      </c>
      <c r="N134" s="969">
        <v>80903.900000000009</v>
      </c>
      <c r="O134" s="974">
        <v>2676.5577501854236</v>
      </c>
      <c r="Q134" s="967">
        <v>45225</v>
      </c>
      <c r="R134" s="966">
        <v>42000</v>
      </c>
      <c r="S134" s="971">
        <v>0.47066995017023</v>
      </c>
      <c r="T134" s="969">
        <v>64.781868000000003</v>
      </c>
      <c r="U134" s="966">
        <v>1068.7</v>
      </c>
      <c r="V134" s="966">
        <v>629.17999999999995</v>
      </c>
      <c r="W134" s="971">
        <f t="shared" si="1"/>
        <v>0.10296237642645985</v>
      </c>
      <c r="Y134" s="967">
        <v>45296</v>
      </c>
      <c r="Z134" s="974">
        <f ca="1">H84*Valuation_Senario!$L$372</f>
        <v>1052.6487158800001</v>
      </c>
      <c r="AA134" s="973">
        <v>92.14</v>
      </c>
      <c r="AM134" s="967">
        <v>45225</v>
      </c>
      <c r="AN134" s="974">
        <v>1562.7001628000003</v>
      </c>
      <c r="AO134" s="38">
        <v>0.47066995017023</v>
      </c>
      <c r="AS134" s="967">
        <v>45124</v>
      </c>
      <c r="AT134" s="974">
        <v>72199.572813899998</v>
      </c>
      <c r="AU134" s="974">
        <v>80903.900000000009</v>
      </c>
      <c r="AV134" s="974">
        <v>2676.5577501854236</v>
      </c>
    </row>
    <row r="135" spans="1:48">
      <c r="A135" s="966">
        <v>128</v>
      </c>
      <c r="B135" s="967">
        <v>45348</v>
      </c>
      <c r="C135" s="966">
        <v>44350</v>
      </c>
      <c r="D135" s="966">
        <v>64.264715499999994</v>
      </c>
      <c r="E135" s="966">
        <v>94.2884995</v>
      </c>
      <c r="F135" s="966">
        <v>82429.86</v>
      </c>
      <c r="G135" s="966">
        <v>64857.368507799998</v>
      </c>
      <c r="H135" s="974">
        <v>114.59</v>
      </c>
      <c r="I135" s="966">
        <v>40.700000000000003</v>
      </c>
      <c r="J135" s="973">
        <v>1.46327475732</v>
      </c>
      <c r="L135" s="990">
        <v>45125</v>
      </c>
      <c r="M135" s="969">
        <v>72345.873873300006</v>
      </c>
      <c r="N135" s="969">
        <v>80903.900000000009</v>
      </c>
      <c r="O135" s="974">
        <v>2676.55843554288</v>
      </c>
      <c r="Q135" s="967">
        <v>45224</v>
      </c>
      <c r="R135" s="966">
        <v>43500</v>
      </c>
      <c r="S135" s="971">
        <v>0.47169629286351999</v>
      </c>
      <c r="T135" s="969">
        <v>-30.023783999999999</v>
      </c>
      <c r="U135" s="966">
        <v>1068.7</v>
      </c>
      <c r="V135" s="966">
        <v>270.25</v>
      </c>
      <c r="W135" s="971">
        <f t="shared" si="1"/>
        <v>-0.11109633302497687</v>
      </c>
      <c r="Y135" s="967">
        <v>45295</v>
      </c>
      <c r="Z135" s="974">
        <f ca="1">H85*Valuation_Senario!$L$372</f>
        <v>1052.6487158800001</v>
      </c>
      <c r="AA135" s="973">
        <v>90.77</v>
      </c>
      <c r="AM135" s="967">
        <v>45224</v>
      </c>
      <c r="AN135" s="974">
        <v>1562.7001628000003</v>
      </c>
      <c r="AO135" s="38">
        <v>0.47169629286351999</v>
      </c>
      <c r="AS135" s="967">
        <v>45125</v>
      </c>
      <c r="AT135" s="974">
        <v>72345.873873300006</v>
      </c>
      <c r="AU135" s="974">
        <v>80903.900000000009</v>
      </c>
      <c r="AV135" s="974">
        <v>2676.55843554288</v>
      </c>
    </row>
    <row r="136" spans="1:48">
      <c r="A136" s="966">
        <v>129</v>
      </c>
      <c r="B136" s="967">
        <v>45345</v>
      </c>
      <c r="C136" s="966">
        <v>44000</v>
      </c>
      <c r="D136" s="966">
        <v>104.84247499999999</v>
      </c>
      <c r="E136" s="966">
        <v>240.02755195</v>
      </c>
      <c r="F136" s="966">
        <v>81698.58</v>
      </c>
      <c r="G136" s="966">
        <v>64345.529071999998</v>
      </c>
      <c r="H136" s="974">
        <v>114.59</v>
      </c>
      <c r="I136" s="966">
        <v>40.24</v>
      </c>
      <c r="J136" s="973">
        <v>1.46327475732</v>
      </c>
      <c r="L136" s="990">
        <v>45126</v>
      </c>
      <c r="M136" s="969">
        <v>71175.465398100001</v>
      </c>
      <c r="N136" s="969">
        <v>80903.900000000009</v>
      </c>
      <c r="O136" s="974">
        <v>2676.5604916335319</v>
      </c>
      <c r="Q136" s="967">
        <v>45223</v>
      </c>
      <c r="R136" s="966">
        <v>43000</v>
      </c>
      <c r="S136" s="971">
        <v>0.47457440343747997</v>
      </c>
      <c r="T136" s="969">
        <v>-135.18507695</v>
      </c>
      <c r="U136" s="966">
        <v>1068.7</v>
      </c>
      <c r="V136" s="966">
        <v>400.83</v>
      </c>
      <c r="W136" s="971">
        <f t="shared" si="1"/>
        <v>-0.33726287191577475</v>
      </c>
      <c r="Y136" s="967">
        <v>45294</v>
      </c>
      <c r="Z136" s="974">
        <f ca="1">H86*Valuation_Senario!$L$372</f>
        <v>1052.6487158800001</v>
      </c>
      <c r="AA136" s="973">
        <v>90.77</v>
      </c>
      <c r="AM136" s="967">
        <v>45223</v>
      </c>
      <c r="AN136" s="974">
        <v>1562.7001628000003</v>
      </c>
      <c r="AO136" s="38">
        <v>0.47457440343747997</v>
      </c>
      <c r="AS136" s="967">
        <v>45126</v>
      </c>
      <c r="AT136" s="974">
        <v>71175.465398100001</v>
      </c>
      <c r="AU136" s="974">
        <v>80903.900000000009</v>
      </c>
      <c r="AV136" s="974">
        <v>2676.5604916335319</v>
      </c>
    </row>
    <row r="137" spans="1:48">
      <c r="A137" s="966">
        <v>130</v>
      </c>
      <c r="B137" s="967">
        <v>45344</v>
      </c>
      <c r="C137" s="966">
        <v>45300</v>
      </c>
      <c r="D137" s="966">
        <v>33.341432249999997</v>
      </c>
      <c r="E137" s="966">
        <v>193.894508</v>
      </c>
      <c r="F137" s="966">
        <v>81698.58</v>
      </c>
      <c r="G137" s="966">
        <v>66246.646976400007</v>
      </c>
      <c r="H137" s="974">
        <v>114.59</v>
      </c>
      <c r="I137" s="966">
        <v>40.24</v>
      </c>
      <c r="J137" s="973">
        <v>1.46327475732</v>
      </c>
      <c r="L137" s="990">
        <v>45127</v>
      </c>
      <c r="M137" s="969">
        <v>70297.659041699997</v>
      </c>
      <c r="N137" s="969">
        <v>80903.900000000009</v>
      </c>
      <c r="O137" s="974">
        <v>2676.5611769909879</v>
      </c>
      <c r="Q137" s="967">
        <v>45222</v>
      </c>
      <c r="R137" s="966">
        <v>43000</v>
      </c>
      <c r="S137" s="971">
        <v>0.47464253353611002</v>
      </c>
      <c r="T137" s="969">
        <v>-160.55307575</v>
      </c>
      <c r="U137" s="966">
        <v>1068.69</v>
      </c>
      <c r="V137" s="966">
        <v>386.9</v>
      </c>
      <c r="W137" s="971">
        <f t="shared" ref="W137:W200" si="2">T137/V137</f>
        <v>-0.41497305699147069</v>
      </c>
      <c r="Y137" s="967">
        <v>45293</v>
      </c>
      <c r="Z137" s="974">
        <f ca="1">H87*Valuation_Senario!$L$372</f>
        <v>1052.6487158800001</v>
      </c>
      <c r="AA137" s="973">
        <v>89.2</v>
      </c>
      <c r="AM137" s="967">
        <v>45222</v>
      </c>
      <c r="AN137" s="974">
        <v>1562.6855403600002</v>
      </c>
      <c r="AO137" s="38">
        <v>0.47464253353611002</v>
      </c>
      <c r="AS137" s="967">
        <v>45127</v>
      </c>
      <c r="AT137" s="974">
        <v>70297.659041699997</v>
      </c>
      <c r="AU137" s="974">
        <v>80903.900000000009</v>
      </c>
      <c r="AV137" s="974">
        <v>2676.5611769909879</v>
      </c>
    </row>
    <row r="138" spans="1:48">
      <c r="A138" s="966">
        <v>131</v>
      </c>
      <c r="B138" s="967">
        <v>45343</v>
      </c>
      <c r="C138" s="966">
        <v>46100</v>
      </c>
      <c r="D138" s="966">
        <v>67.854339999999993</v>
      </c>
      <c r="E138" s="966">
        <v>59.737755</v>
      </c>
      <c r="F138" s="966">
        <v>84184.93</v>
      </c>
      <c r="G138" s="966">
        <v>67416.565686799993</v>
      </c>
      <c r="H138" s="974">
        <v>114.59</v>
      </c>
      <c r="I138" s="966">
        <v>41.83</v>
      </c>
      <c r="J138" s="973">
        <v>1.46327475732</v>
      </c>
      <c r="L138" s="990">
        <v>45128</v>
      </c>
      <c r="M138" s="969">
        <v>70956.013808999996</v>
      </c>
      <c r="N138" s="969">
        <v>80903.900000000009</v>
      </c>
      <c r="O138" s="974">
        <v>2676.5618623484443</v>
      </c>
      <c r="Q138" s="967">
        <v>45219</v>
      </c>
      <c r="R138" s="966">
        <v>44700</v>
      </c>
      <c r="S138" s="971">
        <v>0.47580523482921999</v>
      </c>
      <c r="T138" s="969">
        <v>8.1165850000000006</v>
      </c>
      <c r="U138" s="966">
        <v>1068.69</v>
      </c>
      <c r="V138" s="966">
        <v>309.57</v>
      </c>
      <c r="W138" s="971">
        <f t="shared" si="2"/>
        <v>2.6218900410246472E-2</v>
      </c>
      <c r="Y138" s="967">
        <v>45289</v>
      </c>
      <c r="Z138" s="974">
        <f ca="1">H88*Valuation_Senario!$L$372</f>
        <v>1052.6487158800001</v>
      </c>
      <c r="AA138" s="973">
        <v>89.93</v>
      </c>
      <c r="AM138" s="967">
        <v>45219</v>
      </c>
      <c r="AN138" s="974">
        <v>1562.6855403600002</v>
      </c>
      <c r="AO138" s="38">
        <v>0.47580523482921999</v>
      </c>
      <c r="AS138" s="967">
        <v>45128</v>
      </c>
      <c r="AT138" s="974">
        <v>70956.013808999996</v>
      </c>
      <c r="AU138" s="974">
        <v>80903.900000000009</v>
      </c>
      <c r="AV138" s="974">
        <v>2676.5618623484443</v>
      </c>
    </row>
    <row r="139" spans="1:48">
      <c r="A139" s="966">
        <v>132</v>
      </c>
      <c r="B139" s="967">
        <v>45342</v>
      </c>
      <c r="C139" s="966">
        <v>46800</v>
      </c>
      <c r="D139" s="966">
        <v>76.792067000000003</v>
      </c>
      <c r="E139" s="966">
        <v>110.27446</v>
      </c>
      <c r="F139" s="966">
        <v>81698.58</v>
      </c>
      <c r="G139" s="966">
        <v>68440.244558399994</v>
      </c>
      <c r="H139" s="974">
        <v>114.59</v>
      </c>
      <c r="I139" s="966">
        <v>40.24</v>
      </c>
      <c r="J139" s="973">
        <v>1.46327475732</v>
      </c>
      <c r="L139" s="990">
        <v>45131</v>
      </c>
      <c r="M139" s="969">
        <v>71811.698307700004</v>
      </c>
      <c r="N139" s="969">
        <v>80903.900000000009</v>
      </c>
      <c r="O139" s="974">
        <v>2676.5613445089712</v>
      </c>
      <c r="Q139" s="967">
        <v>45218</v>
      </c>
      <c r="R139" s="966">
        <v>43000</v>
      </c>
      <c r="S139" s="971">
        <v>0.47596570888722001</v>
      </c>
      <c r="T139" s="969">
        <v>-33.482393000000002</v>
      </c>
      <c r="U139" s="966">
        <v>1068.69</v>
      </c>
      <c r="V139" s="966">
        <v>359.93</v>
      </c>
      <c r="W139" s="971">
        <f t="shared" si="2"/>
        <v>-9.3024735365209901E-2</v>
      </c>
      <c r="Y139" s="967">
        <v>45288</v>
      </c>
      <c r="Z139" s="974">
        <f ca="1">H89*Valuation_Senario!$L$372</f>
        <v>1052.6487158800001</v>
      </c>
      <c r="AA139" s="973">
        <v>90.46</v>
      </c>
      <c r="AM139" s="967">
        <v>45218</v>
      </c>
      <c r="AN139" s="974">
        <v>1562.6855403600002</v>
      </c>
      <c r="AO139" s="38">
        <v>0.47596570888722001</v>
      </c>
      <c r="AS139" s="967">
        <v>45131</v>
      </c>
      <c r="AT139" s="974">
        <v>71811.698307700004</v>
      </c>
      <c r="AU139" s="974">
        <v>80903.900000000009</v>
      </c>
      <c r="AV139" s="974">
        <v>2676.5613445089712</v>
      </c>
    </row>
    <row r="140" spans="1:48">
      <c r="A140" s="966">
        <v>133</v>
      </c>
      <c r="B140" s="967">
        <v>45341</v>
      </c>
      <c r="C140" s="966">
        <v>46800</v>
      </c>
      <c r="D140" s="966">
        <v>84.216340000000002</v>
      </c>
      <c r="E140" s="966">
        <v>79.742656100000005</v>
      </c>
      <c r="F140" s="966">
        <v>84184.93</v>
      </c>
      <c r="G140" s="966">
        <v>68440.244558399994</v>
      </c>
      <c r="H140" s="974">
        <v>114.59</v>
      </c>
      <c r="I140" s="966">
        <v>41.83</v>
      </c>
      <c r="J140" s="973">
        <v>1.46327475732</v>
      </c>
      <c r="L140" s="990">
        <v>45132</v>
      </c>
      <c r="M140" s="969">
        <v>76784.402467499996</v>
      </c>
      <c r="N140" s="969">
        <v>80903.900000000009</v>
      </c>
      <c r="O140" s="974">
        <v>2676.5597667374136</v>
      </c>
      <c r="Q140" s="967">
        <v>45217</v>
      </c>
      <c r="R140" s="966">
        <v>44700</v>
      </c>
      <c r="S140" s="971">
        <v>0.47592613602853001</v>
      </c>
      <c r="T140" s="969">
        <v>4.4736839000000002</v>
      </c>
      <c r="U140" s="966">
        <v>1068.69</v>
      </c>
      <c r="V140" s="966">
        <v>526.67999999999995</v>
      </c>
      <c r="W140" s="971">
        <f t="shared" si="2"/>
        <v>8.4941214779372682E-3</v>
      </c>
      <c r="Y140" s="967">
        <v>45287</v>
      </c>
      <c r="Z140" s="974">
        <f ca="1">H90*Valuation_Senario!$L$372</f>
        <v>1052.6487158800001</v>
      </c>
      <c r="AA140" s="973">
        <v>90.04</v>
      </c>
      <c r="AM140" s="967">
        <v>45217</v>
      </c>
      <c r="AN140" s="974">
        <v>1562.6855403600002</v>
      </c>
      <c r="AO140" s="38">
        <v>0.47592613602853001</v>
      </c>
      <c r="AS140" s="967">
        <v>45132</v>
      </c>
      <c r="AT140" s="974">
        <v>76784.402467499996</v>
      </c>
      <c r="AU140" s="974">
        <v>80903.900000000009</v>
      </c>
      <c r="AV140" s="974">
        <v>2676.5597667374136</v>
      </c>
    </row>
    <row r="141" spans="1:48">
      <c r="A141" s="966">
        <v>134</v>
      </c>
      <c r="B141" s="967">
        <v>45338</v>
      </c>
      <c r="C141" s="966">
        <v>46300</v>
      </c>
      <c r="D141" s="966">
        <v>44.373339999999999</v>
      </c>
      <c r="E141" s="966">
        <v>76.170124999999999</v>
      </c>
      <c r="F141" s="966">
        <v>86525.02</v>
      </c>
      <c r="G141" s="966">
        <v>67709.045364399994</v>
      </c>
      <c r="H141" s="974">
        <v>114.59</v>
      </c>
      <c r="I141" s="966">
        <v>43.32</v>
      </c>
      <c r="J141" s="973">
        <v>1.46327475732</v>
      </c>
      <c r="L141" s="990">
        <v>45133</v>
      </c>
      <c r="M141" s="969">
        <v>79709.522561499994</v>
      </c>
      <c r="N141" s="969">
        <v>80903.900000000009</v>
      </c>
      <c r="O141" s="974">
        <v>2676.5696720888359</v>
      </c>
      <c r="Q141" s="967">
        <v>45216</v>
      </c>
      <c r="R141" s="966">
        <v>46300</v>
      </c>
      <c r="S141" s="971">
        <v>0.47711153140966001</v>
      </c>
      <c r="T141" s="969">
        <v>-31.796785</v>
      </c>
      <c r="U141" s="966">
        <v>1068.69</v>
      </c>
      <c r="V141" s="966">
        <v>379.03</v>
      </c>
      <c r="W141" s="971">
        <f t="shared" si="2"/>
        <v>-8.3889889982323301E-2</v>
      </c>
      <c r="Y141" s="967">
        <v>45286</v>
      </c>
      <c r="Z141" s="974">
        <f ca="1">H91*Valuation_Senario!$L$372</f>
        <v>1052.6487158800001</v>
      </c>
      <c r="AA141" s="973">
        <v>89.72</v>
      </c>
      <c r="AM141" s="967">
        <v>45216</v>
      </c>
      <c r="AN141" s="974">
        <v>1562.6855403600002</v>
      </c>
      <c r="AO141" s="38">
        <v>0.47711153140966001</v>
      </c>
      <c r="AS141" s="967">
        <v>45133</v>
      </c>
      <c r="AT141" s="974">
        <v>79709.522561499994</v>
      </c>
      <c r="AU141" s="974">
        <v>80903.900000000009</v>
      </c>
      <c r="AV141" s="974">
        <v>2676.5696720888359</v>
      </c>
    </row>
    <row r="142" spans="1:48">
      <c r="A142" s="966">
        <v>135</v>
      </c>
      <c r="B142" s="967">
        <v>45337</v>
      </c>
      <c r="C142" s="966">
        <v>45850</v>
      </c>
      <c r="D142" s="966">
        <v>36.496744999999997</v>
      </c>
      <c r="E142" s="966">
        <v>177.7845265</v>
      </c>
      <c r="F142" s="966">
        <v>89888.91</v>
      </c>
      <c r="G142" s="966">
        <v>67050.9660898</v>
      </c>
      <c r="H142" s="974">
        <v>114.59</v>
      </c>
      <c r="I142" s="966">
        <v>45.48</v>
      </c>
      <c r="J142" s="973">
        <v>1.46327475732</v>
      </c>
      <c r="L142" s="990">
        <v>45134</v>
      </c>
      <c r="M142" s="969">
        <v>78393.218519200003</v>
      </c>
      <c r="N142" s="969">
        <v>80903.900000000009</v>
      </c>
      <c r="O142" s="974">
        <v>2676.568094290365</v>
      </c>
      <c r="Q142" s="967">
        <v>45215</v>
      </c>
      <c r="R142" s="966">
        <v>48600</v>
      </c>
      <c r="S142" s="971">
        <v>0.47902313760743997</v>
      </c>
      <c r="T142" s="969">
        <v>-141.28778149999999</v>
      </c>
      <c r="U142" s="966">
        <v>1068.69</v>
      </c>
      <c r="V142" s="966">
        <v>423.23</v>
      </c>
      <c r="W142" s="971">
        <f t="shared" si="2"/>
        <v>-0.33383215154880325</v>
      </c>
      <c r="Y142" s="967">
        <v>45285</v>
      </c>
      <c r="Z142" s="974">
        <f ca="1">H92*Valuation_Senario!$L$372</f>
        <v>168.27048762999999</v>
      </c>
      <c r="AA142" s="973">
        <v>89.62</v>
      </c>
      <c r="AM142" s="967">
        <v>45215</v>
      </c>
      <c r="AN142" s="974">
        <v>1562.6855403600002</v>
      </c>
      <c r="AO142" s="38">
        <v>0.47902313760743997</v>
      </c>
      <c r="AS142" s="967">
        <v>45134</v>
      </c>
      <c r="AT142" s="974">
        <v>78393.218519200003</v>
      </c>
      <c r="AU142" s="974">
        <v>80903.900000000009</v>
      </c>
      <c r="AV142" s="974">
        <v>2676.568094290365</v>
      </c>
    </row>
    <row r="143" spans="1:48">
      <c r="A143" s="966">
        <v>136</v>
      </c>
      <c r="B143" s="967">
        <v>45329</v>
      </c>
      <c r="C143" s="966">
        <v>46600</v>
      </c>
      <c r="D143" s="966">
        <v>58.798755</v>
      </c>
      <c r="E143" s="966">
        <v>182.10239000000001</v>
      </c>
      <c r="F143" s="966">
        <v>91205.22</v>
      </c>
      <c r="G143" s="966">
        <v>68147.764880799994</v>
      </c>
      <c r="H143" s="974">
        <v>114.59</v>
      </c>
      <c r="I143" s="966">
        <v>46.32</v>
      </c>
      <c r="J143" s="973">
        <v>1.46327475732</v>
      </c>
      <c r="L143" s="990">
        <v>45135</v>
      </c>
      <c r="M143" s="969">
        <v>76930.658472199997</v>
      </c>
      <c r="N143" s="969">
        <v>80903.900000000009</v>
      </c>
      <c r="O143" s="974">
        <v>2676.5665165101786</v>
      </c>
      <c r="Q143" s="967">
        <v>45212</v>
      </c>
      <c r="R143" s="966">
        <v>49500</v>
      </c>
      <c r="S143" s="971">
        <v>0.48232276643658001</v>
      </c>
      <c r="T143" s="969">
        <v>-123.303635</v>
      </c>
      <c r="U143" s="966">
        <v>1068.69</v>
      </c>
      <c r="V143" s="966">
        <v>482.93</v>
      </c>
      <c r="W143" s="971">
        <f t="shared" si="2"/>
        <v>-0.25532403246847368</v>
      </c>
      <c r="Y143" s="967">
        <v>45282</v>
      </c>
      <c r="Z143" s="974">
        <f ca="1">H93*Valuation_Senario!$L$372</f>
        <v>168.27048762999999</v>
      </c>
      <c r="AA143" s="973">
        <v>88.99</v>
      </c>
      <c r="AM143" s="967">
        <v>45212</v>
      </c>
      <c r="AN143" s="974">
        <v>1562.6855403600002</v>
      </c>
      <c r="AO143" s="38">
        <v>0.48232276643658001</v>
      </c>
      <c r="AS143" s="967">
        <v>45135</v>
      </c>
      <c r="AT143" s="974">
        <v>76930.658472199997</v>
      </c>
      <c r="AU143" s="974">
        <v>80903.900000000009</v>
      </c>
      <c r="AV143" s="974">
        <v>2676.5665165101786</v>
      </c>
    </row>
    <row r="144" spans="1:48">
      <c r="A144" s="966">
        <v>137</v>
      </c>
      <c r="B144" s="967">
        <v>45328</v>
      </c>
      <c r="C144" s="966">
        <v>47000</v>
      </c>
      <c r="D144" s="966">
        <v>37.649759000000003</v>
      </c>
      <c r="E144" s="966">
        <v>275.30252899999999</v>
      </c>
      <c r="F144" s="966">
        <v>89596.4</v>
      </c>
      <c r="G144" s="966">
        <v>68732.724235999995</v>
      </c>
      <c r="H144" s="974">
        <v>114.59</v>
      </c>
      <c r="I144" s="966">
        <v>45.29</v>
      </c>
      <c r="J144" s="973">
        <v>1.46327475732</v>
      </c>
      <c r="L144" s="990">
        <v>45138</v>
      </c>
      <c r="M144" s="969">
        <v>79124.498542700007</v>
      </c>
      <c r="N144" s="969">
        <v>80903.900000000009</v>
      </c>
      <c r="O144" s="974">
        <v>2676.5649387117082</v>
      </c>
      <c r="Q144" s="967">
        <v>45211</v>
      </c>
      <c r="R144" s="966">
        <v>48400</v>
      </c>
      <c r="S144" s="971">
        <v>0.48163168533015999</v>
      </c>
      <c r="T144" s="969">
        <v>-237.65277</v>
      </c>
      <c r="U144" s="966">
        <v>1068.68</v>
      </c>
      <c r="V144" s="966">
        <v>674.94</v>
      </c>
      <c r="W144" s="971">
        <f t="shared" si="2"/>
        <v>-0.35210947639790202</v>
      </c>
      <c r="Y144" s="967">
        <v>45281</v>
      </c>
      <c r="Z144" s="974">
        <f ca="1">H94*Valuation_Senario!$L$372</f>
        <v>168.27048762999999</v>
      </c>
      <c r="AA144" s="973">
        <v>89.62</v>
      </c>
      <c r="AM144" s="967">
        <v>45211</v>
      </c>
      <c r="AN144" s="974">
        <v>1562.6709179200002</v>
      </c>
      <c r="AO144" s="38">
        <v>0.48163168533015999</v>
      </c>
      <c r="AS144" s="967">
        <v>45138</v>
      </c>
      <c r="AT144" s="974">
        <v>79124.498542700007</v>
      </c>
      <c r="AU144" s="974">
        <v>80903.900000000009</v>
      </c>
      <c r="AV144" s="974">
        <v>2676.5649387117082</v>
      </c>
    </row>
    <row r="145" spans="1:48">
      <c r="A145" s="966">
        <v>138</v>
      </c>
      <c r="B145" s="967">
        <v>45327</v>
      </c>
      <c r="C145" s="966">
        <v>47400</v>
      </c>
      <c r="D145" s="966">
        <v>12.380863700000001</v>
      </c>
      <c r="E145" s="966">
        <v>9.1812837999999992</v>
      </c>
      <c r="F145" s="966">
        <v>90912.7</v>
      </c>
      <c r="G145" s="966">
        <v>69317.683591199995</v>
      </c>
      <c r="H145" s="974">
        <v>114.59</v>
      </c>
      <c r="I145" s="966">
        <v>46.13</v>
      </c>
      <c r="J145" s="973">
        <v>1.46327475732</v>
      </c>
      <c r="L145" s="990">
        <v>45139</v>
      </c>
      <c r="M145" s="969">
        <v>79709.522561499994</v>
      </c>
      <c r="N145" s="969">
        <v>80903.900000000009</v>
      </c>
      <c r="O145" s="974">
        <v>2676.5633609315219</v>
      </c>
      <c r="Q145" s="967">
        <v>45210</v>
      </c>
      <c r="R145" s="966">
        <v>49300</v>
      </c>
      <c r="S145" s="971">
        <v>0.48144683887397999</v>
      </c>
      <c r="T145" s="969">
        <v>3.1995798999999998</v>
      </c>
      <c r="U145" s="966">
        <v>1068.68</v>
      </c>
      <c r="V145" s="966">
        <v>170.38</v>
      </c>
      <c r="W145" s="971">
        <f t="shared" si="2"/>
        <v>1.8779081464960677E-2</v>
      </c>
      <c r="Y145" s="967">
        <v>45280</v>
      </c>
      <c r="Z145" s="974">
        <f ca="1">H95*Valuation_Senario!$L$372</f>
        <v>168.27048762999999</v>
      </c>
      <c r="AA145" s="973">
        <v>89.09</v>
      </c>
      <c r="AM145" s="967">
        <v>45210</v>
      </c>
      <c r="AN145" s="974">
        <v>1562.6709179200002</v>
      </c>
      <c r="AO145" s="38">
        <v>0.48144683887397999</v>
      </c>
      <c r="AS145" s="967">
        <v>45139</v>
      </c>
      <c r="AT145" s="974">
        <v>79709.522561499994</v>
      </c>
      <c r="AU145" s="974">
        <v>80903.900000000009</v>
      </c>
      <c r="AV145" s="974">
        <v>2676.5633609315219</v>
      </c>
    </row>
    <row r="146" spans="1:48">
      <c r="A146" s="966">
        <v>139</v>
      </c>
      <c r="B146" s="967">
        <v>45324</v>
      </c>
      <c r="C146" s="966">
        <v>47400</v>
      </c>
      <c r="D146" s="966">
        <v>27.519449999999999</v>
      </c>
      <c r="E146" s="966">
        <v>20.532260000000001</v>
      </c>
      <c r="F146" s="966">
        <v>90254.55</v>
      </c>
      <c r="G146" s="966">
        <v>69317.683591199995</v>
      </c>
      <c r="H146" s="974">
        <v>114.59</v>
      </c>
      <c r="I146" s="966">
        <v>45.71</v>
      </c>
      <c r="J146" s="973">
        <v>1.46327475732</v>
      </c>
      <c r="L146" s="990">
        <v>45140</v>
      </c>
      <c r="M146" s="969">
        <v>78539.474523900004</v>
      </c>
      <c r="N146" s="969">
        <v>80903.900000000009</v>
      </c>
      <c r="O146" s="974">
        <v>1563.9620724805616</v>
      </c>
      <c r="Q146" s="967">
        <v>45209</v>
      </c>
      <c r="R146" s="966">
        <v>48850</v>
      </c>
      <c r="S146" s="971">
        <v>0.48158784016076001</v>
      </c>
      <c r="T146" s="969">
        <v>6.98719</v>
      </c>
      <c r="U146" s="966">
        <v>1068.68</v>
      </c>
      <c r="V146" s="966">
        <v>235.64</v>
      </c>
      <c r="W146" s="971">
        <f t="shared" si="2"/>
        <v>2.9651969105415042E-2</v>
      </c>
      <c r="Y146" s="967">
        <v>45279</v>
      </c>
      <c r="Z146" s="974">
        <f ca="1">H96*Valuation_Senario!$L$372</f>
        <v>168.27048762999999</v>
      </c>
      <c r="AA146" s="973">
        <v>85.41</v>
      </c>
      <c r="AM146" s="967">
        <v>45209</v>
      </c>
      <c r="AN146" s="974">
        <v>1562.6709179200002</v>
      </c>
      <c r="AO146" s="38">
        <v>0.48158784016076001</v>
      </c>
      <c r="AS146" s="967">
        <v>45140</v>
      </c>
      <c r="AT146" s="974">
        <v>78539.474523900004</v>
      </c>
      <c r="AU146" s="974">
        <v>80903.900000000009</v>
      </c>
      <c r="AV146" s="974">
        <v>1563.9620724805616</v>
      </c>
    </row>
    <row r="147" spans="1:48">
      <c r="A147" s="966">
        <v>140</v>
      </c>
      <c r="B147" s="967">
        <v>45323</v>
      </c>
      <c r="C147" s="966">
        <v>46200</v>
      </c>
      <c r="D147" s="966">
        <v>11.417680000000001</v>
      </c>
      <c r="E147" s="966">
        <v>22.092855</v>
      </c>
      <c r="F147" s="966">
        <v>88938.25</v>
      </c>
      <c r="G147" s="966">
        <v>67562.805525599993</v>
      </c>
      <c r="H147" s="974">
        <v>114.59</v>
      </c>
      <c r="I147" s="966">
        <v>44.87</v>
      </c>
      <c r="J147" s="973">
        <v>1.46327475732</v>
      </c>
      <c r="L147" s="990">
        <v>45141</v>
      </c>
      <c r="M147" s="969">
        <v>75614.354429900006</v>
      </c>
      <c r="N147" s="969">
        <v>80903.900000000009</v>
      </c>
      <c r="O147" s="974">
        <v>1563.9607497747841</v>
      </c>
      <c r="Q147" s="967">
        <v>45208</v>
      </c>
      <c r="R147" s="966">
        <v>47950</v>
      </c>
      <c r="S147" s="971">
        <v>0.48173346226726999</v>
      </c>
      <c r="T147" s="969">
        <v>-10.675174999999999</v>
      </c>
      <c r="U147" s="966">
        <v>1068.68</v>
      </c>
      <c r="V147" s="966">
        <v>311.77999999999997</v>
      </c>
      <c r="W147" s="971">
        <f t="shared" si="2"/>
        <v>-3.423944768747194E-2</v>
      </c>
      <c r="Y147" s="967">
        <v>45278</v>
      </c>
      <c r="Z147" s="974">
        <f ca="1">H97*Valuation_Senario!$L$372</f>
        <v>168.27048762999999</v>
      </c>
      <c r="AA147" s="973">
        <v>83.21</v>
      </c>
      <c r="AM147" s="967">
        <v>45208</v>
      </c>
      <c r="AN147" s="974">
        <v>1562.6709179200002</v>
      </c>
      <c r="AO147" s="38">
        <v>0.48173346226726999</v>
      </c>
      <c r="AS147" s="967">
        <v>45141</v>
      </c>
      <c r="AT147" s="974">
        <v>75614.354429900006</v>
      </c>
      <c r="AU147" s="974">
        <v>80903.900000000009</v>
      </c>
      <c r="AV147" s="974">
        <v>1563.9607497747841</v>
      </c>
    </row>
    <row r="148" spans="1:48">
      <c r="A148" s="966">
        <v>141</v>
      </c>
      <c r="B148" s="967">
        <v>45322</v>
      </c>
      <c r="C148" s="966">
        <v>45000</v>
      </c>
      <c r="D148" s="966">
        <v>30.612674999999999</v>
      </c>
      <c r="E148" s="966">
        <v>36.728245000000001</v>
      </c>
      <c r="F148" s="966">
        <v>89450.14</v>
      </c>
      <c r="G148" s="966">
        <v>65807.927460000006</v>
      </c>
      <c r="H148" s="974">
        <v>114.59</v>
      </c>
      <c r="I148" s="966">
        <v>45.2</v>
      </c>
      <c r="J148" s="973">
        <v>1.46327475732</v>
      </c>
      <c r="L148" s="990">
        <v>45142</v>
      </c>
      <c r="M148" s="969">
        <v>75614.354429900006</v>
      </c>
      <c r="N148" s="969">
        <v>80903.900000000009</v>
      </c>
      <c r="O148" s="974">
        <v>1563.9594270796931</v>
      </c>
      <c r="Q148" s="967">
        <v>45205</v>
      </c>
      <c r="R148" s="966">
        <v>48300</v>
      </c>
      <c r="S148" s="971">
        <v>0.48249222314398998</v>
      </c>
      <c r="T148" s="969">
        <v>-6.11557</v>
      </c>
      <c r="U148" s="966">
        <v>1068.68</v>
      </c>
      <c r="V148" s="966">
        <v>246.19</v>
      </c>
      <c r="W148" s="971">
        <f t="shared" si="2"/>
        <v>-2.4840854624477032E-2</v>
      </c>
      <c r="Y148" s="967">
        <v>45275</v>
      </c>
      <c r="Z148" s="974">
        <f ca="1">H98*Valuation_Senario!$L$372</f>
        <v>168.27048762999999</v>
      </c>
      <c r="AA148" s="973">
        <v>85.62</v>
      </c>
      <c r="AM148" s="967">
        <v>45205</v>
      </c>
      <c r="AN148" s="974">
        <v>1562.6709179200002</v>
      </c>
      <c r="AO148" s="38">
        <v>0.48249222314398998</v>
      </c>
      <c r="AS148" s="967">
        <v>45142</v>
      </c>
      <c r="AT148" s="974">
        <v>75614.354429900006</v>
      </c>
      <c r="AU148" s="974">
        <v>80903.900000000009</v>
      </c>
      <c r="AV148" s="974">
        <v>1563.9594270796931</v>
      </c>
    </row>
    <row r="149" spans="1:48">
      <c r="A149" s="966">
        <v>142</v>
      </c>
      <c r="B149" s="967">
        <v>45321</v>
      </c>
      <c r="C149" s="966">
        <v>45400</v>
      </c>
      <c r="D149" s="966">
        <v>25.142961</v>
      </c>
      <c r="E149" s="966">
        <v>65.151990100000006</v>
      </c>
      <c r="F149" s="966">
        <v>87548.82</v>
      </c>
      <c r="G149" s="966">
        <v>66392.886815200007</v>
      </c>
      <c r="H149" s="974">
        <v>475.92</v>
      </c>
      <c r="I149" s="966">
        <v>43.98</v>
      </c>
      <c r="J149" s="973">
        <v>1.4633785496099998</v>
      </c>
      <c r="L149" s="990">
        <v>45145</v>
      </c>
      <c r="M149" s="969">
        <v>77076.914476899998</v>
      </c>
      <c r="N149" s="969">
        <v>80903.900000000009</v>
      </c>
      <c r="O149" s="974">
        <v>1563.9581043739156</v>
      </c>
      <c r="Q149" s="967">
        <v>45204</v>
      </c>
      <c r="R149" s="966">
        <v>47000</v>
      </c>
      <c r="S149" s="971">
        <v>0.48302721867277998</v>
      </c>
      <c r="T149" s="969">
        <v>-40.009029099999999</v>
      </c>
      <c r="U149" s="966">
        <v>1068.68</v>
      </c>
      <c r="V149" s="966">
        <v>307.17</v>
      </c>
      <c r="W149" s="971">
        <f t="shared" si="2"/>
        <v>-0.13025044470488653</v>
      </c>
      <c r="Y149" s="967">
        <v>45274</v>
      </c>
      <c r="Z149" s="974">
        <f ca="1">H99*Valuation_Senario!$L$372</f>
        <v>168.27048762999999</v>
      </c>
      <c r="AA149" s="973">
        <v>87.41</v>
      </c>
      <c r="AM149" s="967">
        <v>45204</v>
      </c>
      <c r="AN149" s="974">
        <v>1562.6709179200002</v>
      </c>
      <c r="AO149" s="38">
        <v>0.48302721867277998</v>
      </c>
      <c r="AS149" s="967">
        <v>45145</v>
      </c>
      <c r="AT149" s="974">
        <v>77076.914476899998</v>
      </c>
      <c r="AU149" s="974">
        <v>80903.900000000009</v>
      </c>
      <c r="AV149" s="974">
        <v>1563.9581043739156</v>
      </c>
    </row>
    <row r="150" spans="1:48">
      <c r="A150" s="966">
        <v>143</v>
      </c>
      <c r="B150" s="967">
        <v>45320</v>
      </c>
      <c r="C150" s="966">
        <v>44600</v>
      </c>
      <c r="D150" s="966">
        <v>37.841275000000003</v>
      </c>
      <c r="E150" s="966">
        <v>70.380799999999994</v>
      </c>
      <c r="F150" s="966">
        <v>90766.45</v>
      </c>
      <c r="G150" s="966">
        <v>65222.968104799998</v>
      </c>
      <c r="H150" s="974">
        <v>475.92</v>
      </c>
      <c r="I150" s="966">
        <v>46.04</v>
      </c>
      <c r="J150" s="973">
        <v>1.46337899251</v>
      </c>
      <c r="L150" s="990">
        <v>45146</v>
      </c>
      <c r="M150" s="969">
        <v>77515.682491</v>
      </c>
      <c r="N150" s="969">
        <v>80903.900000000009</v>
      </c>
      <c r="O150" s="974">
        <v>1563.9567816788242</v>
      </c>
      <c r="Q150" s="967">
        <v>45203</v>
      </c>
      <c r="R150" s="966">
        <v>49200</v>
      </c>
      <c r="S150" s="971">
        <v>0.48345693030692999</v>
      </c>
      <c r="T150" s="969">
        <v>-32.539524999999998</v>
      </c>
      <c r="U150" s="966">
        <v>1068.68</v>
      </c>
      <c r="V150" s="966">
        <v>237.5</v>
      </c>
      <c r="W150" s="971">
        <f t="shared" si="2"/>
        <v>-0.13700852631578947</v>
      </c>
      <c r="Y150" s="967">
        <v>45273</v>
      </c>
      <c r="Z150" s="974">
        <f ca="1">H100*Valuation_Senario!$L$372</f>
        <v>168.27048762999999</v>
      </c>
      <c r="AA150" s="973">
        <v>87.62</v>
      </c>
      <c r="AM150" s="967">
        <v>45203</v>
      </c>
      <c r="AN150" s="974">
        <v>1562.6709179200002</v>
      </c>
      <c r="AO150" s="38">
        <v>0.48345693030692999</v>
      </c>
      <c r="AS150" s="967">
        <v>45146</v>
      </c>
      <c r="AT150" s="974">
        <v>77515.682491</v>
      </c>
      <c r="AU150" s="974">
        <v>80903.900000000009</v>
      </c>
      <c r="AV150" s="974">
        <v>1563.9567816788242</v>
      </c>
    </row>
    <row r="151" spans="1:48">
      <c r="A151" s="966">
        <v>144</v>
      </c>
      <c r="B151" s="967">
        <v>45317</v>
      </c>
      <c r="C151" s="966">
        <v>44900</v>
      </c>
      <c r="D151" s="966">
        <v>92.457499999999996</v>
      </c>
      <c r="E151" s="966">
        <v>57.296455000000002</v>
      </c>
      <c r="F151" s="966">
        <v>90473.94</v>
      </c>
      <c r="G151" s="966">
        <v>65661.687621200006</v>
      </c>
      <c r="H151" s="974">
        <v>475.92</v>
      </c>
      <c r="I151" s="966">
        <v>45.85</v>
      </c>
      <c r="J151" s="973">
        <v>1.4633803212100001</v>
      </c>
      <c r="L151" s="990">
        <v>45147</v>
      </c>
      <c r="M151" s="969">
        <v>78685.730528600005</v>
      </c>
      <c r="N151" s="969">
        <v>80903.900000000009</v>
      </c>
      <c r="O151" s="974">
        <v>1563.9528135721782</v>
      </c>
      <c r="Q151" s="967">
        <v>45202</v>
      </c>
      <c r="R151" s="966">
        <v>49000</v>
      </c>
      <c r="S151" s="971">
        <v>0.48338982523485002</v>
      </c>
      <c r="T151" s="969">
        <v>35.161045000000001</v>
      </c>
      <c r="U151" s="966">
        <v>1068.68</v>
      </c>
      <c r="V151" s="966">
        <v>446.16</v>
      </c>
      <c r="W151" s="971">
        <f t="shared" si="2"/>
        <v>7.8808151784113323E-2</v>
      </c>
      <c r="Y151" s="967">
        <v>45272</v>
      </c>
      <c r="Z151" s="974">
        <f ca="1">H101*Valuation_Senario!$L$372</f>
        <v>168.27048762999999</v>
      </c>
      <c r="AA151" s="973">
        <v>89.3</v>
      </c>
      <c r="AM151" s="967">
        <v>45202</v>
      </c>
      <c r="AN151" s="974">
        <v>1562.6709179200002</v>
      </c>
      <c r="AO151" s="38">
        <v>0.48338982523485002</v>
      </c>
      <c r="AS151" s="967">
        <v>45147</v>
      </c>
      <c r="AT151" s="974">
        <v>78685.730528600005</v>
      </c>
      <c r="AU151" s="974">
        <v>80903.900000000009</v>
      </c>
      <c r="AV151" s="974">
        <v>1563.9528135721782</v>
      </c>
    </row>
    <row r="152" spans="1:48">
      <c r="A152" s="966">
        <v>145</v>
      </c>
      <c r="B152" s="967">
        <v>45316</v>
      </c>
      <c r="C152" s="966">
        <v>45200</v>
      </c>
      <c r="D152" s="966">
        <v>27.456624000000001</v>
      </c>
      <c r="E152" s="966">
        <v>35.106729999999999</v>
      </c>
      <c r="F152" s="966">
        <v>94715.36</v>
      </c>
      <c r="G152" s="966">
        <v>66100.407137600007</v>
      </c>
      <c r="H152" s="974">
        <v>475.92</v>
      </c>
      <c r="I152" s="966">
        <v>48.56</v>
      </c>
      <c r="J152" s="973">
        <v>1.4633807641199998</v>
      </c>
      <c r="L152" s="990">
        <v>45148</v>
      </c>
      <c r="M152" s="969">
        <v>78393.218519200003</v>
      </c>
      <c r="N152" s="969">
        <v>80903.900000000009</v>
      </c>
      <c r="O152" s="974">
        <v>1563.9661261108365</v>
      </c>
      <c r="Q152" s="967">
        <v>45201</v>
      </c>
      <c r="R152" s="966">
        <v>51900</v>
      </c>
      <c r="S152" s="971">
        <v>0.48293293672986998</v>
      </c>
      <c r="T152" s="969">
        <v>-7.6501060000000001</v>
      </c>
      <c r="U152" s="966">
        <v>1068.68</v>
      </c>
      <c r="V152" s="966">
        <v>235.81</v>
      </c>
      <c r="W152" s="971">
        <f t="shared" si="2"/>
        <v>-3.2441821805691023E-2</v>
      </c>
      <c r="Y152" s="967">
        <v>45271</v>
      </c>
      <c r="Z152" s="974">
        <f ca="1">H102*Valuation_Senario!$L$372</f>
        <v>168.27048762999999</v>
      </c>
      <c r="AA152" s="973">
        <v>89.3</v>
      </c>
      <c r="AM152" s="967">
        <v>45201</v>
      </c>
      <c r="AN152" s="974">
        <v>1562.6709179200002</v>
      </c>
      <c r="AO152" s="38">
        <v>0.48293293672986998</v>
      </c>
      <c r="AS152" s="967">
        <v>45148</v>
      </c>
      <c r="AT152" s="974">
        <v>78393.218519200003</v>
      </c>
      <c r="AU152" s="974">
        <v>80903.900000000009</v>
      </c>
      <c r="AV152" s="974">
        <v>1563.9661261108365</v>
      </c>
    </row>
    <row r="153" spans="1:48">
      <c r="A153" s="966">
        <v>146</v>
      </c>
      <c r="B153" s="967">
        <v>45315</v>
      </c>
      <c r="C153" s="966">
        <v>44400</v>
      </c>
      <c r="D153" s="966">
        <v>77.905630000000002</v>
      </c>
      <c r="E153" s="966">
        <v>63.109819999999999</v>
      </c>
      <c r="F153" s="966">
        <v>95739.15</v>
      </c>
      <c r="G153" s="966">
        <v>64930.488427199998</v>
      </c>
      <c r="H153" s="974">
        <v>475.92</v>
      </c>
      <c r="I153" s="966">
        <v>49.22</v>
      </c>
      <c r="J153" s="973">
        <v>1.4633812070200001</v>
      </c>
      <c r="L153" s="990">
        <v>45149</v>
      </c>
      <c r="M153" s="969">
        <v>76930.658472199997</v>
      </c>
      <c r="N153" s="969">
        <v>80903.900000000009</v>
      </c>
      <c r="O153" s="974">
        <v>1563.9648033926817</v>
      </c>
      <c r="Q153" s="967">
        <v>45198</v>
      </c>
      <c r="R153" s="966">
        <v>52600</v>
      </c>
      <c r="S153" s="971">
        <v>0.48334864513450998</v>
      </c>
      <c r="T153" s="969">
        <v>14.795809999999999</v>
      </c>
      <c r="U153" s="966">
        <v>1068.67</v>
      </c>
      <c r="V153" s="966">
        <v>263.88</v>
      </c>
      <c r="W153" s="971">
        <f t="shared" si="2"/>
        <v>5.6070221312717904E-2</v>
      </c>
      <c r="Y153" s="967">
        <v>45268</v>
      </c>
      <c r="Z153" s="974">
        <f ca="1">H103*Valuation_Senario!$L$372</f>
        <v>168.27048762999999</v>
      </c>
      <c r="AA153" s="973">
        <v>89.51</v>
      </c>
      <c r="AM153" s="967">
        <v>45198</v>
      </c>
      <c r="AN153" s="974">
        <v>1562.6562954800002</v>
      </c>
      <c r="AO153" s="38">
        <v>0.48334864513450998</v>
      </c>
      <c r="AS153" s="967">
        <v>45149</v>
      </c>
      <c r="AT153" s="974">
        <v>76930.658472199997</v>
      </c>
      <c r="AU153" s="974">
        <v>80903.900000000009</v>
      </c>
      <c r="AV153" s="974">
        <v>1563.9648033926817</v>
      </c>
    </row>
    <row r="154" spans="1:48">
      <c r="A154" s="966">
        <v>147</v>
      </c>
      <c r="B154" s="967">
        <v>45314</v>
      </c>
      <c r="C154" s="966">
        <v>45400</v>
      </c>
      <c r="D154" s="966">
        <v>23.766249999999999</v>
      </c>
      <c r="E154" s="966">
        <v>60.252920000000003</v>
      </c>
      <c r="F154" s="966">
        <v>96324.18</v>
      </c>
      <c r="G154" s="966">
        <v>66392.886815200007</v>
      </c>
      <c r="H154" s="974">
        <v>475.92</v>
      </c>
      <c r="I154" s="966">
        <v>49.59</v>
      </c>
      <c r="J154" s="973">
        <v>1.4633816499200001</v>
      </c>
      <c r="L154" s="990">
        <v>45152</v>
      </c>
      <c r="M154" s="969">
        <v>76053.122443999993</v>
      </c>
      <c r="N154" s="969">
        <v>92607.900000000009</v>
      </c>
      <c r="O154" s="974">
        <v>1563.9634806852127</v>
      </c>
      <c r="Q154" s="967">
        <v>45197</v>
      </c>
      <c r="R154" s="966">
        <v>53000</v>
      </c>
      <c r="S154" s="971">
        <v>0.48260994266085999</v>
      </c>
      <c r="T154" s="969">
        <v>-36.486669999999997</v>
      </c>
      <c r="U154" s="966">
        <v>1068.67</v>
      </c>
      <c r="V154" s="966">
        <v>474.06</v>
      </c>
      <c r="W154" s="971">
        <f t="shared" si="2"/>
        <v>-7.6966354469898315E-2</v>
      </c>
      <c r="Y154" s="967">
        <v>45267</v>
      </c>
      <c r="Z154" s="974">
        <f ca="1">H104*Valuation_Senario!$L$372</f>
        <v>168.27048762999999</v>
      </c>
      <c r="AA154" s="973">
        <v>85.83</v>
      </c>
      <c r="AM154" s="967">
        <v>45197</v>
      </c>
      <c r="AN154" s="974">
        <v>1562.6562954800002</v>
      </c>
      <c r="AO154" s="38">
        <v>0.48260994266085999</v>
      </c>
      <c r="AS154" s="967">
        <v>45152</v>
      </c>
      <c r="AT154" s="974">
        <v>76053.122443999993</v>
      </c>
      <c r="AU154" s="974">
        <v>92607.900000000009</v>
      </c>
      <c r="AV154" s="974">
        <v>1563.9634806852127</v>
      </c>
    </row>
    <row r="155" spans="1:48">
      <c r="A155" s="966">
        <v>148</v>
      </c>
      <c r="B155" s="967">
        <v>45313</v>
      </c>
      <c r="C155" s="966">
        <v>46150</v>
      </c>
      <c r="D155" s="966">
        <v>60.042630000000003</v>
      </c>
      <c r="E155" s="966">
        <v>16.14263</v>
      </c>
      <c r="F155" s="966">
        <v>94861.62</v>
      </c>
      <c r="G155" s="966">
        <v>67489.685606200001</v>
      </c>
      <c r="H155" s="974">
        <v>475.92</v>
      </c>
      <c r="I155" s="966">
        <v>48.66</v>
      </c>
      <c r="J155" s="973">
        <v>1.4633820928199999</v>
      </c>
      <c r="L155" s="990">
        <v>45153</v>
      </c>
      <c r="M155" s="969">
        <v>77954.450505100001</v>
      </c>
      <c r="N155" s="969">
        <v>92607.900000000009</v>
      </c>
      <c r="O155" s="974">
        <v>1563.9621579670577</v>
      </c>
      <c r="Q155" s="967">
        <v>45196</v>
      </c>
      <c r="R155" s="966">
        <v>52000</v>
      </c>
      <c r="S155" s="971">
        <v>0.48354965420946999</v>
      </c>
      <c r="T155" s="969">
        <v>43.9</v>
      </c>
      <c r="U155" s="966">
        <v>1068.67</v>
      </c>
      <c r="V155" s="966">
        <v>251.31</v>
      </c>
      <c r="W155" s="971">
        <f t="shared" si="2"/>
        <v>0.17468465242131231</v>
      </c>
      <c r="Y155" s="967">
        <v>45266</v>
      </c>
      <c r="Z155" s="974">
        <f ca="1">H105*Valuation_Senario!$L$372</f>
        <v>168.27048762999999</v>
      </c>
      <c r="AA155" s="973">
        <v>86.05</v>
      </c>
      <c r="AM155" s="967">
        <v>45196</v>
      </c>
      <c r="AN155" s="974">
        <v>1562.6562954800002</v>
      </c>
      <c r="AO155" s="38">
        <v>0.48354965420946999</v>
      </c>
      <c r="AS155" s="967">
        <v>45153</v>
      </c>
      <c r="AT155" s="974">
        <v>77954.450505100001</v>
      </c>
      <c r="AU155" s="974">
        <v>92607.900000000009</v>
      </c>
      <c r="AV155" s="974">
        <v>1563.9621579670577</v>
      </c>
    </row>
    <row r="156" spans="1:48">
      <c r="A156" s="966">
        <v>149</v>
      </c>
      <c r="B156" s="967">
        <v>45310</v>
      </c>
      <c r="C156" s="966">
        <v>46050</v>
      </c>
      <c r="D156" s="966">
        <v>52.296340000000001</v>
      </c>
      <c r="E156" s="966">
        <v>90.314127999999997</v>
      </c>
      <c r="F156" s="966">
        <v>94130.34</v>
      </c>
      <c r="G156" s="966">
        <v>67343.4457674</v>
      </c>
      <c r="H156" s="974">
        <v>475.92</v>
      </c>
      <c r="I156" s="966">
        <v>48.19</v>
      </c>
      <c r="J156" s="973">
        <v>1.4633834215199999</v>
      </c>
      <c r="L156" s="990">
        <v>45154</v>
      </c>
      <c r="M156" s="969">
        <v>79270.754547400007</v>
      </c>
      <c r="N156" s="969">
        <v>92607.900000000009</v>
      </c>
      <c r="O156" s="974">
        <v>1563.9581898232786</v>
      </c>
      <c r="Q156" s="967">
        <v>45195</v>
      </c>
      <c r="R156" s="966">
        <v>51500</v>
      </c>
      <c r="S156" s="971">
        <v>0.48292185960952</v>
      </c>
      <c r="T156" s="969">
        <v>-38.017788000000003</v>
      </c>
      <c r="U156" s="966">
        <v>1068.67</v>
      </c>
      <c r="V156" s="966">
        <v>425.9</v>
      </c>
      <c r="W156" s="971">
        <f t="shared" si="2"/>
        <v>-8.9264587931439321E-2</v>
      </c>
      <c r="Y156" s="967">
        <v>45265</v>
      </c>
      <c r="Z156" s="974">
        <f ca="1">H106*Valuation_Senario!$L$372</f>
        <v>168.27048762999999</v>
      </c>
      <c r="AA156" s="973">
        <v>84.05</v>
      </c>
      <c r="AM156" s="967">
        <v>45195</v>
      </c>
      <c r="AN156" s="974">
        <v>1562.6562954800002</v>
      </c>
      <c r="AO156" s="38">
        <v>0.48292185960952</v>
      </c>
      <c r="AS156" s="967">
        <v>45154</v>
      </c>
      <c r="AT156" s="974">
        <v>79270.754547400007</v>
      </c>
      <c r="AU156" s="974">
        <v>92607.900000000009</v>
      </c>
      <c r="AV156" s="974">
        <v>1563.9581898232786</v>
      </c>
    </row>
    <row r="157" spans="1:48">
      <c r="A157" s="966">
        <v>150</v>
      </c>
      <c r="B157" s="967">
        <v>45309</v>
      </c>
      <c r="C157" s="966">
        <v>45850</v>
      </c>
      <c r="D157" s="966">
        <v>66.916290000000004</v>
      </c>
      <c r="E157" s="966">
        <v>10.256169999999999</v>
      </c>
      <c r="F157" s="966">
        <v>93399.06</v>
      </c>
      <c r="G157" s="966">
        <v>67050.9660898</v>
      </c>
      <c r="H157" s="974">
        <v>475.92</v>
      </c>
      <c r="I157" s="966">
        <v>47.72</v>
      </c>
      <c r="J157" s="973">
        <v>1.4633838644200001</v>
      </c>
      <c r="L157" s="990">
        <v>45155</v>
      </c>
      <c r="M157" s="969">
        <v>78978.242538000006</v>
      </c>
      <c r="N157" s="969">
        <v>92607.900000000009</v>
      </c>
      <c r="O157" s="974">
        <v>1563.9568671051236</v>
      </c>
      <c r="Q157" s="967">
        <v>45194</v>
      </c>
      <c r="R157" s="966">
        <v>51000</v>
      </c>
      <c r="S157" s="971">
        <v>0.48292131429538998</v>
      </c>
      <c r="T157" s="969">
        <v>56.660119999999999</v>
      </c>
      <c r="U157" s="966">
        <v>1068.67</v>
      </c>
      <c r="V157" s="966">
        <v>396.52</v>
      </c>
      <c r="W157" s="971">
        <f t="shared" si="2"/>
        <v>0.14289347321698781</v>
      </c>
      <c r="Y157" s="967">
        <v>45264</v>
      </c>
      <c r="Z157" s="974">
        <f ca="1">H107*Valuation_Senario!$L$372</f>
        <v>168.27048762999999</v>
      </c>
      <c r="AA157" s="973">
        <v>83.94</v>
      </c>
      <c r="AM157" s="967">
        <v>45194</v>
      </c>
      <c r="AN157" s="974">
        <v>1562.6562954800002</v>
      </c>
      <c r="AO157" s="38">
        <v>0.48292131429538998</v>
      </c>
      <c r="AS157" s="967">
        <v>45155</v>
      </c>
      <c r="AT157" s="974">
        <v>78978.242538000006</v>
      </c>
      <c r="AU157" s="974">
        <v>92607.900000000009</v>
      </c>
      <c r="AV157" s="974">
        <v>1563.9568671051236</v>
      </c>
    </row>
    <row r="158" spans="1:48">
      <c r="A158" s="966">
        <v>151</v>
      </c>
      <c r="B158" s="967">
        <v>45308</v>
      </c>
      <c r="C158" s="966">
        <v>44900</v>
      </c>
      <c r="D158" s="966">
        <v>26.748420500000002</v>
      </c>
      <c r="E158" s="966">
        <v>59.394995700000003</v>
      </c>
      <c r="F158" s="966">
        <v>95007.87</v>
      </c>
      <c r="G158" s="966">
        <v>65661.687621200006</v>
      </c>
      <c r="H158" s="974">
        <v>475.92</v>
      </c>
      <c r="I158" s="966">
        <v>48.75</v>
      </c>
      <c r="J158" s="973">
        <v>1.4633843073299999</v>
      </c>
      <c r="L158" s="990">
        <v>45156</v>
      </c>
      <c r="M158" s="969">
        <v>78685.730528600005</v>
      </c>
      <c r="N158" s="969">
        <v>92607.900000000009</v>
      </c>
      <c r="O158" s="974">
        <v>1563.9555443976549</v>
      </c>
      <c r="Q158" s="967">
        <v>45191</v>
      </c>
      <c r="R158" s="966">
        <v>52100</v>
      </c>
      <c r="S158" s="971">
        <v>0.48258689596370002</v>
      </c>
      <c r="T158" s="969">
        <v>-32.646575200000001</v>
      </c>
      <c r="U158" s="966">
        <v>1068.67</v>
      </c>
      <c r="V158" s="966">
        <v>623.72</v>
      </c>
      <c r="W158" s="971">
        <f t="shared" si="2"/>
        <v>-5.2341716154684796E-2</v>
      </c>
      <c r="Y158" s="967">
        <v>45261</v>
      </c>
      <c r="Z158" s="974">
        <f ca="1">H108*Valuation_Senario!$L$372</f>
        <v>168.27048762999999</v>
      </c>
      <c r="AA158" s="973">
        <v>81.42</v>
      </c>
      <c r="AM158" s="967">
        <v>45191</v>
      </c>
      <c r="AN158" s="974">
        <v>1562.6562954800002</v>
      </c>
      <c r="AO158" s="38">
        <v>0.48258689596370002</v>
      </c>
      <c r="AS158" s="967">
        <v>45156</v>
      </c>
      <c r="AT158" s="974">
        <v>78685.730528600005</v>
      </c>
      <c r="AU158" s="974">
        <v>92607.900000000009</v>
      </c>
      <c r="AV158" s="974">
        <v>1563.9555443976549</v>
      </c>
    </row>
    <row r="159" spans="1:48">
      <c r="A159" s="966">
        <v>152</v>
      </c>
      <c r="B159" s="967">
        <v>45307</v>
      </c>
      <c r="C159" s="966">
        <v>44300</v>
      </c>
      <c r="D159" s="966">
        <v>49.155349999999999</v>
      </c>
      <c r="E159" s="966">
        <v>47.217497000000002</v>
      </c>
      <c r="F159" s="966">
        <v>98079.25</v>
      </c>
      <c r="G159" s="966">
        <v>64784.248588399998</v>
      </c>
      <c r="H159" s="974">
        <v>475.92</v>
      </c>
      <c r="I159" s="966">
        <v>50.72</v>
      </c>
      <c r="J159" s="973">
        <v>1.4633847502299999</v>
      </c>
      <c r="L159" s="990">
        <v>45159</v>
      </c>
      <c r="M159" s="969">
        <v>78831.986533300005</v>
      </c>
      <c r="N159" s="969">
        <v>92607.900000000009</v>
      </c>
      <c r="O159" s="974">
        <v>1563.9542216794998</v>
      </c>
      <c r="Q159" s="967">
        <v>45190</v>
      </c>
      <c r="R159" s="966">
        <v>54200</v>
      </c>
      <c r="S159" s="971">
        <v>0.48363006822638999</v>
      </c>
      <c r="T159" s="969">
        <v>1.937853</v>
      </c>
      <c r="U159" s="966">
        <v>1068.67</v>
      </c>
      <c r="V159" s="966">
        <v>519.99</v>
      </c>
      <c r="W159" s="971">
        <f t="shared" si="2"/>
        <v>3.7267120521548491E-3</v>
      </c>
      <c r="Y159" s="967">
        <v>45260</v>
      </c>
      <c r="Z159" s="974">
        <f ca="1">H109*Valuation_Senario!$L$372</f>
        <v>168.27048762999999</v>
      </c>
      <c r="AA159" s="973">
        <v>80.900000000000006</v>
      </c>
      <c r="AM159" s="967">
        <v>45190</v>
      </c>
      <c r="AN159" s="974">
        <v>1562.6562954800002</v>
      </c>
      <c r="AO159" s="38">
        <v>0.48363006822638999</v>
      </c>
      <c r="AS159" s="967">
        <v>45159</v>
      </c>
      <c r="AT159" s="974">
        <v>78831.986533300005</v>
      </c>
      <c r="AU159" s="974">
        <v>92607.900000000009</v>
      </c>
      <c r="AV159" s="974">
        <v>1563.9542216794998</v>
      </c>
    </row>
    <row r="160" spans="1:48">
      <c r="A160" s="966">
        <v>153</v>
      </c>
      <c r="B160" s="967">
        <v>45306</v>
      </c>
      <c r="C160" s="966">
        <v>42900</v>
      </c>
      <c r="D160" s="966">
        <v>7.8444399999999996</v>
      </c>
      <c r="E160" s="966">
        <v>107.56797</v>
      </c>
      <c r="F160" s="966">
        <v>100419.34</v>
      </c>
      <c r="G160" s="966">
        <v>62736.890845200003</v>
      </c>
      <c r="H160" s="974">
        <v>475.92</v>
      </c>
      <c r="I160" s="966">
        <v>52.21</v>
      </c>
      <c r="J160" s="973">
        <v>1.4633851931300002</v>
      </c>
      <c r="L160" s="990">
        <v>45160</v>
      </c>
      <c r="M160" s="969">
        <v>73420.514359399996</v>
      </c>
      <c r="N160" s="969">
        <v>92607.900000000009</v>
      </c>
      <c r="O160" s="974">
        <v>1563.9528989613445</v>
      </c>
      <c r="Q160" s="967">
        <v>45189</v>
      </c>
      <c r="R160" s="966">
        <v>55800</v>
      </c>
      <c r="S160" s="971">
        <v>0.48424824602715999</v>
      </c>
      <c r="T160" s="969">
        <v>-99.723529999999997</v>
      </c>
      <c r="U160" s="966">
        <v>1068.6600000000001</v>
      </c>
      <c r="V160" s="966">
        <v>379.93</v>
      </c>
      <c r="W160" s="971">
        <f t="shared" si="2"/>
        <v>-0.26247869344352903</v>
      </c>
      <c r="Y160" s="967">
        <v>45259</v>
      </c>
      <c r="Z160" s="974">
        <f ca="1">H110*Valuation_Senario!$L$372</f>
        <v>168.27048762999999</v>
      </c>
      <c r="AA160" s="973">
        <v>81.53</v>
      </c>
      <c r="AM160" s="967">
        <v>45189</v>
      </c>
      <c r="AN160" s="974">
        <v>1562.6416730400001</v>
      </c>
      <c r="AO160" s="38">
        <v>0.48424824602715999</v>
      </c>
      <c r="AS160" s="967">
        <v>45160</v>
      </c>
      <c r="AT160" s="974">
        <v>73420.514359399996</v>
      </c>
      <c r="AU160" s="974">
        <v>92607.900000000009</v>
      </c>
      <c r="AV160" s="974">
        <v>1563.9528989613445</v>
      </c>
    </row>
    <row r="161" spans="1:48">
      <c r="A161" s="966">
        <v>154</v>
      </c>
      <c r="B161" s="967">
        <v>45303</v>
      </c>
      <c r="C161" s="966">
        <v>41900</v>
      </c>
      <c r="D161" s="966">
        <v>105.9166984</v>
      </c>
      <c r="E161" s="966">
        <v>98.278914999999998</v>
      </c>
      <c r="F161" s="966">
        <v>99980.58</v>
      </c>
      <c r="G161" s="966">
        <v>61274.492457200002</v>
      </c>
      <c r="H161" s="974">
        <v>475.92</v>
      </c>
      <c r="I161" s="966">
        <v>51.93</v>
      </c>
      <c r="J161" s="973">
        <v>1.46338652183</v>
      </c>
      <c r="L161" s="990">
        <v>45161</v>
      </c>
      <c r="M161" s="969">
        <v>71665.442303000003</v>
      </c>
      <c r="N161" s="969">
        <v>92607.900000000009</v>
      </c>
      <c r="O161" s="974">
        <v>1563.9635659117776</v>
      </c>
      <c r="Q161" s="967">
        <v>45188</v>
      </c>
      <c r="R161" s="966">
        <v>55500</v>
      </c>
      <c r="S161" s="971">
        <v>0.48453730351685997</v>
      </c>
      <c r="T161" s="969">
        <v>7.6377834</v>
      </c>
      <c r="U161" s="966">
        <v>1068.6600000000001</v>
      </c>
      <c r="V161" s="966">
        <v>479.01</v>
      </c>
      <c r="W161" s="971">
        <f t="shared" si="2"/>
        <v>1.594493517880629E-2</v>
      </c>
      <c r="Y161" s="967">
        <v>45258</v>
      </c>
      <c r="Z161" s="974">
        <f ca="1">H111*Valuation_Senario!$L$372</f>
        <v>168.27048762999999</v>
      </c>
      <c r="AA161" s="973">
        <v>79.849999999999994</v>
      </c>
      <c r="AM161" s="967">
        <v>45188</v>
      </c>
      <c r="AN161" s="974">
        <v>1562.6416730400001</v>
      </c>
      <c r="AO161" s="38">
        <v>0.48453730351685997</v>
      </c>
      <c r="AS161" s="967">
        <v>45161</v>
      </c>
      <c r="AT161" s="974">
        <v>71665.442303000003</v>
      </c>
      <c r="AU161" s="974">
        <v>92607.900000000009</v>
      </c>
      <c r="AV161" s="974">
        <v>1563.9635659117776</v>
      </c>
    </row>
    <row r="162" spans="1:48">
      <c r="A162" s="966">
        <v>155</v>
      </c>
      <c r="B162" s="967">
        <v>45302</v>
      </c>
      <c r="C162" s="966">
        <v>42450</v>
      </c>
      <c r="D162" s="966">
        <v>11.351271000000001</v>
      </c>
      <c r="E162" s="966">
        <v>30.927050000000001</v>
      </c>
      <c r="F162" s="966">
        <v>99249.3</v>
      </c>
      <c r="G162" s="966">
        <v>62078.811570600003</v>
      </c>
      <c r="H162" s="974">
        <v>475.92</v>
      </c>
      <c r="I162" s="966">
        <v>51.47</v>
      </c>
      <c r="J162" s="973">
        <v>1.46338696473</v>
      </c>
      <c r="L162" s="990">
        <v>45162</v>
      </c>
      <c r="M162" s="969">
        <v>73128.002349999995</v>
      </c>
      <c r="N162" s="969">
        <v>92607.900000000009</v>
      </c>
      <c r="O162" s="974">
        <v>1563.9622431812447</v>
      </c>
      <c r="Q162" s="967">
        <v>45187</v>
      </c>
      <c r="R162" s="966">
        <v>55000</v>
      </c>
      <c r="S162" s="971">
        <v>0.48418742505125001</v>
      </c>
      <c r="T162" s="969">
        <v>-19.575779000000001</v>
      </c>
      <c r="U162" s="966">
        <v>1068.6600000000001</v>
      </c>
      <c r="V162" s="966">
        <v>361.8</v>
      </c>
      <c r="W162" s="971">
        <f t="shared" si="2"/>
        <v>-5.4106630735212824E-2</v>
      </c>
      <c r="Y162" s="967">
        <v>45257</v>
      </c>
      <c r="Z162" s="974">
        <f ca="1">H112*Valuation_Senario!$L$372</f>
        <v>168.27048762999999</v>
      </c>
      <c r="AA162" s="973">
        <v>79.849999999999994</v>
      </c>
      <c r="AM162" s="967">
        <v>45187</v>
      </c>
      <c r="AN162" s="974">
        <v>1562.6416730400001</v>
      </c>
      <c r="AO162" s="38">
        <v>0.48418742505125001</v>
      </c>
      <c r="AS162" s="967">
        <v>45162</v>
      </c>
      <c r="AT162" s="974">
        <v>73128.002349999995</v>
      </c>
      <c r="AU162" s="974">
        <v>92607.900000000009</v>
      </c>
      <c r="AV162" s="974">
        <v>1563.9622431812447</v>
      </c>
    </row>
    <row r="163" spans="1:48">
      <c r="A163" s="966">
        <v>156</v>
      </c>
      <c r="B163" s="967">
        <v>45301</v>
      </c>
      <c r="C163" s="966">
        <v>42250</v>
      </c>
      <c r="D163" s="966">
        <v>14.784962</v>
      </c>
      <c r="E163" s="966">
        <v>80.891170399999993</v>
      </c>
      <c r="F163" s="966">
        <v>100565.6</v>
      </c>
      <c r="G163" s="966">
        <v>61786.331893000002</v>
      </c>
      <c r="H163" s="974">
        <v>475.92</v>
      </c>
      <c r="I163" s="966">
        <v>52.31</v>
      </c>
      <c r="J163" s="973">
        <v>1.4633874076400002</v>
      </c>
      <c r="L163" s="990">
        <v>45163</v>
      </c>
      <c r="M163" s="969">
        <v>72689.234335899993</v>
      </c>
      <c r="N163" s="969">
        <v>92607.900000000009</v>
      </c>
      <c r="O163" s="974">
        <v>1563.9609204507121</v>
      </c>
      <c r="Q163" s="967">
        <v>45184</v>
      </c>
      <c r="R163" s="966">
        <v>55900</v>
      </c>
      <c r="S163" s="971">
        <v>0.48506052217383999</v>
      </c>
      <c r="T163" s="969">
        <v>-66.1062084</v>
      </c>
      <c r="U163" s="966">
        <v>1068.6600000000001</v>
      </c>
      <c r="V163" s="966">
        <v>550.79</v>
      </c>
      <c r="W163" s="971">
        <f t="shared" si="2"/>
        <v>-0.12002071279434993</v>
      </c>
      <c r="Y163" s="967">
        <v>45254</v>
      </c>
      <c r="Z163" s="974">
        <f ca="1">H113*Valuation_Senario!$L$372</f>
        <v>168.27048762999999</v>
      </c>
      <c r="AA163" s="973">
        <v>81</v>
      </c>
      <c r="AM163" s="967">
        <v>45184</v>
      </c>
      <c r="AN163" s="974">
        <v>1562.6416730400001</v>
      </c>
      <c r="AO163" s="38">
        <v>0.48506052217383999</v>
      </c>
      <c r="AS163" s="967">
        <v>45163</v>
      </c>
      <c r="AT163" s="974">
        <v>72689.234335899993</v>
      </c>
      <c r="AU163" s="974">
        <v>92607.900000000009</v>
      </c>
      <c r="AV163" s="974">
        <v>1563.9609204507121</v>
      </c>
    </row>
    <row r="164" spans="1:48">
      <c r="A164" s="966">
        <v>157</v>
      </c>
      <c r="B164" s="967">
        <v>45300</v>
      </c>
      <c r="C164" s="966">
        <v>42700</v>
      </c>
      <c r="D164" s="966">
        <v>45.804920000000003</v>
      </c>
      <c r="E164" s="966">
        <v>85.191069999999996</v>
      </c>
      <c r="F164" s="966">
        <v>102613.18</v>
      </c>
      <c r="G164" s="966">
        <v>62444.411167600003</v>
      </c>
      <c r="H164" s="974">
        <v>475.92</v>
      </c>
      <c r="I164" s="966">
        <v>53.62</v>
      </c>
      <c r="J164" s="973">
        <v>1.46338785054</v>
      </c>
      <c r="L164" s="990">
        <v>45166</v>
      </c>
      <c r="M164" s="969">
        <v>73566.770364099997</v>
      </c>
      <c r="N164" s="969">
        <v>92607.900000000009</v>
      </c>
      <c r="O164" s="974">
        <v>1563.9595977308657</v>
      </c>
      <c r="Q164" s="967">
        <v>45183</v>
      </c>
      <c r="R164" s="966">
        <v>57300</v>
      </c>
      <c r="S164" s="971">
        <v>0.48671420298857998</v>
      </c>
      <c r="T164" s="969">
        <v>-39.386150000000001</v>
      </c>
      <c r="U164" s="966">
        <v>1068.6600000000001</v>
      </c>
      <c r="V164" s="966">
        <v>602.27</v>
      </c>
      <c r="W164" s="971">
        <f t="shared" si="2"/>
        <v>-6.5396167831703392E-2</v>
      </c>
      <c r="Y164" s="967">
        <v>45253</v>
      </c>
      <c r="Z164" s="974">
        <f ca="1">H114*Valuation_Senario!$L$372</f>
        <v>168.27048762999999</v>
      </c>
      <c r="AA164" s="973">
        <v>78.38</v>
      </c>
      <c r="AM164" s="967">
        <v>45183</v>
      </c>
      <c r="AN164" s="974">
        <v>1562.6416730400001</v>
      </c>
      <c r="AO164" s="38">
        <v>0.48671420298857998</v>
      </c>
      <c r="AS164" s="967">
        <v>45166</v>
      </c>
      <c r="AT164" s="974">
        <v>73566.770364099997</v>
      </c>
      <c r="AU164" s="974">
        <v>92607.900000000009</v>
      </c>
      <c r="AV164" s="974">
        <v>1563.9595977308657</v>
      </c>
    </row>
    <row r="165" spans="1:48">
      <c r="A165" s="966">
        <v>158</v>
      </c>
      <c r="B165" s="967">
        <v>45299</v>
      </c>
      <c r="C165" s="966">
        <v>43200</v>
      </c>
      <c r="D165" s="966">
        <v>78.077690000000004</v>
      </c>
      <c r="E165" s="966">
        <v>157.07764</v>
      </c>
      <c r="F165" s="966">
        <v>102905.7</v>
      </c>
      <c r="G165" s="966">
        <v>63175.610361599996</v>
      </c>
      <c r="H165" s="974">
        <v>475.92</v>
      </c>
      <c r="I165" s="966">
        <v>53.81</v>
      </c>
      <c r="J165" s="973">
        <v>1.46338829344</v>
      </c>
      <c r="L165" s="990">
        <v>45167</v>
      </c>
      <c r="M165" s="969">
        <v>73859.282373499998</v>
      </c>
      <c r="N165" s="969">
        <v>92607.900000000009</v>
      </c>
      <c r="O165" s="974">
        <v>1563.9582750003328</v>
      </c>
      <c r="Q165" s="967">
        <v>45182</v>
      </c>
      <c r="R165" s="966">
        <v>57500</v>
      </c>
      <c r="S165" s="971">
        <v>0.4865015441451</v>
      </c>
      <c r="T165" s="969">
        <v>-78.999949999999998</v>
      </c>
      <c r="U165" s="966">
        <v>1068.6600000000001</v>
      </c>
      <c r="V165" s="966">
        <v>928.96</v>
      </c>
      <c r="W165" s="971">
        <f t="shared" si="2"/>
        <v>-8.5041282724767478E-2</v>
      </c>
      <c r="Y165" s="967">
        <v>45252</v>
      </c>
      <c r="Z165" s="974">
        <f ca="1">H115*Valuation_Senario!$L$372</f>
        <v>168.27048762999999</v>
      </c>
      <c r="AA165" s="973">
        <v>83.63</v>
      </c>
      <c r="AM165" s="967">
        <v>45182</v>
      </c>
      <c r="AN165" s="974">
        <v>1562.6416730400001</v>
      </c>
      <c r="AO165" s="38">
        <v>0.4865015441451</v>
      </c>
      <c r="AS165" s="967">
        <v>45167</v>
      </c>
      <c r="AT165" s="974">
        <v>73859.282373499998</v>
      </c>
      <c r="AU165" s="974">
        <v>92607.900000000009</v>
      </c>
      <c r="AV165" s="974">
        <v>1563.9582750003328</v>
      </c>
    </row>
    <row r="166" spans="1:48">
      <c r="A166" s="966">
        <v>159</v>
      </c>
      <c r="B166" s="967">
        <v>45296</v>
      </c>
      <c r="C166" s="966">
        <v>43850</v>
      </c>
      <c r="D166" s="966">
        <v>20.201518100000001</v>
      </c>
      <c r="E166" s="966">
        <v>26.54261</v>
      </c>
      <c r="F166" s="966">
        <v>100419.34</v>
      </c>
      <c r="G166" s="966">
        <v>64126.169313799997</v>
      </c>
      <c r="H166" s="974">
        <v>475.92</v>
      </c>
      <c r="I166" s="966">
        <v>52.22</v>
      </c>
      <c r="J166" s="973">
        <v>1.46338962214</v>
      </c>
      <c r="L166" s="990">
        <v>45168</v>
      </c>
      <c r="M166" s="969">
        <v>75614.354429900006</v>
      </c>
      <c r="N166" s="969">
        <v>92607.900000000009</v>
      </c>
      <c r="O166" s="974">
        <v>1563.9543068194209</v>
      </c>
      <c r="Q166" s="967">
        <v>45181</v>
      </c>
      <c r="R166" s="966">
        <v>55800</v>
      </c>
      <c r="S166" s="971">
        <v>0.48643594107860999</v>
      </c>
      <c r="T166" s="969">
        <v>-6.3410919000000003</v>
      </c>
      <c r="U166" s="966">
        <v>1068.6600000000001</v>
      </c>
      <c r="V166" s="966">
        <v>263.52999999999997</v>
      </c>
      <c r="W166" s="971">
        <f t="shared" si="2"/>
        <v>-2.4062125374720151E-2</v>
      </c>
      <c r="Y166" s="967">
        <v>45251</v>
      </c>
      <c r="Z166" s="974">
        <f ca="1">H116*Valuation_Senario!$L$372</f>
        <v>168.27048762999999</v>
      </c>
      <c r="AA166" s="973">
        <v>85.94</v>
      </c>
      <c r="AM166" s="967">
        <v>45181</v>
      </c>
      <c r="AN166" s="974">
        <v>1562.6416730400001</v>
      </c>
      <c r="AO166" s="38">
        <v>0.48643594107860999</v>
      </c>
      <c r="AS166" s="967">
        <v>45168</v>
      </c>
      <c r="AT166" s="974">
        <v>75614.354429900006</v>
      </c>
      <c r="AU166" s="974">
        <v>92607.900000000009</v>
      </c>
      <c r="AV166" s="974">
        <v>1563.9543068194209</v>
      </c>
    </row>
    <row r="167" spans="1:48">
      <c r="A167" s="966">
        <v>160</v>
      </c>
      <c r="B167" s="967">
        <v>45295</v>
      </c>
      <c r="C167" s="966">
        <v>43200</v>
      </c>
      <c r="D167" s="966">
        <v>128.56242570000001</v>
      </c>
      <c r="E167" s="966">
        <v>116.03448830000001</v>
      </c>
      <c r="F167" s="966">
        <v>98518.02</v>
      </c>
      <c r="G167" s="966">
        <v>63175.610361599996</v>
      </c>
      <c r="H167" s="974">
        <v>475.92</v>
      </c>
      <c r="I167" s="966">
        <v>51</v>
      </c>
      <c r="J167" s="973">
        <v>1.46339006504</v>
      </c>
      <c r="L167" s="990">
        <v>45169</v>
      </c>
      <c r="M167" s="969">
        <v>77369.426486299999</v>
      </c>
      <c r="N167" s="969">
        <v>92607.900000000009</v>
      </c>
      <c r="O167" s="974">
        <v>1563.9529840888883</v>
      </c>
      <c r="Q167" s="967">
        <v>45180</v>
      </c>
      <c r="R167" s="966">
        <v>54500</v>
      </c>
      <c r="S167" s="971">
        <v>0.48716456480779002</v>
      </c>
      <c r="T167" s="969">
        <v>12.527937400000001</v>
      </c>
      <c r="U167" s="966">
        <v>1068.6600000000001</v>
      </c>
      <c r="V167" s="966">
        <v>503.99</v>
      </c>
      <c r="W167" s="971">
        <f t="shared" si="2"/>
        <v>2.4857511855393956E-2</v>
      </c>
      <c r="Y167" s="967">
        <v>45250</v>
      </c>
      <c r="Z167" s="974">
        <f ca="1">H117*Valuation_Senario!$L$372</f>
        <v>168.27048762999999</v>
      </c>
      <c r="AA167" s="973">
        <v>85.2</v>
      </c>
      <c r="AM167" s="967">
        <v>45180</v>
      </c>
      <c r="AN167" s="974">
        <v>1562.6416730400001</v>
      </c>
      <c r="AO167" s="38">
        <v>0.48716456480779002</v>
      </c>
      <c r="AS167" s="967">
        <v>45169</v>
      </c>
      <c r="AT167" s="974">
        <v>77369.426486299999</v>
      </c>
      <c r="AU167" s="974">
        <v>92607.900000000009</v>
      </c>
      <c r="AV167" s="974">
        <v>1563.9529840888883</v>
      </c>
    </row>
    <row r="168" spans="1:48">
      <c r="A168" s="966">
        <v>161</v>
      </c>
      <c r="B168" s="967">
        <v>45294</v>
      </c>
      <c r="C168" s="966">
        <v>43200</v>
      </c>
      <c r="D168" s="966">
        <v>91.237997199999995</v>
      </c>
      <c r="E168" s="966">
        <v>78.59751</v>
      </c>
      <c r="F168" s="966">
        <v>99980.58</v>
      </c>
      <c r="G168" s="966">
        <v>63175.610361599996</v>
      </c>
      <c r="H168" s="974">
        <v>475.92</v>
      </c>
      <c r="I168" s="966">
        <v>51.93</v>
      </c>
      <c r="J168" s="973">
        <v>1.46339050795</v>
      </c>
      <c r="L168" s="990">
        <v>45174</v>
      </c>
      <c r="M168" s="969">
        <v>78685.730528600005</v>
      </c>
      <c r="N168" s="969">
        <v>92607.900000000009</v>
      </c>
      <c r="O168" s="974">
        <v>1563.9662963411688</v>
      </c>
      <c r="Q168" s="967">
        <v>45177</v>
      </c>
      <c r="R168" s="966">
        <v>55500</v>
      </c>
      <c r="S168" s="971">
        <v>0.48611650931856998</v>
      </c>
      <c r="T168" s="969">
        <v>12.640487200000001</v>
      </c>
      <c r="U168" s="966">
        <v>1068.6500000000001</v>
      </c>
      <c r="V168" s="966">
        <v>488.92</v>
      </c>
      <c r="W168" s="971">
        <f t="shared" si="2"/>
        <v>2.5853896752024871E-2</v>
      </c>
      <c r="Y168" s="967">
        <v>45247</v>
      </c>
      <c r="Z168" s="974">
        <f ca="1">H118*Valuation_Senario!$L$372</f>
        <v>168.27048762999999</v>
      </c>
      <c r="AA168" s="973">
        <v>86.99</v>
      </c>
      <c r="AM168" s="967">
        <v>45177</v>
      </c>
      <c r="AN168" s="974">
        <v>1562.6270506000003</v>
      </c>
      <c r="AO168" s="38">
        <v>0.48611650931856998</v>
      </c>
      <c r="AS168" s="967">
        <v>45174</v>
      </c>
      <c r="AT168" s="974">
        <v>78685.730528600005</v>
      </c>
      <c r="AU168" s="974">
        <v>92607.900000000009</v>
      </c>
      <c r="AV168" s="974">
        <v>1563.9662963411688</v>
      </c>
    </row>
    <row r="169" spans="1:48">
      <c r="A169" s="966">
        <v>162</v>
      </c>
      <c r="B169" s="967">
        <v>45293</v>
      </c>
      <c r="C169" s="966">
        <v>42450</v>
      </c>
      <c r="D169" s="966">
        <v>65.904658600000005</v>
      </c>
      <c r="E169" s="966">
        <v>26.749812599999998</v>
      </c>
      <c r="F169" s="966">
        <v>99249.3</v>
      </c>
      <c r="G169" s="966">
        <v>62078.811570600003</v>
      </c>
      <c r="H169" s="974">
        <v>475.92</v>
      </c>
      <c r="I169" s="966">
        <v>51.47</v>
      </c>
      <c r="J169" s="973">
        <v>1.4633909508499998</v>
      </c>
      <c r="L169" s="990">
        <v>45175</v>
      </c>
      <c r="M169" s="969">
        <v>78685.730528600005</v>
      </c>
      <c r="N169" s="969">
        <v>92607.900000000009</v>
      </c>
      <c r="O169" s="974">
        <v>1563.9649735982582</v>
      </c>
      <c r="Q169" s="967">
        <v>45176</v>
      </c>
      <c r="R169" s="966">
        <v>55000</v>
      </c>
      <c r="S169" s="971">
        <v>0.48512738602298999</v>
      </c>
      <c r="T169" s="969">
        <v>39.154845999999999</v>
      </c>
      <c r="U169" s="966">
        <v>1068.6500000000001</v>
      </c>
      <c r="V169" s="966">
        <v>337.92</v>
      </c>
      <c r="W169" s="971">
        <f t="shared" si="2"/>
        <v>0.11587016453598484</v>
      </c>
      <c r="Y169" s="967">
        <v>45246</v>
      </c>
      <c r="Z169" s="974">
        <f ca="1">H119*Valuation_Senario!$L$372</f>
        <v>168.27048762999999</v>
      </c>
      <c r="AA169" s="973">
        <v>87.2</v>
      </c>
      <c r="AM169" s="967">
        <v>45176</v>
      </c>
      <c r="AN169" s="974">
        <v>1562.6270506000003</v>
      </c>
      <c r="AO169" s="38">
        <v>0.48512738602298999</v>
      </c>
      <c r="AS169" s="967">
        <v>45175</v>
      </c>
      <c r="AT169" s="974">
        <v>78685.730528600005</v>
      </c>
      <c r="AU169" s="974">
        <v>92607.900000000009</v>
      </c>
      <c r="AV169" s="974">
        <v>1563.9649735982582</v>
      </c>
    </row>
    <row r="170" spans="1:48">
      <c r="A170" s="966">
        <v>163</v>
      </c>
      <c r="B170" s="967">
        <v>45289</v>
      </c>
      <c r="C170" s="966">
        <v>42800</v>
      </c>
      <c r="D170" s="966">
        <v>28.353826399999999</v>
      </c>
      <c r="E170" s="966">
        <v>25.049764400000001</v>
      </c>
      <c r="F170" s="966">
        <v>99249.3</v>
      </c>
      <c r="G170" s="966">
        <v>62590.651006400003</v>
      </c>
      <c r="H170" s="974">
        <v>475.92</v>
      </c>
      <c r="I170" s="966">
        <v>51.47</v>
      </c>
      <c r="J170" s="973">
        <v>1.4633927224500001</v>
      </c>
      <c r="L170" s="990">
        <v>45176</v>
      </c>
      <c r="M170" s="969">
        <v>79417.010552099993</v>
      </c>
      <c r="N170" s="969">
        <v>92607.900000000009</v>
      </c>
      <c r="O170" s="974">
        <v>1563.9583599050786</v>
      </c>
      <c r="Q170" s="967">
        <v>45175</v>
      </c>
      <c r="R170" s="966">
        <v>55000</v>
      </c>
      <c r="S170" s="971">
        <v>0.48462877688700001</v>
      </c>
      <c r="T170" s="969">
        <v>3.3040620000000001</v>
      </c>
      <c r="U170" s="966">
        <v>1068.6500000000001</v>
      </c>
      <c r="V170" s="966">
        <v>289.62</v>
      </c>
      <c r="W170" s="971">
        <f t="shared" si="2"/>
        <v>1.1408266003729024E-2</v>
      </c>
      <c r="Y170" s="967">
        <v>45245</v>
      </c>
      <c r="Z170" s="974">
        <f ca="1">H120*Valuation_Senario!$L$372</f>
        <v>168.27048762999999</v>
      </c>
      <c r="AA170" s="973">
        <v>88.04</v>
      </c>
      <c r="AM170" s="967">
        <v>45175</v>
      </c>
      <c r="AN170" s="974">
        <v>1562.6270506000003</v>
      </c>
      <c r="AO170" s="38">
        <v>0.48462877688700001</v>
      </c>
      <c r="AS170" s="967">
        <v>45176</v>
      </c>
      <c r="AT170" s="974">
        <v>79417.010552099993</v>
      </c>
      <c r="AU170" s="974">
        <v>92607.900000000009</v>
      </c>
      <c r="AV170" s="974">
        <v>1563.9583599050786</v>
      </c>
    </row>
    <row r="171" spans="1:48">
      <c r="A171" s="966">
        <v>164</v>
      </c>
      <c r="B171" s="967">
        <v>45288</v>
      </c>
      <c r="C171" s="966">
        <v>43050</v>
      </c>
      <c r="D171" s="966">
        <v>53.553693000000003</v>
      </c>
      <c r="E171" s="966">
        <v>25.871839999999999</v>
      </c>
      <c r="F171" s="966">
        <v>98225.5</v>
      </c>
      <c r="G171" s="966">
        <v>62956.250603400003</v>
      </c>
      <c r="H171" s="974">
        <v>475.92</v>
      </c>
      <c r="I171" s="966">
        <v>50.81</v>
      </c>
      <c r="J171" s="973">
        <v>1.4633931653499999</v>
      </c>
      <c r="L171" s="990">
        <v>45177</v>
      </c>
      <c r="M171" s="969">
        <v>80440.802584999998</v>
      </c>
      <c r="N171" s="969">
        <v>92607.900000000009</v>
      </c>
      <c r="O171" s="974">
        <v>1563.957037162168</v>
      </c>
      <c r="Q171" s="967">
        <v>45174</v>
      </c>
      <c r="R171" s="966">
        <v>54300</v>
      </c>
      <c r="S171" s="971">
        <v>0.48469867686481999</v>
      </c>
      <c r="T171" s="969">
        <v>27.681853</v>
      </c>
      <c r="U171" s="966">
        <v>1068.6500000000001</v>
      </c>
      <c r="V171" s="966">
        <v>454.86</v>
      </c>
      <c r="W171" s="971">
        <f t="shared" si="2"/>
        <v>6.0857962889680338E-2</v>
      </c>
      <c r="Y171" s="967">
        <v>45244</v>
      </c>
      <c r="Z171" s="974">
        <f ca="1">H121*Valuation_Senario!$L$372</f>
        <v>168.27048762999999</v>
      </c>
      <c r="AA171" s="973">
        <v>87.2</v>
      </c>
      <c r="AM171" s="967">
        <v>45174</v>
      </c>
      <c r="AN171" s="974">
        <v>1562.6270506000003</v>
      </c>
      <c r="AO171" s="38">
        <v>0.48469867686481999</v>
      </c>
      <c r="AS171" s="967">
        <v>45177</v>
      </c>
      <c r="AT171" s="974">
        <v>80440.802584999998</v>
      </c>
      <c r="AU171" s="974">
        <v>92607.900000000009</v>
      </c>
      <c r="AV171" s="974">
        <v>1563.957037162168</v>
      </c>
    </row>
    <row r="172" spans="1:48">
      <c r="A172" s="966">
        <v>165</v>
      </c>
      <c r="B172" s="967">
        <v>45287</v>
      </c>
      <c r="C172" s="966">
        <v>42850</v>
      </c>
      <c r="D172" s="966">
        <v>75.065708700000002</v>
      </c>
      <c r="E172" s="966">
        <v>51.486719999999998</v>
      </c>
      <c r="F172" s="966">
        <v>97494.22</v>
      </c>
      <c r="G172" s="966">
        <v>62663.770925800003</v>
      </c>
      <c r="H172" s="974">
        <v>475.92</v>
      </c>
      <c r="I172" s="966">
        <v>50.34</v>
      </c>
      <c r="J172" s="973">
        <v>1.4633936082500001</v>
      </c>
      <c r="L172" s="990">
        <v>45180</v>
      </c>
      <c r="M172" s="969">
        <v>80440.802584999998</v>
      </c>
      <c r="N172" s="969">
        <v>92607.900000000009</v>
      </c>
      <c r="O172" s="974">
        <v>1563.9557144192574</v>
      </c>
      <c r="Q172" s="967">
        <v>45169</v>
      </c>
      <c r="R172" s="966">
        <v>53800</v>
      </c>
      <c r="S172" s="971">
        <v>0.48421940792995</v>
      </c>
      <c r="T172" s="969">
        <v>23.5789887</v>
      </c>
      <c r="U172" s="966">
        <v>1068.6500000000001</v>
      </c>
      <c r="V172" s="966">
        <v>307.37</v>
      </c>
      <c r="W172" s="971">
        <f t="shared" si="2"/>
        <v>7.6712069167452906E-2</v>
      </c>
      <c r="Y172" s="967">
        <v>45243</v>
      </c>
      <c r="Z172" s="974">
        <f ca="1">H122*Valuation_Senario!$L$372</f>
        <v>168.27048762999999</v>
      </c>
      <c r="AA172" s="973">
        <v>84.05</v>
      </c>
      <c r="AM172" s="967">
        <v>45169</v>
      </c>
      <c r="AN172" s="974">
        <v>1562.6270506000003</v>
      </c>
      <c r="AO172" s="38">
        <v>0.48421940792995</v>
      </c>
      <c r="AS172" s="967">
        <v>45180</v>
      </c>
      <c r="AT172" s="974">
        <v>80440.802584999998</v>
      </c>
      <c r="AU172" s="974">
        <v>92607.900000000009</v>
      </c>
      <c r="AV172" s="974">
        <v>1563.9557144192574</v>
      </c>
    </row>
    <row r="173" spans="1:48">
      <c r="A173" s="966">
        <v>166</v>
      </c>
      <c r="B173" s="967">
        <v>45286</v>
      </c>
      <c r="C173" s="966">
        <v>42700</v>
      </c>
      <c r="D173" s="966">
        <v>73.109465</v>
      </c>
      <c r="E173" s="966">
        <v>26.159175999999999</v>
      </c>
      <c r="F173" s="966">
        <v>97494.22</v>
      </c>
      <c r="G173" s="966">
        <v>62444.411167600003</v>
      </c>
      <c r="H173" s="974">
        <v>475.92</v>
      </c>
      <c r="I173" s="966">
        <v>50.34</v>
      </c>
      <c r="J173" s="973">
        <v>1.4633940511600001</v>
      </c>
      <c r="L173" s="990">
        <v>45181</v>
      </c>
      <c r="M173" s="969">
        <v>81172.082608500001</v>
      </c>
      <c r="N173" s="969">
        <v>92607.900000000009</v>
      </c>
      <c r="O173" s="974">
        <v>1563.9543916870334</v>
      </c>
      <c r="Q173" s="967">
        <v>45168</v>
      </c>
      <c r="R173" s="966">
        <v>53800</v>
      </c>
      <c r="S173" s="971">
        <v>0.48435591413359003</v>
      </c>
      <c r="T173" s="969">
        <v>46.950288999999998</v>
      </c>
      <c r="U173" s="966">
        <v>1068.6500000000001</v>
      </c>
      <c r="V173" s="966">
        <v>404.88</v>
      </c>
      <c r="W173" s="971">
        <f t="shared" si="2"/>
        <v>0.11596099832049002</v>
      </c>
      <c r="Y173" s="967">
        <v>45240</v>
      </c>
      <c r="Z173" s="974">
        <f ca="1">H123*Valuation_Senario!$L$372</f>
        <v>168.27048762999999</v>
      </c>
      <c r="AA173" s="973">
        <v>82.79</v>
      </c>
      <c r="AM173" s="967">
        <v>45168</v>
      </c>
      <c r="AN173" s="974">
        <v>1562.6270506000003</v>
      </c>
      <c r="AO173" s="38">
        <v>0.48435591413359003</v>
      </c>
      <c r="AS173" s="967">
        <v>45181</v>
      </c>
      <c r="AT173" s="974">
        <v>81172.082608500001</v>
      </c>
      <c r="AU173" s="974">
        <v>92607.900000000009</v>
      </c>
      <c r="AV173" s="974">
        <v>1563.9543916870334</v>
      </c>
    </row>
    <row r="174" spans="1:48">
      <c r="A174" s="966">
        <v>167</v>
      </c>
      <c r="B174" s="967">
        <v>45285</v>
      </c>
      <c r="C174" s="966">
        <v>42650</v>
      </c>
      <c r="D174" s="966">
        <v>66.477146599999998</v>
      </c>
      <c r="E174" s="966">
        <v>57.133960000000002</v>
      </c>
      <c r="F174" s="966">
        <v>96177.919999999998</v>
      </c>
      <c r="G174" s="966">
        <v>62371.291248200003</v>
      </c>
      <c r="H174" s="974">
        <v>475.92</v>
      </c>
      <c r="I174" s="966">
        <v>49.5</v>
      </c>
      <c r="J174" s="973">
        <v>1.4633944940599999</v>
      </c>
      <c r="L174" s="990">
        <v>45182</v>
      </c>
      <c r="M174" s="969">
        <v>79709.522561499994</v>
      </c>
      <c r="N174" s="969">
        <v>92607.900000000009</v>
      </c>
      <c r="O174" s="974">
        <v>1563.9650582925835</v>
      </c>
      <c r="Q174" s="967">
        <v>45167</v>
      </c>
      <c r="R174" s="966">
        <v>52900</v>
      </c>
      <c r="S174" s="975">
        <v>0.48554579913105</v>
      </c>
      <c r="T174" s="969">
        <v>9.3431865999999992</v>
      </c>
      <c r="U174" s="966">
        <v>1068.6400000000001</v>
      </c>
      <c r="V174" s="966">
        <v>435.05</v>
      </c>
      <c r="W174" s="971">
        <f t="shared" si="2"/>
        <v>2.1476121365360302E-2</v>
      </c>
      <c r="Y174" s="967">
        <v>45239</v>
      </c>
      <c r="Z174" s="974">
        <f ca="1">H124*Valuation_Senario!$L$372</f>
        <v>168.27048762999999</v>
      </c>
      <c r="AA174" s="973">
        <v>84.68</v>
      </c>
      <c r="AM174" s="967">
        <v>45167</v>
      </c>
      <c r="AN174" s="974">
        <v>1562.6124281600003</v>
      </c>
      <c r="AO174" s="977">
        <v>0.48554579913105</v>
      </c>
      <c r="AS174" s="967">
        <v>45182</v>
      </c>
      <c r="AT174" s="974">
        <v>79709.522561499994</v>
      </c>
      <c r="AU174" s="974">
        <v>92607.900000000009</v>
      </c>
      <c r="AV174" s="974">
        <v>1563.9650582925835</v>
      </c>
    </row>
    <row r="175" spans="1:48">
      <c r="A175" s="966">
        <v>168</v>
      </c>
      <c r="B175" s="967">
        <v>45282</v>
      </c>
      <c r="C175" s="966">
        <v>42350</v>
      </c>
      <c r="D175" s="966">
        <v>52.795844500000001</v>
      </c>
      <c r="E175" s="966">
        <v>148.94237000000001</v>
      </c>
      <c r="F175" s="966">
        <v>94422.85</v>
      </c>
      <c r="G175" s="966">
        <v>61932.571731800002</v>
      </c>
      <c r="H175" s="974">
        <v>475.92</v>
      </c>
      <c r="I175" s="966">
        <v>48.38</v>
      </c>
      <c r="J175" s="973">
        <v>1.4633958227599999</v>
      </c>
      <c r="L175" s="990">
        <v>45183</v>
      </c>
      <c r="M175" s="969">
        <v>81610.850622600003</v>
      </c>
      <c r="N175" s="969">
        <v>92607.900000000009</v>
      </c>
      <c r="O175" s="974">
        <v>1563.9637355372954</v>
      </c>
      <c r="Q175" s="967">
        <v>45166</v>
      </c>
      <c r="R175" s="966">
        <v>51700</v>
      </c>
      <c r="S175" s="971">
        <v>0.48660724420054002</v>
      </c>
      <c r="T175" s="969">
        <v>-96.146525499999996</v>
      </c>
      <c r="U175" s="966">
        <v>1068.6400000000001</v>
      </c>
      <c r="V175" s="966">
        <v>435.59</v>
      </c>
      <c r="W175" s="971">
        <f t="shared" si="2"/>
        <v>-0.22072711839114764</v>
      </c>
      <c r="Y175" s="967">
        <v>45238</v>
      </c>
      <c r="Z175" s="974">
        <f ca="1">H125*Valuation_Senario!$L$372</f>
        <v>168.27048762999999</v>
      </c>
      <c r="AA175" s="973">
        <v>83.21</v>
      </c>
      <c r="AM175" s="967">
        <v>45166</v>
      </c>
      <c r="AN175" s="974">
        <v>1562.6124281600003</v>
      </c>
      <c r="AO175" s="38">
        <v>0.48660724420054002</v>
      </c>
      <c r="AS175" s="967">
        <v>45183</v>
      </c>
      <c r="AT175" s="974">
        <v>81610.850622600003</v>
      </c>
      <c r="AU175" s="974">
        <v>92607.900000000009</v>
      </c>
      <c r="AV175" s="974">
        <v>1563.9637355372954</v>
      </c>
    </row>
    <row r="176" spans="1:48">
      <c r="A176" s="966">
        <v>169</v>
      </c>
      <c r="B176" s="967">
        <v>45281</v>
      </c>
      <c r="C176" s="966">
        <v>42650</v>
      </c>
      <c r="D176" s="966">
        <v>15.569274</v>
      </c>
      <c r="E176" s="966">
        <v>147.81088</v>
      </c>
      <c r="F176" s="966">
        <v>92667.78</v>
      </c>
      <c r="G176" s="966">
        <v>62371.291248200003</v>
      </c>
      <c r="H176" s="974">
        <v>475.92</v>
      </c>
      <c r="I176" s="966">
        <v>47.26</v>
      </c>
      <c r="J176" s="973">
        <v>1.4633962656600001</v>
      </c>
      <c r="L176" s="990">
        <v>45184</v>
      </c>
      <c r="M176" s="969">
        <v>84097.202702499999</v>
      </c>
      <c r="N176" s="969">
        <v>92607.900000000009</v>
      </c>
      <c r="O176" s="974">
        <v>1563.9624127926938</v>
      </c>
      <c r="Q176" s="967">
        <v>45163</v>
      </c>
      <c r="R176" s="966">
        <v>50500</v>
      </c>
      <c r="S176" s="971">
        <v>0.48689575090928999</v>
      </c>
      <c r="T176" s="969">
        <v>-132.24160599999999</v>
      </c>
      <c r="U176" s="966">
        <v>1068.6400000000001</v>
      </c>
      <c r="V176" s="966">
        <v>361.36</v>
      </c>
      <c r="W176" s="971">
        <f t="shared" si="2"/>
        <v>-0.36595529665707321</v>
      </c>
      <c r="Y176" s="967">
        <v>45237</v>
      </c>
      <c r="Z176" s="974">
        <f ca="1">H126*Valuation_Senario!$L$372</f>
        <v>168.27048762999999</v>
      </c>
      <c r="AA176" s="973">
        <v>80.27</v>
      </c>
      <c r="AM176" s="967">
        <v>45163</v>
      </c>
      <c r="AN176" s="974">
        <v>1562.6124281600003</v>
      </c>
      <c r="AO176" s="38">
        <v>0.48689575090928999</v>
      </c>
      <c r="AS176" s="967">
        <v>45184</v>
      </c>
      <c r="AT176" s="974">
        <v>84097.202702499999</v>
      </c>
      <c r="AU176" s="974">
        <v>92607.900000000009</v>
      </c>
      <c r="AV176" s="974">
        <v>1563.9624127926938</v>
      </c>
    </row>
    <row r="177" spans="1:48">
      <c r="A177" s="966">
        <v>170</v>
      </c>
      <c r="B177" s="967">
        <v>45280</v>
      </c>
      <c r="C177" s="966">
        <v>42400</v>
      </c>
      <c r="D177" s="966">
        <v>41.224815300000003</v>
      </c>
      <c r="E177" s="966">
        <v>107.52132</v>
      </c>
      <c r="F177" s="966">
        <v>92375.26</v>
      </c>
      <c r="G177" s="966">
        <v>62005.691651200003</v>
      </c>
      <c r="H177" s="974">
        <v>475.92</v>
      </c>
      <c r="I177" s="966">
        <v>47.07</v>
      </c>
      <c r="J177" s="973">
        <v>1.4633967085599999</v>
      </c>
      <c r="L177" s="990">
        <v>45187</v>
      </c>
      <c r="M177" s="969">
        <v>83804.690693099998</v>
      </c>
      <c r="N177" s="969">
        <v>92607.900000000009</v>
      </c>
      <c r="O177" s="974">
        <v>1563.9610900374055</v>
      </c>
      <c r="Q177" s="967">
        <v>45162</v>
      </c>
      <c r="R177" s="966">
        <v>50300</v>
      </c>
      <c r="S177" s="971">
        <v>0.48755714451315002</v>
      </c>
      <c r="T177" s="969">
        <v>-66.2965047</v>
      </c>
      <c r="U177" s="966">
        <v>1068.6400000000001</v>
      </c>
      <c r="V177" s="966">
        <v>333.25</v>
      </c>
      <c r="W177" s="971">
        <f t="shared" si="2"/>
        <v>-0.19893924891222806</v>
      </c>
      <c r="Y177" s="967">
        <v>45236</v>
      </c>
      <c r="Z177" s="974">
        <f ca="1">H127*Valuation_Senario!$L$372</f>
        <v>168.27048762999999</v>
      </c>
      <c r="AA177" s="973">
        <v>79.95</v>
      </c>
      <c r="AM177" s="967">
        <v>45162</v>
      </c>
      <c r="AN177" s="974">
        <v>1562.6124281600003</v>
      </c>
      <c r="AO177" s="38">
        <v>0.48755714451315002</v>
      </c>
      <c r="AS177" s="967">
        <v>45187</v>
      </c>
      <c r="AT177" s="974">
        <v>83804.690693099998</v>
      </c>
      <c r="AU177" s="974">
        <v>92607.900000000009</v>
      </c>
      <c r="AV177" s="974">
        <v>1563.9610900374055</v>
      </c>
    </row>
    <row r="178" spans="1:48">
      <c r="A178" s="966">
        <v>171</v>
      </c>
      <c r="B178" s="967">
        <v>45279</v>
      </c>
      <c r="C178" s="966">
        <v>40650</v>
      </c>
      <c r="D178" s="966">
        <v>63.002804900000001</v>
      </c>
      <c r="E178" s="966">
        <v>74.442192000000006</v>
      </c>
      <c r="F178" s="966">
        <v>91497.73</v>
      </c>
      <c r="G178" s="966">
        <v>59446.4944722</v>
      </c>
      <c r="H178" s="974">
        <v>475.91</v>
      </c>
      <c r="I178" s="966">
        <v>46.51</v>
      </c>
      <c r="J178" s="973">
        <v>1.4633971514699999</v>
      </c>
      <c r="L178" s="990">
        <v>45188</v>
      </c>
      <c r="M178" s="969">
        <v>81757.106627300003</v>
      </c>
      <c r="N178" s="969">
        <v>92607.900000000009</v>
      </c>
      <c r="O178" s="974">
        <v>1563.9597672821176</v>
      </c>
      <c r="Q178" s="967">
        <v>45161</v>
      </c>
      <c r="R178" s="966">
        <v>49700</v>
      </c>
      <c r="S178" s="971">
        <v>0.48890967184146</v>
      </c>
      <c r="T178" s="969">
        <v>-11.439387099999999</v>
      </c>
      <c r="U178" s="966">
        <v>1068.6400000000001</v>
      </c>
      <c r="V178" s="966">
        <v>258.99</v>
      </c>
      <c r="W178" s="971">
        <f t="shared" si="2"/>
        <v>-4.4169223136028411E-2</v>
      </c>
      <c r="Y178" s="967">
        <v>45233</v>
      </c>
      <c r="Z178" s="974">
        <f ca="1">H128*Valuation_Senario!$L$372</f>
        <v>168.27048762999999</v>
      </c>
      <c r="AA178" s="973">
        <v>81.84</v>
      </c>
      <c r="AM178" s="967">
        <v>45161</v>
      </c>
      <c r="AN178" s="974">
        <v>1562.6124281600003</v>
      </c>
      <c r="AO178" s="38">
        <v>0.48890967184146</v>
      </c>
      <c r="AS178" s="967">
        <v>45188</v>
      </c>
      <c r="AT178" s="974">
        <v>81757.106627300003</v>
      </c>
      <c r="AU178" s="974">
        <v>92607.900000000009</v>
      </c>
      <c r="AV178" s="974">
        <v>1563.9597672821176</v>
      </c>
    </row>
    <row r="179" spans="1:48">
      <c r="A179" s="966">
        <v>172</v>
      </c>
      <c r="B179" s="967">
        <v>45278</v>
      </c>
      <c r="C179" s="966">
        <v>39600</v>
      </c>
      <c r="D179" s="966">
        <v>55.924472000000002</v>
      </c>
      <c r="E179" s="966">
        <v>123.41923</v>
      </c>
      <c r="F179" s="966">
        <v>91936.5</v>
      </c>
      <c r="G179" s="966">
        <v>57910.976164799999</v>
      </c>
      <c r="H179" s="974">
        <v>475.91</v>
      </c>
      <c r="I179" s="966">
        <v>46.79</v>
      </c>
      <c r="J179" s="973">
        <v>1.4633975943699999</v>
      </c>
      <c r="L179" s="990">
        <v>45189</v>
      </c>
      <c r="M179" s="969">
        <v>80440.802584999998</v>
      </c>
      <c r="N179" s="969">
        <v>92607.900000000009</v>
      </c>
      <c r="O179" s="974">
        <v>1563.9557990269391</v>
      </c>
      <c r="Q179" s="967">
        <v>45160</v>
      </c>
      <c r="R179" s="966">
        <v>50000</v>
      </c>
      <c r="S179" s="971">
        <v>0.4892868542812</v>
      </c>
      <c r="T179" s="969">
        <v>-67.494758000000004</v>
      </c>
      <c r="U179" s="966">
        <v>1068.6400000000001</v>
      </c>
      <c r="V179" s="966">
        <v>511.62</v>
      </c>
      <c r="W179" s="971">
        <f t="shared" si="2"/>
        <v>-0.13192361127399244</v>
      </c>
      <c r="Y179" s="967">
        <v>45232</v>
      </c>
      <c r="Z179" s="974">
        <f ca="1">H129*Valuation_Senario!$L$372</f>
        <v>168.27048762999999</v>
      </c>
      <c r="AA179" s="973">
        <v>77.75</v>
      </c>
      <c r="AM179" s="967">
        <v>45160</v>
      </c>
      <c r="AN179" s="974">
        <v>1562.6124281600003</v>
      </c>
      <c r="AO179" s="38">
        <v>0.4892868542812</v>
      </c>
      <c r="AS179" s="967">
        <v>45189</v>
      </c>
      <c r="AT179" s="974">
        <v>80440.802584999998</v>
      </c>
      <c r="AU179" s="974">
        <v>92607.900000000009</v>
      </c>
      <c r="AV179" s="974">
        <v>1563.9557990269391</v>
      </c>
    </row>
    <row r="180" spans="1:48">
      <c r="A180" s="966">
        <v>173</v>
      </c>
      <c r="B180" s="967">
        <v>45275</v>
      </c>
      <c r="C180" s="966">
        <v>40750</v>
      </c>
      <c r="D180" s="966">
        <v>46.815890000000003</v>
      </c>
      <c r="E180" s="966">
        <v>134.60035500000001</v>
      </c>
      <c r="F180" s="966">
        <v>90473.94</v>
      </c>
      <c r="G180" s="966">
        <v>59592.734311</v>
      </c>
      <c r="H180" s="974">
        <v>475.91</v>
      </c>
      <c r="I180" s="966">
        <v>45.85</v>
      </c>
      <c r="J180" s="973">
        <v>1.46339892307</v>
      </c>
      <c r="L180" s="990">
        <v>45190</v>
      </c>
      <c r="M180" s="969">
        <v>81172.082608500001</v>
      </c>
      <c r="N180" s="969">
        <v>92607.900000000009</v>
      </c>
      <c r="O180" s="974">
        <v>1563.9544762823377</v>
      </c>
      <c r="Q180" s="967">
        <v>45159</v>
      </c>
      <c r="R180" s="966">
        <v>49000</v>
      </c>
      <c r="S180" s="971">
        <v>0.48922104757610002</v>
      </c>
      <c r="T180" s="969">
        <v>-87.784464999999997</v>
      </c>
      <c r="U180" s="966">
        <v>1068.6400000000001</v>
      </c>
      <c r="V180" s="966">
        <v>392.68</v>
      </c>
      <c r="W180" s="971">
        <f t="shared" si="2"/>
        <v>-0.22355216715900986</v>
      </c>
      <c r="Y180" s="967">
        <v>45231</v>
      </c>
      <c r="Z180" s="974">
        <f ca="1">H130*Valuation_Senario!$L$372</f>
        <v>168.27048762999999</v>
      </c>
      <c r="AA180" s="973">
        <v>73.75</v>
      </c>
      <c r="AM180" s="967">
        <v>45159</v>
      </c>
      <c r="AN180" s="974">
        <v>1562.6124281600003</v>
      </c>
      <c r="AO180" s="38">
        <v>0.48922104757610002</v>
      </c>
      <c r="AS180" s="967">
        <v>45190</v>
      </c>
      <c r="AT180" s="974">
        <v>81172.082608500001</v>
      </c>
      <c r="AU180" s="974">
        <v>92607.900000000009</v>
      </c>
      <c r="AV180" s="974">
        <v>1563.9544762823377</v>
      </c>
    </row>
    <row r="181" spans="1:48">
      <c r="A181" s="966">
        <v>174</v>
      </c>
      <c r="B181" s="967">
        <v>45274</v>
      </c>
      <c r="C181" s="966">
        <v>41600</v>
      </c>
      <c r="D181" s="966">
        <v>55.631565600000002</v>
      </c>
      <c r="E181" s="966">
        <v>85.829435000000004</v>
      </c>
      <c r="F181" s="966">
        <v>92229.01</v>
      </c>
      <c r="G181" s="966">
        <v>60835.772940800001</v>
      </c>
      <c r="H181" s="974">
        <v>475.91</v>
      </c>
      <c r="I181" s="966">
        <v>46.98</v>
      </c>
      <c r="J181" s="973">
        <v>1.46339936597</v>
      </c>
      <c r="L181" s="990">
        <v>45191</v>
      </c>
      <c r="M181" s="969">
        <v>81610.850622600003</v>
      </c>
      <c r="N181" s="969">
        <v>92607.900000000009</v>
      </c>
      <c r="O181" s="974">
        <v>1563.9531535270494</v>
      </c>
      <c r="Q181" s="967">
        <v>45156</v>
      </c>
      <c r="R181" s="966">
        <v>50200</v>
      </c>
      <c r="S181" s="971">
        <v>0.48994239293335001</v>
      </c>
      <c r="T181" s="969">
        <v>-30.197869399999998</v>
      </c>
      <c r="U181" s="966">
        <v>1068.6300000000001</v>
      </c>
      <c r="V181" s="966">
        <v>758.98</v>
      </c>
      <c r="W181" s="971">
        <f t="shared" si="2"/>
        <v>-3.9787437613639356E-2</v>
      </c>
      <c r="Y181" s="967">
        <v>45230</v>
      </c>
      <c r="Z181" s="974">
        <f ca="1">H131*Valuation_Senario!$L$372</f>
        <v>168.27048762999999</v>
      </c>
      <c r="AA181" s="973">
        <v>79.22</v>
      </c>
      <c r="AM181" s="967">
        <v>45156</v>
      </c>
      <c r="AN181" s="974">
        <v>1562.5978057200002</v>
      </c>
      <c r="AO181" s="38">
        <v>0.48994239293335001</v>
      </c>
      <c r="AS181" s="967">
        <v>45191</v>
      </c>
      <c r="AT181" s="974">
        <v>81610.850622600003</v>
      </c>
      <c r="AU181" s="974">
        <v>92607.900000000009</v>
      </c>
      <c r="AV181" s="974">
        <v>1563.9531535270494</v>
      </c>
    </row>
    <row r="182" spans="1:48">
      <c r="A182" s="966">
        <v>175</v>
      </c>
      <c r="B182" s="967">
        <v>45273</v>
      </c>
      <c r="C182" s="966">
        <v>41700</v>
      </c>
      <c r="D182" s="966">
        <v>57.355815</v>
      </c>
      <c r="E182" s="966">
        <v>108.451875</v>
      </c>
      <c r="F182" s="966">
        <v>97640.48</v>
      </c>
      <c r="G182" s="966">
        <v>60982.012779600002</v>
      </c>
      <c r="H182" s="974">
        <v>475.91</v>
      </c>
      <c r="I182" s="966">
        <v>50.44</v>
      </c>
      <c r="J182" s="973">
        <v>1.46339980887</v>
      </c>
      <c r="L182" s="990">
        <v>45194</v>
      </c>
      <c r="M182" s="969">
        <v>79270.754547400007</v>
      </c>
      <c r="N182" s="969">
        <v>92607.900000000009</v>
      </c>
      <c r="O182" s="974">
        <v>1563.9664654715793</v>
      </c>
      <c r="Q182" s="967">
        <v>45155</v>
      </c>
      <c r="R182" s="966">
        <v>53900</v>
      </c>
      <c r="S182" s="971">
        <v>0.48955784601946001</v>
      </c>
      <c r="T182" s="969">
        <v>-51.096060000000001</v>
      </c>
      <c r="U182" s="966">
        <v>1068.6300000000001</v>
      </c>
      <c r="V182" s="966">
        <v>440.62</v>
      </c>
      <c r="W182" s="971">
        <f t="shared" si="2"/>
        <v>-0.11596400526530798</v>
      </c>
      <c r="Y182" s="967">
        <v>45229</v>
      </c>
      <c r="Z182" s="974">
        <f ca="1">H132*Valuation_Senario!$L$372</f>
        <v>168.27048762999999</v>
      </c>
      <c r="AA182" s="973">
        <v>37.9</v>
      </c>
      <c r="AM182" s="967">
        <v>45155</v>
      </c>
      <c r="AN182" s="974">
        <v>1562.5978057200002</v>
      </c>
      <c r="AO182" s="38">
        <v>0.48955784601946001</v>
      </c>
      <c r="AS182" s="967">
        <v>45194</v>
      </c>
      <c r="AT182" s="974">
        <v>79270.754547400007</v>
      </c>
      <c r="AU182" s="974">
        <v>92607.900000000009</v>
      </c>
      <c r="AV182" s="974">
        <v>1563.9664654715793</v>
      </c>
    </row>
    <row r="183" spans="1:48">
      <c r="A183" s="966">
        <v>176</v>
      </c>
      <c r="B183" s="967">
        <v>45272</v>
      </c>
      <c r="C183" s="966">
        <v>42500</v>
      </c>
      <c r="D183" s="966">
        <v>1.78189</v>
      </c>
      <c r="E183" s="966">
        <v>10.400169999999999</v>
      </c>
      <c r="F183" s="966">
        <v>97494.22</v>
      </c>
      <c r="G183" s="966">
        <v>62151.931490000003</v>
      </c>
      <c r="H183" s="974">
        <v>475.91</v>
      </c>
      <c r="I183" s="966">
        <v>50.34</v>
      </c>
      <c r="J183" s="973">
        <v>1.46340025178</v>
      </c>
      <c r="L183" s="990">
        <v>45195</v>
      </c>
      <c r="M183" s="969">
        <v>76199.378448699994</v>
      </c>
      <c r="N183" s="969">
        <v>92607.900000000009</v>
      </c>
      <c r="O183" s="974">
        <v>1563.9651427146005</v>
      </c>
      <c r="Q183" s="967">
        <v>45154</v>
      </c>
      <c r="R183" s="966">
        <v>53800</v>
      </c>
      <c r="S183" s="971">
        <v>0.48986503759569</v>
      </c>
      <c r="T183" s="969">
        <v>-8.6182800000000004</v>
      </c>
      <c r="U183" s="966">
        <v>1068.6300000000001</v>
      </c>
      <c r="V183" s="966">
        <v>277.06</v>
      </c>
      <c r="W183" s="971">
        <f t="shared" si="2"/>
        <v>-3.1106186385620443E-2</v>
      </c>
      <c r="Y183" s="967">
        <v>45226</v>
      </c>
      <c r="Z183" s="974">
        <f ca="1">H133*Valuation_Senario!$L$372</f>
        <v>168.27048762999999</v>
      </c>
      <c r="AA183" s="973">
        <v>39.299999999999997</v>
      </c>
      <c r="AM183" s="967">
        <v>45154</v>
      </c>
      <c r="AN183" s="974">
        <v>1562.5978057200002</v>
      </c>
      <c r="AO183" s="38">
        <v>0.48986503759569</v>
      </c>
      <c r="AS183" s="967">
        <v>45195</v>
      </c>
      <c r="AT183" s="974">
        <v>76199.378448699994</v>
      </c>
      <c r="AU183" s="974">
        <v>92607.900000000009</v>
      </c>
      <c r="AV183" s="974">
        <v>1563.9651427146005</v>
      </c>
    </row>
    <row r="184" spans="1:48">
      <c r="A184" s="966">
        <v>177</v>
      </c>
      <c r="B184" s="967">
        <v>45271</v>
      </c>
      <c r="C184" s="966">
        <v>42500</v>
      </c>
      <c r="D184" s="966">
        <v>46.0324746</v>
      </c>
      <c r="E184" s="966">
        <v>76.925635</v>
      </c>
      <c r="F184" s="966">
        <v>97786.74</v>
      </c>
      <c r="G184" s="966">
        <v>62151.931490000003</v>
      </c>
      <c r="H184" s="974">
        <v>475.91</v>
      </c>
      <c r="I184" s="966">
        <v>50.53</v>
      </c>
      <c r="J184" s="973">
        <v>1.46340069468</v>
      </c>
      <c r="L184" s="990">
        <v>45196</v>
      </c>
      <c r="M184" s="969">
        <v>74590.562397000002</v>
      </c>
      <c r="N184" s="969">
        <v>92607.900000000009</v>
      </c>
      <c r="O184" s="974">
        <v>1563.9611744222891</v>
      </c>
      <c r="Q184" s="967">
        <v>45153</v>
      </c>
      <c r="R184" s="966">
        <v>54000</v>
      </c>
      <c r="S184" s="971">
        <v>0.48999999942597999</v>
      </c>
      <c r="T184" s="969">
        <v>-30.893160399999999</v>
      </c>
      <c r="U184" s="966">
        <v>1068.6300000000001</v>
      </c>
      <c r="V184" s="966">
        <v>491.94</v>
      </c>
      <c r="W184" s="971">
        <f t="shared" si="2"/>
        <v>-6.2798634792860922E-2</v>
      </c>
      <c r="Y184" s="967">
        <v>45225</v>
      </c>
      <c r="Z184" s="974">
        <f ca="1">H134*Valuation_Senario!$L$372</f>
        <v>168.27048762999999</v>
      </c>
      <c r="AA184" s="973">
        <v>39.299999999999997</v>
      </c>
      <c r="AM184" s="967">
        <v>45153</v>
      </c>
      <c r="AN184" s="974">
        <v>1562.5978057200002</v>
      </c>
      <c r="AO184" s="38">
        <v>0.48999999942597999</v>
      </c>
      <c r="AS184" s="967">
        <v>45196</v>
      </c>
      <c r="AT184" s="974">
        <v>74590.562397000002</v>
      </c>
      <c r="AU184" s="974">
        <v>92607.900000000009</v>
      </c>
      <c r="AV184" s="974">
        <v>1563.9611744222891</v>
      </c>
    </row>
    <row r="185" spans="1:48">
      <c r="A185" s="966">
        <v>178</v>
      </c>
      <c r="B185" s="967">
        <v>45268</v>
      </c>
      <c r="C185" s="966">
        <v>42600</v>
      </c>
      <c r="D185" s="966">
        <v>0.70285600000000004</v>
      </c>
      <c r="E185" s="966">
        <v>24.80527</v>
      </c>
      <c r="F185" s="966">
        <v>98079.25</v>
      </c>
      <c r="G185" s="966">
        <v>62298.171328800003</v>
      </c>
      <c r="H185" s="974">
        <v>475.91</v>
      </c>
      <c r="I185" s="966">
        <v>50.72</v>
      </c>
      <c r="J185" s="973">
        <v>1.46340202338</v>
      </c>
      <c r="L185" s="990">
        <v>45197</v>
      </c>
      <c r="M185" s="969">
        <v>75321.842420500005</v>
      </c>
      <c r="N185" s="969">
        <v>92607.900000000009</v>
      </c>
      <c r="O185" s="974">
        <v>1563.9598516546234</v>
      </c>
      <c r="Q185" s="967">
        <v>45152</v>
      </c>
      <c r="R185" s="966">
        <v>54200</v>
      </c>
      <c r="S185" s="971">
        <v>0.48981214622523001</v>
      </c>
      <c r="T185" s="969">
        <v>-24.102414</v>
      </c>
      <c r="U185" s="966">
        <v>1068.6300000000001</v>
      </c>
      <c r="V185" s="966">
        <v>516.44000000000005</v>
      </c>
      <c r="W185" s="971">
        <f t="shared" si="2"/>
        <v>-4.6670308264270773E-2</v>
      </c>
      <c r="Y185" s="967">
        <v>45224</v>
      </c>
      <c r="Z185" s="974">
        <f ca="1">H135*Valuation_Senario!$L$372</f>
        <v>168.27048762999999</v>
      </c>
      <c r="AA185" s="973">
        <v>40.700000000000003</v>
      </c>
      <c r="AM185" s="967">
        <v>45152</v>
      </c>
      <c r="AN185" s="974">
        <v>1562.5978057200002</v>
      </c>
      <c r="AO185" s="38">
        <v>0.48981214622523001</v>
      </c>
      <c r="AS185" s="967">
        <v>45197</v>
      </c>
      <c r="AT185" s="974">
        <v>75321.842420500005</v>
      </c>
      <c r="AU185" s="974">
        <v>92607.900000000009</v>
      </c>
      <c r="AV185" s="974">
        <v>1563.9598516546234</v>
      </c>
    </row>
    <row r="186" spans="1:48">
      <c r="A186" s="966">
        <v>179</v>
      </c>
      <c r="B186" s="967">
        <v>45267</v>
      </c>
      <c r="C186" s="966">
        <v>40850</v>
      </c>
      <c r="D186" s="966">
        <v>17.379259999999999</v>
      </c>
      <c r="E186" s="966">
        <v>1.90649</v>
      </c>
      <c r="F186" s="966">
        <v>96762.94</v>
      </c>
      <c r="G186" s="966">
        <v>59738.9741498</v>
      </c>
      <c r="H186" s="974">
        <v>475.91</v>
      </c>
      <c r="I186" s="966">
        <v>49.88</v>
      </c>
      <c r="J186" s="973">
        <v>1.46340246628</v>
      </c>
      <c r="L186" s="990">
        <v>45198</v>
      </c>
      <c r="M186" s="969">
        <v>76053.122443999993</v>
      </c>
      <c r="N186" s="969">
        <v>92607.900000000009</v>
      </c>
      <c r="O186" s="974">
        <v>1563.9585288976443</v>
      </c>
      <c r="Q186" s="967">
        <v>45149</v>
      </c>
      <c r="R186" s="966">
        <v>53300</v>
      </c>
      <c r="S186" s="971">
        <v>0.48999108852842999</v>
      </c>
      <c r="T186" s="969">
        <v>15.472770000000001</v>
      </c>
      <c r="U186" s="966">
        <v>1068.6300000000001</v>
      </c>
      <c r="V186" s="966">
        <v>330.6</v>
      </c>
      <c r="W186" s="971">
        <f t="shared" si="2"/>
        <v>4.6802087114337566E-2</v>
      </c>
      <c r="Y186" s="967">
        <v>45223</v>
      </c>
      <c r="Z186" s="974">
        <f ca="1">H136*Valuation_Senario!$L$372</f>
        <v>168.27048762999999</v>
      </c>
      <c r="AA186" s="973">
        <v>40.24</v>
      </c>
      <c r="AM186" s="967">
        <v>45149</v>
      </c>
      <c r="AN186" s="974">
        <v>1562.5978057200002</v>
      </c>
      <c r="AO186" s="38">
        <v>0.48999108852842999</v>
      </c>
      <c r="AS186" s="967">
        <v>45198</v>
      </c>
      <c r="AT186" s="974">
        <v>76053.122443999993</v>
      </c>
      <c r="AU186" s="974">
        <v>92607.900000000009</v>
      </c>
      <c r="AV186" s="974">
        <v>1563.9585288976443</v>
      </c>
    </row>
    <row r="187" spans="1:48">
      <c r="A187" s="966">
        <v>180</v>
      </c>
      <c r="B187" s="967">
        <v>45266</v>
      </c>
      <c r="C187" s="966">
        <v>40950</v>
      </c>
      <c r="D187" s="966">
        <v>56.003660099999998</v>
      </c>
      <c r="E187" s="966">
        <v>48.872259999999997</v>
      </c>
      <c r="F187" s="966">
        <v>94861.62</v>
      </c>
      <c r="G187" s="966">
        <v>59885.2139886</v>
      </c>
      <c r="H187" s="974">
        <v>475.91</v>
      </c>
      <c r="I187" s="966">
        <v>48.66</v>
      </c>
      <c r="J187" s="973">
        <v>1.46340290918</v>
      </c>
      <c r="L187" s="990">
        <v>45201</v>
      </c>
      <c r="M187" s="969">
        <v>77515.682491</v>
      </c>
      <c r="N187" s="969">
        <v>92607.900000000009</v>
      </c>
      <c r="O187" s="974">
        <v>1563.9572061299782</v>
      </c>
      <c r="Q187" s="967">
        <v>45148</v>
      </c>
      <c r="R187" s="966">
        <v>52000</v>
      </c>
      <c r="S187" s="971">
        <v>0.48977357994262</v>
      </c>
      <c r="T187" s="969">
        <v>7.1314000999999996</v>
      </c>
      <c r="U187" s="966">
        <v>1068.6300000000001</v>
      </c>
      <c r="V187" s="966">
        <v>280.45999999999998</v>
      </c>
      <c r="W187" s="971">
        <f t="shared" si="2"/>
        <v>2.5427512301219427E-2</v>
      </c>
      <c r="Y187" s="967">
        <v>45222</v>
      </c>
      <c r="Z187" s="974">
        <f ca="1">H137*Valuation_Senario!$L$372</f>
        <v>168.27048762999999</v>
      </c>
      <c r="AA187" s="973">
        <v>40.24</v>
      </c>
      <c r="AM187" s="967">
        <v>45148</v>
      </c>
      <c r="AN187" s="974">
        <v>1562.5978057200002</v>
      </c>
      <c r="AO187" s="38">
        <v>0.48977357994262</v>
      </c>
      <c r="AS187" s="967">
        <v>45201</v>
      </c>
      <c r="AT187" s="974">
        <v>77515.682491</v>
      </c>
      <c r="AU187" s="974">
        <v>92607.900000000009</v>
      </c>
      <c r="AV187" s="974">
        <v>1563.9572061299782</v>
      </c>
    </row>
    <row r="188" spans="1:48">
      <c r="A188" s="966">
        <v>181</v>
      </c>
      <c r="B188" s="967">
        <v>45265</v>
      </c>
      <c r="C188" s="966">
        <v>40000</v>
      </c>
      <c r="D188" s="966">
        <v>73.758275299999994</v>
      </c>
      <c r="E188" s="966">
        <v>10.688796</v>
      </c>
      <c r="F188" s="966">
        <v>95739.15</v>
      </c>
      <c r="G188" s="966">
        <v>58495.935519999999</v>
      </c>
      <c r="H188" s="974">
        <v>475.91</v>
      </c>
      <c r="I188" s="966">
        <v>49.22</v>
      </c>
      <c r="J188" s="973">
        <v>1.4634033520799998</v>
      </c>
      <c r="L188" s="990">
        <v>45202</v>
      </c>
      <c r="M188" s="969">
        <v>76930.658472199997</v>
      </c>
      <c r="N188" s="969">
        <v>92607.900000000009</v>
      </c>
      <c r="O188" s="974">
        <v>1563.9558833623125</v>
      </c>
      <c r="Q188" s="967">
        <v>45147</v>
      </c>
      <c r="R188" s="966">
        <v>52600</v>
      </c>
      <c r="S188" s="971">
        <v>0.48952534379397</v>
      </c>
      <c r="T188" s="969">
        <v>63.069479299999998</v>
      </c>
      <c r="U188" s="966">
        <v>1068.6300000000001</v>
      </c>
      <c r="V188" s="966">
        <v>472.74</v>
      </c>
      <c r="W188" s="971">
        <f t="shared" si="2"/>
        <v>0.13341261433346024</v>
      </c>
      <c r="Y188" s="967">
        <v>45219</v>
      </c>
      <c r="Z188" s="974">
        <f ca="1">H138*Valuation_Senario!$L$372</f>
        <v>168.27048762999999</v>
      </c>
      <c r="AA188" s="973">
        <v>41.83</v>
      </c>
      <c r="AM188" s="967">
        <v>45147</v>
      </c>
      <c r="AN188" s="974">
        <v>1562.5978057200002</v>
      </c>
      <c r="AO188" s="38">
        <v>0.48952534379397</v>
      </c>
      <c r="AS188" s="967">
        <v>45202</v>
      </c>
      <c r="AT188" s="974">
        <v>76930.658472199997</v>
      </c>
      <c r="AU188" s="974">
        <v>92607.900000000009</v>
      </c>
      <c r="AV188" s="974">
        <v>1563.9558833623125</v>
      </c>
    </row>
    <row r="189" spans="1:48">
      <c r="A189" s="966">
        <v>182</v>
      </c>
      <c r="B189" s="967">
        <v>45264</v>
      </c>
      <c r="C189" s="966">
        <v>39950</v>
      </c>
      <c r="D189" s="966">
        <v>98.938457</v>
      </c>
      <c r="E189" s="966">
        <v>17.857119999999998</v>
      </c>
      <c r="F189" s="966">
        <v>97201.71</v>
      </c>
      <c r="G189" s="966">
        <v>58422.815600599999</v>
      </c>
      <c r="H189" s="974">
        <v>475.91</v>
      </c>
      <c r="I189" s="966">
        <v>50.16</v>
      </c>
      <c r="J189" s="973">
        <v>1.4634037949900001</v>
      </c>
      <c r="L189" s="990">
        <v>45203</v>
      </c>
      <c r="M189" s="969">
        <v>75906.866439300007</v>
      </c>
      <c r="N189" s="969">
        <v>92607.900000000009</v>
      </c>
      <c r="O189" s="974">
        <v>1563.9665496336654</v>
      </c>
      <c r="Q189" s="967">
        <v>45146</v>
      </c>
      <c r="R189" s="966">
        <v>53600</v>
      </c>
      <c r="S189" s="971">
        <v>0.48904658258891998</v>
      </c>
      <c r="T189" s="969">
        <v>81.081337000000005</v>
      </c>
      <c r="U189" s="966">
        <v>1068.6300000000001</v>
      </c>
      <c r="V189" s="966">
        <v>308.35000000000002</v>
      </c>
      <c r="W189" s="971">
        <f t="shared" si="2"/>
        <v>0.26295228474136534</v>
      </c>
      <c r="Y189" s="967">
        <v>45218</v>
      </c>
      <c r="Z189" s="974">
        <f ca="1">H139*Valuation_Senario!$L$372</f>
        <v>168.27048762999999</v>
      </c>
      <c r="AA189" s="973">
        <v>40.24</v>
      </c>
      <c r="AM189" s="967">
        <v>45146</v>
      </c>
      <c r="AN189" s="974">
        <v>1562.5978057200002</v>
      </c>
      <c r="AO189" s="38">
        <v>0.48904658258891998</v>
      </c>
      <c r="AS189" s="967">
        <v>45203</v>
      </c>
      <c r="AT189" s="974">
        <v>75906.866439300007</v>
      </c>
      <c r="AU189" s="974">
        <v>92607.900000000009</v>
      </c>
      <c r="AV189" s="974">
        <v>1563.9665496336654</v>
      </c>
    </row>
    <row r="190" spans="1:48">
      <c r="A190" s="966">
        <v>183</v>
      </c>
      <c r="B190" s="967">
        <v>45261</v>
      </c>
      <c r="C190" s="966">
        <v>38750</v>
      </c>
      <c r="D190" s="966">
        <v>21.125354000000002</v>
      </c>
      <c r="E190" s="966">
        <v>37.536920000000002</v>
      </c>
      <c r="F190" s="966">
        <v>97494.22</v>
      </c>
      <c r="G190" s="966">
        <v>56667.937534999997</v>
      </c>
      <c r="H190" s="974">
        <v>475.91</v>
      </c>
      <c r="I190" s="966">
        <v>50.35</v>
      </c>
      <c r="J190" s="973">
        <v>1.4634051236900001</v>
      </c>
      <c r="L190" s="990">
        <v>45204</v>
      </c>
      <c r="M190" s="969">
        <v>71665.442303000003</v>
      </c>
      <c r="N190" s="969">
        <v>92607.900000000009</v>
      </c>
      <c r="O190" s="974">
        <v>1563.9652268643088</v>
      </c>
      <c r="Q190" s="967">
        <v>45145</v>
      </c>
      <c r="R190" s="966">
        <v>53800</v>
      </c>
      <c r="S190" s="971">
        <v>0.48827759399719001</v>
      </c>
      <c r="T190" s="969">
        <v>-16.411566000000001</v>
      </c>
      <c r="U190" s="966">
        <v>1068.6199999999999</v>
      </c>
      <c r="V190" s="966">
        <v>351.19</v>
      </c>
      <c r="W190" s="971">
        <f t="shared" si="2"/>
        <v>-4.6731302144138502E-2</v>
      </c>
      <c r="Y190" s="967">
        <v>45217</v>
      </c>
      <c r="Z190" s="974">
        <f ca="1">H140*Valuation_Senario!$L$372</f>
        <v>168.27048762999999</v>
      </c>
      <c r="AA190" s="973">
        <v>41.83</v>
      </c>
      <c r="AM190" s="967">
        <v>45145</v>
      </c>
      <c r="AN190" s="974">
        <v>1562.58318328</v>
      </c>
      <c r="AO190" s="38">
        <v>0.48827759399719001</v>
      </c>
      <c r="AS190" s="967">
        <v>45204</v>
      </c>
      <c r="AT190" s="974">
        <v>71665.442303000003</v>
      </c>
      <c r="AU190" s="974">
        <v>92607.900000000009</v>
      </c>
      <c r="AV190" s="974">
        <v>1563.9652268643088</v>
      </c>
    </row>
    <row r="191" spans="1:48">
      <c r="A191" s="966">
        <v>184</v>
      </c>
      <c r="B191" s="967">
        <v>45260</v>
      </c>
      <c r="C191" s="966">
        <v>38500</v>
      </c>
      <c r="D191" s="966">
        <v>22.072283599999999</v>
      </c>
      <c r="E191" s="966">
        <v>37.835039999999999</v>
      </c>
      <c r="F191" s="966">
        <v>96324.18</v>
      </c>
      <c r="G191" s="966">
        <v>56302.337937999997</v>
      </c>
      <c r="H191" s="974">
        <v>475.91</v>
      </c>
      <c r="I191" s="966">
        <v>49.6</v>
      </c>
      <c r="J191" s="973">
        <v>1.4634055665899999</v>
      </c>
      <c r="L191" s="990">
        <v>45205</v>
      </c>
      <c r="M191" s="969">
        <v>71957.954312400005</v>
      </c>
      <c r="N191" s="969">
        <v>92607.900000000009</v>
      </c>
      <c r="O191" s="974">
        <v>1563.9639040842649</v>
      </c>
      <c r="Q191" s="967">
        <v>45142</v>
      </c>
      <c r="R191" s="966">
        <v>53000</v>
      </c>
      <c r="S191" s="971">
        <v>0.48878990637157999</v>
      </c>
      <c r="T191" s="969">
        <v>-15.762756400000001</v>
      </c>
      <c r="U191" s="966">
        <v>1068.6199999999999</v>
      </c>
      <c r="V191" s="966">
        <v>397.83</v>
      </c>
      <c r="W191" s="971">
        <f t="shared" si="2"/>
        <v>-3.9621839479174525E-2</v>
      </c>
      <c r="Y191" s="967">
        <v>45216</v>
      </c>
      <c r="Z191" s="974">
        <f ca="1">H141*Valuation_Senario!$L$372</f>
        <v>168.27048762999999</v>
      </c>
      <c r="AA191" s="973">
        <v>43.32</v>
      </c>
      <c r="AM191" s="967">
        <v>45142</v>
      </c>
      <c r="AN191" s="974">
        <v>1562.58318328</v>
      </c>
      <c r="AO191" s="38">
        <v>0.48878990637157999</v>
      </c>
      <c r="AS191" s="967">
        <v>45205</v>
      </c>
      <c r="AT191" s="974">
        <v>71957.954312400005</v>
      </c>
      <c r="AU191" s="974">
        <v>92607.900000000009</v>
      </c>
      <c r="AV191" s="974">
        <v>1563.9639040842649</v>
      </c>
    </row>
    <row r="192" spans="1:48">
      <c r="A192" s="966">
        <v>185</v>
      </c>
      <c r="B192" s="967">
        <v>45259</v>
      </c>
      <c r="C192" s="966">
        <v>38800</v>
      </c>
      <c r="D192" s="966">
        <v>47.269780699999998</v>
      </c>
      <c r="E192" s="966">
        <v>101.28376799999999</v>
      </c>
      <c r="F192" s="966">
        <v>95885.41</v>
      </c>
      <c r="G192" s="966">
        <v>56747.329823599997</v>
      </c>
      <c r="H192" s="974">
        <v>475.91</v>
      </c>
      <c r="I192" s="966">
        <v>49.32</v>
      </c>
      <c r="J192" s="973">
        <v>1.4634086669000002</v>
      </c>
      <c r="L192" s="990">
        <v>45208</v>
      </c>
      <c r="M192" s="969">
        <v>68740.322209000005</v>
      </c>
      <c r="N192" s="969">
        <v>92607.900000000009</v>
      </c>
      <c r="O192" s="974">
        <v>1563.9625813042212</v>
      </c>
      <c r="Q192" s="967">
        <v>45141</v>
      </c>
      <c r="R192" s="966">
        <v>52700</v>
      </c>
      <c r="S192" s="971">
        <v>0.48941973599093003</v>
      </c>
      <c r="T192" s="969">
        <v>-54.013987299999997</v>
      </c>
      <c r="U192" s="966">
        <v>1068.6199999999999</v>
      </c>
      <c r="V192" s="966">
        <v>463.47</v>
      </c>
      <c r="W192" s="971">
        <f t="shared" si="2"/>
        <v>-0.11654257513970698</v>
      </c>
      <c r="Y192" s="967">
        <v>45215</v>
      </c>
      <c r="Z192" s="974">
        <f ca="1">H142*Valuation_Senario!$L$372</f>
        <v>168.27048762999999</v>
      </c>
      <c r="AA192" s="973">
        <v>45.48</v>
      </c>
      <c r="AM192" s="967">
        <v>45141</v>
      </c>
      <c r="AN192" s="974">
        <v>1562.58318328</v>
      </c>
      <c r="AO192" s="38">
        <v>0.48941973599093003</v>
      </c>
      <c r="AS192" s="967">
        <v>45208</v>
      </c>
      <c r="AT192" s="974">
        <v>68740.322209000005</v>
      </c>
      <c r="AU192" s="974">
        <v>92607.900000000009</v>
      </c>
      <c r="AV192" s="974">
        <v>1563.9625813042212</v>
      </c>
    </row>
    <row r="193" spans="1:48">
      <c r="A193" s="966">
        <v>186</v>
      </c>
      <c r="B193" s="967">
        <v>45258</v>
      </c>
      <c r="C193" s="966">
        <v>38000</v>
      </c>
      <c r="D193" s="966">
        <v>19.394462399999998</v>
      </c>
      <c r="E193" s="966">
        <v>69.755930000000006</v>
      </c>
      <c r="F193" s="966">
        <v>94422.85</v>
      </c>
      <c r="G193" s="966">
        <v>55577.281786</v>
      </c>
      <c r="H193" s="974">
        <v>475.91</v>
      </c>
      <c r="I193" s="966">
        <v>48.38</v>
      </c>
      <c r="J193" s="973">
        <v>1.4634086669000002</v>
      </c>
      <c r="L193" s="990">
        <v>45209</v>
      </c>
      <c r="M193" s="969">
        <v>70641.650270099999</v>
      </c>
      <c r="N193" s="969">
        <v>92607.900000000009</v>
      </c>
      <c r="O193" s="974">
        <v>1563.9612585348646</v>
      </c>
      <c r="Q193" s="967">
        <v>45140</v>
      </c>
      <c r="R193" s="966">
        <v>51700</v>
      </c>
      <c r="S193" s="971">
        <v>0.48991854398208001</v>
      </c>
      <c r="T193" s="969">
        <v>-50.361467599999997</v>
      </c>
      <c r="U193" s="966">
        <v>1068.6199999999999</v>
      </c>
      <c r="V193" s="966">
        <v>276.47000000000003</v>
      </c>
      <c r="W193" s="971">
        <f t="shared" si="2"/>
        <v>-0.18215888740188807</v>
      </c>
      <c r="Y193" s="967">
        <v>45212</v>
      </c>
      <c r="Z193" s="974">
        <f ca="1">H143*Valuation_Senario!$L$372</f>
        <v>168.27048762999999</v>
      </c>
      <c r="AA193" s="973">
        <v>46.32</v>
      </c>
      <c r="AM193" s="967">
        <v>45140</v>
      </c>
      <c r="AN193" s="974">
        <v>1562.58318328</v>
      </c>
      <c r="AO193" s="38">
        <v>0.48991854398208001</v>
      </c>
      <c r="AS193" s="967">
        <v>45209</v>
      </c>
      <c r="AT193" s="974">
        <v>70641.650270099999</v>
      </c>
      <c r="AU193" s="974">
        <v>92607.900000000009</v>
      </c>
      <c r="AV193" s="974">
        <v>1563.9612585348646</v>
      </c>
    </row>
    <row r="194" spans="1:48">
      <c r="A194" s="966">
        <v>187</v>
      </c>
      <c r="B194" s="967">
        <v>45257</v>
      </c>
      <c r="C194" s="966">
        <v>38000</v>
      </c>
      <c r="D194" s="966">
        <v>23.483536300000001</v>
      </c>
      <c r="E194" s="966">
        <v>45.006949400000003</v>
      </c>
      <c r="F194" s="966">
        <v>94422.85</v>
      </c>
      <c r="G194" s="966">
        <v>55577.281786</v>
      </c>
      <c r="H194" s="974">
        <v>475.91</v>
      </c>
      <c r="I194" s="966">
        <v>48.38</v>
      </c>
      <c r="J194" s="973">
        <v>1.4634086669000002</v>
      </c>
      <c r="L194" s="990">
        <v>45210</v>
      </c>
      <c r="M194" s="969">
        <v>70129.754253649997</v>
      </c>
      <c r="N194" s="969">
        <v>92607.900000000009</v>
      </c>
      <c r="O194" s="974">
        <v>1563.9572902054206</v>
      </c>
      <c r="Q194" s="967">
        <v>45139</v>
      </c>
      <c r="R194" s="966">
        <v>51700</v>
      </c>
      <c r="S194" s="971">
        <v>0.48974522975804002</v>
      </c>
      <c r="T194" s="969">
        <v>-21.523413099999999</v>
      </c>
      <c r="U194" s="966">
        <v>1068.6199999999999</v>
      </c>
      <c r="V194" s="966">
        <v>397.26</v>
      </c>
      <c r="W194" s="971">
        <f t="shared" si="2"/>
        <v>-5.4179663444595481E-2</v>
      </c>
      <c r="Y194" s="967">
        <v>45211</v>
      </c>
      <c r="Z194" s="974">
        <f ca="1">H144*Valuation_Senario!$L$372</f>
        <v>168.27048762999999</v>
      </c>
      <c r="AA194" s="973">
        <v>45.29</v>
      </c>
      <c r="AM194" s="967">
        <v>45139</v>
      </c>
      <c r="AN194" s="974">
        <v>1562.58318328</v>
      </c>
      <c r="AO194" s="38">
        <v>0.48974522975804002</v>
      </c>
      <c r="AS194" s="967">
        <v>45210</v>
      </c>
      <c r="AT194" s="974">
        <v>70129.754253649997</v>
      </c>
      <c r="AU194" s="974">
        <v>92607.900000000009</v>
      </c>
      <c r="AV194" s="974">
        <v>1563.9572902054206</v>
      </c>
    </row>
    <row r="195" spans="1:48">
      <c r="A195" s="966">
        <v>188</v>
      </c>
      <c r="B195" s="967">
        <v>45254</v>
      </c>
      <c r="C195" s="966">
        <v>38550</v>
      </c>
      <c r="D195" s="966">
        <v>24.023327500000001</v>
      </c>
      <c r="E195" s="966">
        <v>30.354487500000001</v>
      </c>
      <c r="F195" s="966">
        <v>97347.97</v>
      </c>
      <c r="G195" s="966">
        <v>56381.689811850003</v>
      </c>
      <c r="H195" s="974">
        <v>475.91</v>
      </c>
      <c r="I195" s="966">
        <v>50.25</v>
      </c>
      <c r="J195" s="973">
        <v>1.4634086669000002</v>
      </c>
      <c r="L195" s="990">
        <v>45211</v>
      </c>
      <c r="M195" s="969">
        <v>71446.058295950003</v>
      </c>
      <c r="N195" s="969">
        <v>92607.900000000009</v>
      </c>
      <c r="O195" s="974">
        <v>1563.9559674253769</v>
      </c>
      <c r="Q195" s="967">
        <v>45138</v>
      </c>
      <c r="R195" s="966">
        <v>53700</v>
      </c>
      <c r="S195" s="971">
        <v>0.48970000831965999</v>
      </c>
      <c r="T195" s="969">
        <v>-6.3311599999999997</v>
      </c>
      <c r="U195" s="966">
        <v>1068.6199999999999</v>
      </c>
      <c r="V195" s="966">
        <v>443.18</v>
      </c>
      <c r="W195" s="971">
        <f t="shared" si="2"/>
        <v>-1.4285752967191659E-2</v>
      </c>
      <c r="Y195" s="967">
        <v>45210</v>
      </c>
      <c r="Z195" s="974">
        <f ca="1">H145*Valuation_Senario!$L$372</f>
        <v>168.27048762999999</v>
      </c>
      <c r="AA195" s="973">
        <v>46.13</v>
      </c>
      <c r="AM195" s="967">
        <v>45138</v>
      </c>
      <c r="AN195" s="974">
        <v>1562.58318328</v>
      </c>
      <c r="AO195" s="38">
        <v>0.48970000831965999</v>
      </c>
      <c r="AS195" s="967">
        <v>45211</v>
      </c>
      <c r="AT195" s="974">
        <v>71446.058295950003</v>
      </c>
      <c r="AU195" s="974">
        <v>92607.900000000009</v>
      </c>
      <c r="AV195" s="974">
        <v>1563.9559674253769</v>
      </c>
    </row>
    <row r="196" spans="1:48">
      <c r="A196" s="966">
        <v>189</v>
      </c>
      <c r="B196" s="967">
        <v>45253</v>
      </c>
      <c r="C196" s="966">
        <v>37300</v>
      </c>
      <c r="D196" s="966">
        <v>11.144600000000001</v>
      </c>
      <c r="E196" s="966">
        <v>31.224460000000001</v>
      </c>
      <c r="F196" s="966">
        <v>94157.16</v>
      </c>
      <c r="G196" s="966">
        <v>54553.489753100002</v>
      </c>
      <c r="H196" s="974">
        <v>475.91</v>
      </c>
      <c r="I196" s="966">
        <v>29.81</v>
      </c>
      <c r="J196" s="973">
        <v>1.4634086669000002</v>
      </c>
      <c r="L196" s="990">
        <v>45212</v>
      </c>
      <c r="M196" s="969">
        <v>72104.210317100005</v>
      </c>
      <c r="N196" s="969">
        <v>92607.900000000009</v>
      </c>
      <c r="O196" s="974">
        <v>1563.9546446453332</v>
      </c>
      <c r="Q196" s="967">
        <v>45135</v>
      </c>
      <c r="R196" s="966">
        <v>54500</v>
      </c>
      <c r="S196" s="971">
        <v>0.48999999942597999</v>
      </c>
      <c r="T196" s="969">
        <v>-20.07986</v>
      </c>
      <c r="U196" s="966">
        <v>1828.42</v>
      </c>
      <c r="V196" s="966">
        <v>220</v>
      </c>
      <c r="W196" s="971">
        <f t="shared" si="2"/>
        <v>-9.1272090909090914E-2</v>
      </c>
      <c r="Y196" s="967">
        <v>45209</v>
      </c>
      <c r="Z196" s="974">
        <f ca="1">H146*Valuation_Senario!$L$372</f>
        <v>168.27048762999999</v>
      </c>
      <c r="AA196" s="973">
        <v>45.71</v>
      </c>
      <c r="AM196" s="967">
        <v>45135</v>
      </c>
      <c r="AN196" s="974">
        <v>2673.5961744800002</v>
      </c>
      <c r="AO196" s="38">
        <v>0.48999999942597999</v>
      </c>
      <c r="AS196" s="967">
        <v>45212</v>
      </c>
      <c r="AT196" s="974">
        <v>72104.210317100005</v>
      </c>
      <c r="AU196" s="974">
        <v>92607.900000000009</v>
      </c>
      <c r="AV196" s="974">
        <v>1563.9546446453332</v>
      </c>
    </row>
    <row r="197" spans="1:48">
      <c r="A197" s="966">
        <v>190</v>
      </c>
      <c r="B197" s="967">
        <v>45252</v>
      </c>
      <c r="C197" s="966">
        <v>39800</v>
      </c>
      <c r="D197" s="966">
        <v>72.442499999999995</v>
      </c>
      <c r="E197" s="966">
        <v>96.168030000000002</v>
      </c>
      <c r="F197" s="966">
        <v>93572.14</v>
      </c>
      <c r="G197" s="966">
        <v>58209.889870600004</v>
      </c>
      <c r="H197" s="974">
        <v>475.91</v>
      </c>
      <c r="I197" s="966">
        <v>29.59</v>
      </c>
      <c r="J197" s="973">
        <v>1.4634086669000002</v>
      </c>
      <c r="L197" s="990">
        <v>45215</v>
      </c>
      <c r="M197" s="969">
        <v>70787.9062748</v>
      </c>
      <c r="N197" s="969">
        <v>92607.900000000009</v>
      </c>
      <c r="O197" s="974">
        <v>1563.9533218759764</v>
      </c>
      <c r="Q197" s="967">
        <v>45134</v>
      </c>
      <c r="R197" s="966">
        <v>54100</v>
      </c>
      <c r="S197" s="971">
        <v>0.48999999942597999</v>
      </c>
      <c r="T197" s="969">
        <v>-23.725529999999999</v>
      </c>
      <c r="U197" s="966">
        <v>1828.42</v>
      </c>
      <c r="V197" s="966">
        <v>383.15</v>
      </c>
      <c r="W197" s="971">
        <f t="shared" si="2"/>
        <v>-6.1922301970507639E-2</v>
      </c>
      <c r="Y197" s="967">
        <v>45208</v>
      </c>
      <c r="Z197" s="974">
        <f ca="1">H147*Valuation_Senario!$L$372</f>
        <v>168.27048762999999</v>
      </c>
      <c r="AA197" s="973">
        <v>44.87</v>
      </c>
      <c r="AM197" s="967">
        <v>45134</v>
      </c>
      <c r="AN197" s="974">
        <v>2673.5961744800002</v>
      </c>
      <c r="AO197" s="38">
        <v>0.48999999942597999</v>
      </c>
      <c r="AS197" s="967">
        <v>45215</v>
      </c>
      <c r="AT197" s="974">
        <v>70787.9062748</v>
      </c>
      <c r="AU197" s="974">
        <v>92607.900000000009</v>
      </c>
      <c r="AV197" s="974">
        <v>1563.9533218759764</v>
      </c>
    </row>
    <row r="198" spans="1:48">
      <c r="A198" s="966">
        <v>191</v>
      </c>
      <c r="B198" s="967">
        <v>45251</v>
      </c>
      <c r="C198" s="966">
        <v>40900</v>
      </c>
      <c r="D198" s="966">
        <v>69.4176176</v>
      </c>
      <c r="E198" s="966">
        <v>6.82</v>
      </c>
      <c r="F198" s="966">
        <v>91378.3</v>
      </c>
      <c r="G198" s="966">
        <v>59818.705922300003</v>
      </c>
      <c r="H198" s="974">
        <v>475.91</v>
      </c>
      <c r="I198" s="966">
        <v>28.77</v>
      </c>
      <c r="J198" s="973">
        <v>1.4634086669000002</v>
      </c>
      <c r="L198" s="990">
        <v>45216</v>
      </c>
      <c r="M198" s="969">
        <v>72396.722326500007</v>
      </c>
      <c r="N198" s="969">
        <v>92607.900000000009</v>
      </c>
      <c r="O198" s="974">
        <v>1563.9655205041813</v>
      </c>
      <c r="Q198" s="967">
        <v>45133</v>
      </c>
      <c r="R198" s="966">
        <v>52600</v>
      </c>
      <c r="S198" s="971">
        <v>0.48999999942597999</v>
      </c>
      <c r="T198" s="969">
        <v>62.5976176</v>
      </c>
      <c r="U198" s="966">
        <v>1828.42</v>
      </c>
      <c r="V198" s="966">
        <v>364.47</v>
      </c>
      <c r="W198" s="971">
        <f t="shared" si="2"/>
        <v>0.1717497121848163</v>
      </c>
      <c r="Y198" s="967">
        <v>45205</v>
      </c>
      <c r="Z198" s="974">
        <f ca="1">H148*Valuation_Senario!$L$372</f>
        <v>168.27048762999999</v>
      </c>
      <c r="AA198" s="973">
        <v>45.2</v>
      </c>
      <c r="AM198" s="967">
        <v>45133</v>
      </c>
      <c r="AN198" s="974">
        <v>2673.5961744800002</v>
      </c>
      <c r="AO198" s="38">
        <v>0.48999999942597999</v>
      </c>
      <c r="AS198" s="967">
        <v>45216</v>
      </c>
      <c r="AT198" s="974">
        <v>72396.722326500007</v>
      </c>
      <c r="AU198" s="974">
        <v>92607.900000000009</v>
      </c>
      <c r="AV198" s="974">
        <v>1563.9655205041813</v>
      </c>
    </row>
    <row r="199" spans="1:48">
      <c r="A199" s="966">
        <v>192</v>
      </c>
      <c r="B199" s="967">
        <v>45250</v>
      </c>
      <c r="C199" s="966">
        <v>40550</v>
      </c>
      <c r="D199" s="966">
        <v>10.994743</v>
      </c>
      <c r="E199" s="966">
        <v>11.032743</v>
      </c>
      <c r="F199" s="966">
        <v>92840.86</v>
      </c>
      <c r="G199" s="966">
        <v>59306.809905850001</v>
      </c>
      <c r="H199" s="974">
        <v>475.91</v>
      </c>
      <c r="I199" s="966">
        <v>29.31</v>
      </c>
      <c r="J199" s="973">
        <v>1.4634086669000002</v>
      </c>
      <c r="L199" s="990">
        <v>45217</v>
      </c>
      <c r="M199" s="969">
        <v>71080.418284200001</v>
      </c>
      <c r="N199" s="969">
        <v>92607.900000000009</v>
      </c>
      <c r="O199" s="974">
        <v>1563.9615630168682</v>
      </c>
      <c r="Q199" s="967">
        <v>45132</v>
      </c>
      <c r="R199" s="966">
        <v>53600</v>
      </c>
      <c r="S199" s="971">
        <v>0.48921414573060001</v>
      </c>
      <c r="T199" s="969">
        <v>-3.7999999999999999E-2</v>
      </c>
      <c r="U199" s="966">
        <v>1828.42</v>
      </c>
      <c r="V199" s="966">
        <v>248.61</v>
      </c>
      <c r="W199" s="971">
        <f t="shared" si="2"/>
        <v>-1.5284984513897268E-4</v>
      </c>
      <c r="Y199" s="967">
        <v>45204</v>
      </c>
      <c r="Z199" s="974">
        <f ca="1">H149*Valuation_Senario!$L$372</f>
        <v>698.86805543999992</v>
      </c>
      <c r="AA199" s="973">
        <v>43.98</v>
      </c>
      <c r="AM199" s="967">
        <v>45132</v>
      </c>
      <c r="AN199" s="974">
        <v>2673.5961744800002</v>
      </c>
      <c r="AO199" s="38">
        <v>0.48921414573060001</v>
      </c>
      <c r="AS199" s="967">
        <v>45217</v>
      </c>
      <c r="AT199" s="974">
        <v>71080.418284200001</v>
      </c>
      <c r="AU199" s="974">
        <v>92607.900000000009</v>
      </c>
      <c r="AV199" s="974">
        <v>1563.9615630168682</v>
      </c>
    </row>
    <row r="200" spans="1:48">
      <c r="A200" s="966">
        <v>193</v>
      </c>
      <c r="B200" s="967">
        <v>45247</v>
      </c>
      <c r="C200" s="966">
        <v>41400</v>
      </c>
      <c r="D200" s="966">
        <v>46.3386</v>
      </c>
      <c r="E200" s="966">
        <v>46.3386</v>
      </c>
      <c r="F200" s="966">
        <v>94157.16</v>
      </c>
      <c r="G200" s="966">
        <v>60549.985945799999</v>
      </c>
      <c r="H200" s="974">
        <v>475.91</v>
      </c>
      <c r="I200" s="966">
        <v>29.81</v>
      </c>
      <c r="J200" s="973">
        <v>1.4634086669000002</v>
      </c>
      <c r="L200" s="990">
        <v>45218</v>
      </c>
      <c r="M200" s="969">
        <v>67716.530176100001</v>
      </c>
      <c r="N200" s="969">
        <v>92607.900000000009</v>
      </c>
      <c r="O200" s="974">
        <v>1563.9602438473064</v>
      </c>
      <c r="Q200" s="967">
        <v>45131</v>
      </c>
      <c r="R200" s="966">
        <v>54500</v>
      </c>
      <c r="S200" s="971">
        <v>0.48999999942597999</v>
      </c>
      <c r="T200" s="969">
        <v>0</v>
      </c>
      <c r="U200" s="966">
        <v>1828.42</v>
      </c>
      <c r="V200" s="966">
        <v>262.48</v>
      </c>
      <c r="W200" s="971">
        <f t="shared" si="2"/>
        <v>0</v>
      </c>
      <c r="Y200" s="967">
        <v>45203</v>
      </c>
      <c r="Z200" s="974">
        <f ca="1">H150*Valuation_Senario!$L$372</f>
        <v>698.86805543999992</v>
      </c>
      <c r="AA200" s="973">
        <v>46.04</v>
      </c>
      <c r="AM200" s="967">
        <v>45131</v>
      </c>
      <c r="AN200" s="974">
        <v>2673.5961744800002</v>
      </c>
      <c r="AO200" s="38">
        <v>0.48999999942597999</v>
      </c>
      <c r="AS200" s="967">
        <v>45218</v>
      </c>
      <c r="AT200" s="974">
        <v>67716.530176100001</v>
      </c>
      <c r="AU200" s="974">
        <v>92607.900000000009</v>
      </c>
      <c r="AV200" s="974">
        <v>1563.9602438473064</v>
      </c>
    </row>
    <row r="201" spans="1:48">
      <c r="A201" s="966">
        <v>194</v>
      </c>
      <c r="B201" s="967">
        <v>45246</v>
      </c>
      <c r="C201" s="966">
        <v>41500</v>
      </c>
      <c r="D201" s="966">
        <v>105.11075270000001</v>
      </c>
      <c r="E201" s="966">
        <v>162.84473890000001</v>
      </c>
      <c r="F201" s="966">
        <v>91232.04</v>
      </c>
      <c r="G201" s="966">
        <v>60696.2419505</v>
      </c>
      <c r="H201" s="974">
        <v>475.91</v>
      </c>
      <c r="I201" s="966">
        <v>28.71</v>
      </c>
      <c r="J201" s="973">
        <v>1.4634086669000002</v>
      </c>
      <c r="L201" s="990">
        <v>45219</v>
      </c>
      <c r="M201" s="969">
        <v>65376.434100899998</v>
      </c>
      <c r="N201" s="969">
        <v>92607.900000000009</v>
      </c>
      <c r="O201" s="974">
        <v>1563.9589246884309</v>
      </c>
      <c r="Q201" s="967">
        <v>45128</v>
      </c>
      <c r="R201" s="966">
        <v>52500</v>
      </c>
      <c r="S201" s="971">
        <v>0.48999999942597999</v>
      </c>
      <c r="T201" s="969">
        <v>-57.733986199999997</v>
      </c>
      <c r="U201" s="966">
        <v>1828.41</v>
      </c>
      <c r="V201" s="966">
        <v>708.79</v>
      </c>
      <c r="W201" s="971">
        <f t="shared" ref="W201:W264" si="3">T201/V201</f>
        <v>-8.1454289987161213E-2</v>
      </c>
      <c r="Y201" s="967">
        <v>45202</v>
      </c>
      <c r="Z201" s="974">
        <f ca="1">H151*Valuation_Senario!$L$372</f>
        <v>698.86805543999992</v>
      </c>
      <c r="AA201" s="973">
        <v>45.85</v>
      </c>
      <c r="AM201" s="967">
        <v>45128</v>
      </c>
      <c r="AN201" s="974">
        <v>2673.5815520400001</v>
      </c>
      <c r="AO201" s="38">
        <v>0.48999999942597999</v>
      </c>
      <c r="AS201" s="967">
        <v>45219</v>
      </c>
      <c r="AT201" s="974">
        <v>65376.434100899998</v>
      </c>
      <c r="AU201" s="974">
        <v>92607.900000000009</v>
      </c>
      <c r="AV201" s="974">
        <v>1563.9589246884309</v>
      </c>
    </row>
    <row r="202" spans="1:48">
      <c r="A202" s="966">
        <v>195</v>
      </c>
      <c r="B202" s="967">
        <v>45245</v>
      </c>
      <c r="C202" s="966">
        <v>41900</v>
      </c>
      <c r="D202" s="966">
        <v>13.4229085</v>
      </c>
      <c r="E202" s="966">
        <v>13.4229085</v>
      </c>
      <c r="F202" s="966">
        <v>86259.34</v>
      </c>
      <c r="G202" s="966">
        <v>61281.265969300002</v>
      </c>
      <c r="H202" s="974">
        <v>475.91</v>
      </c>
      <c r="I202" s="966">
        <v>26.85</v>
      </c>
      <c r="J202" s="973">
        <v>1.4634086669000002</v>
      </c>
      <c r="L202" s="990">
        <v>45222</v>
      </c>
      <c r="M202" s="969">
        <v>62890.082021000002</v>
      </c>
      <c r="N202" s="969">
        <v>92607.900000000009</v>
      </c>
      <c r="O202" s="974">
        <v>1563.9576055188688</v>
      </c>
      <c r="Q202" s="967">
        <v>45127</v>
      </c>
      <c r="R202" s="966">
        <v>49100</v>
      </c>
      <c r="S202" s="971">
        <v>0.48997826886293</v>
      </c>
      <c r="T202" s="969">
        <v>0</v>
      </c>
      <c r="U202" s="966">
        <v>1828.41</v>
      </c>
      <c r="V202" s="966">
        <v>281.02</v>
      </c>
      <c r="W202" s="971">
        <f t="shared" si="3"/>
        <v>0</v>
      </c>
      <c r="Y202" s="967">
        <v>45201</v>
      </c>
      <c r="Z202" s="974">
        <f ca="1">H152*Valuation_Senario!$L$372</f>
        <v>698.86805543999992</v>
      </c>
      <c r="AA202" s="973">
        <v>48.56</v>
      </c>
      <c r="AM202" s="967">
        <v>45127</v>
      </c>
      <c r="AN202" s="974">
        <v>2673.5815520400001</v>
      </c>
      <c r="AO202" s="38">
        <v>0.48997826886293</v>
      </c>
      <c r="AS202" s="967">
        <v>45222</v>
      </c>
      <c r="AT202" s="974">
        <v>62890.082021000002</v>
      </c>
      <c r="AU202" s="974">
        <v>92607.900000000009</v>
      </c>
      <c r="AV202" s="974">
        <v>1563.9576055188688</v>
      </c>
    </row>
    <row r="203" spans="1:48">
      <c r="A203" s="966">
        <v>196</v>
      </c>
      <c r="B203" s="967">
        <v>45244</v>
      </c>
      <c r="C203" s="966">
        <v>41500</v>
      </c>
      <c r="D203" s="966">
        <v>42.663533000000001</v>
      </c>
      <c r="E203" s="966">
        <v>10.987703</v>
      </c>
      <c r="F203" s="966">
        <v>85403.65</v>
      </c>
      <c r="G203" s="966">
        <v>60696.2419505</v>
      </c>
      <c r="H203" s="974">
        <v>475.91</v>
      </c>
      <c r="I203" s="966">
        <v>26.53</v>
      </c>
      <c r="J203" s="973">
        <v>1.4634086669000002</v>
      </c>
      <c r="L203" s="990">
        <v>45223</v>
      </c>
      <c r="M203" s="969">
        <v>65376.434100899998</v>
      </c>
      <c r="N203" s="969">
        <v>92607.900000000009</v>
      </c>
      <c r="O203" s="974">
        <v>1563.9562863493065</v>
      </c>
      <c r="Q203" s="967">
        <v>45126</v>
      </c>
      <c r="R203" s="966">
        <v>48500</v>
      </c>
      <c r="S203" s="971">
        <v>0.48999999942597999</v>
      </c>
      <c r="T203" s="969">
        <v>31.675830000000001</v>
      </c>
      <c r="U203" s="966">
        <v>1828.4</v>
      </c>
      <c r="V203" s="966">
        <v>211.33</v>
      </c>
      <c r="W203" s="971">
        <f t="shared" si="3"/>
        <v>0.14988799507878672</v>
      </c>
      <c r="Y203" s="967">
        <v>45198</v>
      </c>
      <c r="Z203" s="974">
        <f ca="1">H153*Valuation_Senario!$L$372</f>
        <v>698.86805543999992</v>
      </c>
      <c r="AA203" s="973">
        <v>49.22</v>
      </c>
      <c r="AM203" s="967">
        <v>45126</v>
      </c>
      <c r="AN203" s="974">
        <v>2673.5669296000001</v>
      </c>
      <c r="AO203" s="38">
        <v>0.48999999942597999</v>
      </c>
      <c r="AS203" s="967">
        <v>45223</v>
      </c>
      <c r="AT203" s="974">
        <v>65376.434100899998</v>
      </c>
      <c r="AU203" s="974">
        <v>92607.900000000009</v>
      </c>
      <c r="AV203" s="974">
        <v>1563.9562863493065</v>
      </c>
    </row>
    <row r="204" spans="1:48">
      <c r="A204" s="966">
        <v>197</v>
      </c>
      <c r="B204" s="967">
        <v>45243</v>
      </c>
      <c r="C204" s="966">
        <v>40000</v>
      </c>
      <c r="D204" s="966">
        <v>7.4990839999999999</v>
      </c>
      <c r="E204" s="966">
        <v>8.872344</v>
      </c>
      <c r="F204" s="966">
        <v>84745.3</v>
      </c>
      <c r="G204" s="966">
        <v>58502.401879999998</v>
      </c>
      <c r="H204" s="974">
        <v>475.91</v>
      </c>
      <c r="I204" s="966">
        <v>26.28</v>
      </c>
      <c r="J204" s="973">
        <v>1.4634086669000002</v>
      </c>
      <c r="L204" s="990">
        <v>45224</v>
      </c>
      <c r="M204" s="969">
        <v>62890.082021000002</v>
      </c>
      <c r="N204" s="969">
        <v>92607.900000000009</v>
      </c>
      <c r="O204" s="974">
        <v>1563.9523288619937</v>
      </c>
      <c r="Q204" s="967">
        <v>45125</v>
      </c>
      <c r="R204" s="966">
        <v>48050</v>
      </c>
      <c r="S204" s="971">
        <v>0.48955397620252</v>
      </c>
      <c r="T204" s="969">
        <v>-1.3732599999999999</v>
      </c>
      <c r="U204" s="966">
        <v>1828.4</v>
      </c>
      <c r="V204" s="966">
        <v>229.13</v>
      </c>
      <c r="W204" s="971">
        <f t="shared" si="3"/>
        <v>-5.9933662113210839E-3</v>
      </c>
      <c r="Y204" s="967">
        <v>45197</v>
      </c>
      <c r="Z204" s="974">
        <f ca="1">H154*Valuation_Senario!$L$372</f>
        <v>698.86805543999992</v>
      </c>
      <c r="AA204" s="973">
        <v>49.59</v>
      </c>
      <c r="AM204" s="967">
        <v>45125</v>
      </c>
      <c r="AN204" s="974">
        <v>2673.5669296000001</v>
      </c>
      <c r="AO204" s="38">
        <v>0.48955397620252</v>
      </c>
      <c r="AS204" s="967">
        <v>45224</v>
      </c>
      <c r="AT204" s="974">
        <v>62890.082021000002</v>
      </c>
      <c r="AU204" s="974">
        <v>92607.900000000009</v>
      </c>
      <c r="AV204" s="974">
        <v>1563.9523288619937</v>
      </c>
    </row>
    <row r="205" spans="1:48">
      <c r="A205" s="966">
        <v>198</v>
      </c>
      <c r="B205" s="967">
        <v>45240</v>
      </c>
      <c r="C205" s="966">
        <v>39400</v>
      </c>
      <c r="D205" s="966">
        <v>25.2195</v>
      </c>
      <c r="E205" s="966">
        <v>25.2195</v>
      </c>
      <c r="F205" s="966">
        <v>85623.1</v>
      </c>
      <c r="G205" s="966">
        <v>57624.865851800001</v>
      </c>
      <c r="H205" s="974">
        <v>475.91</v>
      </c>
      <c r="I205" s="966">
        <v>26.61</v>
      </c>
      <c r="J205" s="973">
        <v>1.4634086669000002</v>
      </c>
      <c r="L205" s="990">
        <v>45225</v>
      </c>
      <c r="M205" s="969">
        <v>62890.082021000002</v>
      </c>
      <c r="N205" s="969">
        <v>92607.900000000009</v>
      </c>
      <c r="O205" s="974">
        <v>1563.965643973745</v>
      </c>
      <c r="Q205" s="967">
        <v>45124</v>
      </c>
      <c r="R205" s="966">
        <v>48650</v>
      </c>
      <c r="S205" s="971">
        <v>0.48999781270265003</v>
      </c>
      <c r="T205" s="969">
        <v>0</v>
      </c>
      <c r="U205" s="966">
        <v>1828.4</v>
      </c>
      <c r="V205" s="966">
        <v>162.34</v>
      </c>
      <c r="W205" s="971">
        <f t="shared" si="3"/>
        <v>0</v>
      </c>
      <c r="Y205" s="967">
        <v>45196</v>
      </c>
      <c r="Z205" s="974">
        <f ca="1">H155*Valuation_Senario!$L$372</f>
        <v>698.86805543999992</v>
      </c>
      <c r="AA205" s="973">
        <v>48.66</v>
      </c>
      <c r="AM205" s="967">
        <v>45124</v>
      </c>
      <c r="AN205" s="974">
        <v>2673.5669296000001</v>
      </c>
      <c r="AO205" s="38">
        <v>0.48999781270265003</v>
      </c>
      <c r="AS205" s="967">
        <v>45225</v>
      </c>
      <c r="AT205" s="974">
        <v>62890.082021000002</v>
      </c>
      <c r="AU205" s="974">
        <v>92607.900000000009</v>
      </c>
      <c r="AV205" s="974">
        <v>1563.965643973745</v>
      </c>
    </row>
    <row r="206" spans="1:48">
      <c r="A206" s="966">
        <v>199</v>
      </c>
      <c r="B206" s="967">
        <v>45239</v>
      </c>
      <c r="C206" s="966">
        <v>40300</v>
      </c>
      <c r="D206" s="966">
        <v>30.177975100000001</v>
      </c>
      <c r="E206" s="966">
        <v>60.505656399999999</v>
      </c>
      <c r="F206" s="966">
        <v>86793.51</v>
      </c>
      <c r="G206" s="966">
        <v>58941.1698941</v>
      </c>
      <c r="H206" s="974">
        <v>475.91</v>
      </c>
      <c r="I206" s="966">
        <v>27.05</v>
      </c>
      <c r="J206" s="973">
        <v>1.4634086669000002</v>
      </c>
      <c r="L206" s="990">
        <v>45226</v>
      </c>
      <c r="M206" s="969">
        <v>63621.362044499998</v>
      </c>
      <c r="N206" s="969">
        <v>92607.900000000009</v>
      </c>
      <c r="O206" s="974">
        <v>1563.9643248025261</v>
      </c>
      <c r="Q206" s="967">
        <v>45121</v>
      </c>
      <c r="R206" s="966">
        <v>49450</v>
      </c>
      <c r="S206" s="971">
        <v>0.48999999942597999</v>
      </c>
      <c r="T206" s="969">
        <v>-30.327681299999998</v>
      </c>
      <c r="U206" s="966">
        <v>1828.4</v>
      </c>
      <c r="V206" s="966">
        <v>322.22000000000003</v>
      </c>
      <c r="W206" s="971">
        <f t="shared" si="3"/>
        <v>-9.412103935199552E-2</v>
      </c>
      <c r="Y206" s="967">
        <v>45195</v>
      </c>
      <c r="Z206" s="974">
        <f ca="1">H156*Valuation_Senario!$L$372</f>
        <v>698.86805543999992</v>
      </c>
      <c r="AA206" s="973">
        <v>48.19</v>
      </c>
      <c r="AM206" s="967">
        <v>45121</v>
      </c>
      <c r="AN206" s="974">
        <v>2673.5669296000001</v>
      </c>
      <c r="AO206" s="38">
        <v>0.48999999942597999</v>
      </c>
      <c r="AS206" s="967">
        <v>45226</v>
      </c>
      <c r="AT206" s="974">
        <v>63621.362044499998</v>
      </c>
      <c r="AU206" s="974">
        <v>92607.900000000009</v>
      </c>
      <c r="AV206" s="974">
        <v>1563.9643248025261</v>
      </c>
    </row>
    <row r="207" spans="1:48">
      <c r="A207" s="966">
        <v>200</v>
      </c>
      <c r="B207" s="967">
        <v>45238</v>
      </c>
      <c r="C207" s="966">
        <v>39600</v>
      </c>
      <c r="D207" s="966">
        <v>67.049657699999997</v>
      </c>
      <c r="E207" s="966">
        <v>0.15808</v>
      </c>
      <c r="F207" s="966">
        <v>86647.21</v>
      </c>
      <c r="G207" s="966">
        <v>57917.377861200002</v>
      </c>
      <c r="H207" s="974">
        <v>475.91</v>
      </c>
      <c r="I207" s="966">
        <v>26.99</v>
      </c>
      <c r="J207" s="973">
        <v>1.4634086669000002</v>
      </c>
      <c r="L207" s="990">
        <v>45229</v>
      </c>
      <c r="M207" s="969">
        <v>61427.521974000003</v>
      </c>
      <c r="N207" s="969">
        <v>92607.900000000009</v>
      </c>
      <c r="O207" s="974">
        <v>1563.9630056206199</v>
      </c>
      <c r="Q207" s="967">
        <v>45120</v>
      </c>
      <c r="R207" s="966">
        <v>49350</v>
      </c>
      <c r="S207" s="971">
        <v>0.48999288984176997</v>
      </c>
      <c r="T207" s="969">
        <v>66.891577699999999</v>
      </c>
      <c r="U207" s="966">
        <v>1828.4</v>
      </c>
      <c r="V207" s="966">
        <v>305.43</v>
      </c>
      <c r="W207" s="971">
        <f t="shared" si="3"/>
        <v>0.2190078829846446</v>
      </c>
      <c r="Y207" s="967">
        <v>45194</v>
      </c>
      <c r="Z207" s="974">
        <f ca="1">H157*Valuation_Senario!$L$372</f>
        <v>698.86805543999992</v>
      </c>
      <c r="AA207" s="973">
        <v>47.72</v>
      </c>
      <c r="AM207" s="967">
        <v>45120</v>
      </c>
      <c r="AN207" s="974">
        <v>2673.5669296000001</v>
      </c>
      <c r="AO207" s="38">
        <v>0.48999288984176997</v>
      </c>
      <c r="AS207" s="967">
        <v>45229</v>
      </c>
      <c r="AT207" s="974">
        <v>61427.521974000003</v>
      </c>
      <c r="AU207" s="974">
        <v>92607.900000000009</v>
      </c>
      <c r="AV207" s="974">
        <v>1563.9630056206199</v>
      </c>
    </row>
    <row r="208" spans="1:48">
      <c r="A208" s="966">
        <v>201</v>
      </c>
      <c r="B208" s="967">
        <v>45237</v>
      </c>
      <c r="C208" s="966">
        <v>38200</v>
      </c>
      <c r="D208" s="966">
        <v>82.872607599999995</v>
      </c>
      <c r="E208" s="966">
        <v>82.871123600000004</v>
      </c>
      <c r="F208" s="966">
        <v>86354.61</v>
      </c>
      <c r="G208" s="966">
        <v>55869.793795400001</v>
      </c>
      <c r="H208" s="974">
        <v>475.91</v>
      </c>
      <c r="I208" s="966">
        <v>26.88</v>
      </c>
      <c r="J208" s="973">
        <v>1.4634086669000002</v>
      </c>
      <c r="L208" s="990">
        <v>45230</v>
      </c>
      <c r="M208" s="969">
        <v>61427.521974000003</v>
      </c>
      <c r="N208" s="969">
        <v>92607.900000000009</v>
      </c>
      <c r="O208" s="974">
        <v>1563.961686449401</v>
      </c>
      <c r="Q208" s="967">
        <v>45119</v>
      </c>
      <c r="R208" s="966">
        <v>49150</v>
      </c>
      <c r="S208" s="971">
        <v>0.48907768052801998</v>
      </c>
      <c r="T208" s="969">
        <v>1.4840000000000001E-3</v>
      </c>
      <c r="U208" s="966">
        <v>1828.41</v>
      </c>
      <c r="V208" s="966">
        <v>317</v>
      </c>
      <c r="W208" s="971">
        <f t="shared" si="3"/>
        <v>4.6813880126182967E-6</v>
      </c>
      <c r="Y208" s="967">
        <v>45191</v>
      </c>
      <c r="Z208" s="974">
        <f ca="1">H158*Valuation_Senario!$L$372</f>
        <v>698.86805543999992</v>
      </c>
      <c r="AA208" s="973">
        <v>48.75</v>
      </c>
      <c r="AM208" s="967">
        <v>45119</v>
      </c>
      <c r="AN208" s="974">
        <v>2673.5815520400001</v>
      </c>
      <c r="AO208" s="38">
        <v>0.48907768052801998</v>
      </c>
      <c r="AS208" s="967">
        <v>45230</v>
      </c>
      <c r="AT208" s="974">
        <v>61427.521974000003</v>
      </c>
      <c r="AU208" s="974">
        <v>92607.900000000009</v>
      </c>
      <c r="AV208" s="974">
        <v>1563.961686449401</v>
      </c>
    </row>
    <row r="209" spans="1:48">
      <c r="A209" s="966">
        <v>202</v>
      </c>
      <c r="B209" s="967">
        <v>45236</v>
      </c>
      <c r="C209" s="966">
        <v>38050</v>
      </c>
      <c r="D209" s="966">
        <v>28.4130191</v>
      </c>
      <c r="E209" s="966">
        <v>30.0957191</v>
      </c>
      <c r="F209" s="966">
        <v>85842.559999999998</v>
      </c>
      <c r="G209" s="966">
        <v>55650.40978835</v>
      </c>
      <c r="H209" s="974">
        <v>475.91</v>
      </c>
      <c r="I209" s="966">
        <v>26.69</v>
      </c>
      <c r="J209" s="973">
        <v>1.4634086669000002</v>
      </c>
      <c r="L209" s="990">
        <v>45231</v>
      </c>
      <c r="M209" s="969">
        <v>59233.681903500001</v>
      </c>
      <c r="N209" s="969">
        <v>92607.900000000009</v>
      </c>
      <c r="O209" s="974">
        <v>1563.9577289143701</v>
      </c>
      <c r="Q209" s="967">
        <v>45118</v>
      </c>
      <c r="R209" s="966">
        <v>48800</v>
      </c>
      <c r="S209" s="971">
        <v>0.48999997892545</v>
      </c>
      <c r="T209" s="969">
        <v>-1.6827000000000001</v>
      </c>
      <c r="U209" s="966">
        <v>1828.41</v>
      </c>
      <c r="V209" s="966">
        <v>424.14</v>
      </c>
      <c r="W209" s="971">
        <f t="shared" si="3"/>
        <v>-3.9673221106238509E-3</v>
      </c>
      <c r="Y209" s="967">
        <v>45190</v>
      </c>
      <c r="Z209" s="974">
        <f ca="1">H159*Valuation_Senario!$L$372</f>
        <v>698.86805543999992</v>
      </c>
      <c r="AA209" s="973">
        <v>50.72</v>
      </c>
      <c r="AM209" s="967">
        <v>45118</v>
      </c>
      <c r="AN209" s="974">
        <v>2673.5815520400001</v>
      </c>
      <c r="AO209" s="38">
        <v>0.48999997892545</v>
      </c>
      <c r="AS209" s="967">
        <v>45231</v>
      </c>
      <c r="AT209" s="974">
        <v>59233.681903500001</v>
      </c>
      <c r="AU209" s="974">
        <v>92607.900000000009</v>
      </c>
      <c r="AV209" s="974">
        <v>1563.9577289143701</v>
      </c>
    </row>
    <row r="210" spans="1:48">
      <c r="A210" s="966">
        <v>203</v>
      </c>
      <c r="B210" s="967">
        <v>45233</v>
      </c>
      <c r="C210" s="966">
        <v>38950</v>
      </c>
      <c r="D210" s="966">
        <v>75.228654500000005</v>
      </c>
      <c r="E210" s="966">
        <v>119.98864450000001</v>
      </c>
      <c r="F210" s="966">
        <v>84306.39</v>
      </c>
      <c r="G210" s="966">
        <v>56966.713830649998</v>
      </c>
      <c r="H210" s="974">
        <v>475.91</v>
      </c>
      <c r="I210" s="966">
        <v>26.12</v>
      </c>
      <c r="J210" s="973">
        <v>1.4634086669000002</v>
      </c>
      <c r="L210" s="990">
        <v>45232</v>
      </c>
      <c r="M210" s="969">
        <v>55138.513771899998</v>
      </c>
      <c r="N210" s="969">
        <v>92607.900000000009</v>
      </c>
      <c r="O210" s="974">
        <v>696.45081866437909</v>
      </c>
      <c r="Q210" s="967">
        <v>45117</v>
      </c>
      <c r="R210" s="966">
        <v>47750</v>
      </c>
      <c r="S210" s="971">
        <v>0.48999999942597999</v>
      </c>
      <c r="T210" s="969">
        <v>-44.759990000000002</v>
      </c>
      <c r="U210" s="966">
        <v>1828.41</v>
      </c>
      <c r="V210" s="966">
        <v>536.58000000000004</v>
      </c>
      <c r="W210" s="971">
        <f t="shared" si="3"/>
        <v>-8.3417179171791714E-2</v>
      </c>
      <c r="Y210" s="967">
        <v>45189</v>
      </c>
      <c r="Z210" s="974">
        <f ca="1">H160*Valuation_Senario!$L$372</f>
        <v>698.86805543999992</v>
      </c>
      <c r="AA210" s="973">
        <v>52.21</v>
      </c>
      <c r="AM210" s="967">
        <v>45117</v>
      </c>
      <c r="AN210" s="974">
        <v>2673.5815520400001</v>
      </c>
      <c r="AO210" s="38">
        <v>0.48999999942597999</v>
      </c>
      <c r="AS210" s="967">
        <v>45232</v>
      </c>
      <c r="AT210" s="974">
        <v>55138.513771899998</v>
      </c>
      <c r="AU210" s="974">
        <v>92607.900000000009</v>
      </c>
      <c r="AV210" s="974">
        <v>696.45081866437909</v>
      </c>
    </row>
    <row r="211" spans="1:48">
      <c r="A211" s="966">
        <v>204</v>
      </c>
      <c r="B211" s="967">
        <v>45232</v>
      </c>
      <c r="C211" s="966">
        <v>37000</v>
      </c>
      <c r="D211" s="966">
        <v>110.1657477</v>
      </c>
      <c r="E211" s="966">
        <v>100.7269117</v>
      </c>
      <c r="F211" s="966">
        <v>81014.62</v>
      </c>
      <c r="G211" s="966">
        <v>54114.721739000001</v>
      </c>
      <c r="H211" s="974">
        <v>475.91</v>
      </c>
      <c r="I211" s="966">
        <v>24.89</v>
      </c>
      <c r="J211" s="973">
        <v>1.4634086669000002</v>
      </c>
      <c r="L211" s="990">
        <v>45233</v>
      </c>
      <c r="M211" s="969">
        <v>51335.857649700003</v>
      </c>
      <c r="N211" s="969">
        <v>92607.900000000009</v>
      </c>
      <c r="O211" s="974">
        <v>696.45081866437909</v>
      </c>
      <c r="Q211" s="967">
        <v>45114</v>
      </c>
      <c r="R211" s="966">
        <v>45500</v>
      </c>
      <c r="S211" s="971">
        <v>0.48971299198940998</v>
      </c>
      <c r="T211" s="969">
        <v>9.4388360000000002</v>
      </c>
      <c r="U211" s="966">
        <v>1828.41</v>
      </c>
      <c r="V211" s="966">
        <v>437.58</v>
      </c>
      <c r="W211" s="971">
        <f t="shared" si="3"/>
        <v>2.1570537958773253E-2</v>
      </c>
      <c r="Y211" s="967">
        <v>45188</v>
      </c>
      <c r="Z211" s="974">
        <f ca="1">H161*Valuation_Senario!$L$372</f>
        <v>698.86805543999992</v>
      </c>
      <c r="AA211" s="973">
        <v>51.93</v>
      </c>
      <c r="AM211" s="967">
        <v>45114</v>
      </c>
      <c r="AN211" s="974">
        <v>2673.5815520400001</v>
      </c>
      <c r="AO211" s="38">
        <v>0.48971299198940998</v>
      </c>
      <c r="AS211" s="967">
        <v>45233</v>
      </c>
      <c r="AT211" s="974">
        <v>51335.857649700003</v>
      </c>
      <c r="AU211" s="974">
        <v>92607.900000000009</v>
      </c>
      <c r="AV211" s="974">
        <v>696.45081866437909</v>
      </c>
    </row>
    <row r="212" spans="1:48">
      <c r="A212" s="966">
        <v>205</v>
      </c>
      <c r="B212" s="967">
        <v>45231</v>
      </c>
      <c r="C212" s="966">
        <v>35100</v>
      </c>
      <c r="D212" s="966">
        <v>0</v>
      </c>
      <c r="E212" s="966">
        <v>0</v>
      </c>
      <c r="F212" s="966">
        <v>77649.7</v>
      </c>
      <c r="G212" s="966">
        <v>51335.857649700003</v>
      </c>
      <c r="H212" s="974">
        <v>475.91</v>
      </c>
      <c r="I212" s="966">
        <v>23.63</v>
      </c>
      <c r="J212" s="973">
        <v>1.4634086669000002</v>
      </c>
      <c r="L212" s="990">
        <v>45236</v>
      </c>
      <c r="M212" s="969">
        <v>54114.721739000001</v>
      </c>
      <c r="N212" s="969">
        <v>92607.900000000009</v>
      </c>
      <c r="O212" s="974">
        <v>696.45081866437909</v>
      </c>
      <c r="Q212" s="967">
        <v>45113</v>
      </c>
      <c r="R212" s="966">
        <v>43200</v>
      </c>
      <c r="S212" s="971">
        <v>0.48985443540431001</v>
      </c>
      <c r="T212" s="969">
        <v>0</v>
      </c>
      <c r="U212" s="966">
        <v>1828.41</v>
      </c>
      <c r="V212" s="966">
        <v>196.26</v>
      </c>
      <c r="W212" s="971">
        <f t="shared" si="3"/>
        <v>0</v>
      </c>
      <c r="Y212" s="967">
        <v>45187</v>
      </c>
      <c r="Z212" s="974">
        <f ca="1">H162*Valuation_Senario!$L$372</f>
        <v>698.86805543999992</v>
      </c>
      <c r="AA212" s="973">
        <v>51.47</v>
      </c>
      <c r="AM212" s="967">
        <v>45113</v>
      </c>
      <c r="AN212" s="974">
        <v>2673.5815520400001</v>
      </c>
      <c r="AO212" s="38">
        <v>0.48985443540431001</v>
      </c>
      <c r="AS212" s="967">
        <v>45236</v>
      </c>
      <c r="AT212" s="974">
        <v>54114.721739000001</v>
      </c>
      <c r="AU212" s="974">
        <v>92607.900000000009</v>
      </c>
      <c r="AV212" s="974">
        <v>696.45081866437909</v>
      </c>
    </row>
    <row r="213" spans="1:48">
      <c r="A213" s="966">
        <v>206</v>
      </c>
      <c r="B213" s="967">
        <v>45230</v>
      </c>
      <c r="C213" s="966">
        <v>37700</v>
      </c>
      <c r="D213" s="966">
        <v>114.80563085599999</v>
      </c>
      <c r="E213" s="966">
        <v>133.145190856</v>
      </c>
      <c r="F213" s="966">
        <v>77869.149999999994</v>
      </c>
      <c r="G213" s="966">
        <v>55138.513771899998</v>
      </c>
      <c r="H213" s="974">
        <v>475.91</v>
      </c>
      <c r="I213" s="966">
        <v>23.71</v>
      </c>
      <c r="J213" s="973">
        <v>1.4634086669000002</v>
      </c>
      <c r="L213" s="990">
        <v>45237</v>
      </c>
      <c r="M213" s="969">
        <v>56966.713830649998</v>
      </c>
      <c r="N213" s="969">
        <v>92607.900000000009</v>
      </c>
      <c r="O213" s="974">
        <v>696.45081866437909</v>
      </c>
      <c r="Q213" s="967">
        <v>45112</v>
      </c>
      <c r="R213" s="966">
        <v>43350</v>
      </c>
      <c r="S213" s="971">
        <v>0.48999999942597999</v>
      </c>
      <c r="T213" s="969">
        <v>-18.339559999999999</v>
      </c>
      <c r="U213" s="966">
        <v>1828.41</v>
      </c>
      <c r="V213" s="966">
        <v>433.86</v>
      </c>
      <c r="W213" s="971">
        <f t="shared" si="3"/>
        <v>-4.227068639653344E-2</v>
      </c>
      <c r="Y213" s="967">
        <v>45184</v>
      </c>
      <c r="Z213" s="974">
        <f ca="1">H163*Valuation_Senario!$L$372</f>
        <v>698.86805543999992</v>
      </c>
      <c r="AA213" s="973">
        <v>52.31</v>
      </c>
      <c r="AM213" s="967">
        <v>45112</v>
      </c>
      <c r="AN213" s="974">
        <v>2673.5815520400001</v>
      </c>
      <c r="AO213" s="38">
        <v>0.48999999942597999</v>
      </c>
      <c r="AS213" s="967">
        <v>45237</v>
      </c>
      <c r="AT213" s="974">
        <v>56966.713830649998</v>
      </c>
      <c r="AU213" s="974">
        <v>92607.900000000009</v>
      </c>
      <c r="AV213" s="974">
        <v>696.45081866437909</v>
      </c>
    </row>
    <row r="214" spans="1:48">
      <c r="A214" s="966">
        <v>207</v>
      </c>
      <c r="B214" s="967">
        <v>45229</v>
      </c>
      <c r="C214" s="966">
        <v>40500</v>
      </c>
      <c r="D214" s="966">
        <v>47.001708999999998</v>
      </c>
      <c r="E214" s="966">
        <v>60.422459000000003</v>
      </c>
      <c r="F214" s="966">
        <v>77722.850000000006</v>
      </c>
      <c r="G214" s="966">
        <v>59233.681903500001</v>
      </c>
      <c r="H214" s="974">
        <v>1068.7</v>
      </c>
      <c r="I214" s="966">
        <v>23.65</v>
      </c>
      <c r="J214" s="973">
        <v>1.4634207251</v>
      </c>
      <c r="L214" s="990">
        <v>45238</v>
      </c>
      <c r="M214" s="969">
        <v>55650.40978835</v>
      </c>
      <c r="N214" s="969">
        <v>92607.900000000009</v>
      </c>
      <c r="O214" s="974">
        <v>696.45081866437909</v>
      </c>
      <c r="Q214" s="967">
        <v>45111</v>
      </c>
      <c r="R214" s="966">
        <v>43250</v>
      </c>
      <c r="S214" s="971">
        <v>0.48999999942597999</v>
      </c>
      <c r="T214" s="969">
        <v>-13.42075</v>
      </c>
      <c r="U214" s="966">
        <v>1828.41</v>
      </c>
      <c r="V214" s="966">
        <v>238.57</v>
      </c>
      <c r="W214" s="971">
        <f t="shared" si="3"/>
        <v>-5.6254977574716016E-2</v>
      </c>
      <c r="Y214" s="967">
        <v>45183</v>
      </c>
      <c r="Z214" s="974">
        <f ca="1">H164*Valuation_Senario!$L$372</f>
        <v>698.86805543999992</v>
      </c>
      <c r="AA214" s="973">
        <v>53.62</v>
      </c>
      <c r="AM214" s="967">
        <v>45111</v>
      </c>
      <c r="AN214" s="974">
        <v>2673.5815520400001</v>
      </c>
      <c r="AO214" s="38">
        <v>0.48999999942597999</v>
      </c>
      <c r="AS214" s="967">
        <v>45238</v>
      </c>
      <c r="AT214" s="974">
        <v>55650.40978835</v>
      </c>
      <c r="AU214" s="974">
        <v>92607.900000000009</v>
      </c>
      <c r="AV214" s="974">
        <v>696.45081866437909</v>
      </c>
    </row>
    <row r="215" spans="1:48">
      <c r="A215" s="966">
        <v>208</v>
      </c>
      <c r="B215" s="967">
        <v>45226</v>
      </c>
      <c r="C215" s="966">
        <v>42000</v>
      </c>
      <c r="D215" s="966">
        <v>43.7114799</v>
      </c>
      <c r="E215" s="966">
        <v>43.7114799</v>
      </c>
      <c r="F215" s="966">
        <v>77357.09</v>
      </c>
      <c r="G215" s="966">
        <v>61427.521974000003</v>
      </c>
      <c r="H215" s="974">
        <v>1068.7</v>
      </c>
      <c r="I215" s="966">
        <v>23.52</v>
      </c>
      <c r="J215" s="973">
        <v>1.46342442823</v>
      </c>
      <c r="L215" s="990">
        <v>45239</v>
      </c>
      <c r="M215" s="969">
        <v>55869.793795400001</v>
      </c>
      <c r="N215" s="969">
        <v>92607.900000000009</v>
      </c>
      <c r="O215" s="974">
        <v>696.45081866437909</v>
      </c>
      <c r="Q215" s="967">
        <v>45110</v>
      </c>
      <c r="R215" s="966">
        <v>43000</v>
      </c>
      <c r="S215" s="971">
        <v>0.48999999942597999</v>
      </c>
      <c r="T215" s="969">
        <v>0</v>
      </c>
      <c r="U215" s="966">
        <v>1828.41</v>
      </c>
      <c r="V215" s="966">
        <v>121.29</v>
      </c>
      <c r="W215" s="971">
        <f t="shared" si="3"/>
        <v>0</v>
      </c>
      <c r="Y215" s="967">
        <v>45182</v>
      </c>
      <c r="Z215" s="974">
        <f ca="1">H165*Valuation_Senario!$L$372</f>
        <v>698.86805543999992</v>
      </c>
      <c r="AA215" s="973">
        <v>53.81</v>
      </c>
      <c r="AM215" s="967">
        <v>45110</v>
      </c>
      <c r="AN215" s="974">
        <v>2673.5815520400001</v>
      </c>
      <c r="AO215" s="38">
        <v>0.48999999942597999</v>
      </c>
      <c r="AS215" s="967">
        <v>45239</v>
      </c>
      <c r="AT215" s="974">
        <v>55869.793795400001</v>
      </c>
      <c r="AU215" s="974">
        <v>92607.900000000009</v>
      </c>
      <c r="AV215" s="974">
        <v>696.45081866437909</v>
      </c>
    </row>
    <row r="216" spans="1:48">
      <c r="A216" s="966">
        <v>209</v>
      </c>
      <c r="B216" s="967">
        <v>45225</v>
      </c>
      <c r="C216" s="966">
        <v>42000</v>
      </c>
      <c r="D216" s="966">
        <v>72.2773349</v>
      </c>
      <c r="E216" s="966">
        <v>72.380824899999993</v>
      </c>
      <c r="F216" s="966">
        <v>77796</v>
      </c>
      <c r="G216" s="966">
        <v>61427.521974000003</v>
      </c>
      <c r="H216" s="974">
        <v>1068.7</v>
      </c>
      <c r="I216" s="966">
        <v>23.68</v>
      </c>
      <c r="J216" s="973">
        <v>1.4634256626</v>
      </c>
      <c r="L216" s="990">
        <v>45240</v>
      </c>
      <c r="M216" s="969">
        <v>57917.377861200002</v>
      </c>
      <c r="N216" s="969">
        <v>92607.900000000009</v>
      </c>
      <c r="O216" s="974">
        <v>696.45081866437909</v>
      </c>
      <c r="Q216" s="967">
        <v>45107</v>
      </c>
      <c r="R216" s="966">
        <v>43300</v>
      </c>
      <c r="S216" s="971">
        <v>0.48999999942597999</v>
      </c>
      <c r="T216" s="969">
        <v>-0.10349</v>
      </c>
      <c r="U216" s="966">
        <v>1828.41</v>
      </c>
      <c r="V216" s="966">
        <v>224.03</v>
      </c>
      <c r="W216" s="971">
        <f t="shared" si="3"/>
        <v>-4.6194706066151855E-4</v>
      </c>
      <c r="Y216" s="967">
        <v>45181</v>
      </c>
      <c r="Z216" s="974">
        <f ca="1">H166*Valuation_Senario!$L$372</f>
        <v>698.86805543999992</v>
      </c>
      <c r="AA216" s="973">
        <v>52.22</v>
      </c>
      <c r="AM216" s="967">
        <v>45107</v>
      </c>
      <c r="AN216" s="974">
        <v>2673.5815520400001</v>
      </c>
      <c r="AO216" s="38">
        <v>0.48999999942597999</v>
      </c>
      <c r="AS216" s="967">
        <v>45240</v>
      </c>
      <c r="AT216" s="974">
        <v>57917.377861200002</v>
      </c>
      <c r="AU216" s="974">
        <v>92607.900000000009</v>
      </c>
      <c r="AV216" s="974">
        <v>696.45081866437909</v>
      </c>
    </row>
    <row r="217" spans="1:48">
      <c r="A217" s="966">
        <v>210</v>
      </c>
      <c r="B217" s="967">
        <v>45224</v>
      </c>
      <c r="C217" s="966">
        <v>43500</v>
      </c>
      <c r="D217" s="966">
        <v>68.344441900000007</v>
      </c>
      <c r="E217" s="966">
        <v>68.3791619</v>
      </c>
      <c r="F217" s="966">
        <v>76918.19</v>
      </c>
      <c r="G217" s="966">
        <v>63621.362044499998</v>
      </c>
      <c r="H217" s="974">
        <v>1068.7</v>
      </c>
      <c r="I217" s="966">
        <v>23.35</v>
      </c>
      <c r="J217" s="973">
        <v>1.4634268969799999</v>
      </c>
      <c r="L217" s="990">
        <v>45243</v>
      </c>
      <c r="M217" s="969">
        <v>58941.1698941</v>
      </c>
      <c r="N217" s="969">
        <v>92607.900000000009</v>
      </c>
      <c r="O217" s="974">
        <v>696.45081866437909</v>
      </c>
      <c r="Q217" s="967">
        <v>45106</v>
      </c>
      <c r="R217" s="966">
        <v>42700</v>
      </c>
      <c r="S217" s="971">
        <v>0.48999999942597999</v>
      </c>
      <c r="T217" s="969">
        <v>-3.4720000000000001E-2</v>
      </c>
      <c r="U217" s="966">
        <v>1828.41</v>
      </c>
      <c r="V217" s="966">
        <v>210.15</v>
      </c>
      <c r="W217" s="971">
        <f t="shared" si="3"/>
        <v>-1.6521532238876992E-4</v>
      </c>
      <c r="Y217" s="967">
        <v>45180</v>
      </c>
      <c r="Z217" s="974">
        <f ca="1">H167*Valuation_Senario!$L$372</f>
        <v>698.86805543999992</v>
      </c>
      <c r="AA217" s="973">
        <v>51</v>
      </c>
      <c r="AM217" s="967">
        <v>45106</v>
      </c>
      <c r="AN217" s="974">
        <v>2673.5815520400001</v>
      </c>
      <c r="AO217" s="38">
        <v>0.48999999942597999</v>
      </c>
      <c r="AS217" s="967">
        <v>45243</v>
      </c>
      <c r="AT217" s="974">
        <v>58941.1698941</v>
      </c>
      <c r="AU217" s="974">
        <v>92607.900000000009</v>
      </c>
      <c r="AV217" s="974">
        <v>696.45081866437909</v>
      </c>
    </row>
    <row r="218" spans="1:48">
      <c r="A218" s="966">
        <v>211</v>
      </c>
      <c r="B218" s="967">
        <v>45223</v>
      </c>
      <c r="C218" s="966">
        <v>43000</v>
      </c>
      <c r="D218" s="966">
        <v>30.104443199999999</v>
      </c>
      <c r="E218" s="966">
        <v>35.358873199999998</v>
      </c>
      <c r="F218" s="966">
        <v>78673.8</v>
      </c>
      <c r="G218" s="966">
        <v>62890.082021000002</v>
      </c>
      <c r="H218" s="974">
        <v>1068.7</v>
      </c>
      <c r="I218" s="966">
        <v>24.01</v>
      </c>
      <c r="J218" s="973">
        <v>1.4634281313499999</v>
      </c>
      <c r="L218" s="990">
        <v>45244</v>
      </c>
      <c r="M218" s="969">
        <v>57624.865851800001</v>
      </c>
      <c r="N218" s="969">
        <v>92607.900000000009</v>
      </c>
      <c r="O218" s="974">
        <v>696.45081866437909</v>
      </c>
      <c r="Q218" s="967">
        <v>45105</v>
      </c>
      <c r="R218" s="966">
        <v>43900</v>
      </c>
      <c r="S218" s="971">
        <v>0.48999999942597999</v>
      </c>
      <c r="T218" s="969">
        <v>-5.2544300000000002</v>
      </c>
      <c r="U218" s="966">
        <v>1828.41</v>
      </c>
      <c r="V218" s="966">
        <v>204.24</v>
      </c>
      <c r="W218" s="971">
        <f t="shared" si="3"/>
        <v>-2.572674304739522E-2</v>
      </c>
      <c r="Y218" s="967">
        <v>45177</v>
      </c>
      <c r="Z218" s="974">
        <f ca="1">H168*Valuation_Senario!$L$372</f>
        <v>698.86805543999992</v>
      </c>
      <c r="AA218" s="973">
        <v>51.93</v>
      </c>
      <c r="AM218" s="967">
        <v>45105</v>
      </c>
      <c r="AN218" s="974">
        <v>2673.5815520400001</v>
      </c>
      <c r="AO218" s="38">
        <v>0.48999999942597999</v>
      </c>
      <c r="AS218" s="967">
        <v>45244</v>
      </c>
      <c r="AT218" s="974">
        <v>57624.865851800001</v>
      </c>
      <c r="AU218" s="974">
        <v>92607.900000000009</v>
      </c>
      <c r="AV218" s="974">
        <v>696.45081866437909</v>
      </c>
    </row>
    <row r="219" spans="1:48">
      <c r="A219" s="966">
        <v>212</v>
      </c>
      <c r="B219" s="967">
        <v>45222</v>
      </c>
      <c r="C219" s="966">
        <v>43000</v>
      </c>
      <c r="D219" s="966">
        <v>59.753408800000003</v>
      </c>
      <c r="E219" s="966">
        <v>59.753408800000003</v>
      </c>
      <c r="F219" s="966">
        <v>79112.710000000006</v>
      </c>
      <c r="G219" s="966">
        <v>62890.082021000002</v>
      </c>
      <c r="H219" s="974">
        <v>1068.69</v>
      </c>
      <c r="I219" s="966">
        <v>24.17</v>
      </c>
      <c r="J219" s="973">
        <v>1.4634293657299999</v>
      </c>
      <c r="L219" s="990">
        <v>45245</v>
      </c>
      <c r="M219" s="969">
        <v>58502.401879999998</v>
      </c>
      <c r="N219" s="969">
        <v>92607.900000000009</v>
      </c>
      <c r="O219" s="974">
        <v>696.45081866437909</v>
      </c>
      <c r="Q219" s="967">
        <v>45104</v>
      </c>
      <c r="R219" s="966">
        <v>44200</v>
      </c>
      <c r="S219" s="971">
        <v>0.48999999942597999</v>
      </c>
      <c r="T219" s="969">
        <v>0</v>
      </c>
      <c r="U219" s="966">
        <v>1828.41</v>
      </c>
      <c r="V219" s="966">
        <v>171.28</v>
      </c>
      <c r="W219" s="971">
        <f t="shared" si="3"/>
        <v>0</v>
      </c>
      <c r="Y219" s="967">
        <v>45176</v>
      </c>
      <c r="Z219" s="974">
        <f ca="1">H169*Valuation_Senario!$L$372</f>
        <v>698.86805543999992</v>
      </c>
      <c r="AA219" s="973">
        <v>51.47</v>
      </c>
      <c r="AM219" s="967">
        <v>45104</v>
      </c>
      <c r="AN219" s="974">
        <v>2673.5815520400001</v>
      </c>
      <c r="AO219" s="38">
        <v>0.48999999942597999</v>
      </c>
      <c r="AS219" s="967">
        <v>45245</v>
      </c>
      <c r="AT219" s="974">
        <v>58502.401879999998</v>
      </c>
      <c r="AU219" s="974">
        <v>92607.900000000009</v>
      </c>
      <c r="AV219" s="974">
        <v>696.45081866437909</v>
      </c>
    </row>
    <row r="220" spans="1:48">
      <c r="A220" s="966">
        <v>213</v>
      </c>
      <c r="B220" s="967">
        <v>45219</v>
      </c>
      <c r="C220" s="966">
        <v>44700</v>
      </c>
      <c r="D220" s="966">
        <v>66.517994400000006</v>
      </c>
      <c r="E220" s="966">
        <v>66.604994399999995</v>
      </c>
      <c r="F220" s="966">
        <v>79332.160000000003</v>
      </c>
      <c r="G220" s="966">
        <v>65376.434100899998</v>
      </c>
      <c r="H220" s="974">
        <v>1068.69</v>
      </c>
      <c r="I220" s="966">
        <v>24.26</v>
      </c>
      <c r="J220" s="973">
        <v>1.4634330688499999</v>
      </c>
      <c r="L220" s="990">
        <v>45246</v>
      </c>
      <c r="M220" s="969">
        <v>60696.2419505</v>
      </c>
      <c r="N220" s="969">
        <v>92607.900000000009</v>
      </c>
      <c r="O220" s="974">
        <v>696.45081866437909</v>
      </c>
      <c r="Q220" s="967">
        <v>45103</v>
      </c>
      <c r="R220" s="966">
        <v>44350</v>
      </c>
      <c r="S220" s="971">
        <v>0.48999999942597999</v>
      </c>
      <c r="T220" s="969">
        <v>-8.6999999999999994E-2</v>
      </c>
      <c r="U220" s="966">
        <v>1828.41</v>
      </c>
      <c r="V220" s="966">
        <v>304.56</v>
      </c>
      <c r="W220" s="971">
        <f t="shared" si="3"/>
        <v>-2.8565799842395585E-4</v>
      </c>
      <c r="Y220" s="967">
        <v>45175</v>
      </c>
      <c r="Z220" s="974">
        <f ca="1">H170*Valuation_Senario!$L$372</f>
        <v>698.86805543999992</v>
      </c>
      <c r="AA220" s="973">
        <v>51.47</v>
      </c>
      <c r="AM220" s="967">
        <v>45103</v>
      </c>
      <c r="AN220" s="974">
        <v>2673.5815520400001</v>
      </c>
      <c r="AO220" s="38">
        <v>0.48999999942597999</v>
      </c>
      <c r="AS220" s="967">
        <v>45246</v>
      </c>
      <c r="AT220" s="974">
        <v>60696.2419505</v>
      </c>
      <c r="AU220" s="974">
        <v>92607.900000000009</v>
      </c>
      <c r="AV220" s="974">
        <v>696.45081866437909</v>
      </c>
    </row>
    <row r="221" spans="1:48">
      <c r="A221" s="966">
        <v>214</v>
      </c>
      <c r="B221" s="967">
        <v>45218</v>
      </c>
      <c r="C221" s="966">
        <v>43000</v>
      </c>
      <c r="D221" s="966">
        <v>81.982009199999993</v>
      </c>
      <c r="E221" s="966">
        <v>81.982009199999993</v>
      </c>
      <c r="F221" s="966">
        <v>77210.789999999994</v>
      </c>
      <c r="G221" s="966">
        <v>62890.082021000002</v>
      </c>
      <c r="H221" s="974">
        <v>1068.69</v>
      </c>
      <c r="I221" s="966">
        <v>23.46</v>
      </c>
      <c r="J221" s="973">
        <v>1.4634343032300001</v>
      </c>
      <c r="L221" s="990">
        <v>45247</v>
      </c>
      <c r="M221" s="969">
        <v>61281.265969300002</v>
      </c>
      <c r="N221" s="969">
        <v>92607.900000000009</v>
      </c>
      <c r="O221" s="974">
        <v>696.45081866437909</v>
      </c>
      <c r="Q221" s="967">
        <v>45100</v>
      </c>
      <c r="R221" s="966">
        <v>42900</v>
      </c>
      <c r="S221" s="971">
        <v>0.48999999942597999</v>
      </c>
      <c r="T221" s="969">
        <v>0</v>
      </c>
      <c r="U221" s="966">
        <v>1828.41</v>
      </c>
      <c r="V221" s="966">
        <v>174.66</v>
      </c>
      <c r="W221" s="971">
        <f t="shared" si="3"/>
        <v>0</v>
      </c>
      <c r="Y221" s="967">
        <v>45174</v>
      </c>
      <c r="Z221" s="974">
        <f ca="1">H171*Valuation_Senario!$L$372</f>
        <v>698.86805543999992</v>
      </c>
      <c r="AA221" s="973">
        <v>50.81</v>
      </c>
      <c r="AM221" s="967">
        <v>45100</v>
      </c>
      <c r="AN221" s="974">
        <v>2673.5815520400001</v>
      </c>
      <c r="AO221" s="38">
        <v>0.48999999942597999</v>
      </c>
      <c r="AS221" s="967">
        <v>45247</v>
      </c>
      <c r="AT221" s="974">
        <v>61281.265969300002</v>
      </c>
      <c r="AU221" s="974">
        <v>92607.900000000009</v>
      </c>
      <c r="AV221" s="974">
        <v>696.45081866437909</v>
      </c>
    </row>
    <row r="222" spans="1:48">
      <c r="A222" s="966">
        <v>215</v>
      </c>
      <c r="B222" s="967">
        <v>45217</v>
      </c>
      <c r="C222" s="966">
        <v>44700</v>
      </c>
      <c r="D222" s="966">
        <v>44.167743199999997</v>
      </c>
      <c r="E222" s="966">
        <v>44.167743199999997</v>
      </c>
      <c r="F222" s="966">
        <v>77430.240000000005</v>
      </c>
      <c r="G222" s="966">
        <v>65376.434100899998</v>
      </c>
      <c r="H222" s="974">
        <v>1068.69</v>
      </c>
      <c r="I222" s="966">
        <v>23.54</v>
      </c>
      <c r="J222" s="973">
        <v>1.4634355376099999</v>
      </c>
      <c r="L222" s="990">
        <v>45250</v>
      </c>
      <c r="M222" s="969">
        <v>60696.2419505</v>
      </c>
      <c r="N222" s="969">
        <v>92607.900000000009</v>
      </c>
      <c r="O222" s="974">
        <v>696.45081866437909</v>
      </c>
      <c r="Q222" s="967">
        <v>45099</v>
      </c>
      <c r="R222" s="966">
        <v>43050</v>
      </c>
      <c r="S222" s="971">
        <v>0.48999999942597999</v>
      </c>
      <c r="T222" s="969">
        <v>0</v>
      </c>
      <c r="U222" s="966">
        <v>1828.41</v>
      </c>
      <c r="V222" s="966">
        <v>221.04</v>
      </c>
      <c r="W222" s="971">
        <f t="shared" si="3"/>
        <v>0</v>
      </c>
      <c r="Y222" s="967">
        <v>45169</v>
      </c>
      <c r="Z222" s="974">
        <f ca="1">H172*Valuation_Senario!$L$372</f>
        <v>698.86805543999992</v>
      </c>
      <c r="AA222" s="973">
        <v>50.34</v>
      </c>
      <c r="AM222" s="967">
        <v>45099</v>
      </c>
      <c r="AN222" s="974">
        <v>2673.5815520400001</v>
      </c>
      <c r="AO222" s="38">
        <v>0.48999999942597999</v>
      </c>
      <c r="AS222" s="967">
        <v>45250</v>
      </c>
      <c r="AT222" s="974">
        <v>60696.2419505</v>
      </c>
      <c r="AU222" s="974">
        <v>92607.900000000009</v>
      </c>
      <c r="AV222" s="974">
        <v>696.45081866437909</v>
      </c>
    </row>
    <row r="223" spans="1:48">
      <c r="A223" s="966">
        <v>216</v>
      </c>
      <c r="B223" s="967">
        <v>45216</v>
      </c>
      <c r="C223" s="966">
        <v>46300</v>
      </c>
      <c r="D223" s="966">
        <v>97.094139999999996</v>
      </c>
      <c r="E223" s="966">
        <v>97.094139999999996</v>
      </c>
      <c r="F223" s="966">
        <v>76918.19</v>
      </c>
      <c r="G223" s="966">
        <v>67716.530176100001</v>
      </c>
      <c r="H223" s="974">
        <v>1068.69</v>
      </c>
      <c r="I223" s="966">
        <v>23.35</v>
      </c>
      <c r="J223" s="973">
        <v>1.4634367719800001</v>
      </c>
      <c r="L223" s="990">
        <v>45251</v>
      </c>
      <c r="M223" s="969">
        <v>60549.985945799999</v>
      </c>
      <c r="N223" s="969">
        <v>92607.900000000009</v>
      </c>
      <c r="O223" s="974">
        <v>696.45081866437909</v>
      </c>
      <c r="Q223" s="967">
        <v>45098</v>
      </c>
      <c r="R223" s="966">
        <v>42700</v>
      </c>
      <c r="S223" s="971">
        <v>0.48999999942597999</v>
      </c>
      <c r="T223" s="969">
        <v>0</v>
      </c>
      <c r="U223" s="966">
        <v>1828.42</v>
      </c>
      <c r="V223" s="966">
        <v>206.22</v>
      </c>
      <c r="W223" s="971">
        <f t="shared" si="3"/>
        <v>0</v>
      </c>
      <c r="Y223" s="967">
        <v>45168</v>
      </c>
      <c r="Z223" s="974">
        <f ca="1">H173*Valuation_Senario!$L$372</f>
        <v>698.86805543999992</v>
      </c>
      <c r="AA223" s="973">
        <v>50.34</v>
      </c>
      <c r="AM223" s="967">
        <v>45098</v>
      </c>
      <c r="AN223" s="974">
        <v>2673.5961744800002</v>
      </c>
      <c r="AO223" s="38">
        <v>0.48999999942597999</v>
      </c>
      <c r="AS223" s="967">
        <v>45251</v>
      </c>
      <c r="AT223" s="974">
        <v>60549.985945799999</v>
      </c>
      <c r="AU223" s="974">
        <v>92607.900000000009</v>
      </c>
      <c r="AV223" s="974">
        <v>696.45081866437909</v>
      </c>
    </row>
    <row r="224" spans="1:48">
      <c r="A224" s="966">
        <v>217</v>
      </c>
      <c r="B224" s="967">
        <v>45215</v>
      </c>
      <c r="C224" s="966">
        <v>48600</v>
      </c>
      <c r="D224" s="966">
        <v>60.065772000000003</v>
      </c>
      <c r="E224" s="966">
        <v>60.065772000000003</v>
      </c>
      <c r="F224" s="966">
        <v>76625.59</v>
      </c>
      <c r="G224" s="966">
        <v>71080.418284200001</v>
      </c>
      <c r="H224" s="974">
        <v>1068.69</v>
      </c>
      <c r="I224" s="966">
        <v>23.24</v>
      </c>
      <c r="J224" s="973">
        <v>1.4634380063599999</v>
      </c>
      <c r="L224" s="990">
        <v>45252</v>
      </c>
      <c r="M224" s="969">
        <v>59306.809905850001</v>
      </c>
      <c r="N224" s="969">
        <v>92607.900000000009</v>
      </c>
      <c r="O224" s="974">
        <v>696.45081866437909</v>
      </c>
      <c r="Q224" s="967">
        <v>45097</v>
      </c>
      <c r="R224" s="966">
        <v>42500</v>
      </c>
      <c r="S224" s="971">
        <v>0.48999999942597999</v>
      </c>
      <c r="T224" s="969">
        <v>0</v>
      </c>
      <c r="U224" s="966">
        <v>1828.42</v>
      </c>
      <c r="V224" s="966">
        <v>164.59</v>
      </c>
      <c r="W224" s="971">
        <f t="shared" si="3"/>
        <v>0</v>
      </c>
      <c r="Y224" s="967">
        <v>45167</v>
      </c>
      <c r="Z224" s="974">
        <f ca="1">H174*Valuation_Senario!$L$372</f>
        <v>698.86805543999992</v>
      </c>
      <c r="AA224" s="973">
        <v>49.5</v>
      </c>
      <c r="AM224" s="967">
        <v>45097</v>
      </c>
      <c r="AN224" s="974">
        <v>2673.5961744800002</v>
      </c>
      <c r="AO224" s="38">
        <v>0.48999999942597999</v>
      </c>
      <c r="AS224" s="967">
        <v>45252</v>
      </c>
      <c r="AT224" s="974">
        <v>59306.809905850001</v>
      </c>
      <c r="AU224" s="974">
        <v>92607.900000000009</v>
      </c>
      <c r="AV224" s="974">
        <v>696.45081866437909</v>
      </c>
    </row>
    <row r="225" spans="1:48">
      <c r="A225" s="966">
        <v>218</v>
      </c>
      <c r="B225" s="967">
        <v>45212</v>
      </c>
      <c r="C225" s="966">
        <v>49500</v>
      </c>
      <c r="D225" s="966">
        <v>39.718494399999997</v>
      </c>
      <c r="E225" s="966">
        <v>39.718494399999997</v>
      </c>
      <c r="F225" s="966">
        <v>75162.58</v>
      </c>
      <c r="G225" s="966">
        <v>72396.722326500007</v>
      </c>
      <c r="H225" s="974">
        <v>1068.69</v>
      </c>
      <c r="I225" s="966">
        <v>22.7</v>
      </c>
      <c r="J225" s="973">
        <v>1.4634417094800001</v>
      </c>
      <c r="L225" s="990">
        <v>45253</v>
      </c>
      <c r="M225" s="969">
        <v>59818.705922300003</v>
      </c>
      <c r="N225" s="969">
        <v>92607.900000000009</v>
      </c>
      <c r="O225" s="974">
        <v>696.45081866437909</v>
      </c>
      <c r="Q225" s="967">
        <v>45096</v>
      </c>
      <c r="R225" s="966">
        <v>41500</v>
      </c>
      <c r="S225" s="971">
        <v>0.48999999942597999</v>
      </c>
      <c r="T225" s="969">
        <v>0</v>
      </c>
      <c r="U225" s="966">
        <v>1828.42</v>
      </c>
      <c r="V225" s="966">
        <v>125.14</v>
      </c>
      <c r="W225" s="971">
        <f t="shared" si="3"/>
        <v>0</v>
      </c>
      <c r="Y225" s="967">
        <v>45166</v>
      </c>
      <c r="Z225" s="974">
        <f ca="1">H175*Valuation_Senario!$L$372</f>
        <v>698.86805543999992</v>
      </c>
      <c r="AA225" s="973">
        <v>48.38</v>
      </c>
      <c r="AM225" s="967">
        <v>45096</v>
      </c>
      <c r="AN225" s="974">
        <v>2673.5961744800002</v>
      </c>
      <c r="AO225" s="38">
        <v>0.48999999942597999</v>
      </c>
      <c r="AS225" s="967">
        <v>45253</v>
      </c>
      <c r="AT225" s="974">
        <v>59818.705922300003</v>
      </c>
      <c r="AU225" s="974">
        <v>92607.900000000009</v>
      </c>
      <c r="AV225" s="974">
        <v>696.45081866437909</v>
      </c>
    </row>
    <row r="226" spans="1:48">
      <c r="A226" s="966">
        <v>219</v>
      </c>
      <c r="B226" s="967">
        <v>45211</v>
      </c>
      <c r="C226" s="966">
        <v>48400</v>
      </c>
      <c r="D226" s="966">
        <v>31.962216000000002</v>
      </c>
      <c r="E226" s="966">
        <v>31.962216000000002</v>
      </c>
      <c r="F226" s="966">
        <v>74943.13</v>
      </c>
      <c r="G226" s="966">
        <v>70787.9062748</v>
      </c>
      <c r="H226" s="974">
        <v>1068.68</v>
      </c>
      <c r="I226" s="966">
        <v>22.62</v>
      </c>
      <c r="J226" s="973">
        <v>1.4634439887299999</v>
      </c>
      <c r="L226" s="990">
        <v>45254</v>
      </c>
      <c r="M226" s="969">
        <v>58209.889870600004</v>
      </c>
      <c r="N226" s="969">
        <v>92607.900000000009</v>
      </c>
      <c r="O226" s="974">
        <v>696.45081866437909</v>
      </c>
      <c r="Q226" s="967">
        <v>45093</v>
      </c>
      <c r="R226" s="966">
        <v>41350</v>
      </c>
      <c r="S226" s="971">
        <v>0.48999999942597999</v>
      </c>
      <c r="T226" s="969">
        <v>0</v>
      </c>
      <c r="U226" s="966">
        <v>1828.42</v>
      </c>
      <c r="V226" s="966">
        <v>216.89</v>
      </c>
      <c r="W226" s="971">
        <f t="shared" si="3"/>
        <v>0</v>
      </c>
      <c r="Y226" s="967">
        <v>45163</v>
      </c>
      <c r="Z226" s="974">
        <f ca="1">H176*Valuation_Senario!$L$372</f>
        <v>698.86805543999992</v>
      </c>
      <c r="AA226" s="973">
        <v>47.26</v>
      </c>
      <c r="AM226" s="967">
        <v>45093</v>
      </c>
      <c r="AN226" s="974">
        <v>2673.5961744800002</v>
      </c>
      <c r="AO226" s="38">
        <v>0.48999999942597999</v>
      </c>
      <c r="AS226" s="967">
        <v>45254</v>
      </c>
      <c r="AT226" s="974">
        <v>58209.889870600004</v>
      </c>
      <c r="AU226" s="974">
        <v>92607.900000000009</v>
      </c>
      <c r="AV226" s="974">
        <v>696.45081866437909</v>
      </c>
    </row>
    <row r="227" spans="1:48">
      <c r="A227" s="966">
        <v>220</v>
      </c>
      <c r="B227" s="967">
        <v>45210</v>
      </c>
      <c r="C227" s="966">
        <v>49300</v>
      </c>
      <c r="D227" s="966">
        <v>31.0672128</v>
      </c>
      <c r="E227" s="966">
        <v>31.268957799999999</v>
      </c>
      <c r="F227" s="966">
        <v>75455.179999999993</v>
      </c>
      <c r="G227" s="966">
        <v>72104.210317100005</v>
      </c>
      <c r="H227" s="974">
        <v>1068.68</v>
      </c>
      <c r="I227" s="966">
        <v>22.81</v>
      </c>
      <c r="J227" s="973">
        <v>1.46344522649</v>
      </c>
      <c r="L227" s="990">
        <v>45257</v>
      </c>
      <c r="M227" s="969">
        <v>54553.489753100002</v>
      </c>
      <c r="N227" s="969">
        <v>92607.900000000009</v>
      </c>
      <c r="O227" s="974">
        <v>696.45081866437909</v>
      </c>
      <c r="Q227" s="967">
        <v>45092</v>
      </c>
      <c r="R227" s="966">
        <v>41700</v>
      </c>
      <c r="S227" s="971">
        <v>0.48999999942597999</v>
      </c>
      <c r="T227" s="969">
        <v>-0.20174500000000001</v>
      </c>
      <c r="U227" s="966">
        <v>1828.42</v>
      </c>
      <c r="V227" s="966">
        <v>152.07</v>
      </c>
      <c r="W227" s="971">
        <f t="shared" si="3"/>
        <v>-1.3266587755638851E-3</v>
      </c>
      <c r="Y227" s="967">
        <v>45162</v>
      </c>
      <c r="Z227" s="974">
        <f ca="1">H177*Valuation_Senario!$L$372</f>
        <v>698.86805543999992</v>
      </c>
      <c r="AA227" s="973">
        <v>47.07</v>
      </c>
      <c r="AM227" s="967">
        <v>45092</v>
      </c>
      <c r="AN227" s="974">
        <v>2673.5961744800002</v>
      </c>
      <c r="AO227" s="38">
        <v>0.48999999942597999</v>
      </c>
      <c r="AS227" s="967">
        <v>45257</v>
      </c>
      <c r="AT227" s="974">
        <v>54553.489753100002</v>
      </c>
      <c r="AU227" s="974">
        <v>92607.900000000009</v>
      </c>
      <c r="AV227" s="974">
        <v>696.45081866437909</v>
      </c>
    </row>
    <row r="228" spans="1:48">
      <c r="A228" s="966">
        <v>221</v>
      </c>
      <c r="B228" s="967">
        <v>45209</v>
      </c>
      <c r="C228" s="966">
        <v>48850</v>
      </c>
      <c r="D228" s="966">
        <v>22.811672000000002</v>
      </c>
      <c r="E228" s="966">
        <v>22.811672000000002</v>
      </c>
      <c r="F228" s="966">
        <v>75967.23</v>
      </c>
      <c r="G228" s="966">
        <v>71446.058295950003</v>
      </c>
      <c r="H228" s="974">
        <v>1068.68</v>
      </c>
      <c r="I228" s="966">
        <v>23</v>
      </c>
      <c r="J228" s="973">
        <v>1.46344646426</v>
      </c>
      <c r="L228" s="990">
        <v>45258</v>
      </c>
      <c r="M228" s="969">
        <v>56381.689811850003</v>
      </c>
      <c r="N228" s="969">
        <v>92607.900000000009</v>
      </c>
      <c r="O228" s="974">
        <v>696.45081866437909</v>
      </c>
      <c r="Q228" s="967">
        <v>45091</v>
      </c>
      <c r="R228" s="966">
        <v>42050</v>
      </c>
      <c r="S228" s="971">
        <v>0.48999999942597999</v>
      </c>
      <c r="T228" s="969">
        <v>0</v>
      </c>
      <c r="U228" s="966">
        <v>1828.42</v>
      </c>
      <c r="V228" s="966">
        <v>163.87</v>
      </c>
      <c r="W228" s="971">
        <f t="shared" si="3"/>
        <v>0</v>
      </c>
      <c r="Y228" s="967">
        <v>45161</v>
      </c>
      <c r="Z228" s="974">
        <f ca="1">H178*Valuation_Senario!$L$372</f>
        <v>698.85337086999994</v>
      </c>
      <c r="AA228" s="973">
        <v>46.51</v>
      </c>
      <c r="AM228" s="967">
        <v>45091</v>
      </c>
      <c r="AN228" s="974">
        <v>2673.5961744800002</v>
      </c>
      <c r="AO228" s="38">
        <v>0.48999999942597999</v>
      </c>
      <c r="AS228" s="967">
        <v>45258</v>
      </c>
      <c r="AT228" s="974">
        <v>56381.689811850003</v>
      </c>
      <c r="AU228" s="974">
        <v>92607.900000000009</v>
      </c>
      <c r="AV228" s="974">
        <v>696.45081866437909</v>
      </c>
    </row>
    <row r="229" spans="1:48">
      <c r="A229" s="966">
        <v>222</v>
      </c>
      <c r="B229" s="967">
        <v>45208</v>
      </c>
      <c r="C229" s="966">
        <v>47950</v>
      </c>
      <c r="D229" s="966">
        <v>48.020423999999998</v>
      </c>
      <c r="E229" s="966">
        <v>48.020423999999998</v>
      </c>
      <c r="F229" s="966">
        <v>77357.09</v>
      </c>
      <c r="G229" s="966">
        <v>70129.754253649997</v>
      </c>
      <c r="H229" s="974">
        <v>1068.68</v>
      </c>
      <c r="I229" s="966">
        <v>23.52</v>
      </c>
      <c r="J229" s="973">
        <v>1.4634477020300001</v>
      </c>
      <c r="L229" s="990">
        <v>45259</v>
      </c>
      <c r="M229" s="969">
        <v>55577.281786</v>
      </c>
      <c r="N229" s="969">
        <v>92607.900000000009</v>
      </c>
      <c r="O229" s="974">
        <v>696.45081866437909</v>
      </c>
      <c r="Q229" s="967">
        <v>45090</v>
      </c>
      <c r="R229" s="966">
        <v>43000</v>
      </c>
      <c r="S229" s="971">
        <v>0.48999999942597999</v>
      </c>
      <c r="T229" s="969">
        <v>0</v>
      </c>
      <c r="U229" s="966">
        <v>1828.42</v>
      </c>
      <c r="V229" s="966">
        <v>193.98</v>
      </c>
      <c r="W229" s="971">
        <f t="shared" si="3"/>
        <v>0</v>
      </c>
      <c r="Y229" s="967">
        <v>45160</v>
      </c>
      <c r="Z229" s="974">
        <f ca="1">H179*Valuation_Senario!$L$372</f>
        <v>698.85337086999994</v>
      </c>
      <c r="AA229" s="973">
        <v>46.79</v>
      </c>
      <c r="AM229" s="967">
        <v>45090</v>
      </c>
      <c r="AN229" s="974">
        <v>2673.5961744800002</v>
      </c>
      <c r="AO229" s="38">
        <v>0.48999999942597999</v>
      </c>
      <c r="AS229" s="967">
        <v>45259</v>
      </c>
      <c r="AT229" s="974">
        <v>55577.281786</v>
      </c>
      <c r="AU229" s="974">
        <v>92607.900000000009</v>
      </c>
      <c r="AV229" s="974">
        <v>696.45081866437909</v>
      </c>
    </row>
    <row r="230" spans="1:48">
      <c r="A230" s="966">
        <v>223</v>
      </c>
      <c r="B230" s="967">
        <v>45205</v>
      </c>
      <c r="C230" s="966">
        <v>48300</v>
      </c>
      <c r="D230" s="966">
        <v>0</v>
      </c>
      <c r="E230" s="966">
        <v>0</v>
      </c>
      <c r="F230" s="966">
        <v>77357.09</v>
      </c>
      <c r="G230" s="966">
        <v>70641.650270099999</v>
      </c>
      <c r="H230" s="974">
        <v>1068.68</v>
      </c>
      <c r="I230" s="966">
        <v>23.52</v>
      </c>
      <c r="J230" s="973">
        <v>1.46345141533</v>
      </c>
      <c r="L230" s="990">
        <v>45260</v>
      </c>
      <c r="M230" s="969">
        <v>55577.281786</v>
      </c>
      <c r="N230" s="969">
        <v>92607.900000000009</v>
      </c>
      <c r="O230" s="974">
        <v>696.45081866437909</v>
      </c>
      <c r="Q230" s="967">
        <v>45089</v>
      </c>
      <c r="R230" s="966">
        <v>43000</v>
      </c>
      <c r="S230" s="971">
        <v>0.48999999942597999</v>
      </c>
      <c r="T230" s="969">
        <v>0</v>
      </c>
      <c r="U230" s="966">
        <v>1828.42</v>
      </c>
      <c r="V230" s="966">
        <v>306.5</v>
      </c>
      <c r="W230" s="971">
        <f t="shared" si="3"/>
        <v>0</v>
      </c>
      <c r="Y230" s="967">
        <v>45159</v>
      </c>
      <c r="Z230" s="974">
        <f ca="1">H180*Valuation_Senario!$L$372</f>
        <v>698.85337086999994</v>
      </c>
      <c r="AA230" s="973">
        <v>45.85</v>
      </c>
      <c r="AM230" s="967">
        <v>45089</v>
      </c>
      <c r="AN230" s="974">
        <v>2673.5961744800002</v>
      </c>
      <c r="AO230" s="38">
        <v>0.48999999942597999</v>
      </c>
      <c r="AS230" s="967">
        <v>45260</v>
      </c>
      <c r="AT230" s="974">
        <v>55577.281786</v>
      </c>
      <c r="AU230" s="974">
        <v>92607.900000000009</v>
      </c>
      <c r="AV230" s="974">
        <v>696.45081866437909</v>
      </c>
    </row>
    <row r="231" spans="1:48">
      <c r="A231" s="966">
        <v>224</v>
      </c>
      <c r="B231" s="967">
        <v>45204</v>
      </c>
      <c r="C231" s="966">
        <v>47000</v>
      </c>
      <c r="D231" s="966">
        <v>11.3764716</v>
      </c>
      <c r="E231" s="966">
        <v>11.3764716</v>
      </c>
      <c r="F231" s="966">
        <v>75016.28</v>
      </c>
      <c r="G231" s="966">
        <v>68740.322209000005</v>
      </c>
      <c r="H231" s="974">
        <v>1068.68</v>
      </c>
      <c r="I231" s="966">
        <v>22.64</v>
      </c>
      <c r="J231" s="973">
        <v>1.4634526530899998</v>
      </c>
      <c r="L231" s="990">
        <v>45261</v>
      </c>
      <c r="M231" s="969">
        <v>56747.329823599997</v>
      </c>
      <c r="N231" s="969">
        <v>92607.900000000009</v>
      </c>
      <c r="O231" s="974">
        <v>696.45081866437909</v>
      </c>
      <c r="Q231" s="967">
        <v>45086</v>
      </c>
      <c r="R231" s="966">
        <v>41400</v>
      </c>
      <c r="S231" s="971">
        <v>0.48999999942597999</v>
      </c>
      <c r="T231" s="969">
        <v>0</v>
      </c>
      <c r="U231" s="966">
        <v>1828.42</v>
      </c>
      <c r="V231" s="966">
        <v>180.22</v>
      </c>
      <c r="W231" s="971">
        <f t="shared" si="3"/>
        <v>0</v>
      </c>
      <c r="Y231" s="967">
        <v>45156</v>
      </c>
      <c r="Z231" s="974">
        <f ca="1">H181*Valuation_Senario!$L$372</f>
        <v>698.85337086999994</v>
      </c>
      <c r="AA231" s="973">
        <v>46.98</v>
      </c>
      <c r="AM231" s="967">
        <v>45086</v>
      </c>
      <c r="AN231" s="974">
        <v>2673.5961744800002</v>
      </c>
      <c r="AO231" s="38">
        <v>0.48999999942597999</v>
      </c>
      <c r="AS231" s="967">
        <v>45261</v>
      </c>
      <c r="AT231" s="974">
        <v>56747.329823599997</v>
      </c>
      <c r="AU231" s="974">
        <v>92607.900000000009</v>
      </c>
      <c r="AV231" s="974">
        <v>696.45081866437909</v>
      </c>
    </row>
    <row r="232" spans="1:48">
      <c r="A232" s="966">
        <v>225</v>
      </c>
      <c r="B232" s="967">
        <v>45203</v>
      </c>
      <c r="C232" s="966">
        <v>49200</v>
      </c>
      <c r="D232" s="966">
        <v>7.1294079999999997</v>
      </c>
      <c r="E232" s="966">
        <v>7.1707580000000002</v>
      </c>
      <c r="F232" s="966">
        <v>73919.02</v>
      </c>
      <c r="G232" s="966">
        <v>71957.954312400005</v>
      </c>
      <c r="H232" s="974">
        <v>1068.68</v>
      </c>
      <c r="I232" s="966">
        <v>22.23</v>
      </c>
      <c r="J232" s="973">
        <v>1.4634538908599999</v>
      </c>
      <c r="L232" s="990">
        <v>45264</v>
      </c>
      <c r="M232" s="969">
        <v>56302.337937999997</v>
      </c>
      <c r="N232" s="969">
        <v>92607.900000000009</v>
      </c>
      <c r="O232" s="974">
        <v>696.44934319584684</v>
      </c>
      <c r="Q232" s="967">
        <v>45085</v>
      </c>
      <c r="R232" s="966">
        <v>40650</v>
      </c>
      <c r="S232" s="971">
        <v>0.48999999942597999</v>
      </c>
      <c r="T232" s="969">
        <v>-4.1349999999999998E-2</v>
      </c>
      <c r="U232" s="966">
        <v>1828.42</v>
      </c>
      <c r="V232" s="966">
        <v>193.13</v>
      </c>
      <c r="W232" s="971">
        <f t="shared" si="3"/>
        <v>-2.14104489204163E-4</v>
      </c>
      <c r="Y232" s="967">
        <v>45155</v>
      </c>
      <c r="Z232" s="974">
        <f ca="1">H182*Valuation_Senario!$L$372</f>
        <v>698.85337086999994</v>
      </c>
      <c r="AA232" s="973">
        <v>50.44</v>
      </c>
      <c r="AM232" s="967">
        <v>45085</v>
      </c>
      <c r="AN232" s="974">
        <v>2673.5961744800002</v>
      </c>
      <c r="AO232" s="38">
        <v>0.48999999942597999</v>
      </c>
      <c r="AS232" s="967">
        <v>45264</v>
      </c>
      <c r="AT232" s="974">
        <v>56302.337937999997</v>
      </c>
      <c r="AU232" s="974">
        <v>92607.900000000009</v>
      </c>
      <c r="AV232" s="974">
        <v>696.44934319584684</v>
      </c>
    </row>
    <row r="233" spans="1:48">
      <c r="A233" s="966">
        <v>226</v>
      </c>
      <c r="B233" s="967">
        <v>45202</v>
      </c>
      <c r="C233" s="966">
        <v>49000</v>
      </c>
      <c r="D233" s="966">
        <v>27.439526399999998</v>
      </c>
      <c r="E233" s="966">
        <v>27.564626400000002</v>
      </c>
      <c r="F233" s="966">
        <v>75601.48</v>
      </c>
      <c r="G233" s="966">
        <v>71665.442303000003</v>
      </c>
      <c r="H233" s="974">
        <v>1068.68</v>
      </c>
      <c r="I233" s="966">
        <v>22.86</v>
      </c>
      <c r="J233" s="973">
        <v>1.4634551286300002</v>
      </c>
      <c r="L233" s="990">
        <v>45265</v>
      </c>
      <c r="M233" s="969">
        <v>56667.937534999997</v>
      </c>
      <c r="N233" s="969">
        <v>92607.900000000009</v>
      </c>
      <c r="O233" s="974">
        <v>696.44913241530799</v>
      </c>
      <c r="Q233" s="967">
        <v>45084</v>
      </c>
      <c r="R233" s="966">
        <v>41800</v>
      </c>
      <c r="S233" s="971">
        <v>0.48999999942597999</v>
      </c>
      <c r="T233" s="969">
        <v>-0.12509999999999999</v>
      </c>
      <c r="U233" s="966">
        <v>1828.42</v>
      </c>
      <c r="V233" s="966">
        <v>230.81</v>
      </c>
      <c r="W233" s="971">
        <f t="shared" si="3"/>
        <v>-5.4200424591655471E-4</v>
      </c>
      <c r="Y233" s="967">
        <v>45154</v>
      </c>
      <c r="Z233" s="974">
        <f ca="1">H183*Valuation_Senario!$L$372</f>
        <v>698.85337086999994</v>
      </c>
      <c r="AA233" s="973">
        <v>50.34</v>
      </c>
      <c r="AM233" s="967">
        <v>45084</v>
      </c>
      <c r="AN233" s="974">
        <v>2673.5961744800002</v>
      </c>
      <c r="AO233" s="38">
        <v>0.48999999942597999</v>
      </c>
      <c r="AS233" s="967">
        <v>45265</v>
      </c>
      <c r="AT233" s="974">
        <v>56667.937534999997</v>
      </c>
      <c r="AU233" s="974">
        <v>92607.900000000009</v>
      </c>
      <c r="AV233" s="974">
        <v>696.44913241530799</v>
      </c>
    </row>
    <row r="234" spans="1:48">
      <c r="A234" s="966">
        <v>227</v>
      </c>
      <c r="B234" s="967">
        <v>45201</v>
      </c>
      <c r="C234" s="966">
        <v>51900</v>
      </c>
      <c r="D234" s="966">
        <v>9.9244649999999996</v>
      </c>
      <c r="E234" s="966">
        <v>9.9244649999999996</v>
      </c>
      <c r="F234" s="966">
        <v>75601.48</v>
      </c>
      <c r="G234" s="966">
        <v>75906.866439300007</v>
      </c>
      <c r="H234" s="974">
        <v>1068.68</v>
      </c>
      <c r="I234" s="966">
        <v>22.86</v>
      </c>
      <c r="J234" s="973">
        <v>1.4634563663900002</v>
      </c>
      <c r="L234" s="990">
        <v>45266</v>
      </c>
      <c r="M234" s="969">
        <v>58422.815600599999</v>
      </c>
      <c r="N234" s="969">
        <v>92607.900000000009</v>
      </c>
      <c r="O234" s="974">
        <v>696.44850007369098</v>
      </c>
      <c r="Q234" s="967">
        <v>45083</v>
      </c>
      <c r="R234" s="966">
        <v>41800</v>
      </c>
      <c r="S234" s="971">
        <v>0.48999999942597999</v>
      </c>
      <c r="T234" s="969">
        <v>0</v>
      </c>
      <c r="U234" s="966">
        <v>1828.42</v>
      </c>
      <c r="V234" s="966">
        <v>204.15</v>
      </c>
      <c r="W234" s="971">
        <f t="shared" si="3"/>
        <v>0</v>
      </c>
      <c r="Y234" s="967">
        <v>45153</v>
      </c>
      <c r="Z234" s="974">
        <f ca="1">H184*Valuation_Senario!$L$372</f>
        <v>698.85337086999994</v>
      </c>
      <c r="AA234" s="973">
        <v>50.53</v>
      </c>
      <c r="AM234" s="967">
        <v>45083</v>
      </c>
      <c r="AN234" s="974">
        <v>2673.5961744800002</v>
      </c>
      <c r="AO234" s="38">
        <v>0.48999999942597999</v>
      </c>
      <c r="AS234" s="967">
        <v>45266</v>
      </c>
      <c r="AT234" s="974">
        <v>58422.815600599999</v>
      </c>
      <c r="AU234" s="974">
        <v>92607.900000000009</v>
      </c>
      <c r="AV234" s="974">
        <v>696.44850007369098</v>
      </c>
    </row>
    <row r="235" spans="1:48">
      <c r="A235" s="966">
        <v>228</v>
      </c>
      <c r="B235" s="967">
        <v>45198</v>
      </c>
      <c r="C235" s="966">
        <v>52600</v>
      </c>
      <c r="D235" s="966">
        <v>7.1373888000000001</v>
      </c>
      <c r="E235" s="966">
        <v>7.1373888000000001</v>
      </c>
      <c r="F235" s="966">
        <v>74723.67</v>
      </c>
      <c r="G235" s="966">
        <v>76930.658472199997</v>
      </c>
      <c r="H235" s="974">
        <v>1068.67</v>
      </c>
      <c r="I235" s="966">
        <v>22.53</v>
      </c>
      <c r="J235" s="973">
        <v>1.4634600796900001</v>
      </c>
      <c r="L235" s="990">
        <v>45267</v>
      </c>
      <c r="M235" s="969">
        <v>58495.935519999999</v>
      </c>
      <c r="N235" s="969">
        <v>92607.900000000009</v>
      </c>
      <c r="O235" s="974">
        <v>696.44828928839274</v>
      </c>
      <c r="Q235" s="967">
        <v>45082</v>
      </c>
      <c r="R235" s="966">
        <v>41200</v>
      </c>
      <c r="S235" s="971">
        <v>0.48999999942597999</v>
      </c>
      <c r="T235" s="969">
        <v>0</v>
      </c>
      <c r="U235" s="966">
        <v>1828.42</v>
      </c>
      <c r="V235" s="966">
        <v>279.48</v>
      </c>
      <c r="W235" s="971">
        <f t="shared" si="3"/>
        <v>0</v>
      </c>
      <c r="Y235" s="967">
        <v>45152</v>
      </c>
      <c r="Z235" s="974">
        <f ca="1">H185*Valuation_Senario!$L$372</f>
        <v>698.85337086999994</v>
      </c>
      <c r="AA235" s="973">
        <v>50.72</v>
      </c>
      <c r="AM235" s="967">
        <v>45082</v>
      </c>
      <c r="AN235" s="974">
        <v>2673.5961744800002</v>
      </c>
      <c r="AO235" s="38">
        <v>0.48999999942597999</v>
      </c>
      <c r="AS235" s="967">
        <v>45267</v>
      </c>
      <c r="AT235" s="974">
        <v>58495.935519999999</v>
      </c>
      <c r="AU235" s="974">
        <v>92607.900000000009</v>
      </c>
      <c r="AV235" s="974">
        <v>696.44828928839274</v>
      </c>
    </row>
    <row r="236" spans="1:48">
      <c r="A236" s="966">
        <v>229</v>
      </c>
      <c r="B236" s="967">
        <v>45197</v>
      </c>
      <c r="C236" s="966">
        <v>53000</v>
      </c>
      <c r="D236" s="966">
        <v>16.902950000000001</v>
      </c>
      <c r="E236" s="966">
        <v>16.902950000000001</v>
      </c>
      <c r="F236" s="966">
        <v>74138.47</v>
      </c>
      <c r="G236" s="966">
        <v>77515.682491</v>
      </c>
      <c r="H236" s="974">
        <v>1068.67</v>
      </c>
      <c r="I236" s="966">
        <v>22.31</v>
      </c>
      <c r="J236" s="973">
        <v>1.46346131746</v>
      </c>
      <c r="L236" s="990">
        <v>45268</v>
      </c>
      <c r="M236" s="969">
        <v>59885.2139886</v>
      </c>
      <c r="N236" s="969">
        <v>92607.900000000009</v>
      </c>
      <c r="O236" s="974">
        <v>696.44807850785389</v>
      </c>
      <c r="Q236" s="967">
        <v>45079</v>
      </c>
      <c r="R236" s="966">
        <v>40800</v>
      </c>
      <c r="S236" s="971">
        <v>0.48999999942597999</v>
      </c>
      <c r="T236" s="969">
        <v>0</v>
      </c>
      <c r="U236" s="966">
        <v>1828.42</v>
      </c>
      <c r="V236" s="966">
        <v>244.76</v>
      </c>
      <c r="W236" s="971">
        <f t="shared" si="3"/>
        <v>0</v>
      </c>
      <c r="Y236" s="967">
        <v>45149</v>
      </c>
      <c r="Z236" s="974">
        <f ca="1">H186*Valuation_Senario!$L$372</f>
        <v>698.85337086999994</v>
      </c>
      <c r="AA236" s="973">
        <v>49.88</v>
      </c>
      <c r="AM236" s="967">
        <v>45079</v>
      </c>
      <c r="AN236" s="974">
        <v>2673.5961744800002</v>
      </c>
      <c r="AO236" s="38">
        <v>0.48999999942597999</v>
      </c>
      <c r="AS236" s="967">
        <v>45268</v>
      </c>
      <c r="AT236" s="974">
        <v>59885.2139886</v>
      </c>
      <c r="AU236" s="974">
        <v>92607.900000000009</v>
      </c>
      <c r="AV236" s="974">
        <v>696.44807850785389</v>
      </c>
    </row>
    <row r="237" spans="1:48">
      <c r="A237" s="966">
        <v>230</v>
      </c>
      <c r="B237" s="967">
        <v>45196</v>
      </c>
      <c r="C237" s="966">
        <v>52000</v>
      </c>
      <c r="D237" s="966">
        <v>65.2233904</v>
      </c>
      <c r="E237" s="966">
        <v>65.809670400000002</v>
      </c>
      <c r="F237" s="966">
        <v>71943.95</v>
      </c>
      <c r="G237" s="966">
        <v>76053.122443999993</v>
      </c>
      <c r="H237" s="974">
        <v>1068.67</v>
      </c>
      <c r="I237" s="966">
        <v>21.49</v>
      </c>
      <c r="J237" s="973">
        <v>1.46346255523</v>
      </c>
      <c r="L237" s="990">
        <v>45271</v>
      </c>
      <c r="M237" s="969">
        <v>59738.9741498</v>
      </c>
      <c r="N237" s="969">
        <v>92607.900000000009</v>
      </c>
      <c r="O237" s="974">
        <v>696.44786772731482</v>
      </c>
      <c r="Q237" s="967">
        <v>45078</v>
      </c>
      <c r="R237" s="966">
        <v>39300</v>
      </c>
      <c r="S237" s="971">
        <v>0.48999999942597999</v>
      </c>
      <c r="T237" s="969">
        <v>-0.58628000000000002</v>
      </c>
      <c r="U237" s="966">
        <v>1828.42</v>
      </c>
      <c r="V237" s="966">
        <v>178.73</v>
      </c>
      <c r="W237" s="971">
        <f t="shared" si="3"/>
        <v>-3.2802551334415041E-3</v>
      </c>
      <c r="Y237" s="967">
        <v>45148</v>
      </c>
      <c r="Z237" s="974">
        <f ca="1">H187*Valuation_Senario!$L$372</f>
        <v>698.85337086999994</v>
      </c>
      <c r="AA237" s="973">
        <v>48.66</v>
      </c>
      <c r="AM237" s="967">
        <v>45078</v>
      </c>
      <c r="AN237" s="974">
        <v>2673.5961744800002</v>
      </c>
      <c r="AO237" s="38">
        <v>0.48999999942597999</v>
      </c>
      <c r="AS237" s="967">
        <v>45271</v>
      </c>
      <c r="AT237" s="974">
        <v>59738.9741498</v>
      </c>
      <c r="AU237" s="974">
        <v>92607.900000000009</v>
      </c>
      <c r="AV237" s="974">
        <v>696.44786772731482</v>
      </c>
    </row>
    <row r="238" spans="1:48">
      <c r="A238" s="966">
        <v>231</v>
      </c>
      <c r="B238" s="967">
        <v>45195</v>
      </c>
      <c r="C238" s="966">
        <v>51500</v>
      </c>
      <c r="D238" s="966">
        <v>0.81164000000000003</v>
      </c>
      <c r="E238" s="966">
        <v>0.81952000000000003</v>
      </c>
      <c r="F238" s="966">
        <v>71797.649999999994</v>
      </c>
      <c r="G238" s="966">
        <v>75321.842420500005</v>
      </c>
      <c r="H238" s="974">
        <v>1068.67</v>
      </c>
      <c r="I238" s="966">
        <v>21.44</v>
      </c>
      <c r="J238" s="973">
        <v>1.4634637929900001</v>
      </c>
      <c r="L238" s="990">
        <v>45272</v>
      </c>
      <c r="M238" s="969">
        <v>62298.171328800003</v>
      </c>
      <c r="N238" s="969">
        <v>92607.900000000009</v>
      </c>
      <c r="O238" s="974">
        <v>696.44765694677585</v>
      </c>
      <c r="Q238" s="967">
        <v>45077</v>
      </c>
      <c r="R238" s="966">
        <v>39200</v>
      </c>
      <c r="S238" s="971">
        <v>0.48999999942597999</v>
      </c>
      <c r="T238" s="969">
        <v>-7.8799999999999999E-3</v>
      </c>
      <c r="U238" s="966">
        <v>1828.42</v>
      </c>
      <c r="V238" s="966">
        <v>78.459999999999994</v>
      </c>
      <c r="W238" s="971">
        <f t="shared" si="3"/>
        <v>-1.0043334183023197E-4</v>
      </c>
      <c r="Y238" s="967">
        <v>45147</v>
      </c>
      <c r="Z238" s="974">
        <f ca="1">H188*Valuation_Senario!$L$372</f>
        <v>698.85337086999994</v>
      </c>
      <c r="AA238" s="973">
        <v>49.22</v>
      </c>
      <c r="AM238" s="967">
        <v>45077</v>
      </c>
      <c r="AN238" s="974">
        <v>2673.5961744800002</v>
      </c>
      <c r="AO238" s="38">
        <v>0.48999999942597999</v>
      </c>
      <c r="AS238" s="967">
        <v>45272</v>
      </c>
      <c r="AT238" s="974">
        <v>62298.171328800003</v>
      </c>
      <c r="AU238" s="974">
        <v>92607.900000000009</v>
      </c>
      <c r="AV238" s="974">
        <v>696.44765694677585</v>
      </c>
    </row>
    <row r="239" spans="1:48">
      <c r="A239" s="966">
        <v>232</v>
      </c>
      <c r="B239" s="967">
        <v>45194</v>
      </c>
      <c r="C239" s="966">
        <v>51000</v>
      </c>
      <c r="D239" s="966">
        <v>0.86637600000000003</v>
      </c>
      <c r="E239" s="966">
        <v>0.86637600000000003</v>
      </c>
      <c r="F239" s="966">
        <v>72104.679999999993</v>
      </c>
      <c r="G239" s="966">
        <v>74590.562397000002</v>
      </c>
      <c r="H239" s="974">
        <v>1068.67</v>
      </c>
      <c r="I239" s="966">
        <v>21.55</v>
      </c>
      <c r="J239" s="973">
        <v>1.4634650307599999</v>
      </c>
      <c r="L239" s="990">
        <v>45273</v>
      </c>
      <c r="M239" s="969">
        <v>62151.931490000003</v>
      </c>
      <c r="N239" s="969">
        <v>92607.900000000009</v>
      </c>
      <c r="O239" s="974">
        <v>696.44702460515884</v>
      </c>
      <c r="Q239" s="967">
        <v>45076</v>
      </c>
      <c r="R239" s="966">
        <v>39400</v>
      </c>
      <c r="S239" s="971">
        <v>0.48999999942597999</v>
      </c>
      <c r="T239" s="969">
        <v>0</v>
      </c>
      <c r="U239" s="966">
        <v>1828.43</v>
      </c>
      <c r="V239" s="966">
        <v>190.37</v>
      </c>
      <c r="W239" s="971">
        <f t="shared" si="3"/>
        <v>0</v>
      </c>
      <c r="Y239" s="967">
        <v>45146</v>
      </c>
      <c r="Z239" s="974">
        <f ca="1">H189*Valuation_Senario!$L$372</f>
        <v>698.85337086999994</v>
      </c>
      <c r="AA239" s="973">
        <v>50.16</v>
      </c>
      <c r="AM239" s="967">
        <v>45076</v>
      </c>
      <c r="AN239" s="974">
        <v>2673.6107969200002</v>
      </c>
      <c r="AO239" s="38">
        <v>0.48999999942597999</v>
      </c>
      <c r="AS239" s="967">
        <v>45273</v>
      </c>
      <c r="AT239" s="974">
        <v>62151.931490000003</v>
      </c>
      <c r="AU239" s="974">
        <v>92607.900000000009</v>
      </c>
      <c r="AV239" s="974">
        <v>696.44702460515884</v>
      </c>
    </row>
    <row r="240" spans="1:48">
      <c r="A240" s="966">
        <v>233</v>
      </c>
      <c r="B240" s="967">
        <v>45191</v>
      </c>
      <c r="C240" s="966">
        <v>52100</v>
      </c>
      <c r="D240" s="966">
        <v>59.521329999999999</v>
      </c>
      <c r="E240" s="966">
        <v>59.521329999999999</v>
      </c>
      <c r="F240" s="966">
        <v>71080.320000000007</v>
      </c>
      <c r="G240" s="966">
        <v>76199.378448699994</v>
      </c>
      <c r="H240" s="974">
        <v>1068.67</v>
      </c>
      <c r="I240" s="966">
        <v>21.17</v>
      </c>
      <c r="J240" s="973">
        <v>1.46346874406</v>
      </c>
      <c r="L240" s="990">
        <v>45274</v>
      </c>
      <c r="M240" s="969">
        <v>62151.931490000003</v>
      </c>
      <c r="N240" s="969">
        <v>92607.900000000009</v>
      </c>
      <c r="O240" s="974">
        <v>696.44681382461988</v>
      </c>
      <c r="Q240" s="967">
        <v>45075</v>
      </c>
      <c r="R240" s="966">
        <v>38700</v>
      </c>
      <c r="S240" s="971">
        <v>0.48999999942597999</v>
      </c>
      <c r="T240" s="969">
        <v>0</v>
      </c>
      <c r="U240" s="966">
        <v>1828.43</v>
      </c>
      <c r="V240" s="966">
        <v>146.55000000000001</v>
      </c>
      <c r="W240" s="971">
        <f t="shared" si="3"/>
        <v>0</v>
      </c>
      <c r="Y240" s="967">
        <v>45145</v>
      </c>
      <c r="Z240" s="974">
        <f ca="1">H190*Valuation_Senario!$L$372</f>
        <v>698.85337086999994</v>
      </c>
      <c r="AA240" s="973">
        <v>50.35</v>
      </c>
      <c r="AM240" s="967">
        <v>45075</v>
      </c>
      <c r="AN240" s="974">
        <v>2673.6107969200002</v>
      </c>
      <c r="AO240" s="38">
        <v>0.48999999942597999</v>
      </c>
      <c r="AS240" s="967">
        <v>45274</v>
      </c>
      <c r="AT240" s="974">
        <v>62151.931490000003</v>
      </c>
      <c r="AU240" s="974">
        <v>92607.900000000009</v>
      </c>
      <c r="AV240" s="974">
        <v>696.44681382461988</v>
      </c>
    </row>
    <row r="241" spans="1:48">
      <c r="A241" s="966">
        <v>234</v>
      </c>
      <c r="B241" s="967">
        <v>45190</v>
      </c>
      <c r="C241" s="966">
        <v>54200</v>
      </c>
      <c r="D241" s="966">
        <v>57.144399999999997</v>
      </c>
      <c r="E241" s="966">
        <v>57.144399999999997</v>
      </c>
      <c r="F241" s="966">
        <v>70348.63</v>
      </c>
      <c r="G241" s="966">
        <v>79270.754547400007</v>
      </c>
      <c r="H241" s="974">
        <v>1068.67</v>
      </c>
      <c r="I241" s="966">
        <v>20.89</v>
      </c>
      <c r="J241" s="973">
        <v>1.4634699818199999</v>
      </c>
      <c r="L241" s="990">
        <v>45275</v>
      </c>
      <c r="M241" s="969">
        <v>60982.012779600002</v>
      </c>
      <c r="N241" s="969">
        <v>92607.900000000009</v>
      </c>
      <c r="O241" s="974">
        <v>696.44660303932176</v>
      </c>
      <c r="Q241" s="967">
        <v>45072</v>
      </c>
      <c r="R241" s="966">
        <v>38200</v>
      </c>
      <c r="S241" s="971">
        <v>0.48999999942597999</v>
      </c>
      <c r="T241" s="969">
        <v>0</v>
      </c>
      <c r="U241" s="966">
        <v>1828.43</v>
      </c>
      <c r="V241" s="966">
        <v>90.8</v>
      </c>
      <c r="W241" s="971">
        <f t="shared" si="3"/>
        <v>0</v>
      </c>
      <c r="Y241" s="967">
        <v>45142</v>
      </c>
      <c r="Z241" s="974">
        <f ca="1">H191*Valuation_Senario!$L$372</f>
        <v>698.85337086999994</v>
      </c>
      <c r="AA241" s="973">
        <v>49.6</v>
      </c>
      <c r="AM241" s="967">
        <v>45072</v>
      </c>
      <c r="AN241" s="974">
        <v>2673.6107969200002</v>
      </c>
      <c r="AO241" s="38">
        <v>0.48999999942597999</v>
      </c>
      <c r="AS241" s="967">
        <v>45275</v>
      </c>
      <c r="AT241" s="974">
        <v>60982.012779600002</v>
      </c>
      <c r="AU241" s="974">
        <v>92607.900000000009</v>
      </c>
      <c r="AV241" s="974">
        <v>696.44660303932176</v>
      </c>
    </row>
    <row r="242" spans="1:48">
      <c r="A242" s="966">
        <v>235</v>
      </c>
      <c r="B242" s="967">
        <v>45189</v>
      </c>
      <c r="C242" s="966">
        <v>55800</v>
      </c>
      <c r="D242" s="966">
        <v>56.022108899999999</v>
      </c>
      <c r="E242" s="966">
        <v>56.022108899999999</v>
      </c>
      <c r="F242" s="966">
        <v>70055.95</v>
      </c>
      <c r="G242" s="966">
        <v>81610.850622600003</v>
      </c>
      <c r="H242" s="974">
        <v>1068.6600000000001</v>
      </c>
      <c r="I242" s="966">
        <v>20.78</v>
      </c>
      <c r="J242" s="973">
        <v>1.4634712195899999</v>
      </c>
      <c r="L242" s="990">
        <v>45278</v>
      </c>
      <c r="M242" s="969">
        <v>60835.772940800001</v>
      </c>
      <c r="N242" s="969">
        <v>92607.900000000009</v>
      </c>
      <c r="O242" s="974">
        <v>696.44639225878268</v>
      </c>
      <c r="Q242" s="967">
        <v>45071</v>
      </c>
      <c r="R242" s="966">
        <v>38000</v>
      </c>
      <c r="S242" s="971">
        <v>0.48999999942597999</v>
      </c>
      <c r="T242" s="969">
        <v>0</v>
      </c>
      <c r="U242" s="966">
        <v>1828.44</v>
      </c>
      <c r="V242" s="966">
        <v>112.14</v>
      </c>
      <c r="W242" s="971">
        <f t="shared" si="3"/>
        <v>0</v>
      </c>
      <c r="Y242" s="967">
        <v>45141</v>
      </c>
      <c r="Z242" s="974">
        <f ca="1">H192*Valuation_Senario!$L$372</f>
        <v>698.85337086999994</v>
      </c>
      <c r="AA242" s="973">
        <v>49.32</v>
      </c>
      <c r="AM242" s="967">
        <v>45071</v>
      </c>
      <c r="AN242" s="974">
        <v>2673.6254193600003</v>
      </c>
      <c r="AO242" s="38">
        <v>0.48999999942597999</v>
      </c>
      <c r="AS242" s="967">
        <v>45278</v>
      </c>
      <c r="AT242" s="974">
        <v>60835.772940800001</v>
      </c>
      <c r="AU242" s="974">
        <v>92607.900000000009</v>
      </c>
      <c r="AV242" s="974">
        <v>696.44639225878268</v>
      </c>
    </row>
    <row r="243" spans="1:48">
      <c r="A243" s="966">
        <v>236</v>
      </c>
      <c r="B243" s="967">
        <v>45188</v>
      </c>
      <c r="C243" s="966">
        <v>55500</v>
      </c>
      <c r="D243" s="966">
        <v>64.545743400000006</v>
      </c>
      <c r="E243" s="966">
        <v>64.545743400000006</v>
      </c>
      <c r="F243" s="966">
        <v>69982.78</v>
      </c>
      <c r="G243" s="966">
        <v>81172.082608500001</v>
      </c>
      <c r="H243" s="974">
        <v>1068.6600000000001</v>
      </c>
      <c r="I243" s="966">
        <v>20.76</v>
      </c>
      <c r="J243" s="973">
        <v>1.46347245736</v>
      </c>
      <c r="L243" s="990">
        <v>45279</v>
      </c>
      <c r="M243" s="969">
        <v>59592.734311</v>
      </c>
      <c r="N243" s="969">
        <v>76076</v>
      </c>
      <c r="O243" s="974">
        <v>696.44618147824372</v>
      </c>
      <c r="Q243" s="967">
        <v>45070</v>
      </c>
      <c r="R243" s="966">
        <v>37950</v>
      </c>
      <c r="S243" s="971">
        <v>0.48999999942597999</v>
      </c>
      <c r="T243" s="969">
        <v>0</v>
      </c>
      <c r="U243" s="966">
        <v>1828.44</v>
      </c>
      <c r="V243" s="966">
        <v>112.08</v>
      </c>
      <c r="W243" s="971">
        <f t="shared" si="3"/>
        <v>0</v>
      </c>
      <c r="Y243" s="967">
        <v>45140</v>
      </c>
      <c r="Z243" s="974">
        <f ca="1">H193*Valuation_Senario!$L$372</f>
        <v>698.85337086999994</v>
      </c>
      <c r="AA243" s="973">
        <v>48.38</v>
      </c>
      <c r="AM243" s="967">
        <v>45070</v>
      </c>
      <c r="AN243" s="974">
        <v>2673.6254193600003</v>
      </c>
      <c r="AO243" s="38">
        <v>0.48999999942597999</v>
      </c>
      <c r="AS243" s="967">
        <v>45279</v>
      </c>
      <c r="AT243" s="974">
        <v>59592.734311</v>
      </c>
      <c r="AU243" s="974">
        <v>76076</v>
      </c>
      <c r="AV243" s="974">
        <v>696.44618147824372</v>
      </c>
    </row>
    <row r="244" spans="1:48">
      <c r="A244" s="966">
        <v>237</v>
      </c>
      <c r="B244" s="967">
        <v>45187</v>
      </c>
      <c r="C244" s="966">
        <v>55000</v>
      </c>
      <c r="D244" s="966">
        <v>42.447555600000001</v>
      </c>
      <c r="E244" s="966">
        <v>42.447555600000001</v>
      </c>
      <c r="F244" s="966">
        <v>70421.8</v>
      </c>
      <c r="G244" s="966">
        <v>80440.802584999998</v>
      </c>
      <c r="H244" s="974">
        <v>1068.6600000000001</v>
      </c>
      <c r="I244" s="966">
        <v>20.92</v>
      </c>
      <c r="J244" s="973">
        <v>1.4634736951199998</v>
      </c>
      <c r="L244" s="990">
        <v>45280</v>
      </c>
      <c r="M244" s="969">
        <v>57910.976164799999</v>
      </c>
      <c r="N244" s="969">
        <v>76076</v>
      </c>
      <c r="O244" s="974">
        <v>696.44554913662671</v>
      </c>
      <c r="Q244" s="967">
        <v>45069</v>
      </c>
      <c r="R244" s="966">
        <v>38250</v>
      </c>
      <c r="S244" s="971">
        <v>0.48999999942597999</v>
      </c>
      <c r="T244" s="969">
        <v>0</v>
      </c>
      <c r="U244" s="966">
        <v>1828.44</v>
      </c>
      <c r="V244" s="966">
        <v>98.89</v>
      </c>
      <c r="W244" s="971">
        <f t="shared" si="3"/>
        <v>0</v>
      </c>
      <c r="Y244" s="967">
        <v>45139</v>
      </c>
      <c r="Z244" s="974">
        <f ca="1">H194*Valuation_Senario!$L$372</f>
        <v>698.85337086999994</v>
      </c>
      <c r="AA244" s="973">
        <v>48.38</v>
      </c>
      <c r="AM244" s="967">
        <v>45069</v>
      </c>
      <c r="AN244" s="974">
        <v>2673.6254193600003</v>
      </c>
      <c r="AO244" s="38">
        <v>0.48999999942597999</v>
      </c>
      <c r="AS244" s="967">
        <v>45280</v>
      </c>
      <c r="AT244" s="974">
        <v>57910.976164799999</v>
      </c>
      <c r="AU244" s="974">
        <v>76076</v>
      </c>
      <c r="AV244" s="974">
        <v>696.44554913662671</v>
      </c>
    </row>
    <row r="245" spans="1:48">
      <c r="A245" s="966">
        <v>238</v>
      </c>
      <c r="B245" s="967">
        <v>45184</v>
      </c>
      <c r="C245" s="966">
        <v>55900</v>
      </c>
      <c r="D245" s="966">
        <v>0.99580000000000002</v>
      </c>
      <c r="E245" s="966">
        <v>0.99963500000000005</v>
      </c>
      <c r="F245" s="966">
        <v>70860.81</v>
      </c>
      <c r="G245" s="966">
        <v>81757.106627300003</v>
      </c>
      <c r="H245" s="974">
        <v>1068.6600000000001</v>
      </c>
      <c r="I245" s="966">
        <v>21.08</v>
      </c>
      <c r="J245" s="973">
        <v>1.4634774084200002</v>
      </c>
      <c r="L245" s="990">
        <v>45281</v>
      </c>
      <c r="M245" s="969">
        <v>59446.4944722</v>
      </c>
      <c r="N245" s="969">
        <v>76076</v>
      </c>
      <c r="O245" s="974">
        <v>696.44533835608775</v>
      </c>
      <c r="Q245" s="967">
        <v>45068</v>
      </c>
      <c r="R245" s="966">
        <v>38550</v>
      </c>
      <c r="S245" s="971">
        <v>0.48999999942597999</v>
      </c>
      <c r="T245" s="969">
        <v>-3.8349999999999999E-3</v>
      </c>
      <c r="U245" s="966">
        <v>1828.44</v>
      </c>
      <c r="V245" s="966">
        <v>59.49</v>
      </c>
      <c r="W245" s="971">
        <f t="shared" si="3"/>
        <v>-6.4464615901832232E-5</v>
      </c>
      <c r="Y245" s="967">
        <v>45138</v>
      </c>
      <c r="Z245" s="974">
        <f ca="1">H195*Valuation_Senario!$L$372</f>
        <v>698.85337086999994</v>
      </c>
      <c r="AA245" s="973">
        <v>50.25</v>
      </c>
      <c r="AM245" s="967">
        <v>45068</v>
      </c>
      <c r="AN245" s="974">
        <v>2673.6254193600003</v>
      </c>
      <c r="AO245" s="38">
        <v>0.48999999942597999</v>
      </c>
      <c r="AS245" s="967">
        <v>45281</v>
      </c>
      <c r="AT245" s="974">
        <v>59446.4944722</v>
      </c>
      <c r="AU245" s="974">
        <v>76076</v>
      </c>
      <c r="AV245" s="974">
        <v>696.44533835608775</v>
      </c>
    </row>
    <row r="246" spans="1:48">
      <c r="A246" s="966">
        <v>239</v>
      </c>
      <c r="B246" s="967">
        <v>45183</v>
      </c>
      <c r="C246" s="966">
        <v>57300</v>
      </c>
      <c r="D246" s="966">
        <v>0</v>
      </c>
      <c r="E246" s="966">
        <v>0</v>
      </c>
      <c r="F246" s="966">
        <v>70494.97</v>
      </c>
      <c r="G246" s="966">
        <v>83804.690693099998</v>
      </c>
      <c r="H246" s="974">
        <v>1068.6600000000001</v>
      </c>
      <c r="I246" s="966">
        <v>20.95</v>
      </c>
      <c r="J246" s="973">
        <v>1.46347864619</v>
      </c>
      <c r="L246" s="990">
        <v>45282</v>
      </c>
      <c r="M246" s="969">
        <v>62005.691651200003</v>
      </c>
      <c r="N246" s="969">
        <v>76076</v>
      </c>
      <c r="O246" s="974">
        <v>696.45976153787524</v>
      </c>
      <c r="Q246" s="967">
        <v>45065</v>
      </c>
      <c r="R246" s="966">
        <v>38300</v>
      </c>
      <c r="S246" s="971">
        <v>0.48999999986337001</v>
      </c>
      <c r="T246" s="969">
        <v>0</v>
      </c>
      <c r="U246" s="966">
        <v>1828.45</v>
      </c>
      <c r="V246" s="966">
        <v>62.41</v>
      </c>
      <c r="W246" s="971">
        <f t="shared" si="3"/>
        <v>0</v>
      </c>
      <c r="Y246" s="967">
        <v>45135</v>
      </c>
      <c r="Z246" s="974">
        <f ca="1">H196*Valuation_Senario!$L$372</f>
        <v>698.85337086999994</v>
      </c>
      <c r="AA246" s="973">
        <v>29.81</v>
      </c>
      <c r="AM246" s="967">
        <v>45065</v>
      </c>
      <c r="AN246" s="974">
        <v>2673.6400418000003</v>
      </c>
      <c r="AO246" s="38">
        <v>0.48999999986337001</v>
      </c>
      <c r="AS246" s="967">
        <v>45282</v>
      </c>
      <c r="AT246" s="974">
        <v>62005.691651200003</v>
      </c>
      <c r="AU246" s="974">
        <v>76076</v>
      </c>
      <c r="AV246" s="974">
        <v>696.45976153787524</v>
      </c>
    </row>
    <row r="247" spans="1:48">
      <c r="A247" s="966">
        <v>240</v>
      </c>
      <c r="B247" s="967">
        <v>45182</v>
      </c>
      <c r="C247" s="966">
        <v>57500</v>
      </c>
      <c r="D247" s="966">
        <v>44.055525000000003</v>
      </c>
      <c r="E247" s="966">
        <v>44.055525000000003</v>
      </c>
      <c r="F247" s="966">
        <v>70202.289999999994</v>
      </c>
      <c r="G247" s="966">
        <v>84097.202702499999</v>
      </c>
      <c r="H247" s="974">
        <v>1068.6600000000001</v>
      </c>
      <c r="I247" s="966">
        <v>20.84</v>
      </c>
      <c r="J247" s="973">
        <v>1.4634798839600001</v>
      </c>
      <c r="L247" s="990">
        <v>45285</v>
      </c>
      <c r="M247" s="969">
        <v>62371.291248200003</v>
      </c>
      <c r="N247" s="969">
        <v>76076</v>
      </c>
      <c r="O247" s="974">
        <v>696.45955075290726</v>
      </c>
      <c r="Q247" s="967">
        <v>45064</v>
      </c>
      <c r="R247" s="966">
        <v>38100</v>
      </c>
      <c r="S247" s="971">
        <v>0.48999999986337001</v>
      </c>
      <c r="T247" s="969">
        <v>0</v>
      </c>
      <c r="U247" s="966">
        <v>1828.45</v>
      </c>
      <c r="V247" s="966">
        <v>110.97</v>
      </c>
      <c r="W247" s="971">
        <f t="shared" si="3"/>
        <v>0</v>
      </c>
      <c r="Y247" s="967">
        <v>45134</v>
      </c>
      <c r="Z247" s="974">
        <f ca="1">H197*Valuation_Senario!$L$372</f>
        <v>698.85337086999994</v>
      </c>
      <c r="AA247" s="973">
        <v>29.59</v>
      </c>
      <c r="AM247" s="967">
        <v>45064</v>
      </c>
      <c r="AN247" s="974">
        <v>2673.6400418000003</v>
      </c>
      <c r="AO247" s="38">
        <v>0.48999999986337001</v>
      </c>
      <c r="AS247" s="967">
        <v>45285</v>
      </c>
      <c r="AT247" s="974">
        <v>62371.291248200003</v>
      </c>
      <c r="AU247" s="974">
        <v>76076</v>
      </c>
      <c r="AV247" s="974">
        <v>696.45955075290726</v>
      </c>
    </row>
    <row r="248" spans="1:48">
      <c r="A248" s="966">
        <v>241</v>
      </c>
      <c r="B248" s="967">
        <v>45181</v>
      </c>
      <c r="C248" s="966">
        <v>55800</v>
      </c>
      <c r="D248" s="966">
        <v>8.8435E-2</v>
      </c>
      <c r="E248" s="966">
        <v>0</v>
      </c>
      <c r="F248" s="966">
        <v>70275.460000000006</v>
      </c>
      <c r="G248" s="966">
        <v>81610.850622600003</v>
      </c>
      <c r="H248" s="974">
        <v>1068.6600000000001</v>
      </c>
      <c r="I248" s="966">
        <v>20.86</v>
      </c>
      <c r="J248" s="973">
        <v>1.4634811217200001</v>
      </c>
      <c r="L248" s="990">
        <v>45286</v>
      </c>
      <c r="M248" s="969">
        <v>61932.571731800002</v>
      </c>
      <c r="N248" s="969">
        <v>76076</v>
      </c>
      <c r="O248" s="974">
        <v>696.45933996793917</v>
      </c>
      <c r="Q248" s="967">
        <v>45063</v>
      </c>
      <c r="R248" s="966">
        <v>38150</v>
      </c>
      <c r="S248" s="971">
        <v>0.48999999986337001</v>
      </c>
      <c r="T248" s="969">
        <v>8.8435E-2</v>
      </c>
      <c r="U248" s="966">
        <v>1828.45</v>
      </c>
      <c r="V248" s="966">
        <v>50.91</v>
      </c>
      <c r="W248" s="971">
        <f t="shared" si="3"/>
        <v>1.7370850520526421E-3</v>
      </c>
      <c r="Y248" s="967">
        <v>45133</v>
      </c>
      <c r="Z248" s="974">
        <f ca="1">H198*Valuation_Senario!$L$372</f>
        <v>698.85337086999994</v>
      </c>
      <c r="AA248" s="973">
        <v>28.77</v>
      </c>
      <c r="AM248" s="967">
        <v>45063</v>
      </c>
      <c r="AN248" s="974">
        <v>2673.6400418000003</v>
      </c>
      <c r="AO248" s="38">
        <v>0.48999999986337001</v>
      </c>
      <c r="AS248" s="967">
        <v>45286</v>
      </c>
      <c r="AT248" s="974">
        <v>61932.571731800002</v>
      </c>
      <c r="AU248" s="974">
        <v>76076</v>
      </c>
      <c r="AV248" s="974">
        <v>696.45933996793917</v>
      </c>
    </row>
    <row r="249" spans="1:48">
      <c r="A249" s="966">
        <v>242</v>
      </c>
      <c r="B249" s="967">
        <v>45180</v>
      </c>
      <c r="C249" s="966">
        <v>54500</v>
      </c>
      <c r="D249" s="966">
        <v>11.712012</v>
      </c>
      <c r="E249" s="966">
        <v>11.712012</v>
      </c>
      <c r="F249" s="966">
        <v>70714.47</v>
      </c>
      <c r="G249" s="966">
        <v>79709.522561499994</v>
      </c>
      <c r="H249" s="974">
        <v>1068.6600000000001</v>
      </c>
      <c r="I249" s="966">
        <v>21.03</v>
      </c>
      <c r="J249" s="973">
        <v>1.4634823594899999</v>
      </c>
      <c r="L249" s="990">
        <v>45287</v>
      </c>
      <c r="M249" s="969">
        <v>62371.291248200003</v>
      </c>
      <c r="N249" s="969">
        <v>76076</v>
      </c>
      <c r="O249" s="974">
        <v>696.45870761303513</v>
      </c>
      <c r="Q249" s="967">
        <v>45062</v>
      </c>
      <c r="R249" s="966">
        <v>38450</v>
      </c>
      <c r="S249" s="971">
        <v>0.48999842869555998</v>
      </c>
      <c r="T249" s="969">
        <v>0</v>
      </c>
      <c r="U249" s="966">
        <v>1828.45</v>
      </c>
      <c r="V249" s="966">
        <v>93.98</v>
      </c>
      <c r="W249" s="971">
        <f t="shared" si="3"/>
        <v>0</v>
      </c>
      <c r="Y249" s="967">
        <v>45132</v>
      </c>
      <c r="Z249" s="974">
        <f ca="1">H199*Valuation_Senario!$L$372</f>
        <v>698.85337086999994</v>
      </c>
      <c r="AA249" s="973">
        <v>29.31</v>
      </c>
      <c r="AM249" s="967">
        <v>45062</v>
      </c>
      <c r="AN249" s="974">
        <v>2673.6400418000003</v>
      </c>
      <c r="AO249" s="38">
        <v>0.48999842869555998</v>
      </c>
      <c r="AS249" s="967">
        <v>45287</v>
      </c>
      <c r="AT249" s="974">
        <v>62371.291248200003</v>
      </c>
      <c r="AU249" s="974">
        <v>76076</v>
      </c>
      <c r="AV249" s="974">
        <v>696.45870761303513</v>
      </c>
    </row>
    <row r="250" spans="1:48">
      <c r="A250" s="966">
        <v>243</v>
      </c>
      <c r="B250" s="967">
        <v>45177</v>
      </c>
      <c r="C250" s="966">
        <v>55500</v>
      </c>
      <c r="D250" s="966">
        <v>3.2448000000000001</v>
      </c>
      <c r="E250" s="966">
        <v>3.2603599999999999</v>
      </c>
      <c r="F250" s="966">
        <v>71372.990000000005</v>
      </c>
      <c r="G250" s="966">
        <v>81172.082608500001</v>
      </c>
      <c r="H250" s="974">
        <v>1068.6500000000001</v>
      </c>
      <c r="I250" s="966">
        <v>21.27</v>
      </c>
      <c r="J250" s="973">
        <v>1.4634860727899999</v>
      </c>
      <c r="L250" s="990">
        <v>45288</v>
      </c>
      <c r="M250" s="969">
        <v>62444.411167600003</v>
      </c>
      <c r="N250" s="969">
        <v>76076</v>
      </c>
      <c r="O250" s="974">
        <v>696.45849682806727</v>
      </c>
      <c r="Q250" s="967">
        <v>45061</v>
      </c>
      <c r="R250" s="966">
        <v>38900</v>
      </c>
      <c r="S250" s="971">
        <v>0.48999999986337001</v>
      </c>
      <c r="T250" s="969">
        <v>-1.5559999999999999E-2</v>
      </c>
      <c r="U250" s="966">
        <v>1828.45</v>
      </c>
      <c r="V250" s="966">
        <v>112.02</v>
      </c>
      <c r="W250" s="971">
        <f t="shared" si="3"/>
        <v>-1.3890376718443136E-4</v>
      </c>
      <c r="Y250" s="967">
        <v>45131</v>
      </c>
      <c r="Z250" s="974">
        <f ca="1">H200*Valuation_Senario!$L$372</f>
        <v>698.85337086999994</v>
      </c>
      <c r="AA250" s="973">
        <v>29.81</v>
      </c>
      <c r="AM250" s="967">
        <v>45061</v>
      </c>
      <c r="AN250" s="974">
        <v>2673.6400418000003</v>
      </c>
      <c r="AO250" s="38">
        <v>0.48999999986337001</v>
      </c>
      <c r="AS250" s="967">
        <v>45288</v>
      </c>
      <c r="AT250" s="974">
        <v>62444.411167600003</v>
      </c>
      <c r="AU250" s="974">
        <v>76076</v>
      </c>
      <c r="AV250" s="974">
        <v>696.45849682806727</v>
      </c>
    </row>
    <row r="251" spans="1:48">
      <c r="A251" s="966">
        <v>244</v>
      </c>
      <c r="B251" s="967">
        <v>45176</v>
      </c>
      <c r="C251" s="966">
        <v>55000</v>
      </c>
      <c r="D251" s="966">
        <v>0</v>
      </c>
      <c r="E251" s="966">
        <v>8.8525000000000006E-2</v>
      </c>
      <c r="F251" s="966">
        <v>71519.33</v>
      </c>
      <c r="G251" s="966">
        <v>80440.802584999998</v>
      </c>
      <c r="H251" s="974">
        <v>1068.6500000000001</v>
      </c>
      <c r="I251" s="966">
        <v>21.33</v>
      </c>
      <c r="J251" s="973">
        <v>1.4634873105499999</v>
      </c>
      <c r="L251" s="990">
        <v>45289</v>
      </c>
      <c r="M251" s="969">
        <v>62663.770925800003</v>
      </c>
      <c r="N251" s="969">
        <v>76076</v>
      </c>
      <c r="O251" s="974">
        <v>696.45828603834002</v>
      </c>
      <c r="Q251" s="967">
        <v>45058</v>
      </c>
      <c r="R251" s="966">
        <v>39000</v>
      </c>
      <c r="S251" s="971">
        <v>0.48999999986337001</v>
      </c>
      <c r="T251" s="969">
        <v>-8.8525000000000006E-2</v>
      </c>
      <c r="U251" s="966">
        <v>1828.46</v>
      </c>
      <c r="V251" s="966">
        <v>78.56</v>
      </c>
      <c r="W251" s="971">
        <f t="shared" si="3"/>
        <v>-1.1268457230142568E-3</v>
      </c>
      <c r="Y251" s="967">
        <v>45128</v>
      </c>
      <c r="Z251" s="974">
        <f ca="1">H201*Valuation_Senario!$L$372</f>
        <v>698.85337086999994</v>
      </c>
      <c r="AA251" s="973">
        <v>28.71</v>
      </c>
      <c r="AM251" s="967">
        <v>45058</v>
      </c>
      <c r="AN251" s="974">
        <v>2673.6546642400003</v>
      </c>
      <c r="AO251" s="38">
        <v>0.48999999986337001</v>
      </c>
      <c r="AS251" s="967">
        <v>45289</v>
      </c>
      <c r="AT251" s="974">
        <v>62663.770925800003</v>
      </c>
      <c r="AU251" s="974">
        <v>76076</v>
      </c>
      <c r="AV251" s="974">
        <v>696.45828603834002</v>
      </c>
    </row>
    <row r="252" spans="1:48">
      <c r="A252" s="966">
        <v>245</v>
      </c>
      <c r="B252" s="967">
        <v>45175</v>
      </c>
      <c r="C252" s="966">
        <v>55000</v>
      </c>
      <c r="D252" s="966">
        <v>24.204079499999999</v>
      </c>
      <c r="E252" s="966">
        <v>12.869688</v>
      </c>
      <c r="F252" s="966">
        <v>71080.320000000007</v>
      </c>
      <c r="G252" s="966">
        <v>80440.802584999998</v>
      </c>
      <c r="H252" s="974">
        <v>1068.6500000000001</v>
      </c>
      <c r="I252" s="966">
        <v>21.17</v>
      </c>
      <c r="J252" s="973">
        <v>1.46348854832</v>
      </c>
      <c r="L252" s="990">
        <v>45293</v>
      </c>
      <c r="M252" s="969">
        <v>62956.250603400003</v>
      </c>
      <c r="N252" s="969">
        <v>76076</v>
      </c>
      <c r="O252" s="974">
        <v>696.45807525337193</v>
      </c>
      <c r="Q252" s="967">
        <v>45057</v>
      </c>
      <c r="R252" s="966">
        <v>38700</v>
      </c>
      <c r="S252" s="971">
        <v>0.48999999986337001</v>
      </c>
      <c r="T252" s="969">
        <v>11.334391500000001</v>
      </c>
      <c r="U252" s="966">
        <v>1828.46</v>
      </c>
      <c r="V252" s="966">
        <v>88.72</v>
      </c>
      <c r="W252" s="971">
        <f t="shared" si="3"/>
        <v>0.12775463818755636</v>
      </c>
      <c r="Y252" s="967">
        <v>45127</v>
      </c>
      <c r="Z252" s="974">
        <f ca="1">H202*Valuation_Senario!$L$372</f>
        <v>698.85337086999994</v>
      </c>
      <c r="AA252" s="973">
        <v>26.85</v>
      </c>
      <c r="AM252" s="967">
        <v>45057</v>
      </c>
      <c r="AN252" s="974">
        <v>2673.6546642400003</v>
      </c>
      <c r="AO252" s="38">
        <v>0.48999999986337001</v>
      </c>
      <c r="AS252" s="967">
        <v>45293</v>
      </c>
      <c r="AT252" s="974">
        <v>62956.250603400003</v>
      </c>
      <c r="AU252" s="974">
        <v>76076</v>
      </c>
      <c r="AV252" s="974">
        <v>696.45807525337193</v>
      </c>
    </row>
    <row r="253" spans="1:48">
      <c r="A253" s="966">
        <v>246</v>
      </c>
      <c r="B253" s="967">
        <v>45174</v>
      </c>
      <c r="C253" s="966">
        <v>54300</v>
      </c>
      <c r="D253" s="966">
        <v>30.3604263</v>
      </c>
      <c r="E253" s="966">
        <v>30.3604263</v>
      </c>
      <c r="F253" s="966">
        <v>71519.33</v>
      </c>
      <c r="G253" s="966">
        <v>79417.010552099993</v>
      </c>
      <c r="H253" s="974">
        <v>1068.6500000000001</v>
      </c>
      <c r="I253" s="966">
        <v>21.33</v>
      </c>
      <c r="J253" s="973">
        <v>1.46348978609</v>
      </c>
      <c r="L253" s="990">
        <v>45294</v>
      </c>
      <c r="M253" s="969">
        <v>62590.651006400003</v>
      </c>
      <c r="N253" s="969">
        <v>76076</v>
      </c>
      <c r="O253" s="974">
        <v>696.45786446840407</v>
      </c>
      <c r="Q253" s="967">
        <v>45056</v>
      </c>
      <c r="R253" s="966">
        <v>39000</v>
      </c>
      <c r="S253" s="971">
        <v>0.48980725172910999</v>
      </c>
      <c r="T253" s="969">
        <v>0</v>
      </c>
      <c r="U253" s="966">
        <v>1828.46</v>
      </c>
      <c r="V253" s="966">
        <v>120.84</v>
      </c>
      <c r="W253" s="971">
        <f t="shared" si="3"/>
        <v>0</v>
      </c>
      <c r="Y253" s="967">
        <v>45126</v>
      </c>
      <c r="Z253" s="974">
        <f ca="1">H203*Valuation_Senario!$L$372</f>
        <v>698.85337086999994</v>
      </c>
      <c r="AA253" s="973">
        <v>26.53</v>
      </c>
      <c r="AM253" s="967">
        <v>45056</v>
      </c>
      <c r="AN253" s="974">
        <v>2673.6546642400003</v>
      </c>
      <c r="AO253" s="38">
        <v>0.48980725172910999</v>
      </c>
      <c r="AS253" s="967">
        <v>45294</v>
      </c>
      <c r="AT253" s="974">
        <v>62590.651006400003</v>
      </c>
      <c r="AU253" s="974">
        <v>76076</v>
      </c>
      <c r="AV253" s="974">
        <v>696.45786446840407</v>
      </c>
    </row>
    <row r="254" spans="1:48">
      <c r="A254" s="966">
        <v>247</v>
      </c>
      <c r="B254" s="967">
        <v>45169</v>
      </c>
      <c r="C254" s="966">
        <v>53800</v>
      </c>
      <c r="D254" s="966">
        <v>0</v>
      </c>
      <c r="E254" s="966">
        <v>7.5999999999999998E-2</v>
      </c>
      <c r="F254" s="966">
        <v>69982.78</v>
      </c>
      <c r="G254" s="966">
        <v>78685.730528600005</v>
      </c>
      <c r="H254" s="974">
        <v>1068.6500000000001</v>
      </c>
      <c r="I254" s="966">
        <v>20.76</v>
      </c>
      <c r="J254" s="973">
        <v>1.4634959749200001</v>
      </c>
      <c r="L254" s="990">
        <v>45295</v>
      </c>
      <c r="M254" s="969">
        <v>62078.811570600003</v>
      </c>
      <c r="N254" s="969">
        <v>76076</v>
      </c>
      <c r="O254" s="974">
        <v>696.45702132853194</v>
      </c>
      <c r="Q254" s="967">
        <v>45055</v>
      </c>
      <c r="R254" s="966">
        <v>37950</v>
      </c>
      <c r="S254" s="971">
        <v>0.48999999986337001</v>
      </c>
      <c r="T254" s="969">
        <v>-7.5999999999999998E-2</v>
      </c>
      <c r="U254" s="966">
        <v>1828.46</v>
      </c>
      <c r="V254" s="966">
        <v>37.14</v>
      </c>
      <c r="W254" s="971">
        <f t="shared" si="3"/>
        <v>-2.0463112547119008E-3</v>
      </c>
      <c r="Y254" s="967">
        <v>45125</v>
      </c>
      <c r="Z254" s="974">
        <f ca="1">H204*Valuation_Senario!$L$372</f>
        <v>698.85337086999994</v>
      </c>
      <c r="AA254" s="973">
        <v>26.28</v>
      </c>
      <c r="AM254" s="967">
        <v>45055</v>
      </c>
      <c r="AN254" s="974">
        <v>2673.6546642400003</v>
      </c>
      <c r="AO254" s="38">
        <v>0.48999999986337001</v>
      </c>
      <c r="AS254" s="967">
        <v>45295</v>
      </c>
      <c r="AT254" s="974">
        <v>62078.811570600003</v>
      </c>
      <c r="AU254" s="974">
        <v>76076</v>
      </c>
      <c r="AV254" s="974">
        <v>696.45702132853194</v>
      </c>
    </row>
    <row r="255" spans="1:48">
      <c r="A255" s="966">
        <v>248</v>
      </c>
      <c r="B255" s="967">
        <v>45168</v>
      </c>
      <c r="C255" s="966">
        <v>53800</v>
      </c>
      <c r="D255" s="966">
        <v>2.9785539999999999</v>
      </c>
      <c r="E255" s="966">
        <v>14.409564</v>
      </c>
      <c r="F255" s="966">
        <v>69836.45</v>
      </c>
      <c r="G255" s="966">
        <v>78685.730528600005</v>
      </c>
      <c r="H255" s="974">
        <v>1068.6500000000001</v>
      </c>
      <c r="I255" s="966">
        <v>20.7</v>
      </c>
      <c r="J255" s="973">
        <v>1.4634972126900001</v>
      </c>
      <c r="L255" s="990">
        <v>45296</v>
      </c>
      <c r="M255" s="969">
        <v>63175.610361599996</v>
      </c>
      <c r="N255" s="969">
        <v>76076</v>
      </c>
      <c r="O255" s="974">
        <v>696.45681054356407</v>
      </c>
      <c r="Q255" s="967">
        <v>45054</v>
      </c>
      <c r="R255" s="966">
        <v>37850</v>
      </c>
      <c r="S255" s="971">
        <v>0.48999999986337001</v>
      </c>
      <c r="T255" s="969">
        <v>-11.431010000000001</v>
      </c>
      <c r="U255" s="966">
        <v>1828.46</v>
      </c>
      <c r="V255" s="966">
        <v>51.38</v>
      </c>
      <c r="W255" s="971">
        <f t="shared" si="3"/>
        <v>-0.22247975866095757</v>
      </c>
      <c r="Y255" s="967">
        <v>45124</v>
      </c>
      <c r="Z255" s="974">
        <f ca="1">H205*Valuation_Senario!$L$372</f>
        <v>698.85337086999994</v>
      </c>
      <c r="AA255" s="973">
        <v>26.61</v>
      </c>
      <c r="AM255" s="967">
        <v>45054</v>
      </c>
      <c r="AN255" s="974">
        <v>2673.6546642400003</v>
      </c>
      <c r="AO255" s="38">
        <v>0.48999999986337001</v>
      </c>
      <c r="AS255" s="967">
        <v>45296</v>
      </c>
      <c r="AT255" s="974">
        <v>63175.610361599996</v>
      </c>
      <c r="AU255" s="974">
        <v>76076</v>
      </c>
      <c r="AV255" s="974">
        <v>696.45681054356407</v>
      </c>
    </row>
    <row r="256" spans="1:48">
      <c r="A256" s="966">
        <v>249</v>
      </c>
      <c r="B256" s="967">
        <v>45167</v>
      </c>
      <c r="C256" s="966">
        <v>52900</v>
      </c>
      <c r="D256" s="966">
        <v>80.795120600000004</v>
      </c>
      <c r="E256" s="966">
        <v>80.7761706</v>
      </c>
      <c r="F256" s="966">
        <v>69763.28</v>
      </c>
      <c r="G256" s="966">
        <v>77369.426486299999</v>
      </c>
      <c r="H256" s="974">
        <v>1068.6400000000001</v>
      </c>
      <c r="I256" s="966">
        <v>20.67</v>
      </c>
      <c r="J256" s="973">
        <v>1.4634984504500002</v>
      </c>
      <c r="L256" s="990">
        <v>45299</v>
      </c>
      <c r="M256" s="969">
        <v>63175.610361599996</v>
      </c>
      <c r="N256" s="969">
        <v>76076</v>
      </c>
      <c r="O256" s="974">
        <v>696.45659975383683</v>
      </c>
      <c r="Q256" s="967">
        <v>45051</v>
      </c>
      <c r="R256" s="966">
        <v>37800</v>
      </c>
      <c r="S256" s="971">
        <v>0.48999999986337001</v>
      </c>
      <c r="T256" s="969">
        <v>1.8950000000000002E-2</v>
      </c>
      <c r="U256" s="966">
        <v>1828.47</v>
      </c>
      <c r="V256" s="966">
        <v>140.94999999999999</v>
      </c>
      <c r="W256" s="971">
        <f t="shared" si="3"/>
        <v>1.3444483859524655E-4</v>
      </c>
      <c r="Y256" s="967">
        <v>45121</v>
      </c>
      <c r="Z256" s="974">
        <f ca="1">H206*Valuation_Senario!$L$372</f>
        <v>698.85337086999994</v>
      </c>
      <c r="AA256" s="973">
        <v>27.05</v>
      </c>
      <c r="AM256" s="967">
        <v>45051</v>
      </c>
      <c r="AN256" s="974">
        <v>2673.6692866800004</v>
      </c>
      <c r="AO256" s="38">
        <v>0.48999999986337001</v>
      </c>
      <c r="AS256" s="967">
        <v>45299</v>
      </c>
      <c r="AT256" s="974">
        <v>63175.610361599996</v>
      </c>
      <c r="AU256" s="974">
        <v>76076</v>
      </c>
      <c r="AV256" s="974">
        <v>696.45659975383683</v>
      </c>
    </row>
    <row r="257" spans="1:48">
      <c r="A257" s="966">
        <v>250</v>
      </c>
      <c r="B257" s="967">
        <v>45166</v>
      </c>
      <c r="C257" s="966">
        <v>51700</v>
      </c>
      <c r="D257" s="966">
        <v>49.173930400000003</v>
      </c>
      <c r="E257" s="966">
        <v>49.173930400000003</v>
      </c>
      <c r="F257" s="966">
        <v>69909.62</v>
      </c>
      <c r="G257" s="966">
        <v>75614.354429900006</v>
      </c>
      <c r="H257" s="974">
        <v>1068.6400000000001</v>
      </c>
      <c r="I257" s="966">
        <v>20.73</v>
      </c>
      <c r="J257" s="973">
        <v>1.46349968822</v>
      </c>
      <c r="L257" s="990">
        <v>45300</v>
      </c>
      <c r="M257" s="969">
        <v>64126.169313799997</v>
      </c>
      <c r="N257" s="969">
        <v>76076</v>
      </c>
      <c r="O257" s="974">
        <v>696.45638896886885</v>
      </c>
      <c r="Q257" s="967">
        <v>45050</v>
      </c>
      <c r="R257" s="966">
        <v>37900</v>
      </c>
      <c r="S257" s="971">
        <v>0.48999965830515002</v>
      </c>
      <c r="T257" s="969">
        <v>0</v>
      </c>
      <c r="U257" s="966">
        <v>1828.47</v>
      </c>
      <c r="V257" s="966">
        <v>158.78</v>
      </c>
      <c r="W257" s="971">
        <f t="shared" si="3"/>
        <v>0</v>
      </c>
      <c r="Y257" s="967">
        <v>45120</v>
      </c>
      <c r="Z257" s="974">
        <f ca="1">H207*Valuation_Senario!$L$372</f>
        <v>698.85337086999994</v>
      </c>
      <c r="AA257" s="973">
        <v>26.99</v>
      </c>
      <c r="AM257" s="967">
        <v>45050</v>
      </c>
      <c r="AN257" s="974">
        <v>2673.6692866800004</v>
      </c>
      <c r="AO257" s="38">
        <v>0.48999965830515002</v>
      </c>
      <c r="AS257" s="967">
        <v>45300</v>
      </c>
      <c r="AT257" s="974">
        <v>64126.169313799997</v>
      </c>
      <c r="AU257" s="974">
        <v>76076</v>
      </c>
      <c r="AV257" s="974">
        <v>696.45638896886885</v>
      </c>
    </row>
    <row r="258" spans="1:48">
      <c r="A258" s="966">
        <v>251</v>
      </c>
      <c r="B258" s="967">
        <v>45163</v>
      </c>
      <c r="C258" s="966">
        <v>50500</v>
      </c>
      <c r="D258" s="966">
        <v>125.8803758</v>
      </c>
      <c r="E258" s="966">
        <v>125.8803758</v>
      </c>
      <c r="F258" s="966">
        <v>68907.240000000005</v>
      </c>
      <c r="G258" s="966">
        <v>73859.282373499998</v>
      </c>
      <c r="H258" s="974">
        <v>1068.6400000000001</v>
      </c>
      <c r="I258" s="966">
        <v>14</v>
      </c>
      <c r="J258" s="973">
        <v>1.4635034015199999</v>
      </c>
      <c r="L258" s="990">
        <v>45301</v>
      </c>
      <c r="M258" s="969">
        <v>63175.610361599996</v>
      </c>
      <c r="N258" s="969">
        <v>76076</v>
      </c>
      <c r="O258" s="974">
        <v>696.45575661396481</v>
      </c>
      <c r="Q258" s="967">
        <v>45044</v>
      </c>
      <c r="R258" s="966">
        <v>39200</v>
      </c>
      <c r="S258" s="971">
        <v>0.48999999986337001</v>
      </c>
      <c r="T258" s="969">
        <v>0</v>
      </c>
      <c r="U258" s="966">
        <v>2800.61</v>
      </c>
      <c r="V258" s="966">
        <v>224.02</v>
      </c>
      <c r="W258" s="971">
        <f t="shared" si="3"/>
        <v>0</v>
      </c>
      <c r="Y258" s="967">
        <v>45119</v>
      </c>
      <c r="Z258" s="974">
        <f ca="1">H208*Valuation_Senario!$L$372</f>
        <v>698.85337086999994</v>
      </c>
      <c r="AA258" s="973">
        <v>26.88</v>
      </c>
      <c r="AM258" s="967">
        <v>45044</v>
      </c>
      <c r="AN258" s="974">
        <v>4095.1751688400004</v>
      </c>
      <c r="AO258" s="38">
        <v>0.48999999986337001</v>
      </c>
      <c r="AS258" s="967">
        <v>45301</v>
      </c>
      <c r="AT258" s="974">
        <v>63175.610361599996</v>
      </c>
      <c r="AU258" s="974">
        <v>76076</v>
      </c>
      <c r="AV258" s="974">
        <v>696.45575661396481</v>
      </c>
    </row>
    <row r="259" spans="1:48">
      <c r="A259" s="966">
        <v>252</v>
      </c>
      <c r="B259" s="967">
        <v>45162</v>
      </c>
      <c r="C259" s="966">
        <v>50300</v>
      </c>
      <c r="D259" s="966">
        <v>0</v>
      </c>
      <c r="E259" s="966">
        <v>1.9125E-2</v>
      </c>
      <c r="F259" s="966">
        <v>68102.39</v>
      </c>
      <c r="G259" s="966">
        <v>73566.770364099997</v>
      </c>
      <c r="H259" s="974">
        <v>1068.6400000000001</v>
      </c>
      <c r="I259" s="966">
        <v>13.8</v>
      </c>
      <c r="J259" s="973">
        <v>1.46350463929</v>
      </c>
      <c r="L259" s="990">
        <v>45302</v>
      </c>
      <c r="M259" s="969">
        <v>62444.411167600003</v>
      </c>
      <c r="N259" s="969">
        <v>76076</v>
      </c>
      <c r="O259" s="974">
        <v>696.45554582899683</v>
      </c>
      <c r="Q259" s="967">
        <v>45043</v>
      </c>
      <c r="R259" s="966">
        <v>38650</v>
      </c>
      <c r="S259" s="971">
        <v>0.48999999986337001</v>
      </c>
      <c r="T259" s="969">
        <v>-1.9125E-2</v>
      </c>
      <c r="U259" s="966">
        <v>2800.61</v>
      </c>
      <c r="V259" s="966">
        <v>49.49</v>
      </c>
      <c r="W259" s="971">
        <f t="shared" si="3"/>
        <v>-3.8644170539502929E-4</v>
      </c>
      <c r="Y259" s="967">
        <v>45118</v>
      </c>
      <c r="Z259" s="974">
        <f ca="1">H209*Valuation_Senario!$L$372</f>
        <v>698.85337086999994</v>
      </c>
      <c r="AA259" s="973">
        <v>26.69</v>
      </c>
      <c r="AM259" s="967">
        <v>45043</v>
      </c>
      <c r="AN259" s="974">
        <v>4095.1751688400004</v>
      </c>
      <c r="AO259" s="38">
        <v>0.48999999986337001</v>
      </c>
      <c r="AS259" s="967">
        <v>45302</v>
      </c>
      <c r="AT259" s="974">
        <v>62444.411167600003</v>
      </c>
      <c r="AU259" s="974">
        <v>76076</v>
      </c>
      <c r="AV259" s="974">
        <v>696.45554582899683</v>
      </c>
    </row>
    <row r="260" spans="1:48">
      <c r="A260" s="966">
        <v>253</v>
      </c>
      <c r="B260" s="967">
        <v>45161</v>
      </c>
      <c r="C260" s="966">
        <v>49700</v>
      </c>
      <c r="D260" s="966">
        <v>1.9359999999999999</v>
      </c>
      <c r="E260" s="966">
        <v>1.9359999999999999</v>
      </c>
      <c r="F260" s="966">
        <v>67736.539999999994</v>
      </c>
      <c r="G260" s="966">
        <v>72689.234335899993</v>
      </c>
      <c r="H260" s="974">
        <v>1068.6400000000001</v>
      </c>
      <c r="I260" s="966">
        <v>13.71</v>
      </c>
      <c r="J260" s="973">
        <v>1.46350587705</v>
      </c>
      <c r="L260" s="990">
        <v>45303</v>
      </c>
      <c r="M260" s="969">
        <v>61786.331893000002</v>
      </c>
      <c r="N260" s="969">
        <v>76076</v>
      </c>
      <c r="O260" s="974">
        <v>696.45533504402897</v>
      </c>
      <c r="Q260" s="967">
        <v>45042</v>
      </c>
      <c r="R260" s="966">
        <v>38400</v>
      </c>
      <c r="S260" s="971">
        <v>0.48999999986337001</v>
      </c>
      <c r="T260" s="969">
        <v>0</v>
      </c>
      <c r="U260" s="966">
        <v>2800.61</v>
      </c>
      <c r="V260" s="966">
        <v>71.64</v>
      </c>
      <c r="W260" s="971">
        <f t="shared" si="3"/>
        <v>0</v>
      </c>
      <c r="Y260" s="967">
        <v>45117</v>
      </c>
      <c r="Z260" s="974">
        <f ca="1">H210*Valuation_Senario!$L$372</f>
        <v>698.85337086999994</v>
      </c>
      <c r="AA260" s="973">
        <v>26.12</v>
      </c>
      <c r="AM260" s="967">
        <v>45042</v>
      </c>
      <c r="AN260" s="974">
        <v>4095.1751688400004</v>
      </c>
      <c r="AO260" s="38">
        <v>0.48999999986337001</v>
      </c>
      <c r="AS260" s="967">
        <v>45303</v>
      </c>
      <c r="AT260" s="974">
        <v>61786.331893000002</v>
      </c>
      <c r="AU260" s="974">
        <v>76076</v>
      </c>
      <c r="AV260" s="974">
        <v>696.45533504402897</v>
      </c>
    </row>
    <row r="261" spans="1:48">
      <c r="A261" s="966">
        <v>254</v>
      </c>
      <c r="B261" s="967">
        <v>45160</v>
      </c>
      <c r="C261" s="966">
        <v>50000</v>
      </c>
      <c r="D261" s="966">
        <v>56.985338400000003</v>
      </c>
      <c r="E261" s="966">
        <v>56.985338400000003</v>
      </c>
      <c r="F261" s="966">
        <v>66712.179999999993</v>
      </c>
      <c r="G261" s="966">
        <v>73128.002349999995</v>
      </c>
      <c r="H261" s="974">
        <v>1068.6400000000001</v>
      </c>
      <c r="I261" s="966">
        <v>13.46</v>
      </c>
      <c r="J261" s="973">
        <v>1.4635071148199998</v>
      </c>
      <c r="L261" s="990">
        <v>45306</v>
      </c>
      <c r="M261" s="969">
        <v>62078.811570600003</v>
      </c>
      <c r="N261" s="969">
        <v>76076</v>
      </c>
      <c r="O261" s="974">
        <v>696.45512425430161</v>
      </c>
      <c r="Q261" s="967">
        <v>45041</v>
      </c>
      <c r="R261" s="966">
        <v>37700</v>
      </c>
      <c r="S261" s="971">
        <v>0.48999999986337001</v>
      </c>
      <c r="T261" s="969">
        <v>0</v>
      </c>
      <c r="U261" s="966">
        <v>2800.61</v>
      </c>
      <c r="V261" s="966">
        <v>161.07</v>
      </c>
      <c r="W261" s="971">
        <f t="shared" si="3"/>
        <v>0</v>
      </c>
      <c r="Y261" s="967">
        <v>45114</v>
      </c>
      <c r="Z261" s="974">
        <f ca="1">H211*Valuation_Senario!$L$372</f>
        <v>698.85337086999994</v>
      </c>
      <c r="AA261" s="973">
        <v>24.89</v>
      </c>
      <c r="AM261" s="967">
        <v>45041</v>
      </c>
      <c r="AN261" s="974">
        <v>4095.1751688400004</v>
      </c>
      <c r="AO261" s="38">
        <v>0.48999999986337001</v>
      </c>
      <c r="AS261" s="967">
        <v>45306</v>
      </c>
      <c r="AT261" s="974">
        <v>62078.811570600003</v>
      </c>
      <c r="AU261" s="974">
        <v>76076</v>
      </c>
      <c r="AV261" s="974">
        <v>696.45512425430161</v>
      </c>
    </row>
    <row r="262" spans="1:48">
      <c r="A262" s="966">
        <v>255</v>
      </c>
      <c r="B262" s="967">
        <v>45159</v>
      </c>
      <c r="C262" s="966">
        <v>49000</v>
      </c>
      <c r="D262" s="966">
        <v>85.298431500000007</v>
      </c>
      <c r="E262" s="966">
        <v>85.298431500000007</v>
      </c>
      <c r="F262" s="966">
        <v>67736.539999999994</v>
      </c>
      <c r="G262" s="966">
        <v>71665.442303000003</v>
      </c>
      <c r="H262" s="974">
        <v>1068.6400000000001</v>
      </c>
      <c r="I262" s="966">
        <v>13.71</v>
      </c>
      <c r="J262" s="973">
        <v>1.4635083525899999</v>
      </c>
      <c r="L262" s="990">
        <v>45307</v>
      </c>
      <c r="M262" s="969">
        <v>61274.492457200002</v>
      </c>
      <c r="N262" s="969">
        <v>76076</v>
      </c>
      <c r="O262" s="974">
        <v>696.45491346933363</v>
      </c>
      <c r="Q262" s="967">
        <v>45040</v>
      </c>
      <c r="R262" s="966">
        <v>38400</v>
      </c>
      <c r="S262" s="971">
        <v>0.48999999986337001</v>
      </c>
      <c r="T262" s="969">
        <v>0</v>
      </c>
      <c r="U262" s="966">
        <v>2800.61</v>
      </c>
      <c r="V262" s="966">
        <v>208.99</v>
      </c>
      <c r="W262" s="971">
        <f t="shared" si="3"/>
        <v>0</v>
      </c>
      <c r="Y262" s="967">
        <v>45113</v>
      </c>
      <c r="Z262" s="974">
        <f ca="1">H212*Valuation_Senario!$L$372</f>
        <v>698.85337086999994</v>
      </c>
      <c r="AA262" s="973">
        <v>23.63</v>
      </c>
      <c r="AM262" s="967">
        <v>45040</v>
      </c>
      <c r="AN262" s="974">
        <v>4095.1751688400004</v>
      </c>
      <c r="AO262" s="38">
        <v>0.48999999986337001</v>
      </c>
      <c r="AS262" s="967">
        <v>45307</v>
      </c>
      <c r="AT262" s="974">
        <v>61274.492457200002</v>
      </c>
      <c r="AU262" s="974">
        <v>76076</v>
      </c>
      <c r="AV262" s="974">
        <v>696.45491346933363</v>
      </c>
    </row>
    <row r="263" spans="1:48">
      <c r="A263" s="966">
        <v>256</v>
      </c>
      <c r="B263" s="967">
        <v>45156</v>
      </c>
      <c r="C263" s="966">
        <v>50200</v>
      </c>
      <c r="D263" s="966">
        <v>19.088999999999999</v>
      </c>
      <c r="E263" s="966">
        <v>19.088999999999999</v>
      </c>
      <c r="F263" s="966">
        <v>69053.58</v>
      </c>
      <c r="G263" s="966">
        <v>73420.514359399996</v>
      </c>
      <c r="H263" s="974">
        <v>1068.6300000000001</v>
      </c>
      <c r="I263" s="966">
        <v>14.03</v>
      </c>
      <c r="J263" s="973">
        <v>1.46351206588</v>
      </c>
      <c r="L263" s="990">
        <v>45308</v>
      </c>
      <c r="M263" s="969">
        <v>62736.890845200003</v>
      </c>
      <c r="N263" s="969">
        <v>76076</v>
      </c>
      <c r="O263" s="974">
        <v>696.4542811144297</v>
      </c>
      <c r="Q263" s="967">
        <v>45037</v>
      </c>
      <c r="R263" s="966">
        <v>39300</v>
      </c>
      <c r="S263" s="971">
        <v>0.48999999986337001</v>
      </c>
      <c r="T263" s="969">
        <v>0</v>
      </c>
      <c r="U263" s="966">
        <v>2800.61</v>
      </c>
      <c r="V263" s="966">
        <v>131.9</v>
      </c>
      <c r="W263" s="971">
        <f t="shared" si="3"/>
        <v>0</v>
      </c>
      <c r="Y263" s="967">
        <v>45112</v>
      </c>
      <c r="Z263" s="974">
        <f ca="1">H213*Valuation_Senario!$L$372</f>
        <v>698.85337086999994</v>
      </c>
      <c r="AA263" s="973">
        <v>23.71</v>
      </c>
      <c r="AM263" s="967">
        <v>45037</v>
      </c>
      <c r="AN263" s="974">
        <v>4095.1751688400004</v>
      </c>
      <c r="AO263" s="38">
        <v>0.48999999986337001</v>
      </c>
      <c r="AS263" s="967">
        <v>45308</v>
      </c>
      <c r="AT263" s="974">
        <v>62736.890845200003</v>
      </c>
      <c r="AU263" s="974">
        <v>76076</v>
      </c>
      <c r="AV263" s="974">
        <v>696.4542811144297</v>
      </c>
    </row>
    <row r="264" spans="1:48">
      <c r="A264" s="966">
        <v>257</v>
      </c>
      <c r="B264" s="967">
        <v>45155</v>
      </c>
      <c r="C264" s="966">
        <v>53900</v>
      </c>
      <c r="D264" s="966">
        <v>45.927</v>
      </c>
      <c r="E264" s="966">
        <v>45.927</v>
      </c>
      <c r="F264" s="966">
        <v>70663.3</v>
      </c>
      <c r="G264" s="966">
        <v>78831.986533300005</v>
      </c>
      <c r="H264" s="974">
        <v>1068.6300000000001</v>
      </c>
      <c r="I264" s="966">
        <v>14.43</v>
      </c>
      <c r="J264" s="973">
        <v>1.4635133036500001</v>
      </c>
      <c r="L264" s="990">
        <v>45309</v>
      </c>
      <c r="M264" s="969">
        <v>64784.248588399998</v>
      </c>
      <c r="N264" s="969">
        <v>76076</v>
      </c>
      <c r="O264" s="974">
        <v>696.45407032946162</v>
      </c>
      <c r="Q264" s="967">
        <v>45036</v>
      </c>
      <c r="R264" s="966">
        <v>40400</v>
      </c>
      <c r="S264" s="971">
        <v>0.48999999986337001</v>
      </c>
      <c r="T264" s="969">
        <v>0</v>
      </c>
      <c r="U264" s="966">
        <v>2800.61</v>
      </c>
      <c r="V264" s="966">
        <v>102.85</v>
      </c>
      <c r="W264" s="971">
        <f t="shared" si="3"/>
        <v>0</v>
      </c>
      <c r="Y264" s="967">
        <v>45111</v>
      </c>
      <c r="Z264" s="974">
        <f ca="1">H214*Valuation_Senario!$L$372</f>
        <v>1569.3399958999998</v>
      </c>
      <c r="AA264" s="973">
        <v>23.65</v>
      </c>
      <c r="AM264" s="967">
        <v>45036</v>
      </c>
      <c r="AN264" s="974">
        <v>4095.1751688400004</v>
      </c>
      <c r="AO264" s="38">
        <v>0.48999999986337001</v>
      </c>
      <c r="AS264" s="967">
        <v>45309</v>
      </c>
      <c r="AT264" s="974">
        <v>64784.248588399998</v>
      </c>
      <c r="AU264" s="974">
        <v>76076</v>
      </c>
      <c r="AV264" s="974">
        <v>696.45407032946162</v>
      </c>
    </row>
    <row r="265" spans="1:48">
      <c r="A265" s="966">
        <v>258</v>
      </c>
      <c r="B265" s="967">
        <v>45154</v>
      </c>
      <c r="C265" s="966">
        <v>53800</v>
      </c>
      <c r="D265" s="966">
        <v>33.543965</v>
      </c>
      <c r="E265" s="966">
        <v>33.543965</v>
      </c>
      <c r="F265" s="966">
        <v>70809.63</v>
      </c>
      <c r="G265" s="966">
        <v>78685.730528600005</v>
      </c>
      <c r="H265" s="974">
        <v>1068.6300000000001</v>
      </c>
      <c r="I265" s="966">
        <v>14.46</v>
      </c>
      <c r="J265" s="973">
        <v>1.4635145414200001</v>
      </c>
      <c r="L265" s="990">
        <v>45310</v>
      </c>
      <c r="M265" s="969">
        <v>65661.687621200006</v>
      </c>
      <c r="N265" s="969">
        <v>76076</v>
      </c>
      <c r="O265" s="974">
        <v>696.45385954449353</v>
      </c>
      <c r="Q265" s="967">
        <v>45035</v>
      </c>
      <c r="R265" s="966">
        <v>40500</v>
      </c>
      <c r="S265" s="971">
        <v>0.48999999986337001</v>
      </c>
      <c r="T265" s="969">
        <v>0</v>
      </c>
      <c r="U265" s="966">
        <v>2800.61</v>
      </c>
      <c r="V265" s="966">
        <v>153.74</v>
      </c>
      <c r="W265" s="971">
        <f t="shared" ref="W265:W328" si="4">T265/V265</f>
        <v>0</v>
      </c>
      <c r="Y265" s="967">
        <v>45110</v>
      </c>
      <c r="Z265" s="974">
        <f ca="1">H215*Valuation_Senario!$L$372</f>
        <v>1569.3399958999998</v>
      </c>
      <c r="AA265" s="973">
        <v>23.52</v>
      </c>
      <c r="AM265" s="967">
        <v>45035</v>
      </c>
      <c r="AN265" s="974">
        <v>4095.1751688400004</v>
      </c>
      <c r="AO265" s="38">
        <v>0.48999999986337001</v>
      </c>
      <c r="AS265" s="967">
        <v>45310</v>
      </c>
      <c r="AT265" s="974">
        <v>65661.687621200006</v>
      </c>
      <c r="AU265" s="974">
        <v>76076</v>
      </c>
      <c r="AV265" s="974">
        <v>696.45385954449353</v>
      </c>
    </row>
    <row r="266" spans="1:48">
      <c r="A266" s="966">
        <v>259</v>
      </c>
      <c r="B266" s="967">
        <v>45153</v>
      </c>
      <c r="C266" s="966">
        <v>54000</v>
      </c>
      <c r="D266" s="966">
        <v>36.612625000000001</v>
      </c>
      <c r="E266" s="966">
        <v>36.612625000000001</v>
      </c>
      <c r="F266" s="966">
        <v>70004.78</v>
      </c>
      <c r="G266" s="966">
        <v>78978.242538000006</v>
      </c>
      <c r="H266" s="974">
        <v>1068.6300000000001</v>
      </c>
      <c r="I266" s="966">
        <v>14.26</v>
      </c>
      <c r="J266" s="973">
        <v>1.46351577918</v>
      </c>
      <c r="L266" s="990">
        <v>45313</v>
      </c>
      <c r="M266" s="969">
        <v>67050.9660898</v>
      </c>
      <c r="N266" s="969">
        <v>76076</v>
      </c>
      <c r="O266" s="974">
        <v>696.4536487547665</v>
      </c>
      <c r="Q266" s="967">
        <v>45034</v>
      </c>
      <c r="R266" s="966">
        <v>39950</v>
      </c>
      <c r="S266" s="971">
        <v>0.48999999986337001</v>
      </c>
      <c r="T266" s="969">
        <v>0</v>
      </c>
      <c r="U266" s="966">
        <v>2800.61</v>
      </c>
      <c r="V266" s="966">
        <v>147.76</v>
      </c>
      <c r="W266" s="971">
        <f t="shared" si="4"/>
        <v>0</v>
      </c>
      <c r="Y266" s="967">
        <v>45107</v>
      </c>
      <c r="Z266" s="974">
        <f ca="1">H216*Valuation_Senario!$L$372</f>
        <v>1569.3399958999998</v>
      </c>
      <c r="AA266" s="973">
        <v>23.68</v>
      </c>
      <c r="AM266" s="967">
        <v>45034</v>
      </c>
      <c r="AN266" s="974">
        <v>4095.1751688400004</v>
      </c>
      <c r="AO266" s="38">
        <v>0.48999999986337001</v>
      </c>
      <c r="AS266" s="967">
        <v>45313</v>
      </c>
      <c r="AT266" s="974">
        <v>67050.9660898</v>
      </c>
      <c r="AU266" s="974">
        <v>76076</v>
      </c>
      <c r="AV266" s="974">
        <v>696.4536487547665</v>
      </c>
    </row>
    <row r="267" spans="1:48">
      <c r="A267" s="966">
        <v>260</v>
      </c>
      <c r="B267" s="967">
        <v>45152</v>
      </c>
      <c r="C267" s="966">
        <v>54200</v>
      </c>
      <c r="D267" s="966">
        <v>19.490079999999999</v>
      </c>
      <c r="E267" s="966">
        <v>19.490079999999999</v>
      </c>
      <c r="F267" s="966">
        <v>69858.44</v>
      </c>
      <c r="G267" s="966">
        <v>79270.754547400007</v>
      </c>
      <c r="H267" s="974">
        <v>1068.6300000000001</v>
      </c>
      <c r="I267" s="966">
        <v>14.23</v>
      </c>
      <c r="J267" s="973">
        <v>1.46351701695</v>
      </c>
      <c r="L267" s="990">
        <v>45314</v>
      </c>
      <c r="M267" s="969">
        <v>67343.4457674</v>
      </c>
      <c r="N267" s="969">
        <v>76076</v>
      </c>
      <c r="O267" s="974">
        <v>696.45343796979841</v>
      </c>
      <c r="Q267" s="967">
        <v>45033</v>
      </c>
      <c r="R267" s="966">
        <v>39850</v>
      </c>
      <c r="S267" s="971">
        <v>0.48999999986337001</v>
      </c>
      <c r="T267" s="969">
        <v>0</v>
      </c>
      <c r="U267" s="966">
        <v>2800.61</v>
      </c>
      <c r="V267" s="966">
        <v>75.5</v>
      </c>
      <c r="W267" s="971">
        <f t="shared" si="4"/>
        <v>0</v>
      </c>
      <c r="Y267" s="967">
        <v>45106</v>
      </c>
      <c r="Z267" s="974">
        <f ca="1">H217*Valuation_Senario!$L$372</f>
        <v>1569.3399958999998</v>
      </c>
      <c r="AA267" s="973">
        <v>23.35</v>
      </c>
      <c r="AM267" s="967">
        <v>45033</v>
      </c>
      <c r="AN267" s="974">
        <v>4095.1751688400004</v>
      </c>
      <c r="AO267" s="38">
        <v>0.48999999986337001</v>
      </c>
      <c r="AS267" s="967">
        <v>45314</v>
      </c>
      <c r="AT267" s="974">
        <v>67343.4457674</v>
      </c>
      <c r="AU267" s="974">
        <v>76076</v>
      </c>
      <c r="AV267" s="974">
        <v>696.45343796979841</v>
      </c>
    </row>
    <row r="268" spans="1:48">
      <c r="A268" s="966">
        <v>261</v>
      </c>
      <c r="B268" s="967">
        <v>45149</v>
      </c>
      <c r="C268" s="966">
        <v>53300</v>
      </c>
      <c r="D268" s="966">
        <v>0</v>
      </c>
      <c r="E268" s="966">
        <v>0</v>
      </c>
      <c r="F268" s="966">
        <v>70077.94</v>
      </c>
      <c r="G268" s="966">
        <v>77954.450505100001</v>
      </c>
      <c r="H268" s="974">
        <v>1068.6300000000001</v>
      </c>
      <c r="I268" s="966">
        <v>14.28</v>
      </c>
      <c r="J268" s="973">
        <v>1.46352073025</v>
      </c>
      <c r="L268" s="990">
        <v>45315</v>
      </c>
      <c r="M268" s="969">
        <v>67489.685606200001</v>
      </c>
      <c r="N268" s="969">
        <v>76076</v>
      </c>
      <c r="O268" s="974">
        <v>696.45280561489437</v>
      </c>
      <c r="Q268" s="967">
        <v>45030</v>
      </c>
      <c r="R268" s="966">
        <v>40000</v>
      </c>
      <c r="S268" s="971">
        <v>0.48999999986337001</v>
      </c>
      <c r="T268" s="969">
        <v>0</v>
      </c>
      <c r="U268" s="966">
        <v>2800.61</v>
      </c>
      <c r="V268" s="966">
        <v>108.89</v>
      </c>
      <c r="W268" s="971">
        <f t="shared" si="4"/>
        <v>0</v>
      </c>
      <c r="Y268" s="967">
        <v>45105</v>
      </c>
      <c r="Z268" s="974">
        <f ca="1">H218*Valuation_Senario!$L$372</f>
        <v>1569.3399958999998</v>
      </c>
      <c r="AA268" s="973">
        <v>24.01</v>
      </c>
      <c r="AM268" s="967">
        <v>45030</v>
      </c>
      <c r="AN268" s="974">
        <v>4095.1751688400004</v>
      </c>
      <c r="AO268" s="38">
        <v>0.48999999986337001</v>
      </c>
      <c r="AS268" s="967">
        <v>45315</v>
      </c>
      <c r="AT268" s="974">
        <v>67489.685606200001</v>
      </c>
      <c r="AU268" s="974">
        <v>76076</v>
      </c>
      <c r="AV268" s="974">
        <v>696.45280561489437</v>
      </c>
    </row>
    <row r="269" spans="1:48">
      <c r="A269" s="966">
        <v>262</v>
      </c>
      <c r="B269" s="967">
        <v>45148</v>
      </c>
      <c r="C269" s="966">
        <v>52000</v>
      </c>
      <c r="D269" s="966">
        <v>25.2894556</v>
      </c>
      <c r="E269" s="966">
        <v>25.2865</v>
      </c>
      <c r="F269" s="966">
        <v>71614.490000000005</v>
      </c>
      <c r="G269" s="966">
        <v>76053.122443999993</v>
      </c>
      <c r="H269" s="974">
        <v>1068.6300000000001</v>
      </c>
      <c r="I269" s="966">
        <v>14.66</v>
      </c>
      <c r="J269" s="973">
        <v>1.46352196802</v>
      </c>
      <c r="L269" s="990">
        <v>45316</v>
      </c>
      <c r="M269" s="969">
        <v>66392.886815200007</v>
      </c>
      <c r="N269" s="969">
        <v>76076</v>
      </c>
      <c r="O269" s="974">
        <v>696.45259482992651</v>
      </c>
      <c r="Q269" s="967">
        <v>45029</v>
      </c>
      <c r="R269" s="966">
        <v>41050</v>
      </c>
      <c r="S269" s="971">
        <v>0.48999999986337001</v>
      </c>
      <c r="T269" s="969">
        <v>2.9556000000000001E-3</v>
      </c>
      <c r="U269" s="966">
        <v>2800.61</v>
      </c>
      <c r="V269" s="966">
        <v>153.72999999999999</v>
      </c>
      <c r="W269" s="971">
        <f t="shared" si="4"/>
        <v>1.9225915566252522E-5</v>
      </c>
      <c r="Y269" s="967">
        <v>45104</v>
      </c>
      <c r="Z269" s="974">
        <f ca="1">H219*Valuation_Senario!$L$372</f>
        <v>1569.32531133</v>
      </c>
      <c r="AA269" s="973">
        <v>24.17</v>
      </c>
      <c r="AM269" s="967">
        <v>45029</v>
      </c>
      <c r="AN269" s="974">
        <v>4095.1751688400004</v>
      </c>
      <c r="AO269" s="38">
        <v>0.48999999986337001</v>
      </c>
      <c r="AS269" s="967">
        <v>45316</v>
      </c>
      <c r="AT269" s="974">
        <v>66392.886815200007</v>
      </c>
      <c r="AU269" s="974">
        <v>76076</v>
      </c>
      <c r="AV269" s="974">
        <v>696.45259482992651</v>
      </c>
    </row>
    <row r="270" spans="1:48">
      <c r="A270" s="966">
        <v>263</v>
      </c>
      <c r="B270" s="967">
        <v>45147</v>
      </c>
      <c r="C270" s="966">
        <v>52600</v>
      </c>
      <c r="D270" s="966">
        <v>73.762950000000004</v>
      </c>
      <c r="E270" s="966">
        <v>73.762950000000004</v>
      </c>
      <c r="F270" s="966">
        <v>71175.48</v>
      </c>
      <c r="G270" s="966">
        <v>76930.658472199997</v>
      </c>
      <c r="H270" s="974">
        <v>1068.6300000000001</v>
      </c>
      <c r="I270" s="966">
        <v>14.55</v>
      </c>
      <c r="J270" s="973">
        <v>1.4635232057800001</v>
      </c>
      <c r="L270" s="990">
        <v>45317</v>
      </c>
      <c r="M270" s="969">
        <v>64930.488427199998</v>
      </c>
      <c r="N270" s="969">
        <v>76076</v>
      </c>
      <c r="O270" s="974">
        <v>696.45238404495842</v>
      </c>
      <c r="Q270" s="967">
        <v>45028</v>
      </c>
      <c r="R270" s="966">
        <v>40750</v>
      </c>
      <c r="S270" s="971">
        <v>0.48999995067898999</v>
      </c>
      <c r="T270" s="969">
        <v>0</v>
      </c>
      <c r="U270" s="966">
        <v>2800.61</v>
      </c>
      <c r="V270" s="966">
        <v>236.91</v>
      </c>
      <c r="W270" s="971">
        <f t="shared" si="4"/>
        <v>0</v>
      </c>
      <c r="Y270" s="967">
        <v>45103</v>
      </c>
      <c r="Z270" s="974">
        <f ca="1">H220*Valuation_Senario!$L$372</f>
        <v>1569.32531133</v>
      </c>
      <c r="AA270" s="973">
        <v>24.26</v>
      </c>
      <c r="AM270" s="967">
        <v>45028</v>
      </c>
      <c r="AN270" s="974">
        <v>4095.1751688400004</v>
      </c>
      <c r="AO270" s="38">
        <v>0.48999995067898999</v>
      </c>
      <c r="AS270" s="967">
        <v>45317</v>
      </c>
      <c r="AT270" s="974">
        <v>64930.488427199998</v>
      </c>
      <c r="AU270" s="974">
        <v>76076</v>
      </c>
      <c r="AV270" s="974">
        <v>696.45238404495842</v>
      </c>
    </row>
    <row r="271" spans="1:48">
      <c r="A271" s="966">
        <v>264</v>
      </c>
      <c r="B271" s="967">
        <v>45146</v>
      </c>
      <c r="C271" s="966">
        <v>53600</v>
      </c>
      <c r="D271" s="966">
        <v>127.04222</v>
      </c>
      <c r="E271" s="966">
        <v>127.04222</v>
      </c>
      <c r="F271" s="966">
        <v>71102.31</v>
      </c>
      <c r="G271" s="966">
        <v>78393.218519200003</v>
      </c>
      <c r="H271" s="974">
        <v>1068.6300000000001</v>
      </c>
      <c r="I271" s="966">
        <v>14.53</v>
      </c>
      <c r="J271" s="973">
        <v>1.4635244435499999</v>
      </c>
      <c r="L271" s="990">
        <v>45320</v>
      </c>
      <c r="M271" s="969">
        <v>66100.407137600007</v>
      </c>
      <c r="N271" s="969">
        <v>76076</v>
      </c>
      <c r="O271" s="974">
        <v>696.45217325999033</v>
      </c>
      <c r="Q271" s="967">
        <v>45027</v>
      </c>
      <c r="R271" s="966">
        <v>40700</v>
      </c>
      <c r="S271" s="971">
        <v>0.48999999986337001</v>
      </c>
      <c r="T271" s="969">
        <v>0</v>
      </c>
      <c r="U271" s="966">
        <v>2800.61</v>
      </c>
      <c r="V271" s="966">
        <v>242.75</v>
      </c>
      <c r="W271" s="971">
        <f t="shared" si="4"/>
        <v>0</v>
      </c>
      <c r="Y271" s="967">
        <v>45100</v>
      </c>
      <c r="Z271" s="974">
        <f ca="1">H221*Valuation_Senario!$L$372</f>
        <v>1569.32531133</v>
      </c>
      <c r="AA271" s="973">
        <v>23.46</v>
      </c>
      <c r="AM271" s="967">
        <v>45027</v>
      </c>
      <c r="AN271" s="974">
        <v>4095.1751688400004</v>
      </c>
      <c r="AO271" s="38">
        <v>0.48999999986337001</v>
      </c>
      <c r="AS271" s="967">
        <v>45320</v>
      </c>
      <c r="AT271" s="974">
        <v>66100.407137600007</v>
      </c>
      <c r="AU271" s="974">
        <v>76076</v>
      </c>
      <c r="AV271" s="974">
        <v>696.45217325999033</v>
      </c>
    </row>
    <row r="272" spans="1:48">
      <c r="A272" s="966">
        <v>265</v>
      </c>
      <c r="B272" s="967">
        <v>45145</v>
      </c>
      <c r="C272" s="966">
        <v>53800</v>
      </c>
      <c r="D272" s="966">
        <v>225.34263000000001</v>
      </c>
      <c r="E272" s="966">
        <v>225.34263000000001</v>
      </c>
      <c r="F272" s="966">
        <v>71541.320000000007</v>
      </c>
      <c r="G272" s="966">
        <v>78685.730528600005</v>
      </c>
      <c r="H272" s="974">
        <v>1068.6199999999999</v>
      </c>
      <c r="I272" s="966">
        <v>14.64</v>
      </c>
      <c r="J272" s="973">
        <v>1.4635256813199999</v>
      </c>
      <c r="L272" s="990">
        <v>45321</v>
      </c>
      <c r="M272" s="969">
        <v>65661.687621200006</v>
      </c>
      <c r="N272" s="969">
        <v>76076</v>
      </c>
      <c r="O272" s="974">
        <v>696.4519624702632</v>
      </c>
      <c r="Q272" s="967">
        <v>45026</v>
      </c>
      <c r="R272" s="966">
        <v>41000</v>
      </c>
      <c r="S272" s="971">
        <v>0.48999999986337001</v>
      </c>
      <c r="T272" s="969">
        <v>0</v>
      </c>
      <c r="U272" s="966">
        <v>2800.61</v>
      </c>
      <c r="V272" s="966">
        <v>462.44</v>
      </c>
      <c r="W272" s="971">
        <f t="shared" si="4"/>
        <v>0</v>
      </c>
      <c r="Y272" s="967">
        <v>45099</v>
      </c>
      <c r="Z272" s="974">
        <f ca="1">H222*Valuation_Senario!$L$372</f>
        <v>1569.32531133</v>
      </c>
      <c r="AA272" s="973">
        <v>23.54</v>
      </c>
      <c r="AM272" s="967">
        <v>45026</v>
      </c>
      <c r="AN272" s="974">
        <v>4095.1751688400004</v>
      </c>
      <c r="AO272" s="38">
        <v>0.48999999986337001</v>
      </c>
      <c r="AS272" s="967">
        <v>45321</v>
      </c>
      <c r="AT272" s="974">
        <v>65661.687621200006</v>
      </c>
      <c r="AU272" s="974">
        <v>76076</v>
      </c>
      <c r="AV272" s="974">
        <v>696.4519624702632</v>
      </c>
    </row>
    <row r="273" spans="1:48">
      <c r="A273" s="966">
        <v>266</v>
      </c>
      <c r="B273" s="967">
        <v>45142</v>
      </c>
      <c r="C273" s="966">
        <v>53000</v>
      </c>
      <c r="D273" s="966">
        <v>26.283840000000001</v>
      </c>
      <c r="E273" s="966">
        <v>26.283840000000001</v>
      </c>
      <c r="F273" s="966">
        <v>68614.570000000007</v>
      </c>
      <c r="G273" s="966">
        <v>77515.682491</v>
      </c>
      <c r="H273" s="974">
        <v>1068.6199999999999</v>
      </c>
      <c r="I273" s="966">
        <v>13.93</v>
      </c>
      <c r="J273" s="973">
        <v>1.4635293946199999</v>
      </c>
      <c r="L273" s="990">
        <v>45322</v>
      </c>
      <c r="M273" s="969">
        <v>65222.968104799998</v>
      </c>
      <c r="N273" s="969">
        <v>76076</v>
      </c>
      <c r="O273" s="974">
        <v>696.45133011535927</v>
      </c>
      <c r="Q273" s="967">
        <v>45023</v>
      </c>
      <c r="R273" s="966">
        <v>39000</v>
      </c>
      <c r="S273" s="971">
        <v>0.48999999986337001</v>
      </c>
      <c r="T273" s="969">
        <v>0</v>
      </c>
      <c r="U273" s="966">
        <v>2800.61</v>
      </c>
      <c r="V273" s="966">
        <v>105.16</v>
      </c>
      <c r="W273" s="971">
        <f t="shared" si="4"/>
        <v>0</v>
      </c>
      <c r="Y273" s="967">
        <v>45098</v>
      </c>
      <c r="Z273" s="974">
        <f ca="1">H223*Valuation_Senario!$L$372</f>
        <v>1569.32531133</v>
      </c>
      <c r="AA273" s="973">
        <v>23.35</v>
      </c>
      <c r="AM273" s="967">
        <v>45023</v>
      </c>
      <c r="AN273" s="974">
        <v>4095.1751688400004</v>
      </c>
      <c r="AO273" s="38">
        <v>0.48999999986337001</v>
      </c>
      <c r="AS273" s="967">
        <v>45322</v>
      </c>
      <c r="AT273" s="974">
        <v>65222.968104799998</v>
      </c>
      <c r="AU273" s="974">
        <v>76076</v>
      </c>
      <c r="AV273" s="974">
        <v>696.45133011535927</v>
      </c>
    </row>
    <row r="274" spans="1:48">
      <c r="A274" s="966">
        <v>267</v>
      </c>
      <c r="B274" s="967">
        <v>45141</v>
      </c>
      <c r="C274" s="966">
        <v>52700</v>
      </c>
      <c r="D274" s="966">
        <v>23.795500000000001</v>
      </c>
      <c r="E274" s="966">
        <v>23.791499999999999</v>
      </c>
      <c r="F274" s="966">
        <v>68760.91</v>
      </c>
      <c r="G274" s="966">
        <v>77076.914476899998</v>
      </c>
      <c r="H274" s="974">
        <v>1068.6199999999999</v>
      </c>
      <c r="I274" s="966">
        <v>13.96</v>
      </c>
      <c r="J274" s="973">
        <v>1.4635306323800001</v>
      </c>
      <c r="L274" s="990">
        <v>45323</v>
      </c>
      <c r="M274" s="969">
        <v>66392.886815200007</v>
      </c>
      <c r="N274" s="969">
        <v>76076</v>
      </c>
      <c r="O274" s="974">
        <v>696.45111933039118</v>
      </c>
      <c r="Q274" s="967">
        <v>45022</v>
      </c>
      <c r="R274" s="966">
        <v>39100</v>
      </c>
      <c r="S274" s="971">
        <v>0.48999999986337001</v>
      </c>
      <c r="T274" s="969">
        <v>4.0000000000000001E-3</v>
      </c>
      <c r="U274" s="966">
        <v>2800.61</v>
      </c>
      <c r="V274" s="966">
        <v>101.88</v>
      </c>
      <c r="W274" s="971">
        <f t="shared" si="4"/>
        <v>3.9261876717707108E-5</v>
      </c>
      <c r="Y274" s="967">
        <v>45097</v>
      </c>
      <c r="Z274" s="974">
        <f ca="1">H224*Valuation_Senario!$L$372</f>
        <v>1569.32531133</v>
      </c>
      <c r="AA274" s="973">
        <v>23.24</v>
      </c>
      <c r="AM274" s="967">
        <v>45022</v>
      </c>
      <c r="AN274" s="974">
        <v>4095.1751688400004</v>
      </c>
      <c r="AO274" s="38">
        <v>0.48999999986337001</v>
      </c>
      <c r="AS274" s="967">
        <v>45323</v>
      </c>
      <c r="AT274" s="974">
        <v>66392.886815200007</v>
      </c>
      <c r="AU274" s="974">
        <v>76076</v>
      </c>
      <c r="AV274" s="974">
        <v>696.45111933039118</v>
      </c>
    </row>
    <row r="275" spans="1:48">
      <c r="A275" s="966">
        <v>268</v>
      </c>
      <c r="B275" s="967">
        <v>45140</v>
      </c>
      <c r="C275" s="966">
        <v>51700</v>
      </c>
      <c r="D275" s="966">
        <v>0</v>
      </c>
      <c r="E275" s="966">
        <v>0</v>
      </c>
      <c r="F275" s="966">
        <v>69712.100000000006</v>
      </c>
      <c r="G275" s="966">
        <v>75614.354429900006</v>
      </c>
      <c r="H275" s="974">
        <v>1068.6199999999999</v>
      </c>
      <c r="I275" s="966">
        <v>14.19</v>
      </c>
      <c r="J275" s="973">
        <v>1.4635318701500002</v>
      </c>
      <c r="L275" s="990">
        <v>45324</v>
      </c>
      <c r="M275" s="969">
        <v>65807.927460000006</v>
      </c>
      <c r="N275" s="969">
        <v>76076</v>
      </c>
      <c r="O275" s="974">
        <v>167.67665444129881</v>
      </c>
      <c r="Q275" s="967">
        <v>45021</v>
      </c>
      <c r="R275" s="966">
        <v>39750</v>
      </c>
      <c r="S275" s="971">
        <v>0.48999993155172999</v>
      </c>
      <c r="T275" s="969">
        <v>0</v>
      </c>
      <c r="U275" s="966">
        <v>2800.61</v>
      </c>
      <c r="V275" s="966">
        <v>68.89</v>
      </c>
      <c r="W275" s="971">
        <f t="shared" si="4"/>
        <v>0</v>
      </c>
      <c r="Y275" s="967">
        <v>45096</v>
      </c>
      <c r="Z275" s="974">
        <f ca="1">H225*Valuation_Senario!$L$372</f>
        <v>1569.32531133</v>
      </c>
      <c r="AA275" s="973">
        <v>22.7</v>
      </c>
      <c r="AM275" s="967">
        <v>45021</v>
      </c>
      <c r="AN275" s="974">
        <v>4095.1751688400004</v>
      </c>
      <c r="AO275" s="38">
        <v>0.48999993155172999</v>
      </c>
      <c r="AS275" s="967">
        <v>45324</v>
      </c>
      <c r="AT275" s="974">
        <v>65807.927460000006</v>
      </c>
      <c r="AU275" s="974">
        <v>76076</v>
      </c>
      <c r="AV275" s="974">
        <v>167.67665444129881</v>
      </c>
    </row>
    <row r="276" spans="1:48">
      <c r="A276" s="966">
        <v>269</v>
      </c>
      <c r="B276" s="967">
        <v>45139</v>
      </c>
      <c r="C276" s="966">
        <v>51700</v>
      </c>
      <c r="D276" s="966">
        <v>0</v>
      </c>
      <c r="E276" s="966">
        <v>0</v>
      </c>
      <c r="F276" s="966">
        <v>69785.27</v>
      </c>
      <c r="G276" s="966">
        <v>75614.354429900006</v>
      </c>
      <c r="H276" s="974">
        <v>1068.6199999999999</v>
      </c>
      <c r="I276" s="966">
        <v>14.21</v>
      </c>
      <c r="J276" s="973">
        <v>1.46353310791</v>
      </c>
      <c r="L276" s="990">
        <v>45327</v>
      </c>
      <c r="M276" s="969">
        <v>67562.805525599993</v>
      </c>
      <c r="N276" s="969">
        <v>76076</v>
      </c>
      <c r="O276" s="974">
        <v>167.67665444129881</v>
      </c>
      <c r="Q276" s="967">
        <v>45020</v>
      </c>
      <c r="R276" s="966">
        <v>39800</v>
      </c>
      <c r="S276" s="971">
        <v>0.48999999986337001</v>
      </c>
      <c r="T276" s="969">
        <v>0</v>
      </c>
      <c r="U276" s="966">
        <v>2800.61</v>
      </c>
      <c r="V276" s="966">
        <v>124.21</v>
      </c>
      <c r="W276" s="971">
        <f t="shared" si="4"/>
        <v>0</v>
      </c>
      <c r="Y276" s="967">
        <v>45093</v>
      </c>
      <c r="Z276" s="974">
        <f ca="1">H226*Valuation_Senario!$L$372</f>
        <v>1569.3106267599999</v>
      </c>
      <c r="AA276" s="973">
        <v>22.62</v>
      </c>
      <c r="AM276" s="967">
        <v>45020</v>
      </c>
      <c r="AN276" s="974">
        <v>4095.1751688400004</v>
      </c>
      <c r="AO276" s="38">
        <v>0.48999999986337001</v>
      </c>
      <c r="AS276" s="967">
        <v>45327</v>
      </c>
      <c r="AT276" s="974">
        <v>67562.805525599993</v>
      </c>
      <c r="AU276" s="974">
        <v>76076</v>
      </c>
      <c r="AV276" s="974">
        <v>167.67665444129881</v>
      </c>
    </row>
    <row r="277" spans="1:48">
      <c r="A277" s="966">
        <v>270</v>
      </c>
      <c r="B277" s="967">
        <v>45138</v>
      </c>
      <c r="C277" s="966">
        <v>53700</v>
      </c>
      <c r="D277" s="966">
        <v>44.209976949999998</v>
      </c>
      <c r="E277" s="966">
        <v>43.371015</v>
      </c>
      <c r="F277" s="966">
        <v>68614.570000000007</v>
      </c>
      <c r="G277" s="966">
        <v>78539.474523900004</v>
      </c>
      <c r="H277" s="974">
        <v>1068.6199999999999</v>
      </c>
      <c r="I277" s="966">
        <v>13.93</v>
      </c>
      <c r="J277" s="973">
        <v>1.4635343456800001</v>
      </c>
      <c r="L277" s="990">
        <v>45328</v>
      </c>
      <c r="M277" s="969">
        <v>69317.683591199995</v>
      </c>
      <c r="N277" s="969">
        <v>76076</v>
      </c>
      <c r="O277" s="974">
        <v>167.67665444129881</v>
      </c>
      <c r="Q277" s="967">
        <v>45019</v>
      </c>
      <c r="R277" s="966">
        <v>39000</v>
      </c>
      <c r="S277" s="971">
        <v>0.48999999986337001</v>
      </c>
      <c r="T277" s="969">
        <v>0.83896194999999996</v>
      </c>
      <c r="U277" s="966">
        <v>2800.61</v>
      </c>
      <c r="V277" s="966">
        <v>126.46</v>
      </c>
      <c r="W277" s="971">
        <f t="shared" si="4"/>
        <v>6.6342080499762774E-3</v>
      </c>
      <c r="Y277" s="967">
        <v>45092</v>
      </c>
      <c r="Z277" s="974">
        <f ca="1">H227*Valuation_Senario!$L$372</f>
        <v>1569.3106267599999</v>
      </c>
      <c r="AA277" s="973">
        <v>22.81</v>
      </c>
      <c r="AM277" s="967">
        <v>45019</v>
      </c>
      <c r="AN277" s="974">
        <v>4095.1751688400004</v>
      </c>
      <c r="AO277" s="38">
        <v>0.48999999986337001</v>
      </c>
      <c r="AS277" s="967">
        <v>45328</v>
      </c>
      <c r="AT277" s="974">
        <v>69317.683591199995</v>
      </c>
      <c r="AU277" s="974">
        <v>76076</v>
      </c>
      <c r="AV277" s="974">
        <v>167.67665444129881</v>
      </c>
    </row>
    <row r="278" spans="1:48">
      <c r="A278" s="966">
        <v>271</v>
      </c>
      <c r="B278" s="967">
        <v>45135</v>
      </c>
      <c r="C278" s="966">
        <v>54500</v>
      </c>
      <c r="D278" s="966">
        <v>68.514800199999996</v>
      </c>
      <c r="E278" s="966">
        <v>68.512569999999997</v>
      </c>
      <c r="F278" s="966">
        <v>67956.05</v>
      </c>
      <c r="G278" s="966">
        <v>79709.522561499994</v>
      </c>
      <c r="H278" s="974">
        <v>1828.42</v>
      </c>
      <c r="I278" s="966">
        <v>13.76</v>
      </c>
      <c r="J278" s="973">
        <v>1.46386681448</v>
      </c>
      <c r="L278" s="990">
        <v>45329</v>
      </c>
      <c r="M278" s="969">
        <v>69317.683591199995</v>
      </c>
      <c r="N278" s="969">
        <v>76076</v>
      </c>
      <c r="O278" s="974">
        <v>167.67665444129881</v>
      </c>
      <c r="Q278" s="967">
        <v>45016</v>
      </c>
      <c r="R278" s="966">
        <v>38550</v>
      </c>
      <c r="S278" s="971">
        <v>0.48998602398416002</v>
      </c>
      <c r="T278" s="969">
        <v>2.2301999999999999E-3</v>
      </c>
      <c r="U278" s="966">
        <v>2800.61</v>
      </c>
      <c r="V278" s="966">
        <v>138.72999999999999</v>
      </c>
      <c r="W278" s="971">
        <f t="shared" si="4"/>
        <v>1.6075830750378433E-5</v>
      </c>
      <c r="Y278" s="967">
        <v>45091</v>
      </c>
      <c r="Z278" s="974">
        <f ca="1">H228*Valuation_Senario!$L$372</f>
        <v>1569.3106267599999</v>
      </c>
      <c r="AA278" s="973">
        <v>23</v>
      </c>
      <c r="AM278" s="967">
        <v>45016</v>
      </c>
      <c r="AN278" s="974">
        <v>4095.1751688400004</v>
      </c>
      <c r="AO278" s="38">
        <v>0.48998602398416002</v>
      </c>
      <c r="AS278" s="967">
        <v>45329</v>
      </c>
      <c r="AT278" s="974">
        <v>69317.683591199995</v>
      </c>
      <c r="AU278" s="974">
        <v>76076</v>
      </c>
      <c r="AV278" s="974">
        <v>167.67665444129881</v>
      </c>
    </row>
    <row r="279" spans="1:48">
      <c r="A279" s="966">
        <v>272</v>
      </c>
      <c r="B279" s="967">
        <v>45134</v>
      </c>
      <c r="C279" s="966">
        <v>54100</v>
      </c>
      <c r="D279" s="966">
        <v>158.29071999999999</v>
      </c>
      <c r="E279" s="966">
        <v>158.25192000000001</v>
      </c>
      <c r="F279" s="966">
        <v>68029.22</v>
      </c>
      <c r="G279" s="966">
        <v>79124.498542700007</v>
      </c>
      <c r="H279" s="974">
        <v>1828.42</v>
      </c>
      <c r="I279" s="966">
        <v>13.78</v>
      </c>
      <c r="J279" s="973">
        <v>1.4638676774000001</v>
      </c>
      <c r="L279" s="990">
        <v>45337</v>
      </c>
      <c r="M279" s="969">
        <v>68732.724235999995</v>
      </c>
      <c r="N279" s="969">
        <v>76076</v>
      </c>
      <c r="O279" s="974">
        <v>167.67665444129881</v>
      </c>
      <c r="Q279" s="967">
        <v>45015</v>
      </c>
      <c r="R279" s="966">
        <v>38600</v>
      </c>
      <c r="S279" s="971">
        <v>0.48999996297507997</v>
      </c>
      <c r="T279" s="969">
        <v>3.8800000000000001E-2</v>
      </c>
      <c r="U279" s="966">
        <v>2800.61</v>
      </c>
      <c r="V279" s="966">
        <v>261.45999999999998</v>
      </c>
      <c r="W279" s="971">
        <f t="shared" si="4"/>
        <v>1.4839746041459499E-4</v>
      </c>
      <c r="Y279" s="967">
        <v>45090</v>
      </c>
      <c r="Z279" s="974">
        <f ca="1">H229*Valuation_Senario!$L$372</f>
        <v>1569.3106267599999</v>
      </c>
      <c r="AA279" s="973">
        <v>23.52</v>
      </c>
      <c r="AM279" s="967">
        <v>45015</v>
      </c>
      <c r="AN279" s="974">
        <v>4095.1751688400004</v>
      </c>
      <c r="AO279" s="38">
        <v>0.48999996297507997</v>
      </c>
      <c r="AS279" s="967">
        <v>45337</v>
      </c>
      <c r="AT279" s="974">
        <v>68732.724235999995</v>
      </c>
      <c r="AU279" s="974">
        <v>76076</v>
      </c>
      <c r="AV279" s="974">
        <v>167.67665444129881</v>
      </c>
    </row>
    <row r="280" spans="1:48">
      <c r="A280" s="966">
        <v>273</v>
      </c>
      <c r="B280" s="967">
        <v>45133</v>
      </c>
      <c r="C280" s="966">
        <v>52600</v>
      </c>
      <c r="D280" s="966">
        <v>49.164904999999997</v>
      </c>
      <c r="E280" s="966">
        <v>49.956519999999998</v>
      </c>
      <c r="F280" s="966">
        <v>68175.56</v>
      </c>
      <c r="G280" s="966">
        <v>76930.658472199997</v>
      </c>
      <c r="H280" s="974">
        <v>1828.42</v>
      </c>
      <c r="I280" s="966">
        <v>13.82</v>
      </c>
      <c r="J280" s="973">
        <v>1.46386854033</v>
      </c>
      <c r="L280" s="990">
        <v>45338</v>
      </c>
      <c r="M280" s="969">
        <v>68147.764880799994</v>
      </c>
      <c r="N280" s="969">
        <v>76076</v>
      </c>
      <c r="O280" s="974">
        <v>167.67665444129881</v>
      </c>
      <c r="Q280" s="967">
        <v>45014</v>
      </c>
      <c r="R280" s="966">
        <v>38700</v>
      </c>
      <c r="S280" s="971">
        <v>0.48999931674692998</v>
      </c>
      <c r="T280" s="969">
        <v>-0.79161499999999996</v>
      </c>
      <c r="U280" s="966">
        <v>2800.61</v>
      </c>
      <c r="V280" s="966">
        <v>120.56</v>
      </c>
      <c r="W280" s="971">
        <f t="shared" si="4"/>
        <v>-6.5661496350364959E-3</v>
      </c>
      <c r="Y280" s="967">
        <v>45089</v>
      </c>
      <c r="Z280" s="974">
        <f ca="1">H230*Valuation_Senario!$L$372</f>
        <v>1569.3106267599999</v>
      </c>
      <c r="AA280" s="973">
        <v>23.52</v>
      </c>
      <c r="AM280" s="967">
        <v>45014</v>
      </c>
      <c r="AN280" s="974">
        <v>4095.1751688400004</v>
      </c>
      <c r="AO280" s="38">
        <v>0.48999931674692998</v>
      </c>
      <c r="AS280" s="967">
        <v>45338</v>
      </c>
      <c r="AT280" s="974">
        <v>68147.764880799994</v>
      </c>
      <c r="AU280" s="974">
        <v>76076</v>
      </c>
      <c r="AV280" s="974">
        <v>167.67665444129881</v>
      </c>
    </row>
    <row r="281" spans="1:48">
      <c r="A281" s="966">
        <v>274</v>
      </c>
      <c r="B281" s="967">
        <v>45132</v>
      </c>
      <c r="C281" s="966">
        <v>53600</v>
      </c>
      <c r="D281" s="966">
        <v>66.306725</v>
      </c>
      <c r="E281" s="966">
        <v>66.306725</v>
      </c>
      <c r="F281" s="966">
        <v>68760.91</v>
      </c>
      <c r="G281" s="966">
        <v>78393.218519200003</v>
      </c>
      <c r="H281" s="974">
        <v>1828.42</v>
      </c>
      <c r="I281" s="966">
        <v>13.96</v>
      </c>
      <c r="J281" s="973">
        <v>1.4638694032499999</v>
      </c>
      <c r="L281" s="990">
        <v>45341</v>
      </c>
      <c r="M281" s="969">
        <v>67050.9660898</v>
      </c>
      <c r="N281" s="969">
        <v>76076</v>
      </c>
      <c r="O281" s="974">
        <v>167.67665444129881</v>
      </c>
      <c r="Q281" s="967">
        <v>45013</v>
      </c>
      <c r="R281" s="966">
        <v>39100</v>
      </c>
      <c r="S281" s="971">
        <v>0.48999993155172999</v>
      </c>
      <c r="T281" s="969">
        <v>0</v>
      </c>
      <c r="U281" s="966">
        <v>2800.61</v>
      </c>
      <c r="V281" s="966">
        <v>229.98</v>
      </c>
      <c r="W281" s="971">
        <f t="shared" si="4"/>
        <v>0</v>
      </c>
      <c r="Y281" s="967">
        <v>45086</v>
      </c>
      <c r="Z281" s="974">
        <f ca="1">H231*Valuation_Senario!$L$372</f>
        <v>1569.3106267599999</v>
      </c>
      <c r="AA281" s="973">
        <v>22.64</v>
      </c>
      <c r="AM281" s="967">
        <v>45013</v>
      </c>
      <c r="AN281" s="974">
        <v>4095.1751688400004</v>
      </c>
      <c r="AO281" s="38">
        <v>0.48999993155172999</v>
      </c>
      <c r="AS281" s="967">
        <v>45341</v>
      </c>
      <c r="AT281" s="974">
        <v>67050.9660898</v>
      </c>
      <c r="AU281" s="974">
        <v>76076</v>
      </c>
      <c r="AV281" s="974">
        <v>167.67665444129881</v>
      </c>
    </row>
    <row r="282" spans="1:48">
      <c r="A282" s="966">
        <v>275</v>
      </c>
      <c r="B282" s="967">
        <v>45131</v>
      </c>
      <c r="C282" s="966">
        <v>54500</v>
      </c>
      <c r="D282" s="966">
        <v>28.812999999999999</v>
      </c>
      <c r="E282" s="966">
        <v>28.66103</v>
      </c>
      <c r="F282" s="966">
        <v>67297.53</v>
      </c>
      <c r="G282" s="966">
        <v>79709.522561499994</v>
      </c>
      <c r="H282" s="974">
        <v>1828.42</v>
      </c>
      <c r="I282" s="966">
        <v>13.6</v>
      </c>
      <c r="J282" s="973">
        <v>1.46387026618</v>
      </c>
      <c r="L282" s="990">
        <v>45342</v>
      </c>
      <c r="M282" s="969">
        <v>67709.045364399994</v>
      </c>
      <c r="N282" s="969">
        <v>76076</v>
      </c>
      <c r="O282" s="974">
        <v>167.67665444129881</v>
      </c>
      <c r="Q282" s="967">
        <v>45012</v>
      </c>
      <c r="R282" s="966">
        <v>38100</v>
      </c>
      <c r="S282" s="971">
        <v>0.48999999986337001</v>
      </c>
      <c r="T282" s="969">
        <v>0.15196999999999999</v>
      </c>
      <c r="U282" s="966">
        <v>2800.61</v>
      </c>
      <c r="V282" s="966">
        <v>122.65</v>
      </c>
      <c r="W282" s="971">
        <f t="shared" si="4"/>
        <v>1.2390542193232775E-3</v>
      </c>
      <c r="Y282" s="967">
        <v>45085</v>
      </c>
      <c r="Z282" s="974">
        <f ca="1">H232*Valuation_Senario!$L$372</f>
        <v>1569.3106267599999</v>
      </c>
      <c r="AA282" s="973">
        <v>22.23</v>
      </c>
      <c r="AM282" s="967">
        <v>45012</v>
      </c>
      <c r="AN282" s="974">
        <v>4095.1751688400004</v>
      </c>
      <c r="AO282" s="38">
        <v>0.48999999986337001</v>
      </c>
      <c r="AS282" s="967">
        <v>45342</v>
      </c>
      <c r="AT282" s="974">
        <v>67709.045364399994</v>
      </c>
      <c r="AU282" s="974">
        <v>76076</v>
      </c>
      <c r="AV282" s="974">
        <v>167.67665444129881</v>
      </c>
    </row>
    <row r="283" spans="1:48">
      <c r="A283" s="966">
        <v>276</v>
      </c>
      <c r="B283" s="967">
        <v>45128</v>
      </c>
      <c r="C283" s="966">
        <v>52500</v>
      </c>
      <c r="D283" s="966">
        <v>49.910159999999998</v>
      </c>
      <c r="E283" s="966">
        <v>49.913919999999997</v>
      </c>
      <c r="F283" s="966">
        <v>67078.02</v>
      </c>
      <c r="G283" s="966">
        <v>76784.402467499996</v>
      </c>
      <c r="H283" s="974">
        <v>1828.41</v>
      </c>
      <c r="I283" s="966">
        <v>13.55</v>
      </c>
      <c r="J283" s="973">
        <v>1.46387285496</v>
      </c>
      <c r="L283" s="990">
        <v>45343</v>
      </c>
      <c r="M283" s="969">
        <v>68440.244558399994</v>
      </c>
      <c r="N283" s="969">
        <v>76076</v>
      </c>
      <c r="O283" s="974">
        <v>167.67665444129881</v>
      </c>
      <c r="Q283" s="967">
        <v>45009</v>
      </c>
      <c r="R283" s="966">
        <v>37950</v>
      </c>
      <c r="S283" s="971">
        <v>0.48999658428117998</v>
      </c>
      <c r="T283" s="969">
        <v>-3.7599999999999999E-3</v>
      </c>
      <c r="U283" s="966">
        <v>2800.61</v>
      </c>
      <c r="V283" s="966">
        <v>115.51</v>
      </c>
      <c r="W283" s="971">
        <f t="shared" si="4"/>
        <v>-3.2551294260237203E-5</v>
      </c>
      <c r="Y283" s="967">
        <v>45084</v>
      </c>
      <c r="Z283" s="974">
        <f ca="1">H233*Valuation_Senario!$L$372</f>
        <v>1569.3106267599999</v>
      </c>
      <c r="AA283" s="973">
        <v>22.86</v>
      </c>
      <c r="AM283" s="967">
        <v>45009</v>
      </c>
      <c r="AN283" s="974">
        <v>4095.1751688400004</v>
      </c>
      <c r="AO283" s="38">
        <v>0.48999658428117998</v>
      </c>
      <c r="AS283" s="967">
        <v>45343</v>
      </c>
      <c r="AT283" s="974">
        <v>68440.244558399994</v>
      </c>
      <c r="AU283" s="974">
        <v>76076</v>
      </c>
      <c r="AV283" s="974">
        <v>167.67665444129881</v>
      </c>
    </row>
    <row r="284" spans="1:48">
      <c r="A284" s="966">
        <v>277</v>
      </c>
      <c r="B284" s="967">
        <v>45127</v>
      </c>
      <c r="C284" s="966">
        <v>49100</v>
      </c>
      <c r="D284" s="966">
        <v>67.067139999999995</v>
      </c>
      <c r="E284" s="966">
        <v>67.067139999999995</v>
      </c>
      <c r="F284" s="966">
        <v>66858.52</v>
      </c>
      <c r="G284" s="966">
        <v>71811.698307700004</v>
      </c>
      <c r="H284" s="974">
        <v>1828.41</v>
      </c>
      <c r="I284" s="966">
        <v>13.5</v>
      </c>
      <c r="J284" s="973">
        <v>1.4638737178800001</v>
      </c>
      <c r="L284" s="990">
        <v>45344</v>
      </c>
      <c r="M284" s="969">
        <v>68440.244558399994</v>
      </c>
      <c r="N284" s="969">
        <v>76076</v>
      </c>
      <c r="O284" s="974">
        <v>167.67665444129881</v>
      </c>
      <c r="Q284" s="967">
        <v>45008</v>
      </c>
      <c r="R284" s="966">
        <v>37800</v>
      </c>
      <c r="S284" s="971">
        <v>0.48999999986337001</v>
      </c>
      <c r="T284" s="969">
        <v>0</v>
      </c>
      <c r="U284" s="966">
        <v>2800.61</v>
      </c>
      <c r="V284" s="966">
        <v>113.82</v>
      </c>
      <c r="W284" s="971">
        <f t="shared" si="4"/>
        <v>0</v>
      </c>
      <c r="Y284" s="967">
        <v>45083</v>
      </c>
      <c r="Z284" s="974">
        <f ca="1">H234*Valuation_Senario!$L$372</f>
        <v>1569.3106267599999</v>
      </c>
      <c r="AA284" s="973">
        <v>22.86</v>
      </c>
      <c r="AM284" s="967">
        <v>45008</v>
      </c>
      <c r="AN284" s="974">
        <v>4095.1751688400004</v>
      </c>
      <c r="AO284" s="38">
        <v>0.48999999986337001</v>
      </c>
      <c r="AS284" s="967">
        <v>45344</v>
      </c>
      <c r="AT284" s="974">
        <v>68440.244558399994</v>
      </c>
      <c r="AU284" s="974">
        <v>76076</v>
      </c>
      <c r="AV284" s="974">
        <v>167.67665444129881</v>
      </c>
    </row>
    <row r="285" spans="1:48">
      <c r="A285" s="966">
        <v>278</v>
      </c>
      <c r="B285" s="967">
        <v>45126</v>
      </c>
      <c r="C285" s="966">
        <v>48500</v>
      </c>
      <c r="D285" s="966">
        <v>46.499499999999998</v>
      </c>
      <c r="E285" s="966">
        <v>46.689855000000001</v>
      </c>
      <c r="F285" s="966">
        <v>67078.02</v>
      </c>
      <c r="G285" s="966">
        <v>70956.013808999996</v>
      </c>
      <c r="H285" s="974">
        <v>1828.4</v>
      </c>
      <c r="I285" s="966">
        <v>13.55</v>
      </c>
      <c r="J285" s="973">
        <v>1.4638820074100001</v>
      </c>
      <c r="L285" s="990">
        <v>45345</v>
      </c>
      <c r="M285" s="969">
        <v>67416.565686799993</v>
      </c>
      <c r="N285" s="969">
        <v>76076</v>
      </c>
      <c r="O285" s="974">
        <v>167.67665444129881</v>
      </c>
      <c r="Q285" s="967">
        <v>45007</v>
      </c>
      <c r="R285" s="966">
        <v>37950</v>
      </c>
      <c r="S285" s="971">
        <v>0.48999999986337001</v>
      </c>
      <c r="T285" s="969">
        <v>-0.190355</v>
      </c>
      <c r="U285" s="966">
        <v>2800.61</v>
      </c>
      <c r="V285" s="966">
        <v>103.92</v>
      </c>
      <c r="W285" s="971">
        <f t="shared" si="4"/>
        <v>-1.8317455735180907E-3</v>
      </c>
      <c r="Y285" s="967">
        <v>45082</v>
      </c>
      <c r="Z285" s="974">
        <f ca="1">H235*Valuation_Senario!$L$372</f>
        <v>1569.29594219</v>
      </c>
      <c r="AA285" s="973">
        <v>22.53</v>
      </c>
      <c r="AM285" s="967">
        <v>45007</v>
      </c>
      <c r="AN285" s="974">
        <v>4095.1751688400004</v>
      </c>
      <c r="AO285" s="38">
        <v>0.48999999986337001</v>
      </c>
      <c r="AS285" s="967">
        <v>45345</v>
      </c>
      <c r="AT285" s="974">
        <v>67416.565686799993</v>
      </c>
      <c r="AU285" s="974">
        <v>76076</v>
      </c>
      <c r="AV285" s="974">
        <v>167.67665444129881</v>
      </c>
    </row>
    <row r="286" spans="1:48">
      <c r="A286" s="966">
        <v>279</v>
      </c>
      <c r="B286" s="967">
        <v>45125</v>
      </c>
      <c r="C286" s="966">
        <v>48050</v>
      </c>
      <c r="D286" s="966">
        <v>80.147099999999995</v>
      </c>
      <c r="E286" s="966">
        <v>80.147099999999995</v>
      </c>
      <c r="F286" s="966">
        <v>67882.880000000005</v>
      </c>
      <c r="G286" s="966">
        <v>70297.659041699997</v>
      </c>
      <c r="H286" s="974">
        <v>1828.4</v>
      </c>
      <c r="I286" s="966">
        <v>13.75</v>
      </c>
      <c r="J286" s="973">
        <v>1.4638816325699999</v>
      </c>
      <c r="L286" s="990">
        <v>45348</v>
      </c>
      <c r="M286" s="969">
        <v>66246.646976400007</v>
      </c>
      <c r="N286" s="969">
        <v>76076</v>
      </c>
      <c r="O286" s="974">
        <v>167.67665444129881</v>
      </c>
      <c r="Q286" s="967">
        <v>45006</v>
      </c>
      <c r="R286" s="966">
        <v>38500</v>
      </c>
      <c r="S286" s="971">
        <v>0.48999999986337001</v>
      </c>
      <c r="T286" s="969">
        <v>0</v>
      </c>
      <c r="U286" s="966">
        <v>2800.61</v>
      </c>
      <c r="V286" s="966">
        <v>134.01</v>
      </c>
      <c r="W286" s="971">
        <f t="shared" si="4"/>
        <v>0</v>
      </c>
      <c r="Y286" s="967">
        <v>45079</v>
      </c>
      <c r="Z286" s="974">
        <f ca="1">H236*Valuation_Senario!$L$372</f>
        <v>1569.29594219</v>
      </c>
      <c r="AA286" s="973">
        <v>22.31</v>
      </c>
      <c r="AM286" s="967">
        <v>45006</v>
      </c>
      <c r="AN286" s="974">
        <v>4095.1751688400004</v>
      </c>
      <c r="AO286" s="38">
        <v>0.48999999986337001</v>
      </c>
      <c r="AS286" s="967">
        <v>45348</v>
      </c>
      <c r="AT286" s="974">
        <v>66246.646976400007</v>
      </c>
      <c r="AU286" s="974">
        <v>76076</v>
      </c>
      <c r="AV286" s="974">
        <v>167.67665444129881</v>
      </c>
    </row>
    <row r="287" spans="1:48">
      <c r="A287" s="966">
        <v>280</v>
      </c>
      <c r="B287" s="967">
        <v>45124</v>
      </c>
      <c r="C287" s="966">
        <v>48650</v>
      </c>
      <c r="D287" s="966">
        <v>41.744729999999997</v>
      </c>
      <c r="E287" s="966">
        <v>41.736930000000001</v>
      </c>
      <c r="F287" s="966">
        <v>67297.53</v>
      </c>
      <c r="G287" s="966">
        <v>71175.465398100001</v>
      </c>
      <c r="H287" s="974">
        <v>1828.4</v>
      </c>
      <c r="I287" s="966">
        <v>13.6</v>
      </c>
      <c r="J287" s="973">
        <v>1.46388125773</v>
      </c>
      <c r="L287" s="990">
        <v>45349</v>
      </c>
      <c r="M287" s="969">
        <v>64345.529071999998</v>
      </c>
      <c r="N287" s="969">
        <v>76076</v>
      </c>
      <c r="O287" s="974">
        <v>167.67665444129881</v>
      </c>
      <c r="Q287" s="967">
        <v>45005</v>
      </c>
      <c r="R287" s="966">
        <v>38100</v>
      </c>
      <c r="S287" s="971">
        <v>0.48999999986337001</v>
      </c>
      <c r="T287" s="969">
        <v>7.7999999999999996E-3</v>
      </c>
      <c r="U287" s="966">
        <v>2800.61</v>
      </c>
      <c r="V287" s="966">
        <v>130.13999999999999</v>
      </c>
      <c r="W287" s="971">
        <f t="shared" si="4"/>
        <v>5.9935454126325501E-5</v>
      </c>
      <c r="Y287" s="967">
        <v>45078</v>
      </c>
      <c r="Z287" s="974">
        <f ca="1">H237*Valuation_Senario!$L$372</f>
        <v>1569.29594219</v>
      </c>
      <c r="AA287" s="973">
        <v>21.49</v>
      </c>
      <c r="AM287" s="967">
        <v>45005</v>
      </c>
      <c r="AN287" s="974">
        <v>4095.1751688400004</v>
      </c>
      <c r="AO287" s="38">
        <v>0.48999999986337001</v>
      </c>
      <c r="AS287" s="967">
        <v>45349</v>
      </c>
      <c r="AT287" s="974">
        <v>64345.529071999998</v>
      </c>
      <c r="AU287" s="974">
        <v>76076</v>
      </c>
      <c r="AV287" s="974">
        <v>167.67665444129881</v>
      </c>
    </row>
    <row r="288" spans="1:48">
      <c r="A288" s="966">
        <v>281</v>
      </c>
      <c r="B288" s="967">
        <v>45121</v>
      </c>
      <c r="C288" s="966">
        <v>49450</v>
      </c>
      <c r="D288" s="966">
        <v>17.638847699999999</v>
      </c>
      <c r="E288" s="966">
        <v>17.638847699999999</v>
      </c>
      <c r="F288" s="966">
        <v>69199.92</v>
      </c>
      <c r="G288" s="966">
        <v>72345.873873300006</v>
      </c>
      <c r="H288" s="974">
        <v>1828.4</v>
      </c>
      <c r="I288" s="966">
        <v>14.07</v>
      </c>
      <c r="J288" s="973">
        <v>1.4638801332</v>
      </c>
      <c r="L288" s="990">
        <v>45350</v>
      </c>
      <c r="M288" s="969">
        <v>64857.368507799998</v>
      </c>
      <c r="N288" s="969">
        <v>76076</v>
      </c>
      <c r="O288" s="974">
        <v>167.67665444129881</v>
      </c>
      <c r="Q288" s="967">
        <v>45002</v>
      </c>
      <c r="R288" s="966">
        <v>39400</v>
      </c>
      <c r="S288" s="971">
        <v>0.48999986324007999</v>
      </c>
      <c r="T288" s="969">
        <v>0</v>
      </c>
      <c r="U288" s="966">
        <v>2800.61</v>
      </c>
      <c r="V288" s="966">
        <v>55.14</v>
      </c>
      <c r="W288" s="971">
        <f t="shared" si="4"/>
        <v>0</v>
      </c>
      <c r="Y288" s="967">
        <v>45077</v>
      </c>
      <c r="Z288" s="974">
        <f ca="1">H238*Valuation_Senario!$L$372</f>
        <v>1569.29594219</v>
      </c>
      <c r="AA288" s="973">
        <v>21.44</v>
      </c>
      <c r="AM288" s="967">
        <v>45002</v>
      </c>
      <c r="AN288" s="974">
        <v>4095.1751688400004</v>
      </c>
      <c r="AO288" s="38">
        <v>0.48999986324007999</v>
      </c>
      <c r="AS288" s="967">
        <v>45350</v>
      </c>
      <c r="AT288" s="974">
        <v>64857.368507799998</v>
      </c>
      <c r="AU288" s="974">
        <v>76076</v>
      </c>
      <c r="AV288" s="974">
        <v>167.67665444129881</v>
      </c>
    </row>
    <row r="289" spans="1:48">
      <c r="A289" s="966">
        <v>282</v>
      </c>
      <c r="B289" s="967">
        <v>45120</v>
      </c>
      <c r="C289" s="966">
        <v>49350</v>
      </c>
      <c r="D289" s="966">
        <v>14.98</v>
      </c>
      <c r="E289" s="966">
        <v>14.98</v>
      </c>
      <c r="F289" s="966">
        <v>69199.92</v>
      </c>
      <c r="G289" s="966">
        <v>72199.572813899998</v>
      </c>
      <c r="H289" s="974">
        <v>1828.4</v>
      </c>
      <c r="I289" s="966">
        <v>14.07</v>
      </c>
      <c r="J289" s="973">
        <v>1.4638797583599998</v>
      </c>
      <c r="L289" s="990">
        <v>45351</v>
      </c>
      <c r="M289" s="969">
        <v>65442.327862999999</v>
      </c>
      <c r="N289" s="969">
        <v>76076</v>
      </c>
      <c r="O289" s="974">
        <v>167.67665444129881</v>
      </c>
      <c r="Q289" s="967">
        <v>45001</v>
      </c>
      <c r="R289" s="966">
        <v>39400</v>
      </c>
      <c r="S289" s="971">
        <v>0.48999999986337001</v>
      </c>
      <c r="T289" s="969">
        <v>0</v>
      </c>
      <c r="U289" s="966">
        <v>2800.61</v>
      </c>
      <c r="V289" s="966">
        <v>80.22</v>
      </c>
      <c r="W289" s="971">
        <f t="shared" si="4"/>
        <v>0</v>
      </c>
      <c r="Y289" s="967">
        <v>45076</v>
      </c>
      <c r="Z289" s="974">
        <f ca="1">H239*Valuation_Senario!$L$372</f>
        <v>1569.29594219</v>
      </c>
      <c r="AA289" s="973">
        <v>21.55</v>
      </c>
      <c r="AM289" s="967">
        <v>45001</v>
      </c>
      <c r="AN289" s="974">
        <v>4095.1751688400004</v>
      </c>
      <c r="AO289" s="38">
        <v>0.48999999986337001</v>
      </c>
      <c r="AS289" s="967">
        <v>45351</v>
      </c>
      <c r="AT289" s="974">
        <v>65442.327862999999</v>
      </c>
      <c r="AU289" s="974">
        <v>76076</v>
      </c>
      <c r="AV289" s="974">
        <v>167.67665444129881</v>
      </c>
    </row>
    <row r="290" spans="1:48">
      <c r="A290" s="966">
        <v>283</v>
      </c>
      <c r="B290" s="967">
        <v>45119</v>
      </c>
      <c r="C290" s="966">
        <v>49150</v>
      </c>
      <c r="D290" s="966">
        <v>17.238620000000001</v>
      </c>
      <c r="E290" s="966">
        <v>17.24654</v>
      </c>
      <c r="F290" s="966">
        <v>70077.94</v>
      </c>
      <c r="G290" s="966">
        <v>71906.970695099997</v>
      </c>
      <c r="H290" s="974">
        <v>1828.41</v>
      </c>
      <c r="I290" s="966">
        <v>14.28</v>
      </c>
      <c r="J290" s="973">
        <v>1.4638793835199999</v>
      </c>
      <c r="L290" s="990">
        <v>45352</v>
      </c>
      <c r="M290" s="969">
        <v>66246.646976400007</v>
      </c>
      <c r="N290" s="969">
        <v>76076</v>
      </c>
      <c r="O290" s="974">
        <v>167.67665444129881</v>
      </c>
      <c r="Q290" s="967">
        <v>45000</v>
      </c>
      <c r="R290" s="966">
        <v>40000</v>
      </c>
      <c r="S290" s="971">
        <v>0.48999999986337001</v>
      </c>
      <c r="T290" s="969">
        <v>-7.92E-3</v>
      </c>
      <c r="U290" s="966">
        <v>2800.61</v>
      </c>
      <c r="V290" s="966">
        <v>92.86</v>
      </c>
      <c r="W290" s="971">
        <f t="shared" si="4"/>
        <v>-8.5289683394357098E-5</v>
      </c>
      <c r="Y290" s="967">
        <v>45075</v>
      </c>
      <c r="Z290" s="974">
        <f ca="1">H240*Valuation_Senario!$L$372</f>
        <v>1569.29594219</v>
      </c>
      <c r="AA290" s="973">
        <v>21.17</v>
      </c>
      <c r="AM290" s="967">
        <v>45000</v>
      </c>
      <c r="AN290" s="974">
        <v>4095.1751688400004</v>
      </c>
      <c r="AO290" s="38">
        <v>0.48999999986337001</v>
      </c>
      <c r="AS290" s="967">
        <v>45352</v>
      </c>
      <c r="AT290" s="974">
        <v>66246.646976400007</v>
      </c>
      <c r="AU290" s="974">
        <v>76076</v>
      </c>
      <c r="AV290" s="974">
        <v>167.67665444129881</v>
      </c>
    </row>
    <row r="291" spans="1:48">
      <c r="A291" s="966">
        <v>284</v>
      </c>
      <c r="B291" s="967">
        <v>45118</v>
      </c>
      <c r="C291" s="966">
        <v>48800</v>
      </c>
      <c r="D291" s="966">
        <v>9.4073100000000007</v>
      </c>
      <c r="E291" s="966">
        <v>9.3994499999999999</v>
      </c>
      <c r="F291" s="966">
        <v>68029.22</v>
      </c>
      <c r="G291" s="966">
        <v>71394.916987200006</v>
      </c>
      <c r="H291" s="974">
        <v>1828.41</v>
      </c>
      <c r="I291" s="966">
        <v>13.78</v>
      </c>
      <c r="J291" s="973">
        <v>1.46387900868</v>
      </c>
      <c r="L291" s="990">
        <v>45355</v>
      </c>
      <c r="M291" s="969">
        <v>67562.805525599993</v>
      </c>
      <c r="N291" s="969">
        <v>80465</v>
      </c>
      <c r="O291" s="974">
        <v>167.67665444129881</v>
      </c>
      <c r="Q291" s="967">
        <v>44999</v>
      </c>
      <c r="R291" s="966">
        <v>38600</v>
      </c>
      <c r="S291" s="971">
        <v>0.48999999986337001</v>
      </c>
      <c r="T291" s="969">
        <v>7.8600000000000007E-3</v>
      </c>
      <c r="U291" s="966">
        <v>2800.61</v>
      </c>
      <c r="V291" s="966">
        <v>71.989999999999995</v>
      </c>
      <c r="W291" s="971">
        <f t="shared" si="4"/>
        <v>1.0918183080983472E-4</v>
      </c>
      <c r="Y291" s="967">
        <v>45072</v>
      </c>
      <c r="Z291" s="974">
        <f ca="1">H241*Valuation_Senario!$L$372</f>
        <v>1569.29594219</v>
      </c>
      <c r="AA291" s="973">
        <v>20.89</v>
      </c>
      <c r="AM291" s="967">
        <v>44999</v>
      </c>
      <c r="AN291" s="974">
        <v>4095.1751688400004</v>
      </c>
      <c r="AO291" s="38">
        <v>0.48999999986337001</v>
      </c>
      <c r="AS291" s="967">
        <v>45355</v>
      </c>
      <c r="AT291" s="974">
        <v>67562.805525599993</v>
      </c>
      <c r="AU291" s="974">
        <v>80465</v>
      </c>
      <c r="AV291" s="974">
        <v>167.67665444129881</v>
      </c>
    </row>
    <row r="292" spans="1:48">
      <c r="A292" s="966">
        <v>285</v>
      </c>
      <c r="B292" s="967">
        <v>45117</v>
      </c>
      <c r="C292" s="966">
        <v>47750</v>
      </c>
      <c r="D292" s="966">
        <v>0</v>
      </c>
      <c r="E292" s="966">
        <v>0</v>
      </c>
      <c r="F292" s="966">
        <v>69199.92</v>
      </c>
      <c r="G292" s="966">
        <v>69858.755863500002</v>
      </c>
      <c r="H292" s="974">
        <v>1828.41</v>
      </c>
      <c r="I292" s="966">
        <v>14.07</v>
      </c>
      <c r="J292" s="973">
        <v>1.4638786338399998</v>
      </c>
      <c r="L292" s="990">
        <v>45356</v>
      </c>
      <c r="M292" s="969">
        <v>68147.764880799994</v>
      </c>
      <c r="N292" s="969">
        <v>80465</v>
      </c>
      <c r="O292" s="974">
        <v>167.67665444129881</v>
      </c>
      <c r="Q292" s="967">
        <v>44998</v>
      </c>
      <c r="R292" s="966">
        <v>39400</v>
      </c>
      <c r="S292" s="971">
        <v>0.48999986324007999</v>
      </c>
      <c r="T292" s="969">
        <v>0</v>
      </c>
      <c r="U292" s="966">
        <v>2800.61</v>
      </c>
      <c r="V292" s="966">
        <v>53.59</v>
      </c>
      <c r="W292" s="971">
        <f t="shared" si="4"/>
        <v>0</v>
      </c>
      <c r="Y292" s="967">
        <v>45071</v>
      </c>
      <c r="Z292" s="974">
        <f ca="1">H242*Valuation_Senario!$L$372</f>
        <v>1569.2812576199999</v>
      </c>
      <c r="AA292" s="973">
        <v>20.78</v>
      </c>
      <c r="AM292" s="967">
        <v>44998</v>
      </c>
      <c r="AN292" s="974">
        <v>4095.1751688400004</v>
      </c>
      <c r="AO292" s="38">
        <v>0.48999986324007999</v>
      </c>
      <c r="AS292" s="967">
        <v>45356</v>
      </c>
      <c r="AT292" s="974">
        <v>68147.764880799994</v>
      </c>
      <c r="AU292" s="974">
        <v>80465</v>
      </c>
      <c r="AV292" s="974">
        <v>167.67665444129881</v>
      </c>
    </row>
    <row r="293" spans="1:48">
      <c r="A293" s="966">
        <v>286</v>
      </c>
      <c r="B293" s="967">
        <v>45114</v>
      </c>
      <c r="C293" s="966">
        <v>45500</v>
      </c>
      <c r="D293" s="966">
        <v>1.6623520000000001</v>
      </c>
      <c r="E293" s="966">
        <v>1.6623520000000001</v>
      </c>
      <c r="F293" s="966">
        <v>69712.100000000006</v>
      </c>
      <c r="G293" s="966">
        <v>66566.982027000005</v>
      </c>
      <c r="H293" s="974">
        <v>1828.41</v>
      </c>
      <c r="I293" s="966">
        <v>14.19</v>
      </c>
      <c r="J293" s="973">
        <v>1.4638775093199998</v>
      </c>
      <c r="L293" s="990">
        <v>45357</v>
      </c>
      <c r="M293" s="969">
        <v>69317.683591199995</v>
      </c>
      <c r="N293" s="969">
        <v>80465</v>
      </c>
      <c r="O293" s="974">
        <v>167.67665444129881</v>
      </c>
      <c r="Q293" s="967">
        <v>44995</v>
      </c>
      <c r="R293" s="966">
        <v>39750</v>
      </c>
      <c r="S293" s="971">
        <v>0.48999999986337001</v>
      </c>
      <c r="T293" s="969">
        <v>0</v>
      </c>
      <c r="U293" s="966">
        <v>2800.61</v>
      </c>
      <c r="V293" s="966">
        <v>64.13</v>
      </c>
      <c r="W293" s="971">
        <f t="shared" si="4"/>
        <v>0</v>
      </c>
      <c r="Y293" s="967">
        <v>45070</v>
      </c>
      <c r="Z293" s="974">
        <f ca="1">H243*Valuation_Senario!$L$372</f>
        <v>1569.2812576199999</v>
      </c>
      <c r="AA293" s="973">
        <v>20.76</v>
      </c>
      <c r="AM293" s="967">
        <v>44995</v>
      </c>
      <c r="AN293" s="974">
        <v>4095.1751688400004</v>
      </c>
      <c r="AO293" s="38">
        <v>0.48999999986337001</v>
      </c>
      <c r="AS293" s="967">
        <v>45357</v>
      </c>
      <c r="AT293" s="974">
        <v>69317.683591199995</v>
      </c>
      <c r="AU293" s="974">
        <v>80465</v>
      </c>
      <c r="AV293" s="974">
        <v>167.67665444129881</v>
      </c>
    </row>
    <row r="294" spans="1:48">
      <c r="A294" s="966">
        <v>287</v>
      </c>
      <c r="B294" s="967">
        <v>45113</v>
      </c>
      <c r="C294" s="966">
        <v>43200</v>
      </c>
      <c r="D294" s="966">
        <v>28.6872015</v>
      </c>
      <c r="E294" s="966">
        <v>28.687331499999999</v>
      </c>
      <c r="F294" s="966">
        <v>70077.94</v>
      </c>
      <c r="G294" s="966">
        <v>63202.057660799997</v>
      </c>
      <c r="H294" s="974">
        <v>1828.41</v>
      </c>
      <c r="I294" s="966">
        <v>14.28</v>
      </c>
      <c r="J294" s="973">
        <v>1.4638771344800001</v>
      </c>
      <c r="L294" s="990">
        <v>45358</v>
      </c>
      <c r="M294" s="969">
        <v>73112.208849999995</v>
      </c>
      <c r="N294" s="969">
        <v>80465</v>
      </c>
      <c r="O294" s="974">
        <v>167.67660602702381</v>
      </c>
      <c r="Q294" s="967">
        <v>44994</v>
      </c>
      <c r="R294" s="966">
        <v>40000</v>
      </c>
      <c r="S294" s="971">
        <v>0.48999999986337001</v>
      </c>
      <c r="T294" s="969">
        <v>-1.2999999999999999E-4</v>
      </c>
      <c r="U294" s="966">
        <v>2800.61</v>
      </c>
      <c r="V294" s="966">
        <v>113.32</v>
      </c>
      <c r="W294" s="971">
        <f t="shared" si="4"/>
        <v>-1.1471937875044122E-6</v>
      </c>
      <c r="Y294" s="967">
        <v>45069</v>
      </c>
      <c r="Z294" s="974">
        <f ca="1">H244*Valuation_Senario!$L$372</f>
        <v>1569.2812576199999</v>
      </c>
      <c r="AA294" s="973">
        <v>20.92</v>
      </c>
      <c r="AM294" s="967">
        <v>44994</v>
      </c>
      <c r="AN294" s="974">
        <v>4095.1751688400004</v>
      </c>
      <c r="AO294" s="38">
        <v>0.48999999986337001</v>
      </c>
      <c r="AS294" s="967">
        <v>45358</v>
      </c>
      <c r="AT294" s="974">
        <v>73112.208849999995</v>
      </c>
      <c r="AU294" s="974">
        <v>80465</v>
      </c>
      <c r="AV294" s="974">
        <v>167.67660602702381</v>
      </c>
    </row>
    <row r="295" spans="1:48">
      <c r="A295" s="966">
        <v>288</v>
      </c>
      <c r="B295" s="967">
        <v>45112</v>
      </c>
      <c r="C295" s="966">
        <v>43350</v>
      </c>
      <c r="D295" s="966">
        <v>51.879734999999997</v>
      </c>
      <c r="E295" s="966">
        <v>51.801735000000001</v>
      </c>
      <c r="F295" s="966">
        <v>69199.92</v>
      </c>
      <c r="G295" s="966">
        <v>63421.509249900002</v>
      </c>
      <c r="H295" s="974">
        <v>1828.41</v>
      </c>
      <c r="I295" s="966">
        <v>14.07</v>
      </c>
      <c r="J295" s="973">
        <v>1.4638767596400002</v>
      </c>
      <c r="L295" s="990">
        <v>45359</v>
      </c>
      <c r="M295" s="969">
        <v>71211.291419899993</v>
      </c>
      <c r="N295" s="969">
        <v>80465</v>
      </c>
      <c r="O295" s="974">
        <v>167.67655761274881</v>
      </c>
      <c r="Q295" s="967">
        <v>44993</v>
      </c>
      <c r="R295" s="966">
        <v>39400</v>
      </c>
      <c r="S295" s="971">
        <v>0.48999986324007999</v>
      </c>
      <c r="T295" s="969">
        <v>7.8E-2</v>
      </c>
      <c r="U295" s="966">
        <v>2800.61</v>
      </c>
      <c r="V295" s="966">
        <v>130.87</v>
      </c>
      <c r="W295" s="971">
        <f t="shared" si="4"/>
        <v>5.9601130893252845E-4</v>
      </c>
      <c r="Y295" s="967">
        <v>45068</v>
      </c>
      <c r="Z295" s="974">
        <f ca="1">H245*Valuation_Senario!$L$372</f>
        <v>1569.2812576199999</v>
      </c>
      <c r="AA295" s="973">
        <v>21.08</v>
      </c>
      <c r="AM295" s="967">
        <v>44993</v>
      </c>
      <c r="AN295" s="974">
        <v>4095.1751688400004</v>
      </c>
      <c r="AO295" s="38">
        <v>0.48999986324007999</v>
      </c>
      <c r="AS295" s="967">
        <v>45359</v>
      </c>
      <c r="AT295" s="974">
        <v>71211.291419899993</v>
      </c>
      <c r="AU295" s="974">
        <v>80465</v>
      </c>
      <c r="AV295" s="974">
        <v>167.67655761274881</v>
      </c>
    </row>
    <row r="296" spans="1:48">
      <c r="A296" s="966">
        <v>289</v>
      </c>
      <c r="B296" s="967">
        <v>45111</v>
      </c>
      <c r="C296" s="966">
        <v>43250</v>
      </c>
      <c r="D296" s="966">
        <v>1.3959237</v>
      </c>
      <c r="E296" s="966">
        <v>1.3959237</v>
      </c>
      <c r="F296" s="966">
        <v>69638.929999999993</v>
      </c>
      <c r="G296" s="966">
        <v>63275.208190500001</v>
      </c>
      <c r="H296" s="974">
        <v>1828.41</v>
      </c>
      <c r="I296" s="966">
        <v>14.18</v>
      </c>
      <c r="J296" s="973">
        <v>1.4638763848</v>
      </c>
      <c r="L296" s="990">
        <v>45362</v>
      </c>
      <c r="M296" s="969">
        <v>71649.964672999995</v>
      </c>
      <c r="N296" s="969">
        <v>80465</v>
      </c>
      <c r="O296" s="974">
        <v>167.67650919961969</v>
      </c>
      <c r="Q296" s="967">
        <v>44992</v>
      </c>
      <c r="R296" s="966">
        <v>39700</v>
      </c>
      <c r="S296" s="971">
        <v>0.48999863363049001</v>
      </c>
      <c r="T296" s="969">
        <v>0</v>
      </c>
      <c r="U296" s="966">
        <v>2800.61</v>
      </c>
      <c r="V296" s="966">
        <v>64.510000000000005</v>
      </c>
      <c r="W296" s="971">
        <f t="shared" si="4"/>
        <v>0</v>
      </c>
      <c r="Y296" s="967">
        <v>45065</v>
      </c>
      <c r="Z296" s="974">
        <f ca="1">H246*Valuation_Senario!$L$372</f>
        <v>1569.2812576199999</v>
      </c>
      <c r="AA296" s="973">
        <v>20.95</v>
      </c>
      <c r="AM296" s="967">
        <v>44992</v>
      </c>
      <c r="AN296" s="974">
        <v>4095.1751688400004</v>
      </c>
      <c r="AO296" s="38">
        <v>0.48999863363049001</v>
      </c>
      <c r="AS296" s="967">
        <v>45362</v>
      </c>
      <c r="AT296" s="974">
        <v>71649.964672999995</v>
      </c>
      <c r="AU296" s="974">
        <v>80465</v>
      </c>
      <c r="AV296" s="974">
        <v>167.67650919961969</v>
      </c>
    </row>
    <row r="297" spans="1:48">
      <c r="A297" s="966">
        <v>290</v>
      </c>
      <c r="B297" s="967">
        <v>45110</v>
      </c>
      <c r="C297" s="966">
        <v>43000</v>
      </c>
      <c r="D297" s="966">
        <v>0</v>
      </c>
      <c r="E297" s="966">
        <v>8.0300000000000007E-3</v>
      </c>
      <c r="F297" s="966">
        <v>69199.92</v>
      </c>
      <c r="G297" s="966">
        <v>62909.455542000003</v>
      </c>
      <c r="H297" s="974">
        <v>1828.41</v>
      </c>
      <c r="I297" s="966">
        <v>14.07</v>
      </c>
      <c r="J297" s="973">
        <v>1.4638760099600001</v>
      </c>
      <c r="L297" s="990">
        <v>45363</v>
      </c>
      <c r="M297" s="969">
        <v>69822.159451750005</v>
      </c>
      <c r="N297" s="969">
        <v>80465</v>
      </c>
      <c r="O297" s="974">
        <v>167.67646078534469</v>
      </c>
      <c r="Q297" s="967">
        <v>44991</v>
      </c>
      <c r="R297" s="966">
        <v>39400</v>
      </c>
      <c r="S297" s="971">
        <v>0.48999999986337001</v>
      </c>
      <c r="T297" s="969">
        <v>-8.0300000000000007E-3</v>
      </c>
      <c r="U297" s="966">
        <v>2800.61</v>
      </c>
      <c r="V297" s="966">
        <v>58.86</v>
      </c>
      <c r="W297" s="971">
        <f t="shared" si="4"/>
        <v>-1.3642541624193003E-4</v>
      </c>
      <c r="Y297" s="967">
        <v>45064</v>
      </c>
      <c r="Z297" s="974">
        <f ca="1">H247*Valuation_Senario!$L$372</f>
        <v>1569.2812576199999</v>
      </c>
      <c r="AA297" s="973">
        <v>20.84</v>
      </c>
      <c r="AM297" s="967">
        <v>44991</v>
      </c>
      <c r="AN297" s="974">
        <v>4095.1751688400004</v>
      </c>
      <c r="AO297" s="38">
        <v>0.48999999986337001</v>
      </c>
      <c r="AS297" s="967">
        <v>45363</v>
      </c>
      <c r="AT297" s="974">
        <v>69822.159451750005</v>
      </c>
      <c r="AU297" s="974">
        <v>80465</v>
      </c>
      <c r="AV297" s="974">
        <v>167.67646078534469</v>
      </c>
    </row>
    <row r="298" spans="1:48">
      <c r="A298" s="966">
        <v>291</v>
      </c>
      <c r="B298" s="967">
        <v>45107</v>
      </c>
      <c r="C298" s="966">
        <v>43300</v>
      </c>
      <c r="D298" s="966">
        <v>0.88785999999999998</v>
      </c>
      <c r="E298" s="966">
        <v>0.96845999999999999</v>
      </c>
      <c r="F298" s="966">
        <v>69199.92</v>
      </c>
      <c r="G298" s="966">
        <v>63348.358720199998</v>
      </c>
      <c r="H298" s="974">
        <v>1828.41</v>
      </c>
      <c r="I298" s="966">
        <v>14.07</v>
      </c>
      <c r="J298" s="973">
        <v>1.4638748854300001</v>
      </c>
      <c r="L298" s="990">
        <v>45364</v>
      </c>
      <c r="M298" s="969">
        <v>67848.129812800005</v>
      </c>
      <c r="N298" s="969">
        <v>80465</v>
      </c>
      <c r="O298" s="974">
        <v>167.67631554366559</v>
      </c>
      <c r="Q298" s="967">
        <v>44988</v>
      </c>
      <c r="R298" s="966">
        <v>39400</v>
      </c>
      <c r="S298" s="971">
        <v>0.48999999986337001</v>
      </c>
      <c r="T298" s="969">
        <v>-8.0600000000000005E-2</v>
      </c>
      <c r="U298" s="966">
        <v>2800.61</v>
      </c>
      <c r="V298" s="966">
        <v>74.75</v>
      </c>
      <c r="W298" s="971">
        <f t="shared" si="4"/>
        <v>-1.0782608695652175E-3</v>
      </c>
      <c r="Y298" s="967">
        <v>45063</v>
      </c>
      <c r="Z298" s="974">
        <f ca="1">H248*Valuation_Senario!$L$372</f>
        <v>1569.2812576199999</v>
      </c>
      <c r="AA298" s="973">
        <v>20.86</v>
      </c>
      <c r="AM298" s="967">
        <v>44988</v>
      </c>
      <c r="AN298" s="974">
        <v>4095.1751688400004</v>
      </c>
      <c r="AO298" s="38">
        <v>0.48999999986337001</v>
      </c>
      <c r="AS298" s="967">
        <v>45364</v>
      </c>
      <c r="AT298" s="974">
        <v>67848.129812800005</v>
      </c>
      <c r="AU298" s="974">
        <v>80465</v>
      </c>
      <c r="AV298" s="974">
        <v>167.67631554366559</v>
      </c>
    </row>
    <row r="299" spans="1:48">
      <c r="A299" s="966">
        <v>292</v>
      </c>
      <c r="B299" s="967">
        <v>45106</v>
      </c>
      <c r="C299" s="966">
        <v>42700</v>
      </c>
      <c r="D299" s="966">
        <v>11.140890000000001</v>
      </c>
      <c r="E299" s="966">
        <v>10.973610000000001</v>
      </c>
      <c r="F299" s="966">
        <v>70516.960000000006</v>
      </c>
      <c r="G299" s="966">
        <v>62470.552363800001</v>
      </c>
      <c r="H299" s="974">
        <v>1828.41</v>
      </c>
      <c r="I299" s="966">
        <v>14.39</v>
      </c>
      <c r="J299" s="973">
        <v>1.46387451059</v>
      </c>
      <c r="L299" s="990">
        <v>45365</v>
      </c>
      <c r="M299" s="969">
        <v>68359.915274750005</v>
      </c>
      <c r="N299" s="969">
        <v>80465</v>
      </c>
      <c r="O299" s="974">
        <v>167.6762671305365</v>
      </c>
      <c r="Q299" s="967">
        <v>44987</v>
      </c>
      <c r="R299" s="966">
        <v>40300</v>
      </c>
      <c r="S299" s="971">
        <v>0.48999999986337001</v>
      </c>
      <c r="T299" s="969">
        <v>0.16728000000000001</v>
      </c>
      <c r="U299" s="966">
        <v>2800.61</v>
      </c>
      <c r="V299" s="966">
        <v>46.13</v>
      </c>
      <c r="W299" s="971">
        <f t="shared" si="4"/>
        <v>3.6262735746802515E-3</v>
      </c>
      <c r="Y299" s="967">
        <v>45062</v>
      </c>
      <c r="Z299" s="974">
        <f ca="1">H249*Valuation_Senario!$L$372</f>
        <v>1569.2812576199999</v>
      </c>
      <c r="AA299" s="973">
        <v>21.03</v>
      </c>
      <c r="AM299" s="967">
        <v>44987</v>
      </c>
      <c r="AN299" s="974">
        <v>4095.1751688400004</v>
      </c>
      <c r="AO299" s="38">
        <v>0.48999999986337001</v>
      </c>
      <c r="AS299" s="967">
        <v>45365</v>
      </c>
      <c r="AT299" s="974">
        <v>68359.915274750005</v>
      </c>
      <c r="AU299" s="974">
        <v>80465</v>
      </c>
      <c r="AV299" s="974">
        <v>167.6762671305365</v>
      </c>
    </row>
    <row r="300" spans="1:48">
      <c r="A300" s="966">
        <v>293</v>
      </c>
      <c r="B300" s="967">
        <v>45105</v>
      </c>
      <c r="C300" s="966">
        <v>43900</v>
      </c>
      <c r="D300" s="966">
        <v>16.41808</v>
      </c>
      <c r="E300" s="966">
        <v>16.430325</v>
      </c>
      <c r="F300" s="966">
        <v>71248.649999999994</v>
      </c>
      <c r="G300" s="966">
        <v>64226.165076600002</v>
      </c>
      <c r="H300" s="974">
        <v>1828.41</v>
      </c>
      <c r="I300" s="966">
        <v>14.57</v>
      </c>
      <c r="J300" s="973">
        <v>1.46387413575</v>
      </c>
      <c r="L300" s="990">
        <v>45366</v>
      </c>
      <c r="M300" s="969">
        <v>70991.95479335</v>
      </c>
      <c r="N300" s="969">
        <v>80465</v>
      </c>
      <c r="O300" s="974">
        <v>167.67621871626147</v>
      </c>
      <c r="Q300" s="967">
        <v>44986</v>
      </c>
      <c r="R300" s="966">
        <v>40800</v>
      </c>
      <c r="S300" s="971">
        <v>0.48999719908597</v>
      </c>
      <c r="T300" s="969">
        <v>-1.2245000000000001E-2</v>
      </c>
      <c r="U300" s="966">
        <v>2800.61</v>
      </c>
      <c r="V300" s="966">
        <v>77.459999999999994</v>
      </c>
      <c r="W300" s="971">
        <f t="shared" si="4"/>
        <v>-1.5808159049832173E-4</v>
      </c>
      <c r="Y300" s="967">
        <v>45061</v>
      </c>
      <c r="Z300" s="974">
        <f ca="1">H250*Valuation_Senario!$L$372</f>
        <v>1569.26657305</v>
      </c>
      <c r="AA300" s="973">
        <v>21.27</v>
      </c>
      <c r="AM300" s="967">
        <v>44986</v>
      </c>
      <c r="AN300" s="974">
        <v>4095.1751688400004</v>
      </c>
      <c r="AO300" s="38">
        <v>0.48999719908597</v>
      </c>
      <c r="AS300" s="967">
        <v>45366</v>
      </c>
      <c r="AT300" s="974">
        <v>70991.95479335</v>
      </c>
      <c r="AU300" s="974">
        <v>80465</v>
      </c>
      <c r="AV300" s="974">
        <v>167.67621871626147</v>
      </c>
    </row>
    <row r="301" spans="1:48">
      <c r="A301" s="966">
        <v>294</v>
      </c>
      <c r="B301" s="967">
        <v>45104</v>
      </c>
      <c r="C301" s="966">
        <v>44200</v>
      </c>
      <c r="D301" s="966">
        <v>1.2557</v>
      </c>
      <c r="E301" s="966">
        <v>1.2557</v>
      </c>
      <c r="F301" s="966">
        <v>70077.94</v>
      </c>
      <c r="G301" s="966">
        <v>64665.068254799997</v>
      </c>
      <c r="H301" s="974">
        <v>1828.41</v>
      </c>
      <c r="I301" s="966">
        <v>14.28</v>
      </c>
      <c r="J301" s="973">
        <v>1.4638737609100001</v>
      </c>
      <c r="L301" s="990">
        <v>45369</v>
      </c>
      <c r="M301" s="969">
        <v>69091.037363249998</v>
      </c>
      <c r="N301" s="969">
        <v>80465</v>
      </c>
      <c r="O301" s="974">
        <v>167.67617030313241</v>
      </c>
      <c r="Q301" s="967">
        <v>44985</v>
      </c>
      <c r="R301" s="966">
        <v>40000</v>
      </c>
      <c r="S301" s="971">
        <v>0.48999999986337001</v>
      </c>
      <c r="T301" s="969">
        <v>0</v>
      </c>
      <c r="U301" s="966">
        <v>2800.61</v>
      </c>
      <c r="V301" s="966">
        <v>64.58</v>
      </c>
      <c r="W301" s="971">
        <f t="shared" si="4"/>
        <v>0</v>
      </c>
      <c r="Y301" s="967">
        <v>45058</v>
      </c>
      <c r="Z301" s="974">
        <f ca="1">H251*Valuation_Senario!$L$372</f>
        <v>1569.26657305</v>
      </c>
      <c r="AA301" s="973">
        <v>21.33</v>
      </c>
      <c r="AM301" s="967">
        <v>44985</v>
      </c>
      <c r="AN301" s="974">
        <v>4095.1751688400004</v>
      </c>
      <c r="AO301" s="38">
        <v>0.48999999986337001</v>
      </c>
      <c r="AS301" s="967">
        <v>45369</v>
      </c>
      <c r="AT301" s="974">
        <v>69091.037363249998</v>
      </c>
      <c r="AU301" s="974">
        <v>80465</v>
      </c>
      <c r="AV301" s="974">
        <v>167.67617030313241</v>
      </c>
    </row>
    <row r="302" spans="1:48">
      <c r="A302" s="966">
        <v>295</v>
      </c>
      <c r="B302" s="967">
        <v>45103</v>
      </c>
      <c r="C302" s="966">
        <v>44350</v>
      </c>
      <c r="D302" s="966">
        <v>10.7775</v>
      </c>
      <c r="E302" s="966">
        <v>10.94537</v>
      </c>
      <c r="F302" s="966">
        <v>70809.63</v>
      </c>
      <c r="G302" s="966">
        <v>64884.519843900001</v>
      </c>
      <c r="H302" s="974">
        <v>1828.41</v>
      </c>
      <c r="I302" s="966">
        <v>14.46</v>
      </c>
      <c r="J302" s="973">
        <v>1.4638733860699999</v>
      </c>
      <c r="L302" s="990">
        <v>45370</v>
      </c>
      <c r="M302" s="969">
        <v>69237.261780949993</v>
      </c>
      <c r="N302" s="969">
        <v>80465</v>
      </c>
      <c r="O302" s="974">
        <v>167.67612188885738</v>
      </c>
      <c r="Q302" s="967">
        <v>44984</v>
      </c>
      <c r="R302" s="966">
        <v>40500</v>
      </c>
      <c r="S302" s="971">
        <v>0.48999999986337001</v>
      </c>
      <c r="T302" s="969">
        <v>-0.16786999999999999</v>
      </c>
      <c r="U302" s="966">
        <v>2800.61</v>
      </c>
      <c r="V302" s="966">
        <v>92.67</v>
      </c>
      <c r="W302" s="971">
        <f t="shared" si="4"/>
        <v>-1.8114816013812451E-3</v>
      </c>
      <c r="Y302" s="967">
        <v>45057</v>
      </c>
      <c r="Z302" s="974">
        <f ca="1">H252*Valuation_Senario!$L$372</f>
        <v>1569.26657305</v>
      </c>
      <c r="AA302" s="973">
        <v>21.17</v>
      </c>
      <c r="AM302" s="967">
        <v>44984</v>
      </c>
      <c r="AN302" s="974">
        <v>4095.1751688400004</v>
      </c>
      <c r="AO302" s="38">
        <v>0.48999999986337001</v>
      </c>
      <c r="AS302" s="967">
        <v>45370</v>
      </c>
      <c r="AT302" s="974">
        <v>69237.261780949993</v>
      </c>
      <c r="AU302" s="974">
        <v>80465</v>
      </c>
      <c r="AV302" s="974">
        <v>167.67612188885738</v>
      </c>
    </row>
    <row r="303" spans="1:48">
      <c r="A303" s="966">
        <v>296</v>
      </c>
      <c r="B303" s="967">
        <v>45100</v>
      </c>
      <c r="C303" s="966">
        <v>42900</v>
      </c>
      <c r="D303" s="966">
        <v>47.293424399999999</v>
      </c>
      <c r="E303" s="966">
        <v>47.301020000000001</v>
      </c>
      <c r="F303" s="966">
        <v>73151.039999999994</v>
      </c>
      <c r="G303" s="966">
        <v>62763.154482600003</v>
      </c>
      <c r="H303" s="974">
        <v>1828.41</v>
      </c>
      <c r="I303" s="966">
        <v>15.03</v>
      </c>
      <c r="J303" s="973">
        <v>1.4638722615499999</v>
      </c>
      <c r="L303" s="990">
        <v>45371</v>
      </c>
      <c r="M303" s="969">
        <v>67117.007724299998</v>
      </c>
      <c r="N303" s="969">
        <v>80465</v>
      </c>
      <c r="O303" s="974">
        <v>167.67597664717832</v>
      </c>
      <c r="Q303" s="967">
        <v>44981</v>
      </c>
      <c r="R303" s="966">
        <v>42100</v>
      </c>
      <c r="S303" s="971">
        <v>0.48999999986337001</v>
      </c>
      <c r="T303" s="969">
        <v>-7.5956000000000001E-3</v>
      </c>
      <c r="U303" s="966">
        <v>2800.61</v>
      </c>
      <c r="V303" s="966">
        <v>115.75</v>
      </c>
      <c r="W303" s="971">
        <f t="shared" si="4"/>
        <v>-6.5620734341252695E-5</v>
      </c>
      <c r="Y303" s="967">
        <v>45056</v>
      </c>
      <c r="Z303" s="974">
        <f ca="1">H253*Valuation_Senario!$L$372</f>
        <v>1569.26657305</v>
      </c>
      <c r="AA303" s="973">
        <v>21.33</v>
      </c>
      <c r="AM303" s="967">
        <v>44981</v>
      </c>
      <c r="AN303" s="974">
        <v>4095.1751688400004</v>
      </c>
      <c r="AO303" s="38">
        <v>0.48999999986337001</v>
      </c>
      <c r="AS303" s="967">
        <v>45371</v>
      </c>
      <c r="AT303" s="974">
        <v>67117.007724299998</v>
      </c>
      <c r="AU303" s="974">
        <v>80465</v>
      </c>
      <c r="AV303" s="974">
        <v>167.67597664717832</v>
      </c>
    </row>
    <row r="304" spans="1:48">
      <c r="A304" s="966">
        <v>297</v>
      </c>
      <c r="B304" s="967">
        <v>45099</v>
      </c>
      <c r="C304" s="966">
        <v>43050</v>
      </c>
      <c r="D304" s="966">
        <v>156.92439999999999</v>
      </c>
      <c r="E304" s="966">
        <v>157.90876499999999</v>
      </c>
      <c r="F304" s="966">
        <v>74468.070000000007</v>
      </c>
      <c r="G304" s="966">
        <v>62982.6060717</v>
      </c>
      <c r="H304" s="974">
        <v>1828.41</v>
      </c>
      <c r="I304" s="966">
        <v>15.35</v>
      </c>
      <c r="J304" s="973">
        <v>1.46387188671</v>
      </c>
      <c r="L304" s="990">
        <v>45372</v>
      </c>
      <c r="M304" s="969">
        <v>66532.110053500001</v>
      </c>
      <c r="N304" s="969">
        <v>80465</v>
      </c>
      <c r="O304" s="974">
        <v>167.67592823404922</v>
      </c>
      <c r="Q304" s="967">
        <v>44980</v>
      </c>
      <c r="R304" s="966">
        <v>43000</v>
      </c>
      <c r="S304" s="971">
        <v>0.48999998756728003</v>
      </c>
      <c r="T304" s="969">
        <v>-0.98436500000000005</v>
      </c>
      <c r="U304" s="966">
        <v>2800.61</v>
      </c>
      <c r="V304" s="966">
        <v>213.76</v>
      </c>
      <c r="W304" s="971">
        <f t="shared" si="4"/>
        <v>-4.6050009356287426E-3</v>
      </c>
      <c r="Y304" s="967">
        <v>45055</v>
      </c>
      <c r="Z304" s="974">
        <f ca="1">H254*Valuation_Senario!$L$372</f>
        <v>1569.26657305</v>
      </c>
      <c r="AA304" s="973">
        <v>20.76</v>
      </c>
      <c r="AM304" s="967">
        <v>44980</v>
      </c>
      <c r="AN304" s="974">
        <v>4095.1751688400004</v>
      </c>
      <c r="AO304" s="38">
        <v>0.48999998756728003</v>
      </c>
      <c r="AS304" s="967">
        <v>45372</v>
      </c>
      <c r="AT304" s="974">
        <v>66532.110053500001</v>
      </c>
      <c r="AU304" s="974">
        <v>80465</v>
      </c>
      <c r="AV304" s="974">
        <v>167.67592823404922</v>
      </c>
    </row>
    <row r="305" spans="1:48">
      <c r="A305" s="966">
        <v>298</v>
      </c>
      <c r="B305" s="967">
        <v>45098</v>
      </c>
      <c r="C305" s="966">
        <v>42700</v>
      </c>
      <c r="D305" s="966">
        <v>42.84</v>
      </c>
      <c r="E305" s="966">
        <v>42.848790000000001</v>
      </c>
      <c r="F305" s="966">
        <v>74468.070000000007</v>
      </c>
      <c r="G305" s="966">
        <v>62470.552363800001</v>
      </c>
      <c r="H305" s="974">
        <v>1828.42</v>
      </c>
      <c r="I305" s="966">
        <v>15.35</v>
      </c>
      <c r="J305" s="973">
        <v>1.4638715118699999</v>
      </c>
      <c r="L305" s="990">
        <v>45373</v>
      </c>
      <c r="M305" s="969">
        <v>70187.720495999994</v>
      </c>
      <c r="N305" s="969">
        <v>80465</v>
      </c>
      <c r="O305" s="974">
        <v>167.6758798197742</v>
      </c>
      <c r="Q305" s="967">
        <v>44979</v>
      </c>
      <c r="R305" s="966">
        <v>43000</v>
      </c>
      <c r="S305" s="971">
        <v>0.48999999986337001</v>
      </c>
      <c r="T305" s="969">
        <v>-8.7899999999999992E-3</v>
      </c>
      <c r="U305" s="966">
        <v>2800.61</v>
      </c>
      <c r="V305" s="966">
        <v>114.8</v>
      </c>
      <c r="W305" s="971">
        <f t="shared" si="4"/>
        <v>-7.656794425087107E-5</v>
      </c>
      <c r="Y305" s="967">
        <v>45054</v>
      </c>
      <c r="Z305" s="974">
        <f ca="1">H255*Valuation_Senario!$L$372</f>
        <v>1569.26657305</v>
      </c>
      <c r="AA305" s="973">
        <v>20.7</v>
      </c>
      <c r="AM305" s="967">
        <v>44979</v>
      </c>
      <c r="AN305" s="974">
        <v>4095.1751688400004</v>
      </c>
      <c r="AO305" s="38">
        <v>0.48999999986337001</v>
      </c>
      <c r="AS305" s="967">
        <v>45373</v>
      </c>
      <c r="AT305" s="974">
        <v>70187.720495999994</v>
      </c>
      <c r="AU305" s="974">
        <v>80465</v>
      </c>
      <c r="AV305" s="974">
        <v>167.6758798197742</v>
      </c>
    </row>
    <row r="306" spans="1:48">
      <c r="A306" s="966">
        <v>299</v>
      </c>
      <c r="B306" s="967">
        <v>45097</v>
      </c>
      <c r="C306" s="966">
        <v>42500</v>
      </c>
      <c r="D306" s="966">
        <v>0</v>
      </c>
      <c r="E306" s="966">
        <v>0</v>
      </c>
      <c r="F306" s="966">
        <v>76663.14</v>
      </c>
      <c r="G306" s="966">
        <v>62177.950245</v>
      </c>
      <c r="H306" s="974">
        <v>1828.42</v>
      </c>
      <c r="I306" s="966">
        <v>15.89</v>
      </c>
      <c r="J306" s="973">
        <v>1.4638711370299999</v>
      </c>
      <c r="L306" s="990">
        <v>45376</v>
      </c>
      <c r="M306" s="969">
        <v>70918.842584500002</v>
      </c>
      <c r="N306" s="969">
        <v>80465</v>
      </c>
      <c r="O306" s="974">
        <v>167.67583140549922</v>
      </c>
      <c r="Q306" s="967">
        <v>44978</v>
      </c>
      <c r="R306" s="966">
        <v>44500</v>
      </c>
      <c r="S306" s="971">
        <v>0.48999999986337001</v>
      </c>
      <c r="T306" s="969">
        <v>0</v>
      </c>
      <c r="U306" s="966">
        <v>2800.61</v>
      </c>
      <c r="V306" s="966">
        <v>63.04</v>
      </c>
      <c r="W306" s="971">
        <f t="shared" si="4"/>
        <v>0</v>
      </c>
      <c r="Y306" s="967">
        <v>45051</v>
      </c>
      <c r="Z306" s="974">
        <f ca="1">H256*Valuation_Senario!$L$372</f>
        <v>1569.2518884799999</v>
      </c>
      <c r="AA306" s="973">
        <v>20.67</v>
      </c>
      <c r="AM306" s="967">
        <v>44978</v>
      </c>
      <c r="AN306" s="974">
        <v>4095.1751688400004</v>
      </c>
      <c r="AO306" s="38">
        <v>0.48999999986337001</v>
      </c>
      <c r="AS306" s="967">
        <v>45376</v>
      </c>
      <c r="AT306" s="974">
        <v>70918.842584500002</v>
      </c>
      <c r="AU306" s="974">
        <v>80465</v>
      </c>
      <c r="AV306" s="974">
        <v>167.67583140549922</v>
      </c>
    </row>
    <row r="307" spans="1:48">
      <c r="A307" s="966">
        <v>300</v>
      </c>
      <c r="B307" s="967">
        <v>45096</v>
      </c>
      <c r="C307" s="966">
        <v>41500</v>
      </c>
      <c r="D307" s="966">
        <v>22.423575</v>
      </c>
      <c r="E307" s="966">
        <v>22.380375000000001</v>
      </c>
      <c r="F307" s="966">
        <v>76370.460000000006</v>
      </c>
      <c r="G307" s="966">
        <v>60714.939651000001</v>
      </c>
      <c r="H307" s="974">
        <v>1828.42</v>
      </c>
      <c r="I307" s="966">
        <v>15.82</v>
      </c>
      <c r="J307" s="973">
        <v>1.46387076219</v>
      </c>
      <c r="L307" s="990">
        <v>45377</v>
      </c>
      <c r="M307" s="969">
        <v>71796.189090700005</v>
      </c>
      <c r="N307" s="969">
        <v>80465</v>
      </c>
      <c r="O307" s="974">
        <v>167.6757829923701</v>
      </c>
      <c r="Q307" s="967">
        <v>44977</v>
      </c>
      <c r="R307" s="966">
        <v>44300</v>
      </c>
      <c r="S307" s="971">
        <v>0.48999999986337001</v>
      </c>
      <c r="T307" s="969">
        <v>4.3200000000000002E-2</v>
      </c>
      <c r="U307" s="966">
        <v>2800.61</v>
      </c>
      <c r="V307" s="966">
        <v>103.81</v>
      </c>
      <c r="W307" s="971">
        <f t="shared" si="4"/>
        <v>4.1614488006935747E-4</v>
      </c>
      <c r="Y307" s="967">
        <v>45050</v>
      </c>
      <c r="Z307" s="974">
        <f ca="1">H257*Valuation_Senario!$L$372</f>
        <v>1569.2518884799999</v>
      </c>
      <c r="AA307" s="973">
        <v>20.73</v>
      </c>
      <c r="AM307" s="967">
        <v>44977</v>
      </c>
      <c r="AN307" s="974">
        <v>4095.1751688400004</v>
      </c>
      <c r="AO307" s="38">
        <v>0.48999999986337001</v>
      </c>
      <c r="AS307" s="967">
        <v>45377</v>
      </c>
      <c r="AT307" s="974">
        <v>71796.189090700005</v>
      </c>
      <c r="AU307" s="974">
        <v>80465</v>
      </c>
      <c r="AV307" s="974">
        <v>167.6757829923701</v>
      </c>
    </row>
    <row r="308" spans="1:48">
      <c r="A308" s="966">
        <v>301</v>
      </c>
      <c r="B308" s="967">
        <v>45093</v>
      </c>
      <c r="C308" s="966">
        <v>41350</v>
      </c>
      <c r="D308" s="966">
        <v>59.148151550000001</v>
      </c>
      <c r="E308" s="966">
        <v>59.143619999999999</v>
      </c>
      <c r="F308" s="966">
        <v>74833.919999999998</v>
      </c>
      <c r="G308" s="966">
        <v>60495.488061900003</v>
      </c>
      <c r="H308" s="974">
        <v>1828.42</v>
      </c>
      <c r="I308" s="966">
        <v>15.44</v>
      </c>
      <c r="J308" s="973">
        <v>1.46386963766</v>
      </c>
      <c r="L308" s="990">
        <v>45378</v>
      </c>
      <c r="M308" s="969">
        <v>70626.393749099996</v>
      </c>
      <c r="N308" s="969">
        <v>80465</v>
      </c>
      <c r="O308" s="974">
        <v>167.67563775069104</v>
      </c>
      <c r="Q308" s="967">
        <v>44974</v>
      </c>
      <c r="R308" s="966">
        <v>43250</v>
      </c>
      <c r="S308" s="971">
        <v>0.48999931674692998</v>
      </c>
      <c r="T308" s="969">
        <v>4.5315499999999996E-3</v>
      </c>
      <c r="U308" s="966">
        <v>2800.61</v>
      </c>
      <c r="V308" s="966">
        <v>100.46</v>
      </c>
      <c r="W308" s="971">
        <f t="shared" si="4"/>
        <v>4.5108003185347401E-5</v>
      </c>
      <c r="Y308" s="967">
        <v>45044</v>
      </c>
      <c r="Z308" s="974">
        <f ca="1">H258*Valuation_Senario!$L$372</f>
        <v>1569.2518884799999</v>
      </c>
      <c r="AA308" s="973">
        <v>14</v>
      </c>
      <c r="AM308" s="967">
        <v>44974</v>
      </c>
      <c r="AN308" s="974">
        <v>4095.1751688400004</v>
      </c>
      <c r="AO308" s="38">
        <v>0.48999931674692998</v>
      </c>
      <c r="AS308" s="967">
        <v>45378</v>
      </c>
      <c r="AT308" s="974">
        <v>70626.393749099996</v>
      </c>
      <c r="AU308" s="974">
        <v>80465</v>
      </c>
      <c r="AV308" s="974">
        <v>167.67563775069104</v>
      </c>
    </row>
    <row r="309" spans="1:48">
      <c r="A309" s="966">
        <v>302</v>
      </c>
      <c r="B309" s="967">
        <v>45092</v>
      </c>
      <c r="C309" s="966">
        <v>41700</v>
      </c>
      <c r="D309" s="966">
        <v>108.36273</v>
      </c>
      <c r="E309" s="966">
        <v>108.18561</v>
      </c>
      <c r="F309" s="966">
        <v>74907.09</v>
      </c>
      <c r="G309" s="966">
        <v>61007.541769800002</v>
      </c>
      <c r="H309" s="974">
        <v>1828.42</v>
      </c>
      <c r="I309" s="966">
        <v>15.46</v>
      </c>
      <c r="J309" s="973">
        <v>1.4638692628199999</v>
      </c>
      <c r="L309" s="990">
        <v>45379</v>
      </c>
      <c r="M309" s="969">
        <v>71138.179211049996</v>
      </c>
      <c r="N309" s="969">
        <v>80465</v>
      </c>
      <c r="O309" s="974">
        <v>167.67558933756192</v>
      </c>
      <c r="Q309" s="967">
        <v>44973</v>
      </c>
      <c r="R309" s="966">
        <v>43300</v>
      </c>
      <c r="S309" s="971">
        <v>0.48999993291796001</v>
      </c>
      <c r="T309" s="969">
        <v>0.17712</v>
      </c>
      <c r="U309" s="966">
        <v>2800.61</v>
      </c>
      <c r="V309" s="966">
        <v>149.01</v>
      </c>
      <c r="W309" s="971">
        <f t="shared" si="4"/>
        <v>1.1886450573786996E-3</v>
      </c>
      <c r="Y309" s="967">
        <v>45043</v>
      </c>
      <c r="Z309" s="974">
        <f ca="1">H259*Valuation_Senario!$L$372</f>
        <v>1569.2518884799999</v>
      </c>
      <c r="AA309" s="973">
        <v>13.8</v>
      </c>
      <c r="AM309" s="967">
        <v>44973</v>
      </c>
      <c r="AN309" s="974">
        <v>4095.1751688400004</v>
      </c>
      <c r="AO309" s="38">
        <v>0.48999993291796001</v>
      </c>
      <c r="AS309" s="967">
        <v>45379</v>
      </c>
      <c r="AT309" s="974">
        <v>71138.179211049996</v>
      </c>
      <c r="AU309" s="974">
        <v>80465</v>
      </c>
      <c r="AV309" s="974">
        <v>167.67558933756192</v>
      </c>
    </row>
    <row r="310" spans="1:48">
      <c r="A310" s="966">
        <v>303</v>
      </c>
      <c r="B310" s="967">
        <v>45091</v>
      </c>
      <c r="C310" s="966">
        <v>42050</v>
      </c>
      <c r="D310" s="966">
        <v>92.658914999999993</v>
      </c>
      <c r="E310" s="966">
        <v>92.702214999999995</v>
      </c>
      <c r="F310" s="966">
        <v>74102.23</v>
      </c>
      <c r="G310" s="966">
        <v>61519.595477700001</v>
      </c>
      <c r="H310" s="974">
        <v>1828.42</v>
      </c>
      <c r="I310" s="966">
        <v>15.26</v>
      </c>
      <c r="J310" s="973">
        <v>1.4638688879799999</v>
      </c>
      <c r="L310" s="990">
        <v>45380</v>
      </c>
      <c r="M310" s="969">
        <v>74135.779773899994</v>
      </c>
      <c r="N310" s="969">
        <v>80465</v>
      </c>
      <c r="O310" s="974">
        <v>167.67554092328692</v>
      </c>
      <c r="Q310" s="967">
        <v>44972</v>
      </c>
      <c r="R310" s="966">
        <v>42750</v>
      </c>
      <c r="S310" s="971">
        <v>0.48999719908597</v>
      </c>
      <c r="T310" s="969">
        <v>-4.3299999999999998E-2</v>
      </c>
      <c r="U310" s="966">
        <v>2800.61</v>
      </c>
      <c r="V310" s="966">
        <v>139.32</v>
      </c>
      <c r="W310" s="971">
        <f t="shared" si="4"/>
        <v>-3.1079529141544646E-4</v>
      </c>
      <c r="Y310" s="967">
        <v>45042</v>
      </c>
      <c r="Z310" s="974">
        <f ca="1">H260*Valuation_Senario!$L$372</f>
        <v>1569.2518884799999</v>
      </c>
      <c r="AA310" s="973">
        <v>13.71</v>
      </c>
      <c r="AM310" s="967">
        <v>44972</v>
      </c>
      <c r="AN310" s="974">
        <v>4095.1751688400004</v>
      </c>
      <c r="AO310" s="38">
        <v>0.48999719908597</v>
      </c>
      <c r="AS310" s="967">
        <v>45380</v>
      </c>
      <c r="AT310" s="974">
        <v>74135.779773899994</v>
      </c>
      <c r="AU310" s="974">
        <v>80465</v>
      </c>
      <c r="AV310" s="974">
        <v>167.67554092328692</v>
      </c>
    </row>
    <row r="311" spans="1:48">
      <c r="A311" s="966">
        <v>304</v>
      </c>
      <c r="B311" s="967">
        <v>45090</v>
      </c>
      <c r="C311" s="966">
        <v>43000</v>
      </c>
      <c r="D311" s="966">
        <v>142.76284999999999</v>
      </c>
      <c r="E311" s="966">
        <v>142.54029</v>
      </c>
      <c r="F311" s="966">
        <v>73736.39</v>
      </c>
      <c r="G311" s="966">
        <v>62909.455542000003</v>
      </c>
      <c r="H311" s="974">
        <v>1828.42</v>
      </c>
      <c r="I311" s="966">
        <v>15.18</v>
      </c>
      <c r="J311" s="973">
        <v>1.46386851314</v>
      </c>
      <c r="L311" s="990">
        <v>45383</v>
      </c>
      <c r="M311" s="969">
        <v>74574.453026999996</v>
      </c>
      <c r="N311" s="969">
        <v>80465</v>
      </c>
      <c r="O311" s="974">
        <v>167.67549250901192</v>
      </c>
      <c r="Q311" s="967">
        <v>44971</v>
      </c>
      <c r="R311" s="966">
        <v>42500</v>
      </c>
      <c r="S311" s="971">
        <v>0.48999999986337001</v>
      </c>
      <c r="T311" s="969">
        <v>0.22256000000000001</v>
      </c>
      <c r="U311" s="966">
        <v>2800.61</v>
      </c>
      <c r="V311" s="966">
        <v>176.84</v>
      </c>
      <c r="W311" s="971">
        <f t="shared" si="4"/>
        <v>1.2585387921284778E-3</v>
      </c>
      <c r="Y311" s="967">
        <v>45041</v>
      </c>
      <c r="Z311" s="974">
        <f ca="1">H261*Valuation_Senario!$L$372</f>
        <v>1569.2518884799999</v>
      </c>
      <c r="AA311" s="973">
        <v>13.46</v>
      </c>
      <c r="AM311" s="967">
        <v>44971</v>
      </c>
      <c r="AN311" s="974">
        <v>4095.1751688400004</v>
      </c>
      <c r="AO311" s="38">
        <v>0.48999999986337001</v>
      </c>
      <c r="AS311" s="967">
        <v>45383</v>
      </c>
      <c r="AT311" s="974">
        <v>74574.453026999996</v>
      </c>
      <c r="AU311" s="974">
        <v>80465</v>
      </c>
      <c r="AV311" s="974">
        <v>167.67549250901192</v>
      </c>
    </row>
    <row r="312" spans="1:48">
      <c r="A312" s="966">
        <v>305</v>
      </c>
      <c r="B312" s="967">
        <v>45089</v>
      </c>
      <c r="C312" s="966">
        <v>43000</v>
      </c>
      <c r="D312" s="966">
        <v>82.577759999999998</v>
      </c>
      <c r="E312" s="966">
        <v>82.724699999999999</v>
      </c>
      <c r="F312" s="966">
        <v>73736.39</v>
      </c>
      <c r="G312" s="966">
        <v>62909.455542000003</v>
      </c>
      <c r="H312" s="974">
        <v>1828.42</v>
      </c>
      <c r="I312" s="966">
        <v>15.18</v>
      </c>
      <c r="J312" s="973">
        <v>1.4638681382999998</v>
      </c>
      <c r="L312" s="990">
        <v>45384</v>
      </c>
      <c r="M312" s="969">
        <v>74720.677444700006</v>
      </c>
      <c r="N312" s="969">
        <v>80465</v>
      </c>
      <c r="O312" s="974">
        <v>167.6754440958828</v>
      </c>
      <c r="Q312" s="967">
        <v>44970</v>
      </c>
      <c r="R312" s="966">
        <v>42500</v>
      </c>
      <c r="S312" s="971">
        <v>0.48999644765789002</v>
      </c>
      <c r="T312" s="969">
        <v>-0.14693999999999999</v>
      </c>
      <c r="U312" s="966">
        <v>2800.61</v>
      </c>
      <c r="V312" s="966">
        <v>155.28</v>
      </c>
      <c r="W312" s="971">
        <f t="shared" si="4"/>
        <v>-9.4629057187016995E-4</v>
      </c>
      <c r="Y312" s="967">
        <v>45040</v>
      </c>
      <c r="Z312" s="974">
        <f ca="1">H262*Valuation_Senario!$L$372</f>
        <v>1569.2518884799999</v>
      </c>
      <c r="AA312" s="973">
        <v>13.71</v>
      </c>
      <c r="AM312" s="967">
        <v>44970</v>
      </c>
      <c r="AN312" s="974">
        <v>4095.1751688400004</v>
      </c>
      <c r="AO312" s="38">
        <v>0.48999644765789002</v>
      </c>
      <c r="AS312" s="967">
        <v>45384</v>
      </c>
      <c r="AT312" s="974">
        <v>74720.677444700006</v>
      </c>
      <c r="AU312" s="974">
        <v>80465</v>
      </c>
      <c r="AV312" s="974">
        <v>167.6754440958828</v>
      </c>
    </row>
    <row r="313" spans="1:48">
      <c r="A313" s="966">
        <v>306</v>
      </c>
      <c r="B313" s="967">
        <v>45086</v>
      </c>
      <c r="C313" s="966">
        <v>41400</v>
      </c>
      <c r="D313" s="966">
        <v>159.92226070000001</v>
      </c>
      <c r="E313" s="966">
        <v>159.33011999999999</v>
      </c>
      <c r="F313" s="966">
        <v>73151.039999999994</v>
      </c>
      <c r="G313" s="966">
        <v>60568.6385916</v>
      </c>
      <c r="H313" s="974">
        <v>1828.42</v>
      </c>
      <c r="I313" s="966">
        <v>15.03</v>
      </c>
      <c r="J313" s="973">
        <v>1.4638670137800001</v>
      </c>
      <c r="L313" s="990">
        <v>45385</v>
      </c>
      <c r="M313" s="969">
        <v>75159.350697799993</v>
      </c>
      <c r="N313" s="969">
        <v>80465</v>
      </c>
      <c r="O313" s="974">
        <v>167.6752988542037</v>
      </c>
      <c r="Q313" s="967">
        <v>44967</v>
      </c>
      <c r="R313" s="966">
        <v>42100</v>
      </c>
      <c r="S313" s="971">
        <v>0.48999958999351001</v>
      </c>
      <c r="T313" s="969">
        <v>0.59214069999999996</v>
      </c>
      <c r="U313" s="966">
        <v>2800.61</v>
      </c>
      <c r="V313" s="966">
        <v>247.18</v>
      </c>
      <c r="W313" s="971">
        <f t="shared" si="4"/>
        <v>2.3955849987863094E-3</v>
      </c>
      <c r="Y313" s="967">
        <v>45037</v>
      </c>
      <c r="Z313" s="974">
        <f ca="1">H263*Valuation_Senario!$L$372</f>
        <v>1569.2372039100001</v>
      </c>
      <c r="AA313" s="973">
        <v>14.03</v>
      </c>
      <c r="AM313" s="967">
        <v>44967</v>
      </c>
      <c r="AN313" s="974">
        <v>4095.1751688400004</v>
      </c>
      <c r="AO313" s="38">
        <v>0.48999958999351001</v>
      </c>
      <c r="AS313" s="967">
        <v>45385</v>
      </c>
      <c r="AT313" s="974">
        <v>75159.350697799993</v>
      </c>
      <c r="AU313" s="974">
        <v>80465</v>
      </c>
      <c r="AV313" s="974">
        <v>167.6752988542037</v>
      </c>
    </row>
    <row r="314" spans="1:48">
      <c r="A314" s="966">
        <v>307</v>
      </c>
      <c r="B314" s="967">
        <v>45085</v>
      </c>
      <c r="C314" s="966">
        <v>40650</v>
      </c>
      <c r="D314" s="966">
        <v>154.95228</v>
      </c>
      <c r="E314" s="966">
        <v>155.18368000000001</v>
      </c>
      <c r="F314" s="966">
        <v>75931.45</v>
      </c>
      <c r="G314" s="966">
        <v>59471.380646099999</v>
      </c>
      <c r="H314" s="974">
        <v>1828.42</v>
      </c>
      <c r="I314" s="966">
        <v>15.71</v>
      </c>
      <c r="J314" s="973">
        <v>1.4638666389400001</v>
      </c>
      <c r="L314" s="990">
        <v>45386</v>
      </c>
      <c r="M314" s="969">
        <v>75451.799533199999</v>
      </c>
      <c r="N314" s="969">
        <v>80465</v>
      </c>
      <c r="O314" s="974">
        <v>167.6752504399287</v>
      </c>
      <c r="Q314" s="967">
        <v>44966</v>
      </c>
      <c r="R314" s="966">
        <v>44000</v>
      </c>
      <c r="S314" s="971">
        <v>0.48999080921480997</v>
      </c>
      <c r="T314" s="969">
        <v>-0.23139999999999999</v>
      </c>
      <c r="U314" s="966">
        <v>2800.61</v>
      </c>
      <c r="V314" s="966">
        <v>222</v>
      </c>
      <c r="W314" s="971">
        <f t="shared" si="4"/>
        <v>-1.0423423423423423E-3</v>
      </c>
      <c r="Y314" s="967">
        <v>45036</v>
      </c>
      <c r="Z314" s="974">
        <f ca="1">H264*Valuation_Senario!$L$372</f>
        <v>1569.2372039100001</v>
      </c>
      <c r="AA314" s="973">
        <v>14.43</v>
      </c>
      <c r="AM314" s="967">
        <v>44966</v>
      </c>
      <c r="AN314" s="974">
        <v>4095.1751688400004</v>
      </c>
      <c r="AO314" s="38">
        <v>0.48999080921480997</v>
      </c>
      <c r="AS314" s="967">
        <v>45386</v>
      </c>
      <c r="AT314" s="974">
        <v>75451.799533199999</v>
      </c>
      <c r="AU314" s="974">
        <v>80465</v>
      </c>
      <c r="AV314" s="974">
        <v>167.6752504399287</v>
      </c>
    </row>
    <row r="315" spans="1:48">
      <c r="A315" s="966">
        <v>308</v>
      </c>
      <c r="B315" s="967">
        <v>45084</v>
      </c>
      <c r="C315" s="966">
        <v>41800</v>
      </c>
      <c r="D315" s="966">
        <v>237.30352999999999</v>
      </c>
      <c r="E315" s="966">
        <v>237.33078</v>
      </c>
      <c r="F315" s="966">
        <v>76663.14</v>
      </c>
      <c r="G315" s="966">
        <v>61153.842829200003</v>
      </c>
      <c r="H315" s="974">
        <v>1828.42</v>
      </c>
      <c r="I315" s="966">
        <v>15.89</v>
      </c>
      <c r="J315" s="973">
        <v>1.4638662641</v>
      </c>
      <c r="L315" s="990">
        <v>45387</v>
      </c>
      <c r="M315" s="969">
        <v>73404.657685400001</v>
      </c>
      <c r="N315" s="969">
        <v>80465</v>
      </c>
      <c r="O315" s="974">
        <v>167.67520202679961</v>
      </c>
      <c r="Q315" s="967">
        <v>44965</v>
      </c>
      <c r="R315" s="966">
        <v>44500</v>
      </c>
      <c r="S315" s="971">
        <v>0.48999999986337001</v>
      </c>
      <c r="T315" s="969">
        <v>-2.725E-2</v>
      </c>
      <c r="U315" s="966">
        <v>2800.61</v>
      </c>
      <c r="V315" s="966">
        <v>311.68</v>
      </c>
      <c r="W315" s="971">
        <f t="shared" si="4"/>
        <v>-8.7429414784394243E-5</v>
      </c>
      <c r="Y315" s="967">
        <v>45035</v>
      </c>
      <c r="Z315" s="974">
        <f ca="1">H265*Valuation_Senario!$L$372</f>
        <v>1569.2372039100001</v>
      </c>
      <c r="AA315" s="973">
        <v>14.46</v>
      </c>
      <c r="AM315" s="967">
        <v>44965</v>
      </c>
      <c r="AN315" s="974">
        <v>4095.1751688400004</v>
      </c>
      <c r="AO315" s="38">
        <v>0.48999999986337001</v>
      </c>
      <c r="AS315" s="967">
        <v>45387</v>
      </c>
      <c r="AT315" s="974">
        <v>73404.657685400001</v>
      </c>
      <c r="AU315" s="974">
        <v>80465</v>
      </c>
      <c r="AV315" s="974">
        <v>167.67520202679961</v>
      </c>
    </row>
    <row r="316" spans="1:48">
      <c r="A316" s="966">
        <v>309</v>
      </c>
      <c r="B316" s="967">
        <v>45083</v>
      </c>
      <c r="C316" s="966">
        <v>41800</v>
      </c>
      <c r="D316" s="966">
        <v>99.328320000000005</v>
      </c>
      <c r="E316" s="966">
        <v>99.951359999999994</v>
      </c>
      <c r="F316" s="966">
        <v>78419.19</v>
      </c>
      <c r="G316" s="966">
        <v>61153.842829200003</v>
      </c>
      <c r="H316" s="974">
        <v>1828.42</v>
      </c>
      <c r="I316" s="966">
        <v>16.32</v>
      </c>
      <c r="J316" s="973">
        <v>1.4638658892600001</v>
      </c>
      <c r="L316" s="990">
        <v>45390</v>
      </c>
      <c r="M316" s="969">
        <v>74135.779773899994</v>
      </c>
      <c r="N316" s="969">
        <v>80465</v>
      </c>
      <c r="O316" s="974">
        <v>167.67515361252461</v>
      </c>
      <c r="Q316" s="967">
        <v>44964</v>
      </c>
      <c r="R316" s="966">
        <v>45700</v>
      </c>
      <c r="S316" s="971">
        <v>0.48999999986337001</v>
      </c>
      <c r="T316" s="969">
        <v>-0.62304000000000004</v>
      </c>
      <c r="U316" s="966">
        <v>2800.61</v>
      </c>
      <c r="V316" s="966">
        <v>627.80999999999995</v>
      </c>
      <c r="W316" s="971">
        <f t="shared" si="4"/>
        <v>-9.9240215988913869E-4</v>
      </c>
      <c r="Y316" s="967">
        <v>45034</v>
      </c>
      <c r="Z316" s="974">
        <f ca="1">H266*Valuation_Senario!$L$372</f>
        <v>1569.2372039100001</v>
      </c>
      <c r="AA316" s="973">
        <v>14.26</v>
      </c>
      <c r="AM316" s="967">
        <v>44964</v>
      </c>
      <c r="AN316" s="974">
        <v>4095.1751688400004</v>
      </c>
      <c r="AO316" s="38">
        <v>0.48999999986337001</v>
      </c>
      <c r="AS316" s="967">
        <v>45390</v>
      </c>
      <c r="AT316" s="974">
        <v>74135.779773899994</v>
      </c>
      <c r="AU316" s="974">
        <v>80465</v>
      </c>
      <c r="AV316" s="974">
        <v>167.67515361252461</v>
      </c>
    </row>
    <row r="317" spans="1:48">
      <c r="A317" s="966">
        <v>310</v>
      </c>
      <c r="B317" s="967">
        <v>45082</v>
      </c>
      <c r="C317" s="966">
        <v>41200</v>
      </c>
      <c r="D317" s="966">
        <v>463.98759000000001</v>
      </c>
      <c r="E317" s="966">
        <v>463.98289</v>
      </c>
      <c r="F317" s="966">
        <v>80541.09</v>
      </c>
      <c r="G317" s="966">
        <v>60276.036472799999</v>
      </c>
      <c r="H317" s="974">
        <v>1828.42</v>
      </c>
      <c r="I317" s="966">
        <v>16.84</v>
      </c>
      <c r="J317" s="973">
        <v>1.4638655144200001</v>
      </c>
      <c r="L317" s="990">
        <v>45391</v>
      </c>
      <c r="M317" s="969">
        <v>74574.453026999996</v>
      </c>
      <c r="N317" s="969">
        <v>80465</v>
      </c>
      <c r="O317" s="974">
        <v>167.67510519939552</v>
      </c>
      <c r="Q317" s="967">
        <v>44963</v>
      </c>
      <c r="R317" s="966">
        <v>47150</v>
      </c>
      <c r="S317" s="971">
        <v>0.48999993155172999</v>
      </c>
      <c r="T317" s="969">
        <v>4.7000000000000002E-3</v>
      </c>
      <c r="U317" s="966">
        <v>2800.61</v>
      </c>
      <c r="V317" s="966">
        <v>587.38</v>
      </c>
      <c r="W317" s="971">
        <f t="shared" si="4"/>
        <v>8.001634376383262E-6</v>
      </c>
      <c r="Y317" s="967">
        <v>45033</v>
      </c>
      <c r="Z317" s="974">
        <f ca="1">H267*Valuation_Senario!$L$372</f>
        <v>1569.2372039100001</v>
      </c>
      <c r="AA317" s="973">
        <v>14.23</v>
      </c>
      <c r="AM317" s="967">
        <v>44963</v>
      </c>
      <c r="AN317" s="974">
        <v>4095.1751688400004</v>
      </c>
      <c r="AO317" s="38">
        <v>0.48999993155172999</v>
      </c>
      <c r="AS317" s="967">
        <v>45391</v>
      </c>
      <c r="AT317" s="974">
        <v>74574.453026999996</v>
      </c>
      <c r="AU317" s="974">
        <v>80465</v>
      </c>
      <c r="AV317" s="974">
        <v>167.67510519939552</v>
      </c>
    </row>
    <row r="318" spans="1:48">
      <c r="A318" s="966">
        <v>311</v>
      </c>
      <c r="B318" s="967">
        <v>45079</v>
      </c>
      <c r="C318" s="966">
        <v>40800</v>
      </c>
      <c r="D318" s="966">
        <v>376.50400450000001</v>
      </c>
      <c r="E318" s="966">
        <v>376.50400450000001</v>
      </c>
      <c r="F318" s="966">
        <v>81492.28</v>
      </c>
      <c r="G318" s="966">
        <v>59690.832235200003</v>
      </c>
      <c r="H318" s="974">
        <v>1828.42</v>
      </c>
      <c r="I318" s="966">
        <v>17.07</v>
      </c>
      <c r="J318" s="973">
        <v>1.4638643899000001</v>
      </c>
      <c r="L318" s="990">
        <v>45392</v>
      </c>
      <c r="M318" s="969">
        <v>73112.208849999995</v>
      </c>
      <c r="N318" s="969">
        <v>80465</v>
      </c>
      <c r="O318" s="974">
        <v>167.6749599577164</v>
      </c>
      <c r="Q318" s="967">
        <v>44960</v>
      </c>
      <c r="R318" s="966">
        <v>47800</v>
      </c>
      <c r="S318" s="971">
        <v>0.48999999986337001</v>
      </c>
      <c r="T318" s="969">
        <v>0</v>
      </c>
      <c r="U318" s="966">
        <v>2800.61</v>
      </c>
      <c r="V318" s="966">
        <v>674.68</v>
      </c>
      <c r="W318" s="971">
        <f t="shared" si="4"/>
        <v>0</v>
      </c>
      <c r="Y318" s="967">
        <v>45030</v>
      </c>
      <c r="Z318" s="974">
        <f ca="1">H268*Valuation_Senario!$L$372</f>
        <v>1569.2372039100001</v>
      </c>
      <c r="AA318" s="973">
        <v>14.28</v>
      </c>
      <c r="AM318" s="967">
        <v>44960</v>
      </c>
      <c r="AN318" s="974">
        <v>4095.1751688400004</v>
      </c>
      <c r="AO318" s="38">
        <v>0.48999999986337001</v>
      </c>
      <c r="AS318" s="967">
        <v>45392</v>
      </c>
      <c r="AT318" s="974">
        <v>73112.208849999995</v>
      </c>
      <c r="AU318" s="974">
        <v>80465</v>
      </c>
      <c r="AV318" s="974">
        <v>167.6749599577164</v>
      </c>
    </row>
    <row r="319" spans="1:48">
      <c r="A319" s="966">
        <v>312</v>
      </c>
      <c r="B319" s="967">
        <v>45078</v>
      </c>
      <c r="C319" s="966">
        <v>39300</v>
      </c>
      <c r="D319" s="966">
        <v>427.55939000000001</v>
      </c>
      <c r="E319" s="966">
        <v>427.55</v>
      </c>
      <c r="F319" s="966">
        <v>84565.37</v>
      </c>
      <c r="G319" s="966">
        <v>57496.3163442</v>
      </c>
      <c r="H319" s="974">
        <v>1828.42</v>
      </c>
      <c r="I319" s="966">
        <v>17.82</v>
      </c>
      <c r="J319" s="973">
        <v>1.46386401505</v>
      </c>
      <c r="L319" s="990">
        <v>45393</v>
      </c>
      <c r="M319" s="969">
        <v>77206.492545600006</v>
      </c>
      <c r="N319" s="969">
        <v>80465</v>
      </c>
      <c r="O319" s="974">
        <v>167.67491154344143</v>
      </c>
      <c r="Q319" s="967">
        <v>44959</v>
      </c>
      <c r="R319" s="966">
        <v>49900</v>
      </c>
      <c r="S319" s="971">
        <v>0.48999986324007999</v>
      </c>
      <c r="T319" s="969">
        <v>9.3900000000000008E-3</v>
      </c>
      <c r="U319" s="966">
        <v>2800.61</v>
      </c>
      <c r="V319" s="966">
        <v>666.3</v>
      </c>
      <c r="W319" s="971">
        <f t="shared" si="4"/>
        <v>1.4092751013057183E-5</v>
      </c>
      <c r="Y319" s="967">
        <v>45029</v>
      </c>
      <c r="Z319" s="974">
        <f ca="1">H269*Valuation_Senario!$L$372</f>
        <v>1569.2372039100001</v>
      </c>
      <c r="AA319" s="973">
        <v>14.66</v>
      </c>
      <c r="AM319" s="967">
        <v>44959</v>
      </c>
      <c r="AN319" s="974">
        <v>4095.1751688400004</v>
      </c>
      <c r="AO319" s="38">
        <v>0.48999986324007999</v>
      </c>
      <c r="AS319" s="967">
        <v>45393</v>
      </c>
      <c r="AT319" s="974">
        <v>77206.492545600006</v>
      </c>
      <c r="AU319" s="974">
        <v>80465</v>
      </c>
      <c r="AV319" s="974">
        <v>167.67491154344143</v>
      </c>
    </row>
    <row r="320" spans="1:48">
      <c r="A320" s="966">
        <v>313</v>
      </c>
      <c r="B320" s="967">
        <v>45077</v>
      </c>
      <c r="C320" s="966">
        <v>39200</v>
      </c>
      <c r="D320" s="966">
        <v>99.5</v>
      </c>
      <c r="E320" s="966">
        <v>99.5047</v>
      </c>
      <c r="F320" s="966">
        <v>80467.92</v>
      </c>
      <c r="G320" s="966">
        <v>57350.0152848</v>
      </c>
      <c r="H320" s="974">
        <v>1828.42</v>
      </c>
      <c r="I320" s="966">
        <v>16.82</v>
      </c>
      <c r="J320" s="973">
        <v>1.46386364021</v>
      </c>
      <c r="L320" s="990">
        <v>45394</v>
      </c>
      <c r="M320" s="969">
        <v>76036.697203999996</v>
      </c>
      <c r="N320" s="969">
        <v>80465</v>
      </c>
      <c r="O320" s="974">
        <v>167.6748631303123</v>
      </c>
      <c r="Q320" s="967">
        <v>44958</v>
      </c>
      <c r="R320" s="966">
        <v>47100</v>
      </c>
      <c r="S320" s="971">
        <v>0.48999999986337001</v>
      </c>
      <c r="T320" s="969">
        <v>-4.7000000000000002E-3</v>
      </c>
      <c r="U320" s="966">
        <v>2800.61</v>
      </c>
      <c r="V320" s="966">
        <v>473.2</v>
      </c>
      <c r="W320" s="971">
        <f t="shared" si="4"/>
        <v>-9.9323753169907014E-6</v>
      </c>
      <c r="Y320" s="967">
        <v>45028</v>
      </c>
      <c r="Z320" s="974">
        <f ca="1">H270*Valuation_Senario!$L$372</f>
        <v>1569.2372039100001</v>
      </c>
      <c r="AA320" s="973">
        <v>14.55</v>
      </c>
      <c r="AM320" s="967">
        <v>44958</v>
      </c>
      <c r="AN320" s="974">
        <v>4095.1751688400004</v>
      </c>
      <c r="AO320" s="38">
        <v>0.48999999986337001</v>
      </c>
      <c r="AS320" s="967">
        <v>45394</v>
      </c>
      <c r="AT320" s="974">
        <v>76036.697203999996</v>
      </c>
      <c r="AU320" s="974">
        <v>80465</v>
      </c>
      <c r="AV320" s="974">
        <v>167.6748631303123</v>
      </c>
    </row>
    <row r="321" spans="1:48">
      <c r="A321" s="966">
        <v>314</v>
      </c>
      <c r="B321" s="967">
        <v>45076</v>
      </c>
      <c r="C321" s="966">
        <v>39400</v>
      </c>
      <c r="D321" s="966">
        <v>245.02859000000001</v>
      </c>
      <c r="E321" s="966">
        <v>245.024</v>
      </c>
      <c r="F321" s="966">
        <v>79589.89</v>
      </c>
      <c r="G321" s="966">
        <v>57657.0426104</v>
      </c>
      <c r="H321" s="974">
        <v>1828.43</v>
      </c>
      <c r="I321" s="966">
        <v>16.600000000000001</v>
      </c>
      <c r="J321" s="973">
        <v>1.4638622595399999</v>
      </c>
      <c r="L321" s="990">
        <v>45397</v>
      </c>
      <c r="M321" s="969">
        <v>76475.370457099998</v>
      </c>
      <c r="N321" s="969">
        <v>80465</v>
      </c>
      <c r="O321" s="974">
        <v>167.67481471603733</v>
      </c>
      <c r="Q321" s="967">
        <v>44957</v>
      </c>
      <c r="R321" s="966">
        <v>46500</v>
      </c>
      <c r="S321" s="971">
        <v>0.48999993155172999</v>
      </c>
      <c r="T321" s="969">
        <v>4.5900000000000003E-3</v>
      </c>
      <c r="U321" s="966">
        <v>2800.61</v>
      </c>
      <c r="V321" s="966">
        <v>369.86</v>
      </c>
      <c r="W321" s="971">
        <f t="shared" si="4"/>
        <v>1.2410101119342454E-5</v>
      </c>
      <c r="Y321" s="967">
        <v>45027</v>
      </c>
      <c r="Z321" s="974">
        <f ca="1">H271*Valuation_Senario!$L$372</f>
        <v>1569.2372039100001</v>
      </c>
      <c r="AA321" s="973">
        <v>14.53</v>
      </c>
      <c r="AM321" s="967">
        <v>44957</v>
      </c>
      <c r="AN321" s="974">
        <v>4095.1751688400004</v>
      </c>
      <c r="AO321" s="38">
        <v>0.48999993155172999</v>
      </c>
      <c r="AS321" s="967">
        <v>45397</v>
      </c>
      <c r="AT321" s="974">
        <v>76475.370457099998</v>
      </c>
      <c r="AU321" s="974">
        <v>80465</v>
      </c>
      <c r="AV321" s="974">
        <v>167.67481471603733</v>
      </c>
    </row>
    <row r="322" spans="1:48">
      <c r="A322" s="966">
        <v>315</v>
      </c>
      <c r="B322" s="967">
        <v>45075</v>
      </c>
      <c r="C322" s="966">
        <v>38700</v>
      </c>
      <c r="D322" s="966">
        <v>2.2950000000000002E-2</v>
      </c>
      <c r="E322" s="966">
        <v>9.2999999999999992E-3</v>
      </c>
      <c r="F322" s="966">
        <v>83382.17</v>
      </c>
      <c r="G322" s="966">
        <v>56632.678909200004</v>
      </c>
      <c r="H322" s="974">
        <v>1828.43</v>
      </c>
      <c r="I322" s="966">
        <v>13.41</v>
      </c>
      <c r="J322" s="973">
        <v>1.4638608788699998</v>
      </c>
      <c r="L322" s="990">
        <v>45398</v>
      </c>
      <c r="M322" s="969">
        <v>76036.697203999996</v>
      </c>
      <c r="N322" s="969">
        <v>80465</v>
      </c>
      <c r="O322" s="974">
        <v>167.67476630290821</v>
      </c>
      <c r="Q322" s="967">
        <v>44956</v>
      </c>
      <c r="R322" s="966">
        <v>46200</v>
      </c>
      <c r="S322" s="971">
        <v>0.48999965830515002</v>
      </c>
      <c r="T322" s="969">
        <v>1.3650000000000001E-2</v>
      </c>
      <c r="U322" s="966">
        <v>3445.04</v>
      </c>
      <c r="V322" s="966">
        <v>147.34</v>
      </c>
      <c r="W322" s="971">
        <f t="shared" si="4"/>
        <v>9.2642866838604584E-5</v>
      </c>
      <c r="Y322" s="967">
        <v>45026</v>
      </c>
      <c r="Z322" s="974">
        <f ca="1">H272*Valuation_Senario!$L$372</f>
        <v>1569.2225193399997</v>
      </c>
      <c r="AA322" s="973">
        <v>14.64</v>
      </c>
      <c r="AM322" s="967">
        <v>44956</v>
      </c>
      <c r="AN322" s="974">
        <v>5037.4890697600003</v>
      </c>
      <c r="AO322" s="38">
        <v>0.48999965830515002</v>
      </c>
      <c r="AS322" s="967">
        <v>45398</v>
      </c>
      <c r="AT322" s="974">
        <v>76036.697203999996</v>
      </c>
      <c r="AU322" s="974">
        <v>80465</v>
      </c>
      <c r="AV322" s="974">
        <v>167.67476630290821</v>
      </c>
    </row>
    <row r="323" spans="1:48">
      <c r="A323" s="966">
        <v>316</v>
      </c>
      <c r="B323" s="967">
        <v>45072</v>
      </c>
      <c r="C323" s="966">
        <v>38200</v>
      </c>
      <c r="D323" s="966">
        <v>9.2800000000000001E-3</v>
      </c>
      <c r="E323" s="966">
        <v>0</v>
      </c>
      <c r="F323" s="966">
        <v>82943.16</v>
      </c>
      <c r="G323" s="966">
        <v>55900.990551199997</v>
      </c>
      <c r="H323" s="974">
        <v>1828.43</v>
      </c>
      <c r="I323" s="966">
        <v>13.32</v>
      </c>
      <c r="J323" s="973">
        <v>1.46385673686</v>
      </c>
      <c r="L323" s="990">
        <v>45399</v>
      </c>
      <c r="M323" s="969">
        <v>72965.9844323</v>
      </c>
      <c r="N323" s="969">
        <v>80465</v>
      </c>
      <c r="O323" s="974">
        <v>167.67462106122909</v>
      </c>
      <c r="Q323" s="967">
        <v>44953</v>
      </c>
      <c r="R323" s="966">
        <v>45900</v>
      </c>
      <c r="S323" s="971">
        <v>0.48999986324007999</v>
      </c>
      <c r="T323" s="969">
        <v>9.2800000000000001E-3</v>
      </c>
      <c r="U323" s="966">
        <v>3445.04</v>
      </c>
      <c r="V323" s="966">
        <v>121.49</v>
      </c>
      <c r="W323" s="971">
        <f t="shared" si="4"/>
        <v>7.6384887645073674E-5</v>
      </c>
      <c r="Y323" s="967">
        <v>45023</v>
      </c>
      <c r="Z323" s="974">
        <f ca="1">H273*Valuation_Senario!$L$372</f>
        <v>1569.2225193399997</v>
      </c>
      <c r="AA323" s="973">
        <v>13.93</v>
      </c>
      <c r="AM323" s="967">
        <v>44953</v>
      </c>
      <c r="AN323" s="974">
        <v>5037.4890697600003</v>
      </c>
      <c r="AO323" s="38">
        <v>0.48999986324007999</v>
      </c>
      <c r="AS323" s="967">
        <v>45399</v>
      </c>
      <c r="AT323" s="974">
        <v>72965.9844323</v>
      </c>
      <c r="AU323" s="974">
        <v>80465</v>
      </c>
      <c r="AV323" s="974">
        <v>167.67462106122909</v>
      </c>
    </row>
    <row r="324" spans="1:48">
      <c r="A324" s="966">
        <v>317</v>
      </c>
      <c r="B324" s="967">
        <v>45071</v>
      </c>
      <c r="C324" s="966">
        <v>38000</v>
      </c>
      <c r="D324" s="966">
        <v>0</v>
      </c>
      <c r="E324" s="966">
        <v>4.5300000000000002E-3</v>
      </c>
      <c r="F324" s="966">
        <v>82504.14</v>
      </c>
      <c r="G324" s="966">
        <v>55608.315208</v>
      </c>
      <c r="H324" s="974">
        <v>1828.44</v>
      </c>
      <c r="I324" s="966">
        <v>13.24</v>
      </c>
      <c r="J324" s="973">
        <v>1.4638553561900001</v>
      </c>
      <c r="L324" s="990">
        <v>45401</v>
      </c>
      <c r="M324" s="969">
        <v>72965.9844323</v>
      </c>
      <c r="N324" s="969">
        <v>80465</v>
      </c>
      <c r="O324" s="974">
        <v>167.67457264695412</v>
      </c>
      <c r="Q324" s="967">
        <v>44945</v>
      </c>
      <c r="R324" s="966">
        <v>45600</v>
      </c>
      <c r="S324" s="971">
        <v>0.48999999986337001</v>
      </c>
      <c r="T324" s="969">
        <v>-4.5300000000000002E-3</v>
      </c>
      <c r="U324" s="966">
        <v>3445.03</v>
      </c>
      <c r="V324" s="966">
        <v>159.35</v>
      </c>
      <c r="W324" s="971">
        <f t="shared" si="4"/>
        <v>-2.8427988704110452E-5</v>
      </c>
      <c r="Y324" s="967">
        <v>45022</v>
      </c>
      <c r="Z324" s="974">
        <f ca="1">H274*Valuation_Senario!$L$372</f>
        <v>1569.2225193399997</v>
      </c>
      <c r="AA324" s="973">
        <v>13.96</v>
      </c>
      <c r="AM324" s="967">
        <v>44945</v>
      </c>
      <c r="AN324" s="974">
        <v>5037.4744473200008</v>
      </c>
      <c r="AO324" s="38">
        <v>0.48999999986337001</v>
      </c>
      <c r="AS324" s="967">
        <v>45401</v>
      </c>
      <c r="AT324" s="974">
        <v>72965.9844323</v>
      </c>
      <c r="AU324" s="974">
        <v>80465</v>
      </c>
      <c r="AV324" s="974">
        <v>167.67457264695412</v>
      </c>
    </row>
    <row r="325" spans="1:48">
      <c r="A325" s="966">
        <v>318</v>
      </c>
      <c r="B325" s="967">
        <v>45070</v>
      </c>
      <c r="C325" s="966">
        <v>37950</v>
      </c>
      <c r="D325" s="966">
        <v>0</v>
      </c>
      <c r="E325" s="966">
        <v>2.1975000000000001E-2</v>
      </c>
      <c r="F325" s="966">
        <v>81552.95</v>
      </c>
      <c r="G325" s="966">
        <v>55535.146372199997</v>
      </c>
      <c r="H325" s="974">
        <v>1828.44</v>
      </c>
      <c r="I325" s="966">
        <v>13.05</v>
      </c>
      <c r="J325" s="973">
        <v>1.46385397552</v>
      </c>
      <c r="L325" s="990">
        <v>45404</v>
      </c>
      <c r="M325" s="969">
        <v>72234.862343800007</v>
      </c>
      <c r="N325" s="969">
        <v>80465</v>
      </c>
      <c r="O325" s="974">
        <v>167.674524233825</v>
      </c>
      <c r="Q325" s="967">
        <v>44944</v>
      </c>
      <c r="R325" s="966">
        <v>44950</v>
      </c>
      <c r="S325" s="971">
        <v>0.48999999986337001</v>
      </c>
      <c r="T325" s="969">
        <v>-2.1975000000000001E-2</v>
      </c>
      <c r="U325" s="966">
        <v>3445.03</v>
      </c>
      <c r="V325" s="966">
        <v>163.88</v>
      </c>
      <c r="W325" s="971">
        <f t="shared" si="4"/>
        <v>-1.3409201855015866E-4</v>
      </c>
      <c r="Y325" s="967">
        <v>45021</v>
      </c>
      <c r="Z325" s="974">
        <f ca="1">H275*Valuation_Senario!$L$372</f>
        <v>1569.2225193399997</v>
      </c>
      <c r="AA325" s="973">
        <v>14.19</v>
      </c>
      <c r="AM325" s="967">
        <v>44944</v>
      </c>
      <c r="AN325" s="974">
        <v>5037.4744473200008</v>
      </c>
      <c r="AO325" s="38">
        <v>0.48999999986337001</v>
      </c>
      <c r="AS325" s="967">
        <v>45404</v>
      </c>
      <c r="AT325" s="974">
        <v>72234.862343800007</v>
      </c>
      <c r="AU325" s="974">
        <v>80465</v>
      </c>
      <c r="AV325" s="974">
        <v>167.674524233825</v>
      </c>
    </row>
    <row r="326" spans="1:48">
      <c r="A326" s="966">
        <v>319</v>
      </c>
      <c r="B326" s="967">
        <v>45069</v>
      </c>
      <c r="C326" s="966">
        <v>38250</v>
      </c>
      <c r="D326" s="966">
        <v>0</v>
      </c>
      <c r="E326" s="966">
        <v>8.6E-3</v>
      </c>
      <c r="F326" s="966">
        <v>78772.53</v>
      </c>
      <c r="G326" s="966">
        <v>55974.159387</v>
      </c>
      <c r="H326" s="974">
        <v>1828.44</v>
      </c>
      <c r="I326" s="966">
        <v>12.5</v>
      </c>
      <c r="J326" s="973">
        <v>1.4638525948499999</v>
      </c>
      <c r="L326" s="990">
        <v>45405</v>
      </c>
      <c r="M326" s="969">
        <v>70480.1693314</v>
      </c>
      <c r="N326" s="969">
        <v>80465</v>
      </c>
      <c r="O326" s="974">
        <v>167.674427405275</v>
      </c>
      <c r="Q326" s="967">
        <v>44943</v>
      </c>
      <c r="R326" s="966">
        <v>43050</v>
      </c>
      <c r="S326" s="971">
        <v>0.48999999986337001</v>
      </c>
      <c r="T326" s="969">
        <v>-8.6E-3</v>
      </c>
      <c r="U326" s="966">
        <v>3445.02</v>
      </c>
      <c r="V326" s="966">
        <v>118.53</v>
      </c>
      <c r="W326" s="971">
        <f t="shared" si="4"/>
        <v>-7.2555471188728591E-5</v>
      </c>
      <c r="Y326" s="967">
        <v>45020</v>
      </c>
      <c r="Z326" s="974">
        <f ca="1">H276*Valuation_Senario!$L$372</f>
        <v>1569.2225193399997</v>
      </c>
      <c r="AA326" s="973">
        <v>14.21</v>
      </c>
      <c r="AM326" s="967">
        <v>44943</v>
      </c>
      <c r="AN326" s="974">
        <v>5037.4598248800003</v>
      </c>
      <c r="AO326" s="38">
        <v>0.48999999986337001</v>
      </c>
      <c r="AS326" s="967">
        <v>45405</v>
      </c>
      <c r="AT326" s="974">
        <v>70480.1693314</v>
      </c>
      <c r="AU326" s="974">
        <v>80465</v>
      </c>
      <c r="AV326" s="974">
        <v>167.674427405275</v>
      </c>
    </row>
    <row r="327" spans="1:48">
      <c r="A327" s="966">
        <v>320</v>
      </c>
      <c r="B327" s="967">
        <v>45068</v>
      </c>
      <c r="C327" s="966">
        <v>38550</v>
      </c>
      <c r="D327" s="966">
        <v>0</v>
      </c>
      <c r="E327" s="966">
        <v>0</v>
      </c>
      <c r="F327" s="966">
        <v>77089.649999999994</v>
      </c>
      <c r="G327" s="966">
        <v>56413.172401800002</v>
      </c>
      <c r="H327" s="974">
        <v>1828.44</v>
      </c>
      <c r="I327" s="966">
        <v>12.16</v>
      </c>
      <c r="J327" s="973">
        <v>1.46385121418</v>
      </c>
      <c r="L327" s="990">
        <v>45406</v>
      </c>
      <c r="M327" s="969">
        <v>71065.067002199998</v>
      </c>
      <c r="N327" s="969">
        <v>80465</v>
      </c>
      <c r="O327" s="974">
        <v>167.67428216474181</v>
      </c>
      <c r="Q327" s="967">
        <v>44942</v>
      </c>
      <c r="R327" s="966">
        <v>41900</v>
      </c>
      <c r="S327" s="971">
        <v>0.48999999986337001</v>
      </c>
      <c r="T327" s="969">
        <v>0</v>
      </c>
      <c r="U327" s="966">
        <v>3445.02</v>
      </c>
      <c r="V327" s="966">
        <v>59.13</v>
      </c>
      <c r="W327" s="971">
        <f t="shared" si="4"/>
        <v>0</v>
      </c>
      <c r="Y327" s="967">
        <v>45019</v>
      </c>
      <c r="Z327" s="974">
        <f ca="1">H277*Valuation_Senario!$L$372</f>
        <v>1569.2225193399997</v>
      </c>
      <c r="AA327" s="973">
        <v>13.93</v>
      </c>
      <c r="AM327" s="967">
        <v>44942</v>
      </c>
      <c r="AN327" s="974">
        <v>5037.4598248800003</v>
      </c>
      <c r="AO327" s="38">
        <v>0.48999999986337001</v>
      </c>
      <c r="AS327" s="967">
        <v>45406</v>
      </c>
      <c r="AT327" s="974">
        <v>71065.067002199998</v>
      </c>
      <c r="AU327" s="974">
        <v>80465</v>
      </c>
      <c r="AV327" s="974">
        <v>167.67428216474181</v>
      </c>
    </row>
    <row r="328" spans="1:48">
      <c r="A328" s="966">
        <v>321</v>
      </c>
      <c r="B328" s="967">
        <v>45065</v>
      </c>
      <c r="C328" s="966">
        <v>38300</v>
      </c>
      <c r="D328" s="966">
        <v>1.89</v>
      </c>
      <c r="E328" s="966">
        <v>1.89</v>
      </c>
      <c r="F328" s="966">
        <v>77309.149999999994</v>
      </c>
      <c r="G328" s="966">
        <v>56047.328222800003</v>
      </c>
      <c r="H328" s="974">
        <v>1828.45</v>
      </c>
      <c r="I328" s="966">
        <v>12.21</v>
      </c>
      <c r="J328" s="973">
        <v>1.4638470721700001</v>
      </c>
      <c r="L328" s="990">
        <v>45407</v>
      </c>
      <c r="M328" s="969">
        <v>72819.760014600004</v>
      </c>
      <c r="N328" s="969">
        <v>80465</v>
      </c>
      <c r="O328" s="974">
        <v>167.67423375046681</v>
      </c>
      <c r="Q328" s="967">
        <v>44939</v>
      </c>
      <c r="R328" s="966">
        <v>42050</v>
      </c>
      <c r="S328" s="971">
        <v>0.48999999986337001</v>
      </c>
      <c r="T328" s="969">
        <v>0</v>
      </c>
      <c r="U328" s="966">
        <v>3445.02</v>
      </c>
      <c r="V328" s="966">
        <v>47.83</v>
      </c>
      <c r="W328" s="971">
        <f t="shared" si="4"/>
        <v>0</v>
      </c>
      <c r="Y328" s="967">
        <v>45016</v>
      </c>
      <c r="Z328" s="974">
        <f ca="1">H278*Valuation_Senario!$L$372</f>
        <v>2684.9561479399999</v>
      </c>
      <c r="AA328" s="973">
        <v>13.76</v>
      </c>
      <c r="AM328" s="967">
        <v>44939</v>
      </c>
      <c r="AN328" s="974">
        <v>5037.4598248800003</v>
      </c>
      <c r="AO328" s="38">
        <v>0.48999999986337001</v>
      </c>
      <c r="AS328" s="967">
        <v>45407</v>
      </c>
      <c r="AT328" s="974">
        <v>72819.760014600004</v>
      </c>
      <c r="AU328" s="974">
        <v>80465</v>
      </c>
      <c r="AV328" s="974">
        <v>167.67423375046681</v>
      </c>
    </row>
    <row r="329" spans="1:48">
      <c r="A329" s="966">
        <v>322</v>
      </c>
      <c r="B329" s="967">
        <v>45064</v>
      </c>
      <c r="C329" s="966">
        <v>38100</v>
      </c>
      <c r="D329" s="966">
        <v>26.117000000000001</v>
      </c>
      <c r="E329" s="966">
        <v>26.117000000000001</v>
      </c>
      <c r="F329" s="966">
        <v>77382.320000000007</v>
      </c>
      <c r="G329" s="966">
        <v>55754.652879599998</v>
      </c>
      <c r="H329" s="974">
        <v>1828.45</v>
      </c>
      <c r="I329" s="966">
        <v>12.22</v>
      </c>
      <c r="J329" s="973">
        <v>1.4638456915</v>
      </c>
      <c r="L329" s="990">
        <v>45408</v>
      </c>
      <c r="M329" s="969">
        <v>76475.370457099998</v>
      </c>
      <c r="N329" s="969">
        <v>80465</v>
      </c>
      <c r="O329" s="974">
        <v>167.67418533619181</v>
      </c>
      <c r="Q329" s="967">
        <v>44938</v>
      </c>
      <c r="R329" s="966">
        <v>42100</v>
      </c>
      <c r="S329" s="971">
        <v>0.48999999986337001</v>
      </c>
      <c r="T329" s="969">
        <v>0</v>
      </c>
      <c r="U329" s="966">
        <v>3445.02</v>
      </c>
      <c r="V329" s="966">
        <v>70.97</v>
      </c>
      <c r="W329" s="971">
        <f t="shared" ref="W329:W392" si="5">T329/V329</f>
        <v>0</v>
      </c>
      <c r="Y329" s="967">
        <v>45015</v>
      </c>
      <c r="Z329" s="974">
        <f ca="1">H279*Valuation_Senario!$L$372</f>
        <v>2684.9561479399999</v>
      </c>
      <c r="AA329" s="973">
        <v>13.78</v>
      </c>
      <c r="AM329" s="967">
        <v>44938</v>
      </c>
      <c r="AN329" s="974">
        <v>5037.4598248800003</v>
      </c>
      <c r="AO329" s="38">
        <v>0.48999999986337001</v>
      </c>
      <c r="AS329" s="967">
        <v>45408</v>
      </c>
      <c r="AT329" s="974">
        <v>76475.370457099998</v>
      </c>
      <c r="AU329" s="974">
        <v>80465</v>
      </c>
      <c r="AV329" s="974">
        <v>167.67418533619181</v>
      </c>
    </row>
    <row r="330" spans="1:48">
      <c r="A330" s="966">
        <v>323</v>
      </c>
      <c r="B330" s="967">
        <v>45063</v>
      </c>
      <c r="C330" s="966">
        <v>38150</v>
      </c>
      <c r="D330" s="966">
        <v>22.574999999999999</v>
      </c>
      <c r="E330" s="966">
        <v>22.574999999999999</v>
      </c>
      <c r="F330" s="966">
        <v>78040.84</v>
      </c>
      <c r="G330" s="966">
        <v>55827.821715400001</v>
      </c>
      <c r="H330" s="974">
        <v>1828.45</v>
      </c>
      <c r="I330" s="966">
        <v>12.35</v>
      </c>
      <c r="J330" s="973">
        <v>1.4638443108299999</v>
      </c>
      <c r="L330" s="990">
        <v>45414</v>
      </c>
      <c r="M330" s="969">
        <v>78668.736722600006</v>
      </c>
      <c r="N330" s="969">
        <v>96638.2</v>
      </c>
      <c r="O330" s="974">
        <v>167.67413692306269</v>
      </c>
      <c r="Q330" s="967">
        <v>44937</v>
      </c>
      <c r="R330" s="966">
        <v>42550</v>
      </c>
      <c r="S330" s="971">
        <v>0.48999999986337001</v>
      </c>
      <c r="T330" s="969">
        <v>0</v>
      </c>
      <c r="U330" s="966">
        <v>3445.02</v>
      </c>
      <c r="V330" s="966">
        <v>85.36</v>
      </c>
      <c r="W330" s="971">
        <f t="shared" si="5"/>
        <v>0</v>
      </c>
      <c r="Y330" s="967">
        <v>45014</v>
      </c>
      <c r="Z330" s="974">
        <f ca="1">H280*Valuation_Senario!$L$372</f>
        <v>2684.9561479399999</v>
      </c>
      <c r="AA330" s="973">
        <v>13.82</v>
      </c>
      <c r="AM330" s="967">
        <v>44937</v>
      </c>
      <c r="AN330" s="974">
        <v>5037.4598248800003</v>
      </c>
      <c r="AO330" s="38">
        <v>0.48999999986337001</v>
      </c>
      <c r="AS330" s="967">
        <v>45414</v>
      </c>
      <c r="AT330" s="974">
        <v>78668.736722600006</v>
      </c>
      <c r="AU330" s="974">
        <v>96638.2</v>
      </c>
      <c r="AV330" s="974">
        <v>167.67413692306269</v>
      </c>
    </row>
    <row r="331" spans="1:48">
      <c r="A331" s="966">
        <v>324</v>
      </c>
      <c r="B331" s="967">
        <v>45062</v>
      </c>
      <c r="C331" s="966">
        <v>38450</v>
      </c>
      <c r="D331" s="966">
        <v>4.9390000000000002E-4</v>
      </c>
      <c r="E331" s="966">
        <v>0</v>
      </c>
      <c r="F331" s="966">
        <v>77528.66</v>
      </c>
      <c r="G331" s="966">
        <v>56266.834730199997</v>
      </c>
      <c r="H331" s="974">
        <v>1828.45</v>
      </c>
      <c r="I331" s="966">
        <v>12.25</v>
      </c>
      <c r="J331" s="973">
        <v>1.46384293016</v>
      </c>
      <c r="L331" s="990">
        <v>45415</v>
      </c>
      <c r="M331" s="969">
        <v>80277.205317300002</v>
      </c>
      <c r="N331" s="969">
        <v>101401.53153597542</v>
      </c>
      <c r="O331" s="974">
        <v>167.67408850878772</v>
      </c>
      <c r="Q331" s="967">
        <v>44936</v>
      </c>
      <c r="R331" s="966">
        <v>42200</v>
      </c>
      <c r="S331" s="971">
        <v>0.48999999234908997</v>
      </c>
      <c r="T331" s="969">
        <v>4.9390000000000002E-4</v>
      </c>
      <c r="U331" s="966">
        <v>3445.02</v>
      </c>
      <c r="V331" s="966">
        <v>63.39</v>
      </c>
      <c r="W331" s="971">
        <f t="shared" si="5"/>
        <v>7.791449755481937E-6</v>
      </c>
      <c r="Y331" s="967">
        <v>45013</v>
      </c>
      <c r="Z331" s="974">
        <f ca="1">H281*Valuation_Senario!$L$372</f>
        <v>2684.9561479399999</v>
      </c>
      <c r="AA331" s="973">
        <v>13.96</v>
      </c>
      <c r="AM331" s="967">
        <v>44936</v>
      </c>
      <c r="AN331" s="974">
        <v>5037.4598248800003</v>
      </c>
      <c r="AO331" s="38">
        <v>0.48999999234908997</v>
      </c>
      <c r="AS331" s="967">
        <v>45415</v>
      </c>
      <c r="AT331" s="974">
        <v>80277.205317300002</v>
      </c>
      <c r="AU331" s="974">
        <v>101401.53153597542</v>
      </c>
      <c r="AV331" s="974">
        <v>167.67408850878772</v>
      </c>
    </row>
    <row r="332" spans="1:48">
      <c r="A332" s="966">
        <v>325</v>
      </c>
      <c r="B332" s="967">
        <v>45061</v>
      </c>
      <c r="C332" s="966">
        <v>38900</v>
      </c>
      <c r="D332" s="966">
        <v>0</v>
      </c>
      <c r="E332" s="966">
        <v>0</v>
      </c>
      <c r="F332" s="966">
        <v>77235.990000000005</v>
      </c>
      <c r="G332" s="966">
        <v>56925.3542524</v>
      </c>
      <c r="H332" s="974">
        <v>1828.45</v>
      </c>
      <c r="I332" s="966">
        <v>12.19</v>
      </c>
      <c r="J332" s="973">
        <v>1.4638415494900001</v>
      </c>
      <c r="L332" s="990">
        <v>45418</v>
      </c>
      <c r="M332" s="969">
        <v>81300.776241200001</v>
      </c>
      <c r="N332" s="969">
        <v>101401.53153597542</v>
      </c>
      <c r="O332" s="974">
        <v>1048.8411260415608</v>
      </c>
      <c r="Q332" s="967">
        <v>44935</v>
      </c>
      <c r="R332" s="966">
        <v>42000</v>
      </c>
      <c r="S332" s="971">
        <v>0.48999999986337001</v>
      </c>
      <c r="T332" s="969">
        <v>0</v>
      </c>
      <c r="U332" s="966">
        <v>3445.02</v>
      </c>
      <c r="V332" s="966">
        <v>113.43</v>
      </c>
      <c r="W332" s="971">
        <f t="shared" si="5"/>
        <v>0</v>
      </c>
      <c r="Y332" s="967">
        <v>45012</v>
      </c>
      <c r="Z332" s="974">
        <f ca="1">H282*Valuation_Senario!$L$372</f>
        <v>2684.9561479399999</v>
      </c>
      <c r="AA332" s="973">
        <v>13.6</v>
      </c>
      <c r="AM332" s="967">
        <v>44935</v>
      </c>
      <c r="AN332" s="974">
        <v>5037.4598248800003</v>
      </c>
      <c r="AO332" s="38">
        <v>0.48999999986337001</v>
      </c>
      <c r="AS332" s="967">
        <v>45418</v>
      </c>
      <c r="AT332" s="974">
        <v>81300.776241200001</v>
      </c>
      <c r="AU332" s="974">
        <v>101401.53153597542</v>
      </c>
      <c r="AV332" s="974">
        <v>1048.8411260415608</v>
      </c>
    </row>
    <row r="333" spans="1:48">
      <c r="A333" s="966">
        <v>326</v>
      </c>
      <c r="B333" s="967">
        <v>45058</v>
      </c>
      <c r="C333" s="966">
        <v>39000</v>
      </c>
      <c r="D333" s="966">
        <v>23.324999999999999</v>
      </c>
      <c r="E333" s="966">
        <v>23.324999999999999</v>
      </c>
      <c r="F333" s="966">
        <v>78918.87</v>
      </c>
      <c r="G333" s="966">
        <v>57071.691923999999</v>
      </c>
      <c r="H333" s="974">
        <v>1828.46</v>
      </c>
      <c r="I333" s="966">
        <v>12.53</v>
      </c>
      <c r="J333" s="973">
        <v>1.46383740748</v>
      </c>
      <c r="L333" s="990">
        <v>45419</v>
      </c>
      <c r="M333" s="969">
        <v>81447.000658899997</v>
      </c>
      <c r="N333" s="969">
        <v>101401.53153597542</v>
      </c>
      <c r="O333" s="974">
        <v>1048.8411260415608</v>
      </c>
      <c r="Q333" s="967">
        <v>44932</v>
      </c>
      <c r="R333" s="966">
        <v>43150</v>
      </c>
      <c r="S333" s="971">
        <v>0.48999999986337001</v>
      </c>
      <c r="T333" s="969">
        <v>0</v>
      </c>
      <c r="U333" s="966">
        <v>3445.01</v>
      </c>
      <c r="V333" s="966">
        <v>91.92</v>
      </c>
      <c r="W333" s="971">
        <f t="shared" si="5"/>
        <v>0</v>
      </c>
      <c r="Y333" s="967">
        <v>45009</v>
      </c>
      <c r="Z333" s="974">
        <f ca="1">H283*Valuation_Senario!$L$372</f>
        <v>2684.9414633699998</v>
      </c>
      <c r="AA333" s="973">
        <v>13.55</v>
      </c>
      <c r="AM333" s="967">
        <v>44932</v>
      </c>
      <c r="AN333" s="974">
        <v>5037.4452024400007</v>
      </c>
      <c r="AO333" s="38">
        <v>0.48999999986337001</v>
      </c>
      <c r="AS333" s="967">
        <v>45419</v>
      </c>
      <c r="AT333" s="974">
        <v>81447.000658899997</v>
      </c>
      <c r="AU333" s="974">
        <v>101401.53153597542</v>
      </c>
      <c r="AV333" s="974">
        <v>1048.8411260415608</v>
      </c>
    </row>
    <row r="334" spans="1:48">
      <c r="A334" s="966">
        <v>327</v>
      </c>
      <c r="B334" s="967">
        <v>45057</v>
      </c>
      <c r="C334" s="966">
        <v>38700</v>
      </c>
      <c r="D334" s="966">
        <v>23.25</v>
      </c>
      <c r="E334" s="966">
        <v>23.25</v>
      </c>
      <c r="F334" s="966">
        <v>79577.39</v>
      </c>
      <c r="G334" s="966">
        <v>56632.678909200004</v>
      </c>
      <c r="H334" s="974">
        <v>1828.46</v>
      </c>
      <c r="I334" s="966">
        <v>12.66</v>
      </c>
      <c r="J334" s="973">
        <v>1.4638360268099999</v>
      </c>
      <c r="L334" s="990">
        <v>45420</v>
      </c>
      <c r="M334" s="969">
        <v>85248.835519100001</v>
      </c>
      <c r="N334" s="969">
        <v>101401.53153597542</v>
      </c>
      <c r="O334" s="974">
        <v>1048.8411260415608</v>
      </c>
      <c r="Q334" s="967">
        <v>44931</v>
      </c>
      <c r="R334" s="966">
        <v>43600</v>
      </c>
      <c r="S334" s="971">
        <v>0.48999999986337001</v>
      </c>
      <c r="T334" s="969">
        <v>0</v>
      </c>
      <c r="U334" s="966">
        <v>3445.01</v>
      </c>
      <c r="V334" s="966">
        <v>71.36</v>
      </c>
      <c r="W334" s="971">
        <f t="shared" si="5"/>
        <v>0</v>
      </c>
      <c r="Y334" s="967">
        <v>45008</v>
      </c>
      <c r="Z334" s="974">
        <f ca="1">H284*Valuation_Senario!$L$372</f>
        <v>2684.9414633699998</v>
      </c>
      <c r="AA334" s="973">
        <v>13.5</v>
      </c>
      <c r="AM334" s="967">
        <v>44931</v>
      </c>
      <c r="AN334" s="974">
        <v>5037.4452024400007</v>
      </c>
      <c r="AO334" s="38">
        <v>0.48999999986337001</v>
      </c>
      <c r="AS334" s="967">
        <v>45420</v>
      </c>
      <c r="AT334" s="974">
        <v>85248.835519100001</v>
      </c>
      <c r="AU334" s="974">
        <v>101401.53153597542</v>
      </c>
      <c r="AV334" s="974">
        <v>1048.8411260415608</v>
      </c>
    </row>
    <row r="335" spans="1:48">
      <c r="A335" s="966">
        <v>328</v>
      </c>
      <c r="B335" s="967">
        <v>45056</v>
      </c>
      <c r="C335" s="966">
        <v>39000</v>
      </c>
      <c r="D335" s="966">
        <v>0</v>
      </c>
      <c r="E335" s="966">
        <v>0</v>
      </c>
      <c r="F335" s="966">
        <v>79431.05</v>
      </c>
      <c r="G335" s="966">
        <v>57071.691923999999</v>
      </c>
      <c r="H335" s="974">
        <v>1828.46</v>
      </c>
      <c r="I335" s="966">
        <v>12.63</v>
      </c>
      <c r="J335" s="973">
        <v>1.46383464614</v>
      </c>
      <c r="L335" s="990">
        <v>45421</v>
      </c>
      <c r="M335" s="969">
        <v>86711.079696100001</v>
      </c>
      <c r="N335" s="969">
        <v>101401.53153597542</v>
      </c>
      <c r="O335" s="974">
        <v>1048.8411260415608</v>
      </c>
      <c r="Q335" s="967">
        <v>44930</v>
      </c>
      <c r="R335" s="966">
        <v>43500</v>
      </c>
      <c r="S335" s="971">
        <v>0.48999999986337001</v>
      </c>
      <c r="T335" s="969">
        <v>0</v>
      </c>
      <c r="U335" s="966">
        <v>3445.01</v>
      </c>
      <c r="V335" s="966">
        <v>82.32</v>
      </c>
      <c r="W335" s="971">
        <f t="shared" si="5"/>
        <v>0</v>
      </c>
      <c r="Y335" s="967">
        <v>45007</v>
      </c>
      <c r="Z335" s="974">
        <f ca="1">H285*Valuation_Senario!$L$372</f>
        <v>2684.9267787999997</v>
      </c>
      <c r="AA335" s="973">
        <v>13.55</v>
      </c>
      <c r="AM335" s="967">
        <v>44930</v>
      </c>
      <c r="AN335" s="974">
        <v>5037.4452024400007</v>
      </c>
      <c r="AO335" s="38">
        <v>0.48999999986337001</v>
      </c>
      <c r="AS335" s="967">
        <v>45421</v>
      </c>
      <c r="AT335" s="974">
        <v>86711.079696100001</v>
      </c>
      <c r="AU335" s="974">
        <v>101401.53153597542</v>
      </c>
      <c r="AV335" s="974">
        <v>1048.8411260415608</v>
      </c>
    </row>
    <row r="336" spans="1:48">
      <c r="A336" s="966">
        <v>329</v>
      </c>
      <c r="B336" s="967">
        <v>45055</v>
      </c>
      <c r="C336" s="966">
        <v>37950</v>
      </c>
      <c r="D336" s="966">
        <v>0</v>
      </c>
      <c r="E336" s="966">
        <v>0</v>
      </c>
      <c r="F336" s="966">
        <v>80089.570000000007</v>
      </c>
      <c r="G336" s="966">
        <v>55535.146372199997</v>
      </c>
      <c r="H336" s="974">
        <v>1828.46</v>
      </c>
      <c r="I336" s="966">
        <v>12.76</v>
      </c>
      <c r="J336" s="973">
        <v>1.4638332654699999</v>
      </c>
      <c r="L336" s="990">
        <v>45422</v>
      </c>
      <c r="M336" s="969">
        <v>86418.630860699996</v>
      </c>
      <c r="N336" s="969">
        <v>101401.53153597542</v>
      </c>
      <c r="O336" s="974">
        <v>1048.8411260415608</v>
      </c>
      <c r="Q336" s="967">
        <v>44929</v>
      </c>
      <c r="R336" s="966">
        <v>43950</v>
      </c>
      <c r="S336" s="971">
        <v>0.48999999986337001</v>
      </c>
      <c r="T336" s="969">
        <v>0</v>
      </c>
      <c r="U336" s="966">
        <v>3445.01</v>
      </c>
      <c r="V336" s="966">
        <v>87.06</v>
      </c>
      <c r="W336" s="971">
        <f t="shared" si="5"/>
        <v>0</v>
      </c>
      <c r="Y336" s="967">
        <v>45006</v>
      </c>
      <c r="Z336" s="974">
        <f ca="1">H286*Valuation_Senario!$L$372</f>
        <v>2684.9267787999997</v>
      </c>
      <c r="AA336" s="973">
        <v>13.75</v>
      </c>
      <c r="AM336" s="967">
        <v>44929</v>
      </c>
      <c r="AN336" s="974">
        <v>5037.4452024400007</v>
      </c>
      <c r="AO336" s="38">
        <v>0.48999999986337001</v>
      </c>
      <c r="AS336" s="967">
        <v>45422</v>
      </c>
      <c r="AT336" s="974">
        <v>86418.630860699996</v>
      </c>
      <c r="AU336" s="974">
        <v>101401.53153597542</v>
      </c>
      <c r="AV336" s="974">
        <v>1048.8411260415608</v>
      </c>
    </row>
    <row r="337" spans="1:48">
      <c r="A337" s="966">
        <v>330</v>
      </c>
      <c r="B337" s="967">
        <v>45054</v>
      </c>
      <c r="C337" s="966">
        <v>37850</v>
      </c>
      <c r="D337" s="966">
        <v>80.499777699999996</v>
      </c>
      <c r="E337" s="966">
        <v>80.325000000000003</v>
      </c>
      <c r="F337" s="966">
        <v>78553.03</v>
      </c>
      <c r="G337" s="966">
        <v>55388.808700599999</v>
      </c>
      <c r="H337" s="974">
        <v>1828.46</v>
      </c>
      <c r="I337" s="966">
        <v>12.45</v>
      </c>
      <c r="J337" s="973">
        <v>1.4638318848</v>
      </c>
      <c r="L337" s="990">
        <v>45425</v>
      </c>
      <c r="M337" s="969">
        <v>86126.182025300004</v>
      </c>
      <c r="N337" s="969">
        <v>101401.53153597542</v>
      </c>
      <c r="O337" s="974">
        <v>1048.8411260415608</v>
      </c>
      <c r="Q337" s="967">
        <v>44925</v>
      </c>
      <c r="R337" s="966">
        <v>42900</v>
      </c>
      <c r="S337" s="971">
        <v>0.48999721411454</v>
      </c>
      <c r="T337" s="969">
        <v>0.17477770000000001</v>
      </c>
      <c r="U337" s="966">
        <v>3445</v>
      </c>
      <c r="V337" s="966">
        <v>150.85</v>
      </c>
      <c r="W337" s="971">
        <f t="shared" si="5"/>
        <v>1.158619158104077E-3</v>
      </c>
      <c r="Y337" s="967">
        <v>45005</v>
      </c>
      <c r="Z337" s="974">
        <f ca="1">H287*Valuation_Senario!$L$372</f>
        <v>2684.9267787999997</v>
      </c>
      <c r="AA337" s="973">
        <v>13.6</v>
      </c>
      <c r="AM337" s="967">
        <v>44925</v>
      </c>
      <c r="AN337" s="974">
        <v>5037.4305800000002</v>
      </c>
      <c r="AO337" s="38">
        <v>0.48999721411454</v>
      </c>
      <c r="AS337" s="967">
        <v>45425</v>
      </c>
      <c r="AT337" s="974">
        <v>86126.182025300004</v>
      </c>
      <c r="AU337" s="974">
        <v>101401.53153597542</v>
      </c>
      <c r="AV337" s="974">
        <v>1048.8411260415608</v>
      </c>
    </row>
    <row r="338" spans="1:48">
      <c r="A338" s="966">
        <v>331</v>
      </c>
      <c r="B338" s="967">
        <v>45051</v>
      </c>
      <c r="C338" s="966">
        <v>37800</v>
      </c>
      <c r="D338" s="966">
        <v>13.872249999999999</v>
      </c>
      <c r="E338" s="966">
        <v>13.8</v>
      </c>
      <c r="F338" s="966">
        <v>78553.03</v>
      </c>
      <c r="G338" s="966">
        <v>55315.639864800003</v>
      </c>
      <c r="H338" s="974">
        <v>1828.47</v>
      </c>
      <c r="I338" s="966">
        <v>12.45</v>
      </c>
      <c r="J338" s="973">
        <v>1.4638277427899999</v>
      </c>
      <c r="L338" s="990">
        <v>45426</v>
      </c>
      <c r="M338" s="969">
        <v>86126.182025300004</v>
      </c>
      <c r="N338" s="969">
        <v>101401.53153597542</v>
      </c>
      <c r="O338" s="974">
        <v>1048.8411260415608</v>
      </c>
      <c r="Q338" s="967">
        <v>44924</v>
      </c>
      <c r="R338" s="966">
        <v>42900</v>
      </c>
      <c r="S338" s="971">
        <v>0.48999883856542997</v>
      </c>
      <c r="T338" s="969">
        <v>7.2249999999999995E-2</v>
      </c>
      <c r="U338" s="966">
        <v>3445</v>
      </c>
      <c r="V338" s="966">
        <v>65.41</v>
      </c>
      <c r="W338" s="971">
        <f t="shared" si="5"/>
        <v>1.1045711664883044E-3</v>
      </c>
      <c r="Y338" s="967">
        <v>45002</v>
      </c>
      <c r="Z338" s="974">
        <f ca="1">H288*Valuation_Senario!$L$372</f>
        <v>2684.9267787999997</v>
      </c>
      <c r="AA338" s="973">
        <v>14.07</v>
      </c>
      <c r="AM338" s="967">
        <v>44924</v>
      </c>
      <c r="AN338" s="974">
        <v>5037.4305800000002</v>
      </c>
      <c r="AO338" s="38">
        <v>0.48999883856542997</v>
      </c>
      <c r="AS338" s="967">
        <v>45426</v>
      </c>
      <c r="AT338" s="974">
        <v>86126.182025300004</v>
      </c>
      <c r="AU338" s="974">
        <v>101401.53153597542</v>
      </c>
      <c r="AV338" s="974">
        <v>1048.8411260415608</v>
      </c>
    </row>
    <row r="339" spans="1:48">
      <c r="A339" s="966">
        <v>332</v>
      </c>
      <c r="B339" s="967">
        <v>45050</v>
      </c>
      <c r="C339" s="966">
        <v>37900</v>
      </c>
      <c r="D339" s="966">
        <v>81.519000000000005</v>
      </c>
      <c r="E339" s="966">
        <v>81.519000000000005</v>
      </c>
      <c r="F339" s="966">
        <v>78699.360000000001</v>
      </c>
      <c r="G339" s="966">
        <v>55461.977536400002</v>
      </c>
      <c r="H339" s="974">
        <v>1828.47</v>
      </c>
      <c r="I339" s="966">
        <v>12.48</v>
      </c>
      <c r="J339" s="973">
        <v>1.4638263621199998</v>
      </c>
      <c r="L339" s="990">
        <v>45427</v>
      </c>
      <c r="M339" s="969">
        <v>85248.835519100001</v>
      </c>
      <c r="N339" s="969">
        <v>101401.53153597542</v>
      </c>
      <c r="O339" s="974">
        <v>1048.8411260415608</v>
      </c>
      <c r="Q339" s="967">
        <v>44923</v>
      </c>
      <c r="R339" s="966">
        <v>43000</v>
      </c>
      <c r="S339" s="971">
        <v>0.48999999986337001</v>
      </c>
      <c r="T339" s="969">
        <v>0</v>
      </c>
      <c r="U339" s="966">
        <v>3445</v>
      </c>
      <c r="V339" s="966">
        <v>140.74</v>
      </c>
      <c r="W339" s="971">
        <f t="shared" si="5"/>
        <v>0</v>
      </c>
      <c r="Y339" s="967">
        <v>45001</v>
      </c>
      <c r="Z339" s="974">
        <f ca="1">H289*Valuation_Senario!$L$372</f>
        <v>2684.9267787999997</v>
      </c>
      <c r="AA339" s="973">
        <v>14.07</v>
      </c>
      <c r="AM339" s="967">
        <v>44923</v>
      </c>
      <c r="AN339" s="974">
        <v>5037.4305800000002</v>
      </c>
      <c r="AO339" s="38">
        <v>0.48999999986337001</v>
      </c>
      <c r="AS339" s="967">
        <v>45427</v>
      </c>
      <c r="AT339" s="974">
        <v>85248.835519100001</v>
      </c>
      <c r="AU339" s="974">
        <v>101401.53153597542</v>
      </c>
      <c r="AV339" s="974">
        <v>1048.8411260415608</v>
      </c>
    </row>
    <row r="340" spans="1:48">
      <c r="A340" s="966">
        <v>333</v>
      </c>
      <c r="B340" s="967">
        <v>45044</v>
      </c>
      <c r="C340" s="966">
        <v>39200</v>
      </c>
      <c r="D340" s="966">
        <v>5.9397200000000003</v>
      </c>
      <c r="E340" s="966">
        <v>6.1103059999999996</v>
      </c>
      <c r="F340" s="966">
        <v>79870.06</v>
      </c>
      <c r="G340" s="966">
        <v>57364.367267200003</v>
      </c>
      <c r="H340" s="974">
        <v>2800.61</v>
      </c>
      <c r="I340" s="966">
        <v>12.71</v>
      </c>
      <c r="J340" s="973">
        <v>1.46388359512</v>
      </c>
      <c r="L340" s="990">
        <v>45428</v>
      </c>
      <c r="M340" s="969">
        <v>87880.875037699996</v>
      </c>
      <c r="N340" s="969">
        <v>101401.53153597542</v>
      </c>
      <c r="O340" s="974">
        <v>1048.8411260415608</v>
      </c>
      <c r="Q340" s="967">
        <v>44922</v>
      </c>
      <c r="R340" s="966">
        <v>43800</v>
      </c>
      <c r="S340" s="971">
        <v>0.48999999986337001</v>
      </c>
      <c r="T340" s="969">
        <v>-0.17058599999999999</v>
      </c>
      <c r="U340" s="966">
        <v>3445</v>
      </c>
      <c r="V340" s="966">
        <v>104.19</v>
      </c>
      <c r="W340" s="971">
        <f t="shared" si="5"/>
        <v>-1.6372588540167002E-3</v>
      </c>
      <c r="Y340" s="967">
        <v>45000</v>
      </c>
      <c r="Z340" s="974">
        <f ca="1">H290*Valuation_Senario!$L$372</f>
        <v>2684.9414633699998</v>
      </c>
      <c r="AA340" s="973">
        <v>14.28</v>
      </c>
      <c r="AM340" s="967">
        <v>44922</v>
      </c>
      <c r="AN340" s="974">
        <v>5037.4305800000002</v>
      </c>
      <c r="AO340" s="38">
        <v>0.48999999986337001</v>
      </c>
      <c r="AS340" s="967">
        <v>45428</v>
      </c>
      <c r="AT340" s="974">
        <v>87880.875037699996</v>
      </c>
      <c r="AU340" s="974">
        <v>101401.53153597542</v>
      </c>
      <c r="AV340" s="974">
        <v>1048.8411260415608</v>
      </c>
    </row>
    <row r="341" spans="1:48">
      <c r="A341" s="966">
        <v>334</v>
      </c>
      <c r="B341" s="967">
        <v>45043</v>
      </c>
      <c r="C341" s="966">
        <v>38650</v>
      </c>
      <c r="D341" s="966">
        <v>325.85000000000002</v>
      </c>
      <c r="E341" s="966">
        <v>325.92585500000001</v>
      </c>
      <c r="F341" s="966">
        <v>78114.009999999995</v>
      </c>
      <c r="G341" s="966">
        <v>56559.510073400001</v>
      </c>
      <c r="H341" s="974">
        <v>2800.61</v>
      </c>
      <c r="I341" s="966">
        <v>12.37</v>
      </c>
      <c r="J341" s="973">
        <v>1.46388359512</v>
      </c>
      <c r="L341" s="990">
        <v>45429</v>
      </c>
      <c r="M341" s="969">
        <v>88904.445961599995</v>
      </c>
      <c r="N341" s="969">
        <v>101401.53153597542</v>
      </c>
      <c r="O341" s="974">
        <v>1048.8411260415608</v>
      </c>
      <c r="Q341" s="967">
        <v>44921</v>
      </c>
      <c r="R341" s="966">
        <v>42600</v>
      </c>
      <c r="S341" s="971">
        <v>0.48999999986337001</v>
      </c>
      <c r="T341" s="969">
        <v>-7.5855000000000006E-2</v>
      </c>
      <c r="U341" s="966">
        <v>3445</v>
      </c>
      <c r="V341" s="966">
        <v>438.2</v>
      </c>
      <c r="W341" s="971">
        <f t="shared" si="5"/>
        <v>-1.7310588772250117E-4</v>
      </c>
      <c r="Y341" s="967">
        <v>44999</v>
      </c>
      <c r="Z341" s="974">
        <f ca="1">H291*Valuation_Senario!$L$372</f>
        <v>2684.9414633699998</v>
      </c>
      <c r="AA341" s="973">
        <v>13.78</v>
      </c>
      <c r="AM341" s="967">
        <v>44921</v>
      </c>
      <c r="AN341" s="974">
        <v>5037.4305800000002</v>
      </c>
      <c r="AO341" s="38">
        <v>0.48999999986337001</v>
      </c>
      <c r="AS341" s="967">
        <v>45429</v>
      </c>
      <c r="AT341" s="974">
        <v>88904.445961599995</v>
      </c>
      <c r="AU341" s="974">
        <v>101401.53153597542</v>
      </c>
      <c r="AV341" s="974">
        <v>1048.8411260415608</v>
      </c>
    </row>
    <row r="342" spans="1:48">
      <c r="A342" s="966">
        <v>335</v>
      </c>
      <c r="B342" s="967">
        <v>45042</v>
      </c>
      <c r="C342" s="966">
        <v>38400</v>
      </c>
      <c r="D342" s="966">
        <v>53.08325</v>
      </c>
      <c r="E342" s="966">
        <v>53.08325</v>
      </c>
      <c r="F342" s="966">
        <v>82796.820000000007</v>
      </c>
      <c r="G342" s="966">
        <v>56193.665894400001</v>
      </c>
      <c r="H342" s="974">
        <v>2800.61</v>
      </c>
      <c r="I342" s="966">
        <v>13.29</v>
      </c>
      <c r="J342" s="973">
        <v>1.46388359512</v>
      </c>
      <c r="L342" s="990">
        <v>45432</v>
      </c>
      <c r="M342" s="969">
        <v>87588.426202300005</v>
      </c>
      <c r="N342" s="969">
        <v>101401.53153597542</v>
      </c>
      <c r="O342" s="974">
        <v>1048.8411260415608</v>
      </c>
      <c r="Q342" s="967">
        <v>44918</v>
      </c>
      <c r="R342" s="966">
        <v>45800</v>
      </c>
      <c r="S342" s="971">
        <v>0.48999999986337001</v>
      </c>
      <c r="T342" s="969">
        <v>0</v>
      </c>
      <c r="U342" s="966">
        <v>3445</v>
      </c>
      <c r="V342" s="966">
        <v>125.63</v>
      </c>
      <c r="W342" s="971">
        <f t="shared" si="5"/>
        <v>0</v>
      </c>
      <c r="Y342" s="967">
        <v>44998</v>
      </c>
      <c r="Z342" s="974">
        <f ca="1">H292*Valuation_Senario!$L$372</f>
        <v>2684.9414633699998</v>
      </c>
      <c r="AA342" s="973">
        <v>14.07</v>
      </c>
      <c r="AM342" s="967">
        <v>44918</v>
      </c>
      <c r="AN342" s="974">
        <v>5037.4305800000002</v>
      </c>
      <c r="AO342" s="38">
        <v>0.48999999986337001</v>
      </c>
      <c r="AS342" s="967">
        <v>45432</v>
      </c>
      <c r="AT342" s="974">
        <v>87588.426202300005</v>
      </c>
      <c r="AU342" s="974">
        <v>101401.53153597542</v>
      </c>
      <c r="AV342" s="974">
        <v>1048.8411260415608</v>
      </c>
    </row>
    <row r="343" spans="1:48">
      <c r="A343" s="966">
        <v>336</v>
      </c>
      <c r="B343" s="967">
        <v>45041</v>
      </c>
      <c r="C343" s="966">
        <v>37700</v>
      </c>
      <c r="D343" s="966">
        <v>33.886719999999997</v>
      </c>
      <c r="E343" s="966">
        <v>33.886719999999997</v>
      </c>
      <c r="F343" s="966">
        <v>83821.179999999993</v>
      </c>
      <c r="G343" s="966">
        <v>55169.302193199997</v>
      </c>
      <c r="H343" s="974">
        <v>2800.61</v>
      </c>
      <c r="I343" s="966">
        <v>13.5</v>
      </c>
      <c r="J343" s="973">
        <v>1.46388359512</v>
      </c>
      <c r="L343" s="990">
        <v>45433</v>
      </c>
      <c r="M343" s="969">
        <v>87149.752949200003</v>
      </c>
      <c r="N343" s="969">
        <v>101401.53153597542</v>
      </c>
      <c r="O343" s="974">
        <v>1048.8411260415608</v>
      </c>
      <c r="Q343" s="967">
        <v>44917</v>
      </c>
      <c r="R343" s="966">
        <v>46500</v>
      </c>
      <c r="S343" s="971">
        <v>0.48999999986337001</v>
      </c>
      <c r="T343" s="969">
        <v>0</v>
      </c>
      <c r="U343" s="966">
        <v>3444.99</v>
      </c>
      <c r="V343" s="966">
        <v>106.23</v>
      </c>
      <c r="W343" s="971">
        <f t="shared" si="5"/>
        <v>0</v>
      </c>
      <c r="Y343" s="967">
        <v>44995</v>
      </c>
      <c r="Z343" s="974">
        <f ca="1">H293*Valuation_Senario!$L$372</f>
        <v>2684.9414633699998</v>
      </c>
      <c r="AA343" s="973">
        <v>14.19</v>
      </c>
      <c r="AM343" s="967">
        <v>44917</v>
      </c>
      <c r="AN343" s="974">
        <v>5037.4159575599997</v>
      </c>
      <c r="AO343" s="38">
        <v>0.48999999986337001</v>
      </c>
      <c r="AS343" s="967">
        <v>45433</v>
      </c>
      <c r="AT343" s="974">
        <v>87149.752949200003</v>
      </c>
      <c r="AU343" s="974">
        <v>101401.53153597542</v>
      </c>
      <c r="AV343" s="974">
        <v>1048.8411260415608</v>
      </c>
    </row>
    <row r="344" spans="1:48">
      <c r="A344" s="966">
        <v>337</v>
      </c>
      <c r="B344" s="967">
        <v>45040</v>
      </c>
      <c r="C344" s="966">
        <v>38400</v>
      </c>
      <c r="D344" s="966">
        <v>2.1800449999999998</v>
      </c>
      <c r="E344" s="966">
        <v>2.1790500000000002</v>
      </c>
      <c r="F344" s="966">
        <v>83674.84</v>
      </c>
      <c r="G344" s="966">
        <v>56193.665894400001</v>
      </c>
      <c r="H344" s="974">
        <v>2800.61</v>
      </c>
      <c r="I344" s="966">
        <v>13.47</v>
      </c>
      <c r="J344" s="973">
        <v>1.46388359512</v>
      </c>
      <c r="L344" s="990">
        <v>45434</v>
      </c>
      <c r="M344" s="969">
        <v>87734.65062</v>
      </c>
      <c r="N344" s="969">
        <v>101401.53153597542</v>
      </c>
      <c r="O344" s="974">
        <v>1048.8353671368629</v>
      </c>
      <c r="Q344" s="967">
        <v>44916</v>
      </c>
      <c r="R344" s="966">
        <v>46400</v>
      </c>
      <c r="S344" s="971">
        <v>0.48999998620104002</v>
      </c>
      <c r="T344" s="969">
        <v>9.9500000000000001E-4</v>
      </c>
      <c r="U344" s="966">
        <v>3444.99</v>
      </c>
      <c r="V344" s="966">
        <v>95.95</v>
      </c>
      <c r="W344" s="971">
        <f t="shared" si="5"/>
        <v>1.0369984366857739E-5</v>
      </c>
      <c r="Y344" s="967">
        <v>44994</v>
      </c>
      <c r="Z344" s="974">
        <f ca="1">H294*Valuation_Senario!$L$372</f>
        <v>2684.9414633699998</v>
      </c>
      <c r="AA344" s="973">
        <v>14.28</v>
      </c>
      <c r="AM344" s="967">
        <v>44916</v>
      </c>
      <c r="AN344" s="974">
        <v>5037.4159575599997</v>
      </c>
      <c r="AO344" s="38">
        <v>0.48999998620104002</v>
      </c>
      <c r="AS344" s="967">
        <v>45434</v>
      </c>
      <c r="AT344" s="974">
        <v>87734.65062</v>
      </c>
      <c r="AU344" s="974">
        <v>101401.53153597542</v>
      </c>
      <c r="AV344" s="974">
        <v>1048.8353671368629</v>
      </c>
    </row>
    <row r="345" spans="1:48">
      <c r="A345" s="966">
        <v>338</v>
      </c>
      <c r="B345" s="967">
        <v>45037</v>
      </c>
      <c r="C345" s="966">
        <v>39300</v>
      </c>
      <c r="D345" s="966">
        <v>4.75E-4</v>
      </c>
      <c r="E345" s="966">
        <v>0</v>
      </c>
      <c r="F345" s="966">
        <v>83821.179999999993</v>
      </c>
      <c r="G345" s="966">
        <v>57510.704938800001</v>
      </c>
      <c r="H345" s="974">
        <v>2800.61</v>
      </c>
      <c r="I345" s="966">
        <v>13.5</v>
      </c>
      <c r="J345" s="973">
        <v>1.46388359512</v>
      </c>
      <c r="L345" s="990">
        <v>45435</v>
      </c>
      <c r="M345" s="969">
        <v>88465.772708499993</v>
      </c>
      <c r="N345" s="969">
        <v>101401.53153597542</v>
      </c>
      <c r="O345" s="974">
        <v>1048.8375852669419</v>
      </c>
      <c r="Q345" s="967">
        <v>44915</v>
      </c>
      <c r="R345" s="966">
        <v>46500</v>
      </c>
      <c r="S345" s="971">
        <v>0.48999999303220998</v>
      </c>
      <c r="T345" s="969">
        <v>4.75E-4</v>
      </c>
      <c r="U345" s="966">
        <v>3444.99</v>
      </c>
      <c r="V345" s="966">
        <v>154.82</v>
      </c>
      <c r="W345" s="971">
        <f t="shared" si="5"/>
        <v>3.0680790595530294E-6</v>
      </c>
      <c r="Y345" s="967">
        <v>44993</v>
      </c>
      <c r="Z345" s="974">
        <f ca="1">H295*Valuation_Senario!$L$372</f>
        <v>2684.9414633699998</v>
      </c>
      <c r="AA345" s="973">
        <v>14.07</v>
      </c>
      <c r="AM345" s="967">
        <v>44915</v>
      </c>
      <c r="AN345" s="974">
        <v>5037.4159575599997</v>
      </c>
      <c r="AO345" s="38">
        <v>0.48999999303220998</v>
      </c>
      <c r="AS345" s="967">
        <v>45435</v>
      </c>
      <c r="AT345" s="974">
        <v>88465.772708499993</v>
      </c>
      <c r="AU345" s="974">
        <v>101401.53153597542</v>
      </c>
      <c r="AV345" s="974">
        <v>1048.8375852669419</v>
      </c>
    </row>
    <row r="346" spans="1:48">
      <c r="A346" s="966">
        <v>339</v>
      </c>
      <c r="B346" s="967">
        <v>45036</v>
      </c>
      <c r="C346" s="966">
        <v>40400</v>
      </c>
      <c r="D346" s="966">
        <v>0</v>
      </c>
      <c r="E346" s="966">
        <v>0</v>
      </c>
      <c r="F346" s="966">
        <v>84772.38</v>
      </c>
      <c r="G346" s="966">
        <v>59120.419326399999</v>
      </c>
      <c r="H346" s="974">
        <v>2800.61</v>
      </c>
      <c r="I346" s="966">
        <v>13.69</v>
      </c>
      <c r="J346" s="973">
        <v>1.46388359512</v>
      </c>
      <c r="L346" s="990">
        <v>45436</v>
      </c>
      <c r="M346" s="969">
        <v>89196.894797000001</v>
      </c>
      <c r="N346" s="969">
        <v>101401.53153597542</v>
      </c>
      <c r="O346" s="974">
        <v>1048.8398034041888</v>
      </c>
      <c r="Q346" s="967">
        <v>44914</v>
      </c>
      <c r="R346" s="966">
        <v>47150</v>
      </c>
      <c r="S346" s="971">
        <v>0.48999999986337001</v>
      </c>
      <c r="T346" s="969">
        <v>0</v>
      </c>
      <c r="U346" s="966">
        <v>3444.99</v>
      </c>
      <c r="V346" s="966">
        <v>181.15</v>
      </c>
      <c r="W346" s="971">
        <f t="shared" si="5"/>
        <v>0</v>
      </c>
      <c r="Y346" s="967">
        <v>44992</v>
      </c>
      <c r="Z346" s="974">
        <f ca="1">H296*Valuation_Senario!$L$372</f>
        <v>2684.9414633699998</v>
      </c>
      <c r="AA346" s="973">
        <v>14.18</v>
      </c>
      <c r="AM346" s="967">
        <v>44914</v>
      </c>
      <c r="AN346" s="974">
        <v>5037.4159575599997</v>
      </c>
      <c r="AO346" s="38">
        <v>0.48999999986337001</v>
      </c>
      <c r="AS346" s="967">
        <v>45436</v>
      </c>
      <c r="AT346" s="974">
        <v>89196.894797000001</v>
      </c>
      <c r="AU346" s="974">
        <v>101401.53153597542</v>
      </c>
      <c r="AV346" s="974">
        <v>1048.8398034041888</v>
      </c>
    </row>
    <row r="347" spans="1:48">
      <c r="A347" s="966">
        <v>340</v>
      </c>
      <c r="B347" s="967">
        <v>45035</v>
      </c>
      <c r="C347" s="966">
        <v>40500</v>
      </c>
      <c r="D347" s="966">
        <v>0.60775000000000001</v>
      </c>
      <c r="E347" s="966">
        <v>0</v>
      </c>
      <c r="F347" s="966">
        <v>85805.119999999995</v>
      </c>
      <c r="G347" s="966">
        <v>59266.756997999997</v>
      </c>
      <c r="H347" s="974">
        <v>2800.61</v>
      </c>
      <c r="I347" s="966">
        <v>13.89</v>
      </c>
      <c r="J347" s="973">
        <v>1.46388359512</v>
      </c>
      <c r="L347" s="990">
        <v>45439</v>
      </c>
      <c r="M347" s="969">
        <v>90659.138974000001</v>
      </c>
      <c r="N347" s="969">
        <v>101401.53153597542</v>
      </c>
      <c r="O347" s="974">
        <v>1048.8420215414362</v>
      </c>
      <c r="Q347" s="967">
        <v>44911</v>
      </c>
      <c r="R347" s="966">
        <v>47850</v>
      </c>
      <c r="S347" s="971">
        <v>0.48999111934966999</v>
      </c>
      <c r="T347" s="969">
        <v>0.60775000000000001</v>
      </c>
      <c r="U347" s="966">
        <v>3444.99</v>
      </c>
      <c r="V347" s="966">
        <v>141.59</v>
      </c>
      <c r="W347" s="971">
        <f t="shared" si="5"/>
        <v>4.2923229041598983E-3</v>
      </c>
      <c r="Y347" s="967">
        <v>44991</v>
      </c>
      <c r="Z347" s="974">
        <f ca="1">H297*Valuation_Senario!$L$372</f>
        <v>2684.9414633699998</v>
      </c>
      <c r="AA347" s="973">
        <v>14.07</v>
      </c>
      <c r="AM347" s="967">
        <v>44911</v>
      </c>
      <c r="AN347" s="974">
        <v>5037.4159575599997</v>
      </c>
      <c r="AO347" s="38">
        <v>0.48999111934966999</v>
      </c>
      <c r="AS347" s="967">
        <v>45439</v>
      </c>
      <c r="AT347" s="974">
        <v>90659.138974000001</v>
      </c>
      <c r="AU347" s="974">
        <v>101401.53153597542</v>
      </c>
      <c r="AV347" s="974">
        <v>1048.8420215414362</v>
      </c>
    </row>
    <row r="348" spans="1:48">
      <c r="A348" s="966">
        <v>341</v>
      </c>
      <c r="B348" s="967">
        <v>45034</v>
      </c>
      <c r="C348" s="966">
        <v>39950</v>
      </c>
      <c r="D348" s="966">
        <v>3.8319999999999999E-4</v>
      </c>
      <c r="E348" s="966">
        <v>4.6500000000000003E-4</v>
      </c>
      <c r="F348" s="966">
        <v>84561.1</v>
      </c>
      <c r="G348" s="966">
        <v>58461.899804200002</v>
      </c>
      <c r="H348" s="974">
        <v>2800.61</v>
      </c>
      <c r="I348" s="966">
        <v>13.64</v>
      </c>
      <c r="J348" s="973">
        <v>1.46388359512</v>
      </c>
      <c r="L348" s="990">
        <v>45440</v>
      </c>
      <c r="M348" s="969">
        <v>88465.772708499993</v>
      </c>
      <c r="N348" s="969">
        <v>101401.53153597542</v>
      </c>
      <c r="O348" s="974">
        <v>1048.8442396786832</v>
      </c>
      <c r="Q348" s="967">
        <v>44910</v>
      </c>
      <c r="R348" s="966">
        <v>47000</v>
      </c>
      <c r="S348" s="971">
        <v>0.48999999439844</v>
      </c>
      <c r="T348" s="969">
        <v>-8.1799999999999996E-5</v>
      </c>
      <c r="U348" s="966">
        <v>3444.99</v>
      </c>
      <c r="V348" s="966">
        <v>119.27</v>
      </c>
      <c r="W348" s="971">
        <f t="shared" si="5"/>
        <v>-6.8583885302255381E-7</v>
      </c>
      <c r="Y348" s="967">
        <v>44988</v>
      </c>
      <c r="Z348" s="974">
        <f ca="1">H298*Valuation_Senario!$L$372</f>
        <v>2684.9414633699998</v>
      </c>
      <c r="AA348" s="973">
        <v>14.07</v>
      </c>
      <c r="AM348" s="967">
        <v>44910</v>
      </c>
      <c r="AN348" s="974">
        <v>5037.4159575599997</v>
      </c>
      <c r="AO348" s="38">
        <v>0.48999999439844</v>
      </c>
      <c r="AS348" s="967">
        <v>45440</v>
      </c>
      <c r="AT348" s="974">
        <v>88465.772708499993</v>
      </c>
      <c r="AU348" s="974">
        <v>101401.53153597542</v>
      </c>
      <c r="AV348" s="974">
        <v>1048.8442396786832</v>
      </c>
    </row>
    <row r="349" spans="1:48">
      <c r="A349" s="966">
        <v>342</v>
      </c>
      <c r="B349" s="967">
        <v>45033</v>
      </c>
      <c r="C349" s="966">
        <v>39850</v>
      </c>
      <c r="D349" s="966">
        <v>0</v>
      </c>
      <c r="E349" s="966">
        <v>0</v>
      </c>
      <c r="F349" s="966">
        <v>83756.149999999994</v>
      </c>
      <c r="G349" s="966">
        <v>58315.562132599996</v>
      </c>
      <c r="H349" s="974">
        <v>2800.61</v>
      </c>
      <c r="I349" s="966">
        <v>13.48</v>
      </c>
      <c r="J349" s="973">
        <v>1.46388359512</v>
      </c>
      <c r="L349" s="990">
        <v>45441</v>
      </c>
      <c r="M349" s="969">
        <v>87734.65062</v>
      </c>
      <c r="N349" s="969">
        <v>101401.53153597542</v>
      </c>
      <c r="O349" s="974">
        <v>1048.8362622963577</v>
      </c>
      <c r="Q349" s="967">
        <v>44909</v>
      </c>
      <c r="R349" s="966">
        <v>46450</v>
      </c>
      <c r="S349" s="971">
        <v>0.48999999986337001</v>
      </c>
      <c r="T349" s="969">
        <v>0</v>
      </c>
      <c r="U349" s="966">
        <v>3444.99</v>
      </c>
      <c r="V349" s="966">
        <v>104.09</v>
      </c>
      <c r="W349" s="971">
        <f t="shared" si="5"/>
        <v>0</v>
      </c>
      <c r="Y349" s="967">
        <v>44987</v>
      </c>
      <c r="Z349" s="974">
        <f ca="1">H299*Valuation_Senario!$L$372</f>
        <v>2684.9414633699998</v>
      </c>
      <c r="AA349" s="973">
        <v>14.39</v>
      </c>
      <c r="AM349" s="967">
        <v>44909</v>
      </c>
      <c r="AN349" s="974">
        <v>5037.4159575599997</v>
      </c>
      <c r="AO349" s="38">
        <v>0.48999999986337001</v>
      </c>
      <c r="AS349" s="967">
        <v>45441</v>
      </c>
      <c r="AT349" s="974">
        <v>87734.65062</v>
      </c>
      <c r="AU349" s="974">
        <v>101401.53153597542</v>
      </c>
      <c r="AV349" s="974">
        <v>1048.8362622963577</v>
      </c>
    </row>
    <row r="350" spans="1:48">
      <c r="A350" s="966">
        <v>343</v>
      </c>
      <c r="B350" s="967">
        <v>45030</v>
      </c>
      <c r="C350" s="966">
        <v>40000</v>
      </c>
      <c r="D350" s="966">
        <v>38.740391000000002</v>
      </c>
      <c r="E350" s="966">
        <v>39.327685000000002</v>
      </c>
      <c r="F350" s="966">
        <v>83682.97</v>
      </c>
      <c r="G350" s="966">
        <v>58535.068639999998</v>
      </c>
      <c r="H350" s="974">
        <v>2800.61</v>
      </c>
      <c r="I350" s="966">
        <v>13.47</v>
      </c>
      <c r="J350" s="973">
        <v>1.46388359512</v>
      </c>
      <c r="L350" s="990">
        <v>45442</v>
      </c>
      <c r="M350" s="969">
        <v>89928.016885499994</v>
      </c>
      <c r="N350" s="969">
        <v>101401.53153597542</v>
      </c>
      <c r="O350" s="974">
        <v>1048.8384804026609</v>
      </c>
      <c r="Q350" s="967">
        <v>44908</v>
      </c>
      <c r="R350" s="966">
        <v>46400</v>
      </c>
      <c r="S350" s="971">
        <v>0.48999999303220998</v>
      </c>
      <c r="T350" s="969">
        <v>-0.58729399999999998</v>
      </c>
      <c r="U350" s="966">
        <v>3444.99</v>
      </c>
      <c r="V350" s="966">
        <v>127.51</v>
      </c>
      <c r="W350" s="971">
        <f t="shared" si="5"/>
        <v>-4.605866206572033E-3</v>
      </c>
      <c r="Y350" s="967">
        <v>44986</v>
      </c>
      <c r="Z350" s="974">
        <f ca="1">H300*Valuation_Senario!$L$372</f>
        <v>2684.9414633699998</v>
      </c>
      <c r="AA350" s="973">
        <v>14.57</v>
      </c>
      <c r="AM350" s="967">
        <v>44908</v>
      </c>
      <c r="AN350" s="974">
        <v>5037.4159575599997</v>
      </c>
      <c r="AO350" s="38">
        <v>0.48999999303220998</v>
      </c>
      <c r="AS350" s="967">
        <v>45442</v>
      </c>
      <c r="AT350" s="974">
        <v>89928.016885499994</v>
      </c>
      <c r="AU350" s="974">
        <v>101401.53153597542</v>
      </c>
      <c r="AV350" s="974">
        <v>1048.8384804026609</v>
      </c>
    </row>
    <row r="351" spans="1:48">
      <c r="A351" s="966">
        <v>344</v>
      </c>
      <c r="B351" s="967">
        <v>45029</v>
      </c>
      <c r="C351" s="966">
        <v>41050</v>
      </c>
      <c r="D351" s="966">
        <v>2.7720000000000002E-2</v>
      </c>
      <c r="E351" s="966">
        <v>0</v>
      </c>
      <c r="F351" s="966">
        <v>82951.19</v>
      </c>
      <c r="G351" s="966">
        <v>60071.614191799999</v>
      </c>
      <c r="H351" s="974">
        <v>2800.61</v>
      </c>
      <c r="I351" s="966">
        <v>13.32</v>
      </c>
      <c r="J351" s="973">
        <v>1.46388359512</v>
      </c>
      <c r="L351" s="990">
        <v>45443</v>
      </c>
      <c r="M351" s="969">
        <v>88465.772708499993</v>
      </c>
      <c r="N351" s="969">
        <v>101401.53153597542</v>
      </c>
      <c r="O351" s="974">
        <v>1048.8406985089646</v>
      </c>
      <c r="Q351" s="967">
        <v>44907</v>
      </c>
      <c r="R351" s="966">
        <v>45900</v>
      </c>
      <c r="S351" s="971">
        <v>0.48999958999351001</v>
      </c>
      <c r="T351" s="969">
        <v>2.7720000000000002E-2</v>
      </c>
      <c r="U351" s="966">
        <v>3444.99</v>
      </c>
      <c r="V351" s="966">
        <v>161.34</v>
      </c>
      <c r="W351" s="971">
        <f t="shared" si="5"/>
        <v>1.7181108218668651E-4</v>
      </c>
      <c r="Y351" s="967">
        <v>44985</v>
      </c>
      <c r="Z351" s="974">
        <f ca="1">H301*Valuation_Senario!$L$372</f>
        <v>2684.9414633699998</v>
      </c>
      <c r="AA351" s="973">
        <v>14.28</v>
      </c>
      <c r="AM351" s="967">
        <v>44907</v>
      </c>
      <c r="AN351" s="974">
        <v>5037.4159575599997</v>
      </c>
      <c r="AO351" s="38">
        <v>0.48999958999351001</v>
      </c>
      <c r="AS351" s="967">
        <v>45443</v>
      </c>
      <c r="AT351" s="974">
        <v>88465.772708499993</v>
      </c>
      <c r="AU351" s="974">
        <v>101401.53153597542</v>
      </c>
      <c r="AV351" s="974">
        <v>1048.8406985089646</v>
      </c>
    </row>
    <row r="352" spans="1:48">
      <c r="A352" s="966">
        <v>345</v>
      </c>
      <c r="B352" s="967">
        <v>45028</v>
      </c>
      <c r="C352" s="966">
        <v>40750</v>
      </c>
      <c r="D352" s="966">
        <v>2.3E-2</v>
      </c>
      <c r="E352" s="966">
        <v>0</v>
      </c>
      <c r="F352" s="966">
        <v>83390.259999999995</v>
      </c>
      <c r="G352" s="966">
        <v>59632.601176999997</v>
      </c>
      <c r="H352" s="974">
        <v>2800.61</v>
      </c>
      <c r="I352" s="966">
        <v>13.41</v>
      </c>
      <c r="J352" s="973">
        <v>1.46388359512</v>
      </c>
      <c r="L352" s="990">
        <v>45446</v>
      </c>
      <c r="M352" s="969">
        <v>91828.934315599996</v>
      </c>
      <c r="N352" s="969">
        <v>101401.53153597542</v>
      </c>
      <c r="O352" s="974">
        <v>1048.8429166080996</v>
      </c>
      <c r="Q352" s="967">
        <v>44904</v>
      </c>
      <c r="R352" s="966">
        <v>46200</v>
      </c>
      <c r="S352" s="971">
        <v>0.48999965830515002</v>
      </c>
      <c r="T352" s="969">
        <v>2.3E-2</v>
      </c>
      <c r="U352" s="966">
        <v>3444.99</v>
      </c>
      <c r="V352" s="966">
        <v>77.010000000000005</v>
      </c>
      <c r="W352" s="971">
        <f t="shared" si="5"/>
        <v>2.9866251136216073E-4</v>
      </c>
      <c r="Y352" s="967">
        <v>44984</v>
      </c>
      <c r="Z352" s="974">
        <f ca="1">H302*Valuation_Senario!$L$372</f>
        <v>2684.9414633699998</v>
      </c>
      <c r="AA352" s="973">
        <v>14.46</v>
      </c>
      <c r="AM352" s="967">
        <v>44904</v>
      </c>
      <c r="AN352" s="974">
        <v>5037.4159575599997</v>
      </c>
      <c r="AO352" s="38">
        <v>0.48999965830515002</v>
      </c>
      <c r="AS352" s="967">
        <v>45446</v>
      </c>
      <c r="AT352" s="974">
        <v>91828.934315599996</v>
      </c>
      <c r="AU352" s="974">
        <v>101401.53153597542</v>
      </c>
      <c r="AV352" s="974">
        <v>1048.8429166080996</v>
      </c>
    </row>
    <row r="353" spans="1:48">
      <c r="A353" s="966">
        <v>346</v>
      </c>
      <c r="B353" s="967">
        <v>45027</v>
      </c>
      <c r="C353" s="966">
        <v>40700</v>
      </c>
      <c r="D353" s="966">
        <v>2.4550399999999999</v>
      </c>
      <c r="E353" s="966">
        <v>2.4550399999999999</v>
      </c>
      <c r="F353" s="966">
        <v>83097.55</v>
      </c>
      <c r="G353" s="966">
        <v>59559.432341200001</v>
      </c>
      <c r="H353" s="974">
        <v>2800.61</v>
      </c>
      <c r="I353" s="966">
        <v>13.35</v>
      </c>
      <c r="J353" s="973">
        <v>1.46388359512</v>
      </c>
      <c r="L353" s="990">
        <v>45447</v>
      </c>
      <c r="M353" s="969">
        <v>92998.729657200005</v>
      </c>
      <c r="N353" s="969">
        <v>101401.53153597542</v>
      </c>
      <c r="O353" s="974">
        <v>1048.8451347144032</v>
      </c>
      <c r="Q353" s="967">
        <v>44903</v>
      </c>
      <c r="R353" s="966">
        <v>46000</v>
      </c>
      <c r="S353" s="971">
        <v>0.48999999986337001</v>
      </c>
      <c r="T353" s="969">
        <v>0</v>
      </c>
      <c r="U353" s="966">
        <v>3444.99</v>
      </c>
      <c r="V353" s="966">
        <v>123.77</v>
      </c>
      <c r="W353" s="971">
        <f t="shared" si="5"/>
        <v>0</v>
      </c>
      <c r="Y353" s="967">
        <v>44981</v>
      </c>
      <c r="Z353" s="974">
        <f ca="1">H303*Valuation_Senario!$L$372</f>
        <v>2684.9414633699998</v>
      </c>
      <c r="AA353" s="973">
        <v>15.03</v>
      </c>
      <c r="AM353" s="967">
        <v>44903</v>
      </c>
      <c r="AN353" s="974">
        <v>5037.4159575599997</v>
      </c>
      <c r="AO353" s="38">
        <v>0.48999999986337001</v>
      </c>
      <c r="AS353" s="967">
        <v>45447</v>
      </c>
      <c r="AT353" s="974">
        <v>92998.729657200005</v>
      </c>
      <c r="AU353" s="974">
        <v>101401.53153597542</v>
      </c>
      <c r="AV353" s="974">
        <v>1048.8451347144032</v>
      </c>
    </row>
    <row r="354" spans="1:48">
      <c r="A354" s="966">
        <v>347</v>
      </c>
      <c r="B354" s="967">
        <v>45026</v>
      </c>
      <c r="C354" s="966">
        <v>41000</v>
      </c>
      <c r="D354" s="966">
        <v>0</v>
      </c>
      <c r="E354" s="966">
        <v>2.6610000000000002E-2</v>
      </c>
      <c r="F354" s="966">
        <v>81414.460000000006</v>
      </c>
      <c r="G354" s="966">
        <v>59998.445355999997</v>
      </c>
      <c r="H354" s="974">
        <v>2800.61</v>
      </c>
      <c r="I354" s="966">
        <v>13.02</v>
      </c>
      <c r="J354" s="973">
        <v>1.46388359512</v>
      </c>
      <c r="L354" s="990">
        <v>45448</v>
      </c>
      <c r="M354" s="969">
        <v>93583.627328000002</v>
      </c>
      <c r="N354" s="969">
        <v>101401.53153597542</v>
      </c>
      <c r="O354" s="974">
        <v>1048.8371570226404</v>
      </c>
      <c r="Q354" s="967">
        <v>44902</v>
      </c>
      <c r="R354" s="966">
        <v>44850</v>
      </c>
      <c r="S354" s="971">
        <v>0.48999999986337001</v>
      </c>
      <c r="T354" s="969">
        <v>-2.6610000000000002E-2</v>
      </c>
      <c r="U354" s="966">
        <v>3444.99</v>
      </c>
      <c r="V354" s="966">
        <v>129.88</v>
      </c>
      <c r="W354" s="971">
        <f t="shared" si="5"/>
        <v>-2.0488142901139517E-4</v>
      </c>
      <c r="Y354" s="967">
        <v>44980</v>
      </c>
      <c r="Z354" s="974">
        <f ca="1">H304*Valuation_Senario!$L$372</f>
        <v>2684.9414633699998</v>
      </c>
      <c r="AA354" s="973">
        <v>15.35</v>
      </c>
      <c r="AM354" s="967">
        <v>44902</v>
      </c>
      <c r="AN354" s="974">
        <v>5037.4159575599997</v>
      </c>
      <c r="AO354" s="38">
        <v>0.48999999986337001</v>
      </c>
      <c r="AS354" s="967">
        <v>45448</v>
      </c>
      <c r="AT354" s="974">
        <v>93583.627328000002</v>
      </c>
      <c r="AU354" s="974">
        <v>101401.53153597542</v>
      </c>
      <c r="AV354" s="974">
        <v>1048.8371570226404</v>
      </c>
    </row>
    <row r="355" spans="1:48">
      <c r="A355" s="966">
        <v>348</v>
      </c>
      <c r="B355" s="967">
        <v>45023</v>
      </c>
      <c r="C355" s="966">
        <v>39000</v>
      </c>
      <c r="D355" s="966">
        <v>23.800840000000001</v>
      </c>
      <c r="E355" s="966">
        <v>23.823840000000001</v>
      </c>
      <c r="F355" s="966">
        <v>80682.69</v>
      </c>
      <c r="G355" s="966">
        <v>57071.691923999999</v>
      </c>
      <c r="H355" s="974">
        <v>2800.61</v>
      </c>
      <c r="I355" s="966">
        <v>12.87</v>
      </c>
      <c r="J355" s="973">
        <v>1.46388359512</v>
      </c>
      <c r="L355" s="990">
        <v>45449</v>
      </c>
      <c r="M355" s="969">
        <v>93291.178492599996</v>
      </c>
      <c r="N355" s="969">
        <v>101401.53153597542</v>
      </c>
      <c r="O355" s="974">
        <v>1048.8393750980003</v>
      </c>
      <c r="Q355" s="967">
        <v>44901</v>
      </c>
      <c r="R355" s="966">
        <v>44350</v>
      </c>
      <c r="S355" s="971">
        <v>0.48999999986337001</v>
      </c>
      <c r="T355" s="969">
        <v>-2.3E-2</v>
      </c>
      <c r="U355" s="966">
        <v>3444.99</v>
      </c>
      <c r="V355" s="966">
        <v>211.77</v>
      </c>
      <c r="W355" s="971">
        <f t="shared" si="5"/>
        <v>-1.0860839590121357E-4</v>
      </c>
      <c r="Y355" s="967">
        <v>44979</v>
      </c>
      <c r="Z355" s="974">
        <f ca="1">H305*Valuation_Senario!$L$372</f>
        <v>2684.9561479399999</v>
      </c>
      <c r="AA355" s="973">
        <v>15.35</v>
      </c>
      <c r="AM355" s="967">
        <v>44901</v>
      </c>
      <c r="AN355" s="974">
        <v>5037.4159575599997</v>
      </c>
      <c r="AO355" s="38">
        <v>0.48999999986337001</v>
      </c>
      <c r="AS355" s="967">
        <v>45449</v>
      </c>
      <c r="AT355" s="974">
        <v>93291.178492599996</v>
      </c>
      <c r="AU355" s="974">
        <v>101401.53153597542</v>
      </c>
      <c r="AV355" s="974">
        <v>1048.8393750980003</v>
      </c>
    </row>
    <row r="356" spans="1:48">
      <c r="A356" s="966">
        <v>349</v>
      </c>
      <c r="B356" s="967">
        <v>45022</v>
      </c>
      <c r="C356" s="966">
        <v>39100</v>
      </c>
      <c r="D356" s="966">
        <v>25.114538899999999</v>
      </c>
      <c r="E356" s="966">
        <v>25.1</v>
      </c>
      <c r="F356" s="966">
        <v>85439.23</v>
      </c>
      <c r="G356" s="966">
        <v>57218.029595599997</v>
      </c>
      <c r="H356" s="974">
        <v>2800.61</v>
      </c>
      <c r="I356" s="966">
        <v>13.82</v>
      </c>
      <c r="J356" s="973">
        <v>1.46388359512</v>
      </c>
      <c r="L356" s="990">
        <v>45450</v>
      </c>
      <c r="M356" s="969">
        <v>90659.138974000001</v>
      </c>
      <c r="N356" s="969">
        <v>101401.53153597542</v>
      </c>
      <c r="O356" s="974">
        <v>1048.84159317336</v>
      </c>
      <c r="Q356" s="967">
        <v>44900</v>
      </c>
      <c r="R356" s="966">
        <v>47600</v>
      </c>
      <c r="S356" s="971">
        <v>0.48999978878039002</v>
      </c>
      <c r="T356" s="969">
        <v>1.45389E-2</v>
      </c>
      <c r="U356" s="966">
        <v>3444.99</v>
      </c>
      <c r="V356" s="966">
        <v>224.65</v>
      </c>
      <c r="W356" s="971">
        <f t="shared" si="5"/>
        <v>6.4718005786779434E-5</v>
      </c>
      <c r="Y356" s="967">
        <v>44978</v>
      </c>
      <c r="Z356" s="974">
        <f ca="1">H306*Valuation_Senario!$L$372</f>
        <v>2684.9561479399999</v>
      </c>
      <c r="AA356" s="973">
        <v>15.89</v>
      </c>
      <c r="AM356" s="967">
        <v>44900</v>
      </c>
      <c r="AN356" s="974">
        <v>5037.4159575599997</v>
      </c>
      <c r="AO356" s="38">
        <v>0.48999978878039002</v>
      </c>
      <c r="AS356" s="967">
        <v>45450</v>
      </c>
      <c r="AT356" s="974">
        <v>90659.138974000001</v>
      </c>
      <c r="AU356" s="974">
        <v>101401.53153597542</v>
      </c>
      <c r="AV356" s="974">
        <v>1048.84159317336</v>
      </c>
    </row>
    <row r="357" spans="1:48">
      <c r="A357" s="966">
        <v>350</v>
      </c>
      <c r="B357" s="967">
        <v>45021</v>
      </c>
      <c r="C357" s="966">
        <v>39750</v>
      </c>
      <c r="D357" s="966">
        <v>28.26</v>
      </c>
      <c r="E357" s="966">
        <v>28.26</v>
      </c>
      <c r="F357" s="966">
        <v>84561.1</v>
      </c>
      <c r="G357" s="966">
        <v>58169.224460999998</v>
      </c>
      <c r="H357" s="974">
        <v>2800.61</v>
      </c>
      <c r="I357" s="966">
        <v>13.64</v>
      </c>
      <c r="J357" s="973">
        <v>1.46388359512</v>
      </c>
      <c r="L357" s="990">
        <v>45453</v>
      </c>
      <c r="M357" s="969">
        <v>90512.914556300006</v>
      </c>
      <c r="N357" s="969">
        <v>101401.53153597542</v>
      </c>
      <c r="O357" s="974">
        <v>1048.8438112487195</v>
      </c>
      <c r="Q357" s="967">
        <v>44897</v>
      </c>
      <c r="R357" s="966">
        <v>47000</v>
      </c>
      <c r="S357" s="971">
        <v>0.48999999986337001</v>
      </c>
      <c r="T357" s="969">
        <v>0</v>
      </c>
      <c r="U357" s="966">
        <v>3444.99</v>
      </c>
      <c r="V357" s="966">
        <v>319.87</v>
      </c>
      <c r="W357" s="971">
        <f t="shared" si="5"/>
        <v>0</v>
      </c>
      <c r="Y357" s="967">
        <v>44977</v>
      </c>
      <c r="Z357" s="974">
        <f ca="1">H307*Valuation_Senario!$L$372</f>
        <v>2684.9561479399999</v>
      </c>
      <c r="AA357" s="973">
        <v>15.82</v>
      </c>
      <c r="AM357" s="967">
        <v>44897</v>
      </c>
      <c r="AN357" s="974">
        <v>5037.4159575599997</v>
      </c>
      <c r="AO357" s="38">
        <v>0.48999999986337001</v>
      </c>
      <c r="AS357" s="967">
        <v>45453</v>
      </c>
      <c r="AT357" s="974">
        <v>90512.914556300006</v>
      </c>
      <c r="AU357" s="974">
        <v>101401.53153597542</v>
      </c>
      <c r="AV357" s="974">
        <v>1048.8438112487195</v>
      </c>
    </row>
    <row r="358" spans="1:48">
      <c r="A358" s="966">
        <v>351</v>
      </c>
      <c r="B358" s="967">
        <v>45020</v>
      </c>
      <c r="C358" s="966">
        <v>39800</v>
      </c>
      <c r="D358" s="966">
        <v>0.40949999999999998</v>
      </c>
      <c r="E358" s="966">
        <v>0</v>
      </c>
      <c r="F358" s="966">
        <v>80243.62</v>
      </c>
      <c r="G358" s="966">
        <v>58242.393296800001</v>
      </c>
      <c r="H358" s="974">
        <v>2800.61</v>
      </c>
      <c r="I358" s="966">
        <v>12.79</v>
      </c>
      <c r="J358" s="973">
        <v>1.46388359512</v>
      </c>
      <c r="L358" s="990">
        <v>45454</v>
      </c>
      <c r="M358" s="969">
        <v>90805.363391699997</v>
      </c>
      <c r="N358" s="969">
        <v>101401.53153597542</v>
      </c>
      <c r="O358" s="974">
        <v>1048.8460293169112</v>
      </c>
      <c r="Q358" s="967">
        <v>44896</v>
      </c>
      <c r="R358" s="966">
        <v>44050</v>
      </c>
      <c r="S358" s="971">
        <v>0.48999378350377998</v>
      </c>
      <c r="T358" s="969">
        <v>0.40949999999999998</v>
      </c>
      <c r="U358" s="966">
        <v>3444.99</v>
      </c>
      <c r="V358" s="966">
        <v>265.54000000000002</v>
      </c>
      <c r="W358" s="971">
        <f t="shared" si="5"/>
        <v>1.5421405437975443E-3</v>
      </c>
      <c r="Y358" s="967">
        <v>44974</v>
      </c>
      <c r="Z358" s="974">
        <f ca="1">H308*Valuation_Senario!$L$372</f>
        <v>2684.9561479399999</v>
      </c>
      <c r="AA358" s="973">
        <v>15.44</v>
      </c>
      <c r="AM358" s="967">
        <v>44896</v>
      </c>
      <c r="AN358" s="974">
        <v>5037.4159575599997</v>
      </c>
      <c r="AO358" s="38">
        <v>0.48999378350377998</v>
      </c>
      <c r="AS358" s="967">
        <v>45454</v>
      </c>
      <c r="AT358" s="974">
        <v>90805.363391699997</v>
      </c>
      <c r="AU358" s="974">
        <v>101401.53153597542</v>
      </c>
      <c r="AV358" s="974">
        <v>1048.8460293169112</v>
      </c>
    </row>
    <row r="359" spans="1:48">
      <c r="A359" s="966">
        <v>352</v>
      </c>
      <c r="B359" s="967">
        <v>45019</v>
      </c>
      <c r="C359" s="966">
        <v>39000</v>
      </c>
      <c r="D359" s="966">
        <v>0</v>
      </c>
      <c r="E359" s="966">
        <v>1.32E-2</v>
      </c>
      <c r="F359" s="966">
        <v>80316.800000000003</v>
      </c>
      <c r="G359" s="966">
        <v>57071.691923999999</v>
      </c>
      <c r="H359" s="974">
        <v>2800.61</v>
      </c>
      <c r="I359" s="966">
        <v>12.8</v>
      </c>
      <c r="J359" s="973">
        <v>1.46388359512</v>
      </c>
      <c r="L359" s="990">
        <v>45455</v>
      </c>
      <c r="M359" s="969">
        <v>92121.383151000002</v>
      </c>
      <c r="N359" s="969">
        <v>101401.53153597542</v>
      </c>
      <c r="O359" s="974">
        <v>1048.8380513157119</v>
      </c>
      <c r="Q359" s="967">
        <v>44895</v>
      </c>
      <c r="R359" s="966">
        <v>44100</v>
      </c>
      <c r="S359" s="971">
        <v>0.48999999986337001</v>
      </c>
      <c r="T359" s="969">
        <v>-1.32E-2</v>
      </c>
      <c r="U359" s="966">
        <v>3444.99</v>
      </c>
      <c r="V359" s="966">
        <v>166.88</v>
      </c>
      <c r="W359" s="971">
        <f t="shared" si="5"/>
        <v>-7.9098753595397897E-5</v>
      </c>
      <c r="Y359" s="967">
        <v>44973</v>
      </c>
      <c r="Z359" s="974">
        <f ca="1">H309*Valuation_Senario!$L$372</f>
        <v>2684.9561479399999</v>
      </c>
      <c r="AA359" s="973">
        <v>15.46</v>
      </c>
      <c r="AM359" s="967">
        <v>44895</v>
      </c>
      <c r="AN359" s="974">
        <v>5037.4159575599997</v>
      </c>
      <c r="AO359" s="38">
        <v>0.48999999986337001</v>
      </c>
      <c r="AS359" s="967">
        <v>45455</v>
      </c>
      <c r="AT359" s="974">
        <v>92121.383151000002</v>
      </c>
      <c r="AU359" s="974">
        <v>101401.53153597542</v>
      </c>
      <c r="AV359" s="974">
        <v>1048.8380513157119</v>
      </c>
    </row>
    <row r="360" spans="1:48">
      <c r="A360" s="966">
        <v>353</v>
      </c>
      <c r="B360" s="967">
        <v>45016</v>
      </c>
      <c r="C360" s="966">
        <v>38550</v>
      </c>
      <c r="D360" s="966">
        <v>8.59</v>
      </c>
      <c r="E360" s="966">
        <v>8.59</v>
      </c>
      <c r="F360" s="966">
        <v>78414.179999999993</v>
      </c>
      <c r="G360" s="966">
        <v>56413.172401800002</v>
      </c>
      <c r="H360" s="974">
        <v>2800.61</v>
      </c>
      <c r="I360" s="966">
        <v>12.42</v>
      </c>
      <c r="J360" s="973">
        <v>1.46388359512</v>
      </c>
      <c r="L360" s="990">
        <v>45456</v>
      </c>
      <c r="M360" s="969">
        <v>91097.812227100003</v>
      </c>
      <c r="N360" s="969">
        <v>101401.53153597542</v>
      </c>
      <c r="O360" s="974">
        <v>1048.8402693601281</v>
      </c>
      <c r="Q360" s="967">
        <v>44894</v>
      </c>
      <c r="R360" s="966">
        <v>42800</v>
      </c>
      <c r="S360" s="971">
        <v>0.48999999986337001</v>
      </c>
      <c r="T360" s="969">
        <v>0</v>
      </c>
      <c r="U360" s="966">
        <v>3444.99</v>
      </c>
      <c r="V360" s="966">
        <v>230.25</v>
      </c>
      <c r="W360" s="971">
        <f t="shared" si="5"/>
        <v>0</v>
      </c>
      <c r="Y360" s="967">
        <v>44972</v>
      </c>
      <c r="Z360" s="974">
        <f ca="1">H310*Valuation_Senario!$L$372</f>
        <v>2684.9561479399999</v>
      </c>
      <c r="AA360" s="973">
        <v>15.26</v>
      </c>
      <c r="AM360" s="967">
        <v>44894</v>
      </c>
      <c r="AN360" s="974">
        <v>5037.4159575599997</v>
      </c>
      <c r="AO360" s="38">
        <v>0.48999999986337001</v>
      </c>
      <c r="AS360" s="967">
        <v>45456</v>
      </c>
      <c r="AT360" s="974">
        <v>91097.812227100003</v>
      </c>
      <c r="AU360" s="974">
        <v>101401.53153597542</v>
      </c>
      <c r="AV360" s="974">
        <v>1048.8402693601281</v>
      </c>
    </row>
    <row r="361" spans="1:48">
      <c r="A361" s="966">
        <v>354</v>
      </c>
      <c r="B361" s="967">
        <v>45015</v>
      </c>
      <c r="C361" s="966">
        <v>38600</v>
      </c>
      <c r="D361" s="966">
        <v>0.1149</v>
      </c>
      <c r="E361" s="966">
        <v>0.34853000000000001</v>
      </c>
      <c r="F361" s="966">
        <v>74535.77</v>
      </c>
      <c r="G361" s="966">
        <v>56486.341237599998</v>
      </c>
      <c r="H361" s="974">
        <v>2800.61</v>
      </c>
      <c r="I361" s="966">
        <v>11.65</v>
      </c>
      <c r="J361" s="973">
        <v>1.46388359512</v>
      </c>
      <c r="L361" s="990">
        <v>45457</v>
      </c>
      <c r="M361" s="969">
        <v>92706.280821799999</v>
      </c>
      <c r="N361" s="969">
        <v>101401.53153597542</v>
      </c>
      <c r="O361" s="974">
        <v>1048.8424874045438</v>
      </c>
      <c r="Q361" s="967">
        <v>44893</v>
      </c>
      <c r="R361" s="966">
        <v>40150</v>
      </c>
      <c r="S361" s="971">
        <v>0.48999795051405998</v>
      </c>
      <c r="T361" s="969">
        <v>-0.23363</v>
      </c>
      <c r="U361" s="966">
        <v>3444.99</v>
      </c>
      <c r="V361" s="966">
        <v>171.86</v>
      </c>
      <c r="W361" s="971">
        <f t="shared" si="5"/>
        <v>-1.3594204585127428E-3</v>
      </c>
      <c r="Y361" s="967">
        <v>44971</v>
      </c>
      <c r="Z361" s="974">
        <f ca="1">H311*Valuation_Senario!$L$372</f>
        <v>2684.9561479399999</v>
      </c>
      <c r="AA361" s="973">
        <v>15.18</v>
      </c>
      <c r="AM361" s="967">
        <v>44893</v>
      </c>
      <c r="AN361" s="974">
        <v>5037.4159575599997</v>
      </c>
      <c r="AO361" s="38">
        <v>0.48999795051405998</v>
      </c>
      <c r="AS361" s="967">
        <v>45457</v>
      </c>
      <c r="AT361" s="974">
        <v>92706.280821799999</v>
      </c>
      <c r="AU361" s="974">
        <v>101401.53153597542</v>
      </c>
      <c r="AV361" s="974">
        <v>1048.8424874045438</v>
      </c>
    </row>
    <row r="362" spans="1:48">
      <c r="A362" s="966">
        <v>355</v>
      </c>
      <c r="B362" s="967">
        <v>45014</v>
      </c>
      <c r="C362" s="966">
        <v>38700</v>
      </c>
      <c r="D362" s="966">
        <v>24.18</v>
      </c>
      <c r="E362" s="966">
        <v>24.18</v>
      </c>
      <c r="F362" s="966">
        <v>71096.42</v>
      </c>
      <c r="G362" s="966">
        <v>56632.678909200004</v>
      </c>
      <c r="H362" s="974">
        <v>2800.61</v>
      </c>
      <c r="I362" s="966">
        <v>10.97</v>
      </c>
      <c r="J362" s="973">
        <v>1.46388359512</v>
      </c>
      <c r="L362" s="990">
        <v>45460</v>
      </c>
      <c r="M362" s="969">
        <v>93583.627328000002</v>
      </c>
      <c r="N362" s="969">
        <v>101401.53153597542</v>
      </c>
      <c r="O362" s="974">
        <v>1048.84470544896</v>
      </c>
      <c r="Q362" s="967">
        <v>44890</v>
      </c>
      <c r="R362" s="966">
        <v>37800</v>
      </c>
      <c r="S362" s="971">
        <v>0.48999999986337001</v>
      </c>
      <c r="T362" s="969">
        <v>0</v>
      </c>
      <c r="U362" s="966">
        <v>3444.99</v>
      </c>
      <c r="V362" s="966">
        <v>121.77</v>
      </c>
      <c r="W362" s="971">
        <f t="shared" si="5"/>
        <v>0</v>
      </c>
      <c r="Y362" s="967">
        <v>44970</v>
      </c>
      <c r="Z362" s="974">
        <f ca="1">H312*Valuation_Senario!$L$372</f>
        <v>2684.9561479399999</v>
      </c>
      <c r="AA362" s="973">
        <v>15.18</v>
      </c>
      <c r="AM362" s="967">
        <v>44890</v>
      </c>
      <c r="AN362" s="974">
        <v>5037.4159575599997</v>
      </c>
      <c r="AO362" s="38">
        <v>0.48999999986337001</v>
      </c>
      <c r="AS362" s="967">
        <v>45460</v>
      </c>
      <c r="AT362" s="974">
        <v>93583.627328000002</v>
      </c>
      <c r="AU362" s="974">
        <v>101401.53153597542</v>
      </c>
      <c r="AV362" s="974">
        <v>1048.84470544896</v>
      </c>
    </row>
    <row r="363" spans="1:48">
      <c r="A363" s="966">
        <v>356</v>
      </c>
      <c r="B363" s="967">
        <v>45013</v>
      </c>
      <c r="C363" s="966">
        <v>39100</v>
      </c>
      <c r="D363" s="966">
        <v>260.75259999999997</v>
      </c>
      <c r="E363" s="966">
        <v>260.75259999999997</v>
      </c>
      <c r="F363" s="966">
        <v>70950.070000000007</v>
      </c>
      <c r="G363" s="966">
        <v>57218.029595599997</v>
      </c>
      <c r="H363" s="974">
        <v>2800.61</v>
      </c>
      <c r="I363" s="966">
        <v>10.94</v>
      </c>
      <c r="J363" s="973">
        <v>1.46388359512</v>
      </c>
      <c r="L363" s="990">
        <v>45461</v>
      </c>
      <c r="M363" s="969">
        <v>92121.383151000002</v>
      </c>
      <c r="N363" s="969">
        <v>101401.53153597542</v>
      </c>
      <c r="O363" s="974">
        <v>1048.8469234933759</v>
      </c>
      <c r="Q363" s="967">
        <v>44889</v>
      </c>
      <c r="R363" s="966">
        <v>37700</v>
      </c>
      <c r="S363" s="971">
        <v>0.48999999986337001</v>
      </c>
      <c r="T363" s="969">
        <v>0</v>
      </c>
      <c r="U363" s="966">
        <v>3444.99</v>
      </c>
      <c r="V363" s="966">
        <v>558.24</v>
      </c>
      <c r="W363" s="971">
        <f t="shared" si="5"/>
        <v>0</v>
      </c>
      <c r="Y363" s="967">
        <v>44967</v>
      </c>
      <c r="Z363" s="974">
        <f ca="1">H313*Valuation_Senario!$L$372</f>
        <v>2684.9561479399999</v>
      </c>
      <c r="AA363" s="973">
        <v>15.03</v>
      </c>
      <c r="AM363" s="967">
        <v>44889</v>
      </c>
      <c r="AN363" s="974">
        <v>5037.4159575599997</v>
      </c>
      <c r="AO363" s="38">
        <v>0.48999999986337001</v>
      </c>
      <c r="AS363" s="967">
        <v>45461</v>
      </c>
      <c r="AT363" s="974">
        <v>92121.383151000002</v>
      </c>
      <c r="AU363" s="974">
        <v>101401.53153597542</v>
      </c>
      <c r="AV363" s="974">
        <v>1048.8469234933759</v>
      </c>
    </row>
    <row r="364" spans="1:48">
      <c r="A364" s="966">
        <v>357</v>
      </c>
      <c r="B364" s="967">
        <v>45012</v>
      </c>
      <c r="C364" s="966">
        <v>38100</v>
      </c>
      <c r="D364" s="966">
        <v>0</v>
      </c>
      <c r="E364" s="966">
        <v>0.12135</v>
      </c>
      <c r="F364" s="966">
        <v>75048.009999999995</v>
      </c>
      <c r="G364" s="966">
        <v>55754.652879599998</v>
      </c>
      <c r="H364" s="974">
        <v>2800.61</v>
      </c>
      <c r="I364" s="966">
        <v>11.76</v>
      </c>
      <c r="J364" s="973">
        <v>1.46388359512</v>
      </c>
      <c r="L364" s="990">
        <v>45462</v>
      </c>
      <c r="M364" s="969">
        <v>90659.138974000001</v>
      </c>
      <c r="N364" s="969">
        <v>101401.53153597542</v>
      </c>
      <c r="O364" s="974">
        <v>1048.8389451755718</v>
      </c>
      <c r="Q364" s="967">
        <v>44888</v>
      </c>
      <c r="R364" s="966">
        <v>40500</v>
      </c>
      <c r="S364" s="971">
        <v>0.48999999986337001</v>
      </c>
      <c r="T364" s="969">
        <v>-0.12135</v>
      </c>
      <c r="U364" s="966">
        <v>3444.99</v>
      </c>
      <c r="V364" s="966">
        <v>61.13</v>
      </c>
      <c r="W364" s="971">
        <f t="shared" si="5"/>
        <v>-1.9851136921315228E-3</v>
      </c>
      <c r="Y364" s="967">
        <v>44966</v>
      </c>
      <c r="Z364" s="974">
        <f ca="1">H314*Valuation_Senario!$L$372</f>
        <v>2684.9561479399999</v>
      </c>
      <c r="AA364" s="973">
        <v>15.71</v>
      </c>
      <c r="AM364" s="967">
        <v>44888</v>
      </c>
      <c r="AN364" s="974">
        <v>5037.4159575599997</v>
      </c>
      <c r="AO364" s="38">
        <v>0.48999999986337001</v>
      </c>
      <c r="AS364" s="967">
        <v>45462</v>
      </c>
      <c r="AT364" s="974">
        <v>90659.138974000001</v>
      </c>
      <c r="AU364" s="974">
        <v>101401.53153597542</v>
      </c>
      <c r="AV364" s="974">
        <v>1048.8389451755718</v>
      </c>
    </row>
    <row r="365" spans="1:48">
      <c r="A365" s="966">
        <v>358</v>
      </c>
      <c r="B365" s="967">
        <v>45009</v>
      </c>
      <c r="C365" s="966">
        <v>37950</v>
      </c>
      <c r="D365" s="966">
        <v>0</v>
      </c>
      <c r="E365" s="966">
        <v>0</v>
      </c>
      <c r="F365" s="966">
        <v>74608.95</v>
      </c>
      <c r="G365" s="966">
        <v>55535.146372199997</v>
      </c>
      <c r="H365" s="974">
        <v>2800.61</v>
      </c>
      <c r="I365" s="966">
        <v>11.67</v>
      </c>
      <c r="J365" s="973">
        <v>1.46388359512</v>
      </c>
      <c r="L365" s="990">
        <v>45463</v>
      </c>
      <c r="M365" s="969">
        <v>90951.587809400007</v>
      </c>
      <c r="N365" s="969">
        <v>101401.53153597542</v>
      </c>
      <c r="O365" s="974">
        <v>1048.841163189044</v>
      </c>
      <c r="Q365" s="967">
        <v>44887</v>
      </c>
      <c r="R365" s="966">
        <v>40200</v>
      </c>
      <c r="S365" s="971">
        <v>0.48999999986337001</v>
      </c>
      <c r="T365" s="969">
        <v>0</v>
      </c>
      <c r="U365" s="966">
        <v>3444.99</v>
      </c>
      <c r="V365" s="966">
        <v>150.66</v>
      </c>
      <c r="W365" s="971">
        <f t="shared" si="5"/>
        <v>0</v>
      </c>
      <c r="Y365" s="967">
        <v>44965</v>
      </c>
      <c r="Z365" s="974">
        <f ca="1">H315*Valuation_Senario!$L$372</f>
        <v>2684.9561479399999</v>
      </c>
      <c r="AA365" s="973">
        <v>15.89</v>
      </c>
      <c r="AM365" s="967">
        <v>44887</v>
      </c>
      <c r="AN365" s="974">
        <v>5037.4159575599997</v>
      </c>
      <c r="AO365" s="38">
        <v>0.48999999986337001</v>
      </c>
      <c r="AS365" s="967">
        <v>45463</v>
      </c>
      <c r="AT365" s="974">
        <v>90951.587809400007</v>
      </c>
      <c r="AU365" s="974">
        <v>101401.53153597542</v>
      </c>
      <c r="AV365" s="974">
        <v>1048.841163189044</v>
      </c>
    </row>
    <row r="366" spans="1:48">
      <c r="A366" s="966">
        <v>359</v>
      </c>
      <c r="B366" s="967">
        <v>45008</v>
      </c>
      <c r="C366" s="966">
        <v>37800</v>
      </c>
      <c r="D366" s="966">
        <v>4.51</v>
      </c>
      <c r="E366" s="966">
        <v>4.51</v>
      </c>
      <c r="F366" s="966">
        <v>75267.55</v>
      </c>
      <c r="G366" s="966">
        <v>55315.639864800003</v>
      </c>
      <c r="H366" s="974">
        <v>2800.61</v>
      </c>
      <c r="I366" s="966">
        <v>11.8</v>
      </c>
      <c r="J366" s="973">
        <v>1.46388359512</v>
      </c>
      <c r="L366" s="990">
        <v>45464</v>
      </c>
      <c r="M366" s="969">
        <v>92560.056404100003</v>
      </c>
      <c r="N366" s="969">
        <v>101401.53153597542</v>
      </c>
      <c r="O366" s="974">
        <v>1048.8433812025164</v>
      </c>
      <c r="Q366" s="967">
        <v>44886</v>
      </c>
      <c r="R366" s="966">
        <v>40650</v>
      </c>
      <c r="S366" s="971">
        <v>0.48999999986337001</v>
      </c>
      <c r="T366" s="969">
        <v>0</v>
      </c>
      <c r="U366" s="966">
        <v>3444.99</v>
      </c>
      <c r="V366" s="966">
        <v>77.099999999999994</v>
      </c>
      <c r="W366" s="971">
        <f t="shared" si="5"/>
        <v>0</v>
      </c>
      <c r="Y366" s="967">
        <v>44964</v>
      </c>
      <c r="Z366" s="974">
        <f ca="1">H316*Valuation_Senario!$L$372</f>
        <v>2684.9561479399999</v>
      </c>
      <c r="AA366" s="973">
        <v>16.32</v>
      </c>
      <c r="AM366" s="967">
        <v>44886</v>
      </c>
      <c r="AN366" s="974">
        <v>5037.4159575599997</v>
      </c>
      <c r="AO366" s="38">
        <v>0.48999999986337001</v>
      </c>
      <c r="AS366" s="967">
        <v>45464</v>
      </c>
      <c r="AT366" s="974">
        <v>92560.056404100003</v>
      </c>
      <c r="AU366" s="974">
        <v>101401.53153597542</v>
      </c>
      <c r="AV366" s="974">
        <v>1048.8433812025164</v>
      </c>
    </row>
    <row r="367" spans="1:48">
      <c r="A367" s="966">
        <v>360</v>
      </c>
      <c r="B367" s="967">
        <v>45007</v>
      </c>
      <c r="C367" s="966">
        <v>37950</v>
      </c>
      <c r="D367" s="966">
        <v>3.5760000000000001</v>
      </c>
      <c r="E367" s="966">
        <v>3.5760000000000001</v>
      </c>
      <c r="F367" s="966">
        <v>77462.87</v>
      </c>
      <c r="G367" s="966">
        <v>55535.146372199997</v>
      </c>
      <c r="H367" s="974">
        <v>2800.61</v>
      </c>
      <c r="I367" s="966">
        <v>12.16</v>
      </c>
      <c r="J367" s="973">
        <v>1.46388359512</v>
      </c>
      <c r="L367" s="990">
        <v>45467</v>
      </c>
      <c r="M367" s="969">
        <v>92852.505239499995</v>
      </c>
      <c r="N367" s="969">
        <v>101401.53153597542</v>
      </c>
      <c r="O367" s="974">
        <v>1048.8455992159886</v>
      </c>
      <c r="Q367" s="967">
        <v>44883</v>
      </c>
      <c r="R367" s="966">
        <v>42150</v>
      </c>
      <c r="S367" s="971">
        <v>0.48999999986337001</v>
      </c>
      <c r="T367" s="969">
        <v>0</v>
      </c>
      <c r="U367" s="966">
        <v>3467.46</v>
      </c>
      <c r="V367" s="966">
        <v>183.33</v>
      </c>
      <c r="W367" s="971">
        <f t="shared" si="5"/>
        <v>0</v>
      </c>
      <c r="Y367" s="967">
        <v>44963</v>
      </c>
      <c r="Z367" s="974">
        <f ca="1">H317*Valuation_Senario!$L$372</f>
        <v>2684.9561479399999</v>
      </c>
      <c r="AA367" s="973">
        <v>16.84</v>
      </c>
      <c r="AM367" s="967">
        <v>44883</v>
      </c>
      <c r="AN367" s="974">
        <v>5070.27258024</v>
      </c>
      <c r="AO367" s="38">
        <v>0.48999999986337001</v>
      </c>
      <c r="AS367" s="967">
        <v>45467</v>
      </c>
      <c r="AT367" s="974">
        <v>92852.505239499995</v>
      </c>
      <c r="AU367" s="974">
        <v>101401.53153597542</v>
      </c>
      <c r="AV367" s="974">
        <v>1048.8455992159886</v>
      </c>
    </row>
    <row r="368" spans="1:48">
      <c r="A368" s="966">
        <v>361</v>
      </c>
      <c r="B368" s="967">
        <v>45006</v>
      </c>
      <c r="C368" s="966">
        <v>38500</v>
      </c>
      <c r="D368" s="966">
        <v>14.919</v>
      </c>
      <c r="E368" s="966">
        <v>14.856375</v>
      </c>
      <c r="F368" s="966">
        <v>76950.63</v>
      </c>
      <c r="G368" s="966">
        <v>56340.003565999999</v>
      </c>
      <c r="H368" s="974">
        <v>2800.61</v>
      </c>
      <c r="I368" s="966">
        <v>12.05</v>
      </c>
      <c r="J368" s="973">
        <v>1.46388359512</v>
      </c>
      <c r="L368" s="990">
        <v>45468</v>
      </c>
      <c r="M368" s="969">
        <v>92852.505239499995</v>
      </c>
      <c r="N368" s="969">
        <v>101401.53153597542</v>
      </c>
      <c r="O368" s="974">
        <v>1048.8331846618021</v>
      </c>
      <c r="Q368" s="967">
        <v>44882</v>
      </c>
      <c r="R368" s="966">
        <v>41800</v>
      </c>
      <c r="S368" s="971">
        <v>0.48999897518871</v>
      </c>
      <c r="T368" s="969">
        <v>6.2625E-2</v>
      </c>
      <c r="U368" s="966">
        <v>3467.46</v>
      </c>
      <c r="V368" s="966">
        <v>134.91999999999999</v>
      </c>
      <c r="W368" s="971">
        <f t="shared" si="5"/>
        <v>4.641639490068189E-4</v>
      </c>
      <c r="Y368" s="967">
        <v>44960</v>
      </c>
      <c r="Z368" s="974">
        <f ca="1">H318*Valuation_Senario!$L$372</f>
        <v>2684.9561479399999</v>
      </c>
      <c r="AA368" s="973">
        <v>17.07</v>
      </c>
      <c r="AM368" s="967">
        <v>44882</v>
      </c>
      <c r="AN368" s="974">
        <v>5070.27258024</v>
      </c>
      <c r="AO368" s="38">
        <v>0.48999897518871</v>
      </c>
      <c r="AS368" s="967">
        <v>45468</v>
      </c>
      <c r="AT368" s="974">
        <v>92852.505239499995</v>
      </c>
      <c r="AU368" s="974">
        <v>101401.53153597542</v>
      </c>
      <c r="AV368" s="974">
        <v>1048.8331846618021</v>
      </c>
    </row>
    <row r="369" spans="1:48">
      <c r="A369" s="966">
        <v>362</v>
      </c>
      <c r="B369" s="967">
        <v>45005</v>
      </c>
      <c r="C369" s="966">
        <v>38100</v>
      </c>
      <c r="D369" s="966">
        <v>32.477305000000001</v>
      </c>
      <c r="E369" s="966">
        <v>32.477305000000001</v>
      </c>
      <c r="F369" s="966">
        <v>74974.84</v>
      </c>
      <c r="G369" s="966">
        <v>55754.652879599998</v>
      </c>
      <c r="H369" s="974">
        <v>2800.61</v>
      </c>
      <c r="I369" s="966">
        <v>11.67</v>
      </c>
      <c r="J369" s="973">
        <v>1.46388359512</v>
      </c>
      <c r="L369" s="990">
        <v>45469</v>
      </c>
      <c r="M369" s="969">
        <v>90659.138974000001</v>
      </c>
      <c r="N369" s="969">
        <v>101401.53153597542</v>
      </c>
      <c r="O369" s="974">
        <v>1048.8398386093877</v>
      </c>
      <c r="Q369" s="967">
        <v>44881</v>
      </c>
      <c r="R369" s="966">
        <v>40450</v>
      </c>
      <c r="S369" s="971">
        <v>0.48999999986337001</v>
      </c>
      <c r="T369" s="969">
        <v>0</v>
      </c>
      <c r="U369" s="966">
        <v>3467.46</v>
      </c>
      <c r="V369" s="966">
        <v>345.67</v>
      </c>
      <c r="W369" s="971">
        <f t="shared" si="5"/>
        <v>0</v>
      </c>
      <c r="Y369" s="967">
        <v>44959</v>
      </c>
      <c r="Z369" s="974">
        <f ca="1">H319*Valuation_Senario!$L$372</f>
        <v>2684.9561479399999</v>
      </c>
      <c r="AA369" s="973">
        <v>17.82</v>
      </c>
      <c r="AM369" s="967">
        <v>44881</v>
      </c>
      <c r="AN369" s="974">
        <v>5070.27258024</v>
      </c>
      <c r="AO369" s="38">
        <v>0.48999999986337001</v>
      </c>
      <c r="AS369" s="967">
        <v>45469</v>
      </c>
      <c r="AT369" s="974">
        <v>90659.138974000001</v>
      </c>
      <c r="AU369" s="974">
        <v>101401.53153597542</v>
      </c>
      <c r="AV369" s="974">
        <v>1048.8398386093877</v>
      </c>
    </row>
    <row r="370" spans="1:48">
      <c r="A370" s="966">
        <v>363</v>
      </c>
      <c r="B370" s="967">
        <v>45002</v>
      </c>
      <c r="C370" s="966">
        <v>39400</v>
      </c>
      <c r="D370" s="966">
        <v>58.478594999999999</v>
      </c>
      <c r="E370" s="966">
        <v>58.409835000000001</v>
      </c>
      <c r="F370" s="966">
        <v>71169.600000000006</v>
      </c>
      <c r="G370" s="966">
        <v>57657.0426104</v>
      </c>
      <c r="H370" s="974">
        <v>2800.61</v>
      </c>
      <c r="I370" s="966">
        <v>10.92</v>
      </c>
      <c r="J370" s="973">
        <v>1.46388359512</v>
      </c>
      <c r="L370" s="990">
        <v>45470</v>
      </c>
      <c r="M370" s="969">
        <v>90659.138974000001</v>
      </c>
      <c r="N370" s="969">
        <v>101401.53153597542</v>
      </c>
      <c r="O370" s="974">
        <v>1048.8420565847484</v>
      </c>
      <c r="Q370" s="967">
        <v>44880</v>
      </c>
      <c r="R370" s="966">
        <v>37850</v>
      </c>
      <c r="S370" s="971">
        <v>0.48999877025378002</v>
      </c>
      <c r="T370" s="969">
        <v>6.8760000000000002E-2</v>
      </c>
      <c r="U370" s="966">
        <v>3467.46</v>
      </c>
      <c r="V370" s="966">
        <v>171.93</v>
      </c>
      <c r="W370" s="971">
        <f t="shared" si="5"/>
        <v>3.9993020415285288E-4</v>
      </c>
      <c r="Y370" s="967">
        <v>44958</v>
      </c>
      <c r="Z370" s="974">
        <f ca="1">H320*Valuation_Senario!$L$372</f>
        <v>2684.9561479399999</v>
      </c>
      <c r="AA370" s="973">
        <v>16.82</v>
      </c>
      <c r="AM370" s="967">
        <v>44880</v>
      </c>
      <c r="AN370" s="974">
        <v>5070.27258024</v>
      </c>
      <c r="AO370" s="38">
        <v>0.48999877025378002</v>
      </c>
      <c r="AS370" s="967">
        <v>45470</v>
      </c>
      <c r="AT370" s="974">
        <v>90659.138974000001</v>
      </c>
      <c r="AU370" s="974">
        <v>101401.53153597542</v>
      </c>
      <c r="AV370" s="974">
        <v>1048.8420565847484</v>
      </c>
    </row>
    <row r="371" spans="1:48">
      <c r="A371" s="966">
        <v>364</v>
      </c>
      <c r="B371" s="967">
        <v>45001</v>
      </c>
      <c r="C371" s="966">
        <v>39400</v>
      </c>
      <c r="D371" s="966">
        <v>2.1896</v>
      </c>
      <c r="E371" s="966">
        <v>2.2523749999999998</v>
      </c>
      <c r="F371" s="966">
        <v>75267.55</v>
      </c>
      <c r="G371" s="966">
        <v>57657.0426104</v>
      </c>
      <c r="H371" s="974">
        <v>2800.61</v>
      </c>
      <c r="I371" s="966">
        <v>11.72</v>
      </c>
      <c r="J371" s="973">
        <v>1.46388359512</v>
      </c>
      <c r="L371" s="990">
        <v>45471</v>
      </c>
      <c r="M371" s="969">
        <v>91536.485480200005</v>
      </c>
      <c r="N371" s="969">
        <v>101401.53153597542</v>
      </c>
      <c r="O371" s="974">
        <v>1048.8442745672771</v>
      </c>
      <c r="Q371" s="967">
        <v>44879</v>
      </c>
      <c r="R371" s="966">
        <v>40650</v>
      </c>
      <c r="S371" s="971">
        <v>0.48999999986337001</v>
      </c>
      <c r="T371" s="969">
        <v>-6.2774999999999997E-2</v>
      </c>
      <c r="U371" s="966">
        <v>3467.46</v>
      </c>
      <c r="V371" s="966">
        <v>147.31</v>
      </c>
      <c r="W371" s="971">
        <f t="shared" si="5"/>
        <v>-4.2614214920915075E-4</v>
      </c>
      <c r="Y371" s="967">
        <v>44957</v>
      </c>
      <c r="Z371" s="974">
        <f ca="1">H321*Valuation_Senario!$L$372</f>
        <v>2684.97083251</v>
      </c>
      <c r="AA371" s="973">
        <v>16.600000000000001</v>
      </c>
      <c r="AM371" s="967">
        <v>44879</v>
      </c>
      <c r="AN371" s="974">
        <v>5070.27258024</v>
      </c>
      <c r="AO371" s="38">
        <v>0.48999999986337001</v>
      </c>
      <c r="AS371" s="967">
        <v>45471</v>
      </c>
      <c r="AT371" s="974">
        <v>91536.485480200005</v>
      </c>
      <c r="AU371" s="974">
        <v>101401.53153597542</v>
      </c>
      <c r="AV371" s="974">
        <v>1048.8442745672771</v>
      </c>
    </row>
    <row r="372" spans="1:48">
      <c r="A372" s="966">
        <v>365</v>
      </c>
      <c r="B372" s="967">
        <v>45000</v>
      </c>
      <c r="C372" s="966">
        <v>40000</v>
      </c>
      <c r="D372" s="966">
        <v>3.6602399999999999</v>
      </c>
      <c r="E372" s="966">
        <v>3.6602399999999999</v>
      </c>
      <c r="F372" s="966">
        <v>78706.89</v>
      </c>
      <c r="G372" s="966">
        <v>58535.068639999998</v>
      </c>
      <c r="H372" s="974">
        <v>2800.61</v>
      </c>
      <c r="I372" s="966">
        <v>12.4</v>
      </c>
      <c r="J372" s="973">
        <v>1.46388359512</v>
      </c>
      <c r="L372" s="990">
        <v>45474</v>
      </c>
      <c r="M372" s="969">
        <v>92706.280821799999</v>
      </c>
      <c r="N372" s="969">
        <v>101401.53153597542</v>
      </c>
      <c r="O372" s="974">
        <v>1048.8464925498056</v>
      </c>
      <c r="Q372" s="967">
        <v>44876</v>
      </c>
      <c r="R372" s="966">
        <v>43000</v>
      </c>
      <c r="S372" s="971">
        <v>0.48999999986337001</v>
      </c>
      <c r="T372" s="969">
        <v>0</v>
      </c>
      <c r="U372" s="966">
        <v>3467.46</v>
      </c>
      <c r="V372" s="966">
        <v>158.82</v>
      </c>
      <c r="W372" s="971">
        <f t="shared" si="5"/>
        <v>0</v>
      </c>
      <c r="Y372" s="967">
        <v>44956</v>
      </c>
      <c r="Z372" s="974">
        <f ca="1">H322*Valuation_Senario!$L$372</f>
        <v>2684.97083251</v>
      </c>
      <c r="AA372" s="973">
        <v>13.41</v>
      </c>
      <c r="AM372" s="967">
        <v>44876</v>
      </c>
      <c r="AN372" s="974">
        <v>5070.27258024</v>
      </c>
      <c r="AO372" s="38">
        <v>0.48999999986337001</v>
      </c>
      <c r="AS372" s="967">
        <v>45474</v>
      </c>
      <c r="AT372" s="974">
        <v>92706.280821799999</v>
      </c>
      <c r="AU372" s="974">
        <v>101401.53153597542</v>
      </c>
      <c r="AV372" s="974">
        <v>1048.8464925498056</v>
      </c>
    </row>
    <row r="373" spans="1:48">
      <c r="A373" s="966">
        <v>366</v>
      </c>
      <c r="B373" s="967">
        <v>44999</v>
      </c>
      <c r="C373" s="966">
        <v>38600</v>
      </c>
      <c r="D373" s="966">
        <v>0.15732499999999999</v>
      </c>
      <c r="E373" s="966">
        <v>7.8159999999999993E-2</v>
      </c>
      <c r="F373" s="966">
        <v>77755.59</v>
      </c>
      <c r="G373" s="966">
        <v>56486.341237599998</v>
      </c>
      <c r="H373" s="974">
        <v>2800.61</v>
      </c>
      <c r="I373" s="966">
        <v>12.21</v>
      </c>
      <c r="J373" s="973">
        <v>1.46388359512</v>
      </c>
      <c r="L373" s="990">
        <v>45475</v>
      </c>
      <c r="M373" s="969">
        <v>91244.036644799999</v>
      </c>
      <c r="N373" s="969">
        <v>101401.53153597542</v>
      </c>
      <c r="O373" s="974">
        <v>1048.8340777480696</v>
      </c>
      <c r="Q373" s="967">
        <v>44875</v>
      </c>
      <c r="R373" s="966">
        <v>42350</v>
      </c>
      <c r="S373" s="971">
        <v>0.48999760895583999</v>
      </c>
      <c r="T373" s="969">
        <v>7.9164999999999999E-2</v>
      </c>
      <c r="U373" s="966">
        <v>3467.46</v>
      </c>
      <c r="V373" s="966">
        <v>157.80000000000001</v>
      </c>
      <c r="W373" s="971">
        <f t="shared" si="5"/>
        <v>5.0167934093789607E-4</v>
      </c>
      <c r="Y373" s="967">
        <v>44953</v>
      </c>
      <c r="Z373" s="974">
        <f ca="1">H323*Valuation_Senario!$L$372</f>
        <v>2684.97083251</v>
      </c>
      <c r="AA373" s="973">
        <v>13.32</v>
      </c>
      <c r="AM373" s="967">
        <v>44875</v>
      </c>
      <c r="AN373" s="974">
        <v>5070.27258024</v>
      </c>
      <c r="AO373" s="38">
        <v>0.48999760895583999</v>
      </c>
      <c r="AS373" s="967">
        <v>45475</v>
      </c>
      <c r="AT373" s="974">
        <v>91244.036644799999</v>
      </c>
      <c r="AU373" s="974">
        <v>101401.53153597542</v>
      </c>
      <c r="AV373" s="974">
        <v>1048.8340777480696</v>
      </c>
    </row>
    <row r="374" spans="1:48">
      <c r="A374" s="966">
        <v>367</v>
      </c>
      <c r="B374" s="967">
        <v>44998</v>
      </c>
      <c r="C374" s="966">
        <v>39400</v>
      </c>
      <c r="D374" s="966">
        <v>0</v>
      </c>
      <c r="E374" s="966">
        <v>0</v>
      </c>
      <c r="F374" s="966">
        <v>82365.77</v>
      </c>
      <c r="G374" s="966">
        <v>57657.0426104</v>
      </c>
      <c r="H374" s="974">
        <v>2800.61</v>
      </c>
      <c r="I374" s="966">
        <v>13.12</v>
      </c>
      <c r="J374" s="973">
        <v>1.46388359512</v>
      </c>
      <c r="L374" s="990">
        <v>45476</v>
      </c>
      <c r="M374" s="969">
        <v>96194.0325304</v>
      </c>
      <c r="N374" s="969">
        <v>101401.53153597542</v>
      </c>
      <c r="O374" s="974">
        <v>1048.8381560188477</v>
      </c>
      <c r="Q374" s="967">
        <v>44874</v>
      </c>
      <c r="R374" s="966">
        <v>45500</v>
      </c>
      <c r="S374" s="971">
        <v>0.48999999986337001</v>
      </c>
      <c r="T374" s="969">
        <v>0</v>
      </c>
      <c r="U374" s="966">
        <v>3467.46</v>
      </c>
      <c r="V374" s="966">
        <v>101.5</v>
      </c>
      <c r="W374" s="971">
        <f t="shared" si="5"/>
        <v>0</v>
      </c>
      <c r="Y374" s="967">
        <v>44945</v>
      </c>
      <c r="Z374" s="974">
        <f ca="1">H324*Valuation_Senario!$L$372</f>
        <v>2684.9855170799997</v>
      </c>
      <c r="AA374" s="973">
        <v>13.24</v>
      </c>
      <c r="AM374" s="967">
        <v>44874</v>
      </c>
      <c r="AN374" s="974">
        <v>5070.27258024</v>
      </c>
      <c r="AO374" s="38">
        <v>0.48999999986337001</v>
      </c>
      <c r="AS374" s="967">
        <v>45476</v>
      </c>
      <c r="AT374" s="974">
        <v>96194.0325304</v>
      </c>
      <c r="AU374" s="974">
        <v>101401.53153597542</v>
      </c>
      <c r="AV374" s="974">
        <v>1048.8381560188477</v>
      </c>
    </row>
    <row r="375" spans="1:48">
      <c r="A375" s="966">
        <v>368</v>
      </c>
      <c r="B375" s="967">
        <v>44995</v>
      </c>
      <c r="C375" s="966">
        <v>39750</v>
      </c>
      <c r="D375" s="966">
        <v>1.68544</v>
      </c>
      <c r="E375" s="966">
        <v>1.68544</v>
      </c>
      <c r="F375" s="966">
        <v>81048.58</v>
      </c>
      <c r="G375" s="966">
        <v>58169.224460999998</v>
      </c>
      <c r="H375" s="974">
        <v>2800.61</v>
      </c>
      <c r="I375" s="966">
        <v>12.86</v>
      </c>
      <c r="J375" s="973">
        <v>1.46388359512</v>
      </c>
      <c r="L375" s="990">
        <v>45477</v>
      </c>
      <c r="M375" s="969">
        <v>96486.415607999996</v>
      </c>
      <c r="N375" s="969">
        <v>101401.53153597542</v>
      </c>
      <c r="O375" s="974">
        <v>1048.8397300672709</v>
      </c>
      <c r="Q375" s="967">
        <v>44873</v>
      </c>
      <c r="R375" s="966">
        <v>44600</v>
      </c>
      <c r="S375" s="971">
        <v>0.48999999986337001</v>
      </c>
      <c r="T375" s="969">
        <v>0</v>
      </c>
      <c r="U375" s="966">
        <v>3467.46</v>
      </c>
      <c r="V375" s="966">
        <v>181.25</v>
      </c>
      <c r="W375" s="971">
        <f t="shared" si="5"/>
        <v>0</v>
      </c>
      <c r="Y375" s="967">
        <v>44944</v>
      </c>
      <c r="Z375" s="974">
        <f ca="1">H325*Valuation_Senario!$L$372</f>
        <v>2684.9855170799997</v>
      </c>
      <c r="AA375" s="973">
        <v>13.05</v>
      </c>
      <c r="AM375" s="967">
        <v>44873</v>
      </c>
      <c r="AN375" s="974">
        <v>5070.27258024</v>
      </c>
      <c r="AO375" s="38">
        <v>0.48999999986337001</v>
      </c>
      <c r="AS375" s="967">
        <v>45477</v>
      </c>
      <c r="AT375" s="974">
        <v>96486.415607999996</v>
      </c>
      <c r="AU375" s="974">
        <v>101401.53153597542</v>
      </c>
      <c r="AV375" s="974">
        <v>1048.8397300672709</v>
      </c>
    </row>
    <row r="376" spans="1:48">
      <c r="A376" s="966">
        <v>369</v>
      </c>
      <c r="B376" s="967">
        <v>44994</v>
      </c>
      <c r="C376" s="966">
        <v>40000</v>
      </c>
      <c r="D376" s="966">
        <v>51.229199999999999</v>
      </c>
      <c r="E376" s="966">
        <v>51.372549999999997</v>
      </c>
      <c r="F376" s="966">
        <v>78487.360000000001</v>
      </c>
      <c r="G376" s="966">
        <v>58535.068639999998</v>
      </c>
      <c r="H376" s="974">
        <v>2800.61</v>
      </c>
      <c r="I376" s="966">
        <v>12.36</v>
      </c>
      <c r="J376" s="973">
        <v>1.46388359512</v>
      </c>
      <c r="L376" s="990">
        <v>45478</v>
      </c>
      <c r="M376" s="969">
        <v>95755.457913999999</v>
      </c>
      <c r="N376" s="969">
        <v>101401.53153597542</v>
      </c>
      <c r="O376" s="974">
        <v>1048.8413041228619</v>
      </c>
      <c r="Q376" s="967">
        <v>44872</v>
      </c>
      <c r="R376" s="966">
        <v>42850</v>
      </c>
      <c r="S376" s="971">
        <v>0.48999986324007999</v>
      </c>
      <c r="T376" s="969">
        <v>-0.14335000000000001</v>
      </c>
      <c r="U376" s="966">
        <v>3467.46</v>
      </c>
      <c r="V376" s="966">
        <v>288.83</v>
      </c>
      <c r="W376" s="971">
        <f t="shared" si="5"/>
        <v>-4.9631270989855634E-4</v>
      </c>
      <c r="Y376" s="967">
        <v>44943</v>
      </c>
      <c r="Z376" s="974">
        <f ca="1">H326*Valuation_Senario!$L$372</f>
        <v>2684.9855170799997</v>
      </c>
      <c r="AA376" s="973">
        <v>12.5</v>
      </c>
      <c r="AM376" s="967">
        <v>44872</v>
      </c>
      <c r="AN376" s="974">
        <v>5070.27258024</v>
      </c>
      <c r="AO376" s="38">
        <v>0.48999986324007999</v>
      </c>
      <c r="AS376" s="967">
        <v>45478</v>
      </c>
      <c r="AT376" s="974">
        <v>95755.457913999999</v>
      </c>
      <c r="AU376" s="974">
        <v>101401.53153597542</v>
      </c>
      <c r="AV376" s="974">
        <v>1048.8413041228619</v>
      </c>
    </row>
    <row r="377" spans="1:48">
      <c r="A377" s="966">
        <v>370</v>
      </c>
      <c r="B377" s="967">
        <v>44993</v>
      </c>
      <c r="C377" s="966">
        <v>39400</v>
      </c>
      <c r="D377" s="966">
        <v>31.628245</v>
      </c>
      <c r="E377" s="966">
        <v>30.681999999999999</v>
      </c>
      <c r="F377" s="966">
        <v>83170.73</v>
      </c>
      <c r="G377" s="966">
        <v>57657.0426104</v>
      </c>
      <c r="H377" s="974">
        <v>2800.61</v>
      </c>
      <c r="I377" s="966">
        <v>13.28</v>
      </c>
      <c r="J377" s="973">
        <v>1.46388359512</v>
      </c>
      <c r="L377" s="990">
        <v>45481</v>
      </c>
      <c r="M377" s="969">
        <v>95170.691758800007</v>
      </c>
      <c r="N377" s="969">
        <v>101401.53153597542</v>
      </c>
      <c r="O377" s="974">
        <v>1048.8428781784526</v>
      </c>
      <c r="Q377" s="967">
        <v>44869</v>
      </c>
      <c r="R377" s="966">
        <v>46050</v>
      </c>
      <c r="S377" s="971">
        <v>0.48998640584624997</v>
      </c>
      <c r="T377" s="969">
        <v>0.946245</v>
      </c>
      <c r="U377" s="966">
        <v>3467.46</v>
      </c>
      <c r="V377" s="966">
        <v>300.31</v>
      </c>
      <c r="W377" s="971">
        <f t="shared" si="5"/>
        <v>3.1508940761213414E-3</v>
      </c>
      <c r="Y377" s="967">
        <v>44942</v>
      </c>
      <c r="Z377" s="974">
        <f ca="1">H327*Valuation_Senario!$L$372</f>
        <v>2684.9855170799997</v>
      </c>
      <c r="AA377" s="973">
        <v>12.16</v>
      </c>
      <c r="AM377" s="967">
        <v>44869</v>
      </c>
      <c r="AN377" s="974">
        <v>5070.27258024</v>
      </c>
      <c r="AO377" s="38">
        <v>0.48998640584624997</v>
      </c>
      <c r="AS377" s="967">
        <v>45481</v>
      </c>
      <c r="AT377" s="974">
        <v>95170.691758800007</v>
      </c>
      <c r="AU377" s="974">
        <v>101401.53153597542</v>
      </c>
      <c r="AV377" s="974">
        <v>1048.8428781784526</v>
      </c>
    </row>
    <row r="378" spans="1:48">
      <c r="A378" s="966">
        <v>371</v>
      </c>
      <c r="B378" s="967">
        <v>44992</v>
      </c>
      <c r="C378" s="966">
        <v>39700</v>
      </c>
      <c r="D378" s="966">
        <v>0.75949999999999995</v>
      </c>
      <c r="E378" s="966">
        <v>0</v>
      </c>
      <c r="F378" s="966">
        <v>88219.98</v>
      </c>
      <c r="G378" s="966">
        <v>58096.055625200002</v>
      </c>
      <c r="H378" s="974">
        <v>2800.61</v>
      </c>
      <c r="I378" s="966">
        <v>14.28</v>
      </c>
      <c r="J378" s="973">
        <v>1.46388359512</v>
      </c>
      <c r="L378" s="990">
        <v>45482</v>
      </c>
      <c r="M378" s="969">
        <v>95901.649452800004</v>
      </c>
      <c r="N378" s="969">
        <v>101401.53153597542</v>
      </c>
      <c r="O378" s="974">
        <v>1048.8444522340435</v>
      </c>
      <c r="Q378" s="967">
        <v>44868</v>
      </c>
      <c r="R378" s="966">
        <v>49500</v>
      </c>
      <c r="S378" s="971">
        <v>0.48998941155858</v>
      </c>
      <c r="T378" s="969">
        <v>0.75949999999999995</v>
      </c>
      <c r="U378" s="966">
        <v>3467.46</v>
      </c>
      <c r="V378" s="966">
        <v>130.38</v>
      </c>
      <c r="W378" s="971">
        <f t="shared" si="5"/>
        <v>5.8252799509127167E-3</v>
      </c>
      <c r="Y378" s="967">
        <v>44939</v>
      </c>
      <c r="Z378" s="974">
        <f ca="1">H328*Valuation_Senario!$L$372</f>
        <v>2685.0002016499998</v>
      </c>
      <c r="AA378" s="973">
        <v>12.21</v>
      </c>
      <c r="AM378" s="967">
        <v>44868</v>
      </c>
      <c r="AN378" s="974">
        <v>5070.27258024</v>
      </c>
      <c r="AO378" s="38">
        <v>0.48998941155858</v>
      </c>
      <c r="AS378" s="967">
        <v>45482</v>
      </c>
      <c r="AT378" s="974">
        <v>95901.649452800004</v>
      </c>
      <c r="AU378" s="974">
        <v>101401.53153597542</v>
      </c>
      <c r="AV378" s="974">
        <v>1048.8444522340435</v>
      </c>
    </row>
    <row r="379" spans="1:48">
      <c r="A379" s="966">
        <v>372</v>
      </c>
      <c r="B379" s="967">
        <v>44991</v>
      </c>
      <c r="C379" s="966">
        <v>39400</v>
      </c>
      <c r="D379" s="966">
        <v>28.552720000000001</v>
      </c>
      <c r="E379" s="966">
        <v>28.562180000000001</v>
      </c>
      <c r="F379" s="966">
        <v>86024.65</v>
      </c>
      <c r="G379" s="966">
        <v>57657.0426104</v>
      </c>
      <c r="H379" s="974">
        <v>2800.61</v>
      </c>
      <c r="I379" s="966">
        <v>13.84</v>
      </c>
      <c r="J379" s="973">
        <v>1.46388359512</v>
      </c>
      <c r="L379" s="990">
        <v>45483</v>
      </c>
      <c r="M379" s="969">
        <v>97948.330996000004</v>
      </c>
      <c r="N379" s="969">
        <v>101401.53153597542</v>
      </c>
      <c r="O379" s="974">
        <v>1048.8345413987627</v>
      </c>
      <c r="Q379" s="967">
        <v>44867</v>
      </c>
      <c r="R379" s="966">
        <v>48000</v>
      </c>
      <c r="S379" s="971">
        <v>0.48999999986337001</v>
      </c>
      <c r="T379" s="969">
        <v>-9.4599999999999997E-3</v>
      </c>
      <c r="U379" s="966">
        <v>3467.46</v>
      </c>
      <c r="V379" s="966">
        <v>243.23</v>
      </c>
      <c r="W379" s="971">
        <f t="shared" si="5"/>
        <v>-3.8893228631336596E-5</v>
      </c>
      <c r="Y379" s="967">
        <v>44938</v>
      </c>
      <c r="Z379" s="974">
        <f ca="1">H329*Valuation_Senario!$L$372</f>
        <v>2685.0002016499998</v>
      </c>
      <c r="AA379" s="973">
        <v>12.22</v>
      </c>
      <c r="AM379" s="967">
        <v>44867</v>
      </c>
      <c r="AN379" s="974">
        <v>5070.27258024</v>
      </c>
      <c r="AO379" s="38">
        <v>0.48999999986337001</v>
      </c>
      <c r="AS379" s="967">
        <v>45483</v>
      </c>
      <c r="AT379" s="974">
        <v>97948.330996000004</v>
      </c>
      <c r="AU379" s="974">
        <v>101401.53153597542</v>
      </c>
      <c r="AV379" s="974">
        <v>1048.8345413987627</v>
      </c>
    </row>
    <row r="380" spans="1:48">
      <c r="A380" s="966">
        <v>373</v>
      </c>
      <c r="B380" s="967">
        <v>44988</v>
      </c>
      <c r="C380" s="966">
        <v>39400</v>
      </c>
      <c r="D380" s="966">
        <v>5.1999999999999998E-3</v>
      </c>
      <c r="E380" s="966">
        <v>0.99699000000000004</v>
      </c>
      <c r="F380" s="966">
        <v>89098.11</v>
      </c>
      <c r="G380" s="966">
        <v>57657.0426104</v>
      </c>
      <c r="H380" s="974">
        <v>2800.61</v>
      </c>
      <c r="I380" s="966">
        <v>14.45</v>
      </c>
      <c r="J380" s="973">
        <v>1.46388359512</v>
      </c>
      <c r="L380" s="990">
        <v>45484</v>
      </c>
      <c r="M380" s="969">
        <v>97655.947918399994</v>
      </c>
      <c r="N380" s="969">
        <v>101401.53153597542</v>
      </c>
      <c r="O380" s="974">
        <v>1048.8361154323932</v>
      </c>
      <c r="Q380" s="967">
        <v>44866</v>
      </c>
      <c r="R380" s="966">
        <v>50100</v>
      </c>
      <c r="S380" s="971">
        <v>0.48999993155172999</v>
      </c>
      <c r="T380" s="969">
        <v>-0.99178999999999995</v>
      </c>
      <c r="U380" s="966">
        <v>3467.46</v>
      </c>
      <c r="V380" s="966">
        <v>104.43</v>
      </c>
      <c r="W380" s="971">
        <f t="shared" si="5"/>
        <v>-9.4971751412429375E-3</v>
      </c>
      <c r="Y380" s="967">
        <v>44937</v>
      </c>
      <c r="Z380" s="974">
        <f ca="1">H330*Valuation_Senario!$L$372</f>
        <v>2685.0002016499998</v>
      </c>
      <c r="AA380" s="973">
        <v>12.35</v>
      </c>
      <c r="AM380" s="967">
        <v>44866</v>
      </c>
      <c r="AN380" s="974">
        <v>5070.27258024</v>
      </c>
      <c r="AO380" s="38">
        <v>0.48999993155172999</v>
      </c>
      <c r="AS380" s="967">
        <v>45484</v>
      </c>
      <c r="AT380" s="974">
        <v>97655.947918399994</v>
      </c>
      <c r="AU380" s="974">
        <v>101401.53153597542</v>
      </c>
      <c r="AV380" s="974">
        <v>1048.8361154323932</v>
      </c>
    </row>
    <row r="381" spans="1:48">
      <c r="A381" s="966">
        <v>374</v>
      </c>
      <c r="B381" s="967">
        <v>44987</v>
      </c>
      <c r="C381" s="966">
        <v>40300</v>
      </c>
      <c r="D381" s="966">
        <v>88.364639999999994</v>
      </c>
      <c r="E381" s="966">
        <v>89.073440000000005</v>
      </c>
      <c r="F381" s="966">
        <v>91293.440000000002</v>
      </c>
      <c r="G381" s="966">
        <v>58974.0816548</v>
      </c>
      <c r="H381" s="974">
        <v>2800.61</v>
      </c>
      <c r="I381" s="966">
        <v>14.88</v>
      </c>
      <c r="J381" s="973">
        <v>1.46388359512</v>
      </c>
      <c r="L381" s="990">
        <v>45485</v>
      </c>
      <c r="M381" s="969">
        <v>95316.883297599998</v>
      </c>
      <c r="N381" s="969">
        <v>101401.53153597542</v>
      </c>
      <c r="O381" s="974">
        <v>1048.8376894660234</v>
      </c>
      <c r="Q381" s="967">
        <v>44865</v>
      </c>
      <c r="R381" s="966">
        <v>51600</v>
      </c>
      <c r="S381" s="971">
        <v>0.48999897518871</v>
      </c>
      <c r="T381" s="969">
        <v>-0.70879999999999999</v>
      </c>
      <c r="U381" s="966">
        <v>3467.46</v>
      </c>
      <c r="V381" s="966">
        <v>290.8</v>
      </c>
      <c r="W381" s="971">
        <f t="shared" si="5"/>
        <v>-2.4374140302613478E-3</v>
      </c>
      <c r="Y381" s="967">
        <v>44936</v>
      </c>
      <c r="Z381" s="974">
        <f ca="1">H331*Valuation_Senario!$L$372</f>
        <v>2685.0002016499998</v>
      </c>
      <c r="AA381" s="973">
        <v>12.25</v>
      </c>
      <c r="AM381" s="967">
        <v>44865</v>
      </c>
      <c r="AN381" s="974">
        <v>5070.27258024</v>
      </c>
      <c r="AO381" s="38">
        <v>0.48999897518871</v>
      </c>
      <c r="AS381" s="967">
        <v>45485</v>
      </c>
      <c r="AT381" s="974">
        <v>95316.883297599998</v>
      </c>
      <c r="AU381" s="974">
        <v>101401.53153597542</v>
      </c>
      <c r="AV381" s="974">
        <v>1048.8376894660234</v>
      </c>
    </row>
    <row r="382" spans="1:48">
      <c r="A382" s="966">
        <v>375</v>
      </c>
      <c r="B382" s="967">
        <v>44986</v>
      </c>
      <c r="C382" s="966">
        <v>40800</v>
      </c>
      <c r="D382" s="966">
        <v>1.6694500000000001</v>
      </c>
      <c r="E382" s="966">
        <v>1.3109999999999999</v>
      </c>
      <c r="F382" s="966">
        <v>97321.61</v>
      </c>
      <c r="G382" s="966">
        <v>59705.7700128</v>
      </c>
      <c r="H382" s="974">
        <v>2800.61</v>
      </c>
      <c r="I382" s="966">
        <v>15.66</v>
      </c>
      <c r="J382" s="973">
        <v>1.46388359512</v>
      </c>
      <c r="L382" s="990">
        <v>45488</v>
      </c>
      <c r="M382" s="969">
        <v>94732.117142400006</v>
      </c>
      <c r="N382" s="969">
        <v>101401.53153597542</v>
      </c>
      <c r="O382" s="974">
        <v>1048.8392634996542</v>
      </c>
      <c r="Q382" s="967">
        <v>44862</v>
      </c>
      <c r="R382" s="966">
        <v>53200</v>
      </c>
      <c r="S382" s="971">
        <v>0.48999542298323001</v>
      </c>
      <c r="T382" s="969">
        <v>0.35844999999999999</v>
      </c>
      <c r="U382" s="966">
        <v>3396.17</v>
      </c>
      <c r="V382" s="966">
        <v>99.9</v>
      </c>
      <c r="W382" s="971">
        <f t="shared" si="5"/>
        <v>3.5880880880880877E-3</v>
      </c>
      <c r="Y382" s="967">
        <v>44935</v>
      </c>
      <c r="Z382" s="974">
        <f ca="1">H332*Valuation_Senario!$L$372</f>
        <v>2685.0002016499998</v>
      </c>
      <c r="AA382" s="973">
        <v>12.19</v>
      </c>
      <c r="AM382" s="967">
        <v>44862</v>
      </c>
      <c r="AN382" s="974">
        <v>4966.0292054800002</v>
      </c>
      <c r="AO382" s="38">
        <v>0.48999542298323001</v>
      </c>
      <c r="AS382" s="967">
        <v>45488</v>
      </c>
      <c r="AT382" s="974">
        <v>94732.117142400006</v>
      </c>
      <c r="AU382" s="974">
        <v>101401.53153597542</v>
      </c>
      <c r="AV382" s="974">
        <v>1048.8392634996542</v>
      </c>
    </row>
    <row r="383" spans="1:48">
      <c r="A383" s="966">
        <v>376</v>
      </c>
      <c r="B383" s="967">
        <v>44985</v>
      </c>
      <c r="C383" s="966">
        <v>40000</v>
      </c>
      <c r="D383" s="966">
        <v>12.2544</v>
      </c>
      <c r="E383" s="966">
        <v>12.259600000000001</v>
      </c>
      <c r="F383" s="966">
        <v>97467.96</v>
      </c>
      <c r="G383" s="966">
        <v>58535.068639999998</v>
      </c>
      <c r="H383" s="974">
        <v>2800.61</v>
      </c>
      <c r="I383" s="966">
        <v>15.69</v>
      </c>
      <c r="J383" s="973">
        <v>1.46388359512</v>
      </c>
      <c r="L383" s="990">
        <v>45489</v>
      </c>
      <c r="M383" s="969">
        <v>94732.117142400006</v>
      </c>
      <c r="N383" s="969">
        <v>101401.53153597542</v>
      </c>
      <c r="O383" s="974">
        <v>1048.8408375332845</v>
      </c>
      <c r="Q383" s="967">
        <v>44861</v>
      </c>
      <c r="R383" s="966">
        <v>53300</v>
      </c>
      <c r="S383" s="971">
        <v>0.48999999986337001</v>
      </c>
      <c r="T383" s="969">
        <v>-5.1999999999999998E-3</v>
      </c>
      <c r="U383" s="966">
        <v>3396.17</v>
      </c>
      <c r="V383" s="966">
        <v>174.77</v>
      </c>
      <c r="W383" s="971">
        <f t="shared" si="5"/>
        <v>-2.975339016993763E-5</v>
      </c>
      <c r="Y383" s="967">
        <v>44932</v>
      </c>
      <c r="Z383" s="974">
        <f ca="1">H333*Valuation_Senario!$L$372</f>
        <v>2685.0148862199999</v>
      </c>
      <c r="AA383" s="973">
        <v>12.53</v>
      </c>
      <c r="AM383" s="967">
        <v>44861</v>
      </c>
      <c r="AN383" s="974">
        <v>4966.0292054800002</v>
      </c>
      <c r="AO383" s="38">
        <v>0.48999999986337001</v>
      </c>
      <c r="AS383" s="967">
        <v>45489</v>
      </c>
      <c r="AT383" s="974">
        <v>94732.117142400006</v>
      </c>
      <c r="AU383" s="974">
        <v>101401.53153597542</v>
      </c>
      <c r="AV383" s="974">
        <v>1048.8408375332845</v>
      </c>
    </row>
    <row r="384" spans="1:48">
      <c r="A384" s="966">
        <v>377</v>
      </c>
      <c r="B384" s="967">
        <v>44984</v>
      </c>
      <c r="C384" s="966">
        <v>40500</v>
      </c>
      <c r="D384" s="966">
        <v>13.47744</v>
      </c>
      <c r="E384" s="966">
        <v>13.554690000000001</v>
      </c>
      <c r="F384" s="966">
        <v>95418.99</v>
      </c>
      <c r="G384" s="966">
        <v>59266.756997999997</v>
      </c>
      <c r="H384" s="974">
        <v>2800.61</v>
      </c>
      <c r="I384" s="966">
        <v>15.28</v>
      </c>
      <c r="J384" s="973">
        <v>1.46388359512</v>
      </c>
      <c r="L384" s="990">
        <v>45490</v>
      </c>
      <c r="M384" s="969">
        <v>94001.159448399994</v>
      </c>
      <c r="N384" s="969">
        <v>101401.53153597542</v>
      </c>
      <c r="O384" s="974">
        <v>1048.845559627008</v>
      </c>
      <c r="Q384" s="967">
        <v>44860</v>
      </c>
      <c r="R384" s="966">
        <v>51900</v>
      </c>
      <c r="S384" s="971">
        <v>0.48999999986337001</v>
      </c>
      <c r="T384" s="969">
        <v>-7.7249999999999999E-2</v>
      </c>
      <c r="U384" s="966">
        <v>3396.17</v>
      </c>
      <c r="V384" s="966">
        <v>125.51</v>
      </c>
      <c r="W384" s="971">
        <f t="shared" si="5"/>
        <v>-6.1548880567285468E-4</v>
      </c>
      <c r="Y384" s="967">
        <v>44931</v>
      </c>
      <c r="Z384" s="974">
        <f ca="1">H334*Valuation_Senario!$L$372</f>
        <v>2685.0148862199999</v>
      </c>
      <c r="AA384" s="973">
        <v>12.66</v>
      </c>
      <c r="AM384" s="967">
        <v>44860</v>
      </c>
      <c r="AN384" s="974">
        <v>4966.0292054800002</v>
      </c>
      <c r="AO384" s="38">
        <v>0.48999999986337001</v>
      </c>
      <c r="AS384" s="967">
        <v>45490</v>
      </c>
      <c r="AT384" s="974">
        <v>94001.159448399994</v>
      </c>
      <c r="AU384" s="974">
        <v>101401.53153597542</v>
      </c>
      <c r="AV384" s="974">
        <v>1048.845559627008</v>
      </c>
    </row>
    <row r="385" spans="1:48">
      <c r="A385" s="966">
        <v>378</v>
      </c>
      <c r="B385" s="967">
        <v>44981</v>
      </c>
      <c r="C385" s="966">
        <v>42100</v>
      </c>
      <c r="D385" s="966">
        <v>1.0820000000000001</v>
      </c>
      <c r="E385" s="966">
        <v>1.4195899999999999</v>
      </c>
      <c r="F385" s="966">
        <v>95565.35</v>
      </c>
      <c r="G385" s="966">
        <v>61608.159743600001</v>
      </c>
      <c r="H385" s="974">
        <v>2800.61</v>
      </c>
      <c r="I385" s="966">
        <v>15.31</v>
      </c>
      <c r="J385" s="973">
        <v>1.46388359512</v>
      </c>
      <c r="L385" s="990">
        <v>45491</v>
      </c>
      <c r="M385" s="969">
        <v>93708.776370799998</v>
      </c>
      <c r="N385" s="969">
        <v>101401.53153597542</v>
      </c>
      <c r="O385" s="974">
        <v>1048.8325004900701</v>
      </c>
      <c r="Q385" s="967">
        <v>44859</v>
      </c>
      <c r="R385" s="966">
        <v>52000</v>
      </c>
      <c r="S385" s="971">
        <v>0.48999999986337001</v>
      </c>
      <c r="T385" s="969">
        <v>-0.33759</v>
      </c>
      <c r="U385" s="966">
        <v>3396.17</v>
      </c>
      <c r="V385" s="966">
        <v>239.12</v>
      </c>
      <c r="W385" s="971">
        <f t="shared" si="5"/>
        <v>-1.411801605888257E-3</v>
      </c>
      <c r="Y385" s="967">
        <v>44930</v>
      </c>
      <c r="Z385" s="974">
        <f ca="1">H335*Valuation_Senario!$L$372</f>
        <v>2685.0148862199999</v>
      </c>
      <c r="AA385" s="973">
        <v>12.63</v>
      </c>
      <c r="AM385" s="967">
        <v>44859</v>
      </c>
      <c r="AN385" s="974">
        <v>4966.0292054800002</v>
      </c>
      <c r="AO385" s="38">
        <v>0.48999999986337001</v>
      </c>
      <c r="AS385" s="967">
        <v>45491</v>
      </c>
      <c r="AT385" s="974">
        <v>93708.776370799998</v>
      </c>
      <c r="AU385" s="974">
        <v>101401.53153597542</v>
      </c>
      <c r="AV385" s="974">
        <v>1048.8325004900701</v>
      </c>
    </row>
    <row r="386" spans="1:48">
      <c r="A386" s="966">
        <v>379</v>
      </c>
      <c r="B386" s="967">
        <v>44980</v>
      </c>
      <c r="C386" s="966">
        <v>43000</v>
      </c>
      <c r="D386" s="966">
        <v>66.930000000000007</v>
      </c>
      <c r="E386" s="966">
        <v>66.930000000000007</v>
      </c>
      <c r="F386" s="966">
        <v>93516.37</v>
      </c>
      <c r="G386" s="966">
        <v>62925.198788000002</v>
      </c>
      <c r="H386" s="974">
        <v>2800.61</v>
      </c>
      <c r="I386" s="966">
        <v>14.9</v>
      </c>
      <c r="J386" s="973">
        <v>1.46388359512</v>
      </c>
      <c r="L386" s="990">
        <v>45492</v>
      </c>
      <c r="M386" s="969">
        <v>92831.627137999996</v>
      </c>
      <c r="N386" s="969">
        <v>101401.53153597542</v>
      </c>
      <c r="O386" s="974">
        <v>1048.8340745017401</v>
      </c>
      <c r="Q386" s="967">
        <v>44858</v>
      </c>
      <c r="R386" s="966">
        <v>50600</v>
      </c>
      <c r="S386" s="971">
        <v>0.48999999986337001</v>
      </c>
      <c r="T386" s="969">
        <v>0</v>
      </c>
      <c r="U386" s="966">
        <v>3396.17</v>
      </c>
      <c r="V386" s="966">
        <v>318.04000000000002</v>
      </c>
      <c r="W386" s="971">
        <f t="shared" si="5"/>
        <v>0</v>
      </c>
      <c r="Y386" s="967">
        <v>44929</v>
      </c>
      <c r="Z386" s="974">
        <f ca="1">H336*Valuation_Senario!$L$372</f>
        <v>2685.0148862199999</v>
      </c>
      <c r="AA386" s="973">
        <v>12.76</v>
      </c>
      <c r="AM386" s="967">
        <v>44858</v>
      </c>
      <c r="AN386" s="974">
        <v>4966.0292054800002</v>
      </c>
      <c r="AO386" s="38">
        <v>0.48999999986337001</v>
      </c>
      <c r="AS386" s="967">
        <v>45492</v>
      </c>
      <c r="AT386" s="974">
        <v>92831.627137999996</v>
      </c>
      <c r="AU386" s="974">
        <v>101401.53153597542</v>
      </c>
      <c r="AV386" s="974">
        <v>1048.8340745017401</v>
      </c>
    </row>
    <row r="387" spans="1:48">
      <c r="A387" s="966">
        <v>380</v>
      </c>
      <c r="B387" s="967">
        <v>44979</v>
      </c>
      <c r="C387" s="966">
        <v>43000</v>
      </c>
      <c r="D387" s="966">
        <v>231.58439999999999</v>
      </c>
      <c r="E387" s="966">
        <v>231.58439999999999</v>
      </c>
      <c r="F387" s="966">
        <v>99077.87</v>
      </c>
      <c r="G387" s="966">
        <v>62925.198788000002</v>
      </c>
      <c r="H387" s="974">
        <v>2800.61</v>
      </c>
      <c r="I387" s="966">
        <v>16.02</v>
      </c>
      <c r="J387" s="973">
        <v>1.46388359512</v>
      </c>
      <c r="L387" s="990">
        <v>45495</v>
      </c>
      <c r="M387" s="969">
        <v>95024.500220000002</v>
      </c>
      <c r="N387" s="969">
        <v>101401.53153597542</v>
      </c>
      <c r="O387" s="974">
        <v>1048.8356485134102</v>
      </c>
      <c r="Q387" s="967">
        <v>44855</v>
      </c>
      <c r="R387" s="966">
        <v>54400</v>
      </c>
      <c r="S387" s="971">
        <v>0.48999999986337001</v>
      </c>
      <c r="T387" s="969">
        <v>0</v>
      </c>
      <c r="U387" s="966">
        <v>3396.17</v>
      </c>
      <c r="V387" s="966">
        <v>477.76</v>
      </c>
      <c r="W387" s="971">
        <f t="shared" si="5"/>
        <v>0</v>
      </c>
      <c r="Y387" s="967">
        <v>44925</v>
      </c>
      <c r="Z387" s="974">
        <f ca="1">H337*Valuation_Senario!$L$372</f>
        <v>2685.0148862199999</v>
      </c>
      <c r="AA387" s="973">
        <v>12.45</v>
      </c>
      <c r="AM387" s="967">
        <v>44855</v>
      </c>
      <c r="AN387" s="974">
        <v>4966.0292054800002</v>
      </c>
      <c r="AO387" s="38">
        <v>0.48999999986337001</v>
      </c>
      <c r="AS387" s="967">
        <v>45495</v>
      </c>
      <c r="AT387" s="974">
        <v>95024.500220000002</v>
      </c>
      <c r="AU387" s="974">
        <v>101401.53153597542</v>
      </c>
      <c r="AV387" s="974">
        <v>1048.8356485134102</v>
      </c>
    </row>
    <row r="388" spans="1:48">
      <c r="A388" s="966">
        <v>381</v>
      </c>
      <c r="B388" s="967">
        <v>44978</v>
      </c>
      <c r="C388" s="966">
        <v>44500</v>
      </c>
      <c r="D388" s="966">
        <v>4.7766700000000002</v>
      </c>
      <c r="E388" s="966">
        <v>4.7766700000000002</v>
      </c>
      <c r="F388" s="966">
        <v>104932.08</v>
      </c>
      <c r="G388" s="966">
        <v>65120.263862</v>
      </c>
      <c r="H388" s="974">
        <v>2800.61</v>
      </c>
      <c r="I388" s="966">
        <v>17.2</v>
      </c>
      <c r="J388" s="973">
        <v>1.46388359512</v>
      </c>
      <c r="L388" s="990">
        <v>45496</v>
      </c>
      <c r="M388" s="969">
        <v>95901.649452800004</v>
      </c>
      <c r="N388" s="969">
        <v>101401.53153597542</v>
      </c>
      <c r="O388" s="974">
        <v>1048.8372225179126</v>
      </c>
      <c r="Q388" s="967">
        <v>44854</v>
      </c>
      <c r="R388" s="966">
        <v>58400</v>
      </c>
      <c r="S388" s="971">
        <v>0.48999999986337001</v>
      </c>
      <c r="T388" s="969">
        <v>0</v>
      </c>
      <c r="U388" s="966">
        <v>3396.17</v>
      </c>
      <c r="V388" s="966">
        <v>113.72</v>
      </c>
      <c r="W388" s="971">
        <f t="shared" si="5"/>
        <v>0</v>
      </c>
      <c r="Y388" s="967">
        <v>44924</v>
      </c>
      <c r="Z388" s="974">
        <f ca="1">H338*Valuation_Senario!$L$372</f>
        <v>2685.02957079</v>
      </c>
      <c r="AA388" s="973">
        <v>12.45</v>
      </c>
      <c r="AM388" s="967">
        <v>44854</v>
      </c>
      <c r="AN388" s="974">
        <v>4966.0292054800002</v>
      </c>
      <c r="AO388" s="38">
        <v>0.48999999986337001</v>
      </c>
      <c r="AS388" s="967">
        <v>45496</v>
      </c>
      <c r="AT388" s="974">
        <v>95901.649452800004</v>
      </c>
      <c r="AU388" s="974">
        <v>101401.53153597542</v>
      </c>
      <c r="AV388" s="974">
        <v>1048.8372225179126</v>
      </c>
    </row>
    <row r="389" spans="1:48">
      <c r="A389" s="966">
        <v>382</v>
      </c>
      <c r="B389" s="967">
        <v>44977</v>
      </c>
      <c r="C389" s="966">
        <v>44300</v>
      </c>
      <c r="D389" s="966">
        <v>0</v>
      </c>
      <c r="E389" s="966">
        <v>0</v>
      </c>
      <c r="F389" s="966">
        <v>105810.21</v>
      </c>
      <c r="G389" s="966">
        <v>64827.588518800003</v>
      </c>
      <c r="H389" s="974">
        <v>2800.61</v>
      </c>
      <c r="I389" s="966">
        <v>17.37</v>
      </c>
      <c r="J389" s="973">
        <v>1.46388359512</v>
      </c>
      <c r="L389" s="990">
        <v>45497</v>
      </c>
      <c r="M389" s="969">
        <v>95463.074836400003</v>
      </c>
      <c r="N389" s="969">
        <v>101401.53153597542</v>
      </c>
      <c r="O389" s="974">
        <v>1048.8419445529225</v>
      </c>
      <c r="Q389" s="967">
        <v>44853</v>
      </c>
      <c r="R389" s="966">
        <v>59000</v>
      </c>
      <c r="S389" s="971">
        <v>0.48999999986337001</v>
      </c>
      <c r="T389" s="969">
        <v>0</v>
      </c>
      <c r="U389" s="966">
        <v>3396.17</v>
      </c>
      <c r="V389" s="966">
        <v>90.79</v>
      </c>
      <c r="W389" s="971">
        <f t="shared" si="5"/>
        <v>0</v>
      </c>
      <c r="Y389" s="967">
        <v>44923</v>
      </c>
      <c r="Z389" s="974">
        <f ca="1">H339*Valuation_Senario!$L$372</f>
        <v>2685.02957079</v>
      </c>
      <c r="AA389" s="973">
        <v>12.48</v>
      </c>
      <c r="AM389" s="967">
        <v>44853</v>
      </c>
      <c r="AN389" s="974">
        <v>4966.0292054800002</v>
      </c>
      <c r="AO389" s="38">
        <v>0.48999999986337001</v>
      </c>
      <c r="AS389" s="967">
        <v>45497</v>
      </c>
      <c r="AT389" s="974">
        <v>95463.074836400003</v>
      </c>
      <c r="AU389" s="974">
        <v>101401.53153597542</v>
      </c>
      <c r="AV389" s="974">
        <v>1048.8419445529225</v>
      </c>
    </row>
    <row r="390" spans="1:48">
      <c r="A390" s="966">
        <v>383</v>
      </c>
      <c r="B390" s="967">
        <v>44974</v>
      </c>
      <c r="C390" s="966">
        <v>43250</v>
      </c>
      <c r="D390" s="966">
        <v>17.9298</v>
      </c>
      <c r="E390" s="966">
        <v>15.901199999999999</v>
      </c>
      <c r="F390" s="966">
        <v>105810.21</v>
      </c>
      <c r="G390" s="966">
        <v>63291.042967000001</v>
      </c>
      <c r="H390" s="974">
        <v>2800.61</v>
      </c>
      <c r="I390" s="966">
        <v>17.37</v>
      </c>
      <c r="J390" s="973">
        <v>1.46388359512</v>
      </c>
      <c r="L390" s="990">
        <v>45498</v>
      </c>
      <c r="M390" s="969">
        <v>91369.711750000002</v>
      </c>
      <c r="N390" s="969">
        <v>101401.53153597542</v>
      </c>
      <c r="O390" s="974">
        <v>1048.8435185645924</v>
      </c>
      <c r="Q390" s="967">
        <v>44852</v>
      </c>
      <c r="R390" s="966">
        <v>59000</v>
      </c>
      <c r="S390" s="971">
        <v>0.48997800351406001</v>
      </c>
      <c r="T390" s="969">
        <v>2.0286</v>
      </c>
      <c r="U390" s="966">
        <v>3396.17</v>
      </c>
      <c r="V390" s="966">
        <v>144.11000000000001</v>
      </c>
      <c r="W390" s="971">
        <f t="shared" si="5"/>
        <v>1.4076746929428906E-2</v>
      </c>
      <c r="Y390" s="967">
        <v>44922</v>
      </c>
      <c r="Z390" s="974">
        <f ca="1">H340*Valuation_Senario!$L$372</f>
        <v>4112.5753587700001</v>
      </c>
      <c r="AA390" s="973">
        <v>12.71</v>
      </c>
      <c r="AM390" s="967">
        <v>44852</v>
      </c>
      <c r="AN390" s="974">
        <v>4966.0292054800002</v>
      </c>
      <c r="AO390" s="38">
        <v>0.48997800351406001</v>
      </c>
      <c r="AS390" s="967">
        <v>45498</v>
      </c>
      <c r="AT390" s="974">
        <v>91369.711750000002</v>
      </c>
      <c r="AU390" s="974">
        <v>101401.53153597542</v>
      </c>
      <c r="AV390" s="974">
        <v>1048.8435185645924</v>
      </c>
    </row>
    <row r="391" spans="1:48">
      <c r="A391" s="966">
        <v>384</v>
      </c>
      <c r="B391" s="967">
        <v>44973</v>
      </c>
      <c r="C391" s="966">
        <v>43300</v>
      </c>
      <c r="D391" s="966">
        <v>0.71519999999999995</v>
      </c>
      <c r="E391" s="966">
        <v>0</v>
      </c>
      <c r="F391" s="966">
        <v>105663.85</v>
      </c>
      <c r="G391" s="966">
        <v>63364.211802799997</v>
      </c>
      <c r="H391" s="974">
        <v>2800.61</v>
      </c>
      <c r="I391" s="966">
        <v>17.34</v>
      </c>
      <c r="J391" s="973">
        <v>1.46388359512</v>
      </c>
      <c r="L391" s="990">
        <v>45499</v>
      </c>
      <c r="M391" s="969">
        <v>89761.604823200003</v>
      </c>
      <c r="N391" s="969">
        <v>101401.53153597542</v>
      </c>
      <c r="O391" s="974">
        <v>1048.8450925690952</v>
      </c>
      <c r="Q391" s="967">
        <v>44851</v>
      </c>
      <c r="R391" s="966">
        <v>58900</v>
      </c>
      <c r="S391" s="971">
        <v>0.48999180246611002</v>
      </c>
      <c r="T391" s="969">
        <v>0.71519999999999995</v>
      </c>
      <c r="U391" s="966">
        <v>3396.17</v>
      </c>
      <c r="V391" s="966">
        <v>165.04</v>
      </c>
      <c r="W391" s="971">
        <f t="shared" si="5"/>
        <v>4.3334949103247698E-3</v>
      </c>
      <c r="Y391" s="967">
        <v>44921</v>
      </c>
      <c r="Z391" s="974">
        <f ca="1">H341*Valuation_Senario!$L$372</f>
        <v>4112.5753587700001</v>
      </c>
      <c r="AA391" s="973">
        <v>12.37</v>
      </c>
      <c r="AM391" s="967">
        <v>44851</v>
      </c>
      <c r="AN391" s="974">
        <v>4966.0292054800002</v>
      </c>
      <c r="AO391" s="38">
        <v>0.48999180246611002</v>
      </c>
      <c r="AS391" s="967">
        <v>45499</v>
      </c>
      <c r="AT391" s="974">
        <v>89761.604823200003</v>
      </c>
      <c r="AU391" s="974">
        <v>101401.53153597542</v>
      </c>
      <c r="AV391" s="974">
        <v>1048.8450925690952</v>
      </c>
    </row>
    <row r="392" spans="1:48">
      <c r="A392" s="966">
        <v>385</v>
      </c>
      <c r="B392" s="967">
        <v>44972</v>
      </c>
      <c r="C392" s="966">
        <v>42750</v>
      </c>
      <c r="D392" s="966">
        <v>14.677199999999999</v>
      </c>
      <c r="E392" s="966">
        <v>13.552</v>
      </c>
      <c r="F392" s="966">
        <v>107127.41</v>
      </c>
      <c r="G392" s="966">
        <v>62559.354609000002</v>
      </c>
      <c r="H392" s="974">
        <v>2800.61</v>
      </c>
      <c r="I392" s="966">
        <v>17.64</v>
      </c>
      <c r="J392" s="973">
        <v>1.46388359512</v>
      </c>
      <c r="L392" s="990">
        <v>45502</v>
      </c>
      <c r="M392" s="969">
        <v>89176.838667999997</v>
      </c>
      <c r="N392" s="969">
        <v>101401.53153597542</v>
      </c>
      <c r="O392" s="974">
        <v>1048.846666580765</v>
      </c>
      <c r="Q392" s="967">
        <v>44848</v>
      </c>
      <c r="R392" s="966">
        <v>59900</v>
      </c>
      <c r="S392" s="971">
        <v>0.48998674740447001</v>
      </c>
      <c r="T392" s="969">
        <v>1.1252</v>
      </c>
      <c r="U392" s="966">
        <v>3396.17</v>
      </c>
      <c r="V392" s="966">
        <v>191.31</v>
      </c>
      <c r="W392" s="971">
        <f t="shared" si="5"/>
        <v>5.8815534995556949E-3</v>
      </c>
      <c r="Y392" s="967">
        <v>44918</v>
      </c>
      <c r="Z392" s="974">
        <f ca="1">H342*Valuation_Senario!$L$372</f>
        <v>4112.5753587700001</v>
      </c>
      <c r="AA392" s="973">
        <v>13.29</v>
      </c>
      <c r="AM392" s="967">
        <v>44848</v>
      </c>
      <c r="AN392" s="974">
        <v>4966.0292054800002</v>
      </c>
      <c r="AO392" s="38">
        <v>0.48998674740447001</v>
      </c>
      <c r="AS392" s="967">
        <v>45502</v>
      </c>
      <c r="AT392" s="974">
        <v>89176.838667999997</v>
      </c>
      <c r="AU392" s="974">
        <v>101401.53153597542</v>
      </c>
      <c r="AV392" s="974">
        <v>1048.846666580765</v>
      </c>
    </row>
    <row r="393" spans="1:48">
      <c r="A393" s="966">
        <v>386</v>
      </c>
      <c r="B393" s="967">
        <v>44971</v>
      </c>
      <c r="C393" s="966">
        <v>42500</v>
      </c>
      <c r="D393" s="966">
        <v>0.91200000000000003</v>
      </c>
      <c r="E393" s="966">
        <v>1.8240000000000001</v>
      </c>
      <c r="F393" s="966">
        <v>103761.24</v>
      </c>
      <c r="G393" s="966">
        <v>62193.510430000002</v>
      </c>
      <c r="H393" s="974">
        <v>2800.61</v>
      </c>
      <c r="I393" s="966">
        <v>16.96</v>
      </c>
      <c r="J393" s="973">
        <v>1.46388359512</v>
      </c>
      <c r="L393" s="990">
        <v>45503</v>
      </c>
      <c r="M393" s="969">
        <v>89176.838667999997</v>
      </c>
      <c r="N393" s="969">
        <v>101401.53153597542</v>
      </c>
      <c r="O393" s="974">
        <v>1048.8336072022628</v>
      </c>
      <c r="Q393" s="967">
        <v>44847</v>
      </c>
      <c r="R393" s="966">
        <v>57600</v>
      </c>
      <c r="S393" s="971">
        <v>0.48998905770425999</v>
      </c>
      <c r="T393" s="969">
        <v>-0.91200000000000003</v>
      </c>
      <c r="U393" s="966">
        <v>3396.17</v>
      </c>
      <c r="V393" s="966">
        <v>114.52</v>
      </c>
      <c r="W393" s="971">
        <f t="shared" ref="W393:W456" si="6">T393/V393</f>
        <v>-7.9636744673419503E-3</v>
      </c>
      <c r="Y393" s="967">
        <v>44917</v>
      </c>
      <c r="Z393" s="974">
        <f ca="1">H343*Valuation_Senario!$L$372</f>
        <v>4112.5753587700001</v>
      </c>
      <c r="AA393" s="973">
        <v>13.5</v>
      </c>
      <c r="AM393" s="967">
        <v>44847</v>
      </c>
      <c r="AN393" s="974">
        <v>4966.0292054800002</v>
      </c>
      <c r="AO393" s="38">
        <v>0.48998905770425999</v>
      </c>
      <c r="AS393" s="967">
        <v>45503</v>
      </c>
      <c r="AT393" s="974">
        <v>89176.838667999997</v>
      </c>
      <c r="AU393" s="974">
        <v>101401.53153597542</v>
      </c>
      <c r="AV393" s="974">
        <v>1048.8336072022628</v>
      </c>
    </row>
    <row r="394" spans="1:48">
      <c r="A394" s="966">
        <v>387</v>
      </c>
      <c r="B394" s="967">
        <v>44970</v>
      </c>
      <c r="C394" s="966">
        <v>42500</v>
      </c>
      <c r="D394" s="966">
        <v>0</v>
      </c>
      <c r="E394" s="966">
        <v>0.68159999999999998</v>
      </c>
      <c r="F394" s="966">
        <v>103614.88</v>
      </c>
      <c r="G394" s="966">
        <v>62193.510430000002</v>
      </c>
      <c r="H394" s="974">
        <v>2800.61</v>
      </c>
      <c r="I394" s="966">
        <v>16.93</v>
      </c>
      <c r="J394" s="973">
        <v>1.46388359512</v>
      </c>
      <c r="L394" s="990">
        <v>45504</v>
      </c>
      <c r="M394" s="969">
        <v>90638.754056000005</v>
      </c>
      <c r="N394" s="969">
        <v>101401.53153597542</v>
      </c>
      <c r="O394" s="974">
        <v>1048.8383291713917</v>
      </c>
      <c r="Q394" s="967">
        <v>44846</v>
      </c>
      <c r="R394" s="966">
        <v>57500</v>
      </c>
      <c r="S394" s="971">
        <v>0.48999999986337001</v>
      </c>
      <c r="T394" s="969">
        <v>-0.68159999999999998</v>
      </c>
      <c r="U394" s="966">
        <v>3396.17</v>
      </c>
      <c r="V394" s="966">
        <v>166.65</v>
      </c>
      <c r="W394" s="971">
        <f t="shared" si="6"/>
        <v>-4.0900090009000894E-3</v>
      </c>
      <c r="Y394" s="967">
        <v>44916</v>
      </c>
      <c r="Z394" s="974">
        <f ca="1">H344*Valuation_Senario!$L$372</f>
        <v>4112.5753587700001</v>
      </c>
      <c r="AA394" s="973">
        <v>13.47</v>
      </c>
      <c r="AM394" s="967">
        <v>44846</v>
      </c>
      <c r="AN394" s="974">
        <v>4966.0292054800002</v>
      </c>
      <c r="AO394" s="38">
        <v>0.48999999986337001</v>
      </c>
      <c r="AS394" s="967">
        <v>45504</v>
      </c>
      <c r="AT394" s="974">
        <v>90638.754056000005</v>
      </c>
      <c r="AU394" s="974">
        <v>101401.53153597542</v>
      </c>
      <c r="AV394" s="974">
        <v>1048.8383291713917</v>
      </c>
    </row>
    <row r="395" spans="1:48">
      <c r="A395" s="966">
        <v>388</v>
      </c>
      <c r="B395" s="967">
        <v>44967</v>
      </c>
      <c r="C395" s="966">
        <v>42100</v>
      </c>
      <c r="D395" s="966">
        <v>14.148569999999999</v>
      </c>
      <c r="E395" s="966">
        <v>14.7301</v>
      </c>
      <c r="F395" s="966">
        <v>100541.42</v>
      </c>
      <c r="G395" s="966">
        <v>61608.159743600001</v>
      </c>
      <c r="H395" s="974">
        <v>2800.61</v>
      </c>
      <c r="I395" s="966">
        <v>16.309999999999999</v>
      </c>
      <c r="J395" s="973">
        <v>1.46388359512</v>
      </c>
      <c r="L395" s="990">
        <v>45505</v>
      </c>
      <c r="M395" s="969">
        <v>92100.669443999999</v>
      </c>
      <c r="N395" s="969">
        <v>101401.53153597542</v>
      </c>
      <c r="O395" s="974">
        <v>1506.74</v>
      </c>
      <c r="Q395" s="967">
        <v>44845</v>
      </c>
      <c r="R395" s="966">
        <v>55400</v>
      </c>
      <c r="S395" s="971">
        <v>0.48999405675036001</v>
      </c>
      <c r="T395" s="969">
        <v>-0.58152999999999999</v>
      </c>
      <c r="U395" s="966">
        <v>3396.17</v>
      </c>
      <c r="V395" s="966">
        <v>167.18</v>
      </c>
      <c r="W395" s="971">
        <f t="shared" si="6"/>
        <v>-3.4784663237229334E-3</v>
      </c>
      <c r="Y395" s="967">
        <v>44915</v>
      </c>
      <c r="Z395" s="974">
        <f ca="1">H345*Valuation_Senario!$L$372</f>
        <v>4112.5753587700001</v>
      </c>
      <c r="AA395" s="973">
        <v>13.5</v>
      </c>
      <c r="AM395" s="967">
        <v>44845</v>
      </c>
      <c r="AN395" s="974">
        <v>4966.0292054800002</v>
      </c>
      <c r="AO395" s="38">
        <v>0.48999405675036001</v>
      </c>
      <c r="AS395" s="967">
        <v>45505</v>
      </c>
      <c r="AT395" s="974">
        <v>92100.669443999999</v>
      </c>
      <c r="AU395" s="974">
        <v>101401.53153597542</v>
      </c>
      <c r="AV395" s="974">
        <v>2203.7044049869523</v>
      </c>
    </row>
    <row r="396" spans="1:48">
      <c r="A396" s="966">
        <v>389</v>
      </c>
      <c r="B396" s="967">
        <v>44966</v>
      </c>
      <c r="C396" s="966">
        <v>44000</v>
      </c>
      <c r="D396" s="966">
        <v>0</v>
      </c>
      <c r="E396" s="966">
        <v>0.88849999999999996</v>
      </c>
      <c r="F396" s="966">
        <v>103029.46</v>
      </c>
      <c r="G396" s="966">
        <v>64388.575504</v>
      </c>
      <c r="H396" s="974">
        <v>2800.61</v>
      </c>
      <c r="I396" s="966">
        <v>16.809999999999999</v>
      </c>
      <c r="J396" s="973">
        <v>1.46388359512</v>
      </c>
      <c r="L396" s="990">
        <v>45506</v>
      </c>
      <c r="M396" s="969">
        <v>93270.201754399997</v>
      </c>
      <c r="N396" s="969">
        <v>101401.53153597542</v>
      </c>
      <c r="O396" s="974">
        <v>1506.74</v>
      </c>
      <c r="Q396" s="967">
        <v>44844</v>
      </c>
      <c r="R396" s="966">
        <v>57100</v>
      </c>
      <c r="S396" s="971">
        <v>0.48999999986337001</v>
      </c>
      <c r="T396" s="969">
        <v>-0.88849999999999996</v>
      </c>
      <c r="U396" s="966">
        <v>3396.17</v>
      </c>
      <c r="V396" s="966">
        <v>219.98</v>
      </c>
      <c r="W396" s="971">
        <f t="shared" si="6"/>
        <v>-4.0390035457768892E-3</v>
      </c>
      <c r="Y396" s="967">
        <v>44914</v>
      </c>
      <c r="Z396" s="974">
        <f ca="1">H346*Valuation_Senario!$L$372</f>
        <v>4112.5753587700001</v>
      </c>
      <c r="AA396" s="973">
        <v>13.69</v>
      </c>
      <c r="AM396" s="967">
        <v>44844</v>
      </c>
      <c r="AN396" s="974">
        <v>4966.0292054800002</v>
      </c>
      <c r="AO396" s="38">
        <v>0.48999999986337001</v>
      </c>
      <c r="AS396" s="967">
        <v>45506</v>
      </c>
      <c r="AT396" s="974">
        <v>93270.201754399997</v>
      </c>
      <c r="AU396" s="974">
        <v>101401.53153597542</v>
      </c>
      <c r="AV396" s="974">
        <v>2203.7044049869523</v>
      </c>
    </row>
    <row r="397" spans="1:48">
      <c r="A397" s="966">
        <v>390</v>
      </c>
      <c r="B397" s="967">
        <v>44965</v>
      </c>
      <c r="C397" s="966">
        <v>44500</v>
      </c>
      <c r="D397" s="966">
        <v>180.69425000000001</v>
      </c>
      <c r="E397" s="966">
        <v>180.327</v>
      </c>
      <c r="F397" s="966">
        <v>98492.45</v>
      </c>
      <c r="G397" s="966">
        <v>65120.263862</v>
      </c>
      <c r="H397" s="974">
        <v>2800.61</v>
      </c>
      <c r="I397" s="966">
        <v>15.9</v>
      </c>
      <c r="J397" s="973">
        <v>1.46388359512</v>
      </c>
      <c r="L397" s="990">
        <v>45509</v>
      </c>
      <c r="M397" s="969">
        <v>90784.945594799996</v>
      </c>
      <c r="N397" s="969">
        <v>101401.53153597542</v>
      </c>
      <c r="O397" s="974">
        <v>1506.74</v>
      </c>
      <c r="Q397" s="967">
        <v>44841</v>
      </c>
      <c r="R397" s="966">
        <v>54000</v>
      </c>
      <c r="S397" s="971">
        <v>0.48999555960652003</v>
      </c>
      <c r="T397" s="969">
        <v>0.36725000000000002</v>
      </c>
      <c r="U397" s="966">
        <v>3396.17</v>
      </c>
      <c r="V397" s="966">
        <v>489.64</v>
      </c>
      <c r="W397" s="971">
        <f t="shared" si="6"/>
        <v>7.5004084633608368E-4</v>
      </c>
      <c r="Y397" s="967">
        <v>44911</v>
      </c>
      <c r="Z397" s="974">
        <f ca="1">H347*Valuation_Senario!$L$372</f>
        <v>4112.5753587700001</v>
      </c>
      <c r="AA397" s="973">
        <v>13.89</v>
      </c>
      <c r="AM397" s="967">
        <v>44841</v>
      </c>
      <c r="AN397" s="974">
        <v>4966.0292054800002</v>
      </c>
      <c r="AO397" s="38">
        <v>0.48999555960652003</v>
      </c>
      <c r="AS397" s="967">
        <v>45509</v>
      </c>
      <c r="AT397" s="974">
        <v>90784.945594799996</v>
      </c>
      <c r="AU397" s="974">
        <v>101401.53153597542</v>
      </c>
      <c r="AV397" s="974">
        <v>2203.7044049869523</v>
      </c>
    </row>
    <row r="398" spans="1:48">
      <c r="A398" s="966">
        <v>391</v>
      </c>
      <c r="B398" s="967">
        <v>44964</v>
      </c>
      <c r="C398" s="966">
        <v>45700</v>
      </c>
      <c r="D398" s="966">
        <v>72.393820000000005</v>
      </c>
      <c r="E398" s="966">
        <v>72.858710000000002</v>
      </c>
      <c r="F398" s="966">
        <v>104346.66</v>
      </c>
      <c r="G398" s="966">
        <v>66876.315921200003</v>
      </c>
      <c r="H398" s="974">
        <v>2800.61</v>
      </c>
      <c r="I398" s="966">
        <v>17.079999999999998</v>
      </c>
      <c r="J398" s="973">
        <v>1.46388359512</v>
      </c>
      <c r="L398" s="990">
        <v>45510</v>
      </c>
      <c r="M398" s="969">
        <v>91954.477905199994</v>
      </c>
      <c r="N398" s="969">
        <v>101401.53153597542</v>
      </c>
      <c r="O398" s="974">
        <v>1506.74</v>
      </c>
      <c r="Q398" s="967">
        <v>44840</v>
      </c>
      <c r="R398" s="966">
        <v>58000</v>
      </c>
      <c r="S398" s="971">
        <v>0.48999924843529002</v>
      </c>
      <c r="T398" s="969">
        <v>-0.46489000000000003</v>
      </c>
      <c r="U398" s="966">
        <v>3396.17</v>
      </c>
      <c r="V398" s="966">
        <v>268.02999999999997</v>
      </c>
      <c r="W398" s="971">
        <f t="shared" si="6"/>
        <v>-1.7344700220124616E-3</v>
      </c>
      <c r="Y398" s="967">
        <v>44910</v>
      </c>
      <c r="Z398" s="974">
        <f ca="1">H348*Valuation_Senario!$L$372</f>
        <v>4112.5753587700001</v>
      </c>
      <c r="AA398" s="973">
        <v>13.64</v>
      </c>
      <c r="AM398" s="967">
        <v>44840</v>
      </c>
      <c r="AN398" s="974">
        <v>4966.0292054800002</v>
      </c>
      <c r="AO398" s="38">
        <v>0.48999924843529002</v>
      </c>
      <c r="AS398" s="967">
        <v>45510</v>
      </c>
      <c r="AT398" s="974">
        <v>91954.477905199994</v>
      </c>
      <c r="AU398" s="974">
        <v>101401.53153597542</v>
      </c>
      <c r="AV398" s="974">
        <v>2203.7044049869523</v>
      </c>
    </row>
    <row r="399" spans="1:48">
      <c r="A399" s="966">
        <v>392</v>
      </c>
      <c r="B399" s="967">
        <v>44963</v>
      </c>
      <c r="C399" s="966">
        <v>47150</v>
      </c>
      <c r="D399" s="966">
        <v>1.874835</v>
      </c>
      <c r="E399" s="966">
        <v>1.466135</v>
      </c>
      <c r="F399" s="966">
        <v>110493.58</v>
      </c>
      <c r="G399" s="966">
        <v>68998.212159400005</v>
      </c>
      <c r="H399" s="974">
        <v>2800.61</v>
      </c>
      <c r="I399" s="966">
        <v>18.309999999999999</v>
      </c>
      <c r="J399" s="973">
        <v>1.46388359512</v>
      </c>
      <c r="L399" s="990">
        <v>45511</v>
      </c>
      <c r="M399" s="969">
        <v>90053.987900799999</v>
      </c>
      <c r="N399" s="969">
        <v>101401.53153597542</v>
      </c>
      <c r="O399" s="974">
        <v>1506.74</v>
      </c>
      <c r="Q399" s="967">
        <v>44839</v>
      </c>
      <c r="R399" s="966">
        <v>62200</v>
      </c>
      <c r="S399" s="971">
        <v>0.48999542298323001</v>
      </c>
      <c r="T399" s="969">
        <v>0.40870000000000001</v>
      </c>
      <c r="U399" s="966">
        <v>3396.17</v>
      </c>
      <c r="V399" s="966">
        <v>136.85</v>
      </c>
      <c r="W399" s="971">
        <f t="shared" si="6"/>
        <v>2.986481549141396E-3</v>
      </c>
      <c r="Y399" s="967">
        <v>44909</v>
      </c>
      <c r="Z399" s="974">
        <f ca="1">H349*Valuation_Senario!$L$372</f>
        <v>4112.5753587700001</v>
      </c>
      <c r="AA399" s="973">
        <v>13.48</v>
      </c>
      <c r="AM399" s="967">
        <v>44839</v>
      </c>
      <c r="AN399" s="974">
        <v>4966.0292054800002</v>
      </c>
      <c r="AO399" s="38">
        <v>0.48999542298323001</v>
      </c>
      <c r="AS399" s="967">
        <v>45511</v>
      </c>
      <c r="AT399" s="974">
        <v>90053.987900799999</v>
      </c>
      <c r="AU399" s="974">
        <v>101401.53153597542</v>
      </c>
      <c r="AV399" s="974">
        <v>2203.7044049869523</v>
      </c>
    </row>
    <row r="400" spans="1:48">
      <c r="A400" s="966">
        <v>393</v>
      </c>
      <c r="B400" s="967">
        <v>44960</v>
      </c>
      <c r="C400" s="966">
        <v>47800</v>
      </c>
      <c r="D400" s="966">
        <v>8.0079600000000006</v>
      </c>
      <c r="E400" s="966">
        <v>7.9080899999999996</v>
      </c>
      <c r="F400" s="966">
        <v>108737.31</v>
      </c>
      <c r="G400" s="966">
        <v>69949.407024800006</v>
      </c>
      <c r="H400" s="974">
        <v>2800.61</v>
      </c>
      <c r="I400" s="966">
        <v>17.96</v>
      </c>
      <c r="J400" s="973">
        <v>1.46388359512</v>
      </c>
      <c r="L400" s="990">
        <v>45512</v>
      </c>
      <c r="M400" s="969">
        <v>91077.328672400006</v>
      </c>
      <c r="N400" s="969">
        <v>101401.53153597542</v>
      </c>
      <c r="O400" s="974">
        <v>1506.74</v>
      </c>
      <c r="Q400" s="967">
        <v>44838</v>
      </c>
      <c r="R400" s="966">
        <v>61000</v>
      </c>
      <c r="S400" s="971">
        <v>0.48999446662022</v>
      </c>
      <c r="T400" s="969">
        <v>9.987E-2</v>
      </c>
      <c r="U400" s="966">
        <v>3396.17</v>
      </c>
      <c r="V400" s="966">
        <v>258.82</v>
      </c>
      <c r="W400" s="971">
        <f t="shared" si="6"/>
        <v>3.8586662545398348E-4</v>
      </c>
      <c r="Y400" s="967">
        <v>44908</v>
      </c>
      <c r="Z400" s="974">
        <f ca="1">H350*Valuation_Senario!$L$372</f>
        <v>4112.5753587700001</v>
      </c>
      <c r="AA400" s="973">
        <v>13.47</v>
      </c>
      <c r="AM400" s="967">
        <v>44838</v>
      </c>
      <c r="AN400" s="974">
        <v>4966.0292054800002</v>
      </c>
      <c r="AO400" s="38">
        <v>0.48999446662022</v>
      </c>
      <c r="AS400" s="967">
        <v>45512</v>
      </c>
      <c r="AT400" s="974">
        <v>91077.328672400006</v>
      </c>
      <c r="AU400" s="974">
        <v>101401.53153597542</v>
      </c>
      <c r="AV400" s="974">
        <v>2203.7044049869523</v>
      </c>
    </row>
    <row r="401" spans="1:48">
      <c r="A401" s="966">
        <v>394</v>
      </c>
      <c r="B401" s="967">
        <v>44959</v>
      </c>
      <c r="C401" s="966">
        <v>49900</v>
      </c>
      <c r="D401" s="966">
        <v>14.76132</v>
      </c>
      <c r="E401" s="966">
        <v>14.7536</v>
      </c>
      <c r="F401" s="966">
        <v>106688.34</v>
      </c>
      <c r="G401" s="966">
        <v>73022.498128399995</v>
      </c>
      <c r="H401" s="974">
        <v>2800.61</v>
      </c>
      <c r="I401" s="966">
        <v>17.55</v>
      </c>
      <c r="J401" s="973">
        <v>1.46388359512</v>
      </c>
      <c r="L401" s="990">
        <v>45513</v>
      </c>
      <c r="M401" s="969">
        <v>91077.328672400006</v>
      </c>
      <c r="N401" s="969">
        <v>101401.53153597542</v>
      </c>
      <c r="O401" s="974">
        <v>1506.74</v>
      </c>
      <c r="Q401" s="967">
        <v>44837</v>
      </c>
      <c r="R401" s="966">
        <v>59600</v>
      </c>
      <c r="S401" s="971">
        <v>0.48999918012365001</v>
      </c>
      <c r="T401" s="969">
        <v>7.7200000000000003E-3</v>
      </c>
      <c r="U401" s="966">
        <v>3396.17</v>
      </c>
      <c r="V401" s="966">
        <v>260.58999999999997</v>
      </c>
      <c r="W401" s="971">
        <f t="shared" si="6"/>
        <v>2.9625081545723172E-5</v>
      </c>
      <c r="Y401" s="967">
        <v>44907</v>
      </c>
      <c r="Z401" s="974">
        <f ca="1">H351*Valuation_Senario!$L$372</f>
        <v>4112.5753587700001</v>
      </c>
      <c r="AA401" s="973">
        <v>13.32</v>
      </c>
      <c r="AM401" s="967">
        <v>44837</v>
      </c>
      <c r="AN401" s="974">
        <v>4966.0292054800002</v>
      </c>
      <c r="AO401" s="38">
        <v>0.48999918012365001</v>
      </c>
      <c r="AS401" s="967">
        <v>45513</v>
      </c>
      <c r="AT401" s="974">
        <v>91077.328672400006</v>
      </c>
      <c r="AU401" s="974">
        <v>101401.53153597542</v>
      </c>
      <c r="AV401" s="974">
        <v>2203.7044049869523</v>
      </c>
    </row>
    <row r="402" spans="1:48">
      <c r="A402" s="966">
        <v>395</v>
      </c>
      <c r="B402" s="967">
        <v>44958</v>
      </c>
      <c r="C402" s="966">
        <v>47100</v>
      </c>
      <c r="D402" s="966">
        <v>88.158562000000003</v>
      </c>
      <c r="E402" s="966">
        <v>88.577511999999999</v>
      </c>
      <c r="F402" s="966">
        <v>113127.97</v>
      </c>
      <c r="G402" s="966">
        <v>68925.043323599995</v>
      </c>
      <c r="H402" s="974">
        <v>2800.61</v>
      </c>
      <c r="I402" s="966">
        <v>18.84</v>
      </c>
      <c r="J402" s="973">
        <v>1.46388359512</v>
      </c>
      <c r="L402" s="990">
        <v>45516</v>
      </c>
      <c r="M402" s="969">
        <v>91223.520211199997</v>
      </c>
      <c r="N402" s="969">
        <v>101401.53153597542</v>
      </c>
      <c r="O402" s="974">
        <v>1506.74</v>
      </c>
      <c r="Q402" s="967">
        <v>44834</v>
      </c>
      <c r="R402" s="966">
        <v>64000</v>
      </c>
      <c r="S402" s="971">
        <v>0.48999990012837003</v>
      </c>
      <c r="T402" s="969">
        <v>-0.41894999999999999</v>
      </c>
      <c r="U402" s="966">
        <v>3396.17</v>
      </c>
      <c r="V402" s="966">
        <v>366.32</v>
      </c>
      <c r="W402" s="971">
        <f t="shared" si="6"/>
        <v>-1.1436721991701245E-3</v>
      </c>
      <c r="Y402" s="967">
        <v>44904</v>
      </c>
      <c r="Z402" s="974">
        <f ca="1">H352*Valuation_Senario!$L$372</f>
        <v>4112.5753587700001</v>
      </c>
      <c r="AA402" s="973">
        <v>13.41</v>
      </c>
      <c r="AM402" s="967">
        <v>44834</v>
      </c>
      <c r="AN402" s="974">
        <v>4966.0292054800002</v>
      </c>
      <c r="AO402" s="38">
        <v>0.48999990012837003</v>
      </c>
      <c r="AS402" s="967">
        <v>45516</v>
      </c>
      <c r="AT402" s="974">
        <v>91223.520211199997</v>
      </c>
      <c r="AU402" s="974">
        <v>101401.53153597542</v>
      </c>
      <c r="AV402" s="974">
        <v>2203.7044049869523</v>
      </c>
    </row>
    <row r="403" spans="1:48">
      <c r="A403" s="966">
        <v>396</v>
      </c>
      <c r="B403" s="967">
        <v>44957</v>
      </c>
      <c r="C403" s="966">
        <v>46500</v>
      </c>
      <c r="D403" s="966">
        <v>0.77139999999999997</v>
      </c>
      <c r="E403" s="966">
        <v>0.53136000000000005</v>
      </c>
      <c r="F403" s="966">
        <v>113127.97</v>
      </c>
      <c r="G403" s="966">
        <v>68047.017294000005</v>
      </c>
      <c r="H403" s="974">
        <v>2800.61</v>
      </c>
      <c r="I403" s="966">
        <v>18.84</v>
      </c>
      <c r="J403" s="973">
        <v>1.46388359512</v>
      </c>
      <c r="L403" s="990">
        <v>45517</v>
      </c>
      <c r="M403" s="969">
        <v>95901.649452800004</v>
      </c>
      <c r="N403" s="969">
        <v>101401.53153597542</v>
      </c>
      <c r="O403" s="974">
        <v>1506.74</v>
      </c>
      <c r="Q403" s="967">
        <v>44833</v>
      </c>
      <c r="R403" s="966">
        <v>64000</v>
      </c>
      <c r="S403" s="971">
        <v>0.48999207571268999</v>
      </c>
      <c r="T403" s="969">
        <v>0.24004</v>
      </c>
      <c r="U403" s="966">
        <v>3396.17</v>
      </c>
      <c r="V403" s="966">
        <v>165.57</v>
      </c>
      <c r="W403" s="971">
        <f t="shared" si="6"/>
        <v>1.4497795494352842E-3</v>
      </c>
      <c r="Y403" s="967">
        <v>44903</v>
      </c>
      <c r="Z403" s="974">
        <f ca="1">H353*Valuation_Senario!$L$372</f>
        <v>4112.5753587700001</v>
      </c>
      <c r="AA403" s="973">
        <v>13.35</v>
      </c>
      <c r="AM403" s="967">
        <v>44833</v>
      </c>
      <c r="AN403" s="974">
        <v>4966.0292054800002</v>
      </c>
      <c r="AO403" s="38">
        <v>0.48999207571268999</v>
      </c>
      <c r="AS403" s="967">
        <v>45517</v>
      </c>
      <c r="AT403" s="974">
        <v>95901.649452800004</v>
      </c>
      <c r="AU403" s="974">
        <v>101401.53153597542</v>
      </c>
      <c r="AV403" s="974">
        <v>2203.7044049869523</v>
      </c>
    </row>
    <row r="404" spans="1:48">
      <c r="A404" s="966">
        <v>397</v>
      </c>
      <c r="B404" s="967">
        <v>44956</v>
      </c>
      <c r="C404" s="966">
        <v>46200</v>
      </c>
      <c r="D404" s="966">
        <v>2.2599950999999998</v>
      </c>
      <c r="E404" s="966">
        <v>2.3384551</v>
      </c>
      <c r="F404" s="966">
        <v>114601.78</v>
      </c>
      <c r="G404" s="966">
        <v>67608.004279200002</v>
      </c>
      <c r="H404" s="974">
        <v>3445.04</v>
      </c>
      <c r="I404" s="966">
        <v>19.14</v>
      </c>
      <c r="J404" s="973">
        <v>1.4639043956500002</v>
      </c>
      <c r="L404" s="990">
        <v>45518</v>
      </c>
      <c r="M404" s="969">
        <v>97363.564840799998</v>
      </c>
      <c r="N404" s="969">
        <v>101401.53153597542</v>
      </c>
      <c r="O404" s="974">
        <v>1506.74</v>
      </c>
      <c r="Q404" s="967">
        <v>44832</v>
      </c>
      <c r="R404" s="966">
        <v>65000</v>
      </c>
      <c r="S404" s="971">
        <v>0.48999999986337001</v>
      </c>
      <c r="T404" s="969">
        <v>-7.8460000000000002E-2</v>
      </c>
      <c r="U404" s="966">
        <v>3395.8</v>
      </c>
      <c r="V404" s="966">
        <v>181.4</v>
      </c>
      <c r="W404" s="971">
        <f t="shared" si="6"/>
        <v>-4.3252480705622935E-4</v>
      </c>
      <c r="Y404" s="967">
        <v>44902</v>
      </c>
      <c r="Z404" s="974">
        <f ca="1">H354*Valuation_Senario!$L$372</f>
        <v>4112.5753587700001</v>
      </c>
      <c r="AA404" s="973">
        <v>13.02</v>
      </c>
      <c r="AM404" s="967">
        <v>44832</v>
      </c>
      <c r="AN404" s="974">
        <v>4965.488175200001</v>
      </c>
      <c r="AO404" s="38">
        <v>0.48999999986337001</v>
      </c>
      <c r="AS404" s="967">
        <v>45518</v>
      </c>
      <c r="AT404" s="974">
        <v>97363.564840799998</v>
      </c>
      <c r="AU404" s="974">
        <v>101401.53153597542</v>
      </c>
      <c r="AV404" s="974">
        <v>2203.7044049869523</v>
      </c>
    </row>
    <row r="405" spans="1:48">
      <c r="A405" s="966">
        <v>398</v>
      </c>
      <c r="B405" s="967">
        <v>44953</v>
      </c>
      <c r="C405" s="966">
        <v>45900</v>
      </c>
      <c r="D405" s="966">
        <v>84.719399999999993</v>
      </c>
      <c r="E405" s="966">
        <v>72.812380000000005</v>
      </c>
      <c r="F405" s="966">
        <v>117675.57</v>
      </c>
      <c r="G405" s="966">
        <v>67168.9912644</v>
      </c>
      <c r="H405" s="974">
        <v>3445.04</v>
      </c>
      <c r="I405" s="966">
        <v>19.760000000000002</v>
      </c>
      <c r="J405" s="973">
        <v>1.4639058391300002</v>
      </c>
      <c r="L405" s="990">
        <v>45519</v>
      </c>
      <c r="M405" s="969">
        <v>97509.756379600003</v>
      </c>
      <c r="N405" s="969">
        <f ca="1">Valuation_Senario!E415</f>
        <v>99703.934552860665</v>
      </c>
      <c r="O405" s="974">
        <v>1506.74</v>
      </c>
      <c r="Q405" s="967">
        <v>44831</v>
      </c>
      <c r="R405" s="966">
        <v>67100</v>
      </c>
      <c r="S405" s="971">
        <v>0.48988537292501</v>
      </c>
      <c r="T405" s="969">
        <v>11.907019999999999</v>
      </c>
      <c r="U405" s="966">
        <v>3395.8</v>
      </c>
      <c r="V405" s="966">
        <v>188.15</v>
      </c>
      <c r="W405" s="971">
        <f t="shared" si="6"/>
        <v>6.3284719638586229E-2</v>
      </c>
      <c r="Y405" s="967">
        <v>44901</v>
      </c>
      <c r="Z405" s="974">
        <f ca="1">H355*Valuation_Senario!$L$372</f>
        <v>4112.5753587700001</v>
      </c>
      <c r="AA405" s="973">
        <v>12.87</v>
      </c>
      <c r="AM405" s="967">
        <v>44831</v>
      </c>
      <c r="AN405" s="974">
        <v>4965.488175200001</v>
      </c>
      <c r="AO405" s="38">
        <v>0.48988537292501</v>
      </c>
      <c r="AS405" s="967">
        <v>45519</v>
      </c>
      <c r="AT405" s="974">
        <v>97509.756379600003</v>
      </c>
      <c r="AU405" s="974">
        <v>106570.41158399999</v>
      </c>
      <c r="AV405" s="974">
        <v>2203.7044049869523</v>
      </c>
    </row>
    <row r="406" spans="1:48">
      <c r="A406" s="966">
        <v>399</v>
      </c>
      <c r="B406" s="967">
        <v>44945</v>
      </c>
      <c r="C406" s="966">
        <v>45600</v>
      </c>
      <c r="D406" s="966">
        <v>7.5278999999999998</v>
      </c>
      <c r="E406" s="966">
        <v>8.3161699999999996</v>
      </c>
      <c r="F406" s="966">
        <v>118992.9</v>
      </c>
      <c r="G406" s="966">
        <v>66729.978249599997</v>
      </c>
      <c r="H406" s="974">
        <v>3445.03</v>
      </c>
      <c r="I406" s="966">
        <v>20.02</v>
      </c>
      <c r="J406" s="973">
        <v>1.46390968843</v>
      </c>
      <c r="L406" s="990">
        <v>45520</v>
      </c>
      <c r="M406" s="969">
        <v>97363.564840799998</v>
      </c>
      <c r="N406" s="969">
        <f t="shared" ref="N406:N437" ca="1" si="7">N405</f>
        <v>99703.934552860665</v>
      </c>
      <c r="O406" s="974">
        <v>1506.74</v>
      </c>
      <c r="Q406" s="967">
        <v>44830</v>
      </c>
      <c r="R406" s="966">
        <v>68000</v>
      </c>
      <c r="S406" s="971">
        <v>0.48999999986337001</v>
      </c>
      <c r="T406" s="969">
        <v>-0.78827000000000003</v>
      </c>
      <c r="U406" s="966">
        <v>3395.8</v>
      </c>
      <c r="V406" s="966">
        <v>357.76</v>
      </c>
      <c r="W406" s="971">
        <f t="shared" si="6"/>
        <v>-2.2033486135957067E-3</v>
      </c>
      <c r="Y406" s="967">
        <v>44900</v>
      </c>
      <c r="Z406" s="974">
        <f ca="1">H356*Valuation_Senario!$L$372</f>
        <v>4112.5753587700001</v>
      </c>
      <c r="AA406" s="973">
        <v>13.82</v>
      </c>
      <c r="AM406" s="967">
        <v>44830</v>
      </c>
      <c r="AN406" s="974">
        <v>4965.488175200001</v>
      </c>
      <c r="AO406" s="38">
        <v>0.48999999986337001</v>
      </c>
      <c r="AS406" s="967">
        <v>45520</v>
      </c>
      <c r="AT406" s="974">
        <v>97363.564840799998</v>
      </c>
      <c r="AU406" s="974">
        <v>106570.41158399999</v>
      </c>
      <c r="AV406" s="974">
        <v>2203.7044049869523</v>
      </c>
    </row>
    <row r="407" spans="1:48">
      <c r="A407" s="966">
        <v>400</v>
      </c>
      <c r="B407" s="967">
        <v>44944</v>
      </c>
      <c r="C407" s="966">
        <v>44950</v>
      </c>
      <c r="D407" s="966">
        <v>196.42627200000001</v>
      </c>
      <c r="E407" s="966">
        <v>196.42627200000001</v>
      </c>
      <c r="F407" s="966">
        <v>121042.1</v>
      </c>
      <c r="G407" s="966">
        <v>65778.783384199996</v>
      </c>
      <c r="H407" s="974">
        <v>3445.03</v>
      </c>
      <c r="I407" s="966">
        <v>20.440000000000001</v>
      </c>
      <c r="J407" s="973">
        <v>1.4639101695899999</v>
      </c>
      <c r="L407" s="990">
        <v>45521</v>
      </c>
      <c r="M407" s="969">
        <v>96340.224069200005</v>
      </c>
      <c r="N407" s="969">
        <f t="shared" ca="1" si="7"/>
        <v>99703.934552860665</v>
      </c>
      <c r="O407" s="974">
        <v>1506.74</v>
      </c>
      <c r="Q407" s="967">
        <v>44827</v>
      </c>
      <c r="R407" s="966">
        <v>69400</v>
      </c>
      <c r="S407" s="971">
        <v>0.48999999986337001</v>
      </c>
      <c r="T407" s="969">
        <v>0</v>
      </c>
      <c r="U407" s="966">
        <v>3395.8</v>
      </c>
      <c r="V407" s="966">
        <v>384.87</v>
      </c>
      <c r="W407" s="971">
        <f t="shared" si="6"/>
        <v>0</v>
      </c>
      <c r="Y407" s="967">
        <v>44897</v>
      </c>
      <c r="Z407" s="974">
        <f ca="1">H357*Valuation_Senario!$L$372</f>
        <v>4112.5753587700001</v>
      </c>
      <c r="AA407" s="973">
        <v>13.64</v>
      </c>
      <c r="AM407" s="967">
        <v>44827</v>
      </c>
      <c r="AN407" s="974">
        <v>4965.488175200001</v>
      </c>
      <c r="AO407" s="38">
        <v>0.48999999986337001</v>
      </c>
      <c r="AS407" s="967">
        <v>45521</v>
      </c>
      <c r="AT407" s="974">
        <v>96340.224069200005</v>
      </c>
      <c r="AU407" s="974">
        <v>106570.41158399999</v>
      </c>
      <c r="AV407" s="974">
        <v>2203.7044049869523</v>
      </c>
    </row>
    <row r="408" spans="1:48">
      <c r="A408" s="966">
        <v>401</v>
      </c>
      <c r="B408" s="967">
        <v>44943</v>
      </c>
      <c r="C408" s="966">
        <v>43050</v>
      </c>
      <c r="D408" s="966">
        <v>94.397069999999999</v>
      </c>
      <c r="E408" s="966">
        <v>105.99526</v>
      </c>
      <c r="F408" s="966">
        <v>122066.69</v>
      </c>
      <c r="G408" s="966">
        <v>62998.367623799997</v>
      </c>
      <c r="H408" s="974">
        <v>3445.02</v>
      </c>
      <c r="I408" s="966">
        <v>20.64</v>
      </c>
      <c r="J408" s="973">
        <v>1.4639106507599999</v>
      </c>
      <c r="L408" s="990">
        <v>45522</v>
      </c>
      <c r="M408" s="969">
        <v>100872.16177200001</v>
      </c>
      <c r="N408" s="969">
        <f t="shared" ca="1" si="7"/>
        <v>99703.934552860665</v>
      </c>
      <c r="O408" s="974">
        <v>1506.74</v>
      </c>
      <c r="Q408" s="967">
        <v>44826</v>
      </c>
      <c r="R408" s="966">
        <v>70100</v>
      </c>
      <c r="S408" s="971">
        <v>0.48999999986337001</v>
      </c>
      <c r="T408" s="969">
        <v>-11.598190000000001</v>
      </c>
      <c r="U408" s="966">
        <v>3395.8</v>
      </c>
      <c r="V408" s="966">
        <v>388.88</v>
      </c>
      <c r="W408" s="971">
        <f t="shared" si="6"/>
        <v>-2.9824598847973671E-2</v>
      </c>
      <c r="Y408" s="967">
        <v>44896</v>
      </c>
      <c r="Z408" s="974">
        <f ca="1">H358*Valuation_Senario!$L$372</f>
        <v>4112.5753587700001</v>
      </c>
      <c r="AA408" s="973">
        <v>12.79</v>
      </c>
      <c r="AM408" s="967">
        <v>44826</v>
      </c>
      <c r="AN408" s="974">
        <v>4965.488175200001</v>
      </c>
      <c r="AO408" s="38">
        <v>0.48999999986337001</v>
      </c>
      <c r="AS408" s="967">
        <v>45522</v>
      </c>
      <c r="AT408" s="974">
        <v>100872.16177200001</v>
      </c>
      <c r="AU408" s="974">
        <v>106570.41158399999</v>
      </c>
      <c r="AV408" s="974">
        <v>2203.7044049869523</v>
      </c>
    </row>
    <row r="409" spans="1:48">
      <c r="A409" s="966">
        <v>402</v>
      </c>
      <c r="B409" s="967">
        <v>44942</v>
      </c>
      <c r="C409" s="966">
        <v>41900</v>
      </c>
      <c r="D409" s="966">
        <v>19.5</v>
      </c>
      <c r="E409" s="966">
        <v>19.5</v>
      </c>
      <c r="F409" s="966">
        <v>121920.32000000001</v>
      </c>
      <c r="G409" s="966">
        <v>61315.484400399997</v>
      </c>
      <c r="H409" s="974">
        <v>3445.02</v>
      </c>
      <c r="I409" s="966">
        <v>20.61</v>
      </c>
      <c r="J409" s="973">
        <v>1.46391113192</v>
      </c>
      <c r="L409" s="990">
        <v>45523</v>
      </c>
      <c r="M409" s="969">
        <v>100872.16177200001</v>
      </c>
      <c r="N409" s="969">
        <f t="shared" ca="1" si="7"/>
        <v>99703.934552860665</v>
      </c>
      <c r="O409" s="974">
        <v>1506.74</v>
      </c>
      <c r="Q409" s="967">
        <v>44825</v>
      </c>
      <c r="R409" s="966">
        <v>70000</v>
      </c>
      <c r="S409" s="971">
        <v>0.48999999986337001</v>
      </c>
      <c r="T409" s="969">
        <v>0</v>
      </c>
      <c r="U409" s="966">
        <v>3395.8</v>
      </c>
      <c r="V409" s="966">
        <v>237.83</v>
      </c>
      <c r="W409" s="971">
        <f t="shared" si="6"/>
        <v>0</v>
      </c>
      <c r="Y409" s="967">
        <v>44895</v>
      </c>
      <c r="Z409" s="974">
        <f ca="1">H359*Valuation_Senario!$L$372</f>
        <v>4112.5753587700001</v>
      </c>
      <c r="AA409" s="973">
        <v>12.8</v>
      </c>
      <c r="AM409" s="967">
        <v>44825</v>
      </c>
      <c r="AN409" s="974">
        <v>4965.488175200001</v>
      </c>
      <c r="AO409" s="38">
        <v>0.48999999986337001</v>
      </c>
      <c r="AS409" s="967">
        <v>45523</v>
      </c>
      <c r="AT409" s="974">
        <v>100872.16177200001</v>
      </c>
      <c r="AU409" s="974">
        <v>106570.41158399999</v>
      </c>
      <c r="AV409" s="974">
        <v>2203.7044049869523</v>
      </c>
    </row>
    <row r="410" spans="1:48">
      <c r="A410" s="966">
        <v>403</v>
      </c>
      <c r="B410" s="967">
        <v>44939</v>
      </c>
      <c r="C410" s="966">
        <v>42050</v>
      </c>
      <c r="D410" s="966">
        <v>0</v>
      </c>
      <c r="E410" s="966">
        <v>0</v>
      </c>
      <c r="F410" s="966">
        <v>124408.63</v>
      </c>
      <c r="G410" s="966">
        <v>61534.990907799998</v>
      </c>
      <c r="H410" s="974">
        <v>3445.02</v>
      </c>
      <c r="I410" s="966">
        <v>21.11</v>
      </c>
      <c r="J410" s="973">
        <v>1.4639125754000002</v>
      </c>
      <c r="L410" s="990">
        <v>45524</v>
      </c>
      <c r="M410" s="969">
        <v>101603.119466</v>
      </c>
      <c r="N410" s="969">
        <f t="shared" ca="1" si="7"/>
        <v>99703.934552860665</v>
      </c>
      <c r="O410" s="974">
        <v>1506.74</v>
      </c>
      <c r="Q410" s="967">
        <v>44824</v>
      </c>
      <c r="R410" s="966">
        <v>71700</v>
      </c>
      <c r="S410" s="971">
        <v>0.48999999986337001</v>
      </c>
      <c r="T410" s="969">
        <v>0</v>
      </c>
      <c r="U410" s="966">
        <v>3395.8</v>
      </c>
      <c r="V410" s="966">
        <v>238.23</v>
      </c>
      <c r="W410" s="971">
        <f t="shared" si="6"/>
        <v>0</v>
      </c>
      <c r="Y410" s="967">
        <v>44894</v>
      </c>
      <c r="Z410" s="974">
        <f ca="1">H360*Valuation_Senario!$L$372</f>
        <v>4112.5753587700001</v>
      </c>
      <c r="AA410" s="973">
        <v>12.42</v>
      </c>
      <c r="AM410" s="967">
        <v>44824</v>
      </c>
      <c r="AN410" s="974">
        <v>4965.488175200001</v>
      </c>
      <c r="AO410" s="38">
        <v>0.48999999986337001</v>
      </c>
      <c r="AS410" s="967">
        <v>45524</v>
      </c>
      <c r="AT410" s="974">
        <v>101603.119466</v>
      </c>
      <c r="AU410" s="974">
        <v>106570.41158399999</v>
      </c>
      <c r="AV410" s="974">
        <v>2203.7044049869523</v>
      </c>
    </row>
    <row r="411" spans="1:48">
      <c r="A411" s="966">
        <v>404</v>
      </c>
      <c r="B411" s="967">
        <v>44938</v>
      </c>
      <c r="C411" s="966">
        <v>42100</v>
      </c>
      <c r="D411" s="966">
        <v>41.439599999999999</v>
      </c>
      <c r="E411" s="966">
        <v>41.381999999999998</v>
      </c>
      <c r="F411" s="966">
        <v>122652.18</v>
      </c>
      <c r="G411" s="966">
        <v>61608.159743600001</v>
      </c>
      <c r="H411" s="974">
        <v>3445.02</v>
      </c>
      <c r="I411" s="966">
        <v>20.76</v>
      </c>
      <c r="J411" s="973">
        <v>1.46391305657</v>
      </c>
      <c r="L411" s="990">
        <v>45525</v>
      </c>
      <c r="M411" s="969">
        <v>102041.6940824</v>
      </c>
      <c r="N411" s="969">
        <f t="shared" ca="1" si="7"/>
        <v>99703.934552860665</v>
      </c>
      <c r="O411" s="974">
        <v>1506.74</v>
      </c>
      <c r="Q411" s="967">
        <v>44823</v>
      </c>
      <c r="R411" s="966">
        <v>70500</v>
      </c>
      <c r="S411" s="971">
        <v>0.48999945337022</v>
      </c>
      <c r="T411" s="969">
        <v>5.7599999999999998E-2</v>
      </c>
      <c r="U411" s="966">
        <v>3395.8</v>
      </c>
      <c r="V411" s="966">
        <v>346.51</v>
      </c>
      <c r="W411" s="971">
        <f t="shared" si="6"/>
        <v>1.6622896886092753E-4</v>
      </c>
      <c r="Y411" s="967">
        <v>44893</v>
      </c>
      <c r="Z411" s="974">
        <f ca="1">H361*Valuation_Senario!$L$372</f>
        <v>4112.5753587700001</v>
      </c>
      <c r="AA411" s="973">
        <v>11.65</v>
      </c>
      <c r="AM411" s="967">
        <v>44823</v>
      </c>
      <c r="AN411" s="974">
        <v>4965.488175200001</v>
      </c>
      <c r="AO411" s="38">
        <v>0.48999945337022</v>
      </c>
      <c r="AS411" s="967">
        <v>45525</v>
      </c>
      <c r="AT411" s="974">
        <v>102041.6940824</v>
      </c>
      <c r="AU411" s="974">
        <v>106570.41158399999</v>
      </c>
      <c r="AV411" s="974">
        <v>2203.7044049869523</v>
      </c>
    </row>
    <row r="412" spans="1:48">
      <c r="A412" s="966">
        <v>405</v>
      </c>
      <c r="B412" s="967">
        <v>44937</v>
      </c>
      <c r="C412" s="966">
        <v>42550</v>
      </c>
      <c r="D412" s="966">
        <v>15.42</v>
      </c>
      <c r="E412" s="966">
        <v>15.42</v>
      </c>
      <c r="F412" s="966">
        <v>124847.74</v>
      </c>
      <c r="G412" s="966">
        <v>62266.679265799998</v>
      </c>
      <c r="H412" s="974">
        <v>3445.02</v>
      </c>
      <c r="I412" s="966">
        <v>21.2</v>
      </c>
      <c r="J412" s="973">
        <v>1.4639135377300001</v>
      </c>
      <c r="L412" s="990">
        <v>45526</v>
      </c>
      <c r="M412" s="969">
        <v>102334.07716</v>
      </c>
      <c r="N412" s="969">
        <f t="shared" ca="1" si="7"/>
        <v>99703.934552860665</v>
      </c>
      <c r="O412" s="974">
        <v>1506.74</v>
      </c>
      <c r="Q412" s="967">
        <v>44820</v>
      </c>
      <c r="R412" s="966">
        <v>72000</v>
      </c>
      <c r="S412" s="971">
        <v>0.48999999986337001</v>
      </c>
      <c r="T412" s="969">
        <v>0</v>
      </c>
      <c r="U412" s="966">
        <v>3395.8</v>
      </c>
      <c r="V412" s="966">
        <v>325.04000000000002</v>
      </c>
      <c r="W412" s="971">
        <f t="shared" si="6"/>
        <v>0</v>
      </c>
      <c r="Y412" s="967">
        <v>44890</v>
      </c>
      <c r="Z412" s="974">
        <f ca="1">H362*Valuation_Senario!$L$372</f>
        <v>4112.5753587700001</v>
      </c>
      <c r="AA412" s="973">
        <v>10.97</v>
      </c>
      <c r="AM412" s="967">
        <v>44820</v>
      </c>
      <c r="AN412" s="974">
        <v>4965.488175200001</v>
      </c>
      <c r="AO412" s="38">
        <v>0.48999999986337001</v>
      </c>
      <c r="AS412" s="967">
        <v>45526</v>
      </c>
      <c r="AT412" s="974">
        <v>102334.07716</v>
      </c>
      <c r="AU412" s="974">
        <v>106570.41158399999</v>
      </c>
      <c r="AV412" s="974">
        <v>2203.7044049869523</v>
      </c>
    </row>
    <row r="413" spans="1:48">
      <c r="A413" s="966">
        <v>406</v>
      </c>
      <c r="B413" s="967">
        <v>44936</v>
      </c>
      <c r="C413" s="966">
        <v>42200</v>
      </c>
      <c r="D413" s="966">
        <v>63.291080700000002</v>
      </c>
      <c r="E413" s="966">
        <v>63.246860699999999</v>
      </c>
      <c r="F413" s="966">
        <v>127628.79</v>
      </c>
      <c r="G413" s="966">
        <v>61754.4974152</v>
      </c>
      <c r="H413" s="974">
        <v>3445.02</v>
      </c>
      <c r="I413" s="966">
        <v>21.76</v>
      </c>
      <c r="J413" s="973">
        <v>1.4639140188900002</v>
      </c>
      <c r="L413" s="992">
        <v>45527</v>
      </c>
      <c r="M413" s="969">
        <v>102334.07716</v>
      </c>
      <c r="N413" s="969">
        <f t="shared" ca="1" si="7"/>
        <v>99703.934552860665</v>
      </c>
      <c r="O413" s="974">
        <v>1506.74</v>
      </c>
      <c r="Q413" s="967">
        <v>44819</v>
      </c>
      <c r="R413" s="966">
        <v>73900</v>
      </c>
      <c r="S413" s="971">
        <v>0.48999953192861001</v>
      </c>
      <c r="T413" s="969">
        <v>4.4220000000000002E-2</v>
      </c>
      <c r="U413" s="966">
        <v>3395.8</v>
      </c>
      <c r="V413" s="966">
        <v>304.14999999999998</v>
      </c>
      <c r="W413" s="971">
        <f t="shared" si="6"/>
        <v>1.4538878842676312E-4</v>
      </c>
      <c r="Y413" s="967">
        <v>44889</v>
      </c>
      <c r="Z413" s="974">
        <f ca="1">H363*Valuation_Senario!$L$372</f>
        <v>4112.5753587700001</v>
      </c>
      <c r="AA413" s="973">
        <v>10.94</v>
      </c>
      <c r="AM413" s="967">
        <v>44819</v>
      </c>
      <c r="AN413" s="974">
        <v>4965.488175200001</v>
      </c>
      <c r="AO413" s="38">
        <v>0.48999953192861001</v>
      </c>
      <c r="AS413" s="967">
        <v>45656</v>
      </c>
      <c r="AU413" s="974">
        <v>106570.41158399999</v>
      </c>
      <c r="AV413" s="974">
        <v>2203.7044049869523</v>
      </c>
    </row>
    <row r="414" spans="1:48">
      <c r="A414" s="966">
        <v>407</v>
      </c>
      <c r="B414" s="967">
        <v>44935</v>
      </c>
      <c r="C414" s="966">
        <v>42000</v>
      </c>
      <c r="D414" s="966">
        <v>20.124413499999999</v>
      </c>
      <c r="E414" s="966">
        <v>19.455733500000001</v>
      </c>
      <c r="F414" s="966">
        <v>127336.05</v>
      </c>
      <c r="G414" s="966">
        <v>61461.822072000003</v>
      </c>
      <c r="H414" s="974">
        <v>3445.02</v>
      </c>
      <c r="I414" s="966">
        <v>21.7</v>
      </c>
      <c r="J414" s="973">
        <v>1.46391450005</v>
      </c>
      <c r="L414" s="992">
        <v>45530</v>
      </c>
      <c r="M414" s="969">
        <v>102041.6940824</v>
      </c>
      <c r="N414" s="969">
        <f t="shared" ca="1" si="7"/>
        <v>99703.934552860665</v>
      </c>
      <c r="O414" s="974">
        <v>1506.74</v>
      </c>
      <c r="Q414" s="967">
        <v>44818</v>
      </c>
      <c r="R414" s="966">
        <v>73700</v>
      </c>
      <c r="S414" s="971">
        <v>0.48999316869899001</v>
      </c>
      <c r="T414" s="969">
        <v>0.66868000000000005</v>
      </c>
      <c r="U414" s="966">
        <v>3395.8</v>
      </c>
      <c r="V414" s="966">
        <v>290.27</v>
      </c>
      <c r="W414" s="971">
        <f t="shared" si="6"/>
        <v>2.3036483274192997E-3</v>
      </c>
      <c r="Y414" s="967">
        <v>44888</v>
      </c>
      <c r="Z414" s="974">
        <f ca="1">H364*Valuation_Senario!$L$372</f>
        <v>4112.5753587700001</v>
      </c>
      <c r="AA414" s="973">
        <v>11.76</v>
      </c>
      <c r="AM414" s="967">
        <v>44818</v>
      </c>
      <c r="AN414" s="974">
        <v>4965.488175200001</v>
      </c>
      <c r="AO414" s="38">
        <v>0.48999316869899001</v>
      </c>
      <c r="AS414" s="967">
        <v>45657</v>
      </c>
      <c r="AU414" s="974">
        <v>106570.41158399999</v>
      </c>
      <c r="AV414" s="974">
        <v>4185.2149146965066</v>
      </c>
    </row>
    <row r="415" spans="1:48">
      <c r="A415" s="966">
        <v>408</v>
      </c>
      <c r="B415" s="967">
        <v>44932</v>
      </c>
      <c r="C415" s="966">
        <v>43150</v>
      </c>
      <c r="D415" s="966">
        <v>15.51746</v>
      </c>
      <c r="E415" s="966">
        <v>15.51746</v>
      </c>
      <c r="F415" s="966">
        <v>127921.53</v>
      </c>
      <c r="G415" s="966">
        <v>63144.705295400003</v>
      </c>
      <c r="H415" s="974">
        <v>3445.01</v>
      </c>
      <c r="I415" s="966">
        <v>21.82</v>
      </c>
      <c r="J415" s="973">
        <v>1.46391594354</v>
      </c>
      <c r="L415" s="992">
        <v>45531</v>
      </c>
      <c r="M415" s="969">
        <v>102041.6940824</v>
      </c>
      <c r="N415" s="969">
        <f t="shared" ca="1" si="7"/>
        <v>99703.934552860665</v>
      </c>
      <c r="O415" s="974">
        <v>1506.74</v>
      </c>
      <c r="Q415" s="967">
        <v>44817</v>
      </c>
      <c r="R415" s="966">
        <v>74100</v>
      </c>
      <c r="S415" s="971">
        <v>0.48999999986337001</v>
      </c>
      <c r="T415" s="969">
        <v>0</v>
      </c>
      <c r="U415" s="966">
        <v>3395.8</v>
      </c>
      <c r="V415" s="966">
        <v>160.41999999999999</v>
      </c>
      <c r="W415" s="971">
        <f t="shared" si="6"/>
        <v>0</v>
      </c>
      <c r="Y415" s="967">
        <v>44887</v>
      </c>
      <c r="Z415" s="974">
        <f ca="1">H365*Valuation_Senario!$L$372</f>
        <v>4112.5753587700001</v>
      </c>
      <c r="AA415" s="973">
        <v>11.67</v>
      </c>
      <c r="AM415" s="967">
        <v>44817</v>
      </c>
      <c r="AN415" s="974">
        <v>4965.488175200001</v>
      </c>
      <c r="AO415" s="38">
        <v>0.48999999986337001</v>
      </c>
      <c r="AS415" s="967">
        <v>45747</v>
      </c>
      <c r="AU415" s="974">
        <v>112345.34045294809</v>
      </c>
      <c r="AV415" s="974">
        <v>4185.2149146965066</v>
      </c>
    </row>
    <row r="416" spans="1:48">
      <c r="A416" s="966">
        <v>409</v>
      </c>
      <c r="B416" s="967">
        <v>44931</v>
      </c>
      <c r="C416" s="966">
        <v>43600</v>
      </c>
      <c r="D416" s="966">
        <v>0</v>
      </c>
      <c r="E416" s="966">
        <v>4.4900000000000002E-2</v>
      </c>
      <c r="F416" s="966">
        <v>127775.16</v>
      </c>
      <c r="G416" s="966">
        <v>63803.224817599999</v>
      </c>
      <c r="H416" s="974">
        <v>3445.01</v>
      </c>
      <c r="I416" s="966">
        <v>21.79</v>
      </c>
      <c r="J416" s="973">
        <v>1.4639164247000001</v>
      </c>
      <c r="L416" s="992">
        <v>45532</v>
      </c>
      <c r="M416" s="969">
        <v>101456.9279272</v>
      </c>
      <c r="N416" s="969">
        <f t="shared" ca="1" si="7"/>
        <v>99703.934552860665</v>
      </c>
      <c r="O416" s="974">
        <v>1506.74</v>
      </c>
      <c r="Q416" s="967">
        <v>44816</v>
      </c>
      <c r="R416" s="966">
        <v>74000</v>
      </c>
      <c r="S416" s="971">
        <v>0.48999999986337001</v>
      </c>
      <c r="T416" s="969">
        <v>-4.4900000000000002E-2</v>
      </c>
      <c r="U416" s="966">
        <v>3395.8</v>
      </c>
      <c r="V416" s="966">
        <v>544.05999999999995</v>
      </c>
      <c r="W416" s="971">
        <f t="shared" si="6"/>
        <v>-8.2527662390177571E-5</v>
      </c>
      <c r="Y416" s="967">
        <v>44886</v>
      </c>
      <c r="Z416" s="974">
        <f ca="1">H366*Valuation_Senario!$L$372</f>
        <v>4112.5753587700001</v>
      </c>
      <c r="AA416" s="973">
        <v>11.8</v>
      </c>
      <c r="AM416" s="967">
        <v>44816</v>
      </c>
      <c r="AN416" s="974">
        <v>4965.488175200001</v>
      </c>
      <c r="AO416" s="38">
        <v>0.48999999986337001</v>
      </c>
      <c r="AS416" s="967">
        <v>45838</v>
      </c>
      <c r="AU416" s="974">
        <v>112345.34045294809</v>
      </c>
      <c r="AV416" s="974">
        <v>4185.2149146965066</v>
      </c>
    </row>
    <row r="417" spans="1:48">
      <c r="A417" s="966">
        <v>410</v>
      </c>
      <c r="B417" s="967">
        <v>44930</v>
      </c>
      <c r="C417" s="966">
        <v>43500</v>
      </c>
      <c r="D417" s="966">
        <v>0.51119999999999999</v>
      </c>
      <c r="E417" s="966">
        <v>0.71197999999999995</v>
      </c>
      <c r="F417" s="966">
        <v>124847.74</v>
      </c>
      <c r="G417" s="966">
        <v>63656.887146000001</v>
      </c>
      <c r="H417" s="974">
        <v>3445.01</v>
      </c>
      <c r="I417" s="966">
        <v>21.2</v>
      </c>
      <c r="J417" s="973">
        <v>1.4639169058599999</v>
      </c>
      <c r="L417" s="992">
        <v>45533</v>
      </c>
      <c r="M417" s="969">
        <v>101018.3533108</v>
      </c>
      <c r="N417" s="969">
        <f t="shared" ca="1" si="7"/>
        <v>99703.934552860665</v>
      </c>
      <c r="O417" s="974">
        <v>1506.74</v>
      </c>
      <c r="Q417" s="967">
        <v>44813</v>
      </c>
      <c r="R417" s="966">
        <v>72000</v>
      </c>
      <c r="S417" s="971">
        <v>0.48999514973665997</v>
      </c>
      <c r="T417" s="969">
        <v>-0.20077999999999999</v>
      </c>
      <c r="U417" s="966">
        <v>3395.8</v>
      </c>
      <c r="V417" s="966">
        <v>203.87</v>
      </c>
      <c r="W417" s="971">
        <f t="shared" si="6"/>
        <v>-9.8484328248393577E-4</v>
      </c>
      <c r="Y417" s="967">
        <v>44883</v>
      </c>
      <c r="Z417" s="974">
        <f ca="1">H367*Valuation_Senario!$L$372</f>
        <v>4112.5753587700001</v>
      </c>
      <c r="AA417" s="973">
        <v>12.16</v>
      </c>
      <c r="AM417" s="967">
        <v>44813</v>
      </c>
      <c r="AN417" s="974">
        <v>4965.488175200001</v>
      </c>
      <c r="AO417" s="38">
        <v>0.48999514973665997</v>
      </c>
      <c r="AS417" s="967">
        <v>45930</v>
      </c>
      <c r="AU417" s="974">
        <v>112345.34045294809</v>
      </c>
      <c r="AV417" s="974">
        <v>4185.2149146965066</v>
      </c>
    </row>
    <row r="418" spans="1:48">
      <c r="A418" s="966">
        <v>411</v>
      </c>
      <c r="B418" s="967">
        <v>44929</v>
      </c>
      <c r="C418" s="966">
        <v>43950</v>
      </c>
      <c r="D418" s="966">
        <v>33.242432999999998</v>
      </c>
      <c r="E418" s="966">
        <v>33.242432999999998</v>
      </c>
      <c r="F418" s="966">
        <v>124115.89</v>
      </c>
      <c r="G418" s="966">
        <v>64315.406668199998</v>
      </c>
      <c r="H418" s="974">
        <v>3445.01</v>
      </c>
      <c r="I418" s="966">
        <v>21.06</v>
      </c>
      <c r="J418" s="973">
        <v>1.46391738702</v>
      </c>
      <c r="L418" s="992">
        <v>45534</v>
      </c>
      <c r="M418" s="969">
        <v>102041.6940824</v>
      </c>
      <c r="N418" s="969">
        <f t="shared" ca="1" si="7"/>
        <v>99703.934552860665</v>
      </c>
      <c r="O418" s="974">
        <v>1506.74</v>
      </c>
      <c r="Q418" s="967">
        <v>44812</v>
      </c>
      <c r="R418" s="966">
        <v>71500</v>
      </c>
      <c r="S418" s="971">
        <v>0.48999999986337001</v>
      </c>
      <c r="T418" s="969">
        <v>0</v>
      </c>
      <c r="U418" s="966">
        <v>3395.8</v>
      </c>
      <c r="V418" s="966">
        <v>300.47000000000003</v>
      </c>
      <c r="W418" s="971">
        <f t="shared" si="6"/>
        <v>0</v>
      </c>
      <c r="Y418" s="967">
        <v>44882</v>
      </c>
      <c r="Z418" s="974">
        <f ca="1">H368*Valuation_Senario!$L$372</f>
        <v>4112.5753587700001</v>
      </c>
      <c r="AA418" s="973">
        <v>12.05</v>
      </c>
      <c r="AM418" s="967">
        <v>44812</v>
      </c>
      <c r="AN418" s="974">
        <v>4965.488175200001</v>
      </c>
      <c r="AO418" s="38">
        <v>0.48999999986337001</v>
      </c>
      <c r="AS418" s="967">
        <v>46022</v>
      </c>
      <c r="AU418" s="974">
        <v>112345.34045294809</v>
      </c>
      <c r="AV418" s="974">
        <v>5273.2311546313458</v>
      </c>
    </row>
    <row r="419" spans="1:48">
      <c r="A419" s="966">
        <v>412</v>
      </c>
      <c r="B419" s="967">
        <v>44925</v>
      </c>
      <c r="C419" s="966">
        <v>42900</v>
      </c>
      <c r="D419" s="966">
        <v>16.173958500000001</v>
      </c>
      <c r="E419" s="966">
        <v>16.173958500000001</v>
      </c>
      <c r="F419" s="966">
        <v>122944.92</v>
      </c>
      <c r="G419" s="966">
        <v>62778.861116400003</v>
      </c>
      <c r="H419" s="974">
        <v>3445</v>
      </c>
      <c r="I419" s="966">
        <v>20.82</v>
      </c>
      <c r="J419" s="973">
        <v>1.46391931167</v>
      </c>
      <c r="L419" s="992">
        <v>45539</v>
      </c>
      <c r="M419" s="969">
        <v>101018.3533108</v>
      </c>
      <c r="N419" s="969">
        <f t="shared" ca="1" si="7"/>
        <v>99703.934552860665</v>
      </c>
      <c r="O419" s="974">
        <v>1506.74</v>
      </c>
      <c r="Q419" s="967">
        <v>44811</v>
      </c>
      <c r="R419" s="966">
        <v>70700</v>
      </c>
      <c r="S419" s="971">
        <v>0.48999999986337001</v>
      </c>
      <c r="T419" s="969">
        <v>0</v>
      </c>
      <c r="U419" s="966">
        <v>3395.8</v>
      </c>
      <c r="V419" s="966">
        <v>421.9</v>
      </c>
      <c r="W419" s="971">
        <f t="shared" si="6"/>
        <v>0</v>
      </c>
      <c r="Y419" s="967">
        <v>44881</v>
      </c>
      <c r="Z419" s="974">
        <f ca="1">H369*Valuation_Senario!$L$372</f>
        <v>4112.5753587700001</v>
      </c>
      <c r="AA419" s="973">
        <v>11.67</v>
      </c>
      <c r="AM419" s="967">
        <v>44811</v>
      </c>
      <c r="AN419" s="974">
        <v>4965.488175200001</v>
      </c>
      <c r="AO419" s="38">
        <v>0.48999999986337001</v>
      </c>
      <c r="AS419" s="967">
        <v>46112</v>
      </c>
      <c r="AU419" s="974">
        <v>112345.34045294809</v>
      </c>
      <c r="AV419" s="974">
        <v>5273.2311546313458</v>
      </c>
    </row>
    <row r="420" spans="1:48">
      <c r="A420" s="966">
        <v>413</v>
      </c>
      <c r="B420" s="967">
        <v>44924</v>
      </c>
      <c r="C420" s="966">
        <v>42900</v>
      </c>
      <c r="D420" s="966">
        <v>0</v>
      </c>
      <c r="E420" s="966">
        <v>0.51602999999999999</v>
      </c>
      <c r="F420" s="966">
        <v>126165.08</v>
      </c>
      <c r="G420" s="966">
        <v>62778.861116400003</v>
      </c>
      <c r="H420" s="974">
        <v>3445</v>
      </c>
      <c r="I420" s="966">
        <v>21.47</v>
      </c>
      <c r="J420" s="973">
        <v>1.4639197928399998</v>
      </c>
      <c r="L420" s="992">
        <v>45540</v>
      </c>
      <c r="M420" s="969">
        <v>99264.054845199993</v>
      </c>
      <c r="N420" s="969">
        <f t="shared" ca="1" si="7"/>
        <v>99703.934552860665</v>
      </c>
      <c r="O420" s="974">
        <v>1506.74</v>
      </c>
      <c r="Q420" s="967">
        <v>44810</v>
      </c>
      <c r="R420" s="966">
        <v>72900</v>
      </c>
      <c r="S420" s="971">
        <v>0.48999999986337001</v>
      </c>
      <c r="T420" s="969">
        <v>-0.51602999999999999</v>
      </c>
      <c r="U420" s="966">
        <v>3395.8</v>
      </c>
      <c r="V420" s="966">
        <v>191.09</v>
      </c>
      <c r="W420" s="971">
        <f t="shared" si="6"/>
        <v>-2.7004552828510126E-3</v>
      </c>
      <c r="Y420" s="967">
        <v>44880</v>
      </c>
      <c r="Z420" s="974">
        <f ca="1">H370*Valuation_Senario!$L$372</f>
        <v>4112.5753587700001</v>
      </c>
      <c r="AA420" s="973">
        <v>10.92</v>
      </c>
      <c r="AM420" s="967">
        <v>44810</v>
      </c>
      <c r="AN420" s="974">
        <v>4965.488175200001</v>
      </c>
      <c r="AO420" s="38">
        <v>0.48999999986337001</v>
      </c>
      <c r="AS420" s="967" t="s">
        <v>2038</v>
      </c>
      <c r="AU420" s="974">
        <v>112345.34045294809</v>
      </c>
      <c r="AV420" s="974">
        <v>5273.2311546313458</v>
      </c>
    </row>
    <row r="421" spans="1:48">
      <c r="A421" s="966">
        <v>414</v>
      </c>
      <c r="B421" s="967">
        <v>44923</v>
      </c>
      <c r="C421" s="966">
        <v>43000</v>
      </c>
      <c r="D421" s="966">
        <v>4.5774920000000003</v>
      </c>
      <c r="E421" s="966">
        <v>4.0306319999999998</v>
      </c>
      <c r="F421" s="966">
        <v>125579.6</v>
      </c>
      <c r="G421" s="966">
        <v>62925.198788000002</v>
      </c>
      <c r="H421" s="974">
        <v>3445</v>
      </c>
      <c r="I421" s="966">
        <v>21.35</v>
      </c>
      <c r="J421" s="973">
        <v>1.4639202739999999</v>
      </c>
      <c r="L421" s="992">
        <v>45541</v>
      </c>
      <c r="M421" s="969">
        <v>99410.246383999998</v>
      </c>
      <c r="N421" s="969">
        <f t="shared" ca="1" si="7"/>
        <v>99703.934552860665</v>
      </c>
      <c r="O421" s="974">
        <v>1506.74</v>
      </c>
      <c r="Q421" s="967">
        <v>44809</v>
      </c>
      <c r="R421" s="966">
        <v>72500</v>
      </c>
      <c r="S421" s="971">
        <v>0.48999494480173</v>
      </c>
      <c r="T421" s="969">
        <v>0.54686000000000001</v>
      </c>
      <c r="U421" s="966">
        <v>3395.8</v>
      </c>
      <c r="V421" s="966">
        <v>200.96</v>
      </c>
      <c r="W421" s="971">
        <f t="shared" si="6"/>
        <v>2.7212380573248406E-3</v>
      </c>
      <c r="Y421" s="967">
        <v>44879</v>
      </c>
      <c r="Z421" s="974">
        <f ca="1">H371*Valuation_Senario!$L$372</f>
        <v>4112.5753587700001</v>
      </c>
      <c r="AA421" s="973">
        <v>11.72</v>
      </c>
      <c r="AM421" s="967">
        <v>44809</v>
      </c>
      <c r="AN421" s="974">
        <v>4965.488175200001</v>
      </c>
      <c r="AO421" s="38">
        <v>0.48999494480173</v>
      </c>
    </row>
    <row r="422" spans="1:48">
      <c r="A422" s="966">
        <v>415</v>
      </c>
      <c r="B422" s="967">
        <v>44922</v>
      </c>
      <c r="C422" s="966">
        <v>43800</v>
      </c>
      <c r="D422" s="966">
        <v>30.754505200000001</v>
      </c>
      <c r="E422" s="966">
        <v>30.466105200000001</v>
      </c>
      <c r="F422" s="966">
        <v>127775.16</v>
      </c>
      <c r="G422" s="966">
        <v>64095.900160800004</v>
      </c>
      <c r="H422" s="974">
        <v>3445</v>
      </c>
      <c r="I422" s="966">
        <v>21.79</v>
      </c>
      <c r="J422" s="973">
        <v>1.46392075516</v>
      </c>
      <c r="L422" s="992">
        <v>45544</v>
      </c>
      <c r="M422" s="969">
        <v>98679.288690000001</v>
      </c>
      <c r="N422" s="969">
        <f t="shared" ca="1" si="7"/>
        <v>99703.934552860665</v>
      </c>
      <c r="O422" s="974">
        <v>1506.74</v>
      </c>
      <c r="Q422" s="967">
        <v>44804</v>
      </c>
      <c r="R422" s="966">
        <v>74000</v>
      </c>
      <c r="S422" s="971">
        <v>0.48999453493186002</v>
      </c>
      <c r="T422" s="969">
        <v>0.28839999999999999</v>
      </c>
      <c r="U422" s="966">
        <v>3395.8</v>
      </c>
      <c r="V422" s="966">
        <v>368.06</v>
      </c>
      <c r="W422" s="971">
        <f t="shared" si="6"/>
        <v>7.8356789653860777E-4</v>
      </c>
      <c r="Y422" s="967">
        <v>44876</v>
      </c>
      <c r="Z422" s="974">
        <f ca="1">H372*Valuation_Senario!$L$372</f>
        <v>4112.5753587700001</v>
      </c>
      <c r="AA422" s="973">
        <v>12.4</v>
      </c>
      <c r="AM422" s="967">
        <v>44804</v>
      </c>
      <c r="AN422" s="974">
        <v>4965.488175200001</v>
      </c>
      <c r="AO422" s="38">
        <v>0.48999453493186002</v>
      </c>
    </row>
    <row r="423" spans="1:48">
      <c r="A423" s="966">
        <v>416</v>
      </c>
      <c r="B423" s="967">
        <v>44921</v>
      </c>
      <c r="C423" s="966">
        <v>42600</v>
      </c>
      <c r="D423" s="966">
        <v>45.577190000000002</v>
      </c>
      <c r="E423" s="966">
        <v>45.51014</v>
      </c>
      <c r="F423" s="966">
        <v>126750.57</v>
      </c>
      <c r="G423" s="966">
        <v>62339.848101600001</v>
      </c>
      <c r="H423" s="974">
        <v>3445</v>
      </c>
      <c r="I423" s="966">
        <v>21.59</v>
      </c>
      <c r="J423" s="973">
        <v>1.46392123632</v>
      </c>
      <c r="L423" s="992">
        <v>45545</v>
      </c>
      <c r="M423" s="969">
        <v>99117.863306400002</v>
      </c>
      <c r="N423" s="969">
        <f t="shared" ca="1" si="7"/>
        <v>99703.934552860665</v>
      </c>
      <c r="O423" s="974">
        <v>1506.74</v>
      </c>
      <c r="Q423" s="967">
        <v>44803</v>
      </c>
      <c r="R423" s="966">
        <v>73300</v>
      </c>
      <c r="S423" s="971">
        <v>0.48999938505857998</v>
      </c>
      <c r="T423" s="969">
        <v>6.7049999999999998E-2</v>
      </c>
      <c r="U423" s="966">
        <v>3395.8</v>
      </c>
      <c r="V423" s="966">
        <v>358.65</v>
      </c>
      <c r="W423" s="971">
        <f t="shared" si="6"/>
        <v>1.8695106649937267E-4</v>
      </c>
      <c r="Y423" s="967">
        <v>44875</v>
      </c>
      <c r="Z423" s="974">
        <f ca="1">H373*Valuation_Senario!$L$372</f>
        <v>4112.5753587700001</v>
      </c>
      <c r="AA423" s="973">
        <v>12.21</v>
      </c>
      <c r="AM423" s="967">
        <v>44803</v>
      </c>
      <c r="AN423" s="974">
        <v>4965.488175200001</v>
      </c>
      <c r="AO423" s="38">
        <v>0.48999938505857998</v>
      </c>
    </row>
    <row r="424" spans="1:48">
      <c r="A424" s="966">
        <v>417</v>
      </c>
      <c r="B424" s="967">
        <v>44918</v>
      </c>
      <c r="C424" s="966">
        <v>45800</v>
      </c>
      <c r="D424" s="966">
        <v>126.54</v>
      </c>
      <c r="E424" s="966">
        <v>127.07241999999999</v>
      </c>
      <c r="F424" s="966">
        <v>127775.16</v>
      </c>
      <c r="G424" s="966">
        <v>67022.653592799994</v>
      </c>
      <c r="H424" s="974">
        <v>3445</v>
      </c>
      <c r="I424" s="966">
        <v>21.79</v>
      </c>
      <c r="J424" s="973">
        <v>1.46392267981</v>
      </c>
      <c r="L424" s="992">
        <v>45546</v>
      </c>
      <c r="M424" s="969">
        <v>99117.863306400002</v>
      </c>
      <c r="N424" s="969">
        <f t="shared" ca="1" si="7"/>
        <v>99703.934552860665</v>
      </c>
      <c r="O424" s="974">
        <v>1506.74</v>
      </c>
      <c r="Q424" s="967">
        <v>44802</v>
      </c>
      <c r="R424" s="966">
        <v>74000</v>
      </c>
      <c r="S424" s="971">
        <v>0.48999999986337001</v>
      </c>
      <c r="T424" s="969">
        <v>-0.53242</v>
      </c>
      <c r="U424" s="966">
        <v>3395.8</v>
      </c>
      <c r="V424" s="966">
        <v>681.25</v>
      </c>
      <c r="W424" s="971">
        <f t="shared" si="6"/>
        <v>-7.8153394495412845E-4</v>
      </c>
      <c r="Y424" s="967">
        <v>44874</v>
      </c>
      <c r="Z424" s="974">
        <f ca="1">H374*Valuation_Senario!$L$372</f>
        <v>4112.5753587700001</v>
      </c>
      <c r="AA424" s="973">
        <v>13.12</v>
      </c>
      <c r="AM424" s="967">
        <v>44802</v>
      </c>
      <c r="AN424" s="974">
        <v>4965.488175200001</v>
      </c>
      <c r="AO424" s="38">
        <v>0.48999999986337001</v>
      </c>
    </row>
    <row r="425" spans="1:48">
      <c r="A425" s="966">
        <v>418</v>
      </c>
      <c r="B425" s="967">
        <v>44917</v>
      </c>
      <c r="C425" s="966">
        <v>46500</v>
      </c>
      <c r="D425" s="966">
        <v>0</v>
      </c>
      <c r="E425" s="966">
        <v>0.57999999999999996</v>
      </c>
      <c r="F425" s="966">
        <v>125140.48</v>
      </c>
      <c r="G425" s="966">
        <v>68047.017294000005</v>
      </c>
      <c r="H425" s="974">
        <v>3444.99</v>
      </c>
      <c r="I425" s="966">
        <v>21.26</v>
      </c>
      <c r="J425" s="973">
        <v>1.4639231609700001</v>
      </c>
      <c r="L425" s="992">
        <v>45547</v>
      </c>
      <c r="M425" s="969">
        <v>98679.288690000001</v>
      </c>
      <c r="N425" s="969">
        <f t="shared" ca="1" si="7"/>
        <v>99703.934552860665</v>
      </c>
      <c r="O425" s="974">
        <v>1506.74</v>
      </c>
      <c r="Q425" s="967">
        <v>44799</v>
      </c>
      <c r="R425" s="966">
        <v>72200</v>
      </c>
      <c r="S425" s="971">
        <v>0.48999999986337001</v>
      </c>
      <c r="T425" s="969">
        <v>-0.57999999999999996</v>
      </c>
      <c r="U425" s="966">
        <v>3395.8</v>
      </c>
      <c r="V425" s="966">
        <v>778.22</v>
      </c>
      <c r="W425" s="971">
        <f t="shared" si="6"/>
        <v>-7.4529053481020785E-4</v>
      </c>
      <c r="Y425" s="967">
        <v>44873</v>
      </c>
      <c r="Z425" s="974">
        <f ca="1">H375*Valuation_Senario!$L$372</f>
        <v>4112.5753587700001</v>
      </c>
      <c r="AA425" s="973">
        <v>12.86</v>
      </c>
      <c r="AM425" s="967">
        <v>44799</v>
      </c>
      <c r="AN425" s="974">
        <v>4965.488175200001</v>
      </c>
      <c r="AO425" s="38">
        <v>0.48999999986337001</v>
      </c>
    </row>
    <row r="426" spans="1:48">
      <c r="A426" s="966">
        <v>419</v>
      </c>
      <c r="B426" s="967">
        <v>44916</v>
      </c>
      <c r="C426" s="966">
        <v>46400</v>
      </c>
      <c r="D426" s="966">
        <v>10.723649999999999</v>
      </c>
      <c r="E426" s="966">
        <v>10.642770000000001</v>
      </c>
      <c r="F426" s="966">
        <v>119578.39</v>
      </c>
      <c r="G426" s="966">
        <v>67900.679622399999</v>
      </c>
      <c r="H426" s="974">
        <v>3444.99</v>
      </c>
      <c r="I426" s="966">
        <v>20.14</v>
      </c>
      <c r="J426" s="973">
        <v>1.4639236421300001</v>
      </c>
      <c r="L426" s="992">
        <v>45548</v>
      </c>
      <c r="M426" s="969">
        <v>98240.7140736</v>
      </c>
      <c r="N426" s="969">
        <f t="shared" ca="1" si="7"/>
        <v>99703.934552860665</v>
      </c>
      <c r="O426" s="974">
        <v>1506.74</v>
      </c>
      <c r="Q426" s="967">
        <v>44798</v>
      </c>
      <c r="R426" s="966">
        <v>68400</v>
      </c>
      <c r="S426" s="971">
        <v>0.48999856531885</v>
      </c>
      <c r="T426" s="969">
        <v>8.0879999999999994E-2</v>
      </c>
      <c r="U426" s="966">
        <v>3395.8</v>
      </c>
      <c r="V426" s="966">
        <v>361.56</v>
      </c>
      <c r="W426" s="971">
        <f t="shared" si="6"/>
        <v>2.2369731164951874E-4</v>
      </c>
      <c r="Y426" s="967">
        <v>44872</v>
      </c>
      <c r="Z426" s="974">
        <f ca="1">H376*Valuation_Senario!$L$372</f>
        <v>4112.5753587700001</v>
      </c>
      <c r="AA426" s="973">
        <v>12.36</v>
      </c>
      <c r="AM426" s="967">
        <v>44798</v>
      </c>
      <c r="AN426" s="974">
        <v>4965.488175200001</v>
      </c>
      <c r="AO426" s="38">
        <v>0.48999856531885</v>
      </c>
    </row>
    <row r="427" spans="1:48">
      <c r="A427" s="966">
        <v>420</v>
      </c>
      <c r="B427" s="967">
        <v>44915</v>
      </c>
      <c r="C427" s="966">
        <v>46500</v>
      </c>
      <c r="D427" s="966">
        <v>16.489750000000001</v>
      </c>
      <c r="E427" s="966">
        <v>16.489750000000001</v>
      </c>
      <c r="F427" s="966">
        <v>117236.45</v>
      </c>
      <c r="G427" s="966">
        <v>68047.017294000005</v>
      </c>
      <c r="H427" s="974">
        <v>3444.99</v>
      </c>
      <c r="I427" s="966">
        <v>19.670000000000002</v>
      </c>
      <c r="J427" s="973">
        <v>1.46392412329</v>
      </c>
      <c r="L427" s="992">
        <v>45551</v>
      </c>
      <c r="M427" s="969">
        <v>96632.607146800001</v>
      </c>
      <c r="N427" s="969">
        <f t="shared" ca="1" si="7"/>
        <v>99703.934552860665</v>
      </c>
      <c r="O427" s="974">
        <v>1506.74</v>
      </c>
      <c r="Q427" s="967">
        <v>44797</v>
      </c>
      <c r="R427" s="966">
        <v>66800</v>
      </c>
      <c r="S427" s="971">
        <v>0.48999999986337001</v>
      </c>
      <c r="T427" s="969">
        <v>0</v>
      </c>
      <c r="U427" s="966">
        <v>3395.8</v>
      </c>
      <c r="V427" s="966">
        <v>164.51</v>
      </c>
      <c r="W427" s="971">
        <f t="shared" si="6"/>
        <v>0</v>
      </c>
      <c r="Y427" s="967">
        <v>44869</v>
      </c>
      <c r="Z427" s="974">
        <f ca="1">H377*Valuation_Senario!$L$372</f>
        <v>4112.5753587700001</v>
      </c>
      <c r="AA427" s="973">
        <v>13.28</v>
      </c>
      <c r="AM427" s="967">
        <v>44797</v>
      </c>
      <c r="AN427" s="974">
        <v>4965.488175200001</v>
      </c>
      <c r="AO427" s="38">
        <v>0.48999999986337001</v>
      </c>
    </row>
    <row r="428" spans="1:48">
      <c r="A428" s="966">
        <v>421</v>
      </c>
      <c r="B428" s="967">
        <v>44914</v>
      </c>
      <c r="C428" s="966">
        <v>47150</v>
      </c>
      <c r="D428" s="966">
        <v>31.097992000000001</v>
      </c>
      <c r="E428" s="966">
        <v>31.032091999999999</v>
      </c>
      <c r="F428" s="966">
        <v>117382.82</v>
      </c>
      <c r="G428" s="966">
        <v>68998.212159400005</v>
      </c>
      <c r="H428" s="974">
        <v>3444.99</v>
      </c>
      <c r="I428" s="966">
        <v>19.7</v>
      </c>
      <c r="J428" s="973">
        <v>1.4639246044600001</v>
      </c>
      <c r="L428" s="992">
        <v>45552</v>
      </c>
      <c r="M428" s="969">
        <v>97655.947918399994</v>
      </c>
      <c r="N428" s="969">
        <f t="shared" ca="1" si="7"/>
        <v>99703.934552860665</v>
      </c>
      <c r="O428" s="974">
        <v>1506.74</v>
      </c>
      <c r="Q428" s="967">
        <v>44796</v>
      </c>
      <c r="R428" s="966">
        <v>66900</v>
      </c>
      <c r="S428" s="971">
        <v>0.48999931674692998</v>
      </c>
      <c r="T428" s="969">
        <v>6.59E-2</v>
      </c>
      <c r="U428" s="966">
        <v>3395.8</v>
      </c>
      <c r="V428" s="966">
        <v>300.58</v>
      </c>
      <c r="W428" s="971">
        <f t="shared" si="6"/>
        <v>2.1924279725863332E-4</v>
      </c>
      <c r="Y428" s="967">
        <v>44868</v>
      </c>
      <c r="Z428" s="974">
        <f ca="1">H378*Valuation_Senario!$L$372</f>
        <v>4112.5753587700001</v>
      </c>
      <c r="AA428" s="973">
        <v>14.28</v>
      </c>
      <c r="AM428" s="967">
        <v>44796</v>
      </c>
      <c r="AN428" s="974">
        <v>4965.488175200001</v>
      </c>
      <c r="AO428" s="38">
        <v>0.48999931674692998</v>
      </c>
    </row>
    <row r="429" spans="1:48">
      <c r="A429" s="966">
        <v>422</v>
      </c>
      <c r="B429" s="967">
        <v>44911</v>
      </c>
      <c r="C429" s="966">
        <v>47850</v>
      </c>
      <c r="D429" s="966">
        <v>0</v>
      </c>
      <c r="E429" s="966">
        <v>0.13891999999999999</v>
      </c>
      <c r="F429" s="966">
        <v>116797.34</v>
      </c>
      <c r="G429" s="966">
        <v>70030.956453149993</v>
      </c>
      <c r="H429" s="974">
        <v>3444.99</v>
      </c>
      <c r="I429" s="966">
        <v>19.579999999999998</v>
      </c>
      <c r="J429" s="973">
        <v>1.4639246044600001</v>
      </c>
      <c r="L429" s="992">
        <v>45553</v>
      </c>
      <c r="M429" s="969">
        <v>99702.629461599994</v>
      </c>
      <c r="N429" s="969">
        <f t="shared" ca="1" si="7"/>
        <v>99703.934552860665</v>
      </c>
      <c r="O429" s="974">
        <v>1506.74</v>
      </c>
      <c r="Q429" s="967">
        <v>44795</v>
      </c>
      <c r="R429" s="966">
        <v>66500</v>
      </c>
      <c r="S429" s="971">
        <v>0.48999999986337001</v>
      </c>
      <c r="T429" s="969">
        <v>-0.13891999999999999</v>
      </c>
      <c r="U429" s="966">
        <v>3395.8</v>
      </c>
      <c r="V429" s="966">
        <v>387.06</v>
      </c>
      <c r="W429" s="971">
        <f t="shared" si="6"/>
        <v>-3.5891076318916962E-4</v>
      </c>
      <c r="Y429" s="967">
        <v>44867</v>
      </c>
      <c r="Z429" s="974">
        <f ca="1">H379*Valuation_Senario!$L$372</f>
        <v>4112.5753587700001</v>
      </c>
      <c r="AA429" s="973">
        <v>13.84</v>
      </c>
      <c r="AM429" s="967">
        <v>44795</v>
      </c>
      <c r="AN429" s="974">
        <v>4965.488175200001</v>
      </c>
      <c r="AO429" s="38">
        <v>0.48999999986337001</v>
      </c>
    </row>
    <row r="430" spans="1:48">
      <c r="A430" s="966">
        <v>423</v>
      </c>
      <c r="B430" s="967">
        <v>44910</v>
      </c>
      <c r="C430" s="966">
        <v>47000</v>
      </c>
      <c r="D430" s="966">
        <v>39.629350000000002</v>
      </c>
      <c r="E430" s="966">
        <v>39.622920000000001</v>
      </c>
      <c r="F430" s="966">
        <v>113284.44</v>
      </c>
      <c r="G430" s="966">
        <v>68786.937372999993</v>
      </c>
      <c r="H430" s="974">
        <v>3444.99</v>
      </c>
      <c r="I430" s="966">
        <v>18.88</v>
      </c>
      <c r="J430" s="973">
        <v>1.4639246044600001</v>
      </c>
      <c r="L430" s="992">
        <v>45554</v>
      </c>
      <c r="M430" s="969">
        <v>99702.629461599994</v>
      </c>
      <c r="N430" s="969">
        <f t="shared" ca="1" si="7"/>
        <v>99703.934552860665</v>
      </c>
      <c r="O430" s="974">
        <v>1506.74</v>
      </c>
      <c r="Q430" s="967">
        <v>44792</v>
      </c>
      <c r="R430" s="966">
        <v>64100</v>
      </c>
      <c r="S430" s="971">
        <v>0.48999979492843998</v>
      </c>
      <c r="T430" s="969">
        <v>6.43E-3</v>
      </c>
      <c r="U430" s="966">
        <v>3395.8</v>
      </c>
      <c r="V430" s="966">
        <v>185.97</v>
      </c>
      <c r="W430" s="971">
        <f t="shared" si="6"/>
        <v>3.4575469161692745E-5</v>
      </c>
      <c r="Y430" s="967">
        <v>44866</v>
      </c>
      <c r="Z430" s="974">
        <f ca="1">H380*Valuation_Senario!$L$372</f>
        <v>4112.5753587700001</v>
      </c>
      <c r="AA430" s="973">
        <v>14.45</v>
      </c>
      <c r="AM430" s="967">
        <v>44792</v>
      </c>
      <c r="AN430" s="974">
        <v>4965.488175200001</v>
      </c>
      <c r="AO430" s="38">
        <v>0.48999979492843998</v>
      </c>
    </row>
    <row r="431" spans="1:48">
      <c r="A431" s="966">
        <v>424</v>
      </c>
      <c r="B431" s="967">
        <v>44909</v>
      </c>
      <c r="C431" s="966">
        <v>46450</v>
      </c>
      <c r="D431" s="966">
        <v>26.6358</v>
      </c>
      <c r="E431" s="966">
        <v>26.700600000000001</v>
      </c>
      <c r="F431" s="966">
        <v>113869.92</v>
      </c>
      <c r="G431" s="966">
        <v>67981.983850549994</v>
      </c>
      <c r="H431" s="974">
        <v>3444.99</v>
      </c>
      <c r="I431" s="966">
        <v>18.989999999999998</v>
      </c>
      <c r="J431" s="973">
        <v>1.4639246044600001</v>
      </c>
      <c r="L431" s="992">
        <v>45555</v>
      </c>
      <c r="M431" s="969">
        <v>99410.246383999998</v>
      </c>
      <c r="N431" s="969">
        <f t="shared" ca="1" si="7"/>
        <v>99703.934552860665</v>
      </c>
      <c r="O431" s="974">
        <v>1506.74</v>
      </c>
      <c r="Q431" s="967">
        <v>44791</v>
      </c>
      <c r="R431" s="966">
        <v>64500</v>
      </c>
      <c r="S431" s="971">
        <v>0.48999999986337001</v>
      </c>
      <c r="T431" s="969">
        <v>-6.4799999999999996E-2</v>
      </c>
      <c r="U431" s="966">
        <v>3395.8</v>
      </c>
      <c r="V431" s="966">
        <v>290.98</v>
      </c>
      <c r="W431" s="971">
        <f t="shared" si="6"/>
        <v>-2.2269571791875729E-4</v>
      </c>
      <c r="Y431" s="967">
        <v>44865</v>
      </c>
      <c r="Z431" s="974">
        <f ca="1">H381*Valuation_Senario!$L$372</f>
        <v>4112.5753587700001</v>
      </c>
      <c r="AA431" s="973">
        <v>14.88</v>
      </c>
      <c r="AM431" s="967">
        <v>44791</v>
      </c>
      <c r="AN431" s="974">
        <v>4965.488175200001</v>
      </c>
      <c r="AO431" s="38">
        <v>0.48999999986337001</v>
      </c>
    </row>
    <row r="432" spans="1:48">
      <c r="A432" s="966">
        <v>425</v>
      </c>
      <c r="B432" s="967">
        <v>44908</v>
      </c>
      <c r="C432" s="966">
        <v>46400</v>
      </c>
      <c r="D432" s="966">
        <v>0</v>
      </c>
      <c r="E432" s="966">
        <v>0</v>
      </c>
      <c r="F432" s="966">
        <v>114601.78</v>
      </c>
      <c r="G432" s="966">
        <v>67908.806257599994</v>
      </c>
      <c r="H432" s="974">
        <v>3444.99</v>
      </c>
      <c r="I432" s="966">
        <v>19.14</v>
      </c>
      <c r="J432" s="973">
        <v>1.4639246044600001</v>
      </c>
      <c r="L432" s="992">
        <v>45558</v>
      </c>
      <c r="M432" s="969">
        <v>98386.905612400005</v>
      </c>
      <c r="N432" s="969">
        <f t="shared" ca="1" si="7"/>
        <v>99703.934552860665</v>
      </c>
      <c r="O432" s="974">
        <v>1506.74</v>
      </c>
      <c r="Q432" s="967">
        <v>44790</v>
      </c>
      <c r="R432" s="966">
        <v>65000</v>
      </c>
      <c r="S432" s="971">
        <v>0.48999996844001997</v>
      </c>
      <c r="T432" s="969">
        <v>0</v>
      </c>
      <c r="U432" s="966">
        <v>3395.8</v>
      </c>
      <c r="V432" s="966">
        <v>167.87</v>
      </c>
      <c r="W432" s="971">
        <f t="shared" si="6"/>
        <v>0</v>
      </c>
      <c r="Y432" s="967">
        <v>44862</v>
      </c>
      <c r="Z432" s="974">
        <f ca="1">H382*Valuation_Senario!$L$372</f>
        <v>4112.5753587700001</v>
      </c>
      <c r="AA432" s="973">
        <v>15.66</v>
      </c>
      <c r="AM432" s="967">
        <v>44790</v>
      </c>
      <c r="AN432" s="974">
        <v>4965.488175200001</v>
      </c>
      <c r="AO432" s="38">
        <v>0.48999996844001997</v>
      </c>
    </row>
    <row r="433" spans="1:41">
      <c r="A433" s="966">
        <v>426</v>
      </c>
      <c r="B433" s="967">
        <v>44907</v>
      </c>
      <c r="C433" s="966">
        <v>45900</v>
      </c>
      <c r="D433" s="966">
        <v>28.291304799999999</v>
      </c>
      <c r="E433" s="966">
        <v>28.311144800000001</v>
      </c>
      <c r="F433" s="966">
        <v>116065.49</v>
      </c>
      <c r="G433" s="966">
        <v>67177.030328099994</v>
      </c>
      <c r="H433" s="974">
        <v>3444.99</v>
      </c>
      <c r="I433" s="966">
        <v>19.440000000000001</v>
      </c>
      <c r="J433" s="973">
        <v>1.4639246044600001</v>
      </c>
      <c r="L433" s="992">
        <v>45559</v>
      </c>
      <c r="M433" s="969">
        <v>99556.437922800003</v>
      </c>
      <c r="N433" s="969">
        <f t="shared" ca="1" si="7"/>
        <v>99703.934552860665</v>
      </c>
      <c r="O433" s="974">
        <v>1506.74</v>
      </c>
      <c r="Q433" s="967">
        <v>44789</v>
      </c>
      <c r="R433" s="966">
        <v>66000</v>
      </c>
      <c r="S433" s="971">
        <v>0.48999996844001997</v>
      </c>
      <c r="T433" s="969">
        <v>-1.984E-2</v>
      </c>
      <c r="U433" s="966">
        <v>3395.8</v>
      </c>
      <c r="V433" s="966">
        <v>287.26</v>
      </c>
      <c r="W433" s="971">
        <f t="shared" si="6"/>
        <v>-6.9066351040868905E-5</v>
      </c>
      <c r="Y433" s="967">
        <v>44861</v>
      </c>
      <c r="Z433" s="974">
        <f ca="1">H383*Valuation_Senario!$L$372</f>
        <v>4112.5753587700001</v>
      </c>
      <c r="AA433" s="973">
        <v>15.69</v>
      </c>
      <c r="AM433" s="967">
        <v>44789</v>
      </c>
      <c r="AN433" s="974">
        <v>4965.488175200001</v>
      </c>
      <c r="AO433" s="38">
        <v>0.48999996844001997</v>
      </c>
    </row>
    <row r="434" spans="1:41">
      <c r="A434" s="966">
        <v>427</v>
      </c>
      <c r="B434" s="967">
        <v>44904</v>
      </c>
      <c r="C434" s="966">
        <v>46200</v>
      </c>
      <c r="D434" s="966">
        <v>75.926145000000005</v>
      </c>
      <c r="E434" s="966">
        <v>75.938865000000007</v>
      </c>
      <c r="F434" s="966">
        <v>114601.78</v>
      </c>
      <c r="G434" s="966">
        <v>67616.095885799994</v>
      </c>
      <c r="H434" s="974">
        <v>3444.99</v>
      </c>
      <c r="I434" s="966">
        <v>19.14</v>
      </c>
      <c r="J434" s="973">
        <v>1.4639246044600001</v>
      </c>
      <c r="K434" s="993"/>
      <c r="L434" s="992">
        <v>45560</v>
      </c>
      <c r="M434" s="969">
        <v>100433.58715560001</v>
      </c>
      <c r="N434" s="969">
        <f t="shared" ca="1" si="7"/>
        <v>99703.934552860665</v>
      </c>
      <c r="O434" s="974">
        <v>1506.74</v>
      </c>
      <c r="Q434" s="967">
        <v>44788</v>
      </c>
      <c r="R434" s="966">
        <v>65000</v>
      </c>
      <c r="S434" s="971">
        <v>0.48999996844001997</v>
      </c>
      <c r="T434" s="969">
        <v>-1.272E-2</v>
      </c>
      <c r="U434" s="966">
        <v>3395.8</v>
      </c>
      <c r="V434" s="966">
        <v>359.89</v>
      </c>
      <c r="W434" s="971">
        <f t="shared" si="6"/>
        <v>-3.5344132929506242E-5</v>
      </c>
      <c r="Y434" s="967">
        <v>44860</v>
      </c>
      <c r="Z434" s="974">
        <f ca="1">H384*Valuation_Senario!$L$372</f>
        <v>4112.5753587700001</v>
      </c>
      <c r="AA434" s="973">
        <v>15.28</v>
      </c>
      <c r="AM434" s="967">
        <v>44788</v>
      </c>
      <c r="AN434" s="974">
        <v>4965.488175200001</v>
      </c>
      <c r="AO434" s="38">
        <v>0.48999996844001997</v>
      </c>
    </row>
    <row r="435" spans="1:41">
      <c r="A435" s="966">
        <v>428</v>
      </c>
      <c r="B435" s="967">
        <v>44903</v>
      </c>
      <c r="C435" s="966">
        <v>46000</v>
      </c>
      <c r="D435" s="966">
        <v>33.118340000000003</v>
      </c>
      <c r="E435" s="966">
        <v>32.200000000000003</v>
      </c>
      <c r="F435" s="966">
        <v>111674.36</v>
      </c>
      <c r="G435" s="966">
        <v>67323.385513999994</v>
      </c>
      <c r="H435" s="974">
        <v>3444.99</v>
      </c>
      <c r="I435" s="966">
        <v>18.55</v>
      </c>
      <c r="J435" s="973">
        <v>1.4639246044600001</v>
      </c>
      <c r="L435" s="992">
        <v>45561</v>
      </c>
      <c r="M435" s="969">
        <v>99848.821000399999</v>
      </c>
      <c r="N435" s="969">
        <f t="shared" ca="1" si="7"/>
        <v>99703.934552860665</v>
      </c>
      <c r="O435" s="974">
        <v>1506.74</v>
      </c>
      <c r="Q435" s="967">
        <v>44785</v>
      </c>
      <c r="R435" s="966">
        <v>63000</v>
      </c>
      <c r="S435" s="971">
        <v>0.48998999494001</v>
      </c>
      <c r="T435" s="969">
        <v>0.91834000000000005</v>
      </c>
      <c r="U435" s="966">
        <v>3395.8</v>
      </c>
      <c r="V435" s="966">
        <v>186.12</v>
      </c>
      <c r="W435" s="971">
        <f t="shared" si="6"/>
        <v>4.9341285192349028E-3</v>
      </c>
      <c r="Y435" s="967">
        <v>44859</v>
      </c>
      <c r="Z435" s="974">
        <f ca="1">H385*Valuation_Senario!$L$372</f>
        <v>4112.5753587700001</v>
      </c>
      <c r="AA435" s="973">
        <v>15.31</v>
      </c>
      <c r="AM435" s="967">
        <v>44785</v>
      </c>
      <c r="AN435" s="974">
        <v>4965.488175200001</v>
      </c>
      <c r="AO435" s="38">
        <v>0.48998999494001</v>
      </c>
    </row>
    <row r="436" spans="1:41">
      <c r="A436" s="966">
        <v>429</v>
      </c>
      <c r="B436" s="967">
        <v>44902</v>
      </c>
      <c r="C436" s="966">
        <v>44850</v>
      </c>
      <c r="D436" s="966">
        <v>45.941718799999997</v>
      </c>
      <c r="E436" s="966">
        <v>45.941718799999997</v>
      </c>
      <c r="F436" s="966">
        <v>111674.36</v>
      </c>
      <c r="G436" s="966">
        <v>65640.300876149995</v>
      </c>
      <c r="H436" s="974">
        <v>3444.99</v>
      </c>
      <c r="I436" s="966">
        <v>18.55</v>
      </c>
      <c r="J436" s="973">
        <v>1.4639246044600001</v>
      </c>
      <c r="L436" s="992">
        <v>45562</v>
      </c>
      <c r="M436" s="969">
        <v>98679.288690000001</v>
      </c>
      <c r="N436" s="969">
        <f t="shared" ca="1" si="7"/>
        <v>99703.934552860665</v>
      </c>
      <c r="O436" s="974">
        <v>1506.74</v>
      </c>
      <c r="Q436" s="967">
        <v>44784</v>
      </c>
      <c r="R436" s="966">
        <v>63000</v>
      </c>
      <c r="S436" s="971">
        <v>0.48999999986337001</v>
      </c>
      <c r="T436" s="969">
        <v>0</v>
      </c>
      <c r="U436" s="966">
        <v>3395.8</v>
      </c>
      <c r="V436" s="966">
        <v>218.48</v>
      </c>
      <c r="W436" s="971">
        <f t="shared" si="6"/>
        <v>0</v>
      </c>
      <c r="Y436" s="967">
        <v>44858</v>
      </c>
      <c r="Z436" s="974">
        <f ca="1">H386*Valuation_Senario!$L$372</f>
        <v>4112.5753587700001</v>
      </c>
      <c r="AA436" s="973">
        <v>14.9</v>
      </c>
      <c r="AM436" s="967">
        <v>44784</v>
      </c>
      <c r="AN436" s="974">
        <v>4965.488175200001</v>
      </c>
      <c r="AO436" s="38">
        <v>0.48999999986337001</v>
      </c>
    </row>
    <row r="437" spans="1:41">
      <c r="A437" s="966">
        <v>430</v>
      </c>
      <c r="B437" s="967">
        <v>44901</v>
      </c>
      <c r="C437" s="966">
        <v>44350</v>
      </c>
      <c r="D437" s="966">
        <v>35.078249999999997</v>
      </c>
      <c r="E437" s="966">
        <v>35.078249999999997</v>
      </c>
      <c r="F437" s="966">
        <v>112552.58</v>
      </c>
      <c r="G437" s="966">
        <v>64908.524946650003</v>
      </c>
      <c r="H437" s="974">
        <v>3444.99</v>
      </c>
      <c r="I437" s="966">
        <v>18.73</v>
      </c>
      <c r="J437" s="973">
        <v>1.4639246044600001</v>
      </c>
      <c r="L437" s="992">
        <v>45565</v>
      </c>
      <c r="M437" s="969">
        <v>99556.437922800003</v>
      </c>
      <c r="N437" s="969">
        <f t="shared" ca="1" si="7"/>
        <v>99703.934552860665</v>
      </c>
      <c r="O437" s="974">
        <v>1506.74</v>
      </c>
      <c r="Q437" s="967">
        <v>44783</v>
      </c>
      <c r="R437" s="966">
        <v>63600</v>
      </c>
      <c r="S437" s="971">
        <v>0.48999999986337001</v>
      </c>
      <c r="T437" s="969">
        <v>0</v>
      </c>
      <c r="U437" s="966">
        <v>3395.8</v>
      </c>
      <c r="V437" s="966">
        <v>161.06</v>
      </c>
      <c r="W437" s="971">
        <f t="shared" si="6"/>
        <v>0</v>
      </c>
      <c r="Y437" s="967">
        <v>44855</v>
      </c>
      <c r="Z437" s="974">
        <f ca="1">H387*Valuation_Senario!$L$372</f>
        <v>4112.5753587700001</v>
      </c>
      <c r="AA437" s="973">
        <v>16.02</v>
      </c>
      <c r="AM437" s="967">
        <v>44783</v>
      </c>
      <c r="AN437" s="974">
        <v>4965.488175200001</v>
      </c>
      <c r="AO437" s="38">
        <v>0.48999999986337001</v>
      </c>
    </row>
    <row r="438" spans="1:41">
      <c r="A438" s="966">
        <v>431</v>
      </c>
      <c r="B438" s="967">
        <v>44900</v>
      </c>
      <c r="C438" s="966">
        <v>47600</v>
      </c>
      <c r="D438" s="966">
        <v>46.084376900000002</v>
      </c>
      <c r="E438" s="966">
        <v>52.390716900000001</v>
      </c>
      <c r="F438" s="966">
        <v>112113.47</v>
      </c>
      <c r="G438" s="966">
        <v>69665.068488399993</v>
      </c>
      <c r="H438" s="974">
        <v>3444.99</v>
      </c>
      <c r="I438" s="966">
        <v>18.64</v>
      </c>
      <c r="J438" s="973">
        <v>1.4639246044600001</v>
      </c>
      <c r="L438" s="992">
        <v>45566</v>
      </c>
      <c r="M438" s="969">
        <v>99117.863306400002</v>
      </c>
      <c r="N438" s="969">
        <f t="shared" ref="N438:N473" ca="1" si="8">N437</f>
        <v>99703.934552860665</v>
      </c>
      <c r="O438" s="974">
        <v>1506.74</v>
      </c>
      <c r="Q438" s="967">
        <v>44782</v>
      </c>
      <c r="R438" s="966">
        <v>63300</v>
      </c>
      <c r="S438" s="971">
        <v>0.48999999986337001</v>
      </c>
      <c r="T438" s="969">
        <v>-6.3063399999999996</v>
      </c>
      <c r="U438" s="966">
        <v>3395.8</v>
      </c>
      <c r="V438" s="966">
        <v>223.74</v>
      </c>
      <c r="W438" s="971">
        <f t="shared" si="6"/>
        <v>-2.818601948690444E-2</v>
      </c>
      <c r="Y438" s="967">
        <v>44854</v>
      </c>
      <c r="Z438" s="974">
        <f ca="1">H388*Valuation_Senario!$L$372</f>
        <v>4112.5753587700001</v>
      </c>
      <c r="AA438" s="973">
        <v>17.2</v>
      </c>
      <c r="AM438" s="967">
        <v>44782</v>
      </c>
      <c r="AN438" s="974">
        <v>4965.488175200001</v>
      </c>
      <c r="AO438" s="38">
        <v>0.48999999986337001</v>
      </c>
    </row>
    <row r="439" spans="1:41">
      <c r="A439" s="966">
        <v>432</v>
      </c>
      <c r="B439" s="967">
        <v>44897</v>
      </c>
      <c r="C439" s="966">
        <v>47000</v>
      </c>
      <c r="D439" s="966">
        <v>55.253430399999999</v>
      </c>
      <c r="E439" s="966">
        <v>56.937770399999998</v>
      </c>
      <c r="F439" s="966">
        <v>111527.99</v>
      </c>
      <c r="G439" s="966">
        <v>68786.937372999993</v>
      </c>
      <c r="H439" s="974">
        <v>3444.99</v>
      </c>
      <c r="I439" s="966">
        <v>18.52</v>
      </c>
      <c r="J439" s="973">
        <v>1.4639246044600001</v>
      </c>
      <c r="L439" s="992">
        <v>45567</v>
      </c>
      <c r="M439" s="969">
        <v>98533.097151199996</v>
      </c>
      <c r="N439" s="969">
        <f t="shared" ca="1" si="8"/>
        <v>99703.934552860665</v>
      </c>
      <c r="O439" s="974">
        <v>1506.74</v>
      </c>
      <c r="Q439" s="967">
        <v>44781</v>
      </c>
      <c r="R439" s="966">
        <v>62900</v>
      </c>
      <c r="S439" s="971">
        <v>0.48999902589371003</v>
      </c>
      <c r="T439" s="969">
        <v>-1.6843399999999999</v>
      </c>
      <c r="U439" s="966">
        <v>3395.8</v>
      </c>
      <c r="V439" s="966">
        <v>211.14</v>
      </c>
      <c r="W439" s="971">
        <f t="shared" si="6"/>
        <v>-7.977360992706262E-3</v>
      </c>
      <c r="Y439" s="967">
        <v>44853</v>
      </c>
      <c r="Z439" s="974">
        <f ca="1">H389*Valuation_Senario!$L$372</f>
        <v>4112.5753587700001</v>
      </c>
      <c r="AA439" s="973">
        <v>17.37</v>
      </c>
      <c r="AM439" s="967">
        <v>44781</v>
      </c>
      <c r="AN439" s="974">
        <v>4965.488175200001</v>
      </c>
      <c r="AO439" s="38">
        <v>0.48999902589371003</v>
      </c>
    </row>
    <row r="440" spans="1:41">
      <c r="A440" s="966">
        <v>433</v>
      </c>
      <c r="B440" s="967">
        <v>44896</v>
      </c>
      <c r="C440" s="966">
        <v>44050</v>
      </c>
      <c r="D440" s="966">
        <v>74.890259999999998</v>
      </c>
      <c r="E440" s="966">
        <v>74.475120000000004</v>
      </c>
      <c r="F440" s="966">
        <v>111235.24</v>
      </c>
      <c r="G440" s="966">
        <v>64469.459388950003</v>
      </c>
      <c r="H440" s="974">
        <v>3444.99</v>
      </c>
      <c r="I440" s="966">
        <v>18.46</v>
      </c>
      <c r="J440" s="973">
        <v>1.4639246044600001</v>
      </c>
      <c r="L440" s="992">
        <v>45568</v>
      </c>
      <c r="M440" s="969">
        <v>96924.990224399997</v>
      </c>
      <c r="N440" s="969">
        <f t="shared" ca="1" si="8"/>
        <v>99703.934552860665</v>
      </c>
      <c r="O440" s="974">
        <v>1506.74</v>
      </c>
      <c r="Q440" s="967">
        <v>44778</v>
      </c>
      <c r="R440" s="966">
        <v>62700</v>
      </c>
      <c r="S440" s="971">
        <v>0.48999547425111001</v>
      </c>
      <c r="T440" s="969">
        <v>0.41514000000000001</v>
      </c>
      <c r="U440" s="966">
        <v>3395.8</v>
      </c>
      <c r="V440" s="966">
        <v>244.96</v>
      </c>
      <c r="W440" s="971">
        <f t="shared" si="6"/>
        <v>1.6947256694970607E-3</v>
      </c>
      <c r="Y440" s="967">
        <v>44852</v>
      </c>
      <c r="Z440" s="974">
        <f ca="1">H390*Valuation_Senario!$L$372</f>
        <v>4112.5753587700001</v>
      </c>
      <c r="AA440" s="973">
        <v>17.37</v>
      </c>
      <c r="AM440" s="967">
        <v>44778</v>
      </c>
      <c r="AN440" s="974">
        <v>4965.488175200001</v>
      </c>
      <c r="AO440" s="38">
        <v>0.48999547425111001</v>
      </c>
    </row>
    <row r="441" spans="1:41">
      <c r="A441" s="966">
        <v>434</v>
      </c>
      <c r="B441" s="967">
        <v>44895</v>
      </c>
      <c r="C441" s="966">
        <v>44100</v>
      </c>
      <c r="D441" s="966">
        <v>25.466597199999999</v>
      </c>
      <c r="E441" s="966">
        <v>25.155597199999999</v>
      </c>
      <c r="F441" s="966">
        <v>111235.24</v>
      </c>
      <c r="G441" s="966">
        <v>64542.636981900003</v>
      </c>
      <c r="H441" s="974">
        <v>3444.99</v>
      </c>
      <c r="I441" s="966">
        <v>18.46</v>
      </c>
      <c r="J441" s="973">
        <v>1.4639246044600001</v>
      </c>
      <c r="L441" s="992">
        <v>45569</v>
      </c>
      <c r="M441" s="969">
        <v>97071.181763200002</v>
      </c>
      <c r="N441" s="969">
        <f t="shared" ca="1" si="8"/>
        <v>99703.934552860665</v>
      </c>
      <c r="O441" s="974">
        <v>1506.74</v>
      </c>
      <c r="Q441" s="967">
        <v>44777</v>
      </c>
      <c r="R441" s="966">
        <v>62700</v>
      </c>
      <c r="S441" s="971">
        <v>0.48999656706421002</v>
      </c>
      <c r="T441" s="969">
        <v>0.311</v>
      </c>
      <c r="U441" s="966">
        <v>3395.8</v>
      </c>
      <c r="V441" s="966">
        <v>296.76</v>
      </c>
      <c r="W441" s="971">
        <f t="shared" si="6"/>
        <v>1.0479849036258257E-3</v>
      </c>
      <c r="Y441" s="967">
        <v>44851</v>
      </c>
      <c r="Z441" s="974">
        <f ca="1">H391*Valuation_Senario!$L$372</f>
        <v>4112.5753587700001</v>
      </c>
      <c r="AA441" s="973">
        <v>17.34</v>
      </c>
      <c r="AM441" s="967">
        <v>44777</v>
      </c>
      <c r="AN441" s="974">
        <v>4965.488175200001</v>
      </c>
      <c r="AO441" s="38">
        <v>0.48999656706421002</v>
      </c>
    </row>
    <row r="442" spans="1:41">
      <c r="A442" s="966">
        <v>435</v>
      </c>
      <c r="B442" s="967">
        <v>44894</v>
      </c>
      <c r="C442" s="966">
        <v>42800</v>
      </c>
      <c r="D442" s="966">
        <v>69.745599999999996</v>
      </c>
      <c r="E442" s="966">
        <v>67.773669999999996</v>
      </c>
      <c r="F442" s="966">
        <v>109917.9</v>
      </c>
      <c r="G442" s="966">
        <v>62640.019565199997</v>
      </c>
      <c r="H442" s="974">
        <v>3444.99</v>
      </c>
      <c r="I442" s="966">
        <v>18.2</v>
      </c>
      <c r="J442" s="973">
        <v>1.4639246044600001</v>
      </c>
      <c r="L442" s="992">
        <v>45572</v>
      </c>
      <c r="M442" s="969">
        <v>96924.990224399997</v>
      </c>
      <c r="N442" s="969">
        <f t="shared" ca="1" si="8"/>
        <v>99703.934552860665</v>
      </c>
      <c r="O442" s="974">
        <v>1506.74</v>
      </c>
      <c r="Q442" s="967">
        <v>44776</v>
      </c>
      <c r="R442" s="966">
        <v>61800</v>
      </c>
      <c r="S442" s="971">
        <v>0.48997730623316998</v>
      </c>
      <c r="T442" s="969">
        <v>1.97193</v>
      </c>
      <c r="U442" s="966">
        <v>3395.8</v>
      </c>
      <c r="V442" s="966">
        <v>231.74</v>
      </c>
      <c r="W442" s="971">
        <f t="shared" si="6"/>
        <v>8.5092344869250013E-3</v>
      </c>
      <c r="Y442" s="967">
        <v>44848</v>
      </c>
      <c r="Z442" s="974">
        <f ca="1">H392*Valuation_Senario!$L$372</f>
        <v>4112.5753587700001</v>
      </c>
      <c r="AA442" s="973">
        <v>17.64</v>
      </c>
      <c r="AM442" s="967">
        <v>44776</v>
      </c>
      <c r="AN442" s="974">
        <v>4965.488175200001</v>
      </c>
      <c r="AO442" s="38">
        <v>0.48997730623316998</v>
      </c>
    </row>
    <row r="443" spans="1:41">
      <c r="A443" s="966">
        <v>436</v>
      </c>
      <c r="B443" s="967">
        <v>44893</v>
      </c>
      <c r="C443" s="966">
        <v>40150</v>
      </c>
      <c r="D443" s="966">
        <v>2.5061599999999999</v>
      </c>
      <c r="E443" s="966">
        <v>2.3789600000000002</v>
      </c>
      <c r="F443" s="966">
        <v>110210.65</v>
      </c>
      <c r="G443" s="966">
        <v>58761.607138849999</v>
      </c>
      <c r="H443" s="974">
        <v>3444.99</v>
      </c>
      <c r="I443" s="966">
        <v>18.260000000000002</v>
      </c>
      <c r="J443" s="973">
        <v>1.4639246044600001</v>
      </c>
      <c r="L443" s="992">
        <v>45573</v>
      </c>
      <c r="M443" s="969">
        <v>95316.883297599998</v>
      </c>
      <c r="N443" s="969">
        <f t="shared" ca="1" si="8"/>
        <v>99703.934552860665</v>
      </c>
      <c r="O443" s="974">
        <v>1506.74</v>
      </c>
      <c r="Q443" s="967">
        <v>44775</v>
      </c>
      <c r="R443" s="966">
        <v>62000</v>
      </c>
      <c r="S443" s="971">
        <v>0.48999403993390001</v>
      </c>
      <c r="T443" s="969">
        <v>0.12720000000000001</v>
      </c>
      <c r="U443" s="966">
        <v>3395.8</v>
      </c>
      <c r="V443" s="966">
        <v>133.5</v>
      </c>
      <c r="W443" s="971">
        <f t="shared" si="6"/>
        <v>9.5280898876404501E-4</v>
      </c>
      <c r="Y443" s="967">
        <v>44847</v>
      </c>
      <c r="Z443" s="974">
        <f ca="1">H393*Valuation_Senario!$L$372</f>
        <v>4112.5753587700001</v>
      </c>
      <c r="AA443" s="973">
        <v>16.96</v>
      </c>
      <c r="AM443" s="967">
        <v>44775</v>
      </c>
      <c r="AN443" s="974">
        <v>4965.488175200001</v>
      </c>
      <c r="AO443" s="38">
        <v>0.48999403993390001</v>
      </c>
    </row>
    <row r="444" spans="1:41">
      <c r="A444" s="966">
        <v>437</v>
      </c>
      <c r="B444" s="967">
        <v>44890</v>
      </c>
      <c r="C444" s="966">
        <v>37800</v>
      </c>
      <c r="D444" s="966">
        <v>59.407527999999999</v>
      </c>
      <c r="E444" s="966">
        <v>59.709028000000004</v>
      </c>
      <c r="F444" s="966">
        <v>109186.05</v>
      </c>
      <c r="G444" s="966">
        <v>55322.2602702</v>
      </c>
      <c r="H444" s="974">
        <v>3444.99</v>
      </c>
      <c r="I444" s="966">
        <v>18.05</v>
      </c>
      <c r="J444" s="973">
        <v>1.4639246044600001</v>
      </c>
      <c r="L444" s="992">
        <v>45574</v>
      </c>
      <c r="M444" s="969">
        <v>93854.967909600004</v>
      </c>
      <c r="N444" s="969">
        <f t="shared" ca="1" si="8"/>
        <v>99703.934552860665</v>
      </c>
      <c r="O444" s="974">
        <v>1506.74</v>
      </c>
      <c r="Q444" s="967">
        <v>44774</v>
      </c>
      <c r="R444" s="966">
        <v>61300</v>
      </c>
      <c r="S444" s="971">
        <v>0.48999998210517998</v>
      </c>
      <c r="T444" s="969">
        <v>-0.30149999999999999</v>
      </c>
      <c r="U444" s="966">
        <v>3395.8</v>
      </c>
      <c r="V444" s="966">
        <v>258.25</v>
      </c>
      <c r="W444" s="971">
        <f t="shared" si="6"/>
        <v>-1.1674733785091965E-3</v>
      </c>
      <c r="Y444" s="967">
        <v>44846</v>
      </c>
      <c r="Z444" s="974">
        <f ca="1">H394*Valuation_Senario!$L$372</f>
        <v>4112.5753587700001</v>
      </c>
      <c r="AA444" s="973">
        <v>16.93</v>
      </c>
      <c r="AM444" s="967">
        <v>44774</v>
      </c>
      <c r="AN444" s="974">
        <v>4965.488175200001</v>
      </c>
      <c r="AO444" s="38">
        <v>0.48999998210517998</v>
      </c>
    </row>
    <row r="445" spans="1:41">
      <c r="A445" s="966">
        <v>438</v>
      </c>
      <c r="B445" s="967">
        <v>44889</v>
      </c>
      <c r="C445" s="966">
        <v>37700</v>
      </c>
      <c r="D445" s="966">
        <v>60.192399999999999</v>
      </c>
      <c r="E445" s="966">
        <v>62.004640000000002</v>
      </c>
      <c r="F445" s="966">
        <v>110525.21</v>
      </c>
      <c r="G445" s="966">
        <v>55175.9050843</v>
      </c>
      <c r="H445" s="974">
        <v>3444.99</v>
      </c>
      <c r="I445" s="966">
        <v>17.68</v>
      </c>
      <c r="J445" s="973">
        <v>1.4639246044600001</v>
      </c>
      <c r="L445" s="992">
        <v>45575</v>
      </c>
      <c r="M445" s="969">
        <v>95024.500220000002</v>
      </c>
      <c r="N445" s="969">
        <f t="shared" ca="1" si="8"/>
        <v>99703.934552860665</v>
      </c>
      <c r="O445" s="974">
        <v>1506.74</v>
      </c>
      <c r="Q445" s="967">
        <v>44771</v>
      </c>
      <c r="R445" s="966">
        <v>61000</v>
      </c>
      <c r="S445" s="971">
        <v>0.48999759157650002</v>
      </c>
      <c r="T445" s="969">
        <v>-1.8122400000000001</v>
      </c>
      <c r="U445" s="966">
        <v>3449.34</v>
      </c>
      <c r="V445" s="966">
        <v>266.58999999999997</v>
      </c>
      <c r="W445" s="971">
        <f t="shared" si="6"/>
        <v>-6.797854383135152E-3</v>
      </c>
      <c r="Y445" s="967">
        <v>44845</v>
      </c>
      <c r="Z445" s="974">
        <f ca="1">H395*Valuation_Senario!$L$372</f>
        <v>4112.5753587700001</v>
      </c>
      <c r="AA445" s="973">
        <v>16.309999999999999</v>
      </c>
      <c r="AM445" s="967">
        <v>44771</v>
      </c>
      <c r="AN445" s="974">
        <v>5043.7767189600008</v>
      </c>
      <c r="AO445" s="38">
        <v>0.48999759157650002</v>
      </c>
    </row>
    <row r="446" spans="1:41">
      <c r="A446" s="966">
        <v>439</v>
      </c>
      <c r="B446" s="967">
        <v>44888</v>
      </c>
      <c r="C446" s="966">
        <v>40500</v>
      </c>
      <c r="D446" s="966">
        <v>83.726900000000001</v>
      </c>
      <c r="E446" s="966">
        <v>83.508629999999997</v>
      </c>
      <c r="F446" s="966">
        <v>111988.92</v>
      </c>
      <c r="G446" s="966">
        <v>59273.850289499998</v>
      </c>
      <c r="H446" s="974">
        <v>3444.99</v>
      </c>
      <c r="I446" s="966">
        <v>17.97</v>
      </c>
      <c r="J446" s="973">
        <v>1.4639246044600001</v>
      </c>
      <c r="L446" s="992">
        <v>45576</v>
      </c>
      <c r="M446" s="969">
        <v>94293.542526000005</v>
      </c>
      <c r="N446" s="969">
        <f t="shared" ca="1" si="8"/>
        <v>99703.934552860665</v>
      </c>
      <c r="O446" s="974">
        <v>1506.74</v>
      </c>
      <c r="Q446" s="967">
        <v>44770</v>
      </c>
      <c r="R446" s="966">
        <v>62000</v>
      </c>
      <c r="S446" s="971">
        <v>0.48999171770604</v>
      </c>
      <c r="T446" s="969">
        <v>0.21826999999999999</v>
      </c>
      <c r="U446" s="966">
        <v>3449.47</v>
      </c>
      <c r="V446" s="966">
        <v>204.93</v>
      </c>
      <c r="W446" s="971">
        <f t="shared" si="6"/>
        <v>1.0650953984287317E-3</v>
      </c>
      <c r="Y446" s="967">
        <v>44844</v>
      </c>
      <c r="Z446" s="974">
        <f ca="1">H396*Valuation_Senario!$L$372</f>
        <v>4112.5753587700001</v>
      </c>
      <c r="AA446" s="973">
        <v>16.809999999999999</v>
      </c>
      <c r="AM446" s="967">
        <v>44770</v>
      </c>
      <c r="AN446" s="974">
        <v>5043.96681068</v>
      </c>
      <c r="AO446" s="38">
        <v>0.48999171770604</v>
      </c>
    </row>
    <row r="447" spans="1:41">
      <c r="A447" s="966">
        <v>440</v>
      </c>
      <c r="B447" s="967">
        <v>44887</v>
      </c>
      <c r="C447" s="966">
        <v>40200</v>
      </c>
      <c r="D447" s="966">
        <v>150.27575999999999</v>
      </c>
      <c r="E447" s="966">
        <v>111.01860000000001</v>
      </c>
      <c r="F447" s="966">
        <v>112135.29</v>
      </c>
      <c r="G447" s="966">
        <v>58834.784731799999</v>
      </c>
      <c r="H447" s="974">
        <v>3444.99</v>
      </c>
      <c r="I447" s="966">
        <v>18</v>
      </c>
      <c r="J447" s="973">
        <v>1.4639246044600001</v>
      </c>
      <c r="L447" s="992">
        <v>45579</v>
      </c>
      <c r="M447" s="969">
        <v>92977.818676800001</v>
      </c>
      <c r="N447" s="969">
        <f t="shared" ca="1" si="8"/>
        <v>99703.934552860665</v>
      </c>
      <c r="O447" s="974">
        <v>1506.74</v>
      </c>
      <c r="Q447" s="967">
        <v>44769</v>
      </c>
      <c r="R447" s="966">
        <v>62100</v>
      </c>
      <c r="S447" s="971">
        <v>0.48955595847877997</v>
      </c>
      <c r="T447" s="969">
        <v>39.257159999999999</v>
      </c>
      <c r="U447" s="966">
        <v>3449.6</v>
      </c>
      <c r="V447" s="966">
        <v>227.35</v>
      </c>
      <c r="W447" s="971">
        <f t="shared" si="6"/>
        <v>0.17267279524961512</v>
      </c>
      <c r="Y447" s="967">
        <v>44841</v>
      </c>
      <c r="Z447" s="974">
        <f ca="1">H397*Valuation_Senario!$L$372</f>
        <v>4112.5753587700001</v>
      </c>
      <c r="AA447" s="973">
        <v>15.9</v>
      </c>
      <c r="AM447" s="967">
        <v>44769</v>
      </c>
      <c r="AN447" s="974">
        <v>5044.1569024</v>
      </c>
      <c r="AO447" s="38">
        <v>0.48955595847877997</v>
      </c>
    </row>
    <row r="448" spans="1:41">
      <c r="A448" s="966">
        <v>441</v>
      </c>
      <c r="B448" s="967">
        <v>44886</v>
      </c>
      <c r="C448" s="966">
        <v>40650</v>
      </c>
      <c r="D448" s="966">
        <v>59.353110000000001</v>
      </c>
      <c r="E448" s="966">
        <v>37.216050000000003</v>
      </c>
      <c r="F448" s="966">
        <v>113452.63</v>
      </c>
      <c r="G448" s="966">
        <v>59493.383068349998</v>
      </c>
      <c r="H448" s="974">
        <v>3444.99</v>
      </c>
      <c r="I448" s="966">
        <v>18.260000000000002</v>
      </c>
      <c r="J448" s="973">
        <v>1.4639246044600001</v>
      </c>
      <c r="L448" s="992">
        <v>45580</v>
      </c>
      <c r="M448" s="969">
        <v>94147.3509872</v>
      </c>
      <c r="N448" s="969">
        <f t="shared" ca="1" si="8"/>
        <v>99703.934552860665</v>
      </c>
      <c r="O448" s="974">
        <v>1506.74</v>
      </c>
      <c r="Q448" s="967">
        <v>44768</v>
      </c>
      <c r="R448" s="966">
        <v>63000</v>
      </c>
      <c r="S448" s="971">
        <v>0.48976099753837998</v>
      </c>
      <c r="T448" s="969">
        <v>22.137060000000002</v>
      </c>
      <c r="U448" s="966">
        <v>3449.72</v>
      </c>
      <c r="V448" s="966">
        <v>151.63</v>
      </c>
      <c r="W448" s="971">
        <f t="shared" si="6"/>
        <v>0.14599393259908991</v>
      </c>
      <c r="Y448" s="967">
        <v>44840</v>
      </c>
      <c r="Z448" s="974">
        <f ca="1">H398*Valuation_Senario!$L$372</f>
        <v>4112.5753587700001</v>
      </c>
      <c r="AA448" s="973">
        <v>17.079999999999998</v>
      </c>
      <c r="AM448" s="967">
        <v>44768</v>
      </c>
      <c r="AN448" s="974">
        <v>5044.3323716799996</v>
      </c>
      <c r="AO448" s="38">
        <v>0.48976099753837998</v>
      </c>
    </row>
    <row r="449" spans="1:41">
      <c r="A449" s="966">
        <v>442</v>
      </c>
      <c r="B449" s="967">
        <v>44883</v>
      </c>
      <c r="C449" s="966">
        <v>42150</v>
      </c>
      <c r="D449" s="966">
        <v>192.17826679999999</v>
      </c>
      <c r="E449" s="966">
        <v>122.91225679999999</v>
      </c>
      <c r="F449" s="966">
        <v>113891.74</v>
      </c>
      <c r="G449" s="966">
        <v>61688.710856849997</v>
      </c>
      <c r="H449" s="974">
        <v>3467.46</v>
      </c>
      <c r="I449" s="966">
        <v>18.350000000000001</v>
      </c>
      <c r="J449" s="973">
        <v>1.4544387195899999</v>
      </c>
      <c r="L449" s="992">
        <v>45581</v>
      </c>
      <c r="M449" s="969">
        <v>95755.457913999999</v>
      </c>
      <c r="N449" s="969">
        <f t="shared" ca="1" si="8"/>
        <v>99703.934552860665</v>
      </c>
      <c r="O449" s="974">
        <v>1506.74</v>
      </c>
      <c r="Q449" s="967">
        <v>44767</v>
      </c>
      <c r="R449" s="966">
        <v>63300</v>
      </c>
      <c r="S449" s="971">
        <v>0.48923357861159</v>
      </c>
      <c r="T449" s="969">
        <v>69.266009999999994</v>
      </c>
      <c r="U449" s="966">
        <v>3449.85</v>
      </c>
      <c r="V449" s="966">
        <v>375.93</v>
      </c>
      <c r="W449" s="971">
        <f t="shared" si="6"/>
        <v>0.18425241401324713</v>
      </c>
      <c r="Y449" s="967">
        <v>44839</v>
      </c>
      <c r="Z449" s="974">
        <f ca="1">H399*Valuation_Senario!$L$372</f>
        <v>4112.5753587700001</v>
      </c>
      <c r="AA449" s="973">
        <v>18.309999999999999</v>
      </c>
      <c r="AM449" s="967">
        <v>44767</v>
      </c>
      <c r="AN449" s="974">
        <v>5044.5224634000006</v>
      </c>
      <c r="AO449" s="38">
        <v>0.48923357861159</v>
      </c>
    </row>
    <row r="450" spans="1:41">
      <c r="A450" s="966">
        <v>443</v>
      </c>
      <c r="B450" s="967">
        <v>44882</v>
      </c>
      <c r="C450" s="966">
        <v>41800</v>
      </c>
      <c r="D450" s="966">
        <v>209.127081</v>
      </c>
      <c r="E450" s="966">
        <v>103.319501</v>
      </c>
      <c r="F450" s="966">
        <v>115648.19</v>
      </c>
      <c r="G450" s="966">
        <v>61176.467706199997</v>
      </c>
      <c r="H450" s="974">
        <v>3467.46</v>
      </c>
      <c r="I450" s="966">
        <v>18.690000000000001</v>
      </c>
      <c r="J450" s="973">
        <v>1.4544387195899999</v>
      </c>
      <c r="L450" s="992">
        <v>45582</v>
      </c>
      <c r="M450" s="969">
        <v>96194.0325304</v>
      </c>
      <c r="N450" s="969">
        <f t="shared" ca="1" si="8"/>
        <v>99703.934552860665</v>
      </c>
      <c r="O450" s="974">
        <v>1506.74</v>
      </c>
      <c r="Q450" s="967">
        <v>44764</v>
      </c>
      <c r="R450" s="966">
        <v>64500</v>
      </c>
      <c r="S450" s="971">
        <v>0.48844757278285</v>
      </c>
      <c r="T450" s="969">
        <v>105.80758</v>
      </c>
      <c r="U450" s="966">
        <v>3450.24</v>
      </c>
      <c r="V450" s="966">
        <v>417.01</v>
      </c>
      <c r="W450" s="971">
        <f t="shared" si="6"/>
        <v>0.25372911920577446</v>
      </c>
      <c r="Y450" s="967">
        <v>44838</v>
      </c>
      <c r="Z450" s="974">
        <f ca="1">H400*Valuation_Senario!$L$372</f>
        <v>4112.5753587700001</v>
      </c>
      <c r="AA450" s="973">
        <v>17.96</v>
      </c>
      <c r="AM450" s="967">
        <v>44764</v>
      </c>
      <c r="AN450" s="974">
        <v>5045.0927385599998</v>
      </c>
      <c r="AO450" s="38">
        <v>0.48844757278285</v>
      </c>
    </row>
    <row r="451" spans="1:41">
      <c r="A451" s="966">
        <v>444</v>
      </c>
      <c r="B451" s="967">
        <v>44881</v>
      </c>
      <c r="C451" s="966">
        <v>40450</v>
      </c>
      <c r="D451" s="966">
        <v>118.706992</v>
      </c>
      <c r="E451" s="966">
        <v>78.170321999999999</v>
      </c>
      <c r="F451" s="966">
        <v>115062.71</v>
      </c>
      <c r="G451" s="966">
        <v>59200.672696549998</v>
      </c>
      <c r="H451" s="974">
        <v>3467.46</v>
      </c>
      <c r="I451" s="966">
        <v>18.579999999999998</v>
      </c>
      <c r="J451" s="973">
        <v>1.4544387195899999</v>
      </c>
      <c r="L451" s="992">
        <v>45583</v>
      </c>
      <c r="M451" s="969">
        <v>96047.840991599995</v>
      </c>
      <c r="N451" s="969">
        <f t="shared" ca="1" si="8"/>
        <v>99703.934552860665</v>
      </c>
      <c r="O451" s="974">
        <v>1506.74</v>
      </c>
      <c r="Q451" s="967">
        <v>44763</v>
      </c>
      <c r="R451" s="966">
        <v>64100</v>
      </c>
      <c r="S451" s="971">
        <v>0.48801304297033998</v>
      </c>
      <c r="T451" s="969">
        <v>40.536670000000001</v>
      </c>
      <c r="U451" s="966">
        <v>3450.37</v>
      </c>
      <c r="V451" s="966">
        <v>372.38</v>
      </c>
      <c r="W451" s="971">
        <f t="shared" si="6"/>
        <v>0.10885834362747732</v>
      </c>
      <c r="Y451" s="967">
        <v>44837</v>
      </c>
      <c r="Z451" s="974">
        <f ca="1">H401*Valuation_Senario!$L$372</f>
        <v>4112.5753587700001</v>
      </c>
      <c r="AA451" s="973">
        <v>17.55</v>
      </c>
      <c r="AM451" s="967">
        <v>44763</v>
      </c>
      <c r="AN451" s="974">
        <v>5045.2828302799999</v>
      </c>
      <c r="AO451" s="38">
        <v>0.48801304297033998</v>
      </c>
    </row>
    <row r="452" spans="1:41">
      <c r="A452" s="966">
        <v>445</v>
      </c>
      <c r="B452" s="967">
        <v>44880</v>
      </c>
      <c r="C452" s="966">
        <v>37850</v>
      </c>
      <c r="D452" s="966">
        <v>78.803314999999998</v>
      </c>
      <c r="E452" s="966">
        <v>105.52101500000001</v>
      </c>
      <c r="F452" s="966">
        <v>110817.95</v>
      </c>
      <c r="G452" s="966">
        <v>55395.43786315</v>
      </c>
      <c r="H452" s="974">
        <v>3467.46</v>
      </c>
      <c r="I452" s="966">
        <v>17.739999999999998</v>
      </c>
      <c r="J452" s="973">
        <v>1.4544387195899999</v>
      </c>
      <c r="L452" s="992">
        <v>45586</v>
      </c>
      <c r="M452" s="969">
        <v>96194.0325304</v>
      </c>
      <c r="N452" s="969">
        <f t="shared" ca="1" si="8"/>
        <v>99703.934552860665</v>
      </c>
      <c r="O452" s="974">
        <v>1506.74</v>
      </c>
      <c r="Q452" s="967">
        <v>44762</v>
      </c>
      <c r="R452" s="966">
        <v>61200</v>
      </c>
      <c r="S452" s="971">
        <v>0.48798524453686998</v>
      </c>
      <c r="T452" s="969">
        <v>-26.717700000000001</v>
      </c>
      <c r="U452" s="966">
        <v>3450.49</v>
      </c>
      <c r="V452" s="966">
        <v>485.13</v>
      </c>
      <c r="W452" s="971">
        <f t="shared" si="6"/>
        <v>-5.5073279327190652E-2</v>
      </c>
      <c r="Y452" s="967">
        <v>44834</v>
      </c>
      <c r="Z452" s="974">
        <f ca="1">H402*Valuation_Senario!$L$372</f>
        <v>4112.5753587700001</v>
      </c>
      <c r="AA452" s="973">
        <v>18.84</v>
      </c>
      <c r="AM452" s="967">
        <v>44762</v>
      </c>
      <c r="AN452" s="974">
        <v>5045.4582995600003</v>
      </c>
      <c r="AO452" s="38">
        <v>0.48798524453686998</v>
      </c>
    </row>
    <row r="453" spans="1:41">
      <c r="A453" s="966">
        <v>446</v>
      </c>
      <c r="B453" s="967">
        <v>44879</v>
      </c>
      <c r="C453" s="966">
        <v>40650</v>
      </c>
      <c r="D453" s="966">
        <v>59.485775199999999</v>
      </c>
      <c r="E453" s="966">
        <v>39.980385200000001</v>
      </c>
      <c r="F453" s="966">
        <v>109061.5</v>
      </c>
      <c r="G453" s="966">
        <v>59493.383068349998</v>
      </c>
      <c r="H453" s="974">
        <v>3467.46</v>
      </c>
      <c r="I453" s="966">
        <v>17.39</v>
      </c>
      <c r="J453" s="973">
        <v>1.4544387195899999</v>
      </c>
      <c r="L453" s="992">
        <v>45587</v>
      </c>
      <c r="M453" s="969">
        <v>96924.990224399997</v>
      </c>
      <c r="N453" s="969">
        <f t="shared" ca="1" si="8"/>
        <v>99703.934552860665</v>
      </c>
      <c r="O453" s="974">
        <v>1506.74</v>
      </c>
      <c r="Q453" s="967">
        <v>44761</v>
      </c>
      <c r="R453" s="966">
        <v>60000</v>
      </c>
      <c r="S453" s="971">
        <v>0.48837886215860998</v>
      </c>
      <c r="T453" s="969">
        <v>19.505389999999998</v>
      </c>
      <c r="U453" s="966">
        <v>3450.62</v>
      </c>
      <c r="V453" s="966">
        <v>146.4</v>
      </c>
      <c r="W453" s="971">
        <f t="shared" si="6"/>
        <v>0.13323353825136611</v>
      </c>
      <c r="Y453" s="967">
        <v>44833</v>
      </c>
      <c r="Z453" s="974">
        <f ca="1">H403*Valuation_Senario!$L$372</f>
        <v>4112.5753587700001</v>
      </c>
      <c r="AA453" s="973">
        <v>18.84</v>
      </c>
      <c r="AM453" s="967">
        <v>44761</v>
      </c>
      <c r="AN453" s="974">
        <v>5045.6483912800004</v>
      </c>
      <c r="AO453" s="38">
        <v>0.48837886215860998</v>
      </c>
    </row>
    <row r="454" spans="1:41">
      <c r="A454" s="966">
        <v>447</v>
      </c>
      <c r="B454" s="967">
        <v>44876</v>
      </c>
      <c r="C454" s="966">
        <v>43000</v>
      </c>
      <c r="D454" s="966">
        <v>37.824860000000001</v>
      </c>
      <c r="E454" s="966">
        <v>39.518549999999998</v>
      </c>
      <c r="F454" s="966">
        <v>110525.21</v>
      </c>
      <c r="G454" s="966">
        <v>62932.729936999996</v>
      </c>
      <c r="H454" s="974">
        <v>3467.46</v>
      </c>
      <c r="I454" s="966">
        <v>17.68</v>
      </c>
      <c r="J454" s="973">
        <v>1.4544387195899999</v>
      </c>
      <c r="L454" s="992">
        <v>45588</v>
      </c>
      <c r="M454" s="969">
        <v>96047.840991599995</v>
      </c>
      <c r="N454" s="969">
        <f t="shared" ca="1" si="8"/>
        <v>99703.934552860665</v>
      </c>
      <c r="O454" s="974">
        <v>1506.74</v>
      </c>
      <c r="Q454" s="967">
        <v>44760</v>
      </c>
      <c r="R454" s="966">
        <v>61000</v>
      </c>
      <c r="S454" s="971">
        <v>0.48840720699862999</v>
      </c>
      <c r="T454" s="969">
        <v>-1.6936899999999999</v>
      </c>
      <c r="U454" s="966">
        <v>3450.75</v>
      </c>
      <c r="V454" s="966">
        <v>155.87</v>
      </c>
      <c r="W454" s="971">
        <f t="shared" si="6"/>
        <v>-1.0866042214666067E-2</v>
      </c>
      <c r="Y454" s="967">
        <v>44832</v>
      </c>
      <c r="Z454" s="974">
        <f ca="1">H404*Valuation_Senario!$L$372</f>
        <v>5058.8931032799992</v>
      </c>
      <c r="AA454" s="973">
        <v>19.14</v>
      </c>
      <c r="AM454" s="967">
        <v>44760</v>
      </c>
      <c r="AN454" s="974">
        <v>5045.8384830000005</v>
      </c>
      <c r="AO454" s="38">
        <v>0.48840720699862999</v>
      </c>
    </row>
    <row r="455" spans="1:41">
      <c r="A455" s="966">
        <v>448</v>
      </c>
      <c r="B455" s="967">
        <v>44875</v>
      </c>
      <c r="C455" s="966">
        <v>42350</v>
      </c>
      <c r="D455" s="966">
        <v>68.278220000000005</v>
      </c>
      <c r="E455" s="966">
        <v>77.861969999999999</v>
      </c>
      <c r="F455" s="966">
        <v>111257.07</v>
      </c>
      <c r="G455" s="966">
        <v>61981.421228649997</v>
      </c>
      <c r="H455" s="974">
        <v>3467.46</v>
      </c>
      <c r="I455" s="966">
        <v>17.82</v>
      </c>
      <c r="J455" s="973">
        <v>1.4544387195899999</v>
      </c>
      <c r="L455" s="992">
        <v>45589</v>
      </c>
      <c r="M455" s="969">
        <v>95609.266375199993</v>
      </c>
      <c r="N455" s="969">
        <f t="shared" ca="1" si="8"/>
        <v>99703.934552860665</v>
      </c>
      <c r="O455" s="974">
        <v>1506.74</v>
      </c>
      <c r="Q455" s="967">
        <v>44757</v>
      </c>
      <c r="R455" s="966">
        <v>61500</v>
      </c>
      <c r="S455" s="971">
        <v>0.48783006507538001</v>
      </c>
      <c r="T455" s="969">
        <v>-9.5837500000000002</v>
      </c>
      <c r="U455" s="966">
        <v>3451.14</v>
      </c>
      <c r="V455" s="966">
        <v>191.26</v>
      </c>
      <c r="W455" s="971">
        <f t="shared" si="6"/>
        <v>-5.0108491059291022E-2</v>
      </c>
      <c r="Y455" s="967">
        <v>44831</v>
      </c>
      <c r="Z455" s="974">
        <f ca="1">H405*Valuation_Senario!$L$372</f>
        <v>5058.8931032799992</v>
      </c>
      <c r="AA455" s="973">
        <v>19.760000000000002</v>
      </c>
      <c r="AM455" s="967">
        <v>44757</v>
      </c>
      <c r="AN455" s="974">
        <v>5046.4087581599997</v>
      </c>
      <c r="AO455" s="38">
        <v>0.48783006507538001</v>
      </c>
    </row>
    <row r="456" spans="1:41">
      <c r="A456" s="966">
        <v>449</v>
      </c>
      <c r="B456" s="967">
        <v>44874</v>
      </c>
      <c r="C456" s="966">
        <v>45500</v>
      </c>
      <c r="D456" s="966">
        <v>76.258470000000003</v>
      </c>
      <c r="E456" s="966">
        <v>41.184910000000002</v>
      </c>
      <c r="F456" s="966">
        <v>112867.15</v>
      </c>
      <c r="G456" s="966">
        <v>66591.609584499995</v>
      </c>
      <c r="H456" s="974">
        <v>3467.46</v>
      </c>
      <c r="I456" s="966">
        <v>18.14</v>
      </c>
      <c r="J456" s="973">
        <v>1.4544387195899999</v>
      </c>
      <c r="L456" s="992">
        <v>45590</v>
      </c>
      <c r="M456" s="969">
        <v>95755.457913999999</v>
      </c>
      <c r="N456" s="969">
        <f t="shared" ca="1" si="8"/>
        <v>99703.934552860665</v>
      </c>
      <c r="O456" s="974">
        <v>1506.74</v>
      </c>
      <c r="Q456" s="967">
        <v>44756</v>
      </c>
      <c r="R456" s="966">
        <v>62600</v>
      </c>
      <c r="S456" s="971">
        <v>0.48743289581103</v>
      </c>
      <c r="T456" s="969">
        <v>35.073560000000001</v>
      </c>
      <c r="U456" s="966">
        <v>3451.26</v>
      </c>
      <c r="V456" s="966">
        <v>133.97</v>
      </c>
      <c r="W456" s="971">
        <f t="shared" si="6"/>
        <v>0.2618015973725461</v>
      </c>
      <c r="Y456" s="967">
        <v>44830</v>
      </c>
      <c r="Z456" s="974">
        <f ca="1">H406*Valuation_Senario!$L$372</f>
        <v>5058.87841871</v>
      </c>
      <c r="AA456" s="973">
        <v>20.02</v>
      </c>
      <c r="AM456" s="967">
        <v>44756</v>
      </c>
      <c r="AN456" s="974">
        <v>5046.5842274400011</v>
      </c>
      <c r="AO456" s="38">
        <v>0.48743289581103</v>
      </c>
    </row>
    <row r="457" spans="1:41">
      <c r="A457" s="966">
        <v>450</v>
      </c>
      <c r="B457" s="967">
        <v>44873</v>
      </c>
      <c r="C457" s="966">
        <v>44600</v>
      </c>
      <c r="D457" s="966">
        <v>77.023089299999995</v>
      </c>
      <c r="E457" s="966">
        <v>29.630209300000001</v>
      </c>
      <c r="F457" s="966">
        <v>114330.86</v>
      </c>
      <c r="G457" s="966">
        <v>65274.412911400002</v>
      </c>
      <c r="H457" s="974">
        <v>3467.46</v>
      </c>
      <c r="I457" s="966">
        <v>18.43</v>
      </c>
      <c r="J457" s="973">
        <v>1.4544387195899999</v>
      </c>
      <c r="L457" s="992">
        <v>45593</v>
      </c>
      <c r="M457" s="969">
        <v>95755.457913999999</v>
      </c>
      <c r="N457" s="969">
        <f t="shared" ca="1" si="8"/>
        <v>99703.934552860665</v>
      </c>
      <c r="O457" s="974">
        <v>1506.74</v>
      </c>
      <c r="Q457" s="967">
        <v>44755</v>
      </c>
      <c r="R457" s="966">
        <v>63600</v>
      </c>
      <c r="S457" s="971">
        <v>0.48688261864903998</v>
      </c>
      <c r="T457" s="969">
        <v>47.392879999999998</v>
      </c>
      <c r="U457" s="966">
        <v>3451.39</v>
      </c>
      <c r="V457" s="966">
        <v>208.71</v>
      </c>
      <c r="W457" s="971">
        <f t="shared" ref="W457:W520" si="9">T457/V457</f>
        <v>0.22707527190838961</v>
      </c>
      <c r="Y457" s="967">
        <v>44827</v>
      </c>
      <c r="Z457" s="974">
        <f ca="1">H407*Valuation_Senario!$L$372</f>
        <v>5058.87841871</v>
      </c>
      <c r="AA457" s="973">
        <v>20.440000000000001</v>
      </c>
      <c r="AM457" s="967">
        <v>44755</v>
      </c>
      <c r="AN457" s="974">
        <v>5046.7743191600002</v>
      </c>
      <c r="AO457" s="38">
        <v>0.48688261864903998</v>
      </c>
    </row>
    <row r="458" spans="1:41">
      <c r="A458" s="966">
        <v>451</v>
      </c>
      <c r="B458" s="967">
        <v>44872</v>
      </c>
      <c r="C458" s="966">
        <v>42850</v>
      </c>
      <c r="D458" s="966">
        <v>18.866479999999999</v>
      </c>
      <c r="E458" s="966">
        <v>40.672370000000001</v>
      </c>
      <c r="F458" s="966">
        <v>115501.82</v>
      </c>
      <c r="G458" s="966">
        <v>62713.197158149997</v>
      </c>
      <c r="H458" s="974">
        <v>3467.46</v>
      </c>
      <c r="I458" s="966">
        <v>18.66</v>
      </c>
      <c r="J458" s="973">
        <v>1.4544387195899999</v>
      </c>
      <c r="L458" s="992">
        <v>45594</v>
      </c>
      <c r="M458" s="969">
        <v>97217.373302000007</v>
      </c>
      <c r="N458" s="969">
        <f t="shared" ca="1" si="8"/>
        <v>99703.934552860665</v>
      </c>
      <c r="O458" s="974">
        <v>1506.74</v>
      </c>
      <c r="Q458" s="967">
        <v>44754</v>
      </c>
      <c r="R458" s="966">
        <v>64400</v>
      </c>
      <c r="S458" s="971">
        <v>0.48733449686966002</v>
      </c>
      <c r="T458" s="969">
        <v>-21.805890000000002</v>
      </c>
      <c r="U458" s="966">
        <v>3451.52</v>
      </c>
      <c r="V458" s="966">
        <v>103.07</v>
      </c>
      <c r="W458" s="971">
        <f t="shared" si="9"/>
        <v>-0.21156388861938491</v>
      </c>
      <c r="Y458" s="967">
        <v>44826</v>
      </c>
      <c r="Z458" s="974">
        <f ca="1">H408*Valuation_Senario!$L$372</f>
        <v>5058.8637341399999</v>
      </c>
      <c r="AA458" s="973">
        <v>20.64</v>
      </c>
      <c r="AM458" s="967">
        <v>44754</v>
      </c>
      <c r="AN458" s="974">
        <v>5046.9644108800003</v>
      </c>
      <c r="AO458" s="38">
        <v>0.48733449686966002</v>
      </c>
    </row>
    <row r="459" spans="1:41">
      <c r="A459" s="966">
        <v>452</v>
      </c>
      <c r="B459" s="967">
        <v>44869</v>
      </c>
      <c r="C459" s="966">
        <v>46050</v>
      </c>
      <c r="D459" s="966">
        <v>57.009993199999997</v>
      </c>
      <c r="E459" s="966">
        <v>36.786723199999997</v>
      </c>
      <c r="F459" s="966">
        <v>115648.19</v>
      </c>
      <c r="G459" s="966">
        <v>67396.563106949994</v>
      </c>
      <c r="H459" s="974">
        <v>3467.46</v>
      </c>
      <c r="I459" s="966">
        <v>18.690000000000001</v>
      </c>
      <c r="J459" s="973">
        <v>1.4544387195899999</v>
      </c>
      <c r="L459" s="992">
        <v>45595</v>
      </c>
      <c r="M459" s="969">
        <v>96486.415607999996</v>
      </c>
      <c r="N459" s="969">
        <f t="shared" ca="1" si="8"/>
        <v>99703.934552860665</v>
      </c>
      <c r="O459" s="974">
        <v>2027.19</v>
      </c>
      <c r="Q459" s="967">
        <v>44753</v>
      </c>
      <c r="R459" s="966">
        <v>64500</v>
      </c>
      <c r="S459" s="971">
        <v>0.48727917320601</v>
      </c>
      <c r="T459" s="969">
        <v>20.223269999999999</v>
      </c>
      <c r="U459" s="966">
        <v>3451.65</v>
      </c>
      <c r="V459" s="966">
        <v>111.98</v>
      </c>
      <c r="W459" s="971">
        <f t="shared" si="9"/>
        <v>0.18059716020717984</v>
      </c>
      <c r="Y459" s="967">
        <v>44825</v>
      </c>
      <c r="Z459" s="974">
        <f ca="1">H409*Valuation_Senario!$L$372</f>
        <v>5058.8637341399999</v>
      </c>
      <c r="AA459" s="973">
        <v>20.61</v>
      </c>
      <c r="AM459" s="967">
        <v>44753</v>
      </c>
      <c r="AN459" s="974">
        <v>5047.1545026000003</v>
      </c>
      <c r="AO459" s="38">
        <v>0.48727917320601</v>
      </c>
    </row>
    <row r="460" spans="1:41">
      <c r="A460" s="966">
        <v>453</v>
      </c>
      <c r="B460" s="967">
        <v>44868</v>
      </c>
      <c r="C460" s="966">
        <v>49500</v>
      </c>
      <c r="D460" s="966">
        <v>98.610650000000007</v>
      </c>
      <c r="E460" s="966">
        <v>62.300510000000003</v>
      </c>
      <c r="F460" s="966">
        <v>116380.05</v>
      </c>
      <c r="G460" s="966">
        <v>72445.817020500006</v>
      </c>
      <c r="H460" s="974">
        <v>3467.46</v>
      </c>
      <c r="I460" s="966">
        <v>18.829999999999998</v>
      </c>
      <c r="J460" s="973">
        <v>1.4544387195899999</v>
      </c>
      <c r="L460" s="992">
        <v>45596</v>
      </c>
      <c r="M460" s="969">
        <v>97217.373302000007</v>
      </c>
      <c r="N460" s="969">
        <f t="shared" ca="1" si="8"/>
        <v>99703.934552860665</v>
      </c>
      <c r="O460" s="974">
        <v>2027.19</v>
      </c>
      <c r="Q460" s="967">
        <v>44750</v>
      </c>
      <c r="R460" s="966">
        <v>65000</v>
      </c>
      <c r="S460" s="971">
        <v>0.48667450605257001</v>
      </c>
      <c r="T460" s="969">
        <v>36.310139999999997</v>
      </c>
      <c r="U460" s="966">
        <v>3452.04</v>
      </c>
      <c r="V460" s="966">
        <v>168.82</v>
      </c>
      <c r="W460" s="971">
        <f t="shared" si="9"/>
        <v>0.21508198080796112</v>
      </c>
      <c r="Y460" s="967">
        <v>44824</v>
      </c>
      <c r="Z460" s="974">
        <f ca="1">H410*Valuation_Senario!$L$372</f>
        <v>5058.8637341399999</v>
      </c>
      <c r="AA460" s="973">
        <v>21.11</v>
      </c>
      <c r="AM460" s="967">
        <v>44750</v>
      </c>
      <c r="AN460" s="974">
        <v>5047.7247777600005</v>
      </c>
      <c r="AO460" s="38">
        <v>0.48667450605257001</v>
      </c>
    </row>
    <row r="461" spans="1:41">
      <c r="A461" s="966">
        <v>454</v>
      </c>
      <c r="B461" s="967">
        <v>44867</v>
      </c>
      <c r="C461" s="966">
        <v>48000</v>
      </c>
      <c r="D461" s="966">
        <v>33.441000000000003</v>
      </c>
      <c r="E461" s="966">
        <v>27.805579999999999</v>
      </c>
      <c r="F461" s="966">
        <v>114916.34</v>
      </c>
      <c r="G461" s="966">
        <v>70250.489232000007</v>
      </c>
      <c r="H461" s="974">
        <v>3467.46</v>
      </c>
      <c r="I461" s="966">
        <v>18.54</v>
      </c>
      <c r="J461" s="973">
        <v>1.4544387195899999</v>
      </c>
      <c r="L461" s="992">
        <v>45597</v>
      </c>
      <c r="M461" s="969">
        <v>96486.415607999996</v>
      </c>
      <c r="N461" s="969">
        <f t="shared" ca="1" si="8"/>
        <v>99703.934552860665</v>
      </c>
      <c r="O461" s="974">
        <v>2027.19</v>
      </c>
      <c r="Q461" s="967">
        <v>44749</v>
      </c>
      <c r="R461" s="966">
        <v>64000</v>
      </c>
      <c r="S461" s="971">
        <v>0.48733128673115</v>
      </c>
      <c r="T461" s="969">
        <v>5.6354199999999999</v>
      </c>
      <c r="U461" s="966">
        <v>3452.16</v>
      </c>
      <c r="V461" s="966">
        <v>101.96</v>
      </c>
      <c r="W461" s="971">
        <f t="shared" si="9"/>
        <v>5.5270890545311889E-2</v>
      </c>
      <c r="Y461" s="967">
        <v>44823</v>
      </c>
      <c r="Z461" s="974">
        <f ca="1">H411*Valuation_Senario!$L$372</f>
        <v>5058.8637341399999</v>
      </c>
      <c r="AA461" s="973">
        <v>20.76</v>
      </c>
      <c r="AM461" s="967">
        <v>44749</v>
      </c>
      <c r="AN461" s="974">
        <v>5047.9002470400001</v>
      </c>
      <c r="AO461" s="38">
        <v>0.48733128673115</v>
      </c>
    </row>
    <row r="462" spans="1:41">
      <c r="A462" s="966">
        <v>455</v>
      </c>
      <c r="B462" s="967">
        <v>44866</v>
      </c>
      <c r="C462" s="966">
        <v>50100</v>
      </c>
      <c r="D462" s="966">
        <v>37.695648300000002</v>
      </c>
      <c r="E462" s="966">
        <v>54.778698300000002</v>
      </c>
      <c r="F462" s="966">
        <v>114916.34</v>
      </c>
      <c r="G462" s="966">
        <v>73323.948135900006</v>
      </c>
      <c r="H462" s="974">
        <v>3467.46</v>
      </c>
      <c r="I462" s="966">
        <v>18.54</v>
      </c>
      <c r="J462" s="973">
        <v>1.4544387195899999</v>
      </c>
      <c r="L462" s="992">
        <v>45600</v>
      </c>
      <c r="M462" s="969">
        <v>95170.691758800007</v>
      </c>
      <c r="N462" s="969">
        <f t="shared" ca="1" si="8"/>
        <v>99703.934552860665</v>
      </c>
      <c r="O462" s="974">
        <v>2027.19</v>
      </c>
      <c r="Q462" s="967">
        <v>44748</v>
      </c>
      <c r="R462" s="966">
        <v>64000</v>
      </c>
      <c r="S462" s="971">
        <v>0.48852689257335002</v>
      </c>
      <c r="T462" s="969">
        <v>-17.08305</v>
      </c>
      <c r="U462" s="966">
        <v>3452.29</v>
      </c>
      <c r="V462" s="966">
        <v>169.42</v>
      </c>
      <c r="W462" s="971">
        <f t="shared" si="9"/>
        <v>-0.10083254633455319</v>
      </c>
      <c r="Y462" s="967">
        <v>44820</v>
      </c>
      <c r="Z462" s="974">
        <f ca="1">H412*Valuation_Senario!$L$372</f>
        <v>5058.8637341399999</v>
      </c>
      <c r="AA462" s="973">
        <v>21.2</v>
      </c>
      <c r="AM462" s="967">
        <v>44748</v>
      </c>
      <c r="AN462" s="974">
        <v>5048.0903387600001</v>
      </c>
      <c r="AO462" s="38">
        <v>0.48852689257335002</v>
      </c>
    </row>
    <row r="463" spans="1:41">
      <c r="A463" s="966">
        <v>456</v>
      </c>
      <c r="B463" s="967">
        <v>44865</v>
      </c>
      <c r="C463" s="966">
        <v>51600</v>
      </c>
      <c r="D463" s="966">
        <v>80.134739999999994</v>
      </c>
      <c r="E463" s="966">
        <v>98.085310000000007</v>
      </c>
      <c r="F463" s="966">
        <v>117111.9</v>
      </c>
      <c r="G463" s="966">
        <v>75519.275924400004</v>
      </c>
      <c r="H463" s="974">
        <v>3467.46</v>
      </c>
      <c r="I463" s="966">
        <v>18.97</v>
      </c>
      <c r="J463" s="973">
        <v>1.4544387195899999</v>
      </c>
      <c r="L463" s="992">
        <v>45601</v>
      </c>
      <c r="M463" s="969">
        <v>95901.649452800004</v>
      </c>
      <c r="N463" s="969">
        <f t="shared" ca="1" si="8"/>
        <v>99703.934552860665</v>
      </c>
      <c r="O463" s="974">
        <v>2027.19</v>
      </c>
      <c r="Q463" s="967">
        <v>44747</v>
      </c>
      <c r="R463" s="966">
        <v>65500</v>
      </c>
      <c r="S463" s="971">
        <v>0.48719230768416</v>
      </c>
      <c r="T463" s="969">
        <v>-17.950569999999999</v>
      </c>
      <c r="U463" s="966">
        <v>3452.42</v>
      </c>
      <c r="V463" s="966">
        <v>262.94</v>
      </c>
      <c r="W463" s="971">
        <f t="shared" si="9"/>
        <v>-6.8268692477371259E-2</v>
      </c>
      <c r="Y463" s="967">
        <v>44819</v>
      </c>
      <c r="Z463" s="974">
        <f ca="1">H413*Valuation_Senario!$L$372</f>
        <v>5058.8637341399999</v>
      </c>
      <c r="AA463" s="973">
        <v>21.76</v>
      </c>
      <c r="AM463" s="967">
        <v>44747</v>
      </c>
      <c r="AN463" s="974">
        <v>5048.2804304800002</v>
      </c>
      <c r="AO463" s="38">
        <v>0.48719230768416</v>
      </c>
    </row>
    <row r="464" spans="1:41">
      <c r="A464" s="966">
        <v>457</v>
      </c>
      <c r="B464" s="967">
        <v>44862</v>
      </c>
      <c r="C464" s="966">
        <v>53200</v>
      </c>
      <c r="D464" s="966">
        <v>65.395150000000001</v>
      </c>
      <c r="E464" s="966">
        <v>145.90096</v>
      </c>
      <c r="F464" s="966">
        <v>120478.44</v>
      </c>
      <c r="G464" s="966">
        <v>77860.958898800003</v>
      </c>
      <c r="H464" s="974">
        <v>3396.17</v>
      </c>
      <c r="I464" s="966">
        <v>19.64</v>
      </c>
      <c r="J464" s="973">
        <v>1.4493818347</v>
      </c>
      <c r="L464" s="992">
        <v>45602</v>
      </c>
      <c r="M464" s="969">
        <v>95901.649452800004</v>
      </c>
      <c r="N464" s="969">
        <f t="shared" ca="1" si="8"/>
        <v>99703.934552860665</v>
      </c>
      <c r="O464" s="974">
        <v>2027.19</v>
      </c>
      <c r="Q464" s="967">
        <v>44746</v>
      </c>
      <c r="R464" s="966">
        <v>67800</v>
      </c>
      <c r="S464" s="971">
        <v>0.48771220749821997</v>
      </c>
      <c r="T464" s="969">
        <v>-80.505809999999997</v>
      </c>
      <c r="U464" s="966">
        <v>3452.55</v>
      </c>
      <c r="V464" s="966">
        <v>353.97</v>
      </c>
      <c r="W464" s="971">
        <f t="shared" si="9"/>
        <v>-0.22743681667937959</v>
      </c>
      <c r="Y464" s="967">
        <v>44818</v>
      </c>
      <c r="Z464" s="974">
        <f ca="1">H414*Valuation_Senario!$L$372</f>
        <v>5058.8637341399999</v>
      </c>
      <c r="AA464" s="973">
        <v>21.7</v>
      </c>
      <c r="AM464" s="967">
        <v>44746</v>
      </c>
      <c r="AN464" s="974">
        <v>5048.4705222000002</v>
      </c>
      <c r="AO464" s="38">
        <v>0.48771220749821997</v>
      </c>
    </row>
    <row r="465" spans="1:41">
      <c r="A465" s="966">
        <v>458</v>
      </c>
      <c r="B465" s="967">
        <v>44861</v>
      </c>
      <c r="C465" s="966">
        <v>53300</v>
      </c>
      <c r="D465" s="966">
        <v>61.278170000000003</v>
      </c>
      <c r="E465" s="966">
        <v>90.01473</v>
      </c>
      <c r="F465" s="966">
        <v>124137.71</v>
      </c>
      <c r="G465" s="966">
        <v>78007.314084700003</v>
      </c>
      <c r="H465" s="974">
        <v>3396.17</v>
      </c>
      <c r="I465" s="966">
        <v>20.36</v>
      </c>
      <c r="J465" s="973">
        <v>1.4493818347</v>
      </c>
      <c r="L465" s="992">
        <v>45603</v>
      </c>
      <c r="M465" s="969">
        <v>95609.266375199993</v>
      </c>
      <c r="N465" s="969">
        <f t="shared" ca="1" si="8"/>
        <v>99703.934552860665</v>
      </c>
      <c r="O465" s="974">
        <v>2027.19</v>
      </c>
      <c r="Q465" s="967">
        <v>44743</v>
      </c>
      <c r="R465" s="966">
        <v>70300</v>
      </c>
      <c r="S465" s="971">
        <v>0.48939112746515001</v>
      </c>
      <c r="T465" s="969">
        <v>-28.736560000000001</v>
      </c>
      <c r="U465" s="966">
        <v>3452.93</v>
      </c>
      <c r="V465" s="966">
        <v>230.11</v>
      </c>
      <c r="W465" s="971">
        <f t="shared" si="9"/>
        <v>-0.12488183912042067</v>
      </c>
      <c r="Y465" s="967">
        <v>44817</v>
      </c>
      <c r="Z465" s="974">
        <f ca="1">H415*Valuation_Senario!$L$372</f>
        <v>5058.8490495699998</v>
      </c>
      <c r="AA465" s="973">
        <v>21.82</v>
      </c>
      <c r="AM465" s="967">
        <v>44743</v>
      </c>
      <c r="AN465" s="974">
        <v>5049.0261749199999</v>
      </c>
      <c r="AO465" s="38">
        <v>0.48939112746515001</v>
      </c>
    </row>
    <row r="466" spans="1:41">
      <c r="A466" s="966">
        <v>459</v>
      </c>
      <c r="B466" s="967">
        <v>44860</v>
      </c>
      <c r="C466" s="966">
        <v>51900</v>
      </c>
      <c r="D466" s="966">
        <v>72.239876600000002</v>
      </c>
      <c r="E466" s="966">
        <v>118.34702660000001</v>
      </c>
      <c r="F466" s="966">
        <v>125894.16</v>
      </c>
      <c r="G466" s="966">
        <v>75958.341482100004</v>
      </c>
      <c r="H466" s="974">
        <v>3396.17</v>
      </c>
      <c r="I466" s="966">
        <v>20.71</v>
      </c>
      <c r="J466" s="973">
        <v>1.4493818347</v>
      </c>
      <c r="L466" s="992">
        <v>45604</v>
      </c>
      <c r="M466" s="969">
        <v>95024.500220000002</v>
      </c>
      <c r="N466" s="969">
        <f t="shared" ca="1" si="8"/>
        <v>99703.934552860665</v>
      </c>
      <c r="O466" s="974">
        <v>2027.19</v>
      </c>
      <c r="Q466" s="967">
        <v>44742</v>
      </c>
      <c r="R466" s="966">
        <v>71500</v>
      </c>
      <c r="S466" s="971">
        <v>0.48905763774991001</v>
      </c>
      <c r="T466" s="969">
        <v>-46.107149999999997</v>
      </c>
      <c r="U466" s="966">
        <v>3453.06</v>
      </c>
      <c r="V466" s="966">
        <v>194.93</v>
      </c>
      <c r="W466" s="971">
        <f t="shared" si="9"/>
        <v>-0.23653183193967062</v>
      </c>
      <c r="Y466" s="967">
        <v>44816</v>
      </c>
      <c r="Z466" s="974">
        <f ca="1">H416*Valuation_Senario!$L$372</f>
        <v>5058.8490495699998</v>
      </c>
      <c r="AA466" s="973">
        <v>21.79</v>
      </c>
      <c r="AM466" s="967">
        <v>44742</v>
      </c>
      <c r="AN466" s="974">
        <v>5049.21626664</v>
      </c>
      <c r="AO466" s="38">
        <v>0.48905763774991001</v>
      </c>
    </row>
    <row r="467" spans="1:41">
      <c r="A467" s="966">
        <v>460</v>
      </c>
      <c r="B467" s="967">
        <v>44859</v>
      </c>
      <c r="C467" s="966">
        <v>52000</v>
      </c>
      <c r="D467" s="966">
        <v>133.83654000000001</v>
      </c>
      <c r="E467" s="966">
        <v>118.62564</v>
      </c>
      <c r="F467" s="966">
        <v>128089.73</v>
      </c>
      <c r="G467" s="966">
        <v>76104.696668000004</v>
      </c>
      <c r="H467" s="974">
        <v>3396.17</v>
      </c>
      <c r="I467" s="966">
        <v>21.14</v>
      </c>
      <c r="J467" s="973">
        <v>1.4493818347</v>
      </c>
      <c r="L467" s="992">
        <v>45607</v>
      </c>
      <c r="M467" s="969">
        <v>92100.669443999999</v>
      </c>
      <c r="N467" s="969">
        <f t="shared" ca="1" si="8"/>
        <v>99703.934552860665</v>
      </c>
      <c r="O467" s="974">
        <v>2027.19</v>
      </c>
      <c r="Q467" s="967">
        <v>44741</v>
      </c>
      <c r="R467" s="966">
        <v>73000</v>
      </c>
      <c r="S467" s="971">
        <v>0.48804870162531999</v>
      </c>
      <c r="T467" s="969">
        <v>15.210900000000001</v>
      </c>
      <c r="U467" s="966">
        <v>3453.19</v>
      </c>
      <c r="V467" s="966">
        <v>294.81</v>
      </c>
      <c r="W467" s="971">
        <f t="shared" si="9"/>
        <v>5.1595603948305688E-2</v>
      </c>
      <c r="Y467" s="967">
        <v>44813</v>
      </c>
      <c r="Z467" s="974">
        <f ca="1">H417*Valuation_Senario!$L$372</f>
        <v>5058.8490495699998</v>
      </c>
      <c r="AA467" s="973">
        <v>21.2</v>
      </c>
      <c r="AM467" s="967">
        <v>44741</v>
      </c>
      <c r="AN467" s="974">
        <v>5049.40635836</v>
      </c>
      <c r="AO467" s="38">
        <v>0.48804870162531999</v>
      </c>
    </row>
    <row r="468" spans="1:41">
      <c r="A468" s="966">
        <v>461</v>
      </c>
      <c r="B468" s="967">
        <v>44858</v>
      </c>
      <c r="C468" s="966">
        <v>50600</v>
      </c>
      <c r="D468" s="966">
        <v>71.135260000000002</v>
      </c>
      <c r="E468" s="966">
        <v>99.302409999999995</v>
      </c>
      <c r="F468" s="966">
        <v>127796.98</v>
      </c>
      <c r="G468" s="966">
        <v>74055.724065400005</v>
      </c>
      <c r="H468" s="974">
        <v>3396.17</v>
      </c>
      <c r="I468" s="966">
        <v>21.08</v>
      </c>
      <c r="J468" s="973">
        <v>1.4493818347</v>
      </c>
      <c r="L468" s="992">
        <v>45608</v>
      </c>
      <c r="M468" s="969">
        <v>88884.455590400001</v>
      </c>
      <c r="N468" s="969">
        <f t="shared" ca="1" si="8"/>
        <v>99703.934552860665</v>
      </c>
      <c r="O468" s="974">
        <v>2027.19</v>
      </c>
      <c r="Q468" s="967">
        <v>44740</v>
      </c>
      <c r="R468" s="966">
        <v>72800</v>
      </c>
      <c r="S468" s="971">
        <v>0.48874722738023002</v>
      </c>
      <c r="T468" s="969">
        <v>-28.167149999999999</v>
      </c>
      <c r="U468" s="966">
        <v>3453.32</v>
      </c>
      <c r="V468" s="966">
        <v>344.19</v>
      </c>
      <c r="W468" s="971">
        <f t="shared" si="9"/>
        <v>-8.183604985618409E-2</v>
      </c>
      <c r="Y468" s="967">
        <v>44812</v>
      </c>
      <c r="Z468" s="974">
        <f ca="1">H418*Valuation_Senario!$L$372</f>
        <v>5058.8490495699998</v>
      </c>
      <c r="AA468" s="973">
        <v>21.06</v>
      </c>
      <c r="AM468" s="967">
        <v>44740</v>
      </c>
      <c r="AN468" s="974">
        <v>5049.596450080001</v>
      </c>
      <c r="AO468" s="38">
        <v>0.48874722738023002</v>
      </c>
    </row>
    <row r="469" spans="1:41">
      <c r="A469" s="966">
        <v>462</v>
      </c>
      <c r="B469" s="967">
        <v>44855</v>
      </c>
      <c r="C469" s="966">
        <v>54400</v>
      </c>
      <c r="D469" s="966">
        <v>109.24133999999999</v>
      </c>
      <c r="E469" s="966">
        <v>49.60228</v>
      </c>
      <c r="F469" s="966">
        <v>125894.16</v>
      </c>
      <c r="G469" s="966">
        <v>79617.221129600002</v>
      </c>
      <c r="H469" s="974">
        <v>3396.17</v>
      </c>
      <c r="I469" s="966">
        <v>20.7</v>
      </c>
      <c r="J469" s="973">
        <v>1.4493818347</v>
      </c>
      <c r="L469" s="992">
        <v>45609</v>
      </c>
      <c r="M469" s="969">
        <v>90492.5625172</v>
      </c>
      <c r="N469" s="969">
        <f t="shared" ca="1" si="8"/>
        <v>99703.934552860665</v>
      </c>
      <c r="O469" s="974">
        <v>2027.19</v>
      </c>
      <c r="Q469" s="967">
        <v>44739</v>
      </c>
      <c r="R469" s="966">
        <v>71500</v>
      </c>
      <c r="S469" s="971">
        <v>0.48792360884106001</v>
      </c>
      <c r="T469" s="969">
        <v>59.639060000000001</v>
      </c>
      <c r="U469" s="966">
        <v>3453.45</v>
      </c>
      <c r="V469" s="966">
        <v>226.69</v>
      </c>
      <c r="W469" s="971">
        <f t="shared" si="9"/>
        <v>0.26308641757466145</v>
      </c>
      <c r="Y469" s="967">
        <v>44811</v>
      </c>
      <c r="Z469" s="974">
        <f ca="1">H419*Valuation_Senario!$L$372</f>
        <v>5058.8343649999997</v>
      </c>
      <c r="AA469" s="973">
        <v>20.82</v>
      </c>
      <c r="AM469" s="967">
        <v>44739</v>
      </c>
      <c r="AN469" s="974">
        <v>5049.7865418000001</v>
      </c>
      <c r="AO469" s="38">
        <v>0.48792360884106001</v>
      </c>
    </row>
    <row r="470" spans="1:41">
      <c r="A470" s="966">
        <v>463</v>
      </c>
      <c r="B470" s="967">
        <v>44854</v>
      </c>
      <c r="C470" s="966">
        <v>58400</v>
      </c>
      <c r="D470" s="966">
        <v>134.31610000000001</v>
      </c>
      <c r="E470" s="966">
        <v>155.80851999999999</v>
      </c>
      <c r="F470" s="966">
        <v>126479.65</v>
      </c>
      <c r="G470" s="966">
        <v>85471.428565599999</v>
      </c>
      <c r="H470" s="974">
        <v>3396.17</v>
      </c>
      <c r="I470" s="966">
        <v>20.82</v>
      </c>
      <c r="J470" s="973">
        <v>1.4493818347</v>
      </c>
      <c r="L470" s="992">
        <v>45610</v>
      </c>
      <c r="M470" s="969">
        <v>89615.413284399998</v>
      </c>
      <c r="N470" s="969">
        <f t="shared" ca="1" si="8"/>
        <v>99703.934552860665</v>
      </c>
      <c r="O470" s="974">
        <v>2027.19</v>
      </c>
      <c r="Q470" s="967">
        <v>44736</v>
      </c>
      <c r="R470" s="966">
        <v>71900</v>
      </c>
      <c r="S470" s="971">
        <v>0.4885804825226</v>
      </c>
      <c r="T470" s="969">
        <v>-21.492419999999999</v>
      </c>
      <c r="U470" s="966">
        <v>3453.83</v>
      </c>
      <c r="V470" s="966">
        <v>255.3</v>
      </c>
      <c r="W470" s="971">
        <f t="shared" si="9"/>
        <v>-8.4184958871915391E-2</v>
      </c>
      <c r="Y470" s="967">
        <v>44810</v>
      </c>
      <c r="Z470" s="974">
        <f ca="1">H420*Valuation_Senario!$L$372</f>
        <v>5058.8343649999997</v>
      </c>
      <c r="AA470" s="973">
        <v>21.47</v>
      </c>
      <c r="AM470" s="967">
        <v>44736</v>
      </c>
      <c r="AN470" s="974">
        <v>5050.3421945199998</v>
      </c>
      <c r="AO470" s="38">
        <v>0.4885804825226</v>
      </c>
    </row>
    <row r="471" spans="1:41">
      <c r="A471" s="966">
        <v>464</v>
      </c>
      <c r="B471" s="967">
        <v>44853</v>
      </c>
      <c r="C471" s="966">
        <v>59000</v>
      </c>
      <c r="D471" s="966">
        <v>183.52238</v>
      </c>
      <c r="E471" s="966">
        <v>65.695070000000001</v>
      </c>
      <c r="F471" s="966">
        <v>127357.87</v>
      </c>
      <c r="G471" s="966">
        <v>86349.559680999999</v>
      </c>
      <c r="H471" s="974">
        <v>3396.17</v>
      </c>
      <c r="I471" s="966">
        <v>20.99</v>
      </c>
      <c r="J471" s="973">
        <v>1.4493818347</v>
      </c>
      <c r="L471" s="992">
        <v>45611</v>
      </c>
      <c r="M471" s="969">
        <v>87568.731741199997</v>
      </c>
      <c r="N471" s="969">
        <f t="shared" ca="1" si="8"/>
        <v>99703.934552860665</v>
      </c>
      <c r="O471" s="974">
        <v>2027.19</v>
      </c>
      <c r="Q471" s="967">
        <v>44735</v>
      </c>
      <c r="R471" s="966">
        <v>72500</v>
      </c>
      <c r="S471" s="971">
        <v>0.48999993055711</v>
      </c>
      <c r="T471" s="969">
        <v>117.82731</v>
      </c>
      <c r="U471" s="966">
        <v>3453.96</v>
      </c>
      <c r="V471" s="966">
        <v>349.88</v>
      </c>
      <c r="W471" s="971">
        <f t="shared" si="9"/>
        <v>0.33676491940093745</v>
      </c>
      <c r="Y471" s="967">
        <v>44809</v>
      </c>
      <c r="Z471" s="974">
        <f ca="1">H421*Valuation_Senario!$L$372</f>
        <v>5058.8343649999997</v>
      </c>
      <c r="AA471" s="973">
        <v>21.35</v>
      </c>
      <c r="AM471" s="967">
        <v>44735</v>
      </c>
      <c r="AN471" s="974">
        <v>5050.5322862400008</v>
      </c>
      <c r="AO471" s="38">
        <v>0.48999993055711</v>
      </c>
    </row>
    <row r="472" spans="1:41">
      <c r="A472" s="966">
        <v>465</v>
      </c>
      <c r="B472" s="967">
        <v>44852</v>
      </c>
      <c r="C472" s="966">
        <v>59000</v>
      </c>
      <c r="D472" s="966">
        <v>125.24938</v>
      </c>
      <c r="E472" s="966">
        <v>172.82176000000001</v>
      </c>
      <c r="F472" s="966">
        <v>123405.86</v>
      </c>
      <c r="G472" s="966">
        <v>86349.559680999999</v>
      </c>
      <c r="H472" s="974">
        <v>3396.17</v>
      </c>
      <c r="I472" s="966">
        <v>20.21</v>
      </c>
      <c r="J472" s="973">
        <v>1.4493818347</v>
      </c>
      <c r="L472" s="992">
        <v>45614</v>
      </c>
      <c r="M472" s="969">
        <v>86106.816353200004</v>
      </c>
      <c r="N472" s="969">
        <f t="shared" ca="1" si="8"/>
        <v>99703.934552860665</v>
      </c>
      <c r="O472" s="974">
        <v>2027.19</v>
      </c>
      <c r="Q472" s="967">
        <v>44734</v>
      </c>
      <c r="R472" s="966">
        <v>69800</v>
      </c>
      <c r="S472" s="971">
        <v>0.48999993055711</v>
      </c>
      <c r="T472" s="969">
        <v>-47.572380000000003</v>
      </c>
      <c r="U472" s="966">
        <v>3454.09</v>
      </c>
      <c r="V472" s="966">
        <v>340.34</v>
      </c>
      <c r="W472" s="971">
        <f t="shared" si="9"/>
        <v>-0.1397789857201622</v>
      </c>
      <c r="Y472" s="967">
        <v>44804</v>
      </c>
      <c r="Z472" s="974">
        <f ca="1">H422*Valuation_Senario!$L$372</f>
        <v>5058.8343649999997</v>
      </c>
      <c r="AA472" s="973">
        <v>21.79</v>
      </c>
      <c r="AM472" s="967">
        <v>44734</v>
      </c>
      <c r="AN472" s="974">
        <v>5050.7223779600008</v>
      </c>
      <c r="AO472" s="38">
        <v>0.48999993055711</v>
      </c>
    </row>
    <row r="473" spans="1:41">
      <c r="A473" s="966">
        <v>466</v>
      </c>
      <c r="B473" s="967">
        <v>44851</v>
      </c>
      <c r="C473" s="966">
        <v>58900</v>
      </c>
      <c r="D473" s="966">
        <v>59.544199999999996</v>
      </c>
      <c r="E473" s="966">
        <v>91.100570000000005</v>
      </c>
      <c r="F473" s="966">
        <v>128821.58</v>
      </c>
      <c r="G473" s="966">
        <v>86203.204495099999</v>
      </c>
      <c r="H473" s="974">
        <v>3396.17</v>
      </c>
      <c r="I473" s="966">
        <v>21.28</v>
      </c>
      <c r="J473" s="973">
        <v>1.4493818347</v>
      </c>
      <c r="L473" s="992">
        <v>45615</v>
      </c>
      <c r="M473" s="969">
        <v>84060.134810000003</v>
      </c>
      <c r="N473" s="969">
        <f t="shared" ca="1" si="8"/>
        <v>99703.934552860665</v>
      </c>
      <c r="O473" s="974">
        <v>2027.19</v>
      </c>
      <c r="P473" s="966">
        <f>Valuation_Senario!D420/Diamond!O473</f>
        <v>43.607160650950327</v>
      </c>
      <c r="Q473" s="967">
        <v>44733</v>
      </c>
      <c r="R473" s="966">
        <v>73500</v>
      </c>
      <c r="S473" s="971">
        <v>0.48916593314064999</v>
      </c>
      <c r="T473" s="969">
        <v>-31.556370000000001</v>
      </c>
      <c r="U473" s="966">
        <v>3454.22</v>
      </c>
      <c r="V473" s="966">
        <v>263.57</v>
      </c>
      <c r="W473" s="971">
        <f t="shared" si="9"/>
        <v>-0.11972671396592936</v>
      </c>
      <c r="Y473" s="967">
        <v>44803</v>
      </c>
      <c r="Z473" s="974">
        <f ca="1">H423*Valuation_Senario!$L$372</f>
        <v>5058.8343649999997</v>
      </c>
      <c r="AA473" s="973">
        <v>21.59</v>
      </c>
      <c r="AM473" s="967">
        <v>44733</v>
      </c>
      <c r="AN473" s="974">
        <v>5050.91246968</v>
      </c>
      <c r="AO473" s="38">
        <v>0.48916593314064999</v>
      </c>
    </row>
    <row r="474" spans="1:41">
      <c r="A474" s="966">
        <v>467</v>
      </c>
      <c r="B474" s="967">
        <v>44848</v>
      </c>
      <c r="C474" s="966">
        <v>59900</v>
      </c>
      <c r="D474" s="966">
        <v>25.916149999999998</v>
      </c>
      <c r="E474" s="966">
        <v>217.86111</v>
      </c>
      <c r="F474" s="966">
        <v>129407.07</v>
      </c>
      <c r="G474" s="966">
        <v>87666.756354099998</v>
      </c>
      <c r="H474" s="974">
        <v>3396.17</v>
      </c>
      <c r="I474" s="966">
        <v>21.39</v>
      </c>
      <c r="J474" s="973">
        <v>1.4493818347</v>
      </c>
      <c r="L474" s="990">
        <v>45656</v>
      </c>
      <c r="N474" s="969">
        <f ca="1">N412</f>
        <v>99703.934552860665</v>
      </c>
      <c r="O474" s="974">
        <v>2203.7044049869523</v>
      </c>
      <c r="Q474" s="967">
        <v>44732</v>
      </c>
      <c r="R474" s="966">
        <v>73900</v>
      </c>
      <c r="S474" s="971">
        <v>0.48997002300280001</v>
      </c>
      <c r="T474" s="969">
        <v>-191.94496000000001</v>
      </c>
      <c r="U474" s="966">
        <v>3454.35</v>
      </c>
      <c r="V474" s="966">
        <v>362.05</v>
      </c>
      <c r="W474" s="971">
        <f t="shared" si="9"/>
        <v>-0.5301614694103024</v>
      </c>
      <c r="Y474" s="967">
        <v>44802</v>
      </c>
      <c r="Z474" s="974">
        <f ca="1">H424*Valuation_Senario!$L$372</f>
        <v>5058.8343649999997</v>
      </c>
      <c r="AA474" s="973">
        <v>21.79</v>
      </c>
      <c r="AM474" s="967">
        <v>44732</v>
      </c>
      <c r="AN474" s="974">
        <v>5051.1025614</v>
      </c>
      <c r="AO474" s="38">
        <v>0.48997002300280001</v>
      </c>
    </row>
    <row r="475" spans="1:41">
      <c r="A475" s="966">
        <v>468</v>
      </c>
      <c r="B475" s="967">
        <v>44847</v>
      </c>
      <c r="C475" s="966">
        <v>57600</v>
      </c>
      <c r="D475" s="966">
        <v>142.606165</v>
      </c>
      <c r="E475" s="966">
        <v>193.18148500000001</v>
      </c>
      <c r="F475" s="966">
        <v>134969.16</v>
      </c>
      <c r="G475" s="966">
        <v>84300.5870784</v>
      </c>
      <c r="H475" s="974">
        <v>3396.17</v>
      </c>
      <c r="I475" s="966">
        <v>22.49</v>
      </c>
      <c r="J475" s="973">
        <v>1.4493818347</v>
      </c>
      <c r="L475" s="990">
        <v>45657</v>
      </c>
      <c r="N475" s="969">
        <f ca="1">N474</f>
        <v>99703.934552860665</v>
      </c>
      <c r="O475" s="974">
        <f>FS!O101</f>
        <v>3733.2882287200027</v>
      </c>
      <c r="Q475" s="967">
        <v>44729</v>
      </c>
      <c r="R475" s="966">
        <v>77700</v>
      </c>
      <c r="S475" s="971">
        <v>0.48975909963456998</v>
      </c>
      <c r="T475" s="969">
        <v>-50.575319999999998</v>
      </c>
      <c r="U475" s="966">
        <v>3454.73</v>
      </c>
      <c r="V475" s="966">
        <v>401.49</v>
      </c>
      <c r="W475" s="971">
        <f t="shared" si="9"/>
        <v>-0.12596906523201076</v>
      </c>
      <c r="Y475" s="967">
        <v>44799</v>
      </c>
      <c r="Z475" s="974">
        <f ca="1">H425*Valuation_Senario!$L$372</f>
        <v>5058.8196804299996</v>
      </c>
      <c r="AA475" s="973">
        <v>21.26</v>
      </c>
      <c r="AM475" s="967">
        <v>44729</v>
      </c>
      <c r="AN475" s="974">
        <v>5051.6582141200006</v>
      </c>
      <c r="AO475" s="38">
        <v>0.48975909963456998</v>
      </c>
    </row>
    <row r="476" spans="1:41">
      <c r="A476" s="966">
        <v>469</v>
      </c>
      <c r="B476" s="967">
        <v>44846</v>
      </c>
      <c r="C476" s="966">
        <v>57500</v>
      </c>
      <c r="D476" s="966">
        <v>54.905000000000001</v>
      </c>
      <c r="E476" s="966">
        <v>101.52179</v>
      </c>
      <c r="F476" s="966">
        <v>136871.98000000001</v>
      </c>
      <c r="G476" s="966">
        <v>84154.2318925</v>
      </c>
      <c r="H476" s="974">
        <v>3396.17</v>
      </c>
      <c r="I476" s="966">
        <v>22.87</v>
      </c>
      <c r="J476" s="973">
        <v>1.4493818347</v>
      </c>
      <c r="L476" s="990">
        <f>L475+90</f>
        <v>45747</v>
      </c>
      <c r="N476" s="969">
        <f ca="1">Valuation_Senario!H415</f>
        <v>123451.13213120756</v>
      </c>
      <c r="O476" s="974">
        <f>SUM(Rev_Year!AT58:AW58)</f>
        <v>4378.1519234139996</v>
      </c>
      <c r="Q476" s="967">
        <v>44728</v>
      </c>
      <c r="R476" s="966">
        <v>79000</v>
      </c>
      <c r="S476" s="971">
        <v>0.48999999883919998</v>
      </c>
      <c r="T476" s="969">
        <v>-46.616790000000002</v>
      </c>
      <c r="U476" s="966">
        <v>3454.86</v>
      </c>
      <c r="V476" s="966">
        <v>527.4</v>
      </c>
      <c r="W476" s="971">
        <f t="shared" si="9"/>
        <v>-8.8389817974971571E-2</v>
      </c>
      <c r="Y476" s="967">
        <v>44798</v>
      </c>
      <c r="Z476" s="974">
        <f ca="1">H426*Valuation_Senario!$L$372</f>
        <v>5058.8196804299996</v>
      </c>
      <c r="AA476" s="973">
        <v>20.14</v>
      </c>
      <c r="AM476" s="967">
        <v>44728</v>
      </c>
      <c r="AN476" s="974">
        <v>5051.8483058400006</v>
      </c>
      <c r="AO476" s="38">
        <v>0.48999999883919998</v>
      </c>
    </row>
    <row r="477" spans="1:41">
      <c r="A477" s="966">
        <v>470</v>
      </c>
      <c r="B477" s="967">
        <v>44845</v>
      </c>
      <c r="C477" s="966">
        <v>55400</v>
      </c>
      <c r="D477" s="966">
        <v>150.53628</v>
      </c>
      <c r="E477" s="966">
        <v>133.50493</v>
      </c>
      <c r="F477" s="966">
        <v>129333.88</v>
      </c>
      <c r="G477" s="966">
        <v>81080.772988600002</v>
      </c>
      <c r="H477" s="974">
        <v>3396.17</v>
      </c>
      <c r="I477" s="966">
        <v>21.15</v>
      </c>
      <c r="J477" s="973">
        <v>1.4493818347</v>
      </c>
      <c r="L477" s="990">
        <f t="shared" ref="L477:L481" si="10">L476+90</f>
        <v>45837</v>
      </c>
      <c r="N477" s="969">
        <f ca="1">N476</f>
        <v>123451.13213120756</v>
      </c>
      <c r="O477" s="974">
        <f>SUM(Rev_Year!AU58:AX58)</f>
        <v>4863.2970158759999</v>
      </c>
      <c r="Q477" s="967">
        <v>44727</v>
      </c>
      <c r="R477" s="966">
        <v>147700</v>
      </c>
      <c r="S477" s="971">
        <v>0.48980962837931002</v>
      </c>
      <c r="T477" s="969">
        <v>17.03135</v>
      </c>
      <c r="U477" s="966">
        <v>6982.16</v>
      </c>
      <c r="V477" s="966">
        <v>524.53</v>
      </c>
      <c r="W477" s="971">
        <f t="shared" si="9"/>
        <v>3.2469734810211044E-2</v>
      </c>
      <c r="Y477" s="967">
        <v>44797</v>
      </c>
      <c r="Z477" s="974">
        <f ca="1">H427*Valuation_Senario!$L$372</f>
        <v>5058.8196804299996</v>
      </c>
      <c r="AA477" s="973">
        <v>19.670000000000002</v>
      </c>
      <c r="AM477" s="967">
        <v>44727</v>
      </c>
      <c r="AN477" s="974">
        <v>10209.62156704</v>
      </c>
      <c r="AO477" s="38">
        <v>0.48980962837931002</v>
      </c>
    </row>
    <row r="478" spans="1:41">
      <c r="A478" s="966">
        <v>471</v>
      </c>
      <c r="B478" s="967">
        <v>44844</v>
      </c>
      <c r="C478" s="966">
        <v>57100</v>
      </c>
      <c r="D478" s="966">
        <v>171.74535</v>
      </c>
      <c r="E478" s="966">
        <v>195.67458999999999</v>
      </c>
      <c r="F478" s="966">
        <v>126260.09</v>
      </c>
      <c r="G478" s="966">
        <v>83568.8111489</v>
      </c>
      <c r="H478" s="974">
        <v>3396.17</v>
      </c>
      <c r="I478" s="966">
        <v>20.55</v>
      </c>
      <c r="J478" s="973">
        <v>1.4493818347</v>
      </c>
      <c r="L478" s="990">
        <f t="shared" si="10"/>
        <v>45927</v>
      </c>
      <c r="N478" s="969">
        <f ca="1">N477</f>
        <v>123451.13213120756</v>
      </c>
      <c r="O478" s="974">
        <f>SUM(Rev_Year!AV58:AY58)</f>
        <v>5841.1726498610005</v>
      </c>
      <c r="Q478" s="967">
        <v>44726</v>
      </c>
      <c r="R478" s="966">
        <v>143500</v>
      </c>
      <c r="S478" s="971">
        <v>0.48998934683355</v>
      </c>
      <c r="T478" s="969">
        <v>-23.92924</v>
      </c>
      <c r="U478" s="966">
        <v>6982.68</v>
      </c>
      <c r="V478" s="966">
        <v>398.04</v>
      </c>
      <c r="W478" s="971">
        <f t="shared" si="9"/>
        <v>-6.0117676615415533E-2</v>
      </c>
      <c r="Y478" s="967">
        <v>44796</v>
      </c>
      <c r="Z478" s="974">
        <f ca="1">H428*Valuation_Senario!$L$372</f>
        <v>5058.8196804299996</v>
      </c>
      <c r="AA478" s="973">
        <v>19.7</v>
      </c>
      <c r="AM478" s="967">
        <v>44726</v>
      </c>
      <c r="AN478" s="974">
        <v>10210.381933920002</v>
      </c>
      <c r="AO478" s="38">
        <v>0.48998934683355</v>
      </c>
    </row>
    <row r="479" spans="1:41">
      <c r="A479" s="966">
        <v>472</v>
      </c>
      <c r="B479" s="967">
        <v>44841</v>
      </c>
      <c r="C479" s="966">
        <v>54000</v>
      </c>
      <c r="D479" s="966">
        <v>134.86199999999999</v>
      </c>
      <c r="E479" s="966">
        <v>101.175</v>
      </c>
      <c r="F479" s="966">
        <v>123698.6</v>
      </c>
      <c r="G479" s="966">
        <v>79031.800386000003</v>
      </c>
      <c r="H479" s="974">
        <v>3396.17</v>
      </c>
      <c r="I479" s="966">
        <v>20.05</v>
      </c>
      <c r="J479" s="973">
        <v>1.4493818347</v>
      </c>
      <c r="L479" s="990">
        <f t="shared" si="10"/>
        <v>46017</v>
      </c>
      <c r="N479" s="969">
        <f ca="1">N478</f>
        <v>123451.13213120756</v>
      </c>
      <c r="O479" s="974">
        <f ca="1">SUM(Rev_Year!AW58:AZ58)</f>
        <v>6947.1592942152747</v>
      </c>
      <c r="Q479" s="967">
        <v>44725</v>
      </c>
      <c r="R479" s="966">
        <v>140000</v>
      </c>
      <c r="S479" s="971">
        <v>0.48967948272056999</v>
      </c>
      <c r="T479" s="969">
        <v>33.686999999999998</v>
      </c>
      <c r="U479" s="966">
        <v>6983.21</v>
      </c>
      <c r="V479" s="966">
        <v>598.53</v>
      </c>
      <c r="W479" s="971">
        <f t="shared" si="9"/>
        <v>5.6282893088065757E-2</v>
      </c>
      <c r="Y479" s="967">
        <v>44795</v>
      </c>
      <c r="Z479" s="974">
        <f ca="1">H429*Valuation_Senario!$L$372</f>
        <v>5058.8196804299996</v>
      </c>
      <c r="AA479" s="973">
        <v>19.579999999999998</v>
      </c>
      <c r="AM479" s="967">
        <v>44725</v>
      </c>
      <c r="AN479" s="974">
        <v>10211.156923240002</v>
      </c>
      <c r="AO479" s="38">
        <v>0.48967948272056999</v>
      </c>
    </row>
    <row r="480" spans="1:41">
      <c r="A480" s="966">
        <v>473</v>
      </c>
      <c r="B480" s="967">
        <v>44840</v>
      </c>
      <c r="C480" s="966">
        <v>58000</v>
      </c>
      <c r="D480" s="966">
        <v>43.480600000000003</v>
      </c>
      <c r="E480" s="966">
        <v>37.29157</v>
      </c>
      <c r="F480" s="966">
        <v>131017.15</v>
      </c>
      <c r="G480" s="966">
        <v>84886.007822</v>
      </c>
      <c r="H480" s="974">
        <v>3396.17</v>
      </c>
      <c r="I480" s="966">
        <v>21.48</v>
      </c>
      <c r="J480" s="973">
        <v>1.4493818347</v>
      </c>
      <c r="L480" s="990">
        <f t="shared" si="10"/>
        <v>46107</v>
      </c>
      <c r="N480" s="969">
        <f ca="1">Valuation_Senario!I415</f>
        <v>137903.50027797875</v>
      </c>
      <c r="O480" s="974">
        <f ca="1">SUM(Rev_Year!AX58:BA58)</f>
        <v>7319.8783711585966</v>
      </c>
      <c r="Q480" s="967">
        <v>44722</v>
      </c>
      <c r="R480" s="966">
        <v>150000</v>
      </c>
      <c r="S480" s="971">
        <v>0.48975691460777998</v>
      </c>
      <c r="T480" s="969">
        <v>6.1890299999999998</v>
      </c>
      <c r="U480" s="966">
        <v>6984.79</v>
      </c>
      <c r="V480" s="966">
        <v>311.83</v>
      </c>
      <c r="W480" s="971">
        <f t="shared" si="9"/>
        <v>1.9847448930507008E-2</v>
      </c>
      <c r="Y480" s="967">
        <v>44792</v>
      </c>
      <c r="Z480" s="974">
        <f ca="1">H430*Valuation_Senario!$L$372</f>
        <v>5058.8196804299996</v>
      </c>
      <c r="AA480" s="973">
        <v>18.88</v>
      </c>
      <c r="AM480" s="967">
        <v>44722</v>
      </c>
      <c r="AN480" s="974">
        <v>10213.467268760001</v>
      </c>
      <c r="AO480" s="38">
        <v>0.48975691460777998</v>
      </c>
    </row>
    <row r="481" spans="1:41">
      <c r="A481" s="966">
        <v>474</v>
      </c>
      <c r="B481" s="967">
        <v>44839</v>
      </c>
      <c r="C481" s="966">
        <v>62200</v>
      </c>
      <c r="D481" s="966">
        <v>34.478990000000003</v>
      </c>
      <c r="E481" s="966">
        <v>37.580109999999998</v>
      </c>
      <c r="F481" s="966">
        <v>133066.34</v>
      </c>
      <c r="G481" s="966">
        <v>91032.925629799996</v>
      </c>
      <c r="H481" s="974">
        <v>3396.17</v>
      </c>
      <c r="I481" s="966">
        <v>21.87</v>
      </c>
      <c r="J481" s="973">
        <v>1.4493818347</v>
      </c>
      <c r="L481" s="990">
        <f t="shared" si="10"/>
        <v>46197</v>
      </c>
      <c r="N481" s="969">
        <f ca="1">N480</f>
        <v>137903.50027797875</v>
      </c>
      <c r="O481" s="974">
        <f ca="1">O480</f>
        <v>7319.8783711585966</v>
      </c>
      <c r="Q481" s="967">
        <v>44721</v>
      </c>
      <c r="R481" s="966">
        <v>152800</v>
      </c>
      <c r="S481" s="971">
        <v>0.48998634242170003</v>
      </c>
      <c r="T481" s="969">
        <v>-3.1011199999999999</v>
      </c>
      <c r="U481" s="966">
        <v>6985.31</v>
      </c>
      <c r="V481" s="966">
        <v>205.39</v>
      </c>
      <c r="W481" s="971">
        <f t="shared" si="9"/>
        <v>-1.5098690296509081E-2</v>
      </c>
      <c r="Y481" s="967">
        <v>44791</v>
      </c>
      <c r="Z481" s="974">
        <f ca="1">H431*Valuation_Senario!$L$372</f>
        <v>5058.8196804299996</v>
      </c>
      <c r="AA481" s="973">
        <v>18.989999999999998</v>
      </c>
      <c r="AM481" s="967">
        <v>44721</v>
      </c>
      <c r="AN481" s="974">
        <v>10214.227635640002</v>
      </c>
      <c r="AO481" s="38">
        <v>0.48998634242170003</v>
      </c>
    </row>
    <row r="482" spans="1:41">
      <c r="A482" s="966">
        <v>475</v>
      </c>
      <c r="B482" s="967">
        <v>44838</v>
      </c>
      <c r="C482" s="966">
        <v>61000</v>
      </c>
      <c r="D482" s="966">
        <v>28.271646</v>
      </c>
      <c r="E482" s="966">
        <v>64.795345999999995</v>
      </c>
      <c r="F482" s="966">
        <v>133505.45000000001</v>
      </c>
      <c r="G482" s="966">
        <v>89276.663398999997</v>
      </c>
      <c r="H482" s="974">
        <v>3396.17</v>
      </c>
      <c r="I482" s="966">
        <v>21.96</v>
      </c>
      <c r="J482" s="973">
        <v>1.4493818347</v>
      </c>
      <c r="M482" s="969">
        <v>62925.198788000002</v>
      </c>
      <c r="Q482" s="967">
        <v>44720</v>
      </c>
      <c r="R482" s="966">
        <v>153400</v>
      </c>
      <c r="S482" s="971">
        <v>0.48999999883919998</v>
      </c>
      <c r="T482" s="969">
        <v>-36.523699999999998</v>
      </c>
      <c r="U482" s="966">
        <v>6985.84</v>
      </c>
      <c r="V482" s="966">
        <v>350.03</v>
      </c>
      <c r="W482" s="971">
        <f t="shared" si="9"/>
        <v>-0.10434448475844928</v>
      </c>
      <c r="Y482" s="967">
        <v>44790</v>
      </c>
      <c r="Z482" s="974">
        <f ca="1">H432*Valuation_Senario!$L$372</f>
        <v>5058.8196804299996</v>
      </c>
      <c r="AA482" s="973">
        <v>19.14</v>
      </c>
      <c r="AM482" s="967">
        <v>44720</v>
      </c>
      <c r="AN482" s="974">
        <v>10215.002624960001</v>
      </c>
      <c r="AO482" s="38">
        <v>0.48999999883919998</v>
      </c>
    </row>
    <row r="483" spans="1:41">
      <c r="A483" s="966">
        <v>476</v>
      </c>
      <c r="B483" s="967">
        <v>44837</v>
      </c>
      <c r="C483" s="966">
        <v>59600</v>
      </c>
      <c r="D483" s="966">
        <v>0</v>
      </c>
      <c r="E483" s="966">
        <v>26.984279999999998</v>
      </c>
      <c r="F483" s="966">
        <v>133212.71</v>
      </c>
      <c r="G483" s="966">
        <v>87227.690796399998</v>
      </c>
      <c r="H483" s="974">
        <v>3396.17</v>
      </c>
      <c r="I483" s="966">
        <v>21.9</v>
      </c>
      <c r="J483" s="973">
        <v>1.4493818347</v>
      </c>
      <c r="M483" s="969">
        <v>64095.900160800004</v>
      </c>
      <c r="Q483" s="967">
        <v>44719</v>
      </c>
      <c r="R483" s="966">
        <v>153000</v>
      </c>
      <c r="S483" s="971">
        <v>0.48999999883919998</v>
      </c>
      <c r="T483" s="969">
        <v>-26.984279999999998</v>
      </c>
      <c r="U483" s="966">
        <v>6986.36</v>
      </c>
      <c r="V483" s="966">
        <v>279.69</v>
      </c>
      <c r="W483" s="971">
        <f t="shared" si="9"/>
        <v>-9.6479244878258069E-2</v>
      </c>
      <c r="Y483" s="967">
        <v>44789</v>
      </c>
      <c r="Z483" s="974">
        <f ca="1">H433*Valuation_Senario!$L$372</f>
        <v>5058.8196804299996</v>
      </c>
      <c r="AA483" s="973">
        <v>19.440000000000001</v>
      </c>
      <c r="AM483" s="967">
        <v>44719</v>
      </c>
      <c r="AN483" s="974">
        <v>10215.76299184</v>
      </c>
      <c r="AO483" s="38">
        <v>0.48999999883919998</v>
      </c>
    </row>
    <row r="484" spans="1:41">
      <c r="A484" s="966">
        <v>477</v>
      </c>
      <c r="B484" s="967">
        <v>44834</v>
      </c>
      <c r="C484" s="966">
        <v>64000</v>
      </c>
      <c r="D484" s="966">
        <v>65.272630000000007</v>
      </c>
      <c r="E484" s="966">
        <v>66.819630000000004</v>
      </c>
      <c r="F484" s="966">
        <v>134456.85999999999</v>
      </c>
      <c r="G484" s="966">
        <v>93667.318975999995</v>
      </c>
      <c r="H484" s="974">
        <v>3396.17</v>
      </c>
      <c r="I484" s="966">
        <v>22.14</v>
      </c>
      <c r="J484" s="973">
        <v>1.4493818347</v>
      </c>
      <c r="M484" s="969">
        <v>62339.848101600001</v>
      </c>
      <c r="Q484" s="967">
        <v>44718</v>
      </c>
      <c r="R484" s="966">
        <v>154700</v>
      </c>
      <c r="S484" s="971">
        <v>0.48999999883919998</v>
      </c>
      <c r="T484" s="969">
        <v>-1.5469999999999999</v>
      </c>
      <c r="U484" s="966">
        <v>6986.89</v>
      </c>
      <c r="V484" s="966">
        <v>358.83</v>
      </c>
      <c r="W484" s="971">
        <f t="shared" si="9"/>
        <v>-4.3112337318507374E-3</v>
      </c>
      <c r="Y484" s="967">
        <v>44788</v>
      </c>
      <c r="Z484" s="974">
        <f ca="1">H434*Valuation_Senario!$L$372</f>
        <v>5058.8196804299996</v>
      </c>
      <c r="AA484" s="973">
        <v>19.14</v>
      </c>
      <c r="AM484" s="967">
        <v>44718</v>
      </c>
      <c r="AN484" s="974">
        <v>10216.537981160001</v>
      </c>
      <c r="AO484" s="38">
        <v>0.48999999883919998</v>
      </c>
    </row>
    <row r="485" spans="1:41">
      <c r="A485" s="966">
        <v>478</v>
      </c>
      <c r="B485" s="967">
        <v>44833</v>
      </c>
      <c r="C485" s="966">
        <v>64000</v>
      </c>
      <c r="D485" s="966">
        <v>26.504999999999999</v>
      </c>
      <c r="E485" s="966">
        <v>26.504999999999999</v>
      </c>
      <c r="F485" s="966">
        <v>133359.07999999999</v>
      </c>
      <c r="G485" s="966">
        <v>93667.318975999995</v>
      </c>
      <c r="H485" s="974">
        <v>3396.17</v>
      </c>
      <c r="I485" s="966">
        <v>21.92</v>
      </c>
      <c r="J485" s="973">
        <v>1.4493818347</v>
      </c>
      <c r="M485" s="969">
        <v>67022.653592799994</v>
      </c>
      <c r="Q485" s="967">
        <v>44715</v>
      </c>
      <c r="R485" s="966">
        <v>153200</v>
      </c>
      <c r="S485" s="971">
        <v>0.48999999883919998</v>
      </c>
      <c r="T485" s="969">
        <v>0</v>
      </c>
      <c r="U485" s="966">
        <v>6988.47</v>
      </c>
      <c r="V485" s="966">
        <v>279.99</v>
      </c>
      <c r="W485" s="971">
        <f t="shared" si="9"/>
        <v>0</v>
      </c>
      <c r="Y485" s="967">
        <v>44785</v>
      </c>
      <c r="Z485" s="974">
        <f ca="1">H435*Valuation_Senario!$L$372</f>
        <v>5058.8196804299996</v>
      </c>
      <c r="AA485" s="973">
        <v>18.55</v>
      </c>
      <c r="AM485" s="967">
        <v>44715</v>
      </c>
      <c r="AN485" s="974">
        <v>10218.848326680001</v>
      </c>
      <c r="AO485" s="38">
        <v>0.48999999883919998</v>
      </c>
    </row>
    <row r="486" spans="1:41">
      <c r="A486" s="966">
        <v>479</v>
      </c>
      <c r="B486" s="967">
        <v>44832</v>
      </c>
      <c r="C486" s="966">
        <v>65000</v>
      </c>
      <c r="D486" s="966">
        <v>37.237879999999997</v>
      </c>
      <c r="E486" s="966">
        <v>37.237879999999997</v>
      </c>
      <c r="F486" s="966">
        <v>129333.88</v>
      </c>
      <c r="G486" s="966">
        <v>95141.125950000001</v>
      </c>
      <c r="H486" s="974">
        <v>3395.8</v>
      </c>
      <c r="I486" s="966">
        <v>21.13</v>
      </c>
      <c r="J486" s="973">
        <v>1.4495396057000001</v>
      </c>
      <c r="M486" s="969">
        <v>68047.017294000005</v>
      </c>
      <c r="Q486" s="967">
        <v>44714</v>
      </c>
      <c r="R486" s="966">
        <v>147700</v>
      </c>
      <c r="S486" s="971">
        <v>0.48999999883919998</v>
      </c>
      <c r="T486" s="969">
        <v>0</v>
      </c>
      <c r="U486" s="966">
        <v>6988.99</v>
      </c>
      <c r="V486" s="966">
        <v>306.08</v>
      </c>
      <c r="W486" s="971">
        <f t="shared" si="9"/>
        <v>0</v>
      </c>
      <c r="Y486" s="967">
        <v>44784</v>
      </c>
      <c r="Z486" s="974">
        <f ca="1">H436*Valuation_Senario!$L$372</f>
        <v>5058.8196804299996</v>
      </c>
      <c r="AA486" s="973">
        <v>18.55</v>
      </c>
      <c r="AM486" s="967">
        <v>44714</v>
      </c>
      <c r="AN486" s="974">
        <v>10219.60869356</v>
      </c>
      <c r="AO486" s="38">
        <v>0.48999999883919998</v>
      </c>
    </row>
    <row r="487" spans="1:41">
      <c r="A487" s="966">
        <v>480</v>
      </c>
      <c r="B487" s="967">
        <v>44831</v>
      </c>
      <c r="C487" s="966">
        <v>67100</v>
      </c>
      <c r="D487" s="966">
        <v>4.4485000000000001</v>
      </c>
      <c r="E487" s="966">
        <v>4.4485000000000001</v>
      </c>
      <c r="F487" s="966">
        <v>127723.8</v>
      </c>
      <c r="G487" s="966">
        <v>98214.916173000005</v>
      </c>
      <c r="H487" s="974">
        <v>3395.8</v>
      </c>
      <c r="I487" s="966">
        <v>20.82</v>
      </c>
      <c r="J487" s="973">
        <v>1.4495396057000001</v>
      </c>
      <c r="M487" s="969">
        <v>67900.679622399999</v>
      </c>
      <c r="Q487" s="967">
        <v>44713</v>
      </c>
      <c r="R487" s="966">
        <v>145500</v>
      </c>
      <c r="S487" s="971">
        <v>0.48999999883919998</v>
      </c>
      <c r="T487" s="969">
        <v>0</v>
      </c>
      <c r="U487" s="966">
        <v>6989.52</v>
      </c>
      <c r="V487" s="966">
        <v>158.41</v>
      </c>
      <c r="W487" s="971">
        <f t="shared" si="9"/>
        <v>0</v>
      </c>
      <c r="Y487" s="967">
        <v>44783</v>
      </c>
      <c r="Z487" s="974">
        <f ca="1">H437*Valuation_Senario!$L$372</f>
        <v>5058.8196804299996</v>
      </c>
      <c r="AA487" s="973">
        <v>18.73</v>
      </c>
      <c r="AM487" s="967">
        <v>44713</v>
      </c>
      <c r="AN487" s="974">
        <v>10220.383682880001</v>
      </c>
      <c r="AO487" s="38">
        <v>0.48999999883919998</v>
      </c>
    </row>
    <row r="488" spans="1:41">
      <c r="A488" s="966">
        <v>481</v>
      </c>
      <c r="B488" s="967">
        <v>44830</v>
      </c>
      <c r="C488" s="966">
        <v>68000</v>
      </c>
      <c r="D488" s="966">
        <v>80.554109999999994</v>
      </c>
      <c r="E488" s="966">
        <v>80.554109999999994</v>
      </c>
      <c r="F488" s="966">
        <v>127284.69</v>
      </c>
      <c r="G488" s="966">
        <v>99532.254839999994</v>
      </c>
      <c r="H488" s="974">
        <v>3395.8</v>
      </c>
      <c r="I488" s="966">
        <v>20.73</v>
      </c>
      <c r="J488" s="973">
        <v>1.4495396057000001</v>
      </c>
      <c r="M488" s="969">
        <v>68047.017294000005</v>
      </c>
      <c r="Q488" s="967">
        <v>44712</v>
      </c>
      <c r="R488" s="966">
        <v>144900</v>
      </c>
      <c r="S488" s="971">
        <v>0.48999999883919998</v>
      </c>
      <c r="T488" s="969">
        <v>0</v>
      </c>
      <c r="U488" s="966">
        <v>6990.05</v>
      </c>
      <c r="V488" s="966">
        <v>187.24</v>
      </c>
      <c r="W488" s="971">
        <f t="shared" si="9"/>
        <v>0</v>
      </c>
      <c r="Y488" s="967">
        <v>44782</v>
      </c>
      <c r="Z488" s="974">
        <f ca="1">H438*Valuation_Senario!$L$372</f>
        <v>5058.8196804299996</v>
      </c>
      <c r="AA488" s="973">
        <v>18.64</v>
      </c>
      <c r="AM488" s="967">
        <v>44712</v>
      </c>
      <c r="AN488" s="974">
        <v>10221.158672200001</v>
      </c>
      <c r="AO488" s="38">
        <v>0.48999999883919998</v>
      </c>
    </row>
    <row r="489" spans="1:41">
      <c r="A489" s="966">
        <v>482</v>
      </c>
      <c r="B489" s="967">
        <v>44827</v>
      </c>
      <c r="C489" s="966">
        <v>69400</v>
      </c>
      <c r="D489" s="966">
        <v>55.166040000000002</v>
      </c>
      <c r="E489" s="966">
        <v>55.166040000000002</v>
      </c>
      <c r="F489" s="966">
        <v>127504.24</v>
      </c>
      <c r="G489" s="966">
        <v>101581.448322</v>
      </c>
      <c r="H489" s="974">
        <v>3395.8</v>
      </c>
      <c r="I489" s="966">
        <v>20.77</v>
      </c>
      <c r="J489" s="973">
        <v>1.4495396057000001</v>
      </c>
      <c r="M489" s="969">
        <v>68998.212159400005</v>
      </c>
      <c r="Q489" s="967">
        <v>44711</v>
      </c>
      <c r="R489" s="966">
        <v>145200</v>
      </c>
      <c r="S489" s="971">
        <v>0.48999999883919998</v>
      </c>
      <c r="T489" s="969">
        <v>0</v>
      </c>
      <c r="U489" s="966">
        <v>6990.57</v>
      </c>
      <c r="V489" s="966">
        <v>238.73</v>
      </c>
      <c r="W489" s="971">
        <f t="shared" si="9"/>
        <v>0</v>
      </c>
      <c r="Y489" s="967">
        <v>44781</v>
      </c>
      <c r="Z489" s="974">
        <f ca="1">H439*Valuation_Senario!$L$372</f>
        <v>5058.8196804299996</v>
      </c>
      <c r="AA489" s="973">
        <v>18.52</v>
      </c>
      <c r="AM489" s="967">
        <v>44711</v>
      </c>
      <c r="AN489" s="974">
        <v>10221.919039079999</v>
      </c>
      <c r="AO489" s="38">
        <v>0.48999999883919998</v>
      </c>
    </row>
    <row r="490" spans="1:41">
      <c r="A490" s="966">
        <v>483</v>
      </c>
      <c r="B490" s="967">
        <v>44826</v>
      </c>
      <c r="C490" s="966">
        <v>70100</v>
      </c>
      <c r="D490" s="966">
        <v>0</v>
      </c>
      <c r="E490" s="966">
        <v>0</v>
      </c>
      <c r="F490" s="966">
        <v>128602.03</v>
      </c>
      <c r="G490" s="966">
        <v>102606.045063</v>
      </c>
      <c r="H490" s="974">
        <v>3395.8</v>
      </c>
      <c r="I490" s="966">
        <v>20.98</v>
      </c>
      <c r="J490" s="973">
        <v>1.4495396057000001</v>
      </c>
      <c r="M490" s="969">
        <v>70030.956453149993</v>
      </c>
      <c r="Q490" s="967">
        <v>44708</v>
      </c>
      <c r="R490" s="966">
        <v>146700</v>
      </c>
      <c r="S490" s="971">
        <v>0.48999999883919998</v>
      </c>
      <c r="T490" s="969">
        <v>0</v>
      </c>
      <c r="U490" s="966">
        <v>6992.16</v>
      </c>
      <c r="V490" s="966">
        <v>369.28</v>
      </c>
      <c r="W490" s="971">
        <f t="shared" si="9"/>
        <v>0</v>
      </c>
      <c r="Y490" s="967">
        <v>44778</v>
      </c>
      <c r="Z490" s="974">
        <f ca="1">H440*Valuation_Senario!$L$372</f>
        <v>5058.8196804299996</v>
      </c>
      <c r="AA490" s="973">
        <v>18.46</v>
      </c>
      <c r="AM490" s="967">
        <v>44708</v>
      </c>
      <c r="AN490" s="974">
        <v>10224.244007040001</v>
      </c>
      <c r="AO490" s="38">
        <v>0.48999999883919998</v>
      </c>
    </row>
    <row r="491" spans="1:41">
      <c r="A491" s="966">
        <v>484</v>
      </c>
      <c r="B491" s="967">
        <v>44825</v>
      </c>
      <c r="C491" s="966">
        <v>70000</v>
      </c>
      <c r="D491" s="966">
        <v>72.937349999999995</v>
      </c>
      <c r="E491" s="966">
        <v>72.937349999999995</v>
      </c>
      <c r="F491" s="966">
        <v>122966.74</v>
      </c>
      <c r="G491" s="966">
        <v>102459.6741</v>
      </c>
      <c r="H491" s="974">
        <v>3395.8</v>
      </c>
      <c r="I491" s="966">
        <v>19.88</v>
      </c>
      <c r="J491" s="973">
        <v>1.4495396057000001</v>
      </c>
      <c r="M491" s="969">
        <v>68786.937372999993</v>
      </c>
      <c r="Q491" s="967">
        <v>44707</v>
      </c>
      <c r="R491" s="966">
        <v>139000</v>
      </c>
      <c r="S491" s="971">
        <v>0.48999999883919998</v>
      </c>
      <c r="T491" s="969">
        <v>0</v>
      </c>
      <c r="U491" s="966">
        <v>6992.68</v>
      </c>
      <c r="V491" s="966">
        <v>172.9</v>
      </c>
      <c r="W491" s="971">
        <f t="shared" si="9"/>
        <v>0</v>
      </c>
      <c r="Y491" s="967">
        <v>44777</v>
      </c>
      <c r="Z491" s="974">
        <f ca="1">H441*Valuation_Senario!$L$372</f>
        <v>5058.8196804299996</v>
      </c>
      <c r="AA491" s="973">
        <v>18.46</v>
      </c>
      <c r="AM491" s="967">
        <v>44707</v>
      </c>
      <c r="AN491" s="974">
        <v>10225.004373920001</v>
      </c>
      <c r="AO491" s="38">
        <v>0.48999999883919998</v>
      </c>
    </row>
    <row r="492" spans="1:41">
      <c r="A492" s="966">
        <v>485</v>
      </c>
      <c r="B492" s="967">
        <v>44824</v>
      </c>
      <c r="C492" s="966">
        <v>71700</v>
      </c>
      <c r="D492" s="966">
        <v>0</v>
      </c>
      <c r="E492" s="966">
        <v>0</v>
      </c>
      <c r="F492" s="966">
        <v>122966.74</v>
      </c>
      <c r="G492" s="966">
        <v>104947.980471</v>
      </c>
      <c r="H492" s="974">
        <v>3395.8</v>
      </c>
      <c r="I492" s="966">
        <v>19.88</v>
      </c>
      <c r="J492" s="973">
        <v>1.4495396057000001</v>
      </c>
      <c r="M492" s="969">
        <v>67981.983850549994</v>
      </c>
      <c r="Q492" s="967">
        <v>44706</v>
      </c>
      <c r="R492" s="966">
        <v>139000</v>
      </c>
      <c r="S492" s="971">
        <v>0.48999999883919998</v>
      </c>
      <c r="T492" s="969">
        <v>0</v>
      </c>
      <c r="U492" s="966">
        <v>6993.21</v>
      </c>
      <c r="V492" s="966">
        <v>213.6</v>
      </c>
      <c r="W492" s="971">
        <f t="shared" si="9"/>
        <v>0</v>
      </c>
      <c r="Y492" s="967">
        <v>44776</v>
      </c>
      <c r="Z492" s="974">
        <f ca="1">H442*Valuation_Senario!$L$372</f>
        <v>5058.8196804299996</v>
      </c>
      <c r="AA492" s="973">
        <v>18.2</v>
      </c>
      <c r="AM492" s="967">
        <v>44706</v>
      </c>
      <c r="AN492" s="974">
        <v>10225.779363240001</v>
      </c>
      <c r="AO492" s="38">
        <v>0.48999999883919998</v>
      </c>
    </row>
    <row r="493" spans="1:41">
      <c r="A493" s="966">
        <v>486</v>
      </c>
      <c r="B493" s="967">
        <v>44823</v>
      </c>
      <c r="C493" s="966">
        <v>70500</v>
      </c>
      <c r="D493" s="966">
        <v>0</v>
      </c>
      <c r="E493" s="966">
        <v>0</v>
      </c>
      <c r="F493" s="966">
        <v>118598.18</v>
      </c>
      <c r="G493" s="966">
        <v>103191.528915</v>
      </c>
      <c r="H493" s="974">
        <v>3395.8</v>
      </c>
      <c r="I493" s="966">
        <v>19.02</v>
      </c>
      <c r="J493" s="973">
        <v>1.4495396057000001</v>
      </c>
      <c r="M493" s="969">
        <v>67908.806257599994</v>
      </c>
      <c r="Q493" s="967">
        <v>44705</v>
      </c>
      <c r="R493" s="966">
        <v>133000</v>
      </c>
      <c r="S493" s="971">
        <v>0.48999999883919998</v>
      </c>
      <c r="T493" s="969">
        <v>0</v>
      </c>
      <c r="U493" s="966">
        <v>6992.08</v>
      </c>
      <c r="V493" s="966">
        <v>76.040000000000006</v>
      </c>
      <c r="W493" s="971">
        <f t="shared" si="9"/>
        <v>0</v>
      </c>
      <c r="Y493" s="967">
        <v>44775</v>
      </c>
      <c r="Z493" s="974">
        <f ca="1">H443*Valuation_Senario!$L$372</f>
        <v>5058.8196804299996</v>
      </c>
      <c r="AA493" s="973">
        <v>18.260000000000002</v>
      </c>
      <c r="AM493" s="967">
        <v>44705</v>
      </c>
      <c r="AN493" s="974">
        <v>10224.12702752</v>
      </c>
      <c r="AO493" s="38">
        <v>0.48999999883919998</v>
      </c>
    </row>
    <row r="494" spans="1:41">
      <c r="A494" s="966">
        <v>487</v>
      </c>
      <c r="B494" s="967">
        <v>44820</v>
      </c>
      <c r="C494" s="966">
        <v>72000</v>
      </c>
      <c r="D494" s="966">
        <v>85.277829999999994</v>
      </c>
      <c r="E494" s="966">
        <v>85.277829999999994</v>
      </c>
      <c r="F494" s="966">
        <v>116987.72</v>
      </c>
      <c r="G494" s="966">
        <v>105387.09336</v>
      </c>
      <c r="H494" s="974">
        <v>3395.8</v>
      </c>
      <c r="I494" s="966">
        <v>18.71</v>
      </c>
      <c r="J494" s="973">
        <v>1.4495396057000001</v>
      </c>
      <c r="M494" s="969">
        <v>67177.030328099994</v>
      </c>
      <c r="Q494" s="967">
        <v>44704</v>
      </c>
      <c r="R494" s="966">
        <v>130800</v>
      </c>
      <c r="S494" s="971">
        <v>0.48999999883919998</v>
      </c>
      <c r="T494" s="969">
        <v>0</v>
      </c>
      <c r="U494" s="966">
        <v>6992.61</v>
      </c>
      <c r="V494" s="966">
        <v>157.27000000000001</v>
      </c>
      <c r="W494" s="971">
        <f t="shared" si="9"/>
        <v>0</v>
      </c>
      <c r="Y494" s="967">
        <v>44774</v>
      </c>
      <c r="Z494" s="974">
        <f ca="1">H444*Valuation_Senario!$L$372</f>
        <v>5058.8196804299996</v>
      </c>
      <c r="AA494" s="973">
        <v>18.05</v>
      </c>
      <c r="AM494" s="967">
        <v>44704</v>
      </c>
      <c r="AN494" s="974">
        <v>10224.90201684</v>
      </c>
      <c r="AO494" s="38">
        <v>0.48999999883919998</v>
      </c>
    </row>
    <row r="495" spans="1:41">
      <c r="A495" s="966">
        <v>488</v>
      </c>
      <c r="B495" s="967">
        <v>44819</v>
      </c>
      <c r="C495" s="966">
        <v>73900</v>
      </c>
      <c r="D495" s="966">
        <v>10.829029999999999</v>
      </c>
      <c r="E495" s="966">
        <v>10.829029999999999</v>
      </c>
      <c r="F495" s="966">
        <v>119330.2</v>
      </c>
      <c r="G495" s="966">
        <v>108168.141657</v>
      </c>
      <c r="H495" s="974">
        <v>3395.8</v>
      </c>
      <c r="I495" s="966">
        <v>19.16</v>
      </c>
      <c r="J495" s="973">
        <v>1.4495396057000001</v>
      </c>
      <c r="M495" s="969">
        <v>67616.095885799994</v>
      </c>
      <c r="Q495" s="967">
        <v>44701</v>
      </c>
      <c r="R495" s="966">
        <v>134000</v>
      </c>
      <c r="S495" s="971">
        <v>0.48999999883919998</v>
      </c>
      <c r="T495" s="969">
        <v>0</v>
      </c>
      <c r="U495" s="966">
        <v>6994.19</v>
      </c>
      <c r="V495" s="966">
        <v>127.4</v>
      </c>
      <c r="W495" s="971">
        <f t="shared" si="9"/>
        <v>0</v>
      </c>
      <c r="Y495" s="967">
        <v>44771</v>
      </c>
      <c r="Z495" s="974">
        <f ca="1">H445*Valuation_Senario!$L$372</f>
        <v>5058.8196804299996</v>
      </c>
      <c r="AA495" s="973">
        <v>17.68</v>
      </c>
      <c r="AM495" s="967">
        <v>44701</v>
      </c>
      <c r="AN495" s="974">
        <v>10227.21236236</v>
      </c>
      <c r="AO495" s="38">
        <v>0.48999999883919998</v>
      </c>
    </row>
    <row r="496" spans="1:41">
      <c r="A496" s="966">
        <v>489</v>
      </c>
      <c r="B496" s="967">
        <v>44818</v>
      </c>
      <c r="C496" s="966">
        <v>73700</v>
      </c>
      <c r="D496" s="966">
        <v>0</v>
      </c>
      <c r="E496" s="966">
        <v>0</v>
      </c>
      <c r="F496" s="966">
        <v>118598.18</v>
      </c>
      <c r="G496" s="966">
        <v>107875.399731</v>
      </c>
      <c r="H496" s="974">
        <v>3395.8</v>
      </c>
      <c r="I496" s="966">
        <v>19.010000000000002</v>
      </c>
      <c r="J496" s="973">
        <v>1.4495396057000001</v>
      </c>
      <c r="M496" s="969">
        <v>67323.385513999994</v>
      </c>
      <c r="Q496" s="967">
        <v>44700</v>
      </c>
      <c r="R496" s="966">
        <v>133000</v>
      </c>
      <c r="S496" s="971">
        <v>0.48999999883919998</v>
      </c>
      <c r="T496" s="969">
        <v>0</v>
      </c>
      <c r="U496" s="966">
        <v>6994.71</v>
      </c>
      <c r="V496" s="966">
        <v>110.73</v>
      </c>
      <c r="W496" s="971">
        <f t="shared" si="9"/>
        <v>0</v>
      </c>
      <c r="Y496" s="967">
        <v>44770</v>
      </c>
      <c r="Z496" s="974">
        <f ca="1">H446*Valuation_Senario!$L$372</f>
        <v>5058.8196804299996</v>
      </c>
      <c r="AA496" s="973">
        <v>17.97</v>
      </c>
      <c r="AM496" s="967">
        <v>44700</v>
      </c>
      <c r="AN496" s="974">
        <v>10227.97272924</v>
      </c>
      <c r="AO496" s="38">
        <v>0.48999999883919998</v>
      </c>
    </row>
    <row r="497" spans="1:41">
      <c r="A497" s="966">
        <v>490</v>
      </c>
      <c r="B497" s="967">
        <v>44817</v>
      </c>
      <c r="C497" s="966">
        <v>74100</v>
      </c>
      <c r="D497" s="966">
        <v>0</v>
      </c>
      <c r="E497" s="966">
        <v>0</v>
      </c>
      <c r="F497" s="966">
        <v>118964.19</v>
      </c>
      <c r="G497" s="966">
        <v>108460.883583</v>
      </c>
      <c r="H497" s="974">
        <v>3395.8</v>
      </c>
      <c r="I497" s="966">
        <v>19.079999999999998</v>
      </c>
      <c r="J497" s="973">
        <v>1.4495396057000001</v>
      </c>
      <c r="M497" s="969">
        <v>65640.300876149995</v>
      </c>
      <c r="Q497" s="967">
        <v>44699</v>
      </c>
      <c r="R497" s="966">
        <v>133500</v>
      </c>
      <c r="S497" s="971">
        <v>0.48999999883919998</v>
      </c>
      <c r="T497" s="969">
        <v>0</v>
      </c>
      <c r="U497" s="966">
        <v>6995.24</v>
      </c>
      <c r="V497" s="966">
        <v>105.97</v>
      </c>
      <c r="W497" s="971">
        <f t="shared" si="9"/>
        <v>0</v>
      </c>
      <c r="Y497" s="967">
        <v>44769</v>
      </c>
      <c r="Z497" s="974">
        <f ca="1">H447*Valuation_Senario!$L$372</f>
        <v>5058.8196804299996</v>
      </c>
      <c r="AA497" s="973">
        <v>18</v>
      </c>
      <c r="AM497" s="967">
        <v>44699</v>
      </c>
      <c r="AN497" s="974">
        <v>10228.74771856</v>
      </c>
      <c r="AO497" s="38">
        <v>0.48999999883919998</v>
      </c>
    </row>
    <row r="498" spans="1:41">
      <c r="A498" s="966">
        <v>491</v>
      </c>
      <c r="B498" s="967">
        <v>44816</v>
      </c>
      <c r="C498" s="966">
        <v>74000</v>
      </c>
      <c r="D498" s="966">
        <v>0.1249</v>
      </c>
      <c r="E498" s="966">
        <v>0</v>
      </c>
      <c r="F498" s="966">
        <v>117573.34</v>
      </c>
      <c r="G498" s="966">
        <v>108314.51261999999</v>
      </c>
      <c r="H498" s="974">
        <v>3395.8</v>
      </c>
      <c r="I498" s="966">
        <v>18.809999999999999</v>
      </c>
      <c r="J498" s="973">
        <v>1.4495396057000001</v>
      </c>
      <c r="M498" s="969">
        <v>64908.524946650003</v>
      </c>
      <c r="Q498" s="967">
        <v>44698</v>
      </c>
      <c r="R498" s="966">
        <v>131600</v>
      </c>
      <c r="S498" s="971">
        <v>0.48999863319745002</v>
      </c>
      <c r="T498" s="969">
        <v>0.1249</v>
      </c>
      <c r="U498" s="966">
        <v>6995.77</v>
      </c>
      <c r="V498" s="966">
        <v>134.18</v>
      </c>
      <c r="W498" s="971">
        <f t="shared" si="9"/>
        <v>9.3083917126248318E-4</v>
      </c>
      <c r="Y498" s="967">
        <v>44768</v>
      </c>
      <c r="Z498" s="974">
        <f ca="1">H448*Valuation_Senario!$L$372</f>
        <v>5058.8196804299996</v>
      </c>
      <c r="AA498" s="973">
        <v>18.260000000000002</v>
      </c>
      <c r="AM498" s="967">
        <v>44698</v>
      </c>
      <c r="AN498" s="974">
        <v>10229.522707880002</v>
      </c>
      <c r="AO498" s="38">
        <v>0.48999863319745002</v>
      </c>
    </row>
    <row r="499" spans="1:41">
      <c r="A499" s="966">
        <v>492</v>
      </c>
      <c r="B499" s="967">
        <v>44813</v>
      </c>
      <c r="C499" s="966">
        <v>72000</v>
      </c>
      <c r="D499" s="966">
        <v>4.1063599999999996</v>
      </c>
      <c r="E499" s="966">
        <v>3.9738600000000002</v>
      </c>
      <c r="F499" s="966">
        <v>111277.93</v>
      </c>
      <c r="G499" s="966">
        <v>105387.09336</v>
      </c>
      <c r="H499" s="974">
        <v>3395.8</v>
      </c>
      <c r="I499" s="966">
        <v>17.579999999999998</v>
      </c>
      <c r="J499" s="973">
        <v>1.4495396057000001</v>
      </c>
      <c r="M499" s="969">
        <v>69665.068488399993</v>
      </c>
      <c r="Q499" s="967">
        <v>44697</v>
      </c>
      <c r="R499" s="966">
        <v>123000</v>
      </c>
      <c r="S499" s="971">
        <v>0.48999863319745002</v>
      </c>
      <c r="T499" s="969">
        <v>0.13250000000000001</v>
      </c>
      <c r="U499" s="966">
        <v>6996.3</v>
      </c>
      <c r="V499" s="966">
        <v>172.67</v>
      </c>
      <c r="W499" s="971">
        <f t="shared" si="9"/>
        <v>7.6735970348062793E-4</v>
      </c>
      <c r="Y499" s="967">
        <v>44767</v>
      </c>
      <c r="Z499" s="974">
        <f ca="1">H449*Valuation_Senario!$L$372</f>
        <v>5091.8159092199994</v>
      </c>
      <c r="AA499" s="973">
        <v>18.350000000000001</v>
      </c>
      <c r="AM499" s="967">
        <v>44697</v>
      </c>
      <c r="AN499" s="974">
        <v>10230.297697200001</v>
      </c>
      <c r="AO499" s="38">
        <v>0.48999863319745002</v>
      </c>
    </row>
    <row r="500" spans="1:41">
      <c r="A500" s="966">
        <v>493</v>
      </c>
      <c r="B500" s="967">
        <v>44812</v>
      </c>
      <c r="C500" s="966">
        <v>71500</v>
      </c>
      <c r="D500" s="966">
        <v>122.18686</v>
      </c>
      <c r="E500" s="966">
        <v>122.18686</v>
      </c>
      <c r="F500" s="966">
        <v>112815.18</v>
      </c>
      <c r="G500" s="966">
        <v>104655.238545</v>
      </c>
      <c r="H500" s="974">
        <v>3395.8</v>
      </c>
      <c r="I500" s="966">
        <v>17.88</v>
      </c>
      <c r="J500" s="973">
        <v>1.4495396057000001</v>
      </c>
      <c r="M500" s="969">
        <v>68786.937372999993</v>
      </c>
      <c r="Q500" s="967">
        <v>44694</v>
      </c>
      <c r="R500" s="966">
        <v>125100</v>
      </c>
      <c r="S500" s="971">
        <v>0.48999999883919998</v>
      </c>
      <c r="T500" s="969">
        <v>0</v>
      </c>
      <c r="U500" s="966">
        <v>6997.88</v>
      </c>
      <c r="V500" s="966">
        <v>481.57</v>
      </c>
      <c r="W500" s="971">
        <f t="shared" si="9"/>
        <v>0</v>
      </c>
      <c r="Y500" s="967">
        <v>44764</v>
      </c>
      <c r="Z500" s="974">
        <f ca="1">H450*Valuation_Senario!$L$372</f>
        <v>5091.8159092199994</v>
      </c>
      <c r="AA500" s="973">
        <v>18.690000000000001</v>
      </c>
      <c r="AM500" s="967">
        <v>44694</v>
      </c>
      <c r="AN500" s="974">
        <v>10232.608042720001</v>
      </c>
      <c r="AO500" s="38">
        <v>0.48999999883919998</v>
      </c>
    </row>
    <row r="501" spans="1:41">
      <c r="A501" s="966">
        <v>494</v>
      </c>
      <c r="B501" s="967">
        <v>44811</v>
      </c>
      <c r="C501" s="966">
        <v>70700</v>
      </c>
      <c r="D501" s="966">
        <v>19.697389999999999</v>
      </c>
      <c r="E501" s="966">
        <v>19.485140000000001</v>
      </c>
      <c r="F501" s="966">
        <v>119623.01</v>
      </c>
      <c r="G501" s="966">
        <v>103484.27084100001</v>
      </c>
      <c r="H501" s="974">
        <v>3395.8</v>
      </c>
      <c r="I501" s="966">
        <v>19.2</v>
      </c>
      <c r="J501" s="973">
        <v>1.4495396057000001</v>
      </c>
      <c r="M501" s="969">
        <v>64469.459388950003</v>
      </c>
      <c r="Q501" s="967">
        <v>44693</v>
      </c>
      <c r="R501" s="966">
        <v>134400</v>
      </c>
      <c r="S501" s="971">
        <v>0.48999658473482999</v>
      </c>
      <c r="T501" s="969">
        <v>0.21224999999999999</v>
      </c>
      <c r="U501" s="966">
        <v>6998.41</v>
      </c>
      <c r="V501" s="966">
        <v>252.51</v>
      </c>
      <c r="W501" s="971">
        <f t="shared" si="9"/>
        <v>8.4056076987050021E-4</v>
      </c>
      <c r="Y501" s="967">
        <v>44763</v>
      </c>
      <c r="Z501" s="974">
        <f ca="1">H451*Valuation_Senario!$L$372</f>
        <v>5091.8159092199994</v>
      </c>
      <c r="AA501" s="973">
        <v>18.579999999999998</v>
      </c>
      <c r="AM501" s="967">
        <v>44693</v>
      </c>
      <c r="AN501" s="974">
        <v>10233.383032040001</v>
      </c>
      <c r="AO501" s="38">
        <v>0.48999658473482999</v>
      </c>
    </row>
    <row r="502" spans="1:41">
      <c r="A502" s="966">
        <v>495</v>
      </c>
      <c r="B502" s="967">
        <v>44810</v>
      </c>
      <c r="C502" s="966">
        <v>72900</v>
      </c>
      <c r="D502" s="966">
        <v>29.290459999999999</v>
      </c>
      <c r="E502" s="966">
        <v>29.428629999999998</v>
      </c>
      <c r="F502" s="966">
        <v>124454.37</v>
      </c>
      <c r="G502" s="966">
        <v>106704.432027</v>
      </c>
      <c r="H502" s="974">
        <v>3395.8</v>
      </c>
      <c r="I502" s="966">
        <v>20.149999999999999</v>
      </c>
      <c r="J502" s="973">
        <v>1.4495396057000001</v>
      </c>
      <c r="M502" s="969">
        <v>64542.636981900003</v>
      </c>
      <c r="Q502" s="967">
        <v>44692</v>
      </c>
      <c r="R502" s="966">
        <v>141000</v>
      </c>
      <c r="S502" s="971">
        <v>0.48999999883919998</v>
      </c>
      <c r="T502" s="969">
        <v>-0.13816999999999999</v>
      </c>
      <c r="U502" s="966">
        <v>6998.94</v>
      </c>
      <c r="V502" s="966">
        <v>219.3</v>
      </c>
      <c r="W502" s="971">
        <f t="shared" si="9"/>
        <v>-6.3005015959872307E-4</v>
      </c>
      <c r="Y502" s="967">
        <v>44762</v>
      </c>
      <c r="Z502" s="974">
        <f ca="1">H452*Valuation_Senario!$L$372</f>
        <v>5091.8159092199994</v>
      </c>
      <c r="AA502" s="973">
        <v>17.739999999999998</v>
      </c>
      <c r="AM502" s="967">
        <v>44692</v>
      </c>
      <c r="AN502" s="974">
        <v>10234.158021360001</v>
      </c>
      <c r="AO502" s="38">
        <v>0.48999999883919998</v>
      </c>
    </row>
    <row r="503" spans="1:41">
      <c r="A503" s="966">
        <v>496</v>
      </c>
      <c r="B503" s="967">
        <v>44809</v>
      </c>
      <c r="C503" s="966">
        <v>72500</v>
      </c>
      <c r="D503" s="966">
        <v>51.794499999999999</v>
      </c>
      <c r="E503" s="966">
        <v>52.462499999999999</v>
      </c>
      <c r="F503" s="966">
        <v>123795.55</v>
      </c>
      <c r="G503" s="966">
        <v>106118.948175</v>
      </c>
      <c r="H503" s="974">
        <v>3395.8</v>
      </c>
      <c r="I503" s="966">
        <v>20.02</v>
      </c>
      <c r="J503" s="973">
        <v>1.4495396057000001</v>
      </c>
      <c r="M503" s="969">
        <v>62640.019565199997</v>
      </c>
      <c r="Q503" s="967">
        <v>44691</v>
      </c>
      <c r="R503" s="966">
        <v>140100</v>
      </c>
      <c r="S503" s="971">
        <v>0.48999999883919998</v>
      </c>
      <c r="T503" s="969">
        <v>-0.66800000000000004</v>
      </c>
      <c r="U503" s="966">
        <v>6999.46</v>
      </c>
      <c r="V503" s="966">
        <v>358.13</v>
      </c>
      <c r="W503" s="971">
        <f t="shared" si="9"/>
        <v>-1.8652444643006731E-3</v>
      </c>
      <c r="Y503" s="967">
        <v>44761</v>
      </c>
      <c r="Z503" s="974">
        <f ca="1">H453*Valuation_Senario!$L$372</f>
        <v>5091.8159092199994</v>
      </c>
      <c r="AA503" s="973">
        <v>17.39</v>
      </c>
      <c r="AM503" s="967">
        <v>44691</v>
      </c>
      <c r="AN503" s="974">
        <v>10234.918388240001</v>
      </c>
      <c r="AO503" s="38">
        <v>0.48999999883919998</v>
      </c>
    </row>
    <row r="504" spans="1:41">
      <c r="A504" s="966">
        <v>497</v>
      </c>
      <c r="B504" s="967">
        <v>44804</v>
      </c>
      <c r="C504" s="966">
        <v>74000</v>
      </c>
      <c r="D504" s="966">
        <v>47.0304</v>
      </c>
      <c r="E504" s="966">
        <v>47.322029999999998</v>
      </c>
      <c r="F504" s="966">
        <v>121087.06</v>
      </c>
      <c r="G504" s="966">
        <v>108314.51261999999</v>
      </c>
      <c r="H504" s="974">
        <v>3395.8</v>
      </c>
      <c r="I504" s="966">
        <v>19.489999999999998</v>
      </c>
      <c r="J504" s="973">
        <v>1.4495396057000001</v>
      </c>
      <c r="M504" s="969">
        <v>58761.607138849999</v>
      </c>
      <c r="Q504" s="967">
        <v>44690</v>
      </c>
      <c r="R504" s="966">
        <v>136400</v>
      </c>
      <c r="S504" s="971">
        <v>0.48999945258249999</v>
      </c>
      <c r="T504" s="969">
        <v>-0.29163</v>
      </c>
      <c r="U504" s="966">
        <v>6999.99</v>
      </c>
      <c r="V504" s="966">
        <v>422.79</v>
      </c>
      <c r="W504" s="971">
        <f t="shared" si="9"/>
        <v>-6.897750656354218E-4</v>
      </c>
      <c r="Y504" s="967">
        <v>44760</v>
      </c>
      <c r="Z504" s="974">
        <f ca="1">H454*Valuation_Senario!$L$372</f>
        <v>5091.8159092199994</v>
      </c>
      <c r="AA504" s="973">
        <v>17.68</v>
      </c>
      <c r="AM504" s="967">
        <v>44690</v>
      </c>
      <c r="AN504" s="974">
        <v>10235.693377560001</v>
      </c>
      <c r="AO504" s="38">
        <v>0.48999945258249999</v>
      </c>
    </row>
    <row r="505" spans="1:41">
      <c r="A505" s="966">
        <v>498</v>
      </c>
      <c r="B505" s="967">
        <v>44803</v>
      </c>
      <c r="C505" s="966">
        <v>73300</v>
      </c>
      <c r="D505" s="966">
        <v>43.689360000000001</v>
      </c>
      <c r="E505" s="966">
        <v>43.337760000000003</v>
      </c>
      <c r="F505" s="966">
        <v>128553.71</v>
      </c>
      <c r="G505" s="966">
        <v>107289.91587899999</v>
      </c>
      <c r="H505" s="974">
        <v>3395.8</v>
      </c>
      <c r="I505" s="966">
        <v>20.94</v>
      </c>
      <c r="J505" s="973">
        <v>1.4495396057000001</v>
      </c>
      <c r="M505" s="969">
        <v>55322.2602702</v>
      </c>
      <c r="Q505" s="967">
        <v>44687</v>
      </c>
      <c r="R505" s="966">
        <v>146600</v>
      </c>
      <c r="S505" s="971">
        <v>0.48999672129900002</v>
      </c>
      <c r="T505" s="969">
        <v>0.35160000000000002</v>
      </c>
      <c r="U505" s="966">
        <v>7001.58</v>
      </c>
      <c r="V505" s="966">
        <v>206.26</v>
      </c>
      <c r="W505" s="971">
        <f t="shared" si="9"/>
        <v>1.7046446232909921E-3</v>
      </c>
      <c r="Y505" s="967">
        <v>44757</v>
      </c>
      <c r="Z505" s="974">
        <f ca="1">H455*Valuation_Senario!$L$372</f>
        <v>5091.8159092199994</v>
      </c>
      <c r="AA505" s="973">
        <v>17.82</v>
      </c>
      <c r="AM505" s="967">
        <v>44687</v>
      </c>
      <c r="AN505" s="974">
        <v>10238.01834552</v>
      </c>
      <c r="AO505" s="38">
        <v>0.48999672129900002</v>
      </c>
    </row>
    <row r="506" spans="1:41">
      <c r="A506" s="966">
        <v>499</v>
      </c>
      <c r="B506" s="967">
        <v>44802</v>
      </c>
      <c r="C506" s="966">
        <v>74000</v>
      </c>
      <c r="D506" s="966">
        <v>87.976979999999998</v>
      </c>
      <c r="E506" s="966">
        <v>87.976979999999998</v>
      </c>
      <c r="F506" s="966">
        <v>130603.38</v>
      </c>
      <c r="G506" s="966">
        <v>108314.51261999999</v>
      </c>
      <c r="H506" s="974">
        <v>3395.8</v>
      </c>
      <c r="I506" s="966">
        <v>21.34</v>
      </c>
      <c r="J506" s="973">
        <v>1.4495396057000001</v>
      </c>
      <c r="M506" s="969">
        <v>55175.9050843</v>
      </c>
      <c r="Q506" s="967">
        <v>44686</v>
      </c>
      <c r="R506" s="966">
        <v>149400</v>
      </c>
      <c r="S506" s="971">
        <v>0.48999999883919998</v>
      </c>
      <c r="T506" s="969">
        <v>0</v>
      </c>
      <c r="U506" s="966">
        <v>7002.11</v>
      </c>
      <c r="V506" s="966">
        <v>261.5</v>
      </c>
      <c r="W506" s="971">
        <f t="shared" si="9"/>
        <v>0</v>
      </c>
      <c r="Y506" s="967">
        <v>44756</v>
      </c>
      <c r="Z506" s="974">
        <f ca="1">H456*Valuation_Senario!$L$372</f>
        <v>5091.8159092199994</v>
      </c>
      <c r="AA506" s="973">
        <v>18.14</v>
      </c>
      <c r="AM506" s="967">
        <v>44686</v>
      </c>
      <c r="AN506" s="974">
        <v>10238.79333484</v>
      </c>
      <c r="AO506" s="38">
        <v>0.48999999883919998</v>
      </c>
    </row>
    <row r="507" spans="1:41">
      <c r="A507" s="966">
        <v>500</v>
      </c>
      <c r="B507" s="967">
        <v>44799</v>
      </c>
      <c r="C507" s="966">
        <v>72200</v>
      </c>
      <c r="D507" s="966">
        <v>18.30612</v>
      </c>
      <c r="E507" s="966">
        <v>18.366440000000001</v>
      </c>
      <c r="F507" s="966">
        <v>130676.58</v>
      </c>
      <c r="G507" s="966">
        <v>105679.835286</v>
      </c>
      <c r="H507" s="974">
        <v>3395.8</v>
      </c>
      <c r="I507" s="966">
        <v>21.3</v>
      </c>
      <c r="J507" s="973">
        <v>1.4495396057000001</v>
      </c>
      <c r="M507" s="969">
        <v>59273.850289499998</v>
      </c>
      <c r="Q507" s="967">
        <v>44685</v>
      </c>
      <c r="R507" s="966">
        <v>149500</v>
      </c>
      <c r="S507" s="971">
        <v>0.48999999883919998</v>
      </c>
      <c r="T507" s="969">
        <v>-6.0319999999999999E-2</v>
      </c>
      <c r="U507" s="966">
        <v>7017.28</v>
      </c>
      <c r="V507" s="966">
        <v>191.26</v>
      </c>
      <c r="W507" s="971">
        <f t="shared" si="9"/>
        <v>-3.1538220223779152E-4</v>
      </c>
      <c r="Y507" s="967">
        <v>44755</v>
      </c>
      <c r="Z507" s="974">
        <f ca="1">H457*Valuation_Senario!$L$372</f>
        <v>5091.8159092199994</v>
      </c>
      <c r="AA507" s="973">
        <v>18.43</v>
      </c>
      <c r="AM507" s="967">
        <v>44685</v>
      </c>
      <c r="AN507" s="974">
        <v>10260.975576320001</v>
      </c>
      <c r="AO507" s="38">
        <v>0.48999999883919998</v>
      </c>
    </row>
    <row r="508" spans="1:41">
      <c r="A508" s="966">
        <v>501</v>
      </c>
      <c r="B508" s="967">
        <v>44798</v>
      </c>
      <c r="C508" s="966">
        <v>68400</v>
      </c>
      <c r="D508" s="966">
        <v>182.63024999999999</v>
      </c>
      <c r="E508" s="966">
        <v>176.78264999999999</v>
      </c>
      <c r="F508" s="966">
        <v>124077.73</v>
      </c>
      <c r="G508" s="966">
        <v>100117.738692</v>
      </c>
      <c r="H508" s="974">
        <v>3395.8</v>
      </c>
      <c r="I508" s="966">
        <v>21.7</v>
      </c>
      <c r="J508" s="973">
        <v>1.4495396057000001</v>
      </c>
      <c r="M508" s="969">
        <v>58834.784731799999</v>
      </c>
      <c r="Q508" s="967">
        <v>44680</v>
      </c>
      <c r="R508" s="966">
        <v>149200</v>
      </c>
      <c r="S508" s="971">
        <v>0.48994537316921999</v>
      </c>
      <c r="T508" s="969">
        <v>5.8475999999999999</v>
      </c>
      <c r="U508" s="966">
        <v>6877.12</v>
      </c>
      <c r="V508" s="966">
        <v>440.27</v>
      </c>
      <c r="W508" s="971">
        <f t="shared" si="9"/>
        <v>1.3281849774002317E-2</v>
      </c>
      <c r="Y508" s="967">
        <v>44754</v>
      </c>
      <c r="Z508" s="974">
        <f ca="1">H458*Valuation_Senario!$L$372</f>
        <v>5091.8159092199994</v>
      </c>
      <c r="AA508" s="973">
        <v>18.66</v>
      </c>
      <c r="AM508" s="967">
        <v>44680</v>
      </c>
      <c r="AN508" s="974">
        <v>10056.027457280001</v>
      </c>
      <c r="AO508" s="38">
        <v>0.48994537316921999</v>
      </c>
    </row>
    <row r="509" spans="1:41">
      <c r="A509" s="966">
        <v>502</v>
      </c>
      <c r="B509" s="967">
        <v>44797</v>
      </c>
      <c r="C509" s="966">
        <v>66800</v>
      </c>
      <c r="D509" s="966">
        <v>111.11624999999999</v>
      </c>
      <c r="E509" s="966">
        <v>111.11624999999999</v>
      </c>
      <c r="F509" s="966">
        <v>121003.23</v>
      </c>
      <c r="G509" s="966">
        <v>97775.803283999994</v>
      </c>
      <c r="H509" s="974">
        <v>3395.8</v>
      </c>
      <c r="I509" s="966">
        <v>21.08</v>
      </c>
      <c r="J509" s="973">
        <v>1.4495396057000001</v>
      </c>
      <c r="M509" s="969">
        <v>59493.383068349998</v>
      </c>
      <c r="Q509" s="967">
        <v>44679</v>
      </c>
      <c r="R509" s="966">
        <v>145000</v>
      </c>
      <c r="S509" s="971">
        <v>0.48999999883919998</v>
      </c>
      <c r="T509" s="969">
        <v>0</v>
      </c>
      <c r="U509" s="966">
        <v>6877.63</v>
      </c>
      <c r="V509" s="966">
        <v>334.78</v>
      </c>
      <c r="W509" s="971">
        <f t="shared" si="9"/>
        <v>0</v>
      </c>
      <c r="Y509" s="967">
        <v>44753</v>
      </c>
      <c r="Z509" s="974">
        <f ca="1">H459*Valuation_Senario!$L$372</f>
        <v>5091.8159092199994</v>
      </c>
      <c r="AA509" s="973">
        <v>18.690000000000001</v>
      </c>
      <c r="AM509" s="967">
        <v>44679</v>
      </c>
      <c r="AN509" s="974">
        <v>10056.773201720001</v>
      </c>
      <c r="AO509" s="38">
        <v>0.48999999883919998</v>
      </c>
    </row>
    <row r="510" spans="1:41">
      <c r="A510" s="966">
        <v>503</v>
      </c>
      <c r="B510" s="967">
        <v>44796</v>
      </c>
      <c r="C510" s="966">
        <v>66900</v>
      </c>
      <c r="D510" s="966">
        <v>82.895439999999994</v>
      </c>
      <c r="E510" s="966">
        <v>82.895439999999994</v>
      </c>
      <c r="F510" s="966">
        <v>122613.68</v>
      </c>
      <c r="G510" s="966">
        <v>97922.174247000003</v>
      </c>
      <c r="H510" s="974">
        <v>3395.8</v>
      </c>
      <c r="I510" s="966">
        <v>21.4</v>
      </c>
      <c r="J510" s="973">
        <v>1.4495396057000001</v>
      </c>
      <c r="M510" s="969">
        <v>61688.710856849997</v>
      </c>
      <c r="Q510" s="967">
        <v>44678</v>
      </c>
      <c r="R510" s="966">
        <v>147200</v>
      </c>
      <c r="S510" s="971">
        <v>0.48999999883919998</v>
      </c>
      <c r="T510" s="969">
        <v>0</v>
      </c>
      <c r="U510" s="966">
        <v>6878.15</v>
      </c>
      <c r="V510" s="966">
        <v>354.1</v>
      </c>
      <c r="W510" s="971">
        <f t="shared" si="9"/>
        <v>0</v>
      </c>
      <c r="Y510" s="967">
        <v>44750</v>
      </c>
      <c r="Z510" s="974">
        <f ca="1">H460*Valuation_Senario!$L$372</f>
        <v>5091.8159092199994</v>
      </c>
      <c r="AA510" s="973">
        <v>18.829999999999998</v>
      </c>
      <c r="AM510" s="967">
        <v>44678</v>
      </c>
      <c r="AN510" s="974">
        <v>10057.5335686</v>
      </c>
      <c r="AO510" s="38">
        <v>0.48999999883919998</v>
      </c>
    </row>
    <row r="511" spans="1:41">
      <c r="A511" s="966">
        <v>504</v>
      </c>
      <c r="B511" s="967">
        <v>44795</v>
      </c>
      <c r="C511" s="966">
        <v>66500</v>
      </c>
      <c r="D511" s="966">
        <v>137.79499999999999</v>
      </c>
      <c r="E511" s="966">
        <v>143.61385000000001</v>
      </c>
      <c r="F511" s="966">
        <v>123784.92</v>
      </c>
      <c r="G511" s="966">
        <v>97336.690394999998</v>
      </c>
      <c r="H511" s="974">
        <v>3395.8</v>
      </c>
      <c r="I511" s="966">
        <v>21.63</v>
      </c>
      <c r="J511" s="973">
        <v>1.4495396057000001</v>
      </c>
      <c r="M511" s="969">
        <v>61176.467706199997</v>
      </c>
      <c r="Q511" s="967">
        <v>44677</v>
      </c>
      <c r="R511" s="966">
        <v>148800</v>
      </c>
      <c r="S511" s="971">
        <v>0.48999999883919998</v>
      </c>
      <c r="T511" s="969">
        <v>-5.8188500000000003</v>
      </c>
      <c r="U511" s="966">
        <v>6878.66</v>
      </c>
      <c r="V511" s="966">
        <v>563.42999999999995</v>
      </c>
      <c r="W511" s="971">
        <f t="shared" si="9"/>
        <v>-1.0327547343946898E-2</v>
      </c>
      <c r="Y511" s="967">
        <v>44749</v>
      </c>
      <c r="Z511" s="974">
        <f ca="1">H461*Valuation_Senario!$L$372</f>
        <v>5091.8159092199994</v>
      </c>
      <c r="AA511" s="973">
        <v>18.54</v>
      </c>
      <c r="AM511" s="967">
        <v>44677</v>
      </c>
      <c r="AN511" s="974">
        <v>10058.27931304</v>
      </c>
      <c r="AO511" s="38">
        <v>0.48999999883919998</v>
      </c>
    </row>
    <row r="512" spans="1:41">
      <c r="A512" s="966">
        <v>505</v>
      </c>
      <c r="B512" s="967">
        <v>44792</v>
      </c>
      <c r="C512" s="966">
        <v>64100</v>
      </c>
      <c r="D512" s="966">
        <v>49.834000000000003</v>
      </c>
      <c r="E512" s="966">
        <v>49.834000000000003</v>
      </c>
      <c r="F512" s="966">
        <v>120930.03</v>
      </c>
      <c r="G512" s="966">
        <v>93823.787282999998</v>
      </c>
      <c r="H512" s="974">
        <v>3395.8</v>
      </c>
      <c r="I512" s="966">
        <v>21.06</v>
      </c>
      <c r="J512" s="973">
        <v>1.4495396057000001</v>
      </c>
      <c r="M512" s="969">
        <v>59200.672696549998</v>
      </c>
      <c r="Q512" s="967">
        <v>44676</v>
      </c>
      <c r="R512" s="966">
        <v>144900</v>
      </c>
      <c r="S512" s="971">
        <v>0.48999999883919998</v>
      </c>
      <c r="T512" s="969">
        <v>0</v>
      </c>
      <c r="U512" s="966">
        <v>6879.18</v>
      </c>
      <c r="V512" s="966">
        <v>618.44000000000005</v>
      </c>
      <c r="W512" s="971">
        <f t="shared" si="9"/>
        <v>0</v>
      </c>
      <c r="Y512" s="967">
        <v>44748</v>
      </c>
      <c r="Z512" s="974">
        <f ca="1">H462*Valuation_Senario!$L$372</f>
        <v>5091.8159092199994</v>
      </c>
      <c r="AA512" s="973">
        <v>18.54</v>
      </c>
      <c r="AM512" s="967">
        <v>44676</v>
      </c>
      <c r="AN512" s="974">
        <v>10059.039679920001</v>
      </c>
      <c r="AO512" s="38">
        <v>0.48999999883919998</v>
      </c>
    </row>
    <row r="513" spans="1:41">
      <c r="A513" s="966">
        <v>506</v>
      </c>
      <c r="B513" s="967">
        <v>44791</v>
      </c>
      <c r="C513" s="966">
        <v>64500</v>
      </c>
      <c r="D513" s="966">
        <v>98.117000000000004</v>
      </c>
      <c r="E513" s="966">
        <v>98.117000000000004</v>
      </c>
      <c r="F513" s="966">
        <v>128909.09</v>
      </c>
      <c r="G513" s="966">
        <v>94409.271135000003</v>
      </c>
      <c r="H513" s="974">
        <v>3395.8</v>
      </c>
      <c r="I513" s="966">
        <v>22.64</v>
      </c>
      <c r="J513" s="973">
        <v>1.4495396057000001</v>
      </c>
      <c r="M513" s="969">
        <v>55395.43786315</v>
      </c>
      <c r="Q513" s="967">
        <v>44673</v>
      </c>
      <c r="R513" s="966">
        <v>155800</v>
      </c>
      <c r="S513" s="971">
        <v>0.48999999883919998</v>
      </c>
      <c r="T513" s="969">
        <v>0</v>
      </c>
      <c r="U513" s="966">
        <v>6880.72</v>
      </c>
      <c r="V513" s="966">
        <v>715.6</v>
      </c>
      <c r="W513" s="971">
        <f t="shared" si="9"/>
        <v>0</v>
      </c>
      <c r="Y513" s="967">
        <v>44747</v>
      </c>
      <c r="Z513" s="974">
        <f ca="1">H463*Valuation_Senario!$L$372</f>
        <v>5091.8159092199994</v>
      </c>
      <c r="AA513" s="973">
        <v>18.97</v>
      </c>
      <c r="AM513" s="967">
        <v>44673</v>
      </c>
      <c r="AN513" s="974">
        <v>10061.29153568</v>
      </c>
      <c r="AO513" s="38">
        <v>0.48999999883919998</v>
      </c>
    </row>
    <row r="514" spans="1:41">
      <c r="A514" s="966">
        <v>507</v>
      </c>
      <c r="B514" s="967">
        <v>44790</v>
      </c>
      <c r="C514" s="966">
        <v>65000</v>
      </c>
      <c r="D514" s="966">
        <v>0</v>
      </c>
      <c r="E514" s="966">
        <v>0</v>
      </c>
      <c r="F514" s="966">
        <v>128689.49</v>
      </c>
      <c r="G514" s="966">
        <v>95141.125950000001</v>
      </c>
      <c r="H514" s="974">
        <v>3395.8</v>
      </c>
      <c r="I514" s="966">
        <v>22.6</v>
      </c>
      <c r="J514" s="973">
        <v>1.4495396057000001</v>
      </c>
      <c r="M514" s="969">
        <v>59493.383068349998</v>
      </c>
      <c r="Q514" s="967">
        <v>44672</v>
      </c>
      <c r="R514" s="966">
        <v>155500</v>
      </c>
      <c r="S514" s="971">
        <v>0.48999999883919998</v>
      </c>
      <c r="T514" s="969">
        <v>0</v>
      </c>
      <c r="U514" s="966">
        <v>6881.24</v>
      </c>
      <c r="V514" s="966">
        <v>357.66</v>
      </c>
      <c r="W514" s="971">
        <f t="shared" si="9"/>
        <v>0</v>
      </c>
      <c r="Y514" s="967">
        <v>44746</v>
      </c>
      <c r="Z514" s="974">
        <f ca="1">H464*Valuation_Senario!$L$372</f>
        <v>4987.1296096899996</v>
      </c>
      <c r="AA514" s="973">
        <v>19.64</v>
      </c>
      <c r="AM514" s="967">
        <v>44672</v>
      </c>
      <c r="AN514" s="974">
        <v>10062.051902560001</v>
      </c>
      <c r="AO514" s="38">
        <v>0.48999999883919998</v>
      </c>
    </row>
    <row r="515" spans="1:41">
      <c r="A515" s="966">
        <v>508</v>
      </c>
      <c r="B515" s="967">
        <v>44789</v>
      </c>
      <c r="C515" s="966">
        <v>66000</v>
      </c>
      <c r="D515" s="966">
        <v>50.07</v>
      </c>
      <c r="E515" s="966">
        <v>50.07</v>
      </c>
      <c r="F515" s="966">
        <v>129055.5</v>
      </c>
      <c r="G515" s="966">
        <v>96604.835579999999</v>
      </c>
      <c r="H515" s="974">
        <v>3395.8</v>
      </c>
      <c r="I515" s="966">
        <v>22.67</v>
      </c>
      <c r="J515" s="973">
        <v>1.4495396057000001</v>
      </c>
      <c r="M515" s="969">
        <v>62932.729936999996</v>
      </c>
      <c r="Q515" s="967">
        <v>44671</v>
      </c>
      <c r="R515" s="966">
        <v>156000</v>
      </c>
      <c r="S515" s="971">
        <v>0.48999999883919998</v>
      </c>
      <c r="T515" s="969">
        <v>0</v>
      </c>
      <c r="U515" s="966">
        <v>6881.75</v>
      </c>
      <c r="V515" s="966">
        <v>346.49</v>
      </c>
      <c r="W515" s="971">
        <f t="shared" si="9"/>
        <v>0</v>
      </c>
      <c r="Y515" s="967">
        <v>44743</v>
      </c>
      <c r="Z515" s="974">
        <f ca="1">H465*Valuation_Senario!$L$372</f>
        <v>4987.1296096899996</v>
      </c>
      <c r="AA515" s="973">
        <v>20.36</v>
      </c>
      <c r="AM515" s="967">
        <v>44671</v>
      </c>
      <c r="AN515" s="974">
        <v>10062.797647000001</v>
      </c>
      <c r="AO515" s="38">
        <v>0.48999999883919998</v>
      </c>
    </row>
    <row r="516" spans="1:41">
      <c r="A516" s="966">
        <v>509</v>
      </c>
      <c r="B516" s="967">
        <v>44788</v>
      </c>
      <c r="C516" s="966">
        <v>65000</v>
      </c>
      <c r="D516" s="966">
        <v>136.46868000000001</v>
      </c>
      <c r="E516" s="966">
        <v>136.46868000000001</v>
      </c>
      <c r="F516" s="966">
        <v>129055.5</v>
      </c>
      <c r="G516" s="966">
        <v>95141.125950000001</v>
      </c>
      <c r="H516" s="974">
        <v>3395.8</v>
      </c>
      <c r="I516" s="966">
        <v>22.67</v>
      </c>
      <c r="J516" s="973">
        <v>1.4495396057000001</v>
      </c>
      <c r="M516" s="969">
        <v>61981.421228649997</v>
      </c>
      <c r="Q516" s="967">
        <v>44670</v>
      </c>
      <c r="R516" s="966">
        <v>156000</v>
      </c>
      <c r="S516" s="971">
        <v>0.48999999883919998</v>
      </c>
      <c r="T516" s="969">
        <v>0</v>
      </c>
      <c r="U516" s="966">
        <v>6882.27</v>
      </c>
      <c r="V516" s="966">
        <v>656.71</v>
      </c>
      <c r="W516" s="971">
        <f t="shared" si="9"/>
        <v>0</v>
      </c>
      <c r="Y516" s="967">
        <v>44742</v>
      </c>
      <c r="Z516" s="974">
        <f ca="1">H466*Valuation_Senario!$L$372</f>
        <v>4987.1296096899996</v>
      </c>
      <c r="AA516" s="973">
        <v>20.71</v>
      </c>
      <c r="AM516" s="967">
        <v>44670</v>
      </c>
      <c r="AN516" s="974">
        <v>10063.558013880001</v>
      </c>
      <c r="AO516" s="38">
        <v>0.48999999883919998</v>
      </c>
    </row>
    <row r="517" spans="1:41">
      <c r="A517" s="966">
        <v>510</v>
      </c>
      <c r="B517" s="967">
        <v>44785</v>
      </c>
      <c r="C517" s="966">
        <v>63000</v>
      </c>
      <c r="D517" s="966">
        <v>54.316659999999999</v>
      </c>
      <c r="E517" s="966">
        <v>54.92877</v>
      </c>
      <c r="F517" s="966">
        <v>132130</v>
      </c>
      <c r="G517" s="966">
        <v>92213.706690000006</v>
      </c>
      <c r="H517" s="974">
        <v>3395.8</v>
      </c>
      <c r="I517" s="966">
        <v>23.32</v>
      </c>
      <c r="J517" s="973">
        <v>1.4495396057000001</v>
      </c>
      <c r="M517" s="969">
        <v>66591.609584499995</v>
      </c>
      <c r="Q517" s="967">
        <v>44669</v>
      </c>
      <c r="R517" s="966">
        <v>160200</v>
      </c>
      <c r="S517" s="971">
        <v>0.48999999883919998</v>
      </c>
      <c r="T517" s="969">
        <v>-0.61211000000000004</v>
      </c>
      <c r="U517" s="966">
        <v>6870.15</v>
      </c>
      <c r="V517" s="966">
        <v>474.7</v>
      </c>
      <c r="W517" s="971">
        <f t="shared" si="9"/>
        <v>-1.289467031809564E-3</v>
      </c>
      <c r="Y517" s="967">
        <v>44741</v>
      </c>
      <c r="Z517" s="974">
        <f ca="1">H467*Valuation_Senario!$L$372</f>
        <v>4987.1296096899996</v>
      </c>
      <c r="AA517" s="973">
        <v>21.14</v>
      </c>
      <c r="AM517" s="967">
        <v>44669</v>
      </c>
      <c r="AN517" s="974">
        <v>10045.835616599999</v>
      </c>
      <c r="AO517" s="38">
        <v>0.48999999883919998</v>
      </c>
    </row>
    <row r="518" spans="1:41">
      <c r="A518" s="966">
        <v>511</v>
      </c>
      <c r="B518" s="967">
        <v>44784</v>
      </c>
      <c r="C518" s="966">
        <v>63000</v>
      </c>
      <c r="D518" s="966">
        <v>105.77200000000001</v>
      </c>
      <c r="E518" s="966">
        <v>105.77200000000001</v>
      </c>
      <c r="F518" s="966">
        <v>132130</v>
      </c>
      <c r="G518" s="966">
        <v>92213.706690000006</v>
      </c>
      <c r="H518" s="974">
        <v>3395.8</v>
      </c>
      <c r="I518" s="966">
        <v>23.27</v>
      </c>
      <c r="J518" s="973">
        <v>1.4495396057000001</v>
      </c>
      <c r="M518" s="969">
        <v>65274.412911400002</v>
      </c>
      <c r="Q518" s="967">
        <v>44666</v>
      </c>
      <c r="R518" s="966">
        <v>160200</v>
      </c>
      <c r="S518" s="971">
        <v>0.48999999883919998</v>
      </c>
      <c r="T518" s="969">
        <v>0</v>
      </c>
      <c r="U518" s="966">
        <v>6884.33</v>
      </c>
      <c r="V518" s="966">
        <v>480.1</v>
      </c>
      <c r="W518" s="971">
        <f t="shared" si="9"/>
        <v>0</v>
      </c>
      <c r="Y518" s="967">
        <v>44740</v>
      </c>
      <c r="Z518" s="974">
        <f ca="1">H468*Valuation_Senario!$L$372</f>
        <v>4987.1296096899996</v>
      </c>
      <c r="AA518" s="973">
        <v>21.08</v>
      </c>
      <c r="AM518" s="967">
        <v>44666</v>
      </c>
      <c r="AN518" s="974">
        <v>10066.570236520001</v>
      </c>
      <c r="AO518" s="38">
        <v>0.48999999883919998</v>
      </c>
    </row>
    <row r="519" spans="1:41">
      <c r="A519" s="966">
        <v>512</v>
      </c>
      <c r="B519" s="967">
        <v>44783</v>
      </c>
      <c r="C519" s="966">
        <v>63600</v>
      </c>
      <c r="D519" s="966">
        <v>0</v>
      </c>
      <c r="E519" s="966">
        <v>0</v>
      </c>
      <c r="F519" s="966">
        <v>131617.57999999999</v>
      </c>
      <c r="G519" s="966">
        <v>93091.932467999999</v>
      </c>
      <c r="H519" s="974">
        <v>3395.8</v>
      </c>
      <c r="I519" s="966">
        <v>23.17</v>
      </c>
      <c r="J519" s="973">
        <v>1.4495396057000001</v>
      </c>
      <c r="M519" s="969">
        <v>62713.197158149997</v>
      </c>
      <c r="Q519" s="967">
        <v>44665</v>
      </c>
      <c r="R519" s="966">
        <v>159500</v>
      </c>
      <c r="S519" s="971">
        <v>0.48999998518277998</v>
      </c>
      <c r="T519" s="969">
        <v>0</v>
      </c>
      <c r="U519" s="966">
        <v>6884.85</v>
      </c>
      <c r="V519" s="966">
        <v>477.77</v>
      </c>
      <c r="W519" s="971">
        <f t="shared" si="9"/>
        <v>0</v>
      </c>
      <c r="Y519" s="967">
        <v>44739</v>
      </c>
      <c r="Z519" s="974">
        <f ca="1">H469*Valuation_Senario!$L$372</f>
        <v>4987.1296096899996</v>
      </c>
      <c r="AA519" s="973">
        <v>20.7</v>
      </c>
      <c r="AM519" s="967">
        <v>44665</v>
      </c>
      <c r="AN519" s="974">
        <v>10067.330603400002</v>
      </c>
      <c r="AO519" s="38">
        <v>0.48999998518277998</v>
      </c>
    </row>
    <row r="520" spans="1:41">
      <c r="A520" s="966">
        <v>513</v>
      </c>
      <c r="B520" s="967">
        <v>44782</v>
      </c>
      <c r="C520" s="966">
        <v>63300</v>
      </c>
      <c r="D520" s="966">
        <v>1527.5898</v>
      </c>
      <c r="E520" s="966">
        <v>28.62</v>
      </c>
      <c r="F520" s="966">
        <v>129201.9</v>
      </c>
      <c r="G520" s="966">
        <v>92652.819579000003</v>
      </c>
      <c r="H520" s="974">
        <v>3395.8</v>
      </c>
      <c r="I520" s="966">
        <v>22.69</v>
      </c>
      <c r="J520" s="973">
        <v>1.4495396057000001</v>
      </c>
      <c r="M520" s="969">
        <v>67396.563106949994</v>
      </c>
      <c r="Q520" s="967">
        <v>44664</v>
      </c>
      <c r="R520" s="966">
        <v>156200</v>
      </c>
      <c r="S520" s="971">
        <v>0.47718002325865</v>
      </c>
      <c r="T520" s="969">
        <v>1498.9698000000001</v>
      </c>
      <c r="U520" s="966">
        <v>6885.36</v>
      </c>
      <c r="V520" s="972">
        <v>2045.75</v>
      </c>
      <c r="W520" s="971">
        <f t="shared" si="9"/>
        <v>0.73272384211169506</v>
      </c>
      <c r="Y520" s="967">
        <v>44736</v>
      </c>
      <c r="Z520" s="974">
        <f ca="1">H470*Valuation_Senario!$L$372</f>
        <v>4987.1296096899996</v>
      </c>
      <c r="AA520" s="973">
        <v>20.82</v>
      </c>
      <c r="AM520" s="967">
        <v>44664</v>
      </c>
      <c r="AN520" s="974">
        <v>10068.07634784</v>
      </c>
      <c r="AO520" s="38">
        <v>0.47718002325865</v>
      </c>
    </row>
    <row r="521" spans="1:41">
      <c r="A521" s="966">
        <v>514</v>
      </c>
      <c r="B521" s="967">
        <v>44781</v>
      </c>
      <c r="C521" s="966">
        <v>62900</v>
      </c>
      <c r="D521" s="966">
        <v>261.90390000000002</v>
      </c>
      <c r="E521" s="966">
        <v>261.90390000000002</v>
      </c>
      <c r="F521" s="966">
        <v>126639.82</v>
      </c>
      <c r="G521" s="966">
        <v>92067.335726999998</v>
      </c>
      <c r="H521" s="974">
        <v>3395.8</v>
      </c>
      <c r="I521" s="966">
        <v>22.18</v>
      </c>
      <c r="J521" s="973">
        <v>1.4495396057000001</v>
      </c>
      <c r="M521" s="969">
        <v>72445.817020500006</v>
      </c>
      <c r="Q521" s="967">
        <v>44663</v>
      </c>
      <c r="R521" s="966">
        <v>152700</v>
      </c>
      <c r="S521" s="971">
        <v>0.48999999922867998</v>
      </c>
      <c r="T521" s="969">
        <v>0</v>
      </c>
      <c r="U521" s="966">
        <v>6885.88</v>
      </c>
      <c r="V521" s="966">
        <v>656.75</v>
      </c>
      <c r="W521" s="971">
        <f t="shared" ref="W521:W584" si="11">T521/V521</f>
        <v>0</v>
      </c>
      <c r="Y521" s="967">
        <v>44735</v>
      </c>
      <c r="Z521" s="974">
        <f ca="1">H471*Valuation_Senario!$L$372</f>
        <v>4987.1296096899996</v>
      </c>
      <c r="AA521" s="973">
        <v>20.99</v>
      </c>
      <c r="AM521" s="967">
        <v>44663</v>
      </c>
      <c r="AN521" s="974">
        <v>10068.836714720001</v>
      </c>
      <c r="AO521" s="38">
        <v>0.48999999922867998</v>
      </c>
    </row>
    <row r="522" spans="1:41">
      <c r="A522" s="966">
        <v>515</v>
      </c>
      <c r="B522" s="967">
        <v>44778</v>
      </c>
      <c r="C522" s="966">
        <v>62700</v>
      </c>
      <c r="D522" s="966">
        <v>134.08246</v>
      </c>
      <c r="E522" s="966">
        <v>134.08246</v>
      </c>
      <c r="F522" s="966">
        <v>124663.35</v>
      </c>
      <c r="G522" s="966">
        <v>91774.593800999995</v>
      </c>
      <c r="H522" s="974">
        <v>3395.8</v>
      </c>
      <c r="I522" s="966">
        <v>21.78</v>
      </c>
      <c r="J522" s="973">
        <v>1.4495396057000001</v>
      </c>
      <c r="M522" s="969">
        <v>70250.489232000007</v>
      </c>
      <c r="Q522" s="967">
        <v>44659</v>
      </c>
      <c r="R522" s="966">
        <v>150000</v>
      </c>
      <c r="S522" s="971">
        <v>0.48999999922867998</v>
      </c>
      <c r="T522" s="969">
        <v>0</v>
      </c>
      <c r="U522" s="966">
        <v>6887.94</v>
      </c>
      <c r="V522" s="966">
        <v>474.27</v>
      </c>
      <c r="W522" s="971">
        <f t="shared" si="11"/>
        <v>0</v>
      </c>
      <c r="Y522" s="967">
        <v>44734</v>
      </c>
      <c r="Z522" s="974">
        <f ca="1">H472*Valuation_Senario!$L$372</f>
        <v>4987.1296096899996</v>
      </c>
      <c r="AA522" s="973">
        <v>20.21</v>
      </c>
      <c r="AM522" s="967">
        <v>44659</v>
      </c>
      <c r="AN522" s="974">
        <v>10071.84893736</v>
      </c>
      <c r="AO522" s="38">
        <v>0.48999999922867998</v>
      </c>
    </row>
    <row r="523" spans="1:41">
      <c r="A523" s="966">
        <v>516</v>
      </c>
      <c r="B523" s="967">
        <v>44777</v>
      </c>
      <c r="C523" s="966">
        <v>62700</v>
      </c>
      <c r="D523" s="966">
        <v>640.41360999999995</v>
      </c>
      <c r="E523" s="966">
        <v>640.41360999999995</v>
      </c>
      <c r="F523" s="966">
        <v>128323.47</v>
      </c>
      <c r="G523" s="966">
        <v>91774.593800999995</v>
      </c>
      <c r="H523" s="974">
        <v>3395.8</v>
      </c>
      <c r="I523" s="966">
        <v>22.5</v>
      </c>
      <c r="J523" s="973">
        <v>1.4495396057000001</v>
      </c>
      <c r="M523" s="969">
        <v>73323.948135900006</v>
      </c>
      <c r="Q523" s="967">
        <v>44658</v>
      </c>
      <c r="R523" s="966">
        <v>155000</v>
      </c>
      <c r="S523" s="971">
        <v>0.48999999922867998</v>
      </c>
      <c r="T523" s="969">
        <v>0</v>
      </c>
      <c r="U523" s="966">
        <v>6888.46</v>
      </c>
      <c r="V523" s="972">
        <v>1124.52</v>
      </c>
      <c r="W523" s="971">
        <f t="shared" si="11"/>
        <v>0</v>
      </c>
      <c r="Y523" s="967">
        <v>44733</v>
      </c>
      <c r="Z523" s="974">
        <f ca="1">H473*Valuation_Senario!$L$372</f>
        <v>4987.1296096899996</v>
      </c>
      <c r="AA523" s="973">
        <v>21.28</v>
      </c>
      <c r="AM523" s="967">
        <v>44658</v>
      </c>
      <c r="AN523" s="974">
        <v>10072.609304240001</v>
      </c>
      <c r="AO523" s="38">
        <v>0.48999999922867998</v>
      </c>
    </row>
    <row r="524" spans="1:41">
      <c r="A524" s="966">
        <v>517</v>
      </c>
      <c r="B524" s="967">
        <v>44776</v>
      </c>
      <c r="C524" s="966">
        <v>61800</v>
      </c>
      <c r="D524" s="966">
        <v>36.520000000000003</v>
      </c>
      <c r="E524" s="966">
        <v>36.520000000000003</v>
      </c>
      <c r="F524" s="966">
        <v>131105.17000000001</v>
      </c>
      <c r="G524" s="966">
        <v>90457.255134000006</v>
      </c>
      <c r="H524" s="974">
        <v>3395.8</v>
      </c>
      <c r="I524" s="966">
        <v>23.05</v>
      </c>
      <c r="J524" s="973">
        <v>1.4495396057000001</v>
      </c>
      <c r="M524" s="969">
        <v>75519.275924400004</v>
      </c>
      <c r="Q524" s="967">
        <v>44657</v>
      </c>
      <c r="R524" s="966">
        <v>158800</v>
      </c>
      <c r="S524" s="971">
        <v>0.48999999922867998</v>
      </c>
      <c r="T524" s="969">
        <v>0</v>
      </c>
      <c r="U524" s="966">
        <v>6888.98</v>
      </c>
      <c r="V524" s="966">
        <v>510.03</v>
      </c>
      <c r="W524" s="971">
        <f t="shared" si="11"/>
        <v>0</v>
      </c>
      <c r="Y524" s="967">
        <v>44732</v>
      </c>
      <c r="Z524" s="974">
        <f ca="1">H474*Valuation_Senario!$L$372</f>
        <v>4987.1296096899996</v>
      </c>
      <c r="AA524" s="973">
        <v>21.39</v>
      </c>
      <c r="AM524" s="967">
        <v>44657</v>
      </c>
      <c r="AN524" s="974">
        <v>10073.369671120001</v>
      </c>
      <c r="AO524" s="38">
        <v>0.48999999922867998</v>
      </c>
    </row>
    <row r="525" spans="1:41">
      <c r="A525" s="966">
        <v>518</v>
      </c>
      <c r="B525" s="967">
        <v>44775</v>
      </c>
      <c r="C525" s="966">
        <v>62000</v>
      </c>
      <c r="D525" s="966">
        <v>0</v>
      </c>
      <c r="E525" s="966">
        <v>0</v>
      </c>
      <c r="F525" s="966">
        <v>128469.88</v>
      </c>
      <c r="G525" s="966">
        <v>90749.997059999994</v>
      </c>
      <c r="H525" s="974">
        <v>3395.8</v>
      </c>
      <c r="I525" s="966">
        <v>22.53</v>
      </c>
      <c r="J525" s="973">
        <v>1.4495396057000001</v>
      </c>
      <c r="M525" s="969">
        <v>77860.958898800003</v>
      </c>
      <c r="Q525" s="967">
        <v>44656</v>
      </c>
      <c r="R525" s="966">
        <v>155200</v>
      </c>
      <c r="S525" s="971">
        <v>0.48999999922867998</v>
      </c>
      <c r="T525" s="969">
        <v>0</v>
      </c>
      <c r="U525" s="966">
        <v>6889.49</v>
      </c>
      <c r="V525" s="966">
        <v>213.65</v>
      </c>
      <c r="W525" s="971">
        <f t="shared" si="11"/>
        <v>0</v>
      </c>
      <c r="Y525" s="967">
        <v>44729</v>
      </c>
      <c r="Z525" s="974">
        <f ca="1">H475*Valuation_Senario!$L$372</f>
        <v>4987.1296096899996</v>
      </c>
      <c r="AA525" s="973">
        <v>22.49</v>
      </c>
      <c r="AM525" s="967">
        <v>44656</v>
      </c>
      <c r="AN525" s="974">
        <v>10074.11541556</v>
      </c>
      <c r="AO525" s="38">
        <v>0.48999999922867998</v>
      </c>
    </row>
    <row r="526" spans="1:41">
      <c r="A526" s="966">
        <v>519</v>
      </c>
      <c r="B526" s="967">
        <v>44774</v>
      </c>
      <c r="C526" s="966">
        <v>61300</v>
      </c>
      <c r="D526" s="966">
        <v>56.512340000000002</v>
      </c>
      <c r="E526" s="966">
        <v>56.512340000000002</v>
      </c>
      <c r="F526" s="966">
        <v>128323.47</v>
      </c>
      <c r="G526" s="966">
        <v>89725.400318999993</v>
      </c>
      <c r="H526" s="974">
        <v>3395.8</v>
      </c>
      <c r="I526" s="966">
        <v>22.5</v>
      </c>
      <c r="J526" s="973">
        <v>1.4495396057000001</v>
      </c>
      <c r="M526" s="969">
        <v>78007.314084700003</v>
      </c>
      <c r="Q526" s="967">
        <v>44655</v>
      </c>
      <c r="R526" s="966">
        <v>155000</v>
      </c>
      <c r="S526" s="971">
        <v>0.48999999922867998</v>
      </c>
      <c r="T526" s="969">
        <v>0</v>
      </c>
      <c r="U526" s="966">
        <v>6890.01</v>
      </c>
      <c r="V526" s="966">
        <v>275.99</v>
      </c>
      <c r="W526" s="971">
        <f t="shared" si="11"/>
        <v>0</v>
      </c>
      <c r="Y526" s="967">
        <v>44728</v>
      </c>
      <c r="Z526" s="974">
        <f ca="1">H476*Valuation_Senario!$L$372</f>
        <v>4987.1296096899996</v>
      </c>
      <c r="AA526" s="973">
        <v>22.87</v>
      </c>
      <c r="AM526" s="967">
        <v>44655</v>
      </c>
      <c r="AN526" s="974">
        <v>10074.875782440002</v>
      </c>
      <c r="AO526" s="38">
        <v>0.48999999922867998</v>
      </c>
    </row>
    <row r="527" spans="1:41">
      <c r="A527" s="966">
        <v>520</v>
      </c>
      <c r="B527" s="967">
        <v>44771</v>
      </c>
      <c r="C527" s="966">
        <v>61000</v>
      </c>
      <c r="D527" s="966">
        <v>31.2</v>
      </c>
      <c r="E527" s="966">
        <v>31.2</v>
      </c>
      <c r="F527" s="966">
        <v>129055.5</v>
      </c>
      <c r="G527" s="966">
        <v>89286.287429999997</v>
      </c>
      <c r="H527" s="974">
        <v>3449.34</v>
      </c>
      <c r="I527" s="966">
        <v>22.64</v>
      </c>
      <c r="J527" s="973">
        <v>1.4511083756900001</v>
      </c>
      <c r="M527" s="969">
        <v>75958.341482100004</v>
      </c>
      <c r="Q527" s="967">
        <v>44652</v>
      </c>
      <c r="R527" s="966">
        <v>156000</v>
      </c>
      <c r="S527" s="971">
        <v>0.48999999922867998</v>
      </c>
      <c r="T527" s="969">
        <v>0</v>
      </c>
      <c r="U527" s="966">
        <v>6891.56</v>
      </c>
      <c r="V527" s="966">
        <v>663.18</v>
      </c>
      <c r="W527" s="971">
        <f t="shared" si="11"/>
        <v>0</v>
      </c>
      <c r="Y527" s="967">
        <v>44727</v>
      </c>
      <c r="Z527" s="974">
        <f ca="1">H477*Valuation_Senario!$L$372</f>
        <v>4987.1296096899996</v>
      </c>
      <c r="AA527" s="973">
        <v>21.15</v>
      </c>
      <c r="AM527" s="967">
        <v>44652</v>
      </c>
      <c r="AN527" s="974">
        <v>10077.142260640001</v>
      </c>
      <c r="AO527" s="38">
        <v>0.48999999922867998</v>
      </c>
    </row>
    <row r="528" spans="1:41">
      <c r="A528" s="966">
        <v>521</v>
      </c>
      <c r="B528" s="967">
        <v>44770</v>
      </c>
      <c r="C528" s="966">
        <v>62000</v>
      </c>
      <c r="D528" s="966">
        <v>7.7249999999999996</v>
      </c>
      <c r="E528" s="966">
        <v>7.7249999999999996</v>
      </c>
      <c r="F528" s="966">
        <v>121588.85</v>
      </c>
      <c r="G528" s="966">
        <v>90749.997059999994</v>
      </c>
      <c r="H528" s="974">
        <v>3449.47</v>
      </c>
      <c r="I528" s="966">
        <v>21.15</v>
      </c>
      <c r="J528" s="973">
        <v>1.45105442299</v>
      </c>
      <c r="M528" s="969">
        <v>76104.696668000004</v>
      </c>
      <c r="Q528" s="967">
        <v>44651</v>
      </c>
      <c r="R528" s="966">
        <v>145800</v>
      </c>
      <c r="S528" s="971">
        <v>0.48999999922867998</v>
      </c>
      <c r="T528" s="969">
        <v>0</v>
      </c>
      <c r="U528" s="966">
        <v>6892.08</v>
      </c>
      <c r="V528" s="966">
        <v>294.08999999999997</v>
      </c>
      <c r="W528" s="971">
        <f t="shared" si="11"/>
        <v>0</v>
      </c>
      <c r="Y528" s="967">
        <v>44726</v>
      </c>
      <c r="Z528" s="974">
        <f ca="1">H478*Valuation_Senario!$L$372</f>
        <v>4987.1296096899996</v>
      </c>
      <c r="AA528" s="973">
        <v>20.55</v>
      </c>
      <c r="AM528" s="967">
        <v>44651</v>
      </c>
      <c r="AN528" s="974">
        <v>10077.902627520001</v>
      </c>
      <c r="AO528" s="38">
        <v>0.48999999922867998</v>
      </c>
    </row>
    <row r="529" spans="1:41">
      <c r="A529" s="966">
        <v>522</v>
      </c>
      <c r="B529" s="967">
        <v>44769</v>
      </c>
      <c r="C529" s="966">
        <v>62100</v>
      </c>
      <c r="D529" s="966">
        <v>26.0122</v>
      </c>
      <c r="E529" s="966">
        <v>26.0122</v>
      </c>
      <c r="F529" s="966">
        <v>120564.02</v>
      </c>
      <c r="G529" s="966">
        <v>90896.368023000003</v>
      </c>
      <c r="H529" s="974">
        <v>3449.6</v>
      </c>
      <c r="I529" s="966">
        <v>20.95</v>
      </c>
      <c r="J529" s="973">
        <v>1.4510004702999999</v>
      </c>
      <c r="M529" s="969">
        <v>74055.724065400005</v>
      </c>
      <c r="Q529" s="967">
        <v>44650</v>
      </c>
      <c r="R529" s="966">
        <v>144400</v>
      </c>
      <c r="S529" s="971">
        <v>0.48999999922867998</v>
      </c>
      <c r="T529" s="969">
        <v>0</v>
      </c>
      <c r="U529" s="966">
        <v>6892.59</v>
      </c>
      <c r="V529" s="966">
        <v>286.83999999999997</v>
      </c>
      <c r="W529" s="971">
        <f t="shared" si="11"/>
        <v>0</v>
      </c>
      <c r="Y529" s="967">
        <v>44725</v>
      </c>
      <c r="Z529" s="974">
        <f ca="1">H479*Valuation_Senario!$L$372</f>
        <v>4987.1296096899996</v>
      </c>
      <c r="AA529" s="973">
        <v>20.05</v>
      </c>
      <c r="AM529" s="967">
        <v>44650</v>
      </c>
      <c r="AN529" s="974">
        <v>10078.64837196</v>
      </c>
      <c r="AO529" s="38">
        <v>0.48999999922867998</v>
      </c>
    </row>
    <row r="530" spans="1:41">
      <c r="A530" s="966">
        <v>523</v>
      </c>
      <c r="B530" s="967">
        <v>44768</v>
      </c>
      <c r="C530" s="966">
        <v>63000</v>
      </c>
      <c r="D530" s="966">
        <v>138.5076</v>
      </c>
      <c r="E530" s="966">
        <v>138.5076</v>
      </c>
      <c r="F530" s="966">
        <v>122101.27</v>
      </c>
      <c r="G530" s="966">
        <v>92213.706690000006</v>
      </c>
      <c r="H530" s="974">
        <v>3449.72</v>
      </c>
      <c r="I530" s="966">
        <v>21.25</v>
      </c>
      <c r="J530" s="973">
        <v>1.4509465175999998</v>
      </c>
      <c r="M530" s="969">
        <v>79617.221129600002</v>
      </c>
      <c r="Q530" s="967">
        <v>44649</v>
      </c>
      <c r="R530" s="966">
        <v>146500</v>
      </c>
      <c r="S530" s="971">
        <v>0.48999999922867998</v>
      </c>
      <c r="T530" s="969">
        <v>0</v>
      </c>
      <c r="U530" s="966">
        <v>6893.11</v>
      </c>
      <c r="V530" s="966">
        <v>481.86</v>
      </c>
      <c r="W530" s="971">
        <f t="shared" si="11"/>
        <v>0</v>
      </c>
      <c r="Y530" s="967">
        <v>44722</v>
      </c>
      <c r="Z530" s="974">
        <f ca="1">H480*Valuation_Senario!$L$372</f>
        <v>4987.1296096899996</v>
      </c>
      <c r="AA530" s="973">
        <v>21.48</v>
      </c>
      <c r="AM530" s="967">
        <v>44649</v>
      </c>
      <c r="AN530" s="974">
        <v>10079.40873884</v>
      </c>
      <c r="AO530" s="38">
        <v>0.48999999922867998</v>
      </c>
    </row>
    <row r="531" spans="1:41">
      <c r="A531" s="966">
        <v>524</v>
      </c>
      <c r="B531" s="967">
        <v>44767</v>
      </c>
      <c r="C531" s="966">
        <v>63300</v>
      </c>
      <c r="D531" s="966">
        <v>116.7996</v>
      </c>
      <c r="E531" s="966">
        <v>116.7996</v>
      </c>
      <c r="F531" s="966">
        <v>117507.71</v>
      </c>
      <c r="G531" s="966">
        <v>92652.819579000003</v>
      </c>
      <c r="H531" s="974">
        <v>3449.85</v>
      </c>
      <c r="I531" s="966">
        <v>20.89</v>
      </c>
      <c r="J531" s="973">
        <v>1.4508925649100002</v>
      </c>
      <c r="M531" s="969">
        <v>85471.428565599999</v>
      </c>
      <c r="Q531" s="967">
        <v>44648</v>
      </c>
      <c r="R531" s="966">
        <v>144000</v>
      </c>
      <c r="S531" s="971">
        <v>0.48999999922867998</v>
      </c>
      <c r="T531" s="969">
        <v>0</v>
      </c>
      <c r="U531" s="966">
        <v>6894.66</v>
      </c>
      <c r="V531" s="966">
        <v>680.44</v>
      </c>
      <c r="W531" s="971">
        <f t="shared" si="11"/>
        <v>0</v>
      </c>
      <c r="Y531" s="967">
        <v>44721</v>
      </c>
      <c r="Z531" s="974">
        <f ca="1">H481*Valuation_Senario!$L$372</f>
        <v>4987.1296096899996</v>
      </c>
      <c r="AA531" s="973">
        <v>21.87</v>
      </c>
      <c r="AM531" s="967">
        <v>44648</v>
      </c>
      <c r="AN531" s="974">
        <v>10081.675217040001</v>
      </c>
      <c r="AO531" s="38">
        <v>0.48999999922867998</v>
      </c>
    </row>
    <row r="532" spans="1:41">
      <c r="A532" s="966">
        <v>525</v>
      </c>
      <c r="B532" s="967">
        <v>44764</v>
      </c>
      <c r="C532" s="966">
        <v>64500</v>
      </c>
      <c r="D532" s="966">
        <v>5.7320000000000002</v>
      </c>
      <c r="E532" s="966">
        <v>5.7320000000000002</v>
      </c>
      <c r="F532" s="966">
        <v>113872.25</v>
      </c>
      <c r="G532" s="966">
        <v>94409.271135000003</v>
      </c>
      <c r="H532" s="974">
        <v>3450.24</v>
      </c>
      <c r="I532" s="966">
        <v>20.149999999999999</v>
      </c>
      <c r="J532" s="973">
        <v>1.4507307068199999</v>
      </c>
      <c r="M532" s="969">
        <v>86349.559680999999</v>
      </c>
      <c r="Q532" s="967">
        <v>44645</v>
      </c>
      <c r="R532" s="966">
        <v>138900</v>
      </c>
      <c r="S532" s="971">
        <v>0.48999999922867998</v>
      </c>
      <c r="T532" s="969">
        <v>0</v>
      </c>
      <c r="U532" s="966">
        <v>6894.66</v>
      </c>
      <c r="V532" s="966">
        <v>546.34</v>
      </c>
      <c r="W532" s="971">
        <f t="shared" si="11"/>
        <v>0</v>
      </c>
      <c r="Y532" s="967">
        <v>44720</v>
      </c>
      <c r="Z532" s="974">
        <f ca="1">H482*Valuation_Senario!$L$372</f>
        <v>4987.1296096899996</v>
      </c>
      <c r="AA532" s="973">
        <v>21.96</v>
      </c>
      <c r="AM532" s="967">
        <v>44645</v>
      </c>
      <c r="AN532" s="974">
        <v>10081.675217040001</v>
      </c>
      <c r="AO532" s="38">
        <v>0.48999999922867998</v>
      </c>
    </row>
    <row r="533" spans="1:41">
      <c r="A533" s="966">
        <v>526</v>
      </c>
      <c r="B533" s="967">
        <v>44763</v>
      </c>
      <c r="C533" s="966">
        <v>64100</v>
      </c>
      <c r="D533" s="966">
        <v>25.96312</v>
      </c>
      <c r="E533" s="966">
        <v>25.96312</v>
      </c>
      <c r="F533" s="966">
        <v>110379.37</v>
      </c>
      <c r="G533" s="966">
        <v>93823.787282999998</v>
      </c>
      <c r="H533" s="974">
        <v>3450.37</v>
      </c>
      <c r="I533" s="966">
        <v>19.440000000000001</v>
      </c>
      <c r="J533" s="973">
        <v>1.4506767541300001</v>
      </c>
      <c r="M533" s="969">
        <v>86349.559680999999</v>
      </c>
      <c r="Q533" s="967">
        <v>44644</v>
      </c>
      <c r="R533" s="966">
        <v>134000</v>
      </c>
      <c r="S533" s="971">
        <v>0.48999999922867998</v>
      </c>
      <c r="T533" s="969">
        <v>0</v>
      </c>
      <c r="U533" s="966">
        <v>6894.66</v>
      </c>
      <c r="V533" s="966">
        <v>148.47</v>
      </c>
      <c r="W533" s="971">
        <f t="shared" si="11"/>
        <v>0</v>
      </c>
      <c r="Y533" s="967">
        <v>44719</v>
      </c>
      <c r="Z533" s="974">
        <f ca="1">H483*Valuation_Senario!$L$372</f>
        <v>4987.1296096899996</v>
      </c>
      <c r="AA533" s="973">
        <v>21.9</v>
      </c>
      <c r="AM533" s="967">
        <v>44644</v>
      </c>
      <c r="AN533" s="974">
        <v>10081.675217040001</v>
      </c>
      <c r="AO533" s="38">
        <v>0.48999999922867998</v>
      </c>
    </row>
    <row r="534" spans="1:41">
      <c r="A534" s="966">
        <v>527</v>
      </c>
      <c r="B534" s="967">
        <v>44762</v>
      </c>
      <c r="C534" s="966">
        <v>61200</v>
      </c>
      <c r="D534" s="966">
        <v>34.73292</v>
      </c>
      <c r="E534" s="966">
        <v>34.73292</v>
      </c>
      <c r="F534" s="966">
        <v>111092.2</v>
      </c>
      <c r="G534" s="966">
        <v>89579.029355999999</v>
      </c>
      <c r="H534" s="974">
        <v>3450.49</v>
      </c>
      <c r="I534" s="966">
        <v>19.579999999999998</v>
      </c>
      <c r="J534" s="973">
        <v>1.45062280144</v>
      </c>
      <c r="M534" s="969">
        <v>86203.204495099999</v>
      </c>
      <c r="Q534" s="967">
        <v>44643</v>
      </c>
      <c r="R534" s="966">
        <v>135000</v>
      </c>
      <c r="S534" s="971">
        <v>0.48999999922867998</v>
      </c>
      <c r="T534" s="969">
        <v>0</v>
      </c>
      <c r="U534" s="966">
        <v>6894.66</v>
      </c>
      <c r="V534" s="966">
        <v>142.46</v>
      </c>
      <c r="W534" s="971">
        <f t="shared" si="11"/>
        <v>0</v>
      </c>
      <c r="Y534" s="967">
        <v>44718</v>
      </c>
      <c r="Z534" s="974">
        <f ca="1">H484*Valuation_Senario!$L$372</f>
        <v>4987.1296096899996</v>
      </c>
      <c r="AA534" s="973">
        <v>22.14</v>
      </c>
      <c r="AM534" s="967">
        <v>44643</v>
      </c>
      <c r="AN534" s="974">
        <v>10081.675217040001</v>
      </c>
      <c r="AO534" s="38">
        <v>0.48999999922867998</v>
      </c>
    </row>
    <row r="535" spans="1:41">
      <c r="A535" s="966">
        <v>528</v>
      </c>
      <c r="B535" s="967">
        <v>44761</v>
      </c>
      <c r="C535" s="966">
        <v>60000</v>
      </c>
      <c r="D535" s="966">
        <v>9.3795000000000002</v>
      </c>
      <c r="E535" s="966">
        <v>9.3795000000000002</v>
      </c>
      <c r="F535" s="966">
        <v>111234.77</v>
      </c>
      <c r="G535" s="966">
        <v>87822.577799999999</v>
      </c>
      <c r="H535" s="974">
        <v>3450.62</v>
      </c>
      <c r="I535" s="966">
        <v>19.61</v>
      </c>
      <c r="J535" s="973">
        <v>1.4505688487399999</v>
      </c>
      <c r="M535" s="969">
        <v>87666.756354099998</v>
      </c>
      <c r="Q535" s="967">
        <v>44642</v>
      </c>
      <c r="R535" s="966">
        <v>135200</v>
      </c>
      <c r="S535" s="971">
        <v>0.48999999922867998</v>
      </c>
      <c r="T535" s="969">
        <v>0</v>
      </c>
      <c r="U535" s="966">
        <v>6894.66</v>
      </c>
      <c r="V535" s="966">
        <v>159.59</v>
      </c>
      <c r="W535" s="971">
        <f t="shared" si="11"/>
        <v>0</v>
      </c>
      <c r="Y535" s="967">
        <v>44715</v>
      </c>
      <c r="Z535" s="974">
        <f ca="1">H485*Valuation_Senario!$L$372</f>
        <v>4987.1296096899996</v>
      </c>
      <c r="AA535" s="973">
        <v>21.92</v>
      </c>
      <c r="AM535" s="967">
        <v>44642</v>
      </c>
      <c r="AN535" s="974">
        <v>10081.675217040001</v>
      </c>
      <c r="AO535" s="38">
        <v>0.48999999922867998</v>
      </c>
    </row>
    <row r="536" spans="1:41">
      <c r="A536" s="966">
        <v>529</v>
      </c>
      <c r="B536" s="967">
        <v>44760</v>
      </c>
      <c r="C536" s="966">
        <v>61000</v>
      </c>
      <c r="D536" s="966">
        <v>0</v>
      </c>
      <c r="E536" s="966">
        <v>0</v>
      </c>
      <c r="F536" s="966">
        <v>111020.92</v>
      </c>
      <c r="G536" s="966">
        <v>89286.287429999997</v>
      </c>
      <c r="H536" s="974">
        <v>3450.75</v>
      </c>
      <c r="I536" s="966">
        <v>19.57</v>
      </c>
      <c r="J536" s="973">
        <v>1.4505148960500001</v>
      </c>
      <c r="M536" s="969">
        <v>84300.5870784</v>
      </c>
      <c r="Q536" s="967">
        <v>44641</v>
      </c>
      <c r="R536" s="966">
        <v>134900</v>
      </c>
      <c r="S536" s="971">
        <v>0.48999999922867998</v>
      </c>
      <c r="T536" s="969">
        <v>0</v>
      </c>
      <c r="U536" s="966">
        <v>6894.66</v>
      </c>
      <c r="V536" s="966">
        <v>274.31</v>
      </c>
      <c r="W536" s="971">
        <f t="shared" si="11"/>
        <v>0</v>
      </c>
      <c r="Y536" s="967">
        <v>44714</v>
      </c>
      <c r="Z536" s="974">
        <f ca="1">H486*Valuation_Senario!$L$372</f>
        <v>4986.5862805999996</v>
      </c>
      <c r="AA536" s="973">
        <v>21.13</v>
      </c>
      <c r="AM536" s="967">
        <v>44641</v>
      </c>
      <c r="AN536" s="974">
        <v>10081.675217040001</v>
      </c>
      <c r="AO536" s="38">
        <v>0.48999999922867998</v>
      </c>
    </row>
    <row r="537" spans="1:41">
      <c r="A537" s="966">
        <v>530</v>
      </c>
      <c r="B537" s="967">
        <v>44757</v>
      </c>
      <c r="C537" s="966">
        <v>61500</v>
      </c>
      <c r="D537" s="966">
        <v>14.311769999999999</v>
      </c>
      <c r="E537" s="966">
        <v>14.311769999999999</v>
      </c>
      <c r="F537" s="966">
        <v>108668.57</v>
      </c>
      <c r="G537" s="966">
        <v>90018.142244999995</v>
      </c>
      <c r="H537" s="974">
        <v>3451.14</v>
      </c>
      <c r="I537" s="966">
        <v>19.09</v>
      </c>
      <c r="J537" s="973">
        <v>1.45035303796</v>
      </c>
      <c r="M537" s="969">
        <v>84154.2318925</v>
      </c>
      <c r="Q537" s="967">
        <v>44638</v>
      </c>
      <c r="R537" s="966">
        <v>131600</v>
      </c>
      <c r="S537" s="971">
        <v>0.48999999922867998</v>
      </c>
      <c r="T537" s="969">
        <v>0</v>
      </c>
      <c r="U537" s="966">
        <v>6894.66</v>
      </c>
      <c r="V537" s="966">
        <v>118.29</v>
      </c>
      <c r="W537" s="971">
        <f t="shared" si="11"/>
        <v>0</v>
      </c>
      <c r="Y537" s="967">
        <v>44713</v>
      </c>
      <c r="Z537" s="974">
        <f ca="1">H487*Valuation_Senario!$L$372</f>
        <v>4986.5862805999996</v>
      </c>
      <c r="AA537" s="973">
        <v>20.82</v>
      </c>
      <c r="AM537" s="967">
        <v>44638</v>
      </c>
      <c r="AN537" s="974">
        <v>10081.675217040001</v>
      </c>
      <c r="AO537" s="38">
        <v>0.48999999922867998</v>
      </c>
    </row>
    <row r="538" spans="1:41">
      <c r="A538" s="966">
        <v>531</v>
      </c>
      <c r="B538" s="967">
        <v>44756</v>
      </c>
      <c r="C538" s="966">
        <v>62600</v>
      </c>
      <c r="D538" s="966">
        <v>50.818849999999998</v>
      </c>
      <c r="E538" s="966">
        <v>50.818849999999998</v>
      </c>
      <c r="F538" s="966">
        <v>108098.3</v>
      </c>
      <c r="G538" s="966">
        <v>91628.222838000002</v>
      </c>
      <c r="H538" s="974">
        <v>3451.26</v>
      </c>
      <c r="I538" s="966">
        <v>18.97</v>
      </c>
      <c r="J538" s="973">
        <v>1.45029908527</v>
      </c>
      <c r="M538" s="969">
        <v>81080.772988600002</v>
      </c>
      <c r="Q538" s="967">
        <v>44637</v>
      </c>
      <c r="R538" s="966">
        <v>130800</v>
      </c>
      <c r="S538" s="971">
        <v>0.48999999922867998</v>
      </c>
      <c r="T538" s="969">
        <v>0</v>
      </c>
      <c r="U538" s="966">
        <v>6894.66</v>
      </c>
      <c r="V538" s="966">
        <v>141.53</v>
      </c>
      <c r="W538" s="971">
        <f t="shared" si="11"/>
        <v>0</v>
      </c>
      <c r="Y538" s="967">
        <v>44712</v>
      </c>
      <c r="Z538" s="974">
        <f ca="1">H488*Valuation_Senario!$L$372</f>
        <v>4986.5862805999996</v>
      </c>
      <c r="AA538" s="973">
        <v>20.73</v>
      </c>
      <c r="AM538" s="967">
        <v>44637</v>
      </c>
      <c r="AN538" s="974">
        <v>10081.675217040001</v>
      </c>
      <c r="AO538" s="38">
        <v>0.48999999922867998</v>
      </c>
    </row>
    <row r="539" spans="1:41">
      <c r="A539" s="966">
        <v>532</v>
      </c>
      <c r="B539" s="967">
        <v>44755</v>
      </c>
      <c r="C539" s="966">
        <v>63600</v>
      </c>
      <c r="D539" s="966">
        <v>24.65775</v>
      </c>
      <c r="E539" s="966">
        <v>24.65775</v>
      </c>
      <c r="F539" s="966">
        <v>108526</v>
      </c>
      <c r="G539" s="966">
        <v>93091.932467999999</v>
      </c>
      <c r="H539" s="974">
        <v>3451.39</v>
      </c>
      <c r="I539" s="966">
        <v>19.059999999999999</v>
      </c>
      <c r="J539" s="973">
        <v>1.4502451325799999</v>
      </c>
      <c r="M539" s="969">
        <v>83568.8111489</v>
      </c>
      <c r="Q539" s="967">
        <v>44636</v>
      </c>
      <c r="R539" s="966">
        <v>131400</v>
      </c>
      <c r="S539" s="971">
        <v>0.48999999922867998</v>
      </c>
      <c r="T539" s="969">
        <v>0</v>
      </c>
      <c r="U539" s="966">
        <v>6894.66</v>
      </c>
      <c r="V539" s="966">
        <v>163.28</v>
      </c>
      <c r="W539" s="971">
        <f t="shared" si="11"/>
        <v>0</v>
      </c>
      <c r="Y539" s="967">
        <v>44711</v>
      </c>
      <c r="Z539" s="974">
        <f ca="1">H489*Valuation_Senario!$L$372</f>
        <v>4986.5862805999996</v>
      </c>
      <c r="AA539" s="973">
        <v>20.77</v>
      </c>
      <c r="AM539" s="967">
        <v>44636</v>
      </c>
      <c r="AN539" s="974">
        <v>10081.675217040001</v>
      </c>
      <c r="AO539" s="38">
        <v>0.48999999922867998</v>
      </c>
    </row>
    <row r="540" spans="1:41">
      <c r="A540" s="966">
        <v>533</v>
      </c>
      <c r="B540" s="967">
        <v>44754</v>
      </c>
      <c r="C540" s="966">
        <v>64400</v>
      </c>
      <c r="D540" s="966">
        <v>17.985790000000001</v>
      </c>
      <c r="E540" s="966">
        <v>17.894300000000001</v>
      </c>
      <c r="F540" s="966">
        <v>108526</v>
      </c>
      <c r="G540" s="966">
        <v>94262.900171999994</v>
      </c>
      <c r="H540" s="974">
        <v>3451.52</v>
      </c>
      <c r="I540" s="966">
        <v>19.059999999999999</v>
      </c>
      <c r="J540" s="973">
        <v>1.45019117988</v>
      </c>
      <c r="M540" s="969">
        <v>79031.800386000003</v>
      </c>
      <c r="Q540" s="967">
        <v>44635</v>
      </c>
      <c r="R540" s="966">
        <v>131400</v>
      </c>
      <c r="S540" s="971">
        <v>0.48999901755167002</v>
      </c>
      <c r="T540" s="969">
        <v>9.1490000000000002E-2</v>
      </c>
      <c r="U540" s="966">
        <v>6894.66</v>
      </c>
      <c r="V540" s="966">
        <v>148.78</v>
      </c>
      <c r="W540" s="971">
        <f t="shared" si="11"/>
        <v>6.1493480306492806E-4</v>
      </c>
      <c r="Y540" s="967">
        <v>44708</v>
      </c>
      <c r="Z540" s="974">
        <f ca="1">H490*Valuation_Senario!$L$372</f>
        <v>4986.5862805999996</v>
      </c>
      <c r="AA540" s="973">
        <v>20.98</v>
      </c>
      <c r="AM540" s="967">
        <v>44635</v>
      </c>
      <c r="AN540" s="974">
        <v>10081.675217040001</v>
      </c>
      <c r="AO540" s="38">
        <v>0.48999901755167002</v>
      </c>
    </row>
    <row r="541" spans="1:41">
      <c r="A541" s="966">
        <v>534</v>
      </c>
      <c r="B541" s="967">
        <v>44753</v>
      </c>
      <c r="C541" s="966">
        <v>64500</v>
      </c>
      <c r="D541" s="966">
        <v>0</v>
      </c>
      <c r="E541" s="966">
        <v>0</v>
      </c>
      <c r="F541" s="966">
        <v>108739.85</v>
      </c>
      <c r="G541" s="966">
        <v>94409.271135000003</v>
      </c>
      <c r="H541" s="974">
        <v>3451.65</v>
      </c>
      <c r="I541" s="966">
        <v>19.100000000000001</v>
      </c>
      <c r="J541" s="973">
        <v>1.4501372271900002</v>
      </c>
      <c r="M541" s="969">
        <v>84886.007822</v>
      </c>
      <c r="Q541" s="967">
        <v>44634</v>
      </c>
      <c r="R541" s="966">
        <v>131700</v>
      </c>
      <c r="S541" s="971">
        <v>0.48999999922867998</v>
      </c>
      <c r="T541" s="969">
        <v>0</v>
      </c>
      <c r="U541" s="966">
        <v>6894.66</v>
      </c>
      <c r="V541" s="966">
        <v>160.41</v>
      </c>
      <c r="W541" s="971">
        <f t="shared" si="11"/>
        <v>0</v>
      </c>
      <c r="Y541" s="967">
        <v>44707</v>
      </c>
      <c r="Z541" s="974">
        <f ca="1">H491*Valuation_Senario!$L$372</f>
        <v>4986.5862805999996</v>
      </c>
      <c r="AA541" s="973">
        <v>19.88</v>
      </c>
      <c r="AM541" s="967">
        <v>44634</v>
      </c>
      <c r="AN541" s="974">
        <v>10081.675217040001</v>
      </c>
      <c r="AO541" s="38">
        <v>0.48999999922867998</v>
      </c>
    </row>
    <row r="542" spans="1:41">
      <c r="A542" s="966">
        <v>535</v>
      </c>
      <c r="B542" s="967">
        <v>44750</v>
      </c>
      <c r="C542" s="966">
        <v>65000</v>
      </c>
      <c r="D542" s="966">
        <v>17.135999999999999</v>
      </c>
      <c r="E542" s="966">
        <v>17.135999999999999</v>
      </c>
      <c r="F542" s="966">
        <v>109666.54</v>
      </c>
      <c r="G542" s="966">
        <v>95141.125950000001</v>
      </c>
      <c r="H542" s="974">
        <v>3452.04</v>
      </c>
      <c r="I542" s="966">
        <v>19.29</v>
      </c>
      <c r="J542" s="973">
        <v>1.4499753690999999</v>
      </c>
      <c r="M542" s="969">
        <v>91032.925629799996</v>
      </c>
      <c r="Q542" s="967">
        <v>44631</v>
      </c>
      <c r="R542" s="966">
        <v>133000</v>
      </c>
      <c r="S542" s="971">
        <v>0.48999999922867998</v>
      </c>
      <c r="T542" s="969">
        <v>0</v>
      </c>
      <c r="U542" s="966">
        <v>6894.66</v>
      </c>
      <c r="V542" s="966">
        <v>103.79</v>
      </c>
      <c r="W542" s="971">
        <f t="shared" si="11"/>
        <v>0</v>
      </c>
      <c r="Y542" s="967">
        <v>44706</v>
      </c>
      <c r="Z542" s="974">
        <f ca="1">H492*Valuation_Senario!$L$372</f>
        <v>4986.5862805999996</v>
      </c>
      <c r="AA542" s="973">
        <v>19.88</v>
      </c>
      <c r="AM542" s="967">
        <v>44631</v>
      </c>
      <c r="AN542" s="974">
        <v>10081.675217040001</v>
      </c>
      <c r="AO542" s="38">
        <v>0.48999999922867998</v>
      </c>
    </row>
    <row r="543" spans="1:41">
      <c r="A543" s="966">
        <v>536</v>
      </c>
      <c r="B543" s="967">
        <v>44749</v>
      </c>
      <c r="C543" s="966">
        <v>64000</v>
      </c>
      <c r="D543" s="966">
        <v>35.274149999999999</v>
      </c>
      <c r="E543" s="966">
        <v>35.36795</v>
      </c>
      <c r="F543" s="966">
        <v>110022.95</v>
      </c>
      <c r="G543" s="966">
        <v>93677.416320000004</v>
      </c>
      <c r="H543" s="974">
        <v>3452.16</v>
      </c>
      <c r="I543" s="966">
        <v>19.36</v>
      </c>
      <c r="J543" s="973">
        <v>1.4499214164100001</v>
      </c>
      <c r="M543" s="969">
        <v>89276.663398999997</v>
      </c>
      <c r="Q543" s="967">
        <v>44630</v>
      </c>
      <c r="R543" s="966">
        <v>133500</v>
      </c>
      <c r="S543" s="971">
        <v>0.48999999922867998</v>
      </c>
      <c r="T543" s="969">
        <v>-9.3799999999999994E-2</v>
      </c>
      <c r="U543" s="966">
        <v>6894.66</v>
      </c>
      <c r="V543" s="966">
        <v>152.83000000000001</v>
      </c>
      <c r="W543" s="971">
        <f t="shared" si="11"/>
        <v>-6.1375384414054824E-4</v>
      </c>
      <c r="Y543" s="967">
        <v>44705</v>
      </c>
      <c r="Z543" s="974">
        <f ca="1">H493*Valuation_Senario!$L$372</f>
        <v>4986.5862805999996</v>
      </c>
      <c r="AA543" s="973">
        <v>19.02</v>
      </c>
      <c r="AM543" s="967">
        <v>44630</v>
      </c>
      <c r="AN543" s="974">
        <v>10081.675217040001</v>
      </c>
      <c r="AO543" s="38">
        <v>0.48999999922867998</v>
      </c>
    </row>
    <row r="544" spans="1:41">
      <c r="A544" s="966">
        <v>537</v>
      </c>
      <c r="B544" s="967">
        <v>44748</v>
      </c>
      <c r="C544" s="966">
        <v>64000</v>
      </c>
      <c r="D544" s="966">
        <v>24.481100000000001</v>
      </c>
      <c r="E544" s="966">
        <v>24.481100000000001</v>
      </c>
      <c r="F544" s="966">
        <v>110236.8</v>
      </c>
      <c r="G544" s="966">
        <v>93677.416320000004</v>
      </c>
      <c r="H544" s="974">
        <v>3452.29</v>
      </c>
      <c r="I544" s="966">
        <v>19.41</v>
      </c>
      <c r="J544" s="973">
        <v>1.44986746371</v>
      </c>
      <c r="M544" s="969">
        <v>87227.690796399998</v>
      </c>
      <c r="Q544" s="967">
        <v>44629</v>
      </c>
      <c r="R544" s="966">
        <v>133800</v>
      </c>
      <c r="S544" s="971">
        <v>0.48999999922867998</v>
      </c>
      <c r="T544" s="969">
        <v>0</v>
      </c>
      <c r="U544" s="966">
        <v>6894.66</v>
      </c>
      <c r="V544" s="966">
        <v>364.86</v>
      </c>
      <c r="W544" s="971">
        <f t="shared" si="11"/>
        <v>0</v>
      </c>
      <c r="Y544" s="967">
        <v>44704</v>
      </c>
      <c r="Z544" s="974">
        <f ca="1">H494*Valuation_Senario!$L$372</f>
        <v>4986.5862805999996</v>
      </c>
      <c r="AA544" s="973">
        <v>18.71</v>
      </c>
      <c r="AM544" s="967">
        <v>44629</v>
      </c>
      <c r="AN544" s="974">
        <v>10081.675217040001</v>
      </c>
      <c r="AO544" s="38">
        <v>0.48999999922867998</v>
      </c>
    </row>
    <row r="545" spans="1:41">
      <c r="A545" s="966">
        <v>538</v>
      </c>
      <c r="B545" s="967">
        <v>44747</v>
      </c>
      <c r="C545" s="966">
        <v>65500</v>
      </c>
      <c r="D545" s="966">
        <v>57.443049999999999</v>
      </c>
      <c r="E545" s="966">
        <v>57.443049999999999</v>
      </c>
      <c r="F545" s="966">
        <v>110521.94</v>
      </c>
      <c r="G545" s="966">
        <v>95872.980765</v>
      </c>
      <c r="H545" s="974">
        <v>3452.42</v>
      </c>
      <c r="I545" s="966">
        <v>19.46</v>
      </c>
      <c r="J545" s="973">
        <v>1.4498135110199999</v>
      </c>
      <c r="M545" s="969">
        <v>93667.318975999995</v>
      </c>
      <c r="Q545" s="967">
        <v>44628</v>
      </c>
      <c r="R545" s="966">
        <v>134200</v>
      </c>
      <c r="S545" s="971">
        <v>0.48999999922867998</v>
      </c>
      <c r="T545" s="969">
        <v>0</v>
      </c>
      <c r="U545" s="966">
        <v>6894.66</v>
      </c>
      <c r="V545" s="966">
        <v>323.62</v>
      </c>
      <c r="W545" s="971">
        <f t="shared" si="11"/>
        <v>0</v>
      </c>
      <c r="Y545" s="967">
        <v>44701</v>
      </c>
      <c r="Z545" s="974">
        <f ca="1">H495*Valuation_Senario!$L$372</f>
        <v>4986.5862805999996</v>
      </c>
      <c r="AA545" s="973">
        <v>19.16</v>
      </c>
      <c r="AM545" s="967">
        <v>44628</v>
      </c>
      <c r="AN545" s="974">
        <v>10081.675217040001</v>
      </c>
      <c r="AO545" s="38">
        <v>0.48999999922867998</v>
      </c>
    </row>
    <row r="546" spans="1:41">
      <c r="A546" s="966">
        <v>539</v>
      </c>
      <c r="B546" s="967">
        <v>44746</v>
      </c>
      <c r="C546" s="966">
        <v>67800</v>
      </c>
      <c r="D546" s="966">
        <v>50.143030000000003</v>
      </c>
      <c r="E546" s="966">
        <v>50.143030000000003</v>
      </c>
      <c r="F546" s="966">
        <v>110521.94</v>
      </c>
      <c r="G546" s="966">
        <v>99239.512914000006</v>
      </c>
      <c r="H546" s="974">
        <v>3452.55</v>
      </c>
      <c r="I546" s="966">
        <v>19.46</v>
      </c>
      <c r="J546" s="973">
        <v>1.44975955832</v>
      </c>
      <c r="M546" s="969">
        <v>93667.318975999995</v>
      </c>
      <c r="Q546" s="967">
        <v>44627</v>
      </c>
      <c r="R546" s="966">
        <v>134200</v>
      </c>
      <c r="S546" s="971">
        <v>0.48999999922867998</v>
      </c>
      <c r="T546" s="969">
        <v>0</v>
      </c>
      <c r="U546" s="966">
        <v>6894.66</v>
      </c>
      <c r="V546" s="966">
        <v>203.93</v>
      </c>
      <c r="W546" s="971">
        <f t="shared" si="11"/>
        <v>0</v>
      </c>
      <c r="Y546" s="967">
        <v>44700</v>
      </c>
      <c r="Z546" s="974">
        <f ca="1">H496*Valuation_Senario!$L$372</f>
        <v>4986.5862805999996</v>
      </c>
      <c r="AA546" s="973">
        <v>19.010000000000002</v>
      </c>
      <c r="AM546" s="967">
        <v>44627</v>
      </c>
      <c r="AN546" s="974">
        <v>10081.675217040001</v>
      </c>
      <c r="AO546" s="38">
        <v>0.48999999922867998</v>
      </c>
    </row>
    <row r="547" spans="1:41">
      <c r="A547" s="966">
        <v>540</v>
      </c>
      <c r="B547" s="967">
        <v>44743</v>
      </c>
      <c r="C547" s="966">
        <v>70300</v>
      </c>
      <c r="D547" s="966">
        <v>138.58080000000001</v>
      </c>
      <c r="E547" s="966">
        <v>138.58080000000001</v>
      </c>
      <c r="F547" s="966">
        <v>111662.47</v>
      </c>
      <c r="G547" s="966">
        <v>102898.786989</v>
      </c>
      <c r="H547" s="974">
        <v>3452.93</v>
      </c>
      <c r="I547" s="966">
        <v>19.7</v>
      </c>
      <c r="J547" s="973">
        <v>1.44959770024</v>
      </c>
      <c r="M547" s="969">
        <v>95141.125950000001</v>
      </c>
      <c r="Q547" s="967">
        <v>44624</v>
      </c>
      <c r="R547" s="966">
        <v>135800</v>
      </c>
      <c r="S547" s="971">
        <v>0.48999999922867998</v>
      </c>
      <c r="T547" s="969">
        <v>0</v>
      </c>
      <c r="U547" s="966">
        <v>6894.66</v>
      </c>
      <c r="V547" s="966">
        <v>283.86</v>
      </c>
      <c r="W547" s="971">
        <f t="shared" si="11"/>
        <v>0</v>
      </c>
      <c r="Y547" s="967">
        <v>44699</v>
      </c>
      <c r="Z547" s="974">
        <f ca="1">H497*Valuation_Senario!$L$372</f>
        <v>4986.5862805999996</v>
      </c>
      <c r="AA547" s="973">
        <v>19.079999999999998</v>
      </c>
      <c r="AM547" s="967">
        <v>44624</v>
      </c>
      <c r="AN547" s="974">
        <v>10081.675217040001</v>
      </c>
      <c r="AO547" s="38">
        <v>0.48999999922867998</v>
      </c>
    </row>
    <row r="548" spans="1:41">
      <c r="A548" s="966">
        <v>541</v>
      </c>
      <c r="B548" s="967">
        <v>44742</v>
      </c>
      <c r="C548" s="966">
        <v>71500</v>
      </c>
      <c r="D548" s="966">
        <v>11.35371</v>
      </c>
      <c r="E548" s="966">
        <v>12.786960000000001</v>
      </c>
      <c r="F548" s="966">
        <v>112161.45</v>
      </c>
      <c r="G548" s="966">
        <v>104655.238545</v>
      </c>
      <c r="H548" s="974">
        <v>3453.06</v>
      </c>
      <c r="I548" s="966">
        <v>19.8</v>
      </c>
      <c r="J548" s="973">
        <v>1.4495437475499999</v>
      </c>
      <c r="M548" s="969">
        <v>98214.916173000005</v>
      </c>
      <c r="Q548" s="967">
        <v>44623</v>
      </c>
      <c r="R548" s="966">
        <v>136500</v>
      </c>
      <c r="S548" s="971">
        <v>0.48999999922867998</v>
      </c>
      <c r="T548" s="969">
        <v>-1.4332499999999999</v>
      </c>
      <c r="U548" s="966">
        <v>6894.66</v>
      </c>
      <c r="V548" s="966">
        <v>154.13999999999999</v>
      </c>
      <c r="W548" s="971">
        <f t="shared" si="11"/>
        <v>-9.2983651226158041E-3</v>
      </c>
      <c r="Y548" s="967">
        <v>44698</v>
      </c>
      <c r="Z548" s="974">
        <f ca="1">H498*Valuation_Senario!$L$372</f>
        <v>4986.5862805999996</v>
      </c>
      <c r="AA548" s="973">
        <v>18.809999999999999</v>
      </c>
      <c r="AM548" s="967">
        <v>44623</v>
      </c>
      <c r="AN548" s="974">
        <v>10081.675217040001</v>
      </c>
      <c r="AO548" s="38">
        <v>0.48999999922867998</v>
      </c>
    </row>
    <row r="549" spans="1:41">
      <c r="A549" s="966">
        <v>542</v>
      </c>
      <c r="B549" s="967">
        <v>44741</v>
      </c>
      <c r="C549" s="966">
        <v>73000</v>
      </c>
      <c r="D549" s="966">
        <v>14.55</v>
      </c>
      <c r="E549" s="966">
        <v>14.55</v>
      </c>
      <c r="F549" s="966">
        <v>110735.79</v>
      </c>
      <c r="G549" s="966">
        <v>106850.80299</v>
      </c>
      <c r="H549" s="974">
        <v>3453.19</v>
      </c>
      <c r="I549" s="966">
        <v>19.510000000000002</v>
      </c>
      <c r="J549" s="973">
        <v>1.4494897948499998</v>
      </c>
      <c r="M549" s="969">
        <v>99532.254839999994</v>
      </c>
      <c r="Q549" s="967">
        <v>44622</v>
      </c>
      <c r="R549" s="966">
        <v>134500</v>
      </c>
      <c r="S549" s="971">
        <v>0.48999999922867998</v>
      </c>
      <c r="T549" s="969">
        <v>0</v>
      </c>
      <c r="U549" s="966">
        <v>6894.66</v>
      </c>
      <c r="V549" s="966">
        <v>239.76</v>
      </c>
      <c r="W549" s="971">
        <f t="shared" si="11"/>
        <v>0</v>
      </c>
      <c r="Y549" s="967">
        <v>44697</v>
      </c>
      <c r="Z549" s="974">
        <f ca="1">H499*Valuation_Senario!$L$372</f>
        <v>4986.5862805999996</v>
      </c>
      <c r="AA549" s="973">
        <v>17.579999999999998</v>
      </c>
      <c r="AM549" s="967">
        <v>44622</v>
      </c>
      <c r="AN549" s="974">
        <v>10081.675217040001</v>
      </c>
      <c r="AO549" s="38">
        <v>0.48999999922867998</v>
      </c>
    </row>
    <row r="550" spans="1:41">
      <c r="A550" s="966">
        <v>543</v>
      </c>
      <c r="B550" s="967">
        <v>44740</v>
      </c>
      <c r="C550" s="966">
        <v>72800</v>
      </c>
      <c r="D550" s="966">
        <v>0</v>
      </c>
      <c r="E550" s="966">
        <v>0</v>
      </c>
      <c r="F550" s="966">
        <v>111805.04</v>
      </c>
      <c r="G550" s="966">
        <v>106558.06106399999</v>
      </c>
      <c r="H550" s="974">
        <v>3453.32</v>
      </c>
      <c r="I550" s="966">
        <v>19.73</v>
      </c>
      <c r="J550" s="973">
        <v>1.44943584216</v>
      </c>
      <c r="M550" s="969">
        <v>101581.448322</v>
      </c>
      <c r="Q550" s="967">
        <v>44621</v>
      </c>
      <c r="R550" s="966">
        <v>136000</v>
      </c>
      <c r="S550" s="971">
        <v>0.48999999922867998</v>
      </c>
      <c r="T550" s="969">
        <v>0</v>
      </c>
      <c r="U550" s="966">
        <v>6894.66</v>
      </c>
      <c r="V550" s="966">
        <v>164.47</v>
      </c>
      <c r="W550" s="971">
        <f t="shared" si="11"/>
        <v>0</v>
      </c>
      <c r="Y550" s="967">
        <v>44694</v>
      </c>
      <c r="Z550" s="974">
        <f ca="1">H500*Valuation_Senario!$L$372</f>
        <v>4986.5862805999996</v>
      </c>
      <c r="AA550" s="973">
        <v>17.88</v>
      </c>
      <c r="AM550" s="967">
        <v>44621</v>
      </c>
      <c r="AN550" s="974">
        <v>10081.675217040001</v>
      </c>
      <c r="AO550" s="38">
        <v>0.48999999922867998</v>
      </c>
    </row>
    <row r="551" spans="1:41">
      <c r="A551" s="966">
        <v>544</v>
      </c>
      <c r="B551" s="967">
        <v>44739</v>
      </c>
      <c r="C551" s="966">
        <v>71500</v>
      </c>
      <c r="D551" s="966">
        <v>47.457279999999997</v>
      </c>
      <c r="E551" s="966">
        <v>47.457279999999997</v>
      </c>
      <c r="F551" s="966">
        <v>111805.04</v>
      </c>
      <c r="G551" s="966">
        <v>104655.238545</v>
      </c>
      <c r="H551" s="974">
        <v>3453.45</v>
      </c>
      <c r="I551" s="966">
        <v>19.73</v>
      </c>
      <c r="J551" s="973">
        <v>1.4493818894600001</v>
      </c>
      <c r="M551" s="969">
        <v>102606.045063</v>
      </c>
      <c r="Q551" s="967">
        <v>44620</v>
      </c>
      <c r="R551" s="966">
        <v>136000</v>
      </c>
      <c r="S551" s="971">
        <v>0.48999999922867998</v>
      </c>
      <c r="T551" s="969">
        <v>0</v>
      </c>
      <c r="U551" s="966">
        <v>6894.66</v>
      </c>
      <c r="V551" s="966">
        <v>293.29000000000002</v>
      </c>
      <c r="W551" s="971">
        <f t="shared" si="11"/>
        <v>0</v>
      </c>
      <c r="Y551" s="967">
        <v>44693</v>
      </c>
      <c r="Z551" s="974">
        <f ca="1">H501*Valuation_Senario!$L$372</f>
        <v>4986.5862805999996</v>
      </c>
      <c r="AA551" s="973">
        <v>19.2</v>
      </c>
      <c r="AM551" s="967">
        <v>44620</v>
      </c>
      <c r="AN551" s="974">
        <v>10081.675217040001</v>
      </c>
      <c r="AO551" s="38">
        <v>0.48999999922867998</v>
      </c>
    </row>
    <row r="552" spans="1:41">
      <c r="A552" s="966">
        <v>545</v>
      </c>
      <c r="B552" s="967">
        <v>44736</v>
      </c>
      <c r="C552" s="966">
        <v>71900</v>
      </c>
      <c r="D552" s="966">
        <v>3.6575000000000002</v>
      </c>
      <c r="E552" s="966">
        <v>3.6575000000000002</v>
      </c>
      <c r="F552" s="966">
        <v>112945.57</v>
      </c>
      <c r="G552" s="966">
        <v>105240.72239700001</v>
      </c>
      <c r="H552" s="974">
        <v>3453.83</v>
      </c>
      <c r="I552" s="966">
        <v>19.96</v>
      </c>
      <c r="J552" s="973">
        <v>1.4492200313800001</v>
      </c>
      <c r="M552" s="969">
        <v>102459.6741</v>
      </c>
      <c r="Q552" s="967">
        <v>44617</v>
      </c>
      <c r="R552" s="966">
        <v>137600</v>
      </c>
      <c r="S552" s="971">
        <v>0.48999999922867998</v>
      </c>
      <c r="T552" s="969">
        <v>0</v>
      </c>
      <c r="U552" s="966">
        <v>6894.66</v>
      </c>
      <c r="V552" s="966">
        <v>375.5</v>
      </c>
      <c r="W552" s="971">
        <f t="shared" si="11"/>
        <v>0</v>
      </c>
      <c r="Y552" s="967">
        <v>44692</v>
      </c>
      <c r="Z552" s="974">
        <f ca="1">H502*Valuation_Senario!$L$372</f>
        <v>4986.5862805999996</v>
      </c>
      <c r="AA552" s="973">
        <v>20.149999999999999</v>
      </c>
      <c r="AM552" s="967">
        <v>44617</v>
      </c>
      <c r="AN552" s="974">
        <v>10081.675217040001</v>
      </c>
      <c r="AO552" s="38">
        <v>0.48999999922867998</v>
      </c>
    </row>
    <row r="553" spans="1:41">
      <c r="A553" s="966">
        <v>546</v>
      </c>
      <c r="B553" s="967">
        <v>44735</v>
      </c>
      <c r="C553" s="966">
        <v>72500</v>
      </c>
      <c r="D553" s="966">
        <v>7.37</v>
      </c>
      <c r="E553" s="966">
        <v>7.37</v>
      </c>
      <c r="F553" s="966">
        <v>112375.3</v>
      </c>
      <c r="G553" s="966">
        <v>106118.948175</v>
      </c>
      <c r="H553" s="974">
        <v>3453.96</v>
      </c>
      <c r="I553" s="966">
        <v>19.84</v>
      </c>
      <c r="J553" s="973">
        <v>1.44916607869</v>
      </c>
      <c r="M553" s="969">
        <v>104947.980471</v>
      </c>
      <c r="Q553" s="967">
        <v>44616</v>
      </c>
      <c r="R553" s="966">
        <v>136800</v>
      </c>
      <c r="S553" s="971">
        <v>0.48999999922867998</v>
      </c>
      <c r="T553" s="969">
        <v>0</v>
      </c>
      <c r="U553" s="966">
        <v>6894.66</v>
      </c>
      <c r="V553" s="966">
        <v>167.79</v>
      </c>
      <c r="W553" s="971">
        <f t="shared" si="11"/>
        <v>0</v>
      </c>
      <c r="Y553" s="967">
        <v>44691</v>
      </c>
      <c r="Z553" s="974">
        <f ca="1">H503*Valuation_Senario!$L$372</f>
        <v>4986.5862805999996</v>
      </c>
      <c r="AA553" s="973">
        <v>20.02</v>
      </c>
      <c r="AM553" s="967">
        <v>44616</v>
      </c>
      <c r="AN553" s="974">
        <v>10081.675217040001</v>
      </c>
      <c r="AO553" s="38">
        <v>0.48999999922867998</v>
      </c>
    </row>
    <row r="554" spans="1:41">
      <c r="A554" s="966">
        <v>547</v>
      </c>
      <c r="B554" s="967">
        <v>44734</v>
      </c>
      <c r="C554" s="966">
        <v>69800</v>
      </c>
      <c r="D554" s="966">
        <v>43.335659999999997</v>
      </c>
      <c r="E554" s="966">
        <v>43.335659999999997</v>
      </c>
      <c r="F554" s="966">
        <v>113088.14</v>
      </c>
      <c r="G554" s="966">
        <v>102166.932174</v>
      </c>
      <c r="H554" s="974">
        <v>3454.09</v>
      </c>
      <c r="I554" s="966">
        <v>19.989999999999998</v>
      </c>
      <c r="J554" s="973">
        <v>1.4491121259899999</v>
      </c>
      <c r="M554" s="969">
        <v>103191.528915</v>
      </c>
      <c r="Q554" s="967">
        <v>44615</v>
      </c>
      <c r="R554" s="966">
        <v>137800</v>
      </c>
      <c r="S554" s="971">
        <v>0.48999999922867998</v>
      </c>
      <c r="T554" s="969">
        <v>0</v>
      </c>
      <c r="U554" s="966">
        <v>6894.66</v>
      </c>
      <c r="V554" s="966">
        <v>271.52999999999997</v>
      </c>
      <c r="W554" s="971">
        <f t="shared" si="11"/>
        <v>0</v>
      </c>
      <c r="Y554" s="967">
        <v>44690</v>
      </c>
      <c r="Z554" s="974">
        <f ca="1">H504*Valuation_Senario!$L$372</f>
        <v>4986.5862805999996</v>
      </c>
      <c r="AA554" s="973">
        <v>19.489999999999998</v>
      </c>
      <c r="AM554" s="967">
        <v>44615</v>
      </c>
      <c r="AN554" s="974">
        <v>10081.675217040001</v>
      </c>
      <c r="AO554" s="38">
        <v>0.48999999922867998</v>
      </c>
    </row>
    <row r="555" spans="1:41">
      <c r="A555" s="966">
        <v>548</v>
      </c>
      <c r="B555" s="967">
        <v>44733</v>
      </c>
      <c r="C555" s="966">
        <v>73500</v>
      </c>
      <c r="D555" s="966">
        <v>66.845759999999999</v>
      </c>
      <c r="E555" s="966">
        <v>66.845759999999999</v>
      </c>
      <c r="F555" s="966">
        <v>113016.85</v>
      </c>
      <c r="G555" s="966">
        <v>107582.657805</v>
      </c>
      <c r="H555" s="974">
        <v>3454.22</v>
      </c>
      <c r="I555" s="966">
        <v>19.97</v>
      </c>
      <c r="J555" s="973">
        <v>1.4490581732999999</v>
      </c>
      <c r="M555" s="969">
        <v>105387.09336</v>
      </c>
      <c r="Q555" s="967">
        <v>44614</v>
      </c>
      <c r="R555" s="966">
        <v>137700</v>
      </c>
      <c r="S555" s="971">
        <v>0.48999999922867998</v>
      </c>
      <c r="T555" s="969">
        <v>0</v>
      </c>
      <c r="U555" s="966">
        <v>6894.66</v>
      </c>
      <c r="V555" s="966">
        <v>513.95000000000005</v>
      </c>
      <c r="W555" s="971">
        <f t="shared" si="11"/>
        <v>0</v>
      </c>
      <c r="Y555" s="967">
        <v>44687</v>
      </c>
      <c r="Z555" s="974">
        <f ca="1">H505*Valuation_Senario!$L$372</f>
        <v>4986.5862805999996</v>
      </c>
      <c r="AA555" s="973">
        <v>20.94</v>
      </c>
      <c r="AM555" s="967">
        <v>44614</v>
      </c>
      <c r="AN555" s="974">
        <v>10081.675217040001</v>
      </c>
      <c r="AO555" s="38">
        <v>0.48999999922867998</v>
      </c>
    </row>
    <row r="556" spans="1:41">
      <c r="A556" s="966">
        <v>549</v>
      </c>
      <c r="B556" s="967">
        <v>44732</v>
      </c>
      <c r="C556" s="966">
        <v>73900</v>
      </c>
      <c r="D556" s="966">
        <v>0</v>
      </c>
      <c r="E556" s="966">
        <v>0</v>
      </c>
      <c r="F556" s="966">
        <v>110308.09</v>
      </c>
      <c r="G556" s="966">
        <v>108168.141657</v>
      </c>
      <c r="H556" s="974">
        <v>3454.35</v>
      </c>
      <c r="I556" s="966">
        <v>19.420000000000002</v>
      </c>
      <c r="J556" s="973">
        <v>1.4490042206</v>
      </c>
      <c r="M556" s="969">
        <v>108168.141657</v>
      </c>
      <c r="Q556" s="967">
        <v>44613</v>
      </c>
      <c r="R556" s="966">
        <v>133900</v>
      </c>
      <c r="S556" s="971">
        <v>0.48999999922867998</v>
      </c>
      <c r="T556" s="969">
        <v>0</v>
      </c>
      <c r="U556" s="966">
        <v>6894.66</v>
      </c>
      <c r="V556" s="966">
        <v>81.93</v>
      </c>
      <c r="W556" s="971">
        <f t="shared" si="11"/>
        <v>0</v>
      </c>
      <c r="Y556" s="967">
        <v>44686</v>
      </c>
      <c r="Z556" s="974">
        <f ca="1">H506*Valuation_Senario!$L$372</f>
        <v>4986.5862805999996</v>
      </c>
      <c r="AA556" s="973">
        <v>21.34</v>
      </c>
      <c r="AM556" s="967">
        <v>44613</v>
      </c>
      <c r="AN556" s="974">
        <v>10081.675217040001</v>
      </c>
      <c r="AO556" s="38">
        <v>0.48999999922867998</v>
      </c>
    </row>
    <row r="557" spans="1:41">
      <c r="A557" s="966">
        <v>550</v>
      </c>
      <c r="B557" s="967">
        <v>44729</v>
      </c>
      <c r="C557" s="966">
        <v>77700</v>
      </c>
      <c r="D557" s="966">
        <v>0</v>
      </c>
      <c r="E557" s="966">
        <v>0</v>
      </c>
      <c r="F557" s="966">
        <v>110379.37</v>
      </c>
      <c r="G557" s="966">
        <v>113730.238251</v>
      </c>
      <c r="H557" s="974">
        <v>3454.73</v>
      </c>
      <c r="I557" s="966">
        <v>19.440000000000001</v>
      </c>
      <c r="J557" s="973">
        <v>1.44884236252</v>
      </c>
      <c r="M557" s="969">
        <v>107875.399731</v>
      </c>
      <c r="Q557" s="967">
        <v>44610</v>
      </c>
      <c r="R557" s="966">
        <v>134000</v>
      </c>
      <c r="S557" s="971">
        <v>0.48999999922867998</v>
      </c>
      <c r="T557" s="969">
        <v>0</v>
      </c>
      <c r="U557" s="966">
        <v>6894.66</v>
      </c>
      <c r="V557" s="966">
        <v>62.19</v>
      </c>
      <c r="W557" s="971">
        <f t="shared" si="11"/>
        <v>0</v>
      </c>
      <c r="Y557" s="967">
        <v>44685</v>
      </c>
      <c r="Z557" s="974">
        <f ca="1">H507*Valuation_Senario!$L$372</f>
        <v>4986.5862805999996</v>
      </c>
      <c r="AA557" s="973">
        <v>21.3</v>
      </c>
      <c r="AM557" s="967">
        <v>44610</v>
      </c>
      <c r="AN557" s="974">
        <v>10081.675217040001</v>
      </c>
      <c r="AO557" s="38">
        <v>0.48999999922867998</v>
      </c>
    </row>
    <row r="558" spans="1:41">
      <c r="A558" s="966">
        <v>551</v>
      </c>
      <c r="B558" s="967">
        <v>44728</v>
      </c>
      <c r="C558" s="966">
        <v>79000</v>
      </c>
      <c r="D558" s="966">
        <v>3.9389400000000001</v>
      </c>
      <c r="E558" s="966">
        <v>3.9389400000000001</v>
      </c>
      <c r="F558" s="966">
        <v>110735.79</v>
      </c>
      <c r="G558" s="966">
        <v>115633.06077</v>
      </c>
      <c r="H558" s="974">
        <v>3454.86</v>
      </c>
      <c r="I558" s="966">
        <v>19.510000000000002</v>
      </c>
      <c r="J558" s="973">
        <v>1.4487884098199999</v>
      </c>
      <c r="M558" s="969">
        <v>108460.883583</v>
      </c>
      <c r="Q558" s="967">
        <v>44609</v>
      </c>
      <c r="R558" s="966">
        <v>134500</v>
      </c>
      <c r="S558" s="971">
        <v>0.48999999922867998</v>
      </c>
      <c r="T558" s="969">
        <v>0</v>
      </c>
      <c r="U558" s="966">
        <v>6894.66</v>
      </c>
      <c r="V558" s="966">
        <v>141.22999999999999</v>
      </c>
      <c r="W558" s="971">
        <f t="shared" si="11"/>
        <v>0</v>
      </c>
      <c r="Y558" s="967">
        <v>44680</v>
      </c>
      <c r="Z558" s="974">
        <f ca="1">H508*Valuation_Senario!$L$372</f>
        <v>4986.5862805999996</v>
      </c>
      <c r="AA558" s="973">
        <v>21.7</v>
      </c>
      <c r="AM558" s="967">
        <v>44609</v>
      </c>
      <c r="AN558" s="974">
        <v>10081.675217040001</v>
      </c>
      <c r="AO558" s="38">
        <v>0.48999999922867998</v>
      </c>
    </row>
    <row r="559" spans="1:41">
      <c r="A559" s="966">
        <v>552</v>
      </c>
      <c r="B559" s="967">
        <v>44727</v>
      </c>
      <c r="C559" s="966">
        <v>147700</v>
      </c>
      <c r="D559" s="966">
        <v>0</v>
      </c>
      <c r="E559" s="966">
        <v>0</v>
      </c>
      <c r="F559" s="966">
        <v>109595.25</v>
      </c>
      <c r="G559" s="966">
        <v>108094.9561755</v>
      </c>
      <c r="H559" s="974">
        <v>6982.16</v>
      </c>
      <c r="I559" s="966">
        <v>19.28</v>
      </c>
      <c r="J559" s="973">
        <v>0.71687964212999999</v>
      </c>
      <c r="M559" s="969">
        <v>108314.51261999999</v>
      </c>
      <c r="Q559" s="967">
        <v>44608</v>
      </c>
      <c r="R559" s="966">
        <v>132900</v>
      </c>
      <c r="S559" s="971">
        <v>0.48999999922867998</v>
      </c>
      <c r="T559" s="969">
        <v>0</v>
      </c>
      <c r="U559" s="966">
        <v>6894.66</v>
      </c>
      <c r="V559" s="966">
        <v>74.47</v>
      </c>
      <c r="W559" s="971">
        <f t="shared" si="11"/>
        <v>0</v>
      </c>
      <c r="Y559" s="967">
        <v>44679</v>
      </c>
      <c r="Z559" s="974">
        <f ca="1">H509*Valuation_Senario!$L$372</f>
        <v>4986.5862805999996</v>
      </c>
      <c r="AA559" s="973">
        <v>21.08</v>
      </c>
      <c r="AM559" s="967">
        <v>44608</v>
      </c>
      <c r="AN559" s="974">
        <v>10081.675217040001</v>
      </c>
      <c r="AO559" s="38">
        <v>0.48999999922867998</v>
      </c>
    </row>
    <row r="560" spans="1:41">
      <c r="A560" s="966">
        <v>553</v>
      </c>
      <c r="B560" s="967">
        <v>44726</v>
      </c>
      <c r="C560" s="966">
        <v>143500</v>
      </c>
      <c r="D560" s="966">
        <v>100.32259999999999</v>
      </c>
      <c r="E560" s="966">
        <v>100.32259999999999</v>
      </c>
      <c r="F560" s="966">
        <v>109880.39</v>
      </c>
      <c r="G560" s="966">
        <v>105021.1659525</v>
      </c>
      <c r="H560" s="974">
        <v>6982.68</v>
      </c>
      <c r="I560" s="966">
        <v>19.329999999999998</v>
      </c>
      <c r="J560" s="973">
        <v>0.71682568944000002</v>
      </c>
      <c r="M560" s="969">
        <v>105387.09336</v>
      </c>
      <c r="Q560" s="967">
        <v>44607</v>
      </c>
      <c r="R560" s="966">
        <v>133300</v>
      </c>
      <c r="S560" s="971">
        <v>0.48999999922867998</v>
      </c>
      <c r="T560" s="969">
        <v>0</v>
      </c>
      <c r="U560" s="966">
        <v>6894.66</v>
      </c>
      <c r="V560" s="966">
        <v>176.45</v>
      </c>
      <c r="W560" s="971">
        <f t="shared" si="11"/>
        <v>0</v>
      </c>
      <c r="Y560" s="967">
        <v>44678</v>
      </c>
      <c r="Z560" s="974">
        <f ca="1">H510*Valuation_Senario!$L$372</f>
        <v>4986.5862805999996</v>
      </c>
      <c r="AA560" s="973">
        <v>21.4</v>
      </c>
      <c r="AM560" s="967">
        <v>44607</v>
      </c>
      <c r="AN560" s="974">
        <v>10081.675217040001</v>
      </c>
      <c r="AO560" s="38">
        <v>0.48999999922867998</v>
      </c>
    </row>
    <row r="561" spans="1:41">
      <c r="A561" s="966">
        <v>554</v>
      </c>
      <c r="B561" s="967">
        <v>44725</v>
      </c>
      <c r="C561" s="966">
        <v>140000</v>
      </c>
      <c r="D561" s="966">
        <v>65.549099999999996</v>
      </c>
      <c r="E561" s="966">
        <v>65.549099999999996</v>
      </c>
      <c r="F561" s="966">
        <v>108953.7</v>
      </c>
      <c r="G561" s="966">
        <v>102459.6741</v>
      </c>
      <c r="H561" s="974">
        <v>6983.21</v>
      </c>
      <c r="I561" s="966">
        <v>19.149999999999999</v>
      </c>
      <c r="J561" s="973">
        <v>0.71677173674000005</v>
      </c>
      <c r="M561" s="969">
        <v>104655.238545</v>
      </c>
      <c r="Q561" s="967">
        <v>44606</v>
      </c>
      <c r="R561" s="966">
        <v>132000</v>
      </c>
      <c r="S561" s="971">
        <v>0.48999999922867998</v>
      </c>
      <c r="T561" s="969">
        <v>0</v>
      </c>
      <c r="U561" s="966">
        <v>6894.66</v>
      </c>
      <c r="V561" s="966">
        <v>193.11</v>
      </c>
      <c r="W561" s="971">
        <f t="shared" si="11"/>
        <v>0</v>
      </c>
      <c r="Y561" s="967">
        <v>44677</v>
      </c>
      <c r="Z561" s="974">
        <f ca="1">H511*Valuation_Senario!$L$372</f>
        <v>4986.5862805999996</v>
      </c>
      <c r="AA561" s="973">
        <v>21.63</v>
      </c>
      <c r="AM561" s="967">
        <v>44606</v>
      </c>
      <c r="AN561" s="974">
        <v>10081.675217040001</v>
      </c>
      <c r="AO561" s="38">
        <v>0.48999999922867998</v>
      </c>
    </row>
    <row r="562" spans="1:41">
      <c r="A562" s="966">
        <v>555</v>
      </c>
      <c r="B562" s="967">
        <v>44722</v>
      </c>
      <c r="C562" s="966">
        <v>150000</v>
      </c>
      <c r="D562" s="966">
        <v>14.58</v>
      </c>
      <c r="E562" s="966">
        <v>14.58</v>
      </c>
      <c r="F562" s="966">
        <v>111306.05</v>
      </c>
      <c r="G562" s="966">
        <v>109778.22225000001</v>
      </c>
      <c r="H562" s="974">
        <v>6984.79</v>
      </c>
      <c r="I562" s="966">
        <v>19.62</v>
      </c>
      <c r="J562" s="973">
        <v>0.71660987865999992</v>
      </c>
      <c r="M562" s="969">
        <v>103484.27084100001</v>
      </c>
      <c r="Q562" s="967">
        <v>44603</v>
      </c>
      <c r="R562" s="966">
        <v>135300</v>
      </c>
      <c r="S562" s="971">
        <v>0.48999999922867998</v>
      </c>
      <c r="T562" s="969">
        <v>0</v>
      </c>
      <c r="U562" s="966">
        <v>6894.66</v>
      </c>
      <c r="V562" s="966">
        <v>87.88</v>
      </c>
      <c r="W562" s="971">
        <f t="shared" si="11"/>
        <v>0</v>
      </c>
      <c r="Y562" s="967">
        <v>44676</v>
      </c>
      <c r="Z562" s="974">
        <f ca="1">H512*Valuation_Senario!$L$372</f>
        <v>4986.5862805999996</v>
      </c>
      <c r="AA562" s="973">
        <v>21.06</v>
      </c>
      <c r="AM562" s="967">
        <v>44603</v>
      </c>
      <c r="AN562" s="974">
        <v>10081.675217040001</v>
      </c>
      <c r="AO562" s="38">
        <v>0.48999999922867998</v>
      </c>
    </row>
    <row r="563" spans="1:41">
      <c r="A563" s="966">
        <v>556</v>
      </c>
      <c r="B563" s="967">
        <v>44721</v>
      </c>
      <c r="C563" s="966">
        <v>152800</v>
      </c>
      <c r="D563" s="966">
        <v>25.8719</v>
      </c>
      <c r="E563" s="966">
        <v>25.8719</v>
      </c>
      <c r="F563" s="966">
        <v>112018.89</v>
      </c>
      <c r="G563" s="966">
        <v>111827.41573199999</v>
      </c>
      <c r="H563" s="974">
        <v>6985.31</v>
      </c>
      <c r="I563" s="966">
        <v>19.77</v>
      </c>
      <c r="J563" s="973">
        <v>0.71655592596000006</v>
      </c>
      <c r="M563" s="969">
        <v>106704.432027</v>
      </c>
      <c r="Q563" s="967">
        <v>44602</v>
      </c>
      <c r="R563" s="966">
        <v>136300</v>
      </c>
      <c r="S563" s="971">
        <v>0.48999999922867998</v>
      </c>
      <c r="T563" s="969">
        <v>0</v>
      </c>
      <c r="U563" s="966">
        <v>6894.66</v>
      </c>
      <c r="V563" s="966">
        <v>148.58000000000001</v>
      </c>
      <c r="W563" s="971">
        <f t="shared" si="11"/>
        <v>0</v>
      </c>
      <c r="Y563" s="967">
        <v>44673</v>
      </c>
      <c r="Z563" s="974">
        <f ca="1">H513*Valuation_Senario!$L$372</f>
        <v>4986.5862805999996</v>
      </c>
      <c r="AA563" s="973">
        <v>22.64</v>
      </c>
      <c r="AM563" s="967">
        <v>44602</v>
      </c>
      <c r="AN563" s="974">
        <v>10081.675217040001</v>
      </c>
      <c r="AO563" s="38">
        <v>0.48999999922867998</v>
      </c>
    </row>
    <row r="564" spans="1:41">
      <c r="A564" s="966">
        <v>557</v>
      </c>
      <c r="B564" s="967">
        <v>44720</v>
      </c>
      <c r="C564" s="966">
        <v>153400</v>
      </c>
      <c r="D564" s="966">
        <v>0</v>
      </c>
      <c r="E564" s="966">
        <v>0</v>
      </c>
      <c r="F564" s="966">
        <v>112517.87</v>
      </c>
      <c r="G564" s="966">
        <v>112266.528621</v>
      </c>
      <c r="H564" s="974">
        <v>6985.84</v>
      </c>
      <c r="I564" s="966">
        <v>19.87</v>
      </c>
      <c r="J564" s="973">
        <v>0.71650197326999998</v>
      </c>
      <c r="M564" s="969">
        <v>106118.948175</v>
      </c>
      <c r="Q564" s="967">
        <v>44601</v>
      </c>
      <c r="R564" s="966">
        <v>137000</v>
      </c>
      <c r="S564" s="971">
        <v>0.48999999922867998</v>
      </c>
      <c r="T564" s="969">
        <v>0</v>
      </c>
      <c r="U564" s="966">
        <v>6894.66</v>
      </c>
      <c r="V564" s="966">
        <v>164.99</v>
      </c>
      <c r="W564" s="971">
        <f t="shared" si="11"/>
        <v>0</v>
      </c>
      <c r="Y564" s="967">
        <v>44672</v>
      </c>
      <c r="Z564" s="974">
        <f ca="1">H514*Valuation_Senario!$L$372</f>
        <v>4986.5862805999996</v>
      </c>
      <c r="AA564" s="973">
        <v>22.6</v>
      </c>
      <c r="AM564" s="967">
        <v>44601</v>
      </c>
      <c r="AN564" s="974">
        <v>10081.675217040001</v>
      </c>
      <c r="AO564" s="38">
        <v>0.48999999922867998</v>
      </c>
    </row>
    <row r="565" spans="1:41">
      <c r="A565" s="966">
        <v>558</v>
      </c>
      <c r="B565" s="967">
        <v>44719</v>
      </c>
      <c r="C565" s="966">
        <v>153000</v>
      </c>
      <c r="D565" s="966">
        <v>0</v>
      </c>
      <c r="E565" s="966">
        <v>0</v>
      </c>
      <c r="F565" s="966">
        <v>112018.89</v>
      </c>
      <c r="G565" s="966">
        <v>111973.786695</v>
      </c>
      <c r="H565" s="974">
        <v>6986.36</v>
      </c>
      <c r="I565" s="966">
        <v>19.77</v>
      </c>
      <c r="J565" s="973">
        <v>0.71644802058000001</v>
      </c>
      <c r="M565" s="969">
        <v>108314.51261999999</v>
      </c>
      <c r="Q565" s="967">
        <v>44600</v>
      </c>
      <c r="R565" s="966">
        <v>136300</v>
      </c>
      <c r="S565" s="971">
        <v>0.48999999922867998</v>
      </c>
      <c r="T565" s="969">
        <v>0</v>
      </c>
      <c r="U565" s="966">
        <v>6894.66</v>
      </c>
      <c r="V565" s="966">
        <v>196.49</v>
      </c>
      <c r="W565" s="971">
        <f t="shared" si="11"/>
        <v>0</v>
      </c>
      <c r="Y565" s="967">
        <v>44671</v>
      </c>
      <c r="Z565" s="974">
        <f ca="1">H515*Valuation_Senario!$L$372</f>
        <v>4986.5862805999996</v>
      </c>
      <c r="AA565" s="973">
        <v>22.67</v>
      </c>
      <c r="AM565" s="967">
        <v>44600</v>
      </c>
      <c r="AN565" s="974">
        <v>10081.675217040001</v>
      </c>
      <c r="AO565" s="38">
        <v>0.48999999922867998</v>
      </c>
    </row>
    <row r="566" spans="1:41">
      <c r="A566" s="966">
        <v>559</v>
      </c>
      <c r="B566" s="967">
        <v>44718</v>
      </c>
      <c r="C566" s="966">
        <v>154700</v>
      </c>
      <c r="D566" s="966">
        <v>3.14574</v>
      </c>
      <c r="E566" s="966">
        <v>3.14574</v>
      </c>
      <c r="F566" s="966">
        <v>110308.09</v>
      </c>
      <c r="G566" s="966">
        <v>113217.93988049999</v>
      </c>
      <c r="H566" s="974">
        <v>6986.89</v>
      </c>
      <c r="I566" s="966">
        <v>19.420000000000002</v>
      </c>
      <c r="J566" s="973">
        <v>0.71639406788000004</v>
      </c>
      <c r="M566" s="969">
        <v>107289.91587899999</v>
      </c>
      <c r="Q566" s="967">
        <v>44599</v>
      </c>
      <c r="R566" s="966">
        <v>133900</v>
      </c>
      <c r="S566" s="971">
        <v>0.48999999922867998</v>
      </c>
      <c r="T566" s="969">
        <v>0</v>
      </c>
      <c r="U566" s="966">
        <v>6894.66</v>
      </c>
      <c r="V566" s="966">
        <v>128.34</v>
      </c>
      <c r="W566" s="971">
        <f t="shared" si="11"/>
        <v>0</v>
      </c>
      <c r="Y566" s="967">
        <v>44670</v>
      </c>
      <c r="Z566" s="974">
        <f ca="1">H516*Valuation_Senario!$L$372</f>
        <v>4986.5862805999996</v>
      </c>
      <c r="AA566" s="973">
        <v>22.67</v>
      </c>
      <c r="AM566" s="967">
        <v>44599</v>
      </c>
      <c r="AN566" s="974">
        <v>10081.675217040001</v>
      </c>
      <c r="AO566" s="38">
        <v>0.48999999922867998</v>
      </c>
    </row>
    <row r="567" spans="1:41">
      <c r="A567" s="966">
        <v>560</v>
      </c>
      <c r="B567" s="967">
        <v>44715</v>
      </c>
      <c r="C567" s="966">
        <v>153200</v>
      </c>
      <c r="D567" s="966">
        <v>0</v>
      </c>
      <c r="E567" s="966">
        <v>0</v>
      </c>
      <c r="F567" s="966">
        <v>109310.12</v>
      </c>
      <c r="G567" s="966">
        <v>112120.157658</v>
      </c>
      <c r="H567" s="974">
        <v>6988.47</v>
      </c>
      <c r="I567" s="966">
        <v>19.22</v>
      </c>
      <c r="J567" s="973">
        <v>0.71623220979999991</v>
      </c>
      <c r="M567" s="969">
        <v>108314.51261999999</v>
      </c>
      <c r="Q567" s="967">
        <v>44589</v>
      </c>
      <c r="R567" s="966">
        <v>132500</v>
      </c>
      <c r="S567" s="971">
        <v>0.48999999922867998</v>
      </c>
      <c r="T567" s="969">
        <v>0</v>
      </c>
      <c r="U567" s="966">
        <v>6894.66</v>
      </c>
      <c r="V567" s="966">
        <v>94.07</v>
      </c>
      <c r="W567" s="971">
        <f t="shared" si="11"/>
        <v>0</v>
      </c>
      <c r="Y567" s="967">
        <v>44669</v>
      </c>
      <c r="Z567" s="974">
        <f ca="1">H517*Valuation_Senario!$L$372</f>
        <v>4986.5862805999996</v>
      </c>
      <c r="AA567" s="973">
        <v>23.32</v>
      </c>
      <c r="AM567" s="967">
        <v>44589</v>
      </c>
      <c r="AN567" s="974">
        <v>10081.675217040001</v>
      </c>
      <c r="AO567" s="38">
        <v>0.48999999922867998</v>
      </c>
    </row>
    <row r="568" spans="1:41">
      <c r="A568" s="966">
        <v>561</v>
      </c>
      <c r="B568" s="967">
        <v>44714</v>
      </c>
      <c r="C568" s="966">
        <v>147700</v>
      </c>
      <c r="D568" s="966">
        <v>68.969679999999997</v>
      </c>
      <c r="E568" s="966">
        <v>68.969679999999997</v>
      </c>
      <c r="F568" s="966">
        <v>108597.29</v>
      </c>
      <c r="G568" s="966">
        <v>108094.9561755</v>
      </c>
      <c r="H568" s="974">
        <v>6988.99</v>
      </c>
      <c r="I568" s="966">
        <v>21.66</v>
      </c>
      <c r="J568" s="973">
        <v>0.71617825710000005</v>
      </c>
      <c r="M568" s="969">
        <v>105679.835286</v>
      </c>
      <c r="Q568" s="967">
        <v>44588</v>
      </c>
      <c r="R568" s="966">
        <v>131500</v>
      </c>
      <c r="S568" s="971">
        <v>0.48999999922867998</v>
      </c>
      <c r="T568" s="969">
        <v>0</v>
      </c>
      <c r="U568" s="966">
        <v>6071.14</v>
      </c>
      <c r="V568" s="966">
        <v>138.36000000000001</v>
      </c>
      <c r="W568" s="971">
        <f t="shared" si="11"/>
        <v>0</v>
      </c>
      <c r="Y568" s="967">
        <v>44666</v>
      </c>
      <c r="Z568" s="974">
        <f ca="1">H518*Valuation_Senario!$L$372</f>
        <v>4986.5862805999996</v>
      </c>
      <c r="AA568" s="973">
        <v>23.27</v>
      </c>
      <c r="AM568" s="967">
        <v>44588</v>
      </c>
      <c r="AN568" s="974">
        <v>8877.4880381600015</v>
      </c>
      <c r="AO568" s="38">
        <v>0.48999999922867998</v>
      </c>
    </row>
    <row r="569" spans="1:41">
      <c r="A569" s="966">
        <v>562</v>
      </c>
      <c r="B569" s="967">
        <v>44713</v>
      </c>
      <c r="C569" s="966">
        <v>145500</v>
      </c>
      <c r="D569" s="966">
        <v>21.015000000000001</v>
      </c>
      <c r="E569" s="966">
        <v>21.015000000000001</v>
      </c>
      <c r="F569" s="966">
        <v>108882.42</v>
      </c>
      <c r="G569" s="966">
        <v>106484.8755825</v>
      </c>
      <c r="H569" s="974">
        <v>6989.52</v>
      </c>
      <c r="I569" s="966">
        <v>21.73</v>
      </c>
      <c r="J569" s="973">
        <v>0.71612430440999997</v>
      </c>
      <c r="M569" s="969">
        <v>100117.738692</v>
      </c>
      <c r="Q569" s="967">
        <v>44587</v>
      </c>
      <c r="R569" s="966">
        <v>131900</v>
      </c>
      <c r="S569" s="971">
        <v>0.48999999922867998</v>
      </c>
      <c r="T569" s="969">
        <v>0</v>
      </c>
      <c r="U569" s="966">
        <v>6071.14</v>
      </c>
      <c r="V569" s="966">
        <v>145.54</v>
      </c>
      <c r="W569" s="971">
        <f t="shared" si="11"/>
        <v>0</v>
      </c>
      <c r="Y569" s="967">
        <v>44665</v>
      </c>
      <c r="Z569" s="974">
        <f ca="1">H519*Valuation_Senario!$L$372</f>
        <v>4986.5862805999996</v>
      </c>
      <c r="AA569" s="973">
        <v>23.17</v>
      </c>
      <c r="AM569" s="967">
        <v>44587</v>
      </c>
      <c r="AN569" s="974">
        <v>8877.4880381600015</v>
      </c>
      <c r="AO569" s="38">
        <v>0.48999999922867998</v>
      </c>
    </row>
    <row r="570" spans="1:41">
      <c r="A570" s="966">
        <v>563</v>
      </c>
      <c r="B570" s="967">
        <v>44712</v>
      </c>
      <c r="C570" s="966">
        <v>144900</v>
      </c>
      <c r="D570" s="966">
        <v>91.076729999999998</v>
      </c>
      <c r="E570" s="966">
        <v>91.076729999999998</v>
      </c>
      <c r="F570" s="966">
        <v>108240.87</v>
      </c>
      <c r="G570" s="966">
        <v>106045.7626935</v>
      </c>
      <c r="H570" s="974">
        <v>6990.05</v>
      </c>
      <c r="I570" s="966">
        <v>21.58</v>
      </c>
      <c r="J570" s="973">
        <v>0.71607035171</v>
      </c>
      <c r="M570" s="969">
        <v>97775.803283999994</v>
      </c>
      <c r="Q570" s="967">
        <v>44586</v>
      </c>
      <c r="R570" s="966">
        <v>131000</v>
      </c>
      <c r="S570" s="971">
        <v>0.48999999922867998</v>
      </c>
      <c r="T570" s="969">
        <v>0</v>
      </c>
      <c r="U570" s="966">
        <v>6071.14</v>
      </c>
      <c r="V570" s="966">
        <v>194.68</v>
      </c>
      <c r="W570" s="971">
        <f t="shared" si="11"/>
        <v>0</v>
      </c>
      <c r="Y570" s="967">
        <v>44664</v>
      </c>
      <c r="Z570" s="974">
        <f ca="1">H520*Valuation_Senario!$L$372</f>
        <v>4986.5862805999996</v>
      </c>
      <c r="AA570" s="973">
        <v>22.69</v>
      </c>
      <c r="AM570" s="967">
        <v>44586</v>
      </c>
      <c r="AN570" s="974">
        <v>8877.4880381600015</v>
      </c>
      <c r="AO570" s="38">
        <v>0.48999999922867998</v>
      </c>
    </row>
    <row r="571" spans="1:41">
      <c r="A571" s="966">
        <v>564</v>
      </c>
      <c r="B571" s="967">
        <v>44711</v>
      </c>
      <c r="C571" s="966">
        <v>145200</v>
      </c>
      <c r="D571" s="966">
        <v>7.5525000000000002</v>
      </c>
      <c r="E571" s="966">
        <v>7.5525000000000002</v>
      </c>
      <c r="F571" s="966">
        <v>107456.75</v>
      </c>
      <c r="G571" s="966">
        <v>106265.31913800001</v>
      </c>
      <c r="H571" s="974">
        <v>6990.57</v>
      </c>
      <c r="I571" s="966">
        <v>21.4</v>
      </c>
      <c r="J571" s="973">
        <v>0.71601639902000003</v>
      </c>
      <c r="M571" s="969">
        <v>97922.174247000003</v>
      </c>
      <c r="Q571" s="967">
        <v>44585</v>
      </c>
      <c r="R571" s="966">
        <v>129900</v>
      </c>
      <c r="S571" s="971">
        <v>0.48999999922867998</v>
      </c>
      <c r="T571" s="969">
        <v>0</v>
      </c>
      <c r="U571" s="966">
        <v>6071.14</v>
      </c>
      <c r="V571" s="966">
        <v>120.86</v>
      </c>
      <c r="W571" s="971">
        <f t="shared" si="11"/>
        <v>0</v>
      </c>
      <c r="Y571" s="967">
        <v>44663</v>
      </c>
      <c r="Z571" s="974">
        <f ca="1">H521*Valuation_Senario!$L$372</f>
        <v>4986.5862805999996</v>
      </c>
      <c r="AA571" s="973">
        <v>22.18</v>
      </c>
      <c r="AM571" s="967">
        <v>44585</v>
      </c>
      <c r="AN571" s="974">
        <v>8877.4880381600015</v>
      </c>
      <c r="AO571" s="38">
        <v>0.48999999922867998</v>
      </c>
    </row>
    <row r="572" spans="1:41">
      <c r="A572" s="966">
        <v>565</v>
      </c>
      <c r="B572" s="967">
        <v>44708</v>
      </c>
      <c r="C572" s="966">
        <v>146700</v>
      </c>
      <c r="D572" s="966">
        <v>164.07849999999999</v>
      </c>
      <c r="E572" s="966">
        <v>164.07849999999999</v>
      </c>
      <c r="F572" s="966">
        <v>109809.1</v>
      </c>
      <c r="G572" s="966">
        <v>107363.1013605</v>
      </c>
      <c r="H572" s="974">
        <v>6992.16</v>
      </c>
      <c r="I572" s="966">
        <v>21.94</v>
      </c>
      <c r="J572" s="973">
        <v>0.71585454094000001</v>
      </c>
      <c r="M572" s="969">
        <v>97336.690394999998</v>
      </c>
      <c r="Q572" s="967">
        <v>44582</v>
      </c>
      <c r="R572" s="966">
        <v>133200</v>
      </c>
      <c r="S572" s="971">
        <v>0.48999994874243002</v>
      </c>
      <c r="T572" s="969">
        <v>0</v>
      </c>
      <c r="U572" s="966">
        <v>6071.14</v>
      </c>
      <c r="V572" s="966">
        <v>250.89</v>
      </c>
      <c r="W572" s="971">
        <f t="shared" si="11"/>
        <v>0</v>
      </c>
      <c r="Y572" s="967">
        <v>44659</v>
      </c>
      <c r="Z572" s="974">
        <f ca="1">H522*Valuation_Senario!$L$372</f>
        <v>4986.5862805999996</v>
      </c>
      <c r="AA572" s="973">
        <v>21.78</v>
      </c>
      <c r="AM572" s="967">
        <v>44582</v>
      </c>
      <c r="AN572" s="974">
        <v>8877.4880381600015</v>
      </c>
      <c r="AO572" s="38">
        <v>0.48999994874243002</v>
      </c>
    </row>
    <row r="573" spans="1:41">
      <c r="A573" s="966">
        <v>566</v>
      </c>
      <c r="B573" s="967">
        <v>44707</v>
      </c>
      <c r="C573" s="966">
        <v>139000</v>
      </c>
      <c r="D573" s="966">
        <v>48.266399999999997</v>
      </c>
      <c r="E573" s="966">
        <v>48.266399999999997</v>
      </c>
      <c r="F573" s="966">
        <v>110379.37</v>
      </c>
      <c r="G573" s="966">
        <v>101727.81928500001</v>
      </c>
      <c r="H573" s="974">
        <v>6992.68</v>
      </c>
      <c r="I573" s="966">
        <v>22.07</v>
      </c>
      <c r="J573" s="973">
        <v>0.71580058824000004</v>
      </c>
      <c r="M573" s="969">
        <v>93823.787282999998</v>
      </c>
      <c r="Q573" s="967">
        <v>44581</v>
      </c>
      <c r="R573" s="966">
        <v>134000</v>
      </c>
      <c r="S573" s="971">
        <v>0.48999999922867998</v>
      </c>
      <c r="T573" s="969">
        <v>0</v>
      </c>
      <c r="U573" s="966">
        <v>6071.14</v>
      </c>
      <c r="V573" s="966">
        <v>167.68</v>
      </c>
      <c r="W573" s="971">
        <f t="shared" si="11"/>
        <v>0</v>
      </c>
      <c r="Y573" s="967">
        <v>44658</v>
      </c>
      <c r="Z573" s="974">
        <f ca="1">H523*Valuation_Senario!$L$372</f>
        <v>4986.5862805999996</v>
      </c>
      <c r="AA573" s="973">
        <v>22.5</v>
      </c>
      <c r="AM573" s="967">
        <v>44581</v>
      </c>
      <c r="AN573" s="974">
        <v>8877.4880381600015</v>
      </c>
      <c r="AO573" s="38">
        <v>0.48999999922867998</v>
      </c>
    </row>
    <row r="574" spans="1:41">
      <c r="A574" s="966">
        <v>567</v>
      </c>
      <c r="B574" s="967">
        <v>44706</v>
      </c>
      <c r="C574" s="966">
        <v>139000</v>
      </c>
      <c r="D574" s="966">
        <v>139.490928</v>
      </c>
      <c r="E574" s="966">
        <v>139.490928</v>
      </c>
      <c r="F574" s="966">
        <v>110022.95</v>
      </c>
      <c r="G574" s="966">
        <v>101727.81928500001</v>
      </c>
      <c r="H574" s="974">
        <v>6993.21</v>
      </c>
      <c r="I574" s="966">
        <v>21.99</v>
      </c>
      <c r="J574" s="973">
        <v>0.71574663554999995</v>
      </c>
      <c r="M574" s="969">
        <v>94409.271135000003</v>
      </c>
      <c r="Q574" s="967">
        <v>44580</v>
      </c>
      <c r="R574" s="966">
        <v>133500</v>
      </c>
      <c r="S574" s="971">
        <v>0.48999999922867998</v>
      </c>
      <c r="T574" s="969">
        <v>0</v>
      </c>
      <c r="U574" s="966">
        <v>6071.14</v>
      </c>
      <c r="V574" s="966">
        <v>265.56</v>
      </c>
      <c r="W574" s="971">
        <f t="shared" si="11"/>
        <v>0</v>
      </c>
      <c r="Y574" s="967">
        <v>44657</v>
      </c>
      <c r="Z574" s="974">
        <f ca="1">H524*Valuation_Senario!$L$372</f>
        <v>4986.5862805999996</v>
      </c>
      <c r="AA574" s="973">
        <v>23.05</v>
      </c>
      <c r="AM574" s="967">
        <v>44580</v>
      </c>
      <c r="AN574" s="974">
        <v>8877.4880381600015</v>
      </c>
      <c r="AO574" s="38">
        <v>0.48999999922867998</v>
      </c>
    </row>
    <row r="575" spans="1:41">
      <c r="A575" s="966">
        <v>568</v>
      </c>
      <c r="B575" s="967">
        <v>44705</v>
      </c>
      <c r="C575" s="966">
        <v>133000</v>
      </c>
      <c r="D575" s="966">
        <v>243.11897999999999</v>
      </c>
      <c r="E575" s="966">
        <v>243.13209000000001</v>
      </c>
      <c r="F575" s="966">
        <v>107599.32</v>
      </c>
      <c r="G575" s="966">
        <v>97359.253844999999</v>
      </c>
      <c r="H575" s="974">
        <v>6992.08</v>
      </c>
      <c r="I575" s="966">
        <v>21.43</v>
      </c>
      <c r="J575" s="973">
        <v>0.71586233285</v>
      </c>
      <c r="M575" s="969">
        <v>95141.125950000001</v>
      </c>
      <c r="Q575" s="967">
        <v>44579</v>
      </c>
      <c r="R575" s="966">
        <v>130100</v>
      </c>
      <c r="S575" s="971">
        <v>0.48999999922867998</v>
      </c>
      <c r="T575" s="969">
        <v>-1.311E-2</v>
      </c>
      <c r="U575" s="966">
        <v>6071.14</v>
      </c>
      <c r="V575" s="966">
        <v>349.32</v>
      </c>
      <c r="W575" s="971">
        <f t="shared" si="11"/>
        <v>-3.7530058399175545E-5</v>
      </c>
      <c r="Y575" s="967">
        <v>44656</v>
      </c>
      <c r="Z575" s="974">
        <f ca="1">H525*Valuation_Senario!$L$372</f>
        <v>4986.5862805999996</v>
      </c>
      <c r="AA575" s="973">
        <v>22.53</v>
      </c>
      <c r="AM575" s="967">
        <v>44579</v>
      </c>
      <c r="AN575" s="974">
        <v>8877.4880381600015</v>
      </c>
      <c r="AO575" s="38">
        <v>0.48999999922867998</v>
      </c>
    </row>
    <row r="576" spans="1:41">
      <c r="A576" s="966">
        <v>569</v>
      </c>
      <c r="B576" s="967">
        <v>44704</v>
      </c>
      <c r="C576" s="966">
        <v>130800</v>
      </c>
      <c r="D576" s="966">
        <v>13.957420000000001</v>
      </c>
      <c r="E576" s="966">
        <v>13.957420000000001</v>
      </c>
      <c r="F576" s="966">
        <v>107528.04</v>
      </c>
      <c r="G576" s="966">
        <v>95748.800021999996</v>
      </c>
      <c r="H576" s="974">
        <v>6992.61</v>
      </c>
      <c r="I576" s="966">
        <v>21.41</v>
      </c>
      <c r="J576" s="973">
        <v>0.71580838015999992</v>
      </c>
      <c r="M576" s="969">
        <v>96604.835579999999</v>
      </c>
      <c r="Q576" s="967">
        <v>44578</v>
      </c>
      <c r="R576" s="966">
        <v>130000</v>
      </c>
      <c r="S576" s="971">
        <v>0.48999999922867998</v>
      </c>
      <c r="T576" s="969">
        <v>0</v>
      </c>
      <c r="U576" s="966">
        <v>6071.14</v>
      </c>
      <c r="V576" s="966">
        <v>122.01</v>
      </c>
      <c r="W576" s="971">
        <f t="shared" si="11"/>
        <v>0</v>
      </c>
      <c r="Y576" s="967">
        <v>44655</v>
      </c>
      <c r="Z576" s="974">
        <f ca="1">H526*Valuation_Senario!$L$372</f>
        <v>4986.5862805999996</v>
      </c>
      <c r="AA576" s="973">
        <v>22.5</v>
      </c>
      <c r="AM576" s="967">
        <v>44578</v>
      </c>
      <c r="AN576" s="974">
        <v>8877.4880381600015</v>
      </c>
      <c r="AO576" s="38">
        <v>0.48999999922867998</v>
      </c>
    </row>
    <row r="577" spans="1:41">
      <c r="A577" s="966">
        <v>570</v>
      </c>
      <c r="B577" s="967">
        <v>44701</v>
      </c>
      <c r="C577" s="966">
        <v>134000</v>
      </c>
      <c r="D577" s="966">
        <v>198.83178000000001</v>
      </c>
      <c r="E577" s="966">
        <v>198.83178000000001</v>
      </c>
      <c r="F577" s="966">
        <v>110379.37</v>
      </c>
      <c r="G577" s="966">
        <v>98091.278309999994</v>
      </c>
      <c r="H577" s="974">
        <v>6994.19</v>
      </c>
      <c r="I577" s="966">
        <v>22.07</v>
      </c>
      <c r="J577" s="973">
        <v>0.71564652208000001</v>
      </c>
      <c r="M577" s="969">
        <v>95141.125950000001</v>
      </c>
      <c r="Q577" s="967">
        <v>44575</v>
      </c>
      <c r="R577" s="966">
        <v>134000</v>
      </c>
      <c r="S577" s="971">
        <v>0.48999999922867998</v>
      </c>
      <c r="T577" s="969">
        <v>0</v>
      </c>
      <c r="U577" s="966">
        <v>6071.14</v>
      </c>
      <c r="V577" s="966">
        <v>271.72000000000003</v>
      </c>
      <c r="W577" s="971">
        <f t="shared" si="11"/>
        <v>0</v>
      </c>
      <c r="Y577" s="967">
        <v>44652</v>
      </c>
      <c r="Z577" s="974">
        <f ca="1">H527*Valuation_Senario!$L$372</f>
        <v>5065.2074683800001</v>
      </c>
      <c r="AA577" s="973">
        <v>22.64</v>
      </c>
      <c r="AM577" s="967">
        <v>44575</v>
      </c>
      <c r="AN577" s="974">
        <v>8877.4880381600015</v>
      </c>
      <c r="AO577" s="38">
        <v>0.48999999922867998</v>
      </c>
    </row>
    <row r="578" spans="1:41">
      <c r="A578" s="966">
        <v>571</v>
      </c>
      <c r="B578" s="967">
        <v>44700</v>
      </c>
      <c r="C578" s="966">
        <v>133000</v>
      </c>
      <c r="D578" s="966">
        <v>237.74700000000001</v>
      </c>
      <c r="E578" s="966">
        <v>237.74700000000001</v>
      </c>
      <c r="F578" s="966">
        <v>111448.62</v>
      </c>
      <c r="G578" s="966">
        <v>97359.253844999999</v>
      </c>
      <c r="H578" s="974">
        <v>6994.71</v>
      </c>
      <c r="I578" s="966">
        <v>22.32</v>
      </c>
      <c r="J578" s="973">
        <v>0.71559256938000004</v>
      </c>
      <c r="M578" s="969">
        <v>92213.706690000006</v>
      </c>
      <c r="Q578" s="967">
        <v>44574</v>
      </c>
      <c r="R578" s="966">
        <v>135500</v>
      </c>
      <c r="S578" s="971">
        <v>0.48999999922867998</v>
      </c>
      <c r="T578" s="969">
        <v>0</v>
      </c>
      <c r="U578" s="966">
        <v>6071.14</v>
      </c>
      <c r="V578" s="966">
        <v>372.95</v>
      </c>
      <c r="W578" s="971">
        <f t="shared" si="11"/>
        <v>0</v>
      </c>
      <c r="Y578" s="967">
        <v>44651</v>
      </c>
      <c r="Z578" s="974">
        <f ca="1">H528*Valuation_Senario!$L$372</f>
        <v>5065.3983677899996</v>
      </c>
      <c r="AA578" s="973">
        <v>21.15</v>
      </c>
      <c r="AM578" s="967">
        <v>44574</v>
      </c>
      <c r="AN578" s="974">
        <v>8877.4880381600015</v>
      </c>
      <c r="AO578" s="38">
        <v>0.48999999922867998</v>
      </c>
    </row>
    <row r="579" spans="1:41">
      <c r="A579" s="966">
        <v>572</v>
      </c>
      <c r="B579" s="967">
        <v>44699</v>
      </c>
      <c r="C579" s="966">
        <v>133500</v>
      </c>
      <c r="D579" s="966">
        <v>53.044199999999996</v>
      </c>
      <c r="E579" s="966">
        <v>53.044199999999996</v>
      </c>
      <c r="F579" s="966">
        <v>111805.04</v>
      </c>
      <c r="G579" s="966">
        <v>97725.266077499997</v>
      </c>
      <c r="H579" s="974">
        <v>6995.24</v>
      </c>
      <c r="I579" s="966">
        <v>22.4</v>
      </c>
      <c r="J579" s="973">
        <v>0.71553861669000007</v>
      </c>
      <c r="M579" s="969">
        <v>92213.706690000006</v>
      </c>
      <c r="Q579" s="967">
        <v>44573</v>
      </c>
      <c r="R579" s="966">
        <v>136000</v>
      </c>
      <c r="S579" s="971">
        <v>0.48999999922867998</v>
      </c>
      <c r="T579" s="969">
        <v>0</v>
      </c>
      <c r="U579" s="966">
        <v>6071.14</v>
      </c>
      <c r="V579" s="966">
        <v>175.55</v>
      </c>
      <c r="W579" s="971">
        <f t="shared" si="11"/>
        <v>0</v>
      </c>
      <c r="Y579" s="967">
        <v>44650</v>
      </c>
      <c r="Z579" s="974">
        <f ca="1">H529*Valuation_Senario!$L$372</f>
        <v>5065.5892671999991</v>
      </c>
      <c r="AA579" s="973">
        <v>20.95</v>
      </c>
      <c r="AM579" s="967">
        <v>44573</v>
      </c>
      <c r="AN579" s="974">
        <v>8877.4880381600015</v>
      </c>
      <c r="AO579" s="38">
        <v>0.48999999922867998</v>
      </c>
    </row>
    <row r="580" spans="1:41">
      <c r="A580" s="966">
        <v>573</v>
      </c>
      <c r="B580" s="967">
        <v>44698</v>
      </c>
      <c r="C580" s="966">
        <v>131600</v>
      </c>
      <c r="D580" s="966">
        <v>168.73934</v>
      </c>
      <c r="E580" s="966">
        <v>168.73934</v>
      </c>
      <c r="F580" s="966">
        <v>108811.14</v>
      </c>
      <c r="G580" s="966">
        <v>96334.419594000006</v>
      </c>
      <c r="H580" s="974">
        <v>6995.77</v>
      </c>
      <c r="I580" s="966">
        <v>21.71</v>
      </c>
      <c r="J580" s="973">
        <v>0.71548466398999999</v>
      </c>
      <c r="M580" s="969">
        <v>93091.932467999999</v>
      </c>
      <c r="Q580" s="967">
        <v>44572</v>
      </c>
      <c r="R580" s="966">
        <v>131800</v>
      </c>
      <c r="S580" s="971">
        <v>0.48999999922867998</v>
      </c>
      <c r="T580" s="969">
        <v>0</v>
      </c>
      <c r="U580" s="966">
        <v>6071.14</v>
      </c>
      <c r="V580" s="966">
        <v>282.64999999999998</v>
      </c>
      <c r="W580" s="971">
        <f t="shared" si="11"/>
        <v>0</v>
      </c>
      <c r="Y580" s="967">
        <v>44649</v>
      </c>
      <c r="Z580" s="974">
        <f ca="1">H530*Valuation_Senario!$L$372</f>
        <v>5065.7654820399994</v>
      </c>
      <c r="AA580" s="973">
        <v>21.25</v>
      </c>
      <c r="AM580" s="967">
        <v>44572</v>
      </c>
      <c r="AN580" s="974">
        <v>8877.4880381600015</v>
      </c>
      <c r="AO580" s="38">
        <v>0.48999999922867998</v>
      </c>
    </row>
    <row r="581" spans="1:41">
      <c r="A581" s="966">
        <v>574</v>
      </c>
      <c r="B581" s="967">
        <v>44697</v>
      </c>
      <c r="C581" s="966">
        <v>123000</v>
      </c>
      <c r="D581" s="966">
        <v>646.47135000000003</v>
      </c>
      <c r="E581" s="966">
        <v>646.47135000000003</v>
      </c>
      <c r="F581" s="966">
        <v>109666.54</v>
      </c>
      <c r="G581" s="966">
        <v>90039.009195000006</v>
      </c>
      <c r="H581" s="974">
        <v>6996.3</v>
      </c>
      <c r="I581" s="966">
        <v>21.91</v>
      </c>
      <c r="J581" s="973">
        <v>0.71543071129999991</v>
      </c>
      <c r="M581" s="969">
        <v>92652.819579000003</v>
      </c>
      <c r="Q581" s="967">
        <v>44571</v>
      </c>
      <c r="R581" s="966">
        <v>133000</v>
      </c>
      <c r="S581" s="971">
        <v>0.48999999922867998</v>
      </c>
      <c r="T581" s="969">
        <v>0</v>
      </c>
      <c r="U581" s="966">
        <v>6071.14</v>
      </c>
      <c r="V581" s="966">
        <v>782.66</v>
      </c>
      <c r="W581" s="971">
        <f t="shared" si="11"/>
        <v>0</v>
      </c>
      <c r="Y581" s="967">
        <v>44648</v>
      </c>
      <c r="Z581" s="974">
        <f ca="1">H531*Valuation_Senario!$L$372</f>
        <v>5065.9563814499998</v>
      </c>
      <c r="AA581" s="973">
        <v>20.89</v>
      </c>
      <c r="AM581" s="967">
        <v>44571</v>
      </c>
      <c r="AN581" s="974">
        <v>8877.4880381600015</v>
      </c>
      <c r="AO581" s="38">
        <v>0.48999999922867998</v>
      </c>
    </row>
    <row r="582" spans="1:41">
      <c r="A582" s="966">
        <v>575</v>
      </c>
      <c r="B582" s="967">
        <v>44694</v>
      </c>
      <c r="C582" s="966">
        <v>125100</v>
      </c>
      <c r="D582" s="966">
        <v>699.78412000000003</v>
      </c>
      <c r="E582" s="966">
        <v>699.78412000000003</v>
      </c>
      <c r="F582" s="966">
        <v>111448.62</v>
      </c>
      <c r="G582" s="966">
        <v>91576.260571499995</v>
      </c>
      <c r="H582" s="974">
        <v>6997.88</v>
      </c>
      <c r="I582" s="966">
        <v>22.32</v>
      </c>
      <c r="J582" s="973">
        <v>0.71526885321</v>
      </c>
      <c r="M582" s="969">
        <v>92067.335726999998</v>
      </c>
      <c r="Q582" s="967">
        <v>44568</v>
      </c>
      <c r="R582" s="966">
        <v>135500</v>
      </c>
      <c r="S582" s="971">
        <v>0.48999999922867998</v>
      </c>
      <c r="T582" s="969">
        <v>0</v>
      </c>
      <c r="U582" s="966">
        <v>6071.14</v>
      </c>
      <c r="V582" s="966">
        <v>825.33</v>
      </c>
      <c r="W582" s="971">
        <f t="shared" si="11"/>
        <v>0</v>
      </c>
      <c r="Y582" s="967">
        <v>44645</v>
      </c>
      <c r="Z582" s="974">
        <f ca="1">H532*Valuation_Senario!$L$372</f>
        <v>5066.5290796799991</v>
      </c>
      <c r="AA582" s="973">
        <v>20.149999999999999</v>
      </c>
      <c r="AM582" s="967">
        <v>44568</v>
      </c>
      <c r="AN582" s="974">
        <v>8877.4880381600015</v>
      </c>
      <c r="AO582" s="38">
        <v>0.48999999922867998</v>
      </c>
    </row>
    <row r="583" spans="1:41">
      <c r="A583" s="966">
        <v>576</v>
      </c>
      <c r="B583" s="967">
        <v>44693</v>
      </c>
      <c r="C583" s="966">
        <v>134400</v>
      </c>
      <c r="D583" s="966">
        <v>363.8612</v>
      </c>
      <c r="E583" s="966">
        <v>363.8612</v>
      </c>
      <c r="F583" s="966">
        <v>112874.29</v>
      </c>
      <c r="G583" s="966">
        <v>98384.088096000007</v>
      </c>
      <c r="H583" s="974">
        <v>6998.41</v>
      </c>
      <c r="I583" s="966">
        <v>22.65</v>
      </c>
      <c r="J583" s="973">
        <v>0.71521490052000003</v>
      </c>
      <c r="M583" s="969">
        <v>91774.593800999995</v>
      </c>
      <c r="Q583" s="967">
        <v>44567</v>
      </c>
      <c r="R583" s="966">
        <v>137500</v>
      </c>
      <c r="S583" s="971">
        <v>0.48999999922867998</v>
      </c>
      <c r="T583" s="969">
        <v>0</v>
      </c>
      <c r="U583" s="966">
        <v>6071.14</v>
      </c>
      <c r="V583" s="966">
        <v>500.74</v>
      </c>
      <c r="W583" s="971">
        <f t="shared" si="11"/>
        <v>0</v>
      </c>
      <c r="Y583" s="967">
        <v>44644</v>
      </c>
      <c r="Z583" s="974">
        <f ca="1">H533*Valuation_Senario!$L$372</f>
        <v>5066.7199790899995</v>
      </c>
      <c r="AA583" s="973">
        <v>19.440000000000001</v>
      </c>
      <c r="AM583" s="967">
        <v>44567</v>
      </c>
      <c r="AN583" s="974">
        <v>8877.4880381600015</v>
      </c>
      <c r="AO583" s="38">
        <v>0.48999999922867998</v>
      </c>
    </row>
    <row r="584" spans="1:41">
      <c r="A584" s="966">
        <v>577</v>
      </c>
      <c r="B584" s="967">
        <v>44692</v>
      </c>
      <c r="C584" s="966">
        <v>141000</v>
      </c>
      <c r="D584" s="966">
        <v>158.30760000000001</v>
      </c>
      <c r="E584" s="966">
        <v>158.30760000000001</v>
      </c>
      <c r="F584" s="966">
        <v>112589.15</v>
      </c>
      <c r="G584" s="966">
        <v>103215.449565</v>
      </c>
      <c r="H584" s="974">
        <v>6998.94</v>
      </c>
      <c r="I584" s="966">
        <v>22.58</v>
      </c>
      <c r="J584" s="973">
        <v>0.71516094782000006</v>
      </c>
      <c r="M584" s="969">
        <v>91774.593800999995</v>
      </c>
      <c r="Q584" s="967">
        <v>44566</v>
      </c>
      <c r="R584" s="966">
        <v>137100</v>
      </c>
      <c r="S584" s="971">
        <v>0.48999999922867998</v>
      </c>
      <c r="T584" s="969">
        <v>0</v>
      </c>
      <c r="U584" s="966">
        <v>6071.14</v>
      </c>
      <c r="V584" s="966">
        <v>331.54</v>
      </c>
      <c r="W584" s="971">
        <f t="shared" si="11"/>
        <v>0</v>
      </c>
      <c r="Y584" s="967">
        <v>44643</v>
      </c>
      <c r="Z584" s="974">
        <f ca="1">H534*Valuation_Senario!$L$372</f>
        <v>5066.8961939299998</v>
      </c>
      <c r="AA584" s="973">
        <v>19.579999999999998</v>
      </c>
      <c r="AM584" s="967">
        <v>44566</v>
      </c>
      <c r="AN584" s="974">
        <v>8877.4880381600015</v>
      </c>
      <c r="AO584" s="38">
        <v>0.48999999922867998</v>
      </c>
    </row>
    <row r="585" spans="1:41">
      <c r="A585" s="966">
        <v>578</v>
      </c>
      <c r="B585" s="967">
        <v>44691</v>
      </c>
      <c r="C585" s="966">
        <v>140100</v>
      </c>
      <c r="D585" s="966">
        <v>0</v>
      </c>
      <c r="E585" s="966">
        <v>0</v>
      </c>
      <c r="F585" s="966">
        <v>113088.14</v>
      </c>
      <c r="G585" s="966">
        <v>102556.62754650001</v>
      </c>
      <c r="H585" s="974">
        <v>6999.46</v>
      </c>
      <c r="I585" s="966">
        <v>22.7</v>
      </c>
      <c r="J585" s="973">
        <v>0.71510699512999998</v>
      </c>
      <c r="M585" s="969">
        <v>90457.255134000006</v>
      </c>
      <c r="Q585" s="967">
        <v>44565</v>
      </c>
      <c r="R585" s="966">
        <v>137800</v>
      </c>
      <c r="S585" s="971">
        <v>0.48999999922867998</v>
      </c>
      <c r="T585" s="969">
        <v>0</v>
      </c>
      <c r="U585" s="966">
        <v>6071.14</v>
      </c>
      <c r="V585" s="966">
        <v>181.29</v>
      </c>
      <c r="W585" s="971">
        <f t="shared" ref="W585:W648" si="12">T585/V585</f>
        <v>0</v>
      </c>
      <c r="Y585" s="967">
        <v>44642</v>
      </c>
      <c r="Z585" s="974">
        <f ca="1">H535*Valuation_Senario!$L$372</f>
        <v>5067.0870933399992</v>
      </c>
      <c r="AA585" s="973">
        <v>19.61</v>
      </c>
      <c r="AM585" s="967">
        <v>44565</v>
      </c>
      <c r="AN585" s="974">
        <v>8877.4880381600015</v>
      </c>
      <c r="AO585" s="38">
        <v>0.48999999922867998</v>
      </c>
    </row>
    <row r="586" spans="1:41">
      <c r="A586" s="966">
        <v>579</v>
      </c>
      <c r="B586" s="967">
        <v>44690</v>
      </c>
      <c r="C586" s="966">
        <v>136400</v>
      </c>
      <c r="D586" s="966">
        <v>6.5670900000000003</v>
      </c>
      <c r="E586" s="966">
        <v>6.5670900000000003</v>
      </c>
      <c r="F586" s="966">
        <v>111733.75</v>
      </c>
      <c r="G586" s="966">
        <v>99848.137025999997</v>
      </c>
      <c r="H586" s="974">
        <v>6999.99</v>
      </c>
      <c r="I586" s="966">
        <v>22.38</v>
      </c>
      <c r="J586" s="973">
        <v>0.71505304244000001</v>
      </c>
      <c r="M586" s="969">
        <v>90749.997059999994</v>
      </c>
      <c r="Q586" s="967">
        <v>44561</v>
      </c>
      <c r="R586" s="966">
        <v>135900</v>
      </c>
      <c r="S586" s="966">
        <v>0.48999999922867998</v>
      </c>
      <c r="T586" s="969">
        <v>0</v>
      </c>
      <c r="U586" s="966">
        <v>6071.14</v>
      </c>
      <c r="W586" s="971" t="e">
        <f t="shared" si="12"/>
        <v>#DIV/0!</v>
      </c>
      <c r="Y586" s="967">
        <v>44641</v>
      </c>
      <c r="Z586" s="974">
        <f ca="1">H536*Valuation_Senario!$L$372</f>
        <v>5067.2779927499996</v>
      </c>
      <c r="AA586" s="973">
        <v>19.57</v>
      </c>
      <c r="AM586" s="967">
        <v>44561</v>
      </c>
      <c r="AN586" s="974">
        <v>135900</v>
      </c>
      <c r="AO586" s="976">
        <v>0.48999999922867998</v>
      </c>
    </row>
    <row r="587" spans="1:41">
      <c r="A587" s="966">
        <v>580</v>
      </c>
      <c r="B587" s="967">
        <v>44687</v>
      </c>
      <c r="C587" s="966">
        <v>146600</v>
      </c>
      <c r="D587" s="966">
        <v>0</v>
      </c>
      <c r="E587" s="966">
        <v>0</v>
      </c>
      <c r="F587" s="966">
        <v>110593.22</v>
      </c>
      <c r="G587" s="966">
        <v>107314.786569</v>
      </c>
      <c r="H587" s="974">
        <v>7001.58</v>
      </c>
      <c r="I587" s="966">
        <v>22.12</v>
      </c>
      <c r="J587" s="973">
        <v>0.71489118434999999</v>
      </c>
      <c r="M587" s="969">
        <v>89725.400318999993</v>
      </c>
      <c r="Q587" s="967">
        <v>44560</v>
      </c>
      <c r="R587" s="966">
        <v>134300</v>
      </c>
      <c r="S587" s="966">
        <v>0.48999999922867998</v>
      </c>
      <c r="T587" s="969">
        <v>0</v>
      </c>
      <c r="U587" s="966">
        <v>6071.14</v>
      </c>
      <c r="W587" s="971" t="e">
        <f t="shared" si="12"/>
        <v>#DIV/0!</v>
      </c>
      <c r="Y587" s="967">
        <v>44638</v>
      </c>
      <c r="Z587" s="974">
        <f ca="1">H537*Valuation_Senario!$L$372</f>
        <v>5067.8506909799999</v>
      </c>
      <c r="AA587" s="973">
        <v>19.09</v>
      </c>
      <c r="AM587" s="967">
        <v>44560</v>
      </c>
      <c r="AN587" s="974">
        <v>134300</v>
      </c>
      <c r="AO587" s="976">
        <v>0.48999999922867998</v>
      </c>
    </row>
    <row r="588" spans="1:41">
      <c r="A588" s="966">
        <v>581</v>
      </c>
      <c r="B588" s="967">
        <v>44686</v>
      </c>
      <c r="C588" s="966">
        <v>149400</v>
      </c>
      <c r="D588" s="966">
        <v>0</v>
      </c>
      <c r="E588" s="966">
        <v>0</v>
      </c>
      <c r="F588" s="966">
        <v>110664.5</v>
      </c>
      <c r="G588" s="966">
        <v>109364.455071</v>
      </c>
      <c r="H588" s="974">
        <v>7002.11</v>
      </c>
      <c r="I588" s="966">
        <v>22.14</v>
      </c>
      <c r="J588" s="973">
        <v>0.71483723166000002</v>
      </c>
      <c r="M588" s="969">
        <v>89286.287429999997</v>
      </c>
      <c r="Q588" s="967">
        <v>44559</v>
      </c>
      <c r="R588" s="966">
        <v>134400</v>
      </c>
      <c r="S588" s="966">
        <v>0.48999999922867998</v>
      </c>
      <c r="T588" s="969">
        <v>0</v>
      </c>
      <c r="U588" s="966">
        <v>6071.14</v>
      </c>
      <c r="W588" s="971" t="e">
        <f t="shared" si="12"/>
        <v>#DIV/0!</v>
      </c>
      <c r="Y588" s="967">
        <v>44637</v>
      </c>
      <c r="Z588" s="974">
        <f ca="1">H538*Valuation_Senario!$L$372</f>
        <v>5068.0269058200001</v>
      </c>
      <c r="AA588" s="973">
        <v>18.97</v>
      </c>
      <c r="AM588" s="967">
        <v>44559</v>
      </c>
      <c r="AN588" s="974">
        <v>134400</v>
      </c>
      <c r="AO588" s="976">
        <v>0.48999999922867998</v>
      </c>
    </row>
    <row r="589" spans="1:41">
      <c r="A589" s="966">
        <v>582</v>
      </c>
      <c r="B589" s="967">
        <v>44685</v>
      </c>
      <c r="C589" s="966">
        <v>149500</v>
      </c>
      <c r="D589" s="966">
        <v>7.2149999999999999</v>
      </c>
      <c r="E589" s="966">
        <v>7.2149999999999999</v>
      </c>
      <c r="F589" s="966">
        <v>111662.47</v>
      </c>
      <c r="G589" s="966">
        <v>109437.6575175</v>
      </c>
      <c r="H589" s="974">
        <v>7017.28</v>
      </c>
      <c r="I589" s="966">
        <v>22.37</v>
      </c>
      <c r="J589" s="973">
        <v>0.71329129241</v>
      </c>
      <c r="M589" s="969">
        <v>90749.997059999994</v>
      </c>
      <c r="Q589" s="967">
        <v>44558</v>
      </c>
      <c r="R589" s="966">
        <v>135800</v>
      </c>
      <c r="S589" s="966">
        <v>0.48999999922867998</v>
      </c>
      <c r="T589" s="969">
        <v>0</v>
      </c>
      <c r="U589" s="966">
        <v>6071.14</v>
      </c>
      <c r="W589" s="971" t="e">
        <f t="shared" si="12"/>
        <v>#DIV/0!</v>
      </c>
      <c r="Y589" s="967">
        <v>44636</v>
      </c>
      <c r="Z589" s="974">
        <f ca="1">H539*Valuation_Senario!$L$372</f>
        <v>5068.2178052299996</v>
      </c>
      <c r="AA589" s="973">
        <v>19.059999999999999</v>
      </c>
      <c r="AM589" s="967">
        <v>44558</v>
      </c>
      <c r="AN589" s="974">
        <v>135800</v>
      </c>
      <c r="AO589" s="976">
        <v>0.48999999922867998</v>
      </c>
    </row>
    <row r="590" spans="1:41">
      <c r="A590" s="966">
        <v>583</v>
      </c>
      <c r="B590" s="967">
        <v>44680</v>
      </c>
      <c r="C590" s="966">
        <v>149200</v>
      </c>
      <c r="D590" s="966">
        <v>0</v>
      </c>
      <c r="E590" s="966">
        <v>0.24084</v>
      </c>
      <c r="F590" s="966">
        <v>111020.92</v>
      </c>
      <c r="G590" s="966">
        <v>109218.050178</v>
      </c>
      <c r="H590" s="974">
        <v>6877.12</v>
      </c>
      <c r="I590" s="966">
        <v>22.22</v>
      </c>
      <c r="J590" s="973">
        <v>0.71234318361000004</v>
      </c>
      <c r="M590" s="969">
        <v>90896.368023000003</v>
      </c>
      <c r="Q590" s="967">
        <v>44557</v>
      </c>
      <c r="R590" s="966">
        <v>134900</v>
      </c>
      <c r="S590" s="966">
        <v>0.48999999922867998</v>
      </c>
      <c r="T590" s="969">
        <v>-0.24084</v>
      </c>
      <c r="U590" s="966">
        <v>6071.14</v>
      </c>
      <c r="W590" s="971" t="e">
        <f t="shared" si="12"/>
        <v>#DIV/0!</v>
      </c>
      <c r="Y590" s="967">
        <v>44635</v>
      </c>
      <c r="Z590" s="974">
        <f ca="1">H540*Valuation_Senario!$L$372</f>
        <v>5068.40870464</v>
      </c>
      <c r="AA590" s="973">
        <v>19.059999999999999</v>
      </c>
      <c r="AM590" s="967">
        <v>44557</v>
      </c>
      <c r="AN590" s="974">
        <v>134900</v>
      </c>
      <c r="AO590" s="976">
        <v>0.48999999922867998</v>
      </c>
    </row>
    <row r="591" spans="1:41">
      <c r="A591" s="966">
        <v>584</v>
      </c>
      <c r="B591" s="967">
        <v>44679</v>
      </c>
      <c r="C591" s="966">
        <v>145000</v>
      </c>
      <c r="D591" s="966">
        <v>0</v>
      </c>
      <c r="E591" s="966">
        <v>0.20039999999999999</v>
      </c>
      <c r="F591" s="966">
        <v>110807.07</v>
      </c>
      <c r="G591" s="966">
        <v>106143.547425</v>
      </c>
      <c r="H591" s="974">
        <v>6877.63</v>
      </c>
      <c r="I591" s="966">
        <v>22.17</v>
      </c>
      <c r="J591" s="973">
        <v>0.71228987535999999</v>
      </c>
      <c r="M591" s="969">
        <v>92213.706690000006</v>
      </c>
      <c r="Q591" s="967">
        <v>44554</v>
      </c>
      <c r="R591" s="966">
        <v>134600</v>
      </c>
      <c r="S591" s="966">
        <v>0.48999999922867998</v>
      </c>
      <c r="T591" s="969">
        <v>-0.20039999999999999</v>
      </c>
      <c r="U591" s="966">
        <v>6071.14</v>
      </c>
      <c r="W591" s="971" t="e">
        <f t="shared" si="12"/>
        <v>#DIV/0!</v>
      </c>
      <c r="Y591" s="967">
        <v>44634</v>
      </c>
      <c r="Z591" s="974">
        <f ca="1">H541*Valuation_Senario!$L$372</f>
        <v>5068.5996040499995</v>
      </c>
      <c r="AA591" s="973">
        <v>19.100000000000001</v>
      </c>
      <c r="AM591" s="967">
        <v>44554</v>
      </c>
      <c r="AN591" s="974">
        <v>134600</v>
      </c>
      <c r="AO591" s="976">
        <v>0.48999999922867998</v>
      </c>
    </row>
    <row r="592" spans="1:41">
      <c r="A592" s="966">
        <v>585</v>
      </c>
      <c r="B592" s="967">
        <v>44678</v>
      </c>
      <c r="C592" s="966">
        <v>147200</v>
      </c>
      <c r="D592" s="966">
        <v>144.19999999999999</v>
      </c>
      <c r="E592" s="966">
        <v>144.19999999999999</v>
      </c>
      <c r="F592" s="966">
        <v>110094.24</v>
      </c>
      <c r="G592" s="966">
        <v>107754.001248</v>
      </c>
      <c r="H592" s="974">
        <v>6878.15</v>
      </c>
      <c r="I592" s="966">
        <v>22.01</v>
      </c>
      <c r="J592" s="973">
        <v>0.71223656711000005</v>
      </c>
      <c r="M592" s="969">
        <v>92652.819579000003</v>
      </c>
      <c r="Q592" s="967">
        <v>44553</v>
      </c>
      <c r="R592" s="966">
        <v>133600</v>
      </c>
      <c r="S592" s="966">
        <v>0.48999999922867998</v>
      </c>
      <c r="T592" s="969">
        <v>0</v>
      </c>
      <c r="U592" s="966">
        <v>6071.14</v>
      </c>
      <c r="W592" s="971" t="e">
        <f t="shared" si="12"/>
        <v>#DIV/0!</v>
      </c>
      <c r="Y592" s="967">
        <v>44631</v>
      </c>
      <c r="Z592" s="974">
        <f ca="1">H542*Valuation_Senario!$L$372</f>
        <v>5069.1723022799997</v>
      </c>
      <c r="AA592" s="973">
        <v>19.29</v>
      </c>
      <c r="AM592" s="967">
        <v>44553</v>
      </c>
      <c r="AN592" s="974">
        <v>133600</v>
      </c>
      <c r="AO592" s="976">
        <v>0.48999999922867998</v>
      </c>
    </row>
    <row r="593" spans="1:41">
      <c r="A593" s="966">
        <v>586</v>
      </c>
      <c r="B593" s="967">
        <v>44677</v>
      </c>
      <c r="C593" s="966">
        <v>148800</v>
      </c>
      <c r="D593" s="966">
        <v>0</v>
      </c>
      <c r="E593" s="966">
        <v>0</v>
      </c>
      <c r="F593" s="966">
        <v>110949.64</v>
      </c>
      <c r="G593" s="966">
        <v>108925.24039200001</v>
      </c>
      <c r="H593" s="974">
        <v>6878.66</v>
      </c>
      <c r="I593" s="966">
        <v>22.2</v>
      </c>
      <c r="J593" s="973">
        <v>0.71218325886</v>
      </c>
      <c r="M593" s="969">
        <v>94409.271135000003</v>
      </c>
      <c r="Q593" s="967">
        <v>44552</v>
      </c>
      <c r="R593" s="966">
        <v>134800</v>
      </c>
      <c r="S593" s="966">
        <v>0.48999989965857998</v>
      </c>
      <c r="T593" s="969">
        <v>0</v>
      </c>
      <c r="U593" s="966">
        <v>6071.14</v>
      </c>
      <c r="W593" s="971" t="e">
        <f t="shared" si="12"/>
        <v>#DIV/0!</v>
      </c>
      <c r="Y593" s="967">
        <v>44630</v>
      </c>
      <c r="Z593" s="974">
        <f ca="1">H543*Valuation_Senario!$L$372</f>
        <v>5069.3485171199991</v>
      </c>
      <c r="AA593" s="973">
        <v>19.36</v>
      </c>
      <c r="AM593" s="967">
        <v>44552</v>
      </c>
      <c r="AN593" s="974">
        <v>134800</v>
      </c>
      <c r="AO593" s="976">
        <v>0.48999989965857998</v>
      </c>
    </row>
    <row r="594" spans="1:41">
      <c r="A594" s="966">
        <v>587</v>
      </c>
      <c r="B594" s="967">
        <v>44676</v>
      </c>
      <c r="C594" s="966">
        <v>144900</v>
      </c>
      <c r="D594" s="966">
        <v>6.9015500000000003</v>
      </c>
      <c r="E594" s="966">
        <v>6.9015500000000003</v>
      </c>
      <c r="F594" s="966">
        <v>109666.54</v>
      </c>
      <c r="G594" s="966">
        <v>106070.3449785</v>
      </c>
      <c r="H594" s="974">
        <v>6879.18</v>
      </c>
      <c r="I594" s="966">
        <v>21.91</v>
      </c>
      <c r="J594" s="973">
        <v>0.71212995061000006</v>
      </c>
      <c r="M594" s="969">
        <v>93823.787282999998</v>
      </c>
      <c r="Q594" s="967">
        <v>44551</v>
      </c>
      <c r="R594" s="966">
        <v>133000</v>
      </c>
      <c r="S594" s="966">
        <v>0.48999989965857998</v>
      </c>
      <c r="T594" s="969">
        <v>0</v>
      </c>
      <c r="U594" s="966">
        <v>6071.14</v>
      </c>
      <c r="W594" s="971" t="e">
        <f t="shared" si="12"/>
        <v>#DIV/0!</v>
      </c>
      <c r="Y594" s="967">
        <v>44629</v>
      </c>
      <c r="Z594" s="974">
        <f ca="1">H544*Valuation_Senario!$L$372</f>
        <v>5069.5394165299995</v>
      </c>
      <c r="AA594" s="973">
        <v>19.41</v>
      </c>
      <c r="AM594" s="967">
        <v>44551</v>
      </c>
      <c r="AN594" s="974">
        <v>133000</v>
      </c>
      <c r="AO594" s="976">
        <v>0.48999989965857998</v>
      </c>
    </row>
    <row r="595" spans="1:41">
      <c r="A595" s="966">
        <v>588</v>
      </c>
      <c r="B595" s="967">
        <v>44673</v>
      </c>
      <c r="C595" s="966">
        <v>155800</v>
      </c>
      <c r="D595" s="966">
        <v>32.722859999999997</v>
      </c>
      <c r="E595" s="966">
        <v>32.722859999999997</v>
      </c>
      <c r="F595" s="966">
        <v>109666.54</v>
      </c>
      <c r="G595" s="966">
        <v>114049.411647</v>
      </c>
      <c r="H595" s="974">
        <v>6880.72</v>
      </c>
      <c r="I595" s="966">
        <v>21.91</v>
      </c>
      <c r="J595" s="973">
        <v>0.71197002586000002</v>
      </c>
      <c r="M595" s="969">
        <v>89579.029355999999</v>
      </c>
      <c r="Q595" s="967">
        <v>44550</v>
      </c>
      <c r="R595" s="966">
        <v>133000</v>
      </c>
      <c r="S595" s="966">
        <v>0.48999989965857998</v>
      </c>
      <c r="T595" s="969">
        <v>0</v>
      </c>
      <c r="U595" s="966">
        <v>6071.14</v>
      </c>
      <c r="W595" s="971" t="e">
        <f t="shared" si="12"/>
        <v>#DIV/0!</v>
      </c>
      <c r="Y595" s="967">
        <v>44628</v>
      </c>
      <c r="Z595" s="974">
        <f ca="1">H545*Valuation_Senario!$L$372</f>
        <v>5069.7303159399999</v>
      </c>
      <c r="AA595" s="973">
        <v>19.46</v>
      </c>
      <c r="AM595" s="967">
        <v>44550</v>
      </c>
      <c r="AN595" s="974">
        <v>133000</v>
      </c>
      <c r="AO595" s="976">
        <v>0.48999989965857998</v>
      </c>
    </row>
    <row r="596" spans="1:41">
      <c r="A596" s="966">
        <v>589</v>
      </c>
      <c r="B596" s="967">
        <v>44672</v>
      </c>
      <c r="C596" s="966">
        <v>155500</v>
      </c>
      <c r="D596" s="966">
        <v>16.67643</v>
      </c>
      <c r="E596" s="966">
        <v>16.67643</v>
      </c>
      <c r="F596" s="966">
        <v>110735.79</v>
      </c>
      <c r="G596" s="966">
        <v>113829.8043075</v>
      </c>
      <c r="H596" s="974">
        <v>6881.24</v>
      </c>
      <c r="I596" s="966">
        <v>22.15</v>
      </c>
      <c r="J596" s="973">
        <v>0.71191671760999997</v>
      </c>
      <c r="M596" s="969">
        <v>87822.577799999999</v>
      </c>
      <c r="Q596" s="967">
        <v>44547</v>
      </c>
      <c r="R596" s="966">
        <v>134500</v>
      </c>
      <c r="S596" s="966">
        <v>0.48999989965857998</v>
      </c>
      <c r="T596" s="969">
        <v>0</v>
      </c>
      <c r="U596" s="966">
        <v>6071.14</v>
      </c>
      <c r="W596" s="971" t="e">
        <f t="shared" si="12"/>
        <v>#DIV/0!</v>
      </c>
      <c r="Y596" s="967">
        <v>44627</v>
      </c>
      <c r="Z596" s="974">
        <f ca="1">H546*Valuation_Senario!$L$372</f>
        <v>5069.9212153500002</v>
      </c>
      <c r="AA596" s="973">
        <v>19.46</v>
      </c>
      <c r="AM596" s="967">
        <v>44547</v>
      </c>
      <c r="AN596" s="974">
        <v>134500</v>
      </c>
      <c r="AO596" s="976">
        <v>0.48999989965857998</v>
      </c>
    </row>
    <row r="597" spans="1:41">
      <c r="A597" s="966">
        <v>590</v>
      </c>
      <c r="B597" s="967">
        <v>44671</v>
      </c>
      <c r="C597" s="966">
        <v>156000</v>
      </c>
      <c r="D597" s="966">
        <v>28.527480000000001</v>
      </c>
      <c r="E597" s="966">
        <v>28.527480000000001</v>
      </c>
      <c r="F597" s="966">
        <v>110094.24</v>
      </c>
      <c r="G597" s="966">
        <v>114195.81654</v>
      </c>
      <c r="H597" s="974">
        <v>6881.75</v>
      </c>
      <c r="I597" s="966">
        <v>22.01</v>
      </c>
      <c r="J597" s="973">
        <v>0.71186340936000003</v>
      </c>
      <c r="M597" s="969">
        <v>89286.287429999997</v>
      </c>
      <c r="Q597" s="967">
        <v>44546</v>
      </c>
      <c r="R597" s="966">
        <v>133600</v>
      </c>
      <c r="S597" s="966">
        <v>0.48999989965857998</v>
      </c>
      <c r="T597" s="969">
        <v>0</v>
      </c>
      <c r="U597" s="966">
        <v>6071.14</v>
      </c>
      <c r="W597" s="971" t="e">
        <f t="shared" si="12"/>
        <v>#DIV/0!</v>
      </c>
      <c r="Y597" s="967">
        <v>44624</v>
      </c>
      <c r="Z597" s="974">
        <f ca="1">H547*Valuation_Senario!$L$372</f>
        <v>5070.4792290099995</v>
      </c>
      <c r="AA597" s="973">
        <v>19.7</v>
      </c>
      <c r="AM597" s="967">
        <v>44546</v>
      </c>
      <c r="AN597" s="974">
        <v>133600</v>
      </c>
      <c r="AO597" s="976">
        <v>0.48999989965857998</v>
      </c>
    </row>
    <row r="598" spans="1:41">
      <c r="A598" s="966">
        <v>591</v>
      </c>
      <c r="B598" s="967">
        <v>44670</v>
      </c>
      <c r="C598" s="966">
        <v>156000</v>
      </c>
      <c r="D598" s="966">
        <v>144.80000000000001</v>
      </c>
      <c r="E598" s="966">
        <v>144.80000000000001</v>
      </c>
      <c r="F598" s="966">
        <v>111733.75</v>
      </c>
      <c r="G598" s="966">
        <v>114195.81654</v>
      </c>
      <c r="H598" s="974">
        <v>6882.27</v>
      </c>
      <c r="I598" s="966">
        <v>22.38</v>
      </c>
      <c r="J598" s="973">
        <v>0.71181010110999998</v>
      </c>
      <c r="M598" s="969">
        <v>90018.142244999995</v>
      </c>
      <c r="Q598" s="967">
        <v>44545</v>
      </c>
      <c r="R598" s="966">
        <v>135900</v>
      </c>
      <c r="S598" s="966">
        <v>0.48999989965857998</v>
      </c>
      <c r="T598" s="969">
        <v>0</v>
      </c>
      <c r="U598" s="966">
        <v>6071.14</v>
      </c>
      <c r="W598" s="971" t="e">
        <f t="shared" si="12"/>
        <v>#DIV/0!</v>
      </c>
      <c r="Y598" s="967">
        <v>44623</v>
      </c>
      <c r="Z598" s="974">
        <f ca="1">H548*Valuation_Senario!$L$372</f>
        <v>5070.6701284199999</v>
      </c>
      <c r="AA598" s="973">
        <v>19.8</v>
      </c>
      <c r="AM598" s="967">
        <v>44545</v>
      </c>
      <c r="AN598" s="974">
        <v>135900</v>
      </c>
      <c r="AO598" s="976">
        <v>0.48999989965857998</v>
      </c>
    </row>
    <row r="599" spans="1:41">
      <c r="A599" s="966">
        <v>592</v>
      </c>
      <c r="B599" s="967">
        <v>44669</v>
      </c>
      <c r="C599" s="966">
        <v>160200</v>
      </c>
      <c r="D599" s="966">
        <v>39.682499999999997</v>
      </c>
      <c r="E599" s="966">
        <v>39.682499999999997</v>
      </c>
      <c r="F599" s="966">
        <v>111377.34</v>
      </c>
      <c r="G599" s="966">
        <v>117270.31929299999</v>
      </c>
      <c r="H599" s="974">
        <v>6870.15</v>
      </c>
      <c r="I599" s="966">
        <v>22.3</v>
      </c>
      <c r="J599" s="973">
        <v>0.71306549500000005</v>
      </c>
      <c r="M599" s="969">
        <v>91628.222838000002</v>
      </c>
      <c r="Q599" s="967">
        <v>44544</v>
      </c>
      <c r="R599" s="966">
        <v>135400</v>
      </c>
      <c r="S599" s="966">
        <v>0.48999989965857998</v>
      </c>
      <c r="T599" s="969">
        <v>0</v>
      </c>
      <c r="U599" s="966">
        <v>6071.14</v>
      </c>
      <c r="W599" s="971" t="e">
        <f t="shared" si="12"/>
        <v>#DIV/0!</v>
      </c>
      <c r="Y599" s="967">
        <v>44622</v>
      </c>
      <c r="Z599" s="974">
        <f ca="1">H549*Valuation_Senario!$L$372</f>
        <v>5070.8610278299993</v>
      </c>
      <c r="AA599" s="973">
        <v>19.510000000000002</v>
      </c>
      <c r="AM599" s="967">
        <v>44544</v>
      </c>
      <c r="AN599" s="974">
        <v>135400</v>
      </c>
      <c r="AO599" s="976">
        <v>0.48999989965857998</v>
      </c>
    </row>
    <row r="600" spans="1:41">
      <c r="A600" s="966">
        <v>593</v>
      </c>
      <c r="B600" s="967">
        <v>44666</v>
      </c>
      <c r="C600" s="966">
        <v>160200</v>
      </c>
      <c r="D600" s="966">
        <v>31.547999999999998</v>
      </c>
      <c r="E600" s="966">
        <v>31.547999999999998</v>
      </c>
      <c r="F600" s="966">
        <v>111020.92</v>
      </c>
      <c r="G600" s="966">
        <v>117270.31929299999</v>
      </c>
      <c r="H600" s="974">
        <v>6884.33</v>
      </c>
      <c r="I600" s="966">
        <v>22.22</v>
      </c>
      <c r="J600" s="973">
        <v>0.71159686811</v>
      </c>
      <c r="M600" s="969">
        <v>93091.932467999999</v>
      </c>
      <c r="Q600" s="967">
        <v>44543</v>
      </c>
      <c r="R600" s="966">
        <v>134900</v>
      </c>
      <c r="S600" s="966">
        <v>0.48999989965857998</v>
      </c>
      <c r="T600" s="969">
        <v>0</v>
      </c>
      <c r="U600" s="966">
        <v>6071.14</v>
      </c>
      <c r="W600" s="971" t="e">
        <f t="shared" si="12"/>
        <v>#DIV/0!</v>
      </c>
      <c r="Y600" s="967">
        <v>44621</v>
      </c>
      <c r="Z600" s="974">
        <f ca="1">H550*Valuation_Senario!$L$372</f>
        <v>5071.0519272399997</v>
      </c>
      <c r="AA600" s="973">
        <v>19.73</v>
      </c>
      <c r="AM600" s="967">
        <v>44543</v>
      </c>
      <c r="AN600" s="974">
        <v>134900</v>
      </c>
      <c r="AO600" s="976">
        <v>0.48999989965857998</v>
      </c>
    </row>
    <row r="601" spans="1:41">
      <c r="A601" s="966">
        <v>594</v>
      </c>
      <c r="B601" s="967">
        <v>44665</v>
      </c>
      <c r="C601" s="966">
        <v>159500</v>
      </c>
      <c r="D601" s="966">
        <v>4.3133299999999997</v>
      </c>
      <c r="E601" s="966">
        <v>4.3133299999999997</v>
      </c>
      <c r="F601" s="966">
        <v>110450.65</v>
      </c>
      <c r="G601" s="966">
        <v>116757.9021675</v>
      </c>
      <c r="H601" s="974">
        <v>6884.85</v>
      </c>
      <c r="I601" s="966">
        <v>22.09</v>
      </c>
      <c r="J601" s="973">
        <v>0.71154355986000006</v>
      </c>
      <c r="M601" s="969">
        <v>94262.900171999994</v>
      </c>
      <c r="Q601" s="967">
        <v>44540</v>
      </c>
      <c r="R601" s="966">
        <v>134100</v>
      </c>
      <c r="S601" s="966">
        <v>0.48999989965857998</v>
      </c>
      <c r="T601" s="969">
        <v>0</v>
      </c>
      <c r="U601" s="966">
        <v>6071.14</v>
      </c>
      <c r="W601" s="971" t="e">
        <f t="shared" si="12"/>
        <v>#DIV/0!</v>
      </c>
      <c r="Y601" s="967">
        <v>44620</v>
      </c>
      <c r="Z601" s="974">
        <f ca="1">H551*Valuation_Senario!$L$372</f>
        <v>5071.2428266499992</v>
      </c>
      <c r="AA601" s="973">
        <v>19.73</v>
      </c>
      <c r="AM601" s="967">
        <v>44540</v>
      </c>
      <c r="AN601" s="974">
        <v>134100</v>
      </c>
      <c r="AO601" s="976">
        <v>0.48999989965857998</v>
      </c>
    </row>
    <row r="602" spans="1:41">
      <c r="A602" s="966">
        <v>595</v>
      </c>
      <c r="B602" s="967">
        <v>44664</v>
      </c>
      <c r="C602" s="966">
        <v>156200</v>
      </c>
      <c r="D602" s="966">
        <v>10.74929</v>
      </c>
      <c r="E602" s="966">
        <v>9.8521599999999996</v>
      </c>
      <c r="F602" s="966">
        <v>110379.37</v>
      </c>
      <c r="G602" s="966">
        <v>114342.221433</v>
      </c>
      <c r="H602" s="974">
        <v>6885.36</v>
      </c>
      <c r="I602" s="966">
        <v>22.07</v>
      </c>
      <c r="J602" s="973">
        <v>0.71149025161000001</v>
      </c>
      <c r="M602" s="969">
        <v>94409.271135000003</v>
      </c>
      <c r="Q602" s="967">
        <v>44539</v>
      </c>
      <c r="R602" s="966">
        <v>134000</v>
      </c>
      <c r="S602" s="966">
        <v>0.48999050360724</v>
      </c>
      <c r="T602" s="969">
        <v>0.89713000000000065</v>
      </c>
      <c r="U602" s="966">
        <v>6071.14</v>
      </c>
      <c r="W602" s="971" t="e">
        <f t="shared" si="12"/>
        <v>#DIV/0!</v>
      </c>
      <c r="Y602" s="967">
        <v>44617</v>
      </c>
      <c r="Z602" s="974">
        <f ca="1">H552*Valuation_Senario!$L$372</f>
        <v>5071.8008403099993</v>
      </c>
      <c r="AA602" s="973">
        <v>19.96</v>
      </c>
      <c r="AM602" s="967">
        <v>44539</v>
      </c>
      <c r="AN602" s="974">
        <v>134000</v>
      </c>
      <c r="AO602" s="976">
        <v>0.48999050360724</v>
      </c>
    </row>
    <row r="603" spans="1:41">
      <c r="A603" s="966">
        <v>596</v>
      </c>
      <c r="B603" s="967">
        <v>44663</v>
      </c>
      <c r="C603" s="966">
        <v>152700</v>
      </c>
      <c r="D603" s="966">
        <v>0</v>
      </c>
      <c r="E603" s="966">
        <v>0</v>
      </c>
      <c r="F603" s="966">
        <v>110308.09</v>
      </c>
      <c r="G603" s="966">
        <v>111780.1358055</v>
      </c>
      <c r="H603" s="974">
        <v>6885.88</v>
      </c>
      <c r="I603" s="966">
        <v>22.06</v>
      </c>
      <c r="J603" s="973">
        <v>0.71143694335999996</v>
      </c>
      <c r="M603" s="969">
        <v>95141.125950000001</v>
      </c>
      <c r="Q603" s="967">
        <v>44538</v>
      </c>
      <c r="R603" s="966">
        <v>133900</v>
      </c>
      <c r="S603" s="966">
        <v>0.48999999922867998</v>
      </c>
      <c r="T603" s="969">
        <v>0</v>
      </c>
      <c r="U603" s="966">
        <v>6071.14</v>
      </c>
      <c r="W603" s="971" t="e">
        <f t="shared" si="12"/>
        <v>#DIV/0!</v>
      </c>
      <c r="Y603" s="967">
        <v>44616</v>
      </c>
      <c r="Z603" s="974">
        <f ca="1">H553*Valuation_Senario!$L$372</f>
        <v>5071.9917397199997</v>
      </c>
      <c r="AA603" s="973">
        <v>19.84</v>
      </c>
      <c r="AM603" s="967">
        <v>44538</v>
      </c>
      <c r="AN603" s="974">
        <v>133900</v>
      </c>
      <c r="AO603" s="976">
        <v>0.48999999922867998</v>
      </c>
    </row>
    <row r="604" spans="1:41">
      <c r="A604" s="966">
        <v>597</v>
      </c>
      <c r="B604" s="967">
        <v>44659</v>
      </c>
      <c r="C604" s="966">
        <v>150000</v>
      </c>
      <c r="D604" s="966">
        <v>9.2308500000000002</v>
      </c>
      <c r="E604" s="966">
        <v>9.2308500000000002</v>
      </c>
      <c r="F604" s="966">
        <v>110022.95</v>
      </c>
      <c r="G604" s="966">
        <v>109803.66975</v>
      </c>
      <c r="H604" s="974">
        <v>6887.94</v>
      </c>
      <c r="I604" s="966">
        <v>21.99</v>
      </c>
      <c r="J604" s="973">
        <v>0.71122371035999998</v>
      </c>
      <c r="M604" s="969">
        <v>93677.416320000004</v>
      </c>
      <c r="Q604" s="967">
        <v>44537</v>
      </c>
      <c r="R604" s="966">
        <v>133500</v>
      </c>
      <c r="S604" s="966">
        <v>0.48999999922867998</v>
      </c>
      <c r="T604" s="969">
        <v>0</v>
      </c>
      <c r="U604" s="966">
        <v>6071.14</v>
      </c>
      <c r="W604" s="971" t="e">
        <f t="shared" si="12"/>
        <v>#DIV/0!</v>
      </c>
      <c r="Y604" s="967">
        <v>44615</v>
      </c>
      <c r="Z604" s="974">
        <f ca="1">H554*Valuation_Senario!$L$372</f>
        <v>5072.1826391300001</v>
      </c>
      <c r="AA604" s="973">
        <v>19.989999999999998</v>
      </c>
      <c r="AM604" s="967">
        <v>44537</v>
      </c>
      <c r="AN604" s="974">
        <v>133500</v>
      </c>
      <c r="AO604" s="976">
        <v>0.48999999922867998</v>
      </c>
    </row>
    <row r="605" spans="1:41">
      <c r="A605" s="966">
        <v>598</v>
      </c>
      <c r="B605" s="967">
        <v>44658</v>
      </c>
      <c r="C605" s="966">
        <v>155000</v>
      </c>
      <c r="D605" s="966">
        <v>2.8559999999999999</v>
      </c>
      <c r="E605" s="966">
        <v>7.8005199999999997</v>
      </c>
      <c r="F605" s="966">
        <v>108526</v>
      </c>
      <c r="G605" s="966">
        <v>113463.792075</v>
      </c>
      <c r="H605" s="974">
        <v>6888.46</v>
      </c>
      <c r="I605" s="966">
        <v>21.64</v>
      </c>
      <c r="J605" s="973">
        <v>0.71117040211000004</v>
      </c>
      <c r="M605" s="969">
        <v>93677.416320000004</v>
      </c>
      <c r="Q605" s="967">
        <v>44536</v>
      </c>
      <c r="R605" s="966">
        <v>131400</v>
      </c>
      <c r="S605" s="966">
        <v>0.48999999922867998</v>
      </c>
      <c r="T605" s="969">
        <v>-4.9445199999999998</v>
      </c>
      <c r="U605" s="966">
        <v>6071.14</v>
      </c>
      <c r="W605" s="971" t="e">
        <f t="shared" si="12"/>
        <v>#DIV/0!</v>
      </c>
      <c r="Y605" s="967">
        <v>44614</v>
      </c>
      <c r="Z605" s="974">
        <f ca="1">H555*Valuation_Senario!$L$372</f>
        <v>5072.3735385399996</v>
      </c>
      <c r="AA605" s="973">
        <v>19.97</v>
      </c>
      <c r="AM605" s="967">
        <v>44536</v>
      </c>
      <c r="AN605" s="974">
        <v>131400</v>
      </c>
      <c r="AO605" s="976">
        <v>0.48999999922867998</v>
      </c>
    </row>
    <row r="606" spans="1:41">
      <c r="A606" s="966">
        <v>599</v>
      </c>
      <c r="B606" s="967">
        <v>44657</v>
      </c>
      <c r="C606" s="966">
        <v>158800</v>
      </c>
      <c r="D606" s="966">
        <v>9.3906500000000008</v>
      </c>
      <c r="E606" s="966">
        <v>9.3906500000000008</v>
      </c>
      <c r="F606" s="966">
        <v>110022.95</v>
      </c>
      <c r="G606" s="966">
        <v>116245.485042</v>
      </c>
      <c r="H606" s="974">
        <v>6888.98</v>
      </c>
      <c r="I606" s="966">
        <v>21.99</v>
      </c>
      <c r="J606" s="973">
        <v>0.71111709385999999</v>
      </c>
      <c r="M606" s="969">
        <v>95872.980765</v>
      </c>
      <c r="Q606" s="967">
        <v>44533</v>
      </c>
      <c r="R606" s="966">
        <v>133500</v>
      </c>
      <c r="S606" s="966">
        <v>0.48999999922867998</v>
      </c>
      <c r="T606" s="969">
        <v>0</v>
      </c>
      <c r="U606" s="966">
        <v>6071.14</v>
      </c>
      <c r="W606" s="971" t="e">
        <f t="shared" si="12"/>
        <v>#DIV/0!</v>
      </c>
      <c r="Y606" s="967">
        <v>44613</v>
      </c>
      <c r="Z606" s="974">
        <f ca="1">H556*Valuation_Senario!$L$372</f>
        <v>5072.56443795</v>
      </c>
      <c r="AA606" s="973">
        <v>19.420000000000002</v>
      </c>
      <c r="AM606" s="967">
        <v>44533</v>
      </c>
      <c r="AN606" s="974">
        <v>133500</v>
      </c>
      <c r="AO606" s="976">
        <v>0.48999999922867998</v>
      </c>
    </row>
    <row r="607" spans="1:41">
      <c r="A607" s="966">
        <v>600</v>
      </c>
      <c r="B607" s="967">
        <v>44656</v>
      </c>
      <c r="C607" s="966">
        <v>155200</v>
      </c>
      <c r="D607" s="966">
        <v>7.0585000000000004</v>
      </c>
      <c r="E607" s="966">
        <v>7.0585000000000004</v>
      </c>
      <c r="F607" s="966">
        <v>112517.87</v>
      </c>
      <c r="G607" s="966">
        <v>113610.196968</v>
      </c>
      <c r="H607" s="974">
        <v>6889.49</v>
      </c>
      <c r="I607" s="966">
        <v>22.57</v>
      </c>
      <c r="J607" s="973">
        <v>0.71106378561000005</v>
      </c>
      <c r="M607" s="969">
        <v>99239.512914000006</v>
      </c>
      <c r="Q607" s="967">
        <v>44532</v>
      </c>
      <c r="R607" s="966">
        <v>137000</v>
      </c>
      <c r="S607" s="966">
        <v>0.48999999922867998</v>
      </c>
      <c r="T607" s="969">
        <v>0</v>
      </c>
      <c r="U607" s="966">
        <v>6071.14</v>
      </c>
      <c r="W607" s="971" t="e">
        <f t="shared" si="12"/>
        <v>#DIV/0!</v>
      </c>
      <c r="Y607" s="967">
        <v>44610</v>
      </c>
      <c r="Z607" s="974">
        <f ca="1">H557*Valuation_Senario!$L$372</f>
        <v>5073.1224516100001</v>
      </c>
      <c r="AA607" s="973">
        <v>19.440000000000001</v>
      </c>
      <c r="AM607" s="967">
        <v>44532</v>
      </c>
      <c r="AN607" s="974">
        <v>137000</v>
      </c>
      <c r="AO607" s="976">
        <v>0.48999999922867998</v>
      </c>
    </row>
    <row r="608" spans="1:41">
      <c r="A608" s="966">
        <v>601</v>
      </c>
      <c r="B608" s="967">
        <v>44655</v>
      </c>
      <c r="C608" s="966">
        <v>155000</v>
      </c>
      <c r="D608" s="966">
        <v>60.27216</v>
      </c>
      <c r="E608" s="966">
        <v>60.27216</v>
      </c>
      <c r="F608" s="966">
        <v>113872.25</v>
      </c>
      <c r="G608" s="966">
        <v>113463.792075</v>
      </c>
      <c r="H608" s="974">
        <v>6890.01</v>
      </c>
      <c r="I608" s="966">
        <v>22.88</v>
      </c>
      <c r="J608" s="973">
        <v>0.71101047736</v>
      </c>
      <c r="M608" s="969">
        <v>102898.786989</v>
      </c>
      <c r="Q608" s="967">
        <v>44531</v>
      </c>
      <c r="R608" s="966">
        <v>138900</v>
      </c>
      <c r="S608" s="966">
        <v>0.48999999922867998</v>
      </c>
      <c r="T608" s="969">
        <v>0</v>
      </c>
      <c r="U608" s="966">
        <v>6071.14</v>
      </c>
      <c r="W608" s="971" t="e">
        <f t="shared" si="12"/>
        <v>#DIV/0!</v>
      </c>
      <c r="Y608" s="967">
        <v>44609</v>
      </c>
      <c r="Z608" s="974">
        <f ca="1">H558*Valuation_Senario!$L$372</f>
        <v>5073.3133510199996</v>
      </c>
      <c r="AA608" s="973">
        <v>19.510000000000002</v>
      </c>
      <c r="AM608" s="967">
        <v>44531</v>
      </c>
      <c r="AN608" s="974">
        <v>138900</v>
      </c>
      <c r="AO608" s="976">
        <v>0.48999999922867998</v>
      </c>
    </row>
    <row r="609" spans="1:41">
      <c r="A609" s="966">
        <v>602</v>
      </c>
      <c r="B609" s="967">
        <v>44652</v>
      </c>
      <c r="C609" s="966">
        <v>156000</v>
      </c>
      <c r="D609" s="966">
        <v>0</v>
      </c>
      <c r="E609" s="966">
        <v>0</v>
      </c>
      <c r="F609" s="966">
        <v>113872.25</v>
      </c>
      <c r="G609" s="966">
        <v>114195.81654</v>
      </c>
      <c r="H609" s="974">
        <v>6891.56</v>
      </c>
      <c r="I609" s="966">
        <v>22.88</v>
      </c>
      <c r="J609" s="973">
        <v>0.71085055260999996</v>
      </c>
      <c r="M609" s="969">
        <v>104655.238545</v>
      </c>
      <c r="Q609" s="967">
        <v>44530</v>
      </c>
      <c r="R609" s="966">
        <v>138900</v>
      </c>
      <c r="S609" s="966">
        <v>0.48999999922867998</v>
      </c>
      <c r="T609" s="969">
        <v>0</v>
      </c>
      <c r="U609" s="966">
        <v>6071.14</v>
      </c>
      <c r="W609" s="971" t="e">
        <f t="shared" si="12"/>
        <v>#DIV/0!</v>
      </c>
      <c r="Y609" s="967">
        <v>44608</v>
      </c>
      <c r="Z609" s="974">
        <f ca="1">H559*Valuation_Senario!$L$372</f>
        <v>10253.001727119999</v>
      </c>
      <c r="AA609" s="973">
        <v>19.28</v>
      </c>
      <c r="AM609" s="967">
        <v>44530</v>
      </c>
      <c r="AN609" s="974">
        <v>138900</v>
      </c>
      <c r="AO609" s="976">
        <v>0.48999999922867998</v>
      </c>
    </row>
    <row r="610" spans="1:41">
      <c r="A610" s="966">
        <v>603</v>
      </c>
      <c r="B610" s="967">
        <v>44651</v>
      </c>
      <c r="C610" s="966">
        <v>145800</v>
      </c>
      <c r="D610" s="966">
        <v>0</v>
      </c>
      <c r="E610" s="966">
        <v>0</v>
      </c>
      <c r="F610" s="966">
        <v>112874.29</v>
      </c>
      <c r="G610" s="966">
        <v>106729.16699699999</v>
      </c>
      <c r="H610" s="974">
        <v>6892.08</v>
      </c>
      <c r="I610" s="966">
        <v>22.65</v>
      </c>
      <c r="J610" s="973">
        <v>0.71079724436000002</v>
      </c>
      <c r="M610" s="969">
        <v>106850.80299</v>
      </c>
      <c r="Q610" s="967">
        <v>44529</v>
      </c>
      <c r="R610" s="966">
        <v>137500</v>
      </c>
      <c r="S610" s="966">
        <v>0.48999999922867998</v>
      </c>
      <c r="T610" s="969">
        <v>0</v>
      </c>
      <c r="U610" s="966">
        <v>6071.14</v>
      </c>
      <c r="W610" s="971" t="e">
        <f t="shared" si="12"/>
        <v>#DIV/0!</v>
      </c>
      <c r="Y610" s="967">
        <v>44607</v>
      </c>
      <c r="Z610" s="974">
        <f ca="1">H560*Valuation_Senario!$L$372</f>
        <v>10253.765324759999</v>
      </c>
      <c r="AA610" s="973">
        <v>19.329999999999998</v>
      </c>
      <c r="AM610" s="967">
        <v>44529</v>
      </c>
      <c r="AN610" s="974">
        <v>137500</v>
      </c>
      <c r="AO610" s="976">
        <v>0.48999999922867998</v>
      </c>
    </row>
    <row r="611" spans="1:41">
      <c r="A611" s="966">
        <v>604</v>
      </c>
      <c r="B611" s="967">
        <v>44650</v>
      </c>
      <c r="C611" s="966">
        <v>144400</v>
      </c>
      <c r="D611" s="966">
        <v>757.58595000000003</v>
      </c>
      <c r="E611" s="966">
        <v>757.58595000000003</v>
      </c>
      <c r="F611" s="966">
        <v>115735.85</v>
      </c>
      <c r="G611" s="966">
        <v>105704.332746</v>
      </c>
      <c r="H611" s="974">
        <v>6892.59</v>
      </c>
      <c r="I611" s="966">
        <v>23.31</v>
      </c>
      <c r="J611" s="973">
        <v>0.71074393610999997</v>
      </c>
      <c r="M611" s="969">
        <v>106558.06106399999</v>
      </c>
      <c r="Q611" s="967">
        <v>44526</v>
      </c>
      <c r="R611" s="966">
        <v>141500</v>
      </c>
      <c r="S611" s="966">
        <v>0.48999999922867998</v>
      </c>
      <c r="T611" s="969">
        <v>0</v>
      </c>
      <c r="U611" s="966">
        <v>6070.51</v>
      </c>
      <c r="W611" s="971" t="e">
        <f t="shared" si="12"/>
        <v>#DIV/0!</v>
      </c>
      <c r="Y611" s="967">
        <v>44606</v>
      </c>
      <c r="Z611" s="974">
        <f ca="1">H561*Valuation_Senario!$L$372</f>
        <v>10254.543606969999</v>
      </c>
      <c r="AA611" s="973">
        <v>19.149999999999999</v>
      </c>
      <c r="AM611" s="967">
        <v>44526</v>
      </c>
      <c r="AN611" s="974">
        <v>141500</v>
      </c>
      <c r="AO611" s="976">
        <v>0.48999999922867998</v>
      </c>
    </row>
    <row r="612" spans="1:41">
      <c r="A612" s="966">
        <v>605</v>
      </c>
      <c r="B612" s="967">
        <v>44649</v>
      </c>
      <c r="C612" s="966">
        <v>146500</v>
      </c>
      <c r="D612" s="966">
        <v>14.0448</v>
      </c>
      <c r="E612" s="966">
        <v>14.0448</v>
      </c>
      <c r="F612" s="966">
        <v>118231.02</v>
      </c>
      <c r="G612" s="966">
        <v>107241.5841225</v>
      </c>
      <c r="H612" s="974">
        <v>6893.11</v>
      </c>
      <c r="I612" s="966">
        <v>23.89</v>
      </c>
      <c r="J612" s="973">
        <v>0.71069062786000003</v>
      </c>
      <c r="M612" s="969">
        <v>104655.238545</v>
      </c>
      <c r="Q612" s="967">
        <v>44525</v>
      </c>
      <c r="R612" s="966">
        <v>145000</v>
      </c>
      <c r="S612" s="966">
        <v>0.48999999922867998</v>
      </c>
      <c r="T612" s="969">
        <v>0</v>
      </c>
      <c r="U612" s="966">
        <v>6070.51</v>
      </c>
      <c r="W612" s="971" t="e">
        <f t="shared" si="12"/>
        <v>#DIV/0!</v>
      </c>
      <c r="Y612" s="967">
        <v>44603</v>
      </c>
      <c r="Z612" s="974">
        <f ca="1">H562*Valuation_Senario!$L$372</f>
        <v>10256.863769029998</v>
      </c>
      <c r="AA612" s="973">
        <v>19.62</v>
      </c>
      <c r="AM612" s="967">
        <v>44525</v>
      </c>
      <c r="AN612" s="974">
        <v>145000</v>
      </c>
      <c r="AO612" s="976">
        <v>0.48999999922867998</v>
      </c>
    </row>
    <row r="613" spans="1:41">
      <c r="A613" s="966">
        <v>606</v>
      </c>
      <c r="B613" s="967">
        <v>44648</v>
      </c>
      <c r="C613" s="966">
        <v>144000</v>
      </c>
      <c r="D613" s="966">
        <v>74.052000000000007</v>
      </c>
      <c r="E613" s="966">
        <v>75.045060000000007</v>
      </c>
      <c r="F613" s="966">
        <v>117518.11</v>
      </c>
      <c r="G613" s="966">
        <v>102648.02327999999</v>
      </c>
      <c r="H613" s="974">
        <v>6894.66</v>
      </c>
      <c r="I613" s="966">
        <v>23.72</v>
      </c>
      <c r="J613" s="973">
        <v>0.71053070310999999</v>
      </c>
      <c r="M613" s="969">
        <v>105240.72239700001</v>
      </c>
      <c r="Q613" s="967">
        <v>44524</v>
      </c>
      <c r="R613" s="966">
        <v>144000</v>
      </c>
      <c r="S613" s="966">
        <v>0.48999999922867998</v>
      </c>
      <c r="T613" s="969">
        <v>-0.99305999999999983</v>
      </c>
      <c r="U613" s="966">
        <v>6070.51</v>
      </c>
      <c r="W613" s="971" t="e">
        <f t="shared" si="12"/>
        <v>#DIV/0!</v>
      </c>
      <c r="Y613" s="967">
        <v>44602</v>
      </c>
      <c r="Z613" s="974">
        <f ca="1">H563*Valuation_Senario!$L$372</f>
        <v>10257.62736667</v>
      </c>
      <c r="AA613" s="973">
        <v>19.77</v>
      </c>
      <c r="AM613" s="967">
        <v>44524</v>
      </c>
      <c r="AN613" s="974">
        <v>144000</v>
      </c>
      <c r="AO613" s="976">
        <v>0.48999999922867998</v>
      </c>
    </row>
    <row r="614" spans="1:41">
      <c r="A614" s="966">
        <v>607</v>
      </c>
      <c r="B614" s="967">
        <v>44645</v>
      </c>
      <c r="C614" s="966">
        <v>138900</v>
      </c>
      <c r="D614" s="966">
        <v>0</v>
      </c>
      <c r="E614" s="966">
        <v>0</v>
      </c>
      <c r="F614" s="966">
        <v>116805.21</v>
      </c>
      <c r="G614" s="966">
        <v>99012.572455500005</v>
      </c>
      <c r="H614" s="974">
        <v>6894.66</v>
      </c>
      <c r="I614" s="966">
        <v>23.56</v>
      </c>
      <c r="J614" s="973">
        <v>0.71053070310999999</v>
      </c>
      <c r="M614" s="969">
        <v>106118.948175</v>
      </c>
      <c r="Q614" s="967">
        <v>44523</v>
      </c>
      <c r="R614" s="966">
        <v>143000</v>
      </c>
      <c r="S614" s="966">
        <v>0.48999999922867998</v>
      </c>
      <c r="T614" s="969">
        <v>0</v>
      </c>
      <c r="U614" s="966">
        <v>6070.51</v>
      </c>
      <c r="W614" s="971" t="e">
        <f t="shared" si="12"/>
        <v>#DIV/0!</v>
      </c>
      <c r="Y614" s="967">
        <v>44601</v>
      </c>
      <c r="Z614" s="974">
        <f ca="1">H564*Valuation_Senario!$L$372</f>
        <v>10258.40564888</v>
      </c>
      <c r="AA614" s="973">
        <v>19.87</v>
      </c>
      <c r="AM614" s="967">
        <v>44523</v>
      </c>
      <c r="AN614" s="974">
        <v>143000</v>
      </c>
      <c r="AO614" s="976">
        <v>0.48999999922867998</v>
      </c>
    </row>
    <row r="615" spans="1:41">
      <c r="A615" s="966">
        <v>608</v>
      </c>
      <c r="B615" s="967">
        <v>44644</v>
      </c>
      <c r="C615" s="966">
        <v>134000</v>
      </c>
      <c r="D615" s="966">
        <v>7.4349999999999996</v>
      </c>
      <c r="E615" s="966">
        <v>7.4349999999999996</v>
      </c>
      <c r="F615" s="966">
        <v>113668.42</v>
      </c>
      <c r="G615" s="966">
        <v>95519.688330000004</v>
      </c>
      <c r="H615" s="974">
        <v>6894.66</v>
      </c>
      <c r="I615" s="966">
        <v>22.83</v>
      </c>
      <c r="J615" s="973">
        <v>0.71053070310999999</v>
      </c>
      <c r="M615" s="969">
        <v>102166.932174</v>
      </c>
      <c r="Q615" s="967">
        <v>44522</v>
      </c>
      <c r="R615" s="966">
        <v>138600</v>
      </c>
      <c r="S615" s="966">
        <v>0.48999999922867998</v>
      </c>
      <c r="T615" s="969">
        <v>0</v>
      </c>
      <c r="U615" s="966">
        <v>6070.51</v>
      </c>
      <c r="W615" s="971" t="e">
        <f t="shared" si="12"/>
        <v>#DIV/0!</v>
      </c>
      <c r="Y615" s="967">
        <v>44600</v>
      </c>
      <c r="Z615" s="974">
        <f ca="1">H565*Valuation_Senario!$L$372</f>
        <v>10259.169246519999</v>
      </c>
      <c r="AA615" s="973">
        <v>19.77</v>
      </c>
      <c r="AM615" s="967">
        <v>44522</v>
      </c>
      <c r="AN615" s="974">
        <v>138600</v>
      </c>
      <c r="AO615" s="976">
        <v>0.48999999922867998</v>
      </c>
    </row>
    <row r="616" spans="1:41">
      <c r="A616" s="966">
        <v>609</v>
      </c>
      <c r="B616" s="967">
        <v>44643</v>
      </c>
      <c r="C616" s="966">
        <v>135000</v>
      </c>
      <c r="D616" s="966">
        <v>0</v>
      </c>
      <c r="E616" s="966">
        <v>0</v>
      </c>
      <c r="F616" s="966">
        <v>113953.58</v>
      </c>
      <c r="G616" s="966">
        <v>96232.521825000003</v>
      </c>
      <c r="H616" s="974">
        <v>6894.66</v>
      </c>
      <c r="I616" s="966">
        <v>22.9</v>
      </c>
      <c r="J616" s="973">
        <v>0.71053070310999999</v>
      </c>
      <c r="M616" s="969">
        <v>107582.657805</v>
      </c>
      <c r="Q616" s="967">
        <v>44519</v>
      </c>
      <c r="R616" s="966">
        <v>139000</v>
      </c>
      <c r="S616" s="966">
        <v>0.48999999922867998</v>
      </c>
      <c r="T616" s="969">
        <v>0</v>
      </c>
      <c r="U616" s="966">
        <v>6070.51</v>
      </c>
      <c r="W616" s="971" t="e">
        <f t="shared" si="12"/>
        <v>#DIV/0!</v>
      </c>
      <c r="Y616" s="967">
        <v>44599</v>
      </c>
      <c r="Z616" s="974">
        <f ca="1">H566*Valuation_Senario!$L$372</f>
        <v>10259.947528729999</v>
      </c>
      <c r="AA616" s="973">
        <v>19.420000000000002</v>
      </c>
      <c r="AM616" s="967">
        <v>44519</v>
      </c>
      <c r="AN616" s="974">
        <v>139000</v>
      </c>
      <c r="AO616" s="976">
        <v>0.48999999922867998</v>
      </c>
    </row>
    <row r="617" spans="1:41">
      <c r="A617" s="966">
        <v>610</v>
      </c>
      <c r="B617" s="967">
        <v>44642</v>
      </c>
      <c r="C617" s="966">
        <v>135200</v>
      </c>
      <c r="D617" s="966">
        <v>459.97019499999999</v>
      </c>
      <c r="E617" s="966">
        <v>459.97019499999999</v>
      </c>
      <c r="F617" s="966">
        <v>113953.58</v>
      </c>
      <c r="G617" s="966">
        <v>96375.088524000006</v>
      </c>
      <c r="H617" s="974">
        <v>6894.66</v>
      </c>
      <c r="I617" s="966">
        <v>22.9</v>
      </c>
      <c r="J617" s="973">
        <v>0.71053070310999999</v>
      </c>
      <c r="M617" s="969">
        <v>108168.141657</v>
      </c>
      <c r="Q617" s="967">
        <v>44518</v>
      </c>
      <c r="R617" s="966">
        <v>139000</v>
      </c>
      <c r="S617" s="966">
        <v>0.48999999922867998</v>
      </c>
      <c r="T617" s="969">
        <v>0</v>
      </c>
      <c r="U617" s="966">
        <v>6070.51</v>
      </c>
      <c r="W617" s="971" t="e">
        <f t="shared" si="12"/>
        <v>#DIV/0!</v>
      </c>
      <c r="Y617" s="967">
        <v>44589</v>
      </c>
      <c r="Z617" s="974">
        <f ca="1">H567*Valuation_Senario!$L$372</f>
        <v>10262.26769079</v>
      </c>
      <c r="AA617" s="973">
        <v>19.22</v>
      </c>
      <c r="AM617" s="967">
        <v>44518</v>
      </c>
      <c r="AN617" s="974">
        <v>139000</v>
      </c>
      <c r="AO617" s="976">
        <v>0.48999999922867998</v>
      </c>
    </row>
    <row r="618" spans="1:41">
      <c r="A618" s="966">
        <v>611</v>
      </c>
      <c r="B618" s="967">
        <v>44641</v>
      </c>
      <c r="C618" s="966">
        <v>134900</v>
      </c>
      <c r="D618" s="966">
        <v>94.385249999999999</v>
      </c>
      <c r="E618" s="966">
        <v>94.385249999999999</v>
      </c>
      <c r="F618" s="966">
        <v>113169.39</v>
      </c>
      <c r="G618" s="966">
        <v>96161.238475499995</v>
      </c>
      <c r="H618" s="974">
        <v>6894.66</v>
      </c>
      <c r="I618" s="966">
        <v>22.72</v>
      </c>
      <c r="J618" s="973">
        <v>0.71053070310999999</v>
      </c>
      <c r="M618" s="969">
        <v>113730.238251</v>
      </c>
      <c r="Q618" s="967">
        <v>44517</v>
      </c>
      <c r="R618" s="966">
        <v>137900</v>
      </c>
      <c r="S618" s="966">
        <v>0.48999999922867998</v>
      </c>
      <c r="T618" s="969">
        <v>0</v>
      </c>
      <c r="U618" s="966">
        <v>6070.51</v>
      </c>
      <c r="W618" s="971" t="e">
        <f t="shared" si="12"/>
        <v>#DIV/0!</v>
      </c>
      <c r="Y618" s="967">
        <v>44588</v>
      </c>
      <c r="Z618" s="974">
        <f ca="1">H568*Valuation_Senario!$L$372</f>
        <v>10263.031288429998</v>
      </c>
      <c r="AA618" s="973">
        <v>21.66</v>
      </c>
      <c r="AM618" s="967">
        <v>44517</v>
      </c>
      <c r="AN618" s="974">
        <v>137900</v>
      </c>
      <c r="AO618" s="976">
        <v>0.48999999922867998</v>
      </c>
    </row>
    <row r="619" spans="1:41">
      <c r="A619" s="966">
        <v>612</v>
      </c>
      <c r="B619" s="967">
        <v>44638</v>
      </c>
      <c r="C619" s="966">
        <v>131600</v>
      </c>
      <c r="D619" s="966">
        <v>0</v>
      </c>
      <c r="E619" s="966">
        <v>0</v>
      </c>
      <c r="F619" s="966">
        <v>113169.39</v>
      </c>
      <c r="G619" s="966">
        <v>93808.887942000001</v>
      </c>
      <c r="H619" s="974">
        <v>6894.66</v>
      </c>
      <c r="I619" s="966">
        <v>22.72</v>
      </c>
      <c r="J619" s="973">
        <v>0.71053070310999999</v>
      </c>
      <c r="M619" s="969">
        <v>115633.06077</v>
      </c>
      <c r="Q619" s="967">
        <v>44516</v>
      </c>
      <c r="R619" s="966">
        <v>137900</v>
      </c>
      <c r="S619" s="966">
        <v>0.48999999922867998</v>
      </c>
      <c r="T619" s="969">
        <v>0</v>
      </c>
      <c r="U619" s="966">
        <v>6070.51</v>
      </c>
      <c r="W619" s="971" t="e">
        <f t="shared" si="12"/>
        <v>#DIV/0!</v>
      </c>
      <c r="Y619" s="967">
        <v>44587</v>
      </c>
      <c r="Z619" s="974">
        <f ca="1">H569*Valuation_Senario!$L$372</f>
        <v>10263.80957064</v>
      </c>
      <c r="AA619" s="973">
        <v>21.73</v>
      </c>
      <c r="AM619" s="967">
        <v>44516</v>
      </c>
      <c r="AN619" s="974">
        <v>137900</v>
      </c>
      <c r="AO619" s="976">
        <v>0.48999999922867998</v>
      </c>
    </row>
    <row r="620" spans="1:41">
      <c r="A620" s="966">
        <v>613</v>
      </c>
      <c r="B620" s="967">
        <v>44637</v>
      </c>
      <c r="C620" s="966">
        <v>130800</v>
      </c>
      <c r="D620" s="966">
        <v>0</v>
      </c>
      <c r="E620" s="966">
        <v>0</v>
      </c>
      <c r="F620" s="966">
        <v>114238.75</v>
      </c>
      <c r="G620" s="966">
        <v>93238.621146000005</v>
      </c>
      <c r="H620" s="974">
        <v>6894.66</v>
      </c>
      <c r="I620" s="966">
        <v>22.96</v>
      </c>
      <c r="J620" s="973">
        <v>0.71053070310999999</v>
      </c>
      <c r="M620" s="969">
        <v>108094.9561755</v>
      </c>
      <c r="Q620" s="967">
        <v>44515</v>
      </c>
      <c r="R620" s="966">
        <v>139400</v>
      </c>
      <c r="S620" s="966">
        <v>0.48999999922867998</v>
      </c>
      <c r="T620" s="969">
        <v>0</v>
      </c>
      <c r="U620" s="966">
        <v>6070.51</v>
      </c>
      <c r="W620" s="971" t="e">
        <f t="shared" si="12"/>
        <v>#DIV/0!</v>
      </c>
      <c r="Y620" s="967">
        <v>44586</v>
      </c>
      <c r="Z620" s="974">
        <f ca="1">H570*Valuation_Senario!$L$372</f>
        <v>10264.58785285</v>
      </c>
      <c r="AA620" s="973">
        <v>21.58</v>
      </c>
      <c r="AM620" s="967">
        <v>44515</v>
      </c>
      <c r="AN620" s="974">
        <v>139400</v>
      </c>
      <c r="AO620" s="976">
        <v>0.48999999922867998</v>
      </c>
    </row>
    <row r="621" spans="1:41">
      <c r="A621" s="966">
        <v>614</v>
      </c>
      <c r="B621" s="967">
        <v>44636</v>
      </c>
      <c r="C621" s="966">
        <v>131400</v>
      </c>
      <c r="D621" s="966">
        <v>0</v>
      </c>
      <c r="E621" s="966">
        <v>0</v>
      </c>
      <c r="F621" s="966">
        <v>111814.87</v>
      </c>
      <c r="G621" s="966">
        <v>93666.321242999999</v>
      </c>
      <c r="H621" s="974">
        <v>6894.66</v>
      </c>
      <c r="I621" s="966">
        <v>22.4</v>
      </c>
      <c r="J621" s="973">
        <v>0.71053070310999999</v>
      </c>
      <c r="M621" s="969">
        <v>105021.1659525</v>
      </c>
      <c r="Q621" s="967">
        <v>44512</v>
      </c>
      <c r="R621" s="966">
        <v>136000</v>
      </c>
      <c r="S621" s="966">
        <v>0.48999999922867998</v>
      </c>
      <c r="T621" s="969">
        <v>0</v>
      </c>
      <c r="U621" s="966">
        <v>6070.51</v>
      </c>
      <c r="W621" s="971" t="e">
        <f t="shared" si="12"/>
        <v>#DIV/0!</v>
      </c>
      <c r="Y621" s="967">
        <v>44585</v>
      </c>
      <c r="Z621" s="974">
        <f ca="1">H571*Valuation_Senario!$L$372</f>
        <v>10265.351450489999</v>
      </c>
      <c r="AA621" s="973">
        <v>21.4</v>
      </c>
      <c r="AM621" s="967">
        <v>44512</v>
      </c>
      <c r="AN621" s="974">
        <v>136000</v>
      </c>
      <c r="AO621" s="976">
        <v>0.48999999922867998</v>
      </c>
    </row>
    <row r="622" spans="1:41">
      <c r="A622" s="966">
        <v>615</v>
      </c>
      <c r="B622" s="967">
        <v>44635</v>
      </c>
      <c r="C622" s="966">
        <v>131400</v>
      </c>
      <c r="D622" s="966">
        <v>0</v>
      </c>
      <c r="E622" s="966">
        <v>0</v>
      </c>
      <c r="F622" s="966">
        <v>111101.96</v>
      </c>
      <c r="G622" s="966">
        <v>93666.321242999999</v>
      </c>
      <c r="H622" s="974">
        <v>6894.66</v>
      </c>
      <c r="I622" s="966">
        <v>22.24</v>
      </c>
      <c r="J622" s="973">
        <v>0.71053070310999999</v>
      </c>
      <c r="M622" s="969">
        <v>102459.6741</v>
      </c>
      <c r="Q622" s="967">
        <v>44511</v>
      </c>
      <c r="R622" s="966">
        <v>135000</v>
      </c>
      <c r="S622" s="966">
        <v>0.48999999922867998</v>
      </c>
      <c r="T622" s="969">
        <v>0</v>
      </c>
      <c r="U622" s="966">
        <v>6070.51</v>
      </c>
      <c r="W622" s="971" t="e">
        <f t="shared" si="12"/>
        <v>#DIV/0!</v>
      </c>
      <c r="Y622" s="967">
        <v>44582</v>
      </c>
      <c r="Z622" s="974">
        <f ca="1">H572*Valuation_Senario!$L$372</f>
        <v>10267.686297119999</v>
      </c>
      <c r="AA622" s="973">
        <v>21.94</v>
      </c>
      <c r="AM622" s="967">
        <v>44511</v>
      </c>
      <c r="AN622" s="974">
        <v>135000</v>
      </c>
      <c r="AO622" s="976">
        <v>0.48999999922867998</v>
      </c>
    </row>
    <row r="623" spans="1:41">
      <c r="A623" s="966">
        <v>616</v>
      </c>
      <c r="B623" s="967">
        <v>44634</v>
      </c>
      <c r="C623" s="966">
        <v>131700</v>
      </c>
      <c r="D623" s="966">
        <v>0</v>
      </c>
      <c r="E623" s="966">
        <v>0</v>
      </c>
      <c r="F623" s="966">
        <v>108606.79</v>
      </c>
      <c r="G623" s="966">
        <v>93880.171291499995</v>
      </c>
      <c r="H623" s="974">
        <v>6894.66</v>
      </c>
      <c r="I623" s="966">
        <v>21.66</v>
      </c>
      <c r="J623" s="973">
        <v>0.71053070310999999</v>
      </c>
      <c r="M623" s="969">
        <v>109778.22225000001</v>
      </c>
      <c r="Q623" s="967">
        <v>44510</v>
      </c>
      <c r="R623" s="966">
        <v>131500</v>
      </c>
      <c r="S623" s="966">
        <v>0.48999999922867998</v>
      </c>
      <c r="T623" s="969">
        <v>0</v>
      </c>
      <c r="U623" s="966">
        <v>6070.51</v>
      </c>
      <c r="W623" s="971" t="e">
        <f t="shared" si="12"/>
        <v>#DIV/0!</v>
      </c>
      <c r="Y623" s="967">
        <v>44581</v>
      </c>
      <c r="Z623" s="974">
        <f ca="1">H573*Valuation_Senario!$L$372</f>
        <v>10268.44989476</v>
      </c>
      <c r="AA623" s="973">
        <v>22.07</v>
      </c>
      <c r="AM623" s="967">
        <v>44510</v>
      </c>
      <c r="AN623" s="974">
        <v>131500</v>
      </c>
      <c r="AO623" s="976">
        <v>0.48999999922867998</v>
      </c>
    </row>
    <row r="624" spans="1:41">
      <c r="A624" s="966">
        <v>617</v>
      </c>
      <c r="B624" s="967">
        <v>44631</v>
      </c>
      <c r="C624" s="966">
        <v>133000</v>
      </c>
      <c r="D624" s="966">
        <v>31.2576</v>
      </c>
      <c r="E624" s="966">
        <v>31.2576</v>
      </c>
      <c r="F624" s="966">
        <v>107537.43</v>
      </c>
      <c r="G624" s="966">
        <v>94806.854835000006</v>
      </c>
      <c r="H624" s="974">
        <v>6894.66</v>
      </c>
      <c r="I624" s="966">
        <v>21.41</v>
      </c>
      <c r="J624" s="973">
        <v>0.71053070310999999</v>
      </c>
      <c r="M624" s="969">
        <v>111827.41573199999</v>
      </c>
      <c r="Q624" s="967">
        <v>44509</v>
      </c>
      <c r="R624" s="966">
        <v>130000</v>
      </c>
      <c r="S624" s="966">
        <v>0.48999999922867998</v>
      </c>
      <c r="T624" s="969">
        <v>0</v>
      </c>
      <c r="U624" s="966">
        <v>6070.51</v>
      </c>
      <c r="W624" s="971" t="e">
        <f t="shared" si="12"/>
        <v>#DIV/0!</v>
      </c>
      <c r="Y624" s="967">
        <v>44580</v>
      </c>
      <c r="Z624" s="974">
        <f ca="1">H574*Valuation_Senario!$L$372</f>
        <v>10269.228176969998</v>
      </c>
      <c r="AA624" s="973">
        <v>21.99</v>
      </c>
      <c r="AM624" s="967">
        <v>44509</v>
      </c>
      <c r="AN624" s="974">
        <v>130000</v>
      </c>
      <c r="AO624" s="976">
        <v>0.48999999922867998</v>
      </c>
    </row>
    <row r="625" spans="1:41">
      <c r="A625" s="966">
        <v>618</v>
      </c>
      <c r="B625" s="967">
        <v>44630</v>
      </c>
      <c r="C625" s="966">
        <v>133500</v>
      </c>
      <c r="D625" s="966">
        <v>0</v>
      </c>
      <c r="E625" s="966">
        <v>0</v>
      </c>
      <c r="F625" s="966">
        <v>108678.08</v>
      </c>
      <c r="G625" s="966">
        <v>95163.271582500005</v>
      </c>
      <c r="H625" s="974">
        <v>6894.66</v>
      </c>
      <c r="I625" s="966">
        <v>21.68</v>
      </c>
      <c r="J625" s="973">
        <v>0.71053070310999999</v>
      </c>
      <c r="M625" s="969">
        <v>112266.528621</v>
      </c>
      <c r="Q625" s="967">
        <v>44508</v>
      </c>
      <c r="R625" s="966">
        <v>131600</v>
      </c>
      <c r="S625" s="966">
        <v>0.48999999922867998</v>
      </c>
      <c r="T625" s="969">
        <v>0</v>
      </c>
      <c r="U625" s="966">
        <v>6070.51</v>
      </c>
      <c r="W625" s="971" t="e">
        <f t="shared" si="12"/>
        <v>#DIV/0!</v>
      </c>
      <c r="Y625" s="967">
        <v>44579</v>
      </c>
      <c r="Z625" s="974">
        <f ca="1">H575*Valuation_Senario!$L$372</f>
        <v>10267.56882056</v>
      </c>
      <c r="AA625" s="973">
        <v>21.43</v>
      </c>
      <c r="AM625" s="967">
        <v>44508</v>
      </c>
      <c r="AN625" s="974">
        <v>131600</v>
      </c>
      <c r="AO625" s="976">
        <v>0.48999999922867998</v>
      </c>
    </row>
    <row r="626" spans="1:41">
      <c r="A626" s="966">
        <v>619</v>
      </c>
      <c r="B626" s="967">
        <v>44629</v>
      </c>
      <c r="C626" s="966">
        <v>133800</v>
      </c>
      <c r="D626" s="966">
        <v>0</v>
      </c>
      <c r="E626" s="966">
        <v>0</v>
      </c>
      <c r="F626" s="966">
        <v>108963.24</v>
      </c>
      <c r="G626" s="966">
        <v>95377.121631000002</v>
      </c>
      <c r="H626" s="974">
        <v>6894.66</v>
      </c>
      <c r="I626" s="966">
        <v>21.74</v>
      </c>
      <c r="J626" s="973">
        <v>0.71053070310999999</v>
      </c>
      <c r="M626" s="969">
        <v>111973.786695</v>
      </c>
      <c r="Q626" s="967">
        <v>44505</v>
      </c>
      <c r="R626" s="966">
        <v>132000</v>
      </c>
      <c r="S626" s="966">
        <v>0.48999999922867998</v>
      </c>
      <c r="T626" s="969">
        <v>0</v>
      </c>
      <c r="U626" s="966">
        <v>6070.51</v>
      </c>
      <c r="W626" s="971" t="e">
        <f t="shared" si="12"/>
        <v>#DIV/0!</v>
      </c>
      <c r="Y626" s="967">
        <v>44578</v>
      </c>
      <c r="Z626" s="974">
        <f ca="1">H576*Valuation_Senario!$L$372</f>
        <v>10268.347102769998</v>
      </c>
      <c r="AA626" s="973">
        <v>21.41</v>
      </c>
      <c r="AM626" s="967">
        <v>44505</v>
      </c>
      <c r="AN626" s="974">
        <v>132000</v>
      </c>
      <c r="AO626" s="976">
        <v>0.48999999922867998</v>
      </c>
    </row>
    <row r="627" spans="1:41">
      <c r="A627" s="966">
        <v>620</v>
      </c>
      <c r="B627" s="967">
        <v>44628</v>
      </c>
      <c r="C627" s="966">
        <v>134200</v>
      </c>
      <c r="D627" s="966">
        <v>0</v>
      </c>
      <c r="E627" s="966">
        <v>0</v>
      </c>
      <c r="F627" s="966">
        <v>107466.14</v>
      </c>
      <c r="G627" s="966">
        <v>95662.255029000007</v>
      </c>
      <c r="H627" s="974">
        <v>6894.66</v>
      </c>
      <c r="I627" s="966">
        <v>21.4</v>
      </c>
      <c r="J627" s="973">
        <v>0.71053070310999999</v>
      </c>
      <c r="M627" s="969">
        <v>113217.93988049999</v>
      </c>
      <c r="Q627" s="967">
        <v>44504</v>
      </c>
      <c r="R627" s="966">
        <v>129900</v>
      </c>
      <c r="S627" s="966">
        <v>0.48999999922867998</v>
      </c>
      <c r="T627" s="969">
        <v>0</v>
      </c>
      <c r="U627" s="966">
        <v>6070.51</v>
      </c>
      <c r="W627" s="971" t="e">
        <f t="shared" si="12"/>
        <v>#DIV/0!</v>
      </c>
      <c r="Y627" s="967">
        <v>44575</v>
      </c>
      <c r="Z627" s="974">
        <f ca="1">H577*Valuation_Senario!$L$372</f>
        <v>10270.667264829999</v>
      </c>
      <c r="AA627" s="973">
        <v>22.07</v>
      </c>
      <c r="AM627" s="967">
        <v>44504</v>
      </c>
      <c r="AN627" s="974">
        <v>129900</v>
      </c>
      <c r="AO627" s="976">
        <v>0.48999999922867998</v>
      </c>
    </row>
    <row r="628" spans="1:41">
      <c r="A628" s="966">
        <v>621</v>
      </c>
      <c r="B628" s="967">
        <v>44627</v>
      </c>
      <c r="C628" s="966">
        <v>134200</v>
      </c>
      <c r="D628" s="966">
        <v>22.725919999999999</v>
      </c>
      <c r="E628" s="966">
        <v>22.725919999999999</v>
      </c>
      <c r="F628" s="966">
        <v>106681.94</v>
      </c>
      <c r="G628" s="966">
        <v>95662.255029000007</v>
      </c>
      <c r="H628" s="974">
        <v>6894.66</v>
      </c>
      <c r="I628" s="966">
        <v>21.22</v>
      </c>
      <c r="J628" s="973">
        <v>0.71053070310999999</v>
      </c>
      <c r="M628" s="969">
        <v>112120.157658</v>
      </c>
      <c r="Q628" s="967">
        <v>44503</v>
      </c>
      <c r="R628" s="966">
        <v>128800</v>
      </c>
      <c r="S628" s="966">
        <v>0.48999999922867998</v>
      </c>
      <c r="T628" s="969">
        <v>0</v>
      </c>
      <c r="U628" s="966">
        <v>6070.51</v>
      </c>
      <c r="W628" s="971" t="e">
        <f t="shared" si="12"/>
        <v>#DIV/0!</v>
      </c>
      <c r="Y628" s="967">
        <v>44574</v>
      </c>
      <c r="Z628" s="974">
        <f ca="1">H578*Valuation_Senario!$L$372</f>
        <v>10271.430862469999</v>
      </c>
      <c r="AA628" s="973">
        <v>22.32</v>
      </c>
      <c r="AM628" s="967">
        <v>44503</v>
      </c>
      <c r="AN628" s="974">
        <v>128800</v>
      </c>
      <c r="AO628" s="976">
        <v>0.48999999922867998</v>
      </c>
    </row>
    <row r="629" spans="1:41">
      <c r="A629" s="966">
        <v>622</v>
      </c>
      <c r="B629" s="967">
        <v>44624</v>
      </c>
      <c r="C629" s="966">
        <v>135800</v>
      </c>
      <c r="D629" s="966">
        <v>14.452489999999999</v>
      </c>
      <c r="E629" s="966">
        <v>14.452489999999999</v>
      </c>
      <c r="F629" s="966">
        <v>106753.24</v>
      </c>
      <c r="G629" s="966">
        <v>96802.788621</v>
      </c>
      <c r="H629" s="974">
        <v>6894.66</v>
      </c>
      <c r="I629" s="966">
        <v>21.23</v>
      </c>
      <c r="J629" s="973">
        <v>0.71053070310999999</v>
      </c>
      <c r="M629" s="969">
        <v>108094.9561755</v>
      </c>
      <c r="Q629" s="967">
        <v>44502</v>
      </c>
      <c r="R629" s="966">
        <v>128900</v>
      </c>
      <c r="S629" s="966">
        <v>0.48999999922867998</v>
      </c>
      <c r="T629" s="969">
        <v>0</v>
      </c>
      <c r="U629" s="966">
        <v>6070.51</v>
      </c>
      <c r="W629" s="971" t="e">
        <f t="shared" si="12"/>
        <v>#DIV/0!</v>
      </c>
      <c r="Y629" s="967">
        <v>44573</v>
      </c>
      <c r="Z629" s="974">
        <f ca="1">H579*Valuation_Senario!$L$372</f>
        <v>10272.209144679999</v>
      </c>
      <c r="AA629" s="973">
        <v>22.4</v>
      </c>
      <c r="AM629" s="967">
        <v>44502</v>
      </c>
      <c r="AN629" s="974">
        <v>128900</v>
      </c>
      <c r="AO629" s="976">
        <v>0.48999999922867998</v>
      </c>
    </row>
    <row r="630" spans="1:41">
      <c r="A630" s="966">
        <v>623</v>
      </c>
      <c r="B630" s="967">
        <v>44623</v>
      </c>
      <c r="C630" s="966">
        <v>136500</v>
      </c>
      <c r="D630" s="966">
        <v>11.28496</v>
      </c>
      <c r="E630" s="966">
        <v>11.28496</v>
      </c>
      <c r="F630" s="966">
        <v>107537.43</v>
      </c>
      <c r="G630" s="966">
        <v>97301.772067500002</v>
      </c>
      <c r="H630" s="974">
        <v>6894.66</v>
      </c>
      <c r="I630" s="966">
        <v>21.41</v>
      </c>
      <c r="J630" s="973">
        <v>0.71053070310999999</v>
      </c>
      <c r="M630" s="969">
        <v>106484.8755825</v>
      </c>
      <c r="Q630" s="967">
        <v>44501</v>
      </c>
      <c r="R630" s="966">
        <v>130000</v>
      </c>
      <c r="S630" s="966">
        <v>0.48999999922867998</v>
      </c>
      <c r="T630" s="969">
        <v>0</v>
      </c>
      <c r="U630" s="966">
        <v>6070.51</v>
      </c>
      <c r="W630" s="971" t="e">
        <f t="shared" si="12"/>
        <v>#DIV/0!</v>
      </c>
      <c r="Y630" s="967">
        <v>44572</v>
      </c>
      <c r="Z630" s="974">
        <f ca="1">H580*Valuation_Senario!$L$372</f>
        <v>10272.98742689</v>
      </c>
      <c r="AA630" s="973">
        <v>21.71</v>
      </c>
      <c r="AM630" s="967">
        <v>44501</v>
      </c>
      <c r="AN630" s="974">
        <v>130000</v>
      </c>
      <c r="AO630" s="976">
        <v>0.48999999922867998</v>
      </c>
    </row>
    <row r="631" spans="1:41">
      <c r="A631" s="966">
        <v>624</v>
      </c>
      <c r="B631" s="967">
        <v>44622</v>
      </c>
      <c r="C631" s="966">
        <v>134500</v>
      </c>
      <c r="D631" s="966">
        <v>21.716560000000001</v>
      </c>
      <c r="E631" s="966">
        <v>21.716560000000001</v>
      </c>
      <c r="F631" s="966">
        <v>108535.5</v>
      </c>
      <c r="G631" s="966">
        <v>95876.105077500004</v>
      </c>
      <c r="H631" s="974">
        <v>6894.66</v>
      </c>
      <c r="I631" s="966">
        <v>21.65</v>
      </c>
      <c r="J631" s="973">
        <v>0.71053070310999999</v>
      </c>
      <c r="M631" s="969">
        <v>106045.7626935</v>
      </c>
      <c r="Q631" s="967">
        <v>44498</v>
      </c>
      <c r="R631" s="966">
        <v>131400</v>
      </c>
      <c r="S631" s="966">
        <v>0.48999999922867998</v>
      </c>
      <c r="T631" s="969">
        <v>0</v>
      </c>
      <c r="U631" s="966">
        <v>6070.51</v>
      </c>
      <c r="W631" s="971" t="e">
        <f t="shared" si="12"/>
        <v>#DIV/0!</v>
      </c>
      <c r="Y631" s="967">
        <v>44571</v>
      </c>
      <c r="Z631" s="974">
        <f ca="1">H581*Valuation_Senario!$L$372</f>
        <v>10273.7657091</v>
      </c>
      <c r="AA631" s="973">
        <v>21.91</v>
      </c>
      <c r="AM631" s="967">
        <v>44498</v>
      </c>
      <c r="AN631" s="974">
        <v>131400</v>
      </c>
      <c r="AO631" s="976">
        <v>0.48999999922867998</v>
      </c>
    </row>
    <row r="632" spans="1:41">
      <c r="A632" s="966">
        <v>625</v>
      </c>
      <c r="B632" s="967">
        <v>44621</v>
      </c>
      <c r="C632" s="966">
        <v>136000</v>
      </c>
      <c r="D632" s="966">
        <v>0</v>
      </c>
      <c r="E632" s="966">
        <v>0</v>
      </c>
      <c r="F632" s="966">
        <v>110591.61</v>
      </c>
      <c r="G632" s="966">
        <v>96945.355320000002</v>
      </c>
      <c r="H632" s="974">
        <v>6894.66</v>
      </c>
      <c r="I632" s="966">
        <v>20.76</v>
      </c>
      <c r="J632" s="973">
        <v>0.71053070310999999</v>
      </c>
      <c r="M632" s="969">
        <v>106265.31913800001</v>
      </c>
      <c r="Q632" s="967">
        <v>44497</v>
      </c>
      <c r="R632" s="966">
        <v>132000</v>
      </c>
      <c r="S632" s="966">
        <v>0.48999999922867998</v>
      </c>
      <c r="T632" s="969">
        <v>0</v>
      </c>
      <c r="U632" s="966">
        <v>6357.15</v>
      </c>
      <c r="W632" s="971" t="e">
        <f t="shared" si="12"/>
        <v>#DIV/0!</v>
      </c>
      <c r="Y632" s="967">
        <v>44568</v>
      </c>
      <c r="Z632" s="974">
        <f ca="1">H582*Valuation_Senario!$L$372</f>
        <v>10276.085871159999</v>
      </c>
      <c r="AA632" s="973">
        <v>22.32</v>
      </c>
      <c r="AM632" s="967">
        <v>44497</v>
      </c>
      <c r="AN632" s="974">
        <v>132000</v>
      </c>
      <c r="AO632" s="976">
        <v>0.48999999922867998</v>
      </c>
    </row>
    <row r="633" spans="1:41">
      <c r="A633" s="966">
        <v>626</v>
      </c>
      <c r="B633" s="967">
        <v>44620</v>
      </c>
      <c r="C633" s="966">
        <v>136000</v>
      </c>
      <c r="D633" s="966">
        <v>0</v>
      </c>
      <c r="E633" s="966">
        <v>0</v>
      </c>
      <c r="F633" s="966">
        <v>110591.61</v>
      </c>
      <c r="G633" s="966">
        <v>96945.355320000002</v>
      </c>
      <c r="H633" s="974">
        <v>6894.66</v>
      </c>
      <c r="I633" s="966">
        <v>20.76</v>
      </c>
      <c r="J633" s="973">
        <v>0.71053070310999999</v>
      </c>
      <c r="M633" s="969">
        <v>107363.1013605</v>
      </c>
      <c r="Q633" s="967">
        <v>44496</v>
      </c>
      <c r="R633" s="966">
        <v>132000</v>
      </c>
      <c r="S633" s="966">
        <v>0.48999999922867998</v>
      </c>
      <c r="T633" s="969">
        <v>0</v>
      </c>
      <c r="U633" s="966">
        <v>6357.15</v>
      </c>
      <c r="W633" s="971" t="e">
        <f t="shared" si="12"/>
        <v>#DIV/0!</v>
      </c>
      <c r="Y633" s="967">
        <v>44567</v>
      </c>
      <c r="Z633" s="974">
        <f ca="1">H583*Valuation_Senario!$L$372</f>
        <v>10276.864153369999</v>
      </c>
      <c r="AA633" s="973">
        <v>22.65</v>
      </c>
      <c r="AM633" s="967">
        <v>44496</v>
      </c>
      <c r="AN633" s="974">
        <v>132000</v>
      </c>
      <c r="AO633" s="976">
        <v>0.48999999922867998</v>
      </c>
    </row>
    <row r="634" spans="1:41">
      <c r="A634" s="966">
        <v>627</v>
      </c>
      <c r="B634" s="967">
        <v>44617</v>
      </c>
      <c r="C634" s="966">
        <v>137600</v>
      </c>
      <c r="D634" s="966">
        <v>0</v>
      </c>
      <c r="E634" s="966">
        <v>0</v>
      </c>
      <c r="F634" s="966">
        <v>107739.98</v>
      </c>
      <c r="G634" s="966">
        <v>98085.888911999995</v>
      </c>
      <c r="H634" s="974">
        <v>6894.66</v>
      </c>
      <c r="I634" s="966">
        <v>20.13</v>
      </c>
      <c r="J634" s="973">
        <v>0.71053070310999999</v>
      </c>
      <c r="M634" s="969">
        <v>101727.81928500001</v>
      </c>
      <c r="Q634" s="967">
        <v>44495</v>
      </c>
      <c r="R634" s="966">
        <v>128000</v>
      </c>
      <c r="S634" s="966">
        <v>0.48999999922867998</v>
      </c>
      <c r="T634" s="969">
        <v>0</v>
      </c>
      <c r="U634" s="966">
        <v>6357.15</v>
      </c>
      <c r="W634" s="971" t="e">
        <f t="shared" si="12"/>
        <v>#DIV/0!</v>
      </c>
      <c r="Y634" s="967">
        <v>44566</v>
      </c>
      <c r="Z634" s="974">
        <f ca="1">H584*Valuation_Senario!$L$372</f>
        <v>10277.642435579999</v>
      </c>
      <c r="AA634" s="973">
        <v>22.58</v>
      </c>
      <c r="AM634" s="967">
        <v>44495</v>
      </c>
      <c r="AN634" s="974">
        <v>128000</v>
      </c>
      <c r="AO634" s="976">
        <v>0.48999999922867998</v>
      </c>
    </row>
    <row r="635" spans="1:41">
      <c r="A635" s="966">
        <v>628</v>
      </c>
      <c r="B635" s="967">
        <v>44616</v>
      </c>
      <c r="C635" s="966">
        <v>136800</v>
      </c>
      <c r="D635" s="966">
        <v>0</v>
      </c>
      <c r="E635" s="966">
        <v>0</v>
      </c>
      <c r="F635" s="966">
        <v>108025.15</v>
      </c>
      <c r="G635" s="966">
        <v>97515.622115999999</v>
      </c>
      <c r="H635" s="974">
        <v>6894.66</v>
      </c>
      <c r="I635" s="966">
        <v>20.2</v>
      </c>
      <c r="J635" s="973">
        <v>0.71053070310999999</v>
      </c>
      <c r="M635" s="969">
        <v>101727.81928500001</v>
      </c>
      <c r="Q635" s="967">
        <v>44494</v>
      </c>
      <c r="R635" s="966">
        <v>128400</v>
      </c>
      <c r="S635" s="966">
        <v>0.48999999922867998</v>
      </c>
      <c r="T635" s="969">
        <v>0</v>
      </c>
      <c r="U635" s="966">
        <v>6357.15</v>
      </c>
      <c r="W635" s="971" t="e">
        <f t="shared" si="12"/>
        <v>#DIV/0!</v>
      </c>
      <c r="Y635" s="967">
        <v>44565</v>
      </c>
      <c r="Z635" s="974">
        <f ca="1">H585*Valuation_Senario!$L$372</f>
        <v>10278.406033219999</v>
      </c>
      <c r="AA635" s="973">
        <v>22.7</v>
      </c>
      <c r="AM635" s="967">
        <v>44494</v>
      </c>
      <c r="AN635" s="974">
        <v>128400</v>
      </c>
      <c r="AO635" s="976">
        <v>0.48999999922867998</v>
      </c>
    </row>
    <row r="636" spans="1:41">
      <c r="A636" s="966">
        <v>629</v>
      </c>
      <c r="B636" s="967">
        <v>44615</v>
      </c>
      <c r="C636" s="966">
        <v>137800</v>
      </c>
      <c r="D636" s="966">
        <v>22.86872</v>
      </c>
      <c r="E636" s="966">
        <v>22.86872</v>
      </c>
      <c r="F636" s="966">
        <v>107454.82</v>
      </c>
      <c r="G636" s="966">
        <v>98228.455610999998</v>
      </c>
      <c r="H636" s="974">
        <v>6894.66</v>
      </c>
      <c r="I636" s="966">
        <v>20.07</v>
      </c>
      <c r="J636" s="973">
        <v>0.71053070310999999</v>
      </c>
      <c r="M636" s="969">
        <v>97359.253844999999</v>
      </c>
      <c r="Q636" s="967">
        <v>44491</v>
      </c>
      <c r="R636" s="966">
        <v>127600</v>
      </c>
      <c r="S636" s="966">
        <v>0.48999999922867998</v>
      </c>
      <c r="T636" s="969">
        <v>0</v>
      </c>
      <c r="U636" s="966">
        <v>6357.15</v>
      </c>
      <c r="W636" s="971" t="e">
        <f t="shared" si="12"/>
        <v>#DIV/0!</v>
      </c>
      <c r="Z636" s="974"/>
      <c r="AM636" s="967">
        <v>44491</v>
      </c>
      <c r="AN636" s="974">
        <v>127600</v>
      </c>
      <c r="AO636" s="976">
        <v>0.48999999922867998</v>
      </c>
    </row>
    <row r="637" spans="1:41">
      <c r="A637" s="966">
        <v>630</v>
      </c>
      <c r="B637" s="967">
        <v>44614</v>
      </c>
      <c r="C637" s="966">
        <v>137700</v>
      </c>
      <c r="D637" s="966">
        <v>0</v>
      </c>
      <c r="E637" s="966">
        <v>0</v>
      </c>
      <c r="F637" s="966">
        <v>107027.08</v>
      </c>
      <c r="G637" s="966">
        <v>98157.172261500004</v>
      </c>
      <c r="H637" s="974">
        <v>6894.66</v>
      </c>
      <c r="I637" s="966">
        <v>19.98</v>
      </c>
      <c r="J637" s="973">
        <v>0.71053070310999999</v>
      </c>
      <c r="M637" s="969">
        <v>95748.800021999996</v>
      </c>
      <c r="Q637" s="967">
        <v>44490</v>
      </c>
      <c r="R637" s="966">
        <v>127000</v>
      </c>
      <c r="S637" s="966">
        <v>0.48999999922867998</v>
      </c>
      <c r="T637" s="969">
        <v>0</v>
      </c>
      <c r="U637" s="966">
        <v>6357.15</v>
      </c>
      <c r="W637" s="971" t="e">
        <f t="shared" si="12"/>
        <v>#DIV/0!</v>
      </c>
      <c r="Z637" s="974"/>
      <c r="AM637" s="967">
        <v>44490</v>
      </c>
      <c r="AN637" s="974">
        <v>127000</v>
      </c>
      <c r="AO637" s="976">
        <v>0.48999999922867998</v>
      </c>
    </row>
    <row r="638" spans="1:41">
      <c r="A638" s="966">
        <v>631</v>
      </c>
      <c r="B638" s="967">
        <v>44613</v>
      </c>
      <c r="C638" s="966">
        <v>133900</v>
      </c>
      <c r="D638" s="966">
        <v>206.13177899999999</v>
      </c>
      <c r="E638" s="966">
        <v>206.27519899999999</v>
      </c>
      <c r="F638" s="966">
        <v>108595.47</v>
      </c>
      <c r="G638" s="966">
        <v>95448.404980499996</v>
      </c>
      <c r="H638" s="974">
        <v>6894.66</v>
      </c>
      <c r="I638" s="966">
        <v>20.32</v>
      </c>
      <c r="J638" s="973">
        <v>0.71053070310999999</v>
      </c>
      <c r="M638" s="969">
        <v>98091.278309999994</v>
      </c>
      <c r="Q638" s="967">
        <v>44489</v>
      </c>
      <c r="R638" s="966">
        <v>129200</v>
      </c>
      <c r="S638" s="966">
        <v>0.48999999922867998</v>
      </c>
      <c r="T638" s="969">
        <v>-0.14341999999999189</v>
      </c>
      <c r="U638" s="966">
        <v>6357.15</v>
      </c>
      <c r="W638" s="971" t="e">
        <f t="shared" si="12"/>
        <v>#DIV/0!</v>
      </c>
      <c r="Z638" s="974"/>
      <c r="AM638" s="967">
        <v>44489</v>
      </c>
      <c r="AN638" s="974">
        <v>129200</v>
      </c>
      <c r="AO638" s="976">
        <v>0.48999999922867998</v>
      </c>
    </row>
    <row r="639" spans="1:41">
      <c r="A639" s="966">
        <v>632</v>
      </c>
      <c r="B639" s="967">
        <v>44610</v>
      </c>
      <c r="C639" s="966">
        <v>134000</v>
      </c>
      <c r="D639" s="966">
        <v>33.524039999999999</v>
      </c>
      <c r="E639" s="966">
        <v>33.524039999999999</v>
      </c>
      <c r="F639" s="966">
        <v>108951.92</v>
      </c>
      <c r="G639" s="966">
        <v>95519.688330000004</v>
      </c>
      <c r="H639" s="974">
        <v>6894.66</v>
      </c>
      <c r="I639" s="966">
        <v>20.399999999999999</v>
      </c>
      <c r="J639" s="973">
        <v>0.71053070310999999</v>
      </c>
      <c r="M639" s="969">
        <v>97359.253844999999</v>
      </c>
      <c r="Q639" s="967">
        <v>44488</v>
      </c>
      <c r="R639" s="966">
        <v>129700</v>
      </c>
      <c r="S639" s="966">
        <v>0.48999999922867998</v>
      </c>
      <c r="T639" s="969">
        <v>0</v>
      </c>
      <c r="U639" s="966">
        <v>6357.15</v>
      </c>
      <c r="W639" s="971" t="e">
        <f t="shared" si="12"/>
        <v>#DIV/0!</v>
      </c>
      <c r="Z639" s="974"/>
      <c r="AM639" s="967">
        <v>44488</v>
      </c>
      <c r="AN639" s="974">
        <v>129700</v>
      </c>
      <c r="AO639" s="976">
        <v>0.48999999922867998</v>
      </c>
    </row>
    <row r="640" spans="1:41">
      <c r="A640" s="966">
        <v>633</v>
      </c>
      <c r="B640" s="967">
        <v>44609</v>
      </c>
      <c r="C640" s="966">
        <v>134500</v>
      </c>
      <c r="D640" s="966">
        <v>13.25376</v>
      </c>
      <c r="E640" s="966">
        <v>13.25376</v>
      </c>
      <c r="F640" s="966">
        <v>109664.83</v>
      </c>
      <c r="G640" s="966">
        <v>95876.105077500004</v>
      </c>
      <c r="H640" s="974">
        <v>6894.66</v>
      </c>
      <c r="I640" s="966">
        <v>20.56</v>
      </c>
      <c r="J640" s="973">
        <v>0.71053070310999999</v>
      </c>
      <c r="M640" s="969">
        <v>97725.266077499997</v>
      </c>
      <c r="Q640" s="967">
        <v>44487</v>
      </c>
      <c r="R640" s="966">
        <v>130700</v>
      </c>
      <c r="S640" s="966">
        <v>0.48999999922867998</v>
      </c>
      <c r="T640" s="969">
        <v>0</v>
      </c>
      <c r="U640" s="966">
        <v>6357.15</v>
      </c>
      <c r="W640" s="971" t="e">
        <f t="shared" si="12"/>
        <v>#DIV/0!</v>
      </c>
      <c r="Z640" s="974"/>
      <c r="AM640" s="967">
        <v>44487</v>
      </c>
      <c r="AN640" s="974">
        <v>130700</v>
      </c>
      <c r="AO640" s="976">
        <v>0.48999999922867998</v>
      </c>
    </row>
    <row r="641" spans="1:41">
      <c r="A641" s="966">
        <v>634</v>
      </c>
      <c r="B641" s="967">
        <v>44608</v>
      </c>
      <c r="C641" s="966">
        <v>132900</v>
      </c>
      <c r="D641" s="966">
        <v>9.9960000000000004</v>
      </c>
      <c r="E641" s="966">
        <v>9.9960000000000004</v>
      </c>
      <c r="F641" s="966">
        <v>110876.77</v>
      </c>
      <c r="G641" s="966">
        <v>94735.571485499997</v>
      </c>
      <c r="H641" s="974">
        <v>6894.66</v>
      </c>
      <c r="I641" s="966">
        <v>20.83</v>
      </c>
      <c r="J641" s="973">
        <v>0.71053070310999999</v>
      </c>
      <c r="M641" s="969">
        <v>96334.419594000006</v>
      </c>
      <c r="Q641" s="967">
        <v>44484</v>
      </c>
      <c r="R641" s="966">
        <v>132400</v>
      </c>
      <c r="S641" s="966">
        <v>0.48999999922867998</v>
      </c>
      <c r="T641" s="969">
        <v>0</v>
      </c>
      <c r="U641" s="966">
        <v>6357.15</v>
      </c>
      <c r="W641" s="971" t="e">
        <f t="shared" si="12"/>
        <v>#DIV/0!</v>
      </c>
      <c r="Y641" s="967">
        <v>44554</v>
      </c>
      <c r="Z641" s="974">
        <f ca="1">H591*Valuation_Senario!$L$372</f>
        <v>10099.50391691</v>
      </c>
      <c r="AA641" s="973">
        <v>22.17</v>
      </c>
      <c r="AM641" s="967">
        <v>44484</v>
      </c>
      <c r="AN641" s="974">
        <v>132400</v>
      </c>
      <c r="AO641" s="976">
        <v>0.48999999922867998</v>
      </c>
    </row>
    <row r="642" spans="1:41">
      <c r="A642" s="966">
        <v>635</v>
      </c>
      <c r="B642" s="967">
        <v>44607</v>
      </c>
      <c r="C642" s="966">
        <v>133300</v>
      </c>
      <c r="D642" s="966">
        <v>28.64</v>
      </c>
      <c r="E642" s="966">
        <v>28.64</v>
      </c>
      <c r="F642" s="966">
        <v>111660.96</v>
      </c>
      <c r="G642" s="966">
        <v>95020.704883500002</v>
      </c>
      <c r="H642" s="974">
        <v>6894.66</v>
      </c>
      <c r="I642" s="966">
        <v>21</v>
      </c>
      <c r="J642" s="973">
        <v>0.71053070310999999</v>
      </c>
      <c r="M642" s="969">
        <v>90039.009195000006</v>
      </c>
      <c r="Q642" s="967">
        <v>44483</v>
      </c>
      <c r="R642" s="966">
        <v>133500</v>
      </c>
      <c r="S642" s="966">
        <v>0.48999999922867998</v>
      </c>
      <c r="T642" s="969">
        <v>0</v>
      </c>
      <c r="U642" s="966">
        <v>6357.15</v>
      </c>
      <c r="W642" s="971" t="e">
        <f t="shared" si="12"/>
        <v>#DIV/0!</v>
      </c>
      <c r="Y642" s="967">
        <v>44553</v>
      </c>
      <c r="Z642" s="974">
        <f ca="1">H592*Valuation_Senario!$L$372</f>
        <v>10100.267514549998</v>
      </c>
      <c r="AA642" s="973">
        <v>22.01</v>
      </c>
      <c r="AM642" s="967">
        <v>44483</v>
      </c>
      <c r="AN642" s="974">
        <v>133500</v>
      </c>
      <c r="AO642" s="976">
        <v>0.48999999922867998</v>
      </c>
    </row>
    <row r="643" spans="1:41">
      <c r="A643" s="966">
        <v>636</v>
      </c>
      <c r="B643" s="967">
        <v>44606</v>
      </c>
      <c r="C643" s="966">
        <v>132000</v>
      </c>
      <c r="D643" s="966">
        <v>70.650000000000006</v>
      </c>
      <c r="E643" s="966">
        <v>70.650000000000006</v>
      </c>
      <c r="F643" s="966">
        <v>111946.13</v>
      </c>
      <c r="G643" s="966">
        <v>94094.021340000007</v>
      </c>
      <c r="H643" s="974">
        <v>6894.66</v>
      </c>
      <c r="I643" s="966">
        <v>21.06</v>
      </c>
      <c r="J643" s="973">
        <v>0.71053070310999999</v>
      </c>
      <c r="M643" s="969">
        <v>91576.260571499995</v>
      </c>
      <c r="Q643" s="967">
        <v>44482</v>
      </c>
      <c r="R643" s="966">
        <v>133900</v>
      </c>
      <c r="S643" s="966">
        <v>0.48999999922867998</v>
      </c>
      <c r="T643" s="969">
        <v>0</v>
      </c>
      <c r="U643" s="966">
        <v>6357.15</v>
      </c>
      <c r="W643" s="971" t="e">
        <f t="shared" si="12"/>
        <v>#DIV/0!</v>
      </c>
      <c r="Y643" s="967">
        <v>44552</v>
      </c>
      <c r="Z643" s="974">
        <f ca="1">H593*Valuation_Senario!$L$372</f>
        <v>10101.016427619999</v>
      </c>
      <c r="AA643" s="973">
        <v>22.2</v>
      </c>
      <c r="AM643" s="967">
        <v>44482</v>
      </c>
      <c r="AN643" s="974">
        <v>133900</v>
      </c>
      <c r="AO643" s="976">
        <v>0.48999999922867998</v>
      </c>
    </row>
    <row r="644" spans="1:41">
      <c r="A644" s="966">
        <v>637</v>
      </c>
      <c r="B644" s="967">
        <v>44603</v>
      </c>
      <c r="C644" s="966">
        <v>135300</v>
      </c>
      <c r="D644" s="966">
        <v>127.573735</v>
      </c>
      <c r="E644" s="966">
        <v>127.573735</v>
      </c>
      <c r="F644" s="966">
        <v>110662.9</v>
      </c>
      <c r="G644" s="966">
        <v>96446.3718735</v>
      </c>
      <c r="H644" s="974">
        <v>6894.66</v>
      </c>
      <c r="I644" s="966">
        <v>20.78</v>
      </c>
      <c r="J644" s="973">
        <v>0.71053070310999999</v>
      </c>
      <c r="M644" s="969">
        <v>98384.088096000007</v>
      </c>
      <c r="Q644" s="967">
        <v>44481</v>
      </c>
      <c r="R644" s="966">
        <v>132100</v>
      </c>
      <c r="S644" s="966">
        <v>0.48999999922867998</v>
      </c>
      <c r="T644" s="969">
        <v>0</v>
      </c>
      <c r="U644" s="966">
        <v>6357.15</v>
      </c>
      <c r="W644" s="971" t="e">
        <f t="shared" si="12"/>
        <v>#DIV/0!</v>
      </c>
      <c r="Y644" s="967">
        <v>44551</v>
      </c>
      <c r="Z644" s="974">
        <f ca="1">H594*Valuation_Senario!$L$372</f>
        <v>10101.780025259999</v>
      </c>
      <c r="AA644" s="973">
        <v>21.91</v>
      </c>
      <c r="AM644" s="967">
        <v>44481</v>
      </c>
      <c r="AN644" s="974">
        <v>132100</v>
      </c>
      <c r="AO644" s="976">
        <v>0.48999999922867998</v>
      </c>
    </row>
    <row r="645" spans="1:41">
      <c r="A645" s="966">
        <v>638</v>
      </c>
      <c r="B645" s="967">
        <v>44602</v>
      </c>
      <c r="C645" s="966">
        <v>136300</v>
      </c>
      <c r="D645" s="966">
        <v>55.12</v>
      </c>
      <c r="E645" s="966">
        <v>55.12</v>
      </c>
      <c r="F645" s="966">
        <v>108809.34</v>
      </c>
      <c r="G645" s="966">
        <v>97159.205368499999</v>
      </c>
      <c r="H645" s="974">
        <v>6894.66</v>
      </c>
      <c r="I645" s="966">
        <v>20.37</v>
      </c>
      <c r="J645" s="973">
        <v>0.71053070310999999</v>
      </c>
      <c r="M645" s="969">
        <v>103215.449565</v>
      </c>
      <c r="Q645" s="967">
        <v>44480</v>
      </c>
      <c r="R645" s="966">
        <v>129500</v>
      </c>
      <c r="S645" s="966">
        <v>0.48999999922867998</v>
      </c>
      <c r="T645" s="969">
        <v>0</v>
      </c>
      <c r="U645" s="966">
        <v>6357.15</v>
      </c>
      <c r="W645" s="971" t="e">
        <f t="shared" si="12"/>
        <v>#DIV/0!</v>
      </c>
      <c r="Y645" s="967">
        <v>44550</v>
      </c>
      <c r="Z645" s="974">
        <f ca="1">H595*Valuation_Senario!$L$372</f>
        <v>10104.04144904</v>
      </c>
      <c r="AA645" s="973">
        <v>21.91</v>
      </c>
      <c r="AM645" s="967">
        <v>44480</v>
      </c>
      <c r="AN645" s="974">
        <v>129500</v>
      </c>
      <c r="AO645" s="976">
        <v>0.48999999922867998</v>
      </c>
    </row>
    <row r="646" spans="1:41">
      <c r="A646" s="966">
        <v>639</v>
      </c>
      <c r="B646" s="967">
        <v>44601</v>
      </c>
      <c r="C646" s="966">
        <v>137000</v>
      </c>
      <c r="D646" s="966">
        <v>22.5885</v>
      </c>
      <c r="E646" s="966">
        <v>22.5885</v>
      </c>
      <c r="F646" s="966">
        <v>108310.31</v>
      </c>
      <c r="G646" s="966">
        <v>97658.188815000001</v>
      </c>
      <c r="H646" s="974">
        <v>6894.66</v>
      </c>
      <c r="I646" s="966">
        <v>20.260000000000002</v>
      </c>
      <c r="J646" s="973">
        <v>0.71053070310999999</v>
      </c>
      <c r="M646" s="969">
        <v>102556.62754650001</v>
      </c>
      <c r="Q646" s="967">
        <v>44477</v>
      </c>
      <c r="R646" s="966">
        <v>128800</v>
      </c>
      <c r="S646" s="966">
        <v>0.48999999922867998</v>
      </c>
      <c r="T646" s="969">
        <v>0</v>
      </c>
      <c r="U646" s="966">
        <v>6357.15</v>
      </c>
      <c r="W646" s="971" t="e">
        <f t="shared" si="12"/>
        <v>#DIV/0!</v>
      </c>
      <c r="Y646" s="967">
        <v>44547</v>
      </c>
      <c r="Z646" s="974">
        <f ca="1">H596*Valuation_Senario!$L$372</f>
        <v>10104.80504668</v>
      </c>
      <c r="AA646" s="973">
        <v>22.15</v>
      </c>
      <c r="AM646" s="967">
        <v>44477</v>
      </c>
      <c r="AN646" s="974">
        <v>128800</v>
      </c>
      <c r="AO646" s="976">
        <v>0.48999999922867998</v>
      </c>
    </row>
    <row r="647" spans="1:41">
      <c r="A647" s="966">
        <v>640</v>
      </c>
      <c r="B647" s="967">
        <v>44600</v>
      </c>
      <c r="C647" s="966">
        <v>136300</v>
      </c>
      <c r="D647" s="966">
        <v>78.925672000000006</v>
      </c>
      <c r="E647" s="966">
        <v>78.925672000000006</v>
      </c>
      <c r="F647" s="966">
        <v>107739.98</v>
      </c>
      <c r="G647" s="966">
        <v>97159.205368499999</v>
      </c>
      <c r="H647" s="974">
        <v>6894.66</v>
      </c>
      <c r="I647" s="966">
        <v>20.13</v>
      </c>
      <c r="J647" s="973">
        <v>0.71053070310999999</v>
      </c>
      <c r="M647" s="969">
        <v>99848.137025999997</v>
      </c>
      <c r="Q647" s="967">
        <v>44476</v>
      </c>
      <c r="R647" s="966">
        <v>128000</v>
      </c>
      <c r="S647" s="966">
        <v>0.48999999922867998</v>
      </c>
      <c r="T647" s="969">
        <v>0</v>
      </c>
      <c r="U647" s="966">
        <v>6357.15</v>
      </c>
      <c r="W647" s="971" t="e">
        <f t="shared" si="12"/>
        <v>#DIV/0!</v>
      </c>
      <c r="Y647" s="967">
        <v>44546</v>
      </c>
      <c r="Z647" s="974">
        <f ca="1">H597*Valuation_Senario!$L$372</f>
        <v>10105.553959749999</v>
      </c>
      <c r="AA647" s="973">
        <v>22.01</v>
      </c>
      <c r="AM647" s="967">
        <v>44476</v>
      </c>
      <c r="AN647" s="974">
        <v>128000</v>
      </c>
      <c r="AO647" s="976">
        <v>0.48999999922867998</v>
      </c>
    </row>
    <row r="648" spans="1:41">
      <c r="A648" s="966">
        <v>641</v>
      </c>
      <c r="B648" s="967">
        <v>44599</v>
      </c>
      <c r="C648" s="966">
        <v>133900</v>
      </c>
      <c r="D648" s="966">
        <v>14.334140400000001</v>
      </c>
      <c r="E648" s="966">
        <v>14.334140400000001</v>
      </c>
      <c r="F648" s="966">
        <v>107953.85</v>
      </c>
      <c r="G648" s="966">
        <v>95448.404980499996</v>
      </c>
      <c r="H648" s="974">
        <v>6894.66</v>
      </c>
      <c r="I648" s="966">
        <v>20.18</v>
      </c>
      <c r="J648" s="973">
        <v>0.71053070310999999</v>
      </c>
      <c r="M648" s="969">
        <v>107314.786569</v>
      </c>
      <c r="Q648" s="967">
        <v>44475</v>
      </c>
      <c r="R648" s="966">
        <v>128300</v>
      </c>
      <c r="S648" s="966">
        <v>0.48999999922867998</v>
      </c>
      <c r="T648" s="969">
        <v>0</v>
      </c>
      <c r="U648" s="966">
        <v>6357.15</v>
      </c>
      <c r="W648" s="971" t="e">
        <f t="shared" si="12"/>
        <v>#DIV/0!</v>
      </c>
      <c r="Y648" s="967">
        <v>44545</v>
      </c>
      <c r="Z648" s="974">
        <f ca="1">H598*Valuation_Senario!$L$372</f>
        <v>10106.317557390001</v>
      </c>
      <c r="AA648" s="973">
        <v>22.38</v>
      </c>
      <c r="AM648" s="967">
        <v>44475</v>
      </c>
      <c r="AN648" s="974">
        <v>128300</v>
      </c>
      <c r="AO648" s="976">
        <v>0.48999999922867998</v>
      </c>
    </row>
    <row r="649" spans="1:41">
      <c r="A649" s="966">
        <v>642</v>
      </c>
      <c r="B649" s="967">
        <v>44589</v>
      </c>
      <c r="C649" s="966">
        <v>132500</v>
      </c>
      <c r="D649" s="966">
        <v>4.05</v>
      </c>
      <c r="E649" s="966">
        <v>4.05</v>
      </c>
      <c r="F649" s="966">
        <v>106884.5</v>
      </c>
      <c r="G649" s="966">
        <v>94450.438087500006</v>
      </c>
      <c r="H649" s="974">
        <v>6894.66</v>
      </c>
      <c r="I649" s="966">
        <v>19.95</v>
      </c>
      <c r="J649" s="973">
        <v>0.71053070310999999</v>
      </c>
      <c r="M649" s="969">
        <v>109364.455071</v>
      </c>
      <c r="Q649" s="967">
        <v>44474</v>
      </c>
      <c r="R649" s="966">
        <v>126800</v>
      </c>
      <c r="S649" s="966">
        <v>0.49005441919469001</v>
      </c>
      <c r="T649" s="969">
        <v>0</v>
      </c>
      <c r="U649" s="966">
        <v>6357.15</v>
      </c>
      <c r="W649" s="971" t="e">
        <f t="shared" ref="W649:W712" si="13">T649/V649</f>
        <v>#DIV/0!</v>
      </c>
      <c r="Y649" s="967">
        <v>44544</v>
      </c>
      <c r="Z649" s="974">
        <f ca="1">H599*Valuation_Senario!$L$372</f>
        <v>10088.519858549998</v>
      </c>
      <c r="AA649" s="973">
        <v>22.3</v>
      </c>
      <c r="AM649" s="967">
        <v>44474</v>
      </c>
      <c r="AN649" s="974">
        <v>126800</v>
      </c>
      <c r="AO649" s="976">
        <v>0.49005441919469001</v>
      </c>
    </row>
    <row r="650" spans="1:41">
      <c r="A650" s="966">
        <v>643</v>
      </c>
      <c r="B650" s="967">
        <v>44588</v>
      </c>
      <c r="C650" s="966">
        <v>131500</v>
      </c>
      <c r="D650" s="966">
        <v>0</v>
      </c>
      <c r="E650" s="966">
        <v>0</v>
      </c>
      <c r="F650" s="966">
        <v>106456.75</v>
      </c>
      <c r="G650" s="966">
        <v>93737.604592500007</v>
      </c>
      <c r="H650" s="974">
        <v>6071.14</v>
      </c>
      <c r="I650" s="966">
        <v>19.850000000000001</v>
      </c>
      <c r="J650" s="973">
        <v>0.70467540665999995</v>
      </c>
      <c r="M650" s="969">
        <v>109437.6575175</v>
      </c>
      <c r="Q650" s="967">
        <v>44473</v>
      </c>
      <c r="R650" s="966">
        <v>126200</v>
      </c>
      <c r="S650" s="966">
        <v>0.49005441919469001</v>
      </c>
      <c r="T650" s="969">
        <v>0</v>
      </c>
      <c r="U650" s="966">
        <v>6357.15</v>
      </c>
      <c r="W650" s="971" t="e">
        <f t="shared" si="13"/>
        <v>#DIV/0!</v>
      </c>
      <c r="Y650" s="967">
        <v>44543</v>
      </c>
      <c r="Z650" s="974">
        <f ca="1">H600*Valuation_Senario!$L$372</f>
        <v>10109.342578809999</v>
      </c>
      <c r="AA650" s="973">
        <v>22.22</v>
      </c>
      <c r="AM650" s="967">
        <v>44473</v>
      </c>
      <c r="AN650" s="974">
        <v>126200</v>
      </c>
      <c r="AO650" s="976">
        <v>0.49005441919469001</v>
      </c>
    </row>
    <row r="651" spans="1:41">
      <c r="A651" s="966">
        <v>644</v>
      </c>
      <c r="B651" s="967">
        <v>44587</v>
      </c>
      <c r="C651" s="966">
        <v>131900</v>
      </c>
      <c r="D651" s="966">
        <v>9.9437259000000005</v>
      </c>
      <c r="E651" s="966">
        <v>9.9437259000000005</v>
      </c>
      <c r="F651" s="966">
        <v>106456.75</v>
      </c>
      <c r="G651" s="966">
        <v>94022.737990499998</v>
      </c>
      <c r="H651" s="974">
        <v>6071.14</v>
      </c>
      <c r="I651" s="966">
        <v>19.850000000000001</v>
      </c>
      <c r="J651" s="973">
        <v>0.70467540665999995</v>
      </c>
      <c r="M651" s="969">
        <v>109218.050178</v>
      </c>
      <c r="Q651" s="967">
        <v>44470</v>
      </c>
      <c r="R651" s="966">
        <v>126200</v>
      </c>
      <c r="S651" s="966">
        <v>0.49005441919469001</v>
      </c>
      <c r="T651" s="969">
        <v>0</v>
      </c>
      <c r="U651" s="966">
        <v>6357.15</v>
      </c>
      <c r="W651" s="971" t="e">
        <f t="shared" si="13"/>
        <v>#DIV/0!</v>
      </c>
      <c r="Y651" s="967">
        <v>44540</v>
      </c>
      <c r="Z651" s="974">
        <f ca="1">H601*Valuation_Senario!$L$372</f>
        <v>10110.106176449999</v>
      </c>
      <c r="AA651" s="973">
        <v>22.09</v>
      </c>
      <c r="AM651" s="967">
        <v>44470</v>
      </c>
      <c r="AN651" s="974">
        <v>126200</v>
      </c>
      <c r="AO651" s="976">
        <v>0.49005441919469001</v>
      </c>
    </row>
    <row r="652" spans="1:41">
      <c r="A652" s="966">
        <v>645</v>
      </c>
      <c r="B652" s="967">
        <v>44586</v>
      </c>
      <c r="C652" s="966">
        <v>131000</v>
      </c>
      <c r="D652" s="966">
        <v>58.138509999999997</v>
      </c>
      <c r="E652" s="966">
        <v>58.138509999999997</v>
      </c>
      <c r="F652" s="966">
        <v>107597.4</v>
      </c>
      <c r="G652" s="966">
        <v>93381.187844999993</v>
      </c>
      <c r="H652" s="974">
        <v>6071.14</v>
      </c>
      <c r="I652" s="966">
        <v>20.100000000000001</v>
      </c>
      <c r="J652" s="973">
        <v>0.70467540665999995</v>
      </c>
      <c r="M652" s="969">
        <v>106143.547425</v>
      </c>
      <c r="Q652" s="967">
        <v>44469</v>
      </c>
      <c r="R652" s="966">
        <v>127800</v>
      </c>
      <c r="S652" s="966">
        <v>0.49005441919469001</v>
      </c>
      <c r="T652" s="969">
        <v>0</v>
      </c>
      <c r="U652" s="966">
        <v>6357.15</v>
      </c>
      <c r="W652" s="971" t="e">
        <f t="shared" si="13"/>
        <v>#DIV/0!</v>
      </c>
      <c r="Y652" s="967">
        <v>44539</v>
      </c>
      <c r="Z652" s="974">
        <f ca="1">H602*Valuation_Senario!$L$372</f>
        <v>10110.855089519999</v>
      </c>
      <c r="AA652" s="973">
        <v>22.07</v>
      </c>
      <c r="AM652" s="967">
        <v>44469</v>
      </c>
      <c r="AN652" s="974">
        <v>127800</v>
      </c>
      <c r="AO652" s="976">
        <v>0.49005441919469001</v>
      </c>
    </row>
    <row r="653" spans="1:41">
      <c r="A653" s="966">
        <v>646</v>
      </c>
      <c r="B653" s="967">
        <v>44585</v>
      </c>
      <c r="C653" s="966">
        <v>129900</v>
      </c>
      <c r="D653" s="966">
        <v>40.65</v>
      </c>
      <c r="E653" s="966">
        <v>40.65</v>
      </c>
      <c r="F653" s="966">
        <v>107597.4</v>
      </c>
      <c r="G653" s="966">
        <v>92597.0710005</v>
      </c>
      <c r="H653" s="974">
        <v>6071.14</v>
      </c>
      <c r="I653" s="966">
        <v>20.100000000000001</v>
      </c>
      <c r="J653" s="973">
        <v>0.70467540665999995</v>
      </c>
      <c r="M653" s="969">
        <v>107754.001248</v>
      </c>
      <c r="Q653" s="967">
        <v>44468</v>
      </c>
      <c r="R653" s="966">
        <v>127800</v>
      </c>
      <c r="S653" s="966">
        <v>0.49005441919469001</v>
      </c>
      <c r="T653" s="969">
        <v>0</v>
      </c>
      <c r="U653" s="966">
        <v>6357.15</v>
      </c>
      <c r="W653" s="971" t="e">
        <f t="shared" si="13"/>
        <v>#DIV/0!</v>
      </c>
      <c r="Y653" s="967">
        <v>44538</v>
      </c>
      <c r="Z653" s="974">
        <f ca="1">H603*Valuation_Senario!$L$372</f>
        <v>10111.61868716</v>
      </c>
      <c r="AA653" s="973">
        <v>22.06</v>
      </c>
      <c r="AM653" s="967">
        <v>44468</v>
      </c>
      <c r="AN653" s="974">
        <v>127800</v>
      </c>
      <c r="AO653" s="976">
        <v>0.49005441919469001</v>
      </c>
    </row>
    <row r="654" spans="1:41">
      <c r="A654" s="966">
        <v>647</v>
      </c>
      <c r="B654" s="967">
        <v>44582</v>
      </c>
      <c r="C654" s="966">
        <v>133200</v>
      </c>
      <c r="D654" s="966">
        <v>0</v>
      </c>
      <c r="E654" s="966">
        <v>0</v>
      </c>
      <c r="F654" s="966">
        <v>106813.21</v>
      </c>
      <c r="G654" s="966">
        <v>94949.421533999994</v>
      </c>
      <c r="H654" s="974">
        <v>6071.14</v>
      </c>
      <c r="I654" s="966">
        <v>19.93</v>
      </c>
      <c r="J654" s="973">
        <v>0.70467540665999995</v>
      </c>
      <c r="M654" s="969">
        <v>108925.24039200001</v>
      </c>
      <c r="Q654" s="967">
        <v>44467</v>
      </c>
      <c r="R654" s="966">
        <v>126700</v>
      </c>
      <c r="S654" s="966">
        <v>0.49005441919469001</v>
      </c>
      <c r="T654" s="969">
        <v>0</v>
      </c>
      <c r="U654" s="966">
        <v>6357.15</v>
      </c>
      <c r="W654" s="971" t="e">
        <f t="shared" si="13"/>
        <v>#DIV/0!</v>
      </c>
      <c r="Y654" s="967">
        <v>44537</v>
      </c>
      <c r="Z654" s="974">
        <f ca="1">H604*Valuation_Senario!$L$372</f>
        <v>10114.643708579999</v>
      </c>
      <c r="AA654" s="973">
        <v>21.99</v>
      </c>
      <c r="AM654" s="967">
        <v>44467</v>
      </c>
      <c r="AN654" s="974">
        <v>126700</v>
      </c>
      <c r="AO654" s="976">
        <v>0.49005441919469001</v>
      </c>
    </row>
    <row r="655" spans="1:41">
      <c r="A655" s="966">
        <v>648</v>
      </c>
      <c r="B655" s="967">
        <v>44581</v>
      </c>
      <c r="C655" s="966">
        <v>134000</v>
      </c>
      <c r="D655" s="966">
        <v>275.80074000000002</v>
      </c>
      <c r="E655" s="966">
        <v>275.80074000000002</v>
      </c>
      <c r="F655" s="966">
        <v>106314.17</v>
      </c>
      <c r="G655" s="966">
        <v>95519.688330000004</v>
      </c>
      <c r="H655" s="974">
        <v>6071.14</v>
      </c>
      <c r="I655" s="966">
        <v>19.82</v>
      </c>
      <c r="J655" s="973">
        <v>0.70467540665999995</v>
      </c>
      <c r="M655" s="969">
        <v>106070.3449785</v>
      </c>
      <c r="Q655" s="967">
        <v>44466</v>
      </c>
      <c r="R655" s="966">
        <v>126000</v>
      </c>
      <c r="S655" s="966">
        <v>0.49005441919469001</v>
      </c>
      <c r="T655" s="969">
        <v>0</v>
      </c>
      <c r="U655" s="966">
        <v>6357.15</v>
      </c>
      <c r="W655" s="971" t="e">
        <f t="shared" si="13"/>
        <v>#DIV/0!</v>
      </c>
      <c r="Y655" s="967">
        <v>44536</v>
      </c>
      <c r="Z655" s="974">
        <f ca="1">H605*Valuation_Senario!$L$372</f>
        <v>10115.407306219999</v>
      </c>
      <c r="AA655" s="973">
        <v>21.64</v>
      </c>
      <c r="AM655" s="967">
        <v>44466</v>
      </c>
      <c r="AN655" s="974">
        <v>126000</v>
      </c>
      <c r="AO655" s="976">
        <v>0.49005441919469001</v>
      </c>
    </row>
    <row r="656" spans="1:41">
      <c r="A656" s="966">
        <v>649</v>
      </c>
      <c r="B656" s="967">
        <v>44580</v>
      </c>
      <c r="C656" s="966">
        <v>133500</v>
      </c>
      <c r="D656" s="966">
        <v>99.814279999999997</v>
      </c>
      <c r="E656" s="966">
        <v>99.814279999999997</v>
      </c>
      <c r="F656" s="966">
        <v>109522.25</v>
      </c>
      <c r="G656" s="966">
        <v>95163.271582500005</v>
      </c>
      <c r="H656" s="974">
        <v>6071.14</v>
      </c>
      <c r="I656" s="966">
        <v>20.53</v>
      </c>
      <c r="J656" s="973">
        <v>0.70467540665999995</v>
      </c>
      <c r="M656" s="969">
        <v>114049.411647</v>
      </c>
      <c r="Q656" s="967">
        <v>44463</v>
      </c>
      <c r="R656" s="966">
        <v>130500</v>
      </c>
      <c r="S656" s="966">
        <v>0.49005441919469001</v>
      </c>
      <c r="T656" s="969">
        <v>0</v>
      </c>
      <c r="U656" s="966">
        <v>6357.15</v>
      </c>
      <c r="W656" s="971" t="e">
        <f t="shared" si="13"/>
        <v>#DIV/0!</v>
      </c>
      <c r="Y656" s="967">
        <v>44533</v>
      </c>
      <c r="Z656" s="974">
        <f ca="1">H606*Valuation_Senario!$L$372</f>
        <v>10116.170903859998</v>
      </c>
      <c r="AA656" s="973">
        <v>21.99</v>
      </c>
      <c r="AM656" s="967">
        <v>44463</v>
      </c>
      <c r="AN656" s="974">
        <v>130500</v>
      </c>
      <c r="AO656" s="976">
        <v>0.49005441919469001</v>
      </c>
    </row>
    <row r="657" spans="1:41">
      <c r="A657" s="966">
        <v>650</v>
      </c>
      <c r="B657" s="967">
        <v>44579</v>
      </c>
      <c r="C657" s="966">
        <v>130100</v>
      </c>
      <c r="D657" s="966">
        <v>36.287999999999997</v>
      </c>
      <c r="E657" s="966">
        <v>36.287999999999997</v>
      </c>
      <c r="F657" s="966">
        <v>110591.61</v>
      </c>
      <c r="G657" s="966">
        <v>92739.637699500003</v>
      </c>
      <c r="H657" s="974">
        <v>6071.14</v>
      </c>
      <c r="I657" s="966">
        <v>20.76</v>
      </c>
      <c r="J657" s="973">
        <v>0.70467540665999995</v>
      </c>
      <c r="M657" s="969">
        <v>113829.8043075</v>
      </c>
      <c r="Q657" s="967">
        <v>44462</v>
      </c>
      <c r="R657" s="966">
        <v>132000</v>
      </c>
      <c r="S657" s="966">
        <v>0.48999999922867998</v>
      </c>
      <c r="T657" s="969">
        <v>0</v>
      </c>
      <c r="U657" s="966">
        <v>6357.15</v>
      </c>
      <c r="W657" s="971" t="e">
        <f t="shared" si="13"/>
        <v>#DIV/0!</v>
      </c>
      <c r="Y657" s="967">
        <v>44532</v>
      </c>
      <c r="Z657" s="974">
        <f ca="1">H607*Valuation_Senario!$L$372</f>
        <v>10116.91981693</v>
      </c>
      <c r="AA657" s="973">
        <v>22.57</v>
      </c>
      <c r="AM657" s="967">
        <v>44462</v>
      </c>
      <c r="AN657" s="974">
        <v>132000</v>
      </c>
      <c r="AO657" s="976">
        <v>0.48999999922867998</v>
      </c>
    </row>
    <row r="658" spans="1:41">
      <c r="A658" s="966">
        <v>651</v>
      </c>
      <c r="B658" s="967">
        <v>44578</v>
      </c>
      <c r="C658" s="966">
        <v>130000</v>
      </c>
      <c r="D658" s="966">
        <v>0</v>
      </c>
      <c r="E658" s="966">
        <v>0</v>
      </c>
      <c r="F658" s="966">
        <v>106100.3</v>
      </c>
      <c r="G658" s="966">
        <v>92668.354349999994</v>
      </c>
      <c r="H658" s="974">
        <v>6071.14</v>
      </c>
      <c r="I658" s="966">
        <v>19.77</v>
      </c>
      <c r="J658" s="973">
        <v>0.70467540665999995</v>
      </c>
      <c r="M658" s="969">
        <v>114195.81654</v>
      </c>
      <c r="Q658" s="967">
        <v>44461</v>
      </c>
      <c r="R658" s="966">
        <v>125700</v>
      </c>
      <c r="S658" s="966">
        <v>0.49005441919469001</v>
      </c>
      <c r="T658" s="969">
        <v>0</v>
      </c>
      <c r="U658" s="966">
        <v>6357.15</v>
      </c>
      <c r="W658" s="971" t="e">
        <f t="shared" si="13"/>
        <v>#DIV/0!</v>
      </c>
      <c r="Y658" s="967">
        <v>44531</v>
      </c>
      <c r="Z658" s="974">
        <f ca="1">H608*Valuation_Senario!$L$372</f>
        <v>10117.68341457</v>
      </c>
      <c r="AA658" s="973">
        <v>22.88</v>
      </c>
      <c r="AM658" s="967">
        <v>44461</v>
      </c>
      <c r="AN658" s="974">
        <v>125700</v>
      </c>
      <c r="AO658" s="976">
        <v>0.49005441919469001</v>
      </c>
    </row>
    <row r="659" spans="1:41">
      <c r="A659" s="966">
        <v>652</v>
      </c>
      <c r="B659" s="967">
        <v>44575</v>
      </c>
      <c r="C659" s="966">
        <v>134000</v>
      </c>
      <c r="D659" s="966">
        <v>120.08499999999999</v>
      </c>
      <c r="E659" s="966">
        <v>120.08499999999999</v>
      </c>
      <c r="F659" s="966">
        <v>104745.78</v>
      </c>
      <c r="G659" s="966">
        <v>95519.688330000004</v>
      </c>
      <c r="H659" s="974">
        <v>6071.14</v>
      </c>
      <c r="I659" s="966">
        <v>19.47</v>
      </c>
      <c r="J659" s="973">
        <v>0.70467540665999995</v>
      </c>
      <c r="M659" s="969">
        <v>114195.81654</v>
      </c>
      <c r="Q659" s="967">
        <v>44460</v>
      </c>
      <c r="R659" s="966">
        <v>123800</v>
      </c>
      <c r="S659" s="966">
        <v>0.49005441919469001</v>
      </c>
      <c r="T659" s="969">
        <v>0</v>
      </c>
      <c r="U659" s="966">
        <v>6357.15</v>
      </c>
      <c r="W659" s="971" t="e">
        <f t="shared" si="13"/>
        <v>#DIV/0!</v>
      </c>
      <c r="Y659" s="967">
        <v>44530</v>
      </c>
      <c r="Z659" s="974">
        <f ca="1">H609*Valuation_Senario!$L$372</f>
        <v>10119.95952292</v>
      </c>
      <c r="AA659" s="973">
        <v>22.88</v>
      </c>
      <c r="AM659" s="967">
        <v>44460</v>
      </c>
      <c r="AN659" s="974">
        <v>123800</v>
      </c>
      <c r="AO659" s="976">
        <v>0.49005441919469001</v>
      </c>
    </row>
    <row r="660" spans="1:41">
      <c r="A660" s="966">
        <v>653</v>
      </c>
      <c r="B660" s="967">
        <v>44574</v>
      </c>
      <c r="C660" s="966">
        <v>135500</v>
      </c>
      <c r="D660" s="966">
        <v>0</v>
      </c>
      <c r="E660" s="966">
        <v>0</v>
      </c>
      <c r="F660" s="966">
        <v>104175.45</v>
      </c>
      <c r="G660" s="966">
        <v>96588.938572500003</v>
      </c>
      <c r="H660" s="974">
        <v>6071.14</v>
      </c>
      <c r="I660" s="966">
        <v>19.350000000000001</v>
      </c>
      <c r="J660" s="973">
        <v>0.70467540665999995</v>
      </c>
      <c r="M660" s="969">
        <v>117270.31929299999</v>
      </c>
      <c r="Q660" s="967">
        <v>44459</v>
      </c>
      <c r="R660" s="966">
        <v>123000</v>
      </c>
      <c r="S660" s="966">
        <v>0.49005441919469001</v>
      </c>
      <c r="T660" s="969">
        <v>0</v>
      </c>
      <c r="U660" s="966">
        <v>6357.15</v>
      </c>
      <c r="W660" s="971" t="e">
        <f t="shared" si="13"/>
        <v>#DIV/0!</v>
      </c>
      <c r="Y660" s="967">
        <v>44529</v>
      </c>
      <c r="Z660" s="974">
        <f ca="1">H610*Valuation_Senario!$L$372</f>
        <v>10120.72312056</v>
      </c>
      <c r="AA660" s="973">
        <v>22.65</v>
      </c>
      <c r="AM660" s="967">
        <v>44459</v>
      </c>
      <c r="AN660" s="974">
        <v>123000</v>
      </c>
      <c r="AO660" s="976">
        <v>0.49005441919469001</v>
      </c>
    </row>
    <row r="661" spans="1:41">
      <c r="A661" s="966">
        <v>654</v>
      </c>
      <c r="B661" s="967">
        <v>44573</v>
      </c>
      <c r="C661" s="966">
        <v>136000</v>
      </c>
      <c r="D661" s="966">
        <v>0</v>
      </c>
      <c r="E661" s="966">
        <v>0</v>
      </c>
      <c r="F661" s="966">
        <v>104175.45</v>
      </c>
      <c r="G661" s="966">
        <v>96945.355320000002</v>
      </c>
      <c r="H661" s="974">
        <v>6071.14</v>
      </c>
      <c r="I661" s="966">
        <v>19.350000000000001</v>
      </c>
      <c r="J661" s="973">
        <v>0.70467540665999995</v>
      </c>
      <c r="M661" s="969">
        <v>117270.31929299999</v>
      </c>
      <c r="Q661" s="967">
        <v>44456</v>
      </c>
      <c r="R661" s="966">
        <v>123000</v>
      </c>
      <c r="S661" s="966">
        <v>0.48999998626509</v>
      </c>
      <c r="T661" s="969">
        <v>0</v>
      </c>
      <c r="U661" s="966">
        <v>6357.15</v>
      </c>
      <c r="W661" s="971" t="e">
        <f t="shared" si="13"/>
        <v>#DIV/0!</v>
      </c>
      <c r="Y661" s="967">
        <v>44526</v>
      </c>
      <c r="Z661" s="974">
        <f ca="1">H611*Valuation_Senario!$L$372</f>
        <v>10121.47203363</v>
      </c>
      <c r="AA661" s="973">
        <v>23.31</v>
      </c>
      <c r="AM661" s="967">
        <v>44456</v>
      </c>
      <c r="AN661" s="974">
        <v>123000</v>
      </c>
      <c r="AO661" s="976">
        <v>0.48999998626509</v>
      </c>
    </row>
    <row r="662" spans="1:41">
      <c r="A662" s="966">
        <v>655</v>
      </c>
      <c r="B662" s="967">
        <v>44572</v>
      </c>
      <c r="C662" s="966">
        <v>131800</v>
      </c>
      <c r="D662" s="966">
        <v>0</v>
      </c>
      <c r="E662" s="966">
        <v>0</v>
      </c>
      <c r="F662" s="966">
        <v>104603.2</v>
      </c>
      <c r="G662" s="966">
        <v>93951.454641000004</v>
      </c>
      <c r="H662" s="974">
        <v>6071.14</v>
      </c>
      <c r="I662" s="966">
        <v>19.440000000000001</v>
      </c>
      <c r="J662" s="973">
        <v>0.70467540665999995</v>
      </c>
      <c r="M662" s="969">
        <v>116757.9021675</v>
      </c>
      <c r="Q662" s="967">
        <v>44455</v>
      </c>
      <c r="R662" s="966">
        <v>123600</v>
      </c>
      <c r="S662" s="966">
        <v>0.48999998626509</v>
      </c>
      <c r="T662" s="969">
        <v>0</v>
      </c>
      <c r="U662" s="966">
        <v>6357.15</v>
      </c>
      <c r="W662" s="971" t="e">
        <f t="shared" si="13"/>
        <v>#DIV/0!</v>
      </c>
      <c r="Y662" s="967">
        <v>44525</v>
      </c>
      <c r="Z662" s="974">
        <f ca="1">H612*Valuation_Senario!$L$372</f>
        <v>10122.235631269999</v>
      </c>
      <c r="AA662" s="973">
        <v>23.89</v>
      </c>
      <c r="AM662" s="967">
        <v>44455</v>
      </c>
      <c r="AN662" s="974">
        <v>123600</v>
      </c>
      <c r="AO662" s="976">
        <v>0.48999998626509</v>
      </c>
    </row>
    <row r="663" spans="1:41">
      <c r="A663" s="966">
        <v>656</v>
      </c>
      <c r="B663" s="967">
        <v>44571</v>
      </c>
      <c r="C663" s="966">
        <v>133000</v>
      </c>
      <c r="D663" s="966">
        <v>0</v>
      </c>
      <c r="E663" s="966">
        <v>0.12479999999999999</v>
      </c>
      <c r="F663" s="966">
        <v>105316.1</v>
      </c>
      <c r="G663" s="966">
        <v>94806.854835000006</v>
      </c>
      <c r="H663" s="974">
        <v>6071.14</v>
      </c>
      <c r="I663" s="966">
        <v>19.600000000000001</v>
      </c>
      <c r="J663" s="973">
        <v>0.70467540665999995</v>
      </c>
      <c r="M663" s="969">
        <v>114342.221433</v>
      </c>
      <c r="Q663" s="967">
        <v>44454</v>
      </c>
      <c r="R663" s="966">
        <v>124600</v>
      </c>
      <c r="S663" s="966">
        <v>0.48999998626509</v>
      </c>
      <c r="T663" s="969">
        <v>-0.12479999999999999</v>
      </c>
      <c r="U663" s="966">
        <v>6357.15</v>
      </c>
      <c r="W663" s="971" t="e">
        <f t="shared" si="13"/>
        <v>#DIV/0!</v>
      </c>
      <c r="Y663" s="967">
        <v>44524</v>
      </c>
      <c r="Z663" s="974">
        <f ca="1">H613*Valuation_Senario!$L$372</f>
        <v>10124.511739619998</v>
      </c>
      <c r="AA663" s="973">
        <v>23.72</v>
      </c>
      <c r="AM663" s="967">
        <v>44454</v>
      </c>
      <c r="AN663" s="974">
        <v>124600</v>
      </c>
      <c r="AO663" s="976">
        <v>0.48999998626509</v>
      </c>
    </row>
    <row r="664" spans="1:41">
      <c r="A664" s="966">
        <v>657</v>
      </c>
      <c r="B664" s="967">
        <v>44568</v>
      </c>
      <c r="C664" s="966">
        <v>135500</v>
      </c>
      <c r="D664" s="966">
        <v>73.534999999999997</v>
      </c>
      <c r="E664" s="966">
        <v>73.534999999999997</v>
      </c>
      <c r="F664" s="966">
        <v>105244.81</v>
      </c>
      <c r="G664" s="966">
        <v>96588.938572500003</v>
      </c>
      <c r="H664" s="974">
        <v>6071.14</v>
      </c>
      <c r="I664" s="966">
        <v>19.579999999999998</v>
      </c>
      <c r="J664" s="973">
        <v>0.70467540665999995</v>
      </c>
      <c r="M664" s="969">
        <v>111780.1358055</v>
      </c>
      <c r="Q664" s="967">
        <v>44453</v>
      </c>
      <c r="R664" s="966">
        <v>124500</v>
      </c>
      <c r="S664" s="966">
        <v>0.48999998626509</v>
      </c>
      <c r="T664" s="969">
        <v>0</v>
      </c>
      <c r="U664" s="966">
        <v>6357.15</v>
      </c>
      <c r="W664" s="971" t="e">
        <f t="shared" si="13"/>
        <v>#DIV/0!</v>
      </c>
      <c r="Y664" s="967">
        <v>44523</v>
      </c>
      <c r="Z664" s="974">
        <f ca="1">H614*Valuation_Senario!$L$372</f>
        <v>10124.511739619998</v>
      </c>
      <c r="AA664" s="973">
        <v>23.56</v>
      </c>
      <c r="AM664" s="967">
        <v>44453</v>
      </c>
      <c r="AN664" s="974">
        <v>124500</v>
      </c>
      <c r="AO664" s="976">
        <v>0.48999998626509</v>
      </c>
    </row>
    <row r="665" spans="1:41">
      <c r="A665" s="966">
        <v>658</v>
      </c>
      <c r="B665" s="967">
        <v>44567</v>
      </c>
      <c r="C665" s="966">
        <v>137500</v>
      </c>
      <c r="D665" s="966">
        <v>0</v>
      </c>
      <c r="E665" s="966">
        <v>0</v>
      </c>
      <c r="F665" s="966">
        <v>105601.27</v>
      </c>
      <c r="G665" s="966">
        <v>98014.605562500001</v>
      </c>
      <c r="H665" s="974">
        <v>6071.14</v>
      </c>
      <c r="I665" s="966">
        <v>19.66</v>
      </c>
      <c r="J665" s="973">
        <v>0.70467540665999995</v>
      </c>
      <c r="M665" s="969">
        <v>109803.66975</v>
      </c>
      <c r="Q665" s="967">
        <v>44452</v>
      </c>
      <c r="R665" s="966">
        <v>125000</v>
      </c>
      <c r="S665" s="966">
        <v>0.48999998626509</v>
      </c>
      <c r="T665" s="969">
        <v>0</v>
      </c>
      <c r="U665" s="966">
        <v>6357.15</v>
      </c>
      <c r="W665" s="971" t="e">
        <f t="shared" si="13"/>
        <v>#DIV/0!</v>
      </c>
      <c r="Y665" s="967">
        <v>44522</v>
      </c>
      <c r="Z665" s="974">
        <f ca="1">H615*Valuation_Senario!$L$372</f>
        <v>10124.511739619998</v>
      </c>
      <c r="AA665" s="973">
        <v>22.83</v>
      </c>
      <c r="AM665" s="967">
        <v>44452</v>
      </c>
      <c r="AN665" s="974">
        <v>125000</v>
      </c>
      <c r="AO665" s="976">
        <v>0.48999998626509</v>
      </c>
    </row>
    <row r="666" spans="1:41">
      <c r="A666" s="966">
        <v>659</v>
      </c>
      <c r="B666" s="967">
        <v>44566</v>
      </c>
      <c r="C666" s="966">
        <v>137100</v>
      </c>
      <c r="D666" s="966">
        <v>256.05360000000002</v>
      </c>
      <c r="E666" s="966">
        <v>256.05360000000002</v>
      </c>
      <c r="F666" s="966">
        <v>101252.54</v>
      </c>
      <c r="G666" s="966">
        <v>97729.472164499995</v>
      </c>
      <c r="H666" s="974">
        <v>6071.14</v>
      </c>
      <c r="I666" s="966">
        <v>18.7</v>
      </c>
      <c r="J666" s="973">
        <v>0.70467540665999995</v>
      </c>
      <c r="M666" s="969">
        <v>113463.792075</v>
      </c>
      <c r="Q666" s="967">
        <v>44449</v>
      </c>
      <c r="R666" s="966">
        <v>118900</v>
      </c>
      <c r="S666" s="966">
        <v>0.48999998626509</v>
      </c>
      <c r="T666" s="969">
        <v>0</v>
      </c>
      <c r="U666" s="966">
        <v>6357.15</v>
      </c>
      <c r="W666" s="971" t="e">
        <f t="shared" si="13"/>
        <v>#DIV/0!</v>
      </c>
      <c r="Y666" s="967">
        <v>44519</v>
      </c>
      <c r="Z666" s="974">
        <f ca="1">H616*Valuation_Senario!$L$372</f>
        <v>10124.511739619998</v>
      </c>
      <c r="AA666" s="973">
        <v>22.9</v>
      </c>
      <c r="AM666" s="967">
        <v>44449</v>
      </c>
      <c r="AN666" s="974">
        <v>118900</v>
      </c>
      <c r="AO666" s="976">
        <v>0.48999998626509</v>
      </c>
    </row>
    <row r="667" spans="1:41">
      <c r="A667" s="966">
        <v>660</v>
      </c>
      <c r="B667" s="967">
        <v>44565</v>
      </c>
      <c r="C667" s="966">
        <v>137800</v>
      </c>
      <c r="D667" s="966">
        <v>0</v>
      </c>
      <c r="E667" s="966">
        <v>0</v>
      </c>
      <c r="F667" s="966">
        <v>101252.54</v>
      </c>
      <c r="G667" s="966">
        <v>98228.455610999998</v>
      </c>
      <c r="H667" s="974">
        <v>6071.14</v>
      </c>
      <c r="I667" s="966">
        <v>18.7</v>
      </c>
      <c r="J667" s="973">
        <v>0.70467540665999995</v>
      </c>
      <c r="M667" s="969">
        <v>116245.485042</v>
      </c>
      <c r="Q667" s="967">
        <v>44448</v>
      </c>
      <c r="R667" s="966">
        <v>118900</v>
      </c>
      <c r="S667" s="966">
        <v>0.48999998626509</v>
      </c>
      <c r="T667" s="969">
        <v>0</v>
      </c>
      <c r="U667" s="966">
        <v>6357.15</v>
      </c>
      <c r="W667" s="971" t="e">
        <f t="shared" si="13"/>
        <v>#DIV/0!</v>
      </c>
      <c r="Y667" s="967">
        <v>44518</v>
      </c>
      <c r="Z667" s="974">
        <f ca="1">H617*Valuation_Senario!$L$372</f>
        <v>10124.511739619998</v>
      </c>
      <c r="AA667" s="973">
        <v>22.9</v>
      </c>
      <c r="AM667" s="967">
        <v>44448</v>
      </c>
      <c r="AN667" s="974">
        <v>118900</v>
      </c>
      <c r="AO667" s="976">
        <v>0.48999998626509</v>
      </c>
    </row>
    <row r="668" spans="1:41">
      <c r="A668" s="966">
        <v>661</v>
      </c>
      <c r="B668" s="967">
        <v>44447</v>
      </c>
      <c r="C668" s="966">
        <v>111400</v>
      </c>
      <c r="D668" s="966">
        <v>0</v>
      </c>
      <c r="E668" s="966">
        <v>0</v>
      </c>
      <c r="F668" s="966">
        <v>95905.75</v>
      </c>
      <c r="G668" s="966">
        <v>79417.701886800001</v>
      </c>
      <c r="H668" s="966">
        <v>6357.15</v>
      </c>
      <c r="I668" s="966">
        <v>17.52</v>
      </c>
      <c r="M668" s="969">
        <v>113610.196968</v>
      </c>
      <c r="Q668" s="967">
        <v>44447</v>
      </c>
      <c r="R668" s="966">
        <v>111400</v>
      </c>
      <c r="S668" s="966">
        <v>0.48999999888522</v>
      </c>
      <c r="T668" s="969">
        <v>0</v>
      </c>
      <c r="U668" s="966">
        <v>6357.15</v>
      </c>
      <c r="W668" s="971" t="e">
        <f t="shared" si="13"/>
        <v>#DIV/0!</v>
      </c>
      <c r="Y668" s="967">
        <v>44517</v>
      </c>
      <c r="Z668" s="974">
        <f ca="1">H618*Valuation_Senario!$L$372</f>
        <v>10124.511739619998</v>
      </c>
      <c r="AA668" s="973">
        <v>22.72</v>
      </c>
      <c r="AM668" s="967">
        <v>44447</v>
      </c>
      <c r="AN668" s="974">
        <v>111400</v>
      </c>
      <c r="AO668" s="976">
        <v>0.48999999888522</v>
      </c>
    </row>
    <row r="669" spans="1:41">
      <c r="A669" s="966">
        <v>662</v>
      </c>
      <c r="B669" s="967">
        <v>44446</v>
      </c>
      <c r="C669" s="966">
        <v>110300</v>
      </c>
      <c r="D669" s="966">
        <v>0</v>
      </c>
      <c r="E669" s="966">
        <v>0</v>
      </c>
      <c r="F669" s="966">
        <v>95121.55</v>
      </c>
      <c r="G669" s="966">
        <v>78633.505548600006</v>
      </c>
      <c r="H669" s="966">
        <v>6357.15</v>
      </c>
      <c r="I669" s="966">
        <v>17.350000000000001</v>
      </c>
      <c r="M669" s="969">
        <v>113463.792075</v>
      </c>
      <c r="Q669" s="967">
        <v>44446</v>
      </c>
      <c r="R669" s="966">
        <v>110300</v>
      </c>
      <c r="S669" s="966">
        <v>0.48999999888522</v>
      </c>
      <c r="T669" s="969">
        <v>0</v>
      </c>
      <c r="U669" s="966">
        <v>6357.15</v>
      </c>
      <c r="W669" s="971" t="e">
        <f t="shared" si="13"/>
        <v>#DIV/0!</v>
      </c>
      <c r="Y669" s="967">
        <v>44516</v>
      </c>
      <c r="Z669" s="974">
        <f ca="1">H619*Valuation_Senario!$L$372</f>
        <v>10124.511739619998</v>
      </c>
      <c r="AA669" s="973">
        <v>22.72</v>
      </c>
      <c r="AM669" s="967">
        <v>44446</v>
      </c>
      <c r="AN669" s="974">
        <v>110300</v>
      </c>
      <c r="AO669" s="976">
        <v>0.48999999888522</v>
      </c>
    </row>
    <row r="670" spans="1:41">
      <c r="A670" s="966">
        <v>663</v>
      </c>
      <c r="B670" s="967">
        <v>44445</v>
      </c>
      <c r="C670" s="966">
        <v>111000</v>
      </c>
      <c r="D670" s="966">
        <v>2.4876900000000002</v>
      </c>
      <c r="E670" s="966">
        <v>2.4876900000000002</v>
      </c>
      <c r="F670" s="966">
        <v>95620.59</v>
      </c>
      <c r="G670" s="966">
        <v>79132.539581999998</v>
      </c>
      <c r="H670" s="966">
        <v>6357.15</v>
      </c>
      <c r="I670" s="966">
        <v>17.46</v>
      </c>
      <c r="M670" s="969">
        <v>114195.81654</v>
      </c>
      <c r="Q670" s="967">
        <v>44445</v>
      </c>
      <c r="R670" s="966">
        <v>111000</v>
      </c>
      <c r="S670" s="966">
        <v>0.48999999888522</v>
      </c>
      <c r="T670" s="969">
        <v>0</v>
      </c>
      <c r="U670" s="966">
        <v>6357.15</v>
      </c>
      <c r="W670" s="971" t="e">
        <f t="shared" si="13"/>
        <v>#DIV/0!</v>
      </c>
      <c r="Y670" s="967">
        <v>44515</v>
      </c>
      <c r="Z670" s="974">
        <f ca="1">H620*Valuation_Senario!$L$372</f>
        <v>10124.511739619998</v>
      </c>
      <c r="AA670" s="973">
        <v>22.96</v>
      </c>
      <c r="AM670" s="967">
        <v>44445</v>
      </c>
      <c r="AN670" s="974">
        <v>111000</v>
      </c>
      <c r="AO670" s="976">
        <v>0.48999999888522</v>
      </c>
    </row>
    <row r="671" spans="1:41">
      <c r="A671" s="966">
        <v>664</v>
      </c>
      <c r="B671" s="967">
        <v>44440</v>
      </c>
      <c r="C671" s="966">
        <v>110200</v>
      </c>
      <c r="D671" s="966">
        <v>0</v>
      </c>
      <c r="E671" s="966">
        <v>0</v>
      </c>
      <c r="F671" s="966">
        <v>95050.42</v>
      </c>
      <c r="G671" s="966">
        <v>78562.372999200001</v>
      </c>
      <c r="H671" s="966">
        <v>6357.13</v>
      </c>
      <c r="I671" s="966">
        <v>17.329999999999998</v>
      </c>
      <c r="M671" s="969">
        <v>106729.16699699999</v>
      </c>
      <c r="Q671" s="967">
        <v>44440</v>
      </c>
      <c r="R671" s="966">
        <v>110200</v>
      </c>
      <c r="S671" s="966">
        <v>0.48999999888522</v>
      </c>
      <c r="T671" s="969">
        <v>0</v>
      </c>
      <c r="U671" s="966">
        <v>6357.13</v>
      </c>
      <c r="W671" s="971" t="e">
        <f t="shared" si="13"/>
        <v>#DIV/0!</v>
      </c>
      <c r="Y671" s="967">
        <v>44512</v>
      </c>
      <c r="Z671" s="974">
        <f ca="1">H621*Valuation_Senario!$L$372</f>
        <v>10124.511739619998</v>
      </c>
      <c r="AA671" s="973">
        <v>22.4</v>
      </c>
      <c r="AM671" s="967">
        <v>44440</v>
      </c>
      <c r="AN671" s="974">
        <v>110200</v>
      </c>
      <c r="AO671" s="976">
        <v>0.48999999888522</v>
      </c>
    </row>
    <row r="672" spans="1:41">
      <c r="A672" s="966">
        <v>665</v>
      </c>
      <c r="B672" s="967">
        <v>44439</v>
      </c>
      <c r="C672" s="966">
        <v>111000</v>
      </c>
      <c r="D672" s="966">
        <v>0</v>
      </c>
      <c r="E672" s="966">
        <v>0</v>
      </c>
      <c r="F672" s="966">
        <v>95620.74</v>
      </c>
      <c r="G672" s="966">
        <v>79132.698755999998</v>
      </c>
      <c r="H672" s="966">
        <v>6357.13</v>
      </c>
      <c r="I672" s="966">
        <v>17.46</v>
      </c>
      <c r="M672" s="969">
        <v>105704.332746</v>
      </c>
      <c r="Q672" s="967">
        <v>44439</v>
      </c>
      <c r="R672" s="966">
        <v>111000</v>
      </c>
      <c r="S672" s="966">
        <v>0.48999999888522</v>
      </c>
      <c r="T672" s="969">
        <v>0</v>
      </c>
      <c r="U672" s="966">
        <v>6357.13</v>
      </c>
      <c r="W672" s="971" t="e">
        <f t="shared" si="13"/>
        <v>#DIV/0!</v>
      </c>
      <c r="Y672" s="967">
        <v>44511</v>
      </c>
      <c r="Z672" s="974">
        <f ca="1">H622*Valuation_Senario!$L$372</f>
        <v>10124.511739619998</v>
      </c>
      <c r="AA672" s="973">
        <v>22.24</v>
      </c>
      <c r="AM672" s="967">
        <v>44439</v>
      </c>
      <c r="AN672" s="974">
        <v>111000</v>
      </c>
      <c r="AO672" s="976">
        <v>0.48999999888522</v>
      </c>
    </row>
    <row r="673" spans="1:41">
      <c r="A673" s="966">
        <v>666</v>
      </c>
      <c r="B673" s="967">
        <v>44438</v>
      </c>
      <c r="C673" s="966">
        <v>110600</v>
      </c>
      <c r="D673" s="966">
        <v>0</v>
      </c>
      <c r="E673" s="966">
        <v>0</v>
      </c>
      <c r="F673" s="966">
        <v>95335.58</v>
      </c>
      <c r="G673" s="966">
        <v>78847.535877600007</v>
      </c>
      <c r="H673" s="966">
        <v>6357.13</v>
      </c>
      <c r="I673" s="966">
        <v>17.399999999999999</v>
      </c>
      <c r="M673" s="969">
        <v>107241.5841225</v>
      </c>
      <c r="Q673" s="967">
        <v>44438</v>
      </c>
      <c r="R673" s="966">
        <v>110600</v>
      </c>
      <c r="S673" s="966">
        <v>0.48999999888522</v>
      </c>
      <c r="T673" s="969">
        <v>0</v>
      </c>
      <c r="U673" s="966">
        <v>6357.13</v>
      </c>
      <c r="W673" s="971" t="e">
        <f t="shared" si="13"/>
        <v>#DIV/0!</v>
      </c>
      <c r="Y673" s="967">
        <v>44510</v>
      </c>
      <c r="Z673" s="974">
        <f ca="1">H623*Valuation_Senario!$L$372</f>
        <v>10124.511739619998</v>
      </c>
      <c r="AA673" s="973">
        <v>21.66</v>
      </c>
      <c r="AM673" s="967">
        <v>44438</v>
      </c>
      <c r="AN673" s="974">
        <v>110600</v>
      </c>
      <c r="AO673" s="976">
        <v>0.48999999888522</v>
      </c>
    </row>
    <row r="674" spans="1:41">
      <c r="A674" s="966">
        <v>667</v>
      </c>
      <c r="B674" s="967">
        <v>44435</v>
      </c>
      <c r="C674" s="966">
        <v>164500</v>
      </c>
      <c r="D674" s="966">
        <v>0</v>
      </c>
      <c r="E674" s="966">
        <v>0</v>
      </c>
      <c r="F674" s="966">
        <v>94670.2</v>
      </c>
      <c r="G674" s="966">
        <v>78182.155828000003</v>
      </c>
      <c r="H674" s="966">
        <v>9631.85</v>
      </c>
      <c r="I674" s="966">
        <v>17.079999999999998</v>
      </c>
      <c r="M674" s="969">
        <v>102648.02327999999</v>
      </c>
      <c r="Q674" s="967">
        <v>44435</v>
      </c>
      <c r="R674" s="966">
        <v>164500</v>
      </c>
      <c r="S674" s="966">
        <v>0.48999999888522</v>
      </c>
      <c r="T674" s="969">
        <v>0</v>
      </c>
      <c r="U674" s="966">
        <v>9631.85</v>
      </c>
      <c r="W674" s="971" t="e">
        <f t="shared" si="13"/>
        <v>#DIV/0!</v>
      </c>
      <c r="Y674" s="967">
        <v>44509</v>
      </c>
      <c r="Z674" s="974">
        <f ca="1">H624*Valuation_Senario!$L$372</f>
        <v>10124.511739619998</v>
      </c>
      <c r="AA674" s="973">
        <v>21.41</v>
      </c>
      <c r="AM674" s="967">
        <v>44435</v>
      </c>
      <c r="AN674" s="974">
        <v>164500</v>
      </c>
      <c r="AO674" s="976">
        <v>0.48999999888522</v>
      </c>
    </row>
    <row r="675" spans="1:41">
      <c r="A675" s="966">
        <v>668</v>
      </c>
      <c r="B675" s="967">
        <v>44434</v>
      </c>
      <c r="C675" s="966">
        <v>162000</v>
      </c>
      <c r="D675" s="966">
        <v>27.648</v>
      </c>
      <c r="E675" s="966">
        <v>27.648</v>
      </c>
      <c r="F675" s="966">
        <v>93482.02</v>
      </c>
      <c r="G675" s="966">
        <v>76993.977167999998</v>
      </c>
      <c r="H675" s="966">
        <v>9631.85</v>
      </c>
      <c r="I675" s="966">
        <v>16.82</v>
      </c>
      <c r="M675" s="969">
        <v>99012.572455500005</v>
      </c>
      <c r="Q675" s="967">
        <v>44434</v>
      </c>
      <c r="R675" s="966">
        <v>162000</v>
      </c>
      <c r="S675" s="966">
        <v>0.48999999888522</v>
      </c>
      <c r="T675" s="969">
        <v>0</v>
      </c>
      <c r="U675" s="966">
        <v>9631.85</v>
      </c>
      <c r="W675" s="971" t="e">
        <f t="shared" si="13"/>
        <v>#DIV/0!</v>
      </c>
      <c r="Y675" s="967">
        <v>44508</v>
      </c>
      <c r="Z675" s="974">
        <f ca="1">H625*Valuation_Senario!$L$372</f>
        <v>10124.511739619998</v>
      </c>
      <c r="AA675" s="973">
        <v>21.68</v>
      </c>
      <c r="AM675" s="967">
        <v>44434</v>
      </c>
      <c r="AN675" s="974">
        <v>162000</v>
      </c>
      <c r="AO675" s="976">
        <v>0.48999999888522</v>
      </c>
    </row>
    <row r="676" spans="1:41">
      <c r="A676" s="966">
        <v>669</v>
      </c>
      <c r="B676" s="967">
        <v>44433</v>
      </c>
      <c r="C676" s="966">
        <v>161500</v>
      </c>
      <c r="D676" s="966">
        <v>37.283453100000003</v>
      </c>
      <c r="E676" s="966">
        <v>37.283453100000003</v>
      </c>
      <c r="F676" s="966">
        <v>93244.39</v>
      </c>
      <c r="G676" s="966">
        <v>76756.341436000002</v>
      </c>
      <c r="H676" s="966">
        <v>9631.85</v>
      </c>
      <c r="I676" s="966">
        <v>16.77</v>
      </c>
      <c r="M676" s="969">
        <v>95519.688330000004</v>
      </c>
      <c r="Q676" s="967">
        <v>44433</v>
      </c>
      <c r="R676" s="966">
        <v>161500</v>
      </c>
      <c r="S676" s="966">
        <v>0.48999999888522</v>
      </c>
      <c r="T676" s="969">
        <v>0</v>
      </c>
      <c r="U676" s="966">
        <v>9631.85</v>
      </c>
      <c r="W676" s="971" t="e">
        <f t="shared" si="13"/>
        <v>#DIV/0!</v>
      </c>
      <c r="Y676" s="967">
        <v>44505</v>
      </c>
      <c r="Z676" s="974">
        <f ca="1">H626*Valuation_Senario!$L$372</f>
        <v>10124.511739619998</v>
      </c>
      <c r="AA676" s="973">
        <v>21.74</v>
      </c>
      <c r="AM676" s="967">
        <v>44433</v>
      </c>
      <c r="AN676" s="974">
        <v>161500</v>
      </c>
      <c r="AO676" s="976">
        <v>0.48999999888522</v>
      </c>
    </row>
    <row r="677" spans="1:41">
      <c r="A677" s="966">
        <v>670</v>
      </c>
      <c r="B677" s="967">
        <v>44432</v>
      </c>
      <c r="C677" s="966">
        <v>160500</v>
      </c>
      <c r="D677" s="966">
        <v>0</v>
      </c>
      <c r="E677" s="966">
        <v>0</v>
      </c>
      <c r="F677" s="966">
        <v>92769.12</v>
      </c>
      <c r="G677" s="966">
        <v>76281.069971999998</v>
      </c>
      <c r="H677" s="966">
        <v>9631.85</v>
      </c>
      <c r="I677" s="966">
        <v>16.66</v>
      </c>
      <c r="M677" s="969">
        <v>96232.521825000003</v>
      </c>
      <c r="Q677" s="967">
        <v>44432</v>
      </c>
      <c r="R677" s="966">
        <v>160500</v>
      </c>
      <c r="S677" s="966">
        <v>0.48999999888522</v>
      </c>
      <c r="T677" s="969">
        <v>0</v>
      </c>
      <c r="U677" s="966">
        <v>9631.85</v>
      </c>
      <c r="W677" s="971" t="e">
        <f t="shared" si="13"/>
        <v>#DIV/0!</v>
      </c>
      <c r="Y677" s="967">
        <v>44504</v>
      </c>
      <c r="Z677" s="974">
        <f ca="1">H627*Valuation_Senario!$L$372</f>
        <v>10124.511739619998</v>
      </c>
      <c r="AA677" s="973">
        <v>21.4</v>
      </c>
      <c r="AM677" s="967">
        <v>44432</v>
      </c>
      <c r="AN677" s="974">
        <v>160500</v>
      </c>
      <c r="AO677" s="976">
        <v>0.48999999888522</v>
      </c>
    </row>
    <row r="678" spans="1:41">
      <c r="A678" s="966">
        <v>671</v>
      </c>
      <c r="B678" s="967">
        <v>44431</v>
      </c>
      <c r="C678" s="966">
        <v>158100</v>
      </c>
      <c r="D678" s="966">
        <v>26.31</v>
      </c>
      <c r="E678" s="966">
        <v>26.31</v>
      </c>
      <c r="F678" s="966">
        <v>91628.46</v>
      </c>
      <c r="G678" s="966">
        <v>75140.418458400003</v>
      </c>
      <c r="H678" s="966">
        <v>9631.85</v>
      </c>
      <c r="I678" s="966">
        <v>16.41</v>
      </c>
      <c r="M678" s="969">
        <v>96375.088524000006</v>
      </c>
      <c r="Q678" s="967">
        <v>44431</v>
      </c>
      <c r="R678" s="966">
        <v>158100</v>
      </c>
      <c r="S678" s="966">
        <v>0.48999999888522</v>
      </c>
      <c r="T678" s="969">
        <v>0</v>
      </c>
      <c r="U678" s="966">
        <v>9631.85</v>
      </c>
      <c r="W678" s="971" t="e">
        <f t="shared" si="13"/>
        <v>#DIV/0!</v>
      </c>
      <c r="Y678" s="967">
        <v>44503</v>
      </c>
      <c r="Z678" s="974">
        <f ca="1">H628*Valuation_Senario!$L$372</f>
        <v>10124.511739619998</v>
      </c>
      <c r="AA678" s="973">
        <v>21.22</v>
      </c>
      <c r="AM678" s="967">
        <v>44431</v>
      </c>
      <c r="AN678" s="974">
        <v>158100</v>
      </c>
      <c r="AO678" s="976">
        <v>0.48999999888522</v>
      </c>
    </row>
    <row r="679" spans="1:41">
      <c r="A679" s="966">
        <v>672</v>
      </c>
      <c r="B679" s="967">
        <v>44428</v>
      </c>
      <c r="C679" s="966">
        <v>164000</v>
      </c>
      <c r="D679" s="966">
        <v>116.7885</v>
      </c>
      <c r="E679" s="966">
        <v>116.7885</v>
      </c>
      <c r="F679" s="966">
        <v>94432.57</v>
      </c>
      <c r="G679" s="966">
        <v>77944.520095999993</v>
      </c>
      <c r="H679" s="966">
        <v>9631.85</v>
      </c>
      <c r="I679" s="966">
        <v>17.03</v>
      </c>
      <c r="M679" s="969">
        <v>96161.238475499995</v>
      </c>
      <c r="Q679" s="967">
        <v>44428</v>
      </c>
      <c r="R679" s="966">
        <v>164000</v>
      </c>
      <c r="S679" s="966">
        <v>0.48999999888522</v>
      </c>
      <c r="T679" s="969">
        <v>0</v>
      </c>
      <c r="U679" s="966">
        <v>9631.85</v>
      </c>
      <c r="W679" s="971" t="e">
        <f t="shared" si="13"/>
        <v>#DIV/0!</v>
      </c>
      <c r="Y679" s="967">
        <v>44502</v>
      </c>
      <c r="Z679" s="974">
        <f ca="1">H629*Valuation_Senario!$L$372</f>
        <v>10124.511739619998</v>
      </c>
      <c r="AA679" s="973">
        <v>21.23</v>
      </c>
      <c r="AM679" s="967">
        <v>44428</v>
      </c>
      <c r="AN679" s="974">
        <v>164000</v>
      </c>
      <c r="AO679" s="976">
        <v>0.48999999888522</v>
      </c>
    </row>
    <row r="680" spans="1:41">
      <c r="A680" s="966">
        <v>673</v>
      </c>
      <c r="B680" s="967">
        <v>44427</v>
      </c>
      <c r="C680" s="966">
        <v>172500</v>
      </c>
      <c r="D680" s="966">
        <v>35.055</v>
      </c>
      <c r="E680" s="966">
        <v>35.055</v>
      </c>
      <c r="F680" s="966">
        <v>98472.37</v>
      </c>
      <c r="G680" s="966">
        <v>81984.327539999998</v>
      </c>
      <c r="H680" s="966">
        <v>9631.85</v>
      </c>
      <c r="I680" s="966">
        <v>17.91</v>
      </c>
      <c r="M680" s="969">
        <v>93808.887942000001</v>
      </c>
      <c r="Q680" s="967">
        <v>44427</v>
      </c>
      <c r="R680" s="966">
        <v>172500</v>
      </c>
      <c r="S680" s="966">
        <v>0.48999999888522</v>
      </c>
      <c r="T680" s="969">
        <v>0</v>
      </c>
      <c r="U680" s="966">
        <v>9631.85</v>
      </c>
      <c r="W680" s="971" t="e">
        <f t="shared" si="13"/>
        <v>#DIV/0!</v>
      </c>
      <c r="Y680" s="967">
        <v>44501</v>
      </c>
      <c r="Z680" s="974">
        <f ca="1">H630*Valuation_Senario!$L$372</f>
        <v>10124.511739619998</v>
      </c>
      <c r="AA680" s="973">
        <v>21.41</v>
      </c>
      <c r="AM680" s="967">
        <v>44427</v>
      </c>
      <c r="AN680" s="974">
        <v>172500</v>
      </c>
      <c r="AO680" s="976">
        <v>0.48999999888522</v>
      </c>
    </row>
    <row r="681" spans="1:41">
      <c r="A681" s="966">
        <v>674</v>
      </c>
      <c r="B681" s="967">
        <v>44426</v>
      </c>
      <c r="C681" s="966">
        <v>172500</v>
      </c>
      <c r="D681" s="966">
        <v>52.565446600000001</v>
      </c>
      <c r="E681" s="966">
        <v>52.565446600000001</v>
      </c>
      <c r="F681" s="966">
        <v>98472.37</v>
      </c>
      <c r="G681" s="966">
        <v>81984.327539999998</v>
      </c>
      <c r="H681" s="966">
        <v>9631.85</v>
      </c>
      <c r="I681" s="966">
        <v>17.91</v>
      </c>
      <c r="M681" s="969">
        <v>93238.621146000005</v>
      </c>
      <c r="Q681" s="967">
        <v>44426</v>
      </c>
      <c r="R681" s="966">
        <v>172500</v>
      </c>
      <c r="S681" s="966">
        <v>0.48999999888522</v>
      </c>
      <c r="T681" s="969">
        <v>0</v>
      </c>
      <c r="U681" s="966">
        <v>9631.85</v>
      </c>
      <c r="W681" s="971" t="e">
        <f t="shared" si="13"/>
        <v>#DIV/0!</v>
      </c>
      <c r="Y681" s="967">
        <v>44498</v>
      </c>
      <c r="Z681" s="974">
        <f ca="1">H631*Valuation_Senario!$L$372</f>
        <v>10124.511739619998</v>
      </c>
      <c r="AA681" s="973">
        <v>21.65</v>
      </c>
      <c r="AM681" s="967">
        <v>44426</v>
      </c>
      <c r="AN681" s="974">
        <v>172500</v>
      </c>
      <c r="AO681" s="976">
        <v>0.48999999888522</v>
      </c>
    </row>
    <row r="682" spans="1:41">
      <c r="A682" s="966">
        <v>675</v>
      </c>
      <c r="B682" s="967">
        <v>44425</v>
      </c>
      <c r="C682" s="966">
        <v>169900</v>
      </c>
      <c r="D682" s="966">
        <v>9.1</v>
      </c>
      <c r="E682" s="966">
        <v>9.1</v>
      </c>
      <c r="F682" s="966">
        <v>97236.67</v>
      </c>
      <c r="G682" s="966">
        <v>80748.621733599997</v>
      </c>
      <c r="H682" s="966">
        <v>9631.85</v>
      </c>
      <c r="I682" s="966">
        <v>17.64</v>
      </c>
      <c r="M682" s="969">
        <v>93666.321242999999</v>
      </c>
      <c r="Q682" s="967">
        <v>44425</v>
      </c>
      <c r="R682" s="966">
        <v>169900</v>
      </c>
      <c r="S682" s="966">
        <v>0.48999999888522</v>
      </c>
      <c r="T682" s="969">
        <v>0</v>
      </c>
      <c r="U682" s="966">
        <v>9631.85</v>
      </c>
      <c r="W682" s="971" t="e">
        <f t="shared" si="13"/>
        <v>#DIV/0!</v>
      </c>
      <c r="Y682" s="967">
        <v>44497</v>
      </c>
      <c r="Z682" s="974">
        <f ca="1">H632*Valuation_Senario!$L$372</f>
        <v>10124.511739619998</v>
      </c>
      <c r="AA682" s="973">
        <v>20.76</v>
      </c>
      <c r="AM682" s="967">
        <v>44425</v>
      </c>
      <c r="AN682" s="974">
        <v>169900</v>
      </c>
      <c r="AO682" s="976">
        <v>0.48999999888522</v>
      </c>
    </row>
    <row r="683" spans="1:41">
      <c r="A683" s="966">
        <v>676</v>
      </c>
      <c r="B683" s="967">
        <v>44424</v>
      </c>
      <c r="C683" s="966">
        <v>170100</v>
      </c>
      <c r="D683" s="966">
        <v>245.54325</v>
      </c>
      <c r="E683" s="966">
        <v>245.54325</v>
      </c>
      <c r="F683" s="966">
        <v>97331.72</v>
      </c>
      <c r="G683" s="966">
        <v>80843.676026400004</v>
      </c>
      <c r="H683" s="966">
        <v>9631.85</v>
      </c>
      <c r="I683" s="966">
        <v>17.66</v>
      </c>
      <c r="M683" s="969">
        <v>93666.321242999999</v>
      </c>
      <c r="Q683" s="967">
        <v>44424</v>
      </c>
      <c r="R683" s="966">
        <v>170100</v>
      </c>
      <c r="S683" s="966">
        <v>0.48999999888522</v>
      </c>
      <c r="T683" s="969">
        <v>0</v>
      </c>
      <c r="U683" s="966">
        <v>9631.85</v>
      </c>
      <c r="W683" s="971" t="e">
        <f t="shared" si="13"/>
        <v>#DIV/0!</v>
      </c>
      <c r="Y683" s="967">
        <v>44496</v>
      </c>
      <c r="Z683" s="974">
        <f ca="1">H633*Valuation_Senario!$L$372</f>
        <v>10124.511739619998</v>
      </c>
      <c r="AA683" s="973">
        <v>20.76</v>
      </c>
      <c r="AM683" s="967">
        <v>44424</v>
      </c>
      <c r="AN683" s="974">
        <v>170100</v>
      </c>
      <c r="AO683" s="976">
        <v>0.48999999888522</v>
      </c>
    </row>
    <row r="684" spans="1:41">
      <c r="A684" s="966">
        <v>677</v>
      </c>
      <c r="B684" s="967">
        <v>44421</v>
      </c>
      <c r="C684" s="966">
        <v>171000</v>
      </c>
      <c r="D684" s="966">
        <v>17.2805</v>
      </c>
      <c r="E684" s="966">
        <v>17.2805</v>
      </c>
      <c r="F684" s="966">
        <v>97759.47</v>
      </c>
      <c r="G684" s="966">
        <v>81271.420343999998</v>
      </c>
      <c r="H684" s="966">
        <v>9631.85</v>
      </c>
      <c r="I684" s="966">
        <v>17.75</v>
      </c>
      <c r="M684" s="969">
        <v>93880.171291499995</v>
      </c>
      <c r="Q684" s="967">
        <v>44421</v>
      </c>
      <c r="R684" s="966">
        <v>171000</v>
      </c>
      <c r="S684" s="966">
        <v>0.48999999888522</v>
      </c>
      <c r="T684" s="969">
        <v>0</v>
      </c>
      <c r="U684" s="966">
        <v>9631.85</v>
      </c>
      <c r="W684" s="971" t="e">
        <f t="shared" si="13"/>
        <v>#DIV/0!</v>
      </c>
      <c r="Y684" s="967">
        <v>44495</v>
      </c>
      <c r="Z684" s="974">
        <f ca="1">H634*Valuation_Senario!$L$372</f>
        <v>10124.511739619998</v>
      </c>
      <c r="AA684" s="973">
        <v>20.13</v>
      </c>
      <c r="AM684" s="967">
        <v>44421</v>
      </c>
      <c r="AN684" s="974">
        <v>171000</v>
      </c>
      <c r="AO684" s="976">
        <v>0.48999999888522</v>
      </c>
    </row>
    <row r="685" spans="1:41">
      <c r="A685" s="966">
        <v>678</v>
      </c>
      <c r="B685" s="967">
        <v>44420</v>
      </c>
      <c r="C685" s="966">
        <v>170000</v>
      </c>
      <c r="D685" s="966">
        <v>56.16</v>
      </c>
      <c r="E685" s="966">
        <v>56.16</v>
      </c>
      <c r="F685" s="966">
        <v>97284.19</v>
      </c>
      <c r="G685" s="966">
        <v>80796.148879999993</v>
      </c>
      <c r="H685" s="966">
        <v>9631.85</v>
      </c>
      <c r="I685" s="966">
        <v>17.649999999999999</v>
      </c>
      <c r="M685" s="969">
        <v>94806.854835000006</v>
      </c>
      <c r="Q685" s="967">
        <v>44420</v>
      </c>
      <c r="R685" s="966">
        <v>170000</v>
      </c>
      <c r="S685" s="966">
        <v>0.48999999888522</v>
      </c>
      <c r="T685" s="969">
        <v>0</v>
      </c>
      <c r="U685" s="966">
        <v>9631.85</v>
      </c>
      <c r="W685" s="971" t="e">
        <f t="shared" si="13"/>
        <v>#DIV/0!</v>
      </c>
      <c r="Y685" s="967">
        <v>44494</v>
      </c>
      <c r="Z685" s="974">
        <f ca="1">H635*Valuation_Senario!$L$372</f>
        <v>10124.511739619998</v>
      </c>
      <c r="AA685" s="973">
        <v>20.2</v>
      </c>
      <c r="AM685" s="967">
        <v>44420</v>
      </c>
      <c r="AN685" s="974">
        <v>170000</v>
      </c>
      <c r="AO685" s="976">
        <v>0.48999999888522</v>
      </c>
    </row>
    <row r="686" spans="1:41">
      <c r="A686" s="966">
        <v>679</v>
      </c>
      <c r="B686" s="967">
        <v>44419</v>
      </c>
      <c r="C686" s="966">
        <v>175000</v>
      </c>
      <c r="D686" s="966">
        <v>0</v>
      </c>
      <c r="E686" s="966">
        <v>0</v>
      </c>
      <c r="F686" s="966">
        <v>99660.55</v>
      </c>
      <c r="G686" s="966">
        <v>83172.506200000003</v>
      </c>
      <c r="H686" s="966">
        <v>9631.85</v>
      </c>
      <c r="I686" s="966">
        <v>18.170000000000002</v>
      </c>
      <c r="M686" s="969">
        <v>95163.271582500005</v>
      </c>
      <c r="Q686" s="967">
        <v>44419</v>
      </c>
      <c r="R686" s="966">
        <v>175000</v>
      </c>
      <c r="S686" s="966">
        <v>0.48999999888522</v>
      </c>
      <c r="T686" s="969">
        <v>0</v>
      </c>
      <c r="U686" s="966">
        <v>9631.85</v>
      </c>
      <c r="W686" s="971" t="e">
        <f t="shared" si="13"/>
        <v>#DIV/0!</v>
      </c>
      <c r="Y686" s="967">
        <v>44491</v>
      </c>
      <c r="Z686" s="974">
        <f ca="1">H636*Valuation_Senario!$L$372</f>
        <v>10124.511739619998</v>
      </c>
      <c r="AA686" s="973">
        <v>20.07</v>
      </c>
      <c r="AM686" s="967">
        <v>44419</v>
      </c>
      <c r="AN686" s="974">
        <v>175000</v>
      </c>
      <c r="AO686" s="976">
        <v>0.48999999888522</v>
      </c>
    </row>
    <row r="687" spans="1:41">
      <c r="A687" s="966">
        <v>680</v>
      </c>
      <c r="B687" s="967">
        <v>44418</v>
      </c>
      <c r="C687" s="966">
        <v>173900</v>
      </c>
      <c r="D687" s="966">
        <v>0</v>
      </c>
      <c r="E687" s="966">
        <v>0</v>
      </c>
      <c r="F687" s="966">
        <v>99137.75</v>
      </c>
      <c r="G687" s="966">
        <v>82649.707589600002</v>
      </c>
      <c r="H687" s="966">
        <v>9631.85</v>
      </c>
      <c r="I687" s="966">
        <v>18.05</v>
      </c>
      <c r="M687" s="969">
        <v>95377.121631000002</v>
      </c>
      <c r="Q687" s="967">
        <v>44418</v>
      </c>
      <c r="R687" s="966">
        <v>173900</v>
      </c>
      <c r="S687" s="966">
        <v>0.48999999888522</v>
      </c>
      <c r="T687" s="969">
        <v>0</v>
      </c>
      <c r="U687" s="966">
        <v>9631.85</v>
      </c>
      <c r="W687" s="971" t="e">
        <f t="shared" si="13"/>
        <v>#DIV/0!</v>
      </c>
      <c r="Y687" s="967">
        <v>44490</v>
      </c>
      <c r="Z687" s="974">
        <f ca="1">H637*Valuation_Senario!$L$372</f>
        <v>10124.511739619998</v>
      </c>
      <c r="AA687" s="973">
        <v>19.98</v>
      </c>
      <c r="AM687" s="967">
        <v>44418</v>
      </c>
      <c r="AN687" s="974">
        <v>173900</v>
      </c>
      <c r="AO687" s="976">
        <v>0.48999999888522</v>
      </c>
    </row>
    <row r="688" spans="1:41">
      <c r="A688" s="966">
        <v>681</v>
      </c>
      <c r="B688" s="967">
        <v>44417</v>
      </c>
      <c r="C688" s="966">
        <v>173800</v>
      </c>
      <c r="D688" s="966">
        <v>0</v>
      </c>
      <c r="E688" s="966">
        <v>0</v>
      </c>
      <c r="F688" s="966">
        <v>99090.23</v>
      </c>
      <c r="G688" s="966">
        <v>82602.180443200006</v>
      </c>
      <c r="H688" s="966">
        <v>9631.85</v>
      </c>
      <c r="I688" s="966">
        <v>18.04</v>
      </c>
      <c r="M688" s="969">
        <v>95662.255029000007</v>
      </c>
      <c r="Q688" s="967">
        <v>44417</v>
      </c>
      <c r="R688" s="966">
        <v>173800</v>
      </c>
      <c r="S688" s="966">
        <v>0.48999999888522</v>
      </c>
      <c r="T688" s="969">
        <v>0</v>
      </c>
      <c r="U688" s="966">
        <v>9631.85</v>
      </c>
      <c r="W688" s="971" t="e">
        <f t="shared" si="13"/>
        <v>#DIV/0!</v>
      </c>
      <c r="Y688" s="967">
        <v>44489</v>
      </c>
      <c r="Z688" s="974">
        <f ca="1">H638*Valuation_Senario!$L$372</f>
        <v>10124.511739619998</v>
      </c>
      <c r="AA688" s="973">
        <v>20.32</v>
      </c>
      <c r="AM688" s="967">
        <v>44417</v>
      </c>
      <c r="AN688" s="974">
        <v>173800</v>
      </c>
      <c r="AO688" s="976">
        <v>0.48999999888522</v>
      </c>
    </row>
    <row r="689" spans="1:41">
      <c r="A689" s="966">
        <v>682</v>
      </c>
      <c r="B689" s="967">
        <v>44414</v>
      </c>
      <c r="C689" s="966">
        <v>171500</v>
      </c>
      <c r="D689" s="966">
        <v>0</v>
      </c>
      <c r="E689" s="966">
        <v>0</v>
      </c>
      <c r="F689" s="966">
        <v>97997.1</v>
      </c>
      <c r="G689" s="966">
        <v>81509.056075999993</v>
      </c>
      <c r="H689" s="966">
        <v>9631.85</v>
      </c>
      <c r="I689" s="966">
        <v>17.809999999999999</v>
      </c>
      <c r="M689" s="969">
        <v>95662.255029000007</v>
      </c>
      <c r="Q689" s="967">
        <v>44414</v>
      </c>
      <c r="R689" s="966">
        <v>171500</v>
      </c>
      <c r="S689" s="966">
        <v>0.48999999888522</v>
      </c>
      <c r="T689" s="969">
        <v>0</v>
      </c>
      <c r="U689" s="966">
        <v>9631.85</v>
      </c>
      <c r="W689" s="971" t="e">
        <f t="shared" si="13"/>
        <v>#DIV/0!</v>
      </c>
      <c r="Y689" s="967">
        <v>44488</v>
      </c>
      <c r="Z689" s="974">
        <f ca="1">H639*Valuation_Senario!$L$372</f>
        <v>10124.511739619998</v>
      </c>
      <c r="AA689" s="973">
        <v>20.399999999999999</v>
      </c>
      <c r="AM689" s="967">
        <v>44414</v>
      </c>
      <c r="AN689" s="974">
        <v>171500</v>
      </c>
      <c r="AO689" s="976">
        <v>0.48999999888522</v>
      </c>
    </row>
    <row r="690" spans="1:41">
      <c r="A690" s="966">
        <v>683</v>
      </c>
      <c r="B690" s="967">
        <v>44413</v>
      </c>
      <c r="C690" s="966">
        <v>173000</v>
      </c>
      <c r="D690" s="966">
        <v>0</v>
      </c>
      <c r="E690" s="966">
        <v>0</v>
      </c>
      <c r="F690" s="966">
        <v>98710.01</v>
      </c>
      <c r="G690" s="966">
        <v>82221.963271999994</v>
      </c>
      <c r="H690" s="966">
        <v>9631.85</v>
      </c>
      <c r="I690" s="966">
        <v>17.96</v>
      </c>
      <c r="M690" s="969">
        <v>96802.788621</v>
      </c>
      <c r="Q690" s="967">
        <v>44413</v>
      </c>
      <c r="R690" s="966">
        <v>173000</v>
      </c>
      <c r="S690" s="966">
        <v>0.48999999888522</v>
      </c>
      <c r="T690" s="969">
        <v>0</v>
      </c>
      <c r="U690" s="966">
        <v>9631.85</v>
      </c>
      <c r="W690" s="971" t="e">
        <f t="shared" si="13"/>
        <v>#DIV/0!</v>
      </c>
      <c r="Y690" s="967">
        <v>44487</v>
      </c>
      <c r="Z690" s="974">
        <f ca="1">H640*Valuation_Senario!$L$372</f>
        <v>10124.511739619998</v>
      </c>
      <c r="AA690" s="973">
        <v>20.56</v>
      </c>
      <c r="AM690" s="967">
        <v>44413</v>
      </c>
      <c r="AN690" s="974">
        <v>173000</v>
      </c>
      <c r="AO690" s="976">
        <v>0.48999999888522</v>
      </c>
    </row>
    <row r="691" spans="1:41">
      <c r="A691" s="966">
        <v>684</v>
      </c>
      <c r="B691" s="967">
        <v>44412</v>
      </c>
      <c r="C691" s="966">
        <v>170000</v>
      </c>
      <c r="D691" s="966">
        <v>18.170000000000002</v>
      </c>
      <c r="E691" s="966">
        <v>18.170000000000002</v>
      </c>
      <c r="F691" s="966">
        <v>97284.19</v>
      </c>
      <c r="G691" s="966">
        <v>80796.148879999993</v>
      </c>
      <c r="H691" s="966">
        <v>9631.85</v>
      </c>
      <c r="I691" s="966">
        <v>17.649999999999999</v>
      </c>
      <c r="M691" s="969">
        <v>97301.772067500002</v>
      </c>
      <c r="Q691" s="967">
        <v>44412</v>
      </c>
      <c r="R691" s="966">
        <v>170000</v>
      </c>
      <c r="S691" s="966">
        <v>0.48999999888522</v>
      </c>
      <c r="T691" s="969">
        <v>0</v>
      </c>
      <c r="U691" s="966">
        <v>9631.85</v>
      </c>
      <c r="W691" s="971" t="e">
        <f t="shared" si="13"/>
        <v>#DIV/0!</v>
      </c>
      <c r="Y691" s="967">
        <v>44484</v>
      </c>
      <c r="Z691" s="974">
        <f ca="1">H641*Valuation_Senario!$L$372</f>
        <v>10124.511739619998</v>
      </c>
      <c r="AA691" s="973">
        <v>20.83</v>
      </c>
      <c r="AM691" s="967">
        <v>44412</v>
      </c>
      <c r="AN691" s="974">
        <v>170000</v>
      </c>
      <c r="AO691" s="976">
        <v>0.48999999888522</v>
      </c>
    </row>
    <row r="692" spans="1:41">
      <c r="A692" s="966">
        <v>685</v>
      </c>
      <c r="B692" s="967">
        <v>44411</v>
      </c>
      <c r="C692" s="966">
        <v>169900</v>
      </c>
      <c r="D692" s="966">
        <v>5.4509999999999996</v>
      </c>
      <c r="E692" s="966">
        <v>5.4509999999999996</v>
      </c>
      <c r="F692" s="966">
        <v>97236.67</v>
      </c>
      <c r="G692" s="966">
        <v>80748.621733599997</v>
      </c>
      <c r="H692" s="966">
        <v>9631.85</v>
      </c>
      <c r="I692" s="966">
        <v>17.64</v>
      </c>
      <c r="M692" s="969">
        <v>95876.105077500004</v>
      </c>
      <c r="Q692" s="967">
        <v>44411</v>
      </c>
      <c r="R692" s="966">
        <v>169900</v>
      </c>
      <c r="S692" s="966">
        <v>0.48999999888522</v>
      </c>
      <c r="T692" s="969">
        <v>0</v>
      </c>
      <c r="U692" s="966">
        <v>9631.85</v>
      </c>
      <c r="W692" s="971" t="e">
        <f t="shared" si="13"/>
        <v>#DIV/0!</v>
      </c>
      <c r="Y692" s="967">
        <v>44483</v>
      </c>
      <c r="Z692" s="974">
        <f ca="1">H642*Valuation_Senario!$L$372</f>
        <v>10124.511739619998</v>
      </c>
      <c r="AA692" s="973">
        <v>21</v>
      </c>
      <c r="AM692" s="967">
        <v>44411</v>
      </c>
      <c r="AN692" s="974">
        <v>169900</v>
      </c>
      <c r="AO692" s="976">
        <v>0.48999999888522</v>
      </c>
    </row>
    <row r="693" spans="1:41">
      <c r="A693" s="966">
        <v>686</v>
      </c>
      <c r="B693" s="967">
        <v>44410</v>
      </c>
      <c r="C693" s="966">
        <v>169900</v>
      </c>
      <c r="D693" s="966">
        <v>145.89314999999999</v>
      </c>
      <c r="E693" s="966">
        <v>145.89314999999999</v>
      </c>
      <c r="F693" s="966">
        <v>97236.67</v>
      </c>
      <c r="G693" s="966">
        <v>80748.621733599997</v>
      </c>
      <c r="H693" s="966">
        <v>9631.85</v>
      </c>
      <c r="I693" s="966">
        <v>17.64</v>
      </c>
      <c r="M693" s="969">
        <v>96945.355320000002</v>
      </c>
      <c r="Q693" s="967">
        <v>44410</v>
      </c>
      <c r="R693" s="966">
        <v>169900</v>
      </c>
      <c r="S693" s="966">
        <v>0.48999999888522</v>
      </c>
      <c r="T693" s="969">
        <v>0</v>
      </c>
      <c r="U693" s="966">
        <v>9631.85</v>
      </c>
      <c r="W693" s="971" t="e">
        <f t="shared" si="13"/>
        <v>#DIV/0!</v>
      </c>
      <c r="Y693" s="967">
        <v>44482</v>
      </c>
      <c r="Z693" s="974">
        <f ca="1">H643*Valuation_Senario!$L$372</f>
        <v>10124.511739619998</v>
      </c>
      <c r="AA693" s="973">
        <v>21.06</v>
      </c>
      <c r="AM693" s="967">
        <v>44410</v>
      </c>
      <c r="AN693" s="974">
        <v>169900</v>
      </c>
      <c r="AO693" s="976">
        <v>0.48999999888522</v>
      </c>
    </row>
    <row r="694" spans="1:41">
      <c r="A694" s="966">
        <v>687</v>
      </c>
      <c r="B694" s="967">
        <v>44407</v>
      </c>
      <c r="C694" s="966">
        <v>164100</v>
      </c>
      <c r="D694" s="966">
        <v>165.39500000000001</v>
      </c>
      <c r="E694" s="966">
        <v>165.39500000000001</v>
      </c>
      <c r="F694" s="966">
        <v>94486.5</v>
      </c>
      <c r="G694" s="966">
        <v>77998.452885899998</v>
      </c>
      <c r="H694" s="966">
        <v>9631.0400000000009</v>
      </c>
      <c r="I694" s="966">
        <v>17.04</v>
      </c>
      <c r="M694" s="969">
        <v>96945.355320000002</v>
      </c>
      <c r="Q694" s="967">
        <v>44407</v>
      </c>
      <c r="R694" s="966">
        <v>164100</v>
      </c>
      <c r="S694" s="966">
        <v>0.48999999888522</v>
      </c>
      <c r="T694" s="969">
        <v>0</v>
      </c>
      <c r="U694" s="966">
        <v>9631.0400000000009</v>
      </c>
      <c r="W694" s="971" t="e">
        <f t="shared" si="13"/>
        <v>#DIV/0!</v>
      </c>
      <c r="Y694" s="967">
        <v>44481</v>
      </c>
      <c r="Z694" s="974">
        <f ca="1">H644*Valuation_Senario!$L$372</f>
        <v>10124.511739619998</v>
      </c>
      <c r="AA694" s="973">
        <v>20.78</v>
      </c>
      <c r="AM694" s="967">
        <v>44407</v>
      </c>
      <c r="AN694" s="974">
        <v>164100</v>
      </c>
      <c r="AO694" s="976">
        <v>0.48999999888522</v>
      </c>
    </row>
    <row r="695" spans="1:41">
      <c r="A695" s="966">
        <v>688</v>
      </c>
      <c r="B695" s="967">
        <v>44406</v>
      </c>
      <c r="C695" s="966">
        <v>162800</v>
      </c>
      <c r="D695" s="966">
        <v>0</v>
      </c>
      <c r="E695" s="966">
        <v>0</v>
      </c>
      <c r="F695" s="966">
        <v>93868.59</v>
      </c>
      <c r="G695" s="966">
        <v>77380.549237200001</v>
      </c>
      <c r="H695" s="966">
        <v>9631.0400000000009</v>
      </c>
      <c r="I695" s="966">
        <v>16.899999999999999</v>
      </c>
      <c r="M695" s="969">
        <v>98085.888911999995</v>
      </c>
      <c r="Q695" s="967">
        <v>44406</v>
      </c>
      <c r="R695" s="966">
        <v>162800</v>
      </c>
      <c r="S695" s="966">
        <v>0.48999999888522</v>
      </c>
      <c r="T695" s="969">
        <v>0</v>
      </c>
      <c r="U695" s="966">
        <v>9631.0400000000009</v>
      </c>
      <c r="W695" s="971" t="e">
        <f t="shared" si="13"/>
        <v>#DIV/0!</v>
      </c>
      <c r="Y695" s="967">
        <v>44480</v>
      </c>
      <c r="Z695" s="974">
        <f ca="1">H645*Valuation_Senario!$L$372</f>
        <v>10124.511739619998</v>
      </c>
      <c r="AA695" s="973">
        <v>20.37</v>
      </c>
      <c r="AM695" s="967">
        <v>44406</v>
      </c>
      <c r="AN695" s="974">
        <v>162800</v>
      </c>
      <c r="AO695" s="976">
        <v>0.48999999888522</v>
      </c>
    </row>
    <row r="696" spans="1:41">
      <c r="A696" s="966">
        <v>689</v>
      </c>
      <c r="B696" s="967">
        <v>44405</v>
      </c>
      <c r="C696" s="966">
        <v>157100</v>
      </c>
      <c r="D696" s="966">
        <v>0</v>
      </c>
      <c r="E696" s="966">
        <v>0</v>
      </c>
      <c r="F696" s="966">
        <v>91065.33</v>
      </c>
      <c r="G696" s="966">
        <v>74671.279392900004</v>
      </c>
      <c r="H696" s="966">
        <v>8993.07</v>
      </c>
      <c r="I696" s="966">
        <v>17.47</v>
      </c>
      <c r="M696" s="969">
        <v>97515.622115999999</v>
      </c>
      <c r="Q696" s="967">
        <v>44405</v>
      </c>
      <c r="R696" s="966">
        <v>157100</v>
      </c>
      <c r="S696" s="966">
        <v>0.48999999888522</v>
      </c>
      <c r="T696" s="969">
        <v>0</v>
      </c>
      <c r="U696" s="966">
        <v>8993.07</v>
      </c>
      <c r="W696" s="971" t="e">
        <f t="shared" si="13"/>
        <v>#DIV/0!</v>
      </c>
      <c r="Y696" s="967">
        <v>44477</v>
      </c>
      <c r="Z696" s="974">
        <f ca="1">H646*Valuation_Senario!$L$372</f>
        <v>10124.511739619998</v>
      </c>
      <c r="AA696" s="973">
        <v>20.260000000000002</v>
      </c>
      <c r="AM696" s="967">
        <v>44405</v>
      </c>
      <c r="AN696" s="974">
        <v>157100</v>
      </c>
      <c r="AO696" s="976">
        <v>0.48999999888522</v>
      </c>
    </row>
    <row r="697" spans="1:41">
      <c r="A697" s="966">
        <v>690</v>
      </c>
      <c r="B697" s="967">
        <v>44404</v>
      </c>
      <c r="C697" s="966">
        <v>158000</v>
      </c>
      <c r="D697" s="966">
        <v>154.98804999999999</v>
      </c>
      <c r="E697" s="966">
        <v>154.98804999999999</v>
      </c>
      <c r="F697" s="966">
        <v>91493.11</v>
      </c>
      <c r="G697" s="966">
        <v>75099.058841999999</v>
      </c>
      <c r="H697" s="966">
        <v>8993.58</v>
      </c>
      <c r="I697" s="966">
        <v>17.57</v>
      </c>
      <c r="M697" s="969">
        <v>98228.455610999998</v>
      </c>
      <c r="Q697" s="967">
        <v>44404</v>
      </c>
      <c r="R697" s="966">
        <v>158000</v>
      </c>
      <c r="S697" s="966">
        <v>0.48999999888522</v>
      </c>
      <c r="T697" s="969">
        <v>0</v>
      </c>
      <c r="U697" s="966">
        <v>8993.58</v>
      </c>
      <c r="W697" s="971" t="e">
        <f t="shared" si="13"/>
        <v>#DIV/0!</v>
      </c>
      <c r="Y697" s="967">
        <v>44476</v>
      </c>
      <c r="Z697" s="974">
        <f ca="1">H647*Valuation_Senario!$L$372</f>
        <v>10124.511739619998</v>
      </c>
      <c r="AA697" s="973">
        <v>20.13</v>
      </c>
      <c r="AM697" s="967">
        <v>44404</v>
      </c>
      <c r="AN697" s="974">
        <v>158000</v>
      </c>
      <c r="AO697" s="976">
        <v>0.48999999888522</v>
      </c>
    </row>
    <row r="698" spans="1:41">
      <c r="A698" s="966">
        <v>691</v>
      </c>
      <c r="B698" s="967">
        <v>44403</v>
      </c>
      <c r="C698" s="966">
        <v>160300</v>
      </c>
      <c r="D698" s="966">
        <v>20.950299999999999</v>
      </c>
      <c r="E698" s="966">
        <v>20.950299999999999</v>
      </c>
      <c r="F698" s="966">
        <v>92586.33</v>
      </c>
      <c r="G698" s="966">
        <v>76192.272989699995</v>
      </c>
      <c r="H698" s="966">
        <v>8994.09</v>
      </c>
      <c r="I698" s="966">
        <v>17.82</v>
      </c>
      <c r="M698" s="969">
        <v>98157.172261500004</v>
      </c>
      <c r="Q698" s="967">
        <v>44403</v>
      </c>
      <c r="R698" s="966">
        <v>160300</v>
      </c>
      <c r="S698" s="966">
        <v>0.48999999888522</v>
      </c>
      <c r="T698" s="969">
        <v>0</v>
      </c>
      <c r="U698" s="966">
        <v>8994.09</v>
      </c>
      <c r="W698" s="971" t="e">
        <f t="shared" si="13"/>
        <v>#DIV/0!</v>
      </c>
      <c r="Y698" s="967">
        <v>44475</v>
      </c>
      <c r="Z698" s="974">
        <f ca="1">H648*Valuation_Senario!$L$372</f>
        <v>10124.511739619998</v>
      </c>
      <c r="AA698" s="973">
        <v>20.18</v>
      </c>
      <c r="AM698" s="967">
        <v>44403</v>
      </c>
      <c r="AN698" s="974">
        <v>160300</v>
      </c>
      <c r="AO698" s="976">
        <v>0.48999999888522</v>
      </c>
    </row>
    <row r="699" spans="1:41">
      <c r="A699" s="966">
        <v>692</v>
      </c>
      <c r="B699" s="967">
        <v>44400</v>
      </c>
      <c r="C699" s="966">
        <v>161700</v>
      </c>
      <c r="D699" s="966">
        <v>143.55237049999999</v>
      </c>
      <c r="E699" s="966">
        <v>143.53606049999999</v>
      </c>
      <c r="F699" s="966">
        <v>93251.76</v>
      </c>
      <c r="G699" s="966">
        <v>76857.707688299997</v>
      </c>
      <c r="H699" s="966">
        <v>8995.61</v>
      </c>
      <c r="I699" s="966">
        <v>17.98</v>
      </c>
      <c r="M699" s="969">
        <v>95448.404980499996</v>
      </c>
      <c r="Q699" s="967">
        <v>44400</v>
      </c>
      <c r="R699" s="966">
        <v>161700</v>
      </c>
      <c r="S699" s="966">
        <v>0.48999970441569002</v>
      </c>
      <c r="T699" s="969">
        <v>1.6310000000004266E-2</v>
      </c>
      <c r="U699" s="966">
        <v>8995.61</v>
      </c>
      <c r="W699" s="971" t="e">
        <f t="shared" si="13"/>
        <v>#DIV/0!</v>
      </c>
      <c r="Y699" s="967">
        <v>44474</v>
      </c>
      <c r="Z699" s="974">
        <f ca="1">H649*Valuation_Senario!$L$372</f>
        <v>10124.511739619998</v>
      </c>
      <c r="AA699" s="973">
        <v>19.95</v>
      </c>
      <c r="AM699" s="967">
        <v>44400</v>
      </c>
      <c r="AN699" s="974">
        <v>161700</v>
      </c>
      <c r="AO699" s="976">
        <v>0.48999970441569002</v>
      </c>
    </row>
    <row r="700" spans="1:41">
      <c r="A700" s="966">
        <v>693</v>
      </c>
      <c r="B700" s="967">
        <v>44399</v>
      </c>
      <c r="C700" s="966">
        <v>165200</v>
      </c>
      <c r="D700" s="966">
        <v>0</v>
      </c>
      <c r="E700" s="966">
        <v>0</v>
      </c>
      <c r="F700" s="966">
        <v>94915.35</v>
      </c>
      <c r="G700" s="966">
        <v>78521.294434800002</v>
      </c>
      <c r="H700" s="966">
        <v>8996.1200000000008</v>
      </c>
      <c r="I700" s="966">
        <v>18.36</v>
      </c>
      <c r="M700" s="969">
        <v>95519.688330000004</v>
      </c>
      <c r="Q700" s="967">
        <v>44399</v>
      </c>
      <c r="R700" s="966">
        <v>165200</v>
      </c>
      <c r="S700" s="966">
        <v>0.48999991475107002</v>
      </c>
      <c r="T700" s="969">
        <v>0</v>
      </c>
      <c r="U700" s="966">
        <v>8996.1200000000008</v>
      </c>
      <c r="W700" s="971" t="e">
        <f t="shared" si="13"/>
        <v>#DIV/0!</v>
      </c>
      <c r="Y700" s="967">
        <v>44473</v>
      </c>
      <c r="Z700" s="974">
        <f ca="1">H650*Valuation_Senario!$L$372</f>
        <v>8915.2080309800003</v>
      </c>
      <c r="AA700" s="973">
        <v>19.850000000000001</v>
      </c>
      <c r="AM700" s="967">
        <v>44399</v>
      </c>
      <c r="AN700" s="974">
        <v>165200</v>
      </c>
      <c r="AO700" s="976">
        <v>0.48999991475107002</v>
      </c>
    </row>
    <row r="701" spans="1:41">
      <c r="A701" s="966">
        <v>694</v>
      </c>
      <c r="B701" s="967">
        <v>44398</v>
      </c>
      <c r="C701" s="966">
        <v>163400</v>
      </c>
      <c r="D701" s="966">
        <v>114.18657</v>
      </c>
      <c r="E701" s="966">
        <v>114.20292000000001</v>
      </c>
      <c r="F701" s="966">
        <v>94059.79</v>
      </c>
      <c r="G701" s="966">
        <v>77665.735536599997</v>
      </c>
      <c r="H701" s="966">
        <v>8996.6200000000008</v>
      </c>
      <c r="I701" s="966">
        <v>18.16</v>
      </c>
      <c r="M701" s="969">
        <v>95876.105077500004</v>
      </c>
      <c r="Q701" s="967">
        <v>44398</v>
      </c>
      <c r="R701" s="966">
        <v>163400</v>
      </c>
      <c r="S701" s="966">
        <v>0.48999991475107002</v>
      </c>
      <c r="T701" s="969">
        <v>-1.6350000000002751E-2</v>
      </c>
      <c r="U701" s="966">
        <v>8996.6200000000008</v>
      </c>
      <c r="W701" s="971" t="e">
        <f t="shared" si="13"/>
        <v>#DIV/0!</v>
      </c>
      <c r="Y701" s="967">
        <v>44470</v>
      </c>
      <c r="Z701" s="974">
        <f ca="1">H651*Valuation_Senario!$L$372</f>
        <v>8915.2080309800003</v>
      </c>
      <c r="AA701" s="973">
        <v>19.850000000000001</v>
      </c>
      <c r="AM701" s="967">
        <v>44398</v>
      </c>
      <c r="AN701" s="974">
        <v>163400</v>
      </c>
      <c r="AO701" s="976">
        <v>0.48999991475107002</v>
      </c>
    </row>
    <row r="702" spans="1:41">
      <c r="A702" s="966">
        <v>695</v>
      </c>
      <c r="B702" s="967">
        <v>44397</v>
      </c>
      <c r="C702" s="966">
        <v>164600</v>
      </c>
      <c r="D702" s="966">
        <v>8.9224200000000007</v>
      </c>
      <c r="E702" s="966">
        <v>8.9384399999999999</v>
      </c>
      <c r="F702" s="966">
        <v>94630.16</v>
      </c>
      <c r="G702" s="966">
        <v>78236.108135400005</v>
      </c>
      <c r="H702" s="966">
        <v>8997.1299999999992</v>
      </c>
      <c r="I702" s="966">
        <v>18.29</v>
      </c>
      <c r="M702" s="969">
        <v>94735.571485499997</v>
      </c>
      <c r="Q702" s="967">
        <v>44397</v>
      </c>
      <c r="R702" s="966">
        <v>164600</v>
      </c>
      <c r="S702" s="966">
        <v>0.48999991475107002</v>
      </c>
      <c r="T702" s="969">
        <v>-1.6019999999999257E-2</v>
      </c>
      <c r="U702" s="966">
        <v>8997.1299999999992</v>
      </c>
      <c r="W702" s="971" t="e">
        <f t="shared" si="13"/>
        <v>#DIV/0!</v>
      </c>
      <c r="Y702" s="967">
        <v>44469</v>
      </c>
      <c r="Z702" s="974">
        <f ca="1">H652*Valuation_Senario!$L$372</f>
        <v>8915.2080309800003</v>
      </c>
      <c r="AA702" s="973">
        <v>20.100000000000001</v>
      </c>
      <c r="AM702" s="967">
        <v>44397</v>
      </c>
      <c r="AN702" s="974">
        <v>164600</v>
      </c>
      <c r="AO702" s="976">
        <v>0.48999991475107002</v>
      </c>
    </row>
    <row r="703" spans="1:41">
      <c r="A703" s="966">
        <v>696</v>
      </c>
      <c r="B703" s="967">
        <v>44396</v>
      </c>
      <c r="C703" s="966">
        <v>156500</v>
      </c>
      <c r="D703" s="966">
        <v>168.03200000000001</v>
      </c>
      <c r="E703" s="966">
        <v>168.03200000000001</v>
      </c>
      <c r="F703" s="966">
        <v>90780.15</v>
      </c>
      <c r="G703" s="966">
        <v>74386.093093500007</v>
      </c>
      <c r="H703" s="966">
        <v>8997.64</v>
      </c>
      <c r="I703" s="966">
        <v>17.39</v>
      </c>
      <c r="M703" s="969">
        <v>95020.704883500002</v>
      </c>
      <c r="Q703" s="967">
        <v>44396</v>
      </c>
      <c r="R703" s="966">
        <v>156500</v>
      </c>
      <c r="S703" s="966">
        <v>0.48999999888522</v>
      </c>
      <c r="T703" s="969">
        <v>0</v>
      </c>
      <c r="U703" s="966">
        <v>8997.64</v>
      </c>
      <c r="W703" s="971" t="e">
        <f t="shared" si="13"/>
        <v>#DIV/0!</v>
      </c>
      <c r="Y703" s="967">
        <v>44468</v>
      </c>
      <c r="Z703" s="974">
        <f ca="1">H653*Valuation_Senario!$L$372</f>
        <v>8915.2080309800003</v>
      </c>
      <c r="AA703" s="973">
        <v>20.100000000000001</v>
      </c>
      <c r="AM703" s="967">
        <v>44396</v>
      </c>
      <c r="AN703" s="974">
        <v>156500</v>
      </c>
      <c r="AO703" s="976">
        <v>0.48999999888522</v>
      </c>
    </row>
    <row r="704" spans="1:41">
      <c r="A704" s="966">
        <v>697</v>
      </c>
      <c r="B704" s="967">
        <v>44393</v>
      </c>
      <c r="C704" s="966">
        <v>168100</v>
      </c>
      <c r="D704" s="966">
        <v>372.71458999999999</v>
      </c>
      <c r="E704" s="966">
        <v>372.71458999999999</v>
      </c>
      <c r="F704" s="966">
        <v>96293.75</v>
      </c>
      <c r="G704" s="966">
        <v>79899.694881899995</v>
      </c>
      <c r="H704" s="966">
        <v>8999.16</v>
      </c>
      <c r="I704" s="966">
        <v>18.68</v>
      </c>
      <c r="M704" s="969">
        <v>94094.021340000007</v>
      </c>
      <c r="Q704" s="967">
        <v>44393</v>
      </c>
      <c r="R704" s="966">
        <v>168100</v>
      </c>
      <c r="S704" s="966">
        <v>0.48999999888522</v>
      </c>
      <c r="T704" s="969">
        <v>0</v>
      </c>
      <c r="U704" s="966">
        <v>8999.16</v>
      </c>
      <c r="W704" s="971" t="e">
        <f t="shared" si="13"/>
        <v>#DIV/0!</v>
      </c>
      <c r="Y704" s="967">
        <v>44467</v>
      </c>
      <c r="Z704" s="974">
        <f ca="1">H654*Valuation_Senario!$L$372</f>
        <v>8915.2080309800003</v>
      </c>
      <c r="AA704" s="973">
        <v>19.93</v>
      </c>
      <c r="AM704" s="967">
        <v>44393</v>
      </c>
      <c r="AN704" s="974">
        <v>168100</v>
      </c>
      <c r="AO704" s="976">
        <v>0.48999999888522</v>
      </c>
    </row>
    <row r="705" spans="1:41">
      <c r="A705" s="966">
        <v>698</v>
      </c>
      <c r="B705" s="967">
        <v>44392</v>
      </c>
      <c r="C705" s="966">
        <v>167100</v>
      </c>
      <c r="D705" s="966">
        <v>67.873379999999997</v>
      </c>
      <c r="E705" s="966">
        <v>67.873379999999997</v>
      </c>
      <c r="F705" s="966">
        <v>95818.44</v>
      </c>
      <c r="G705" s="966">
        <v>79424.384382899996</v>
      </c>
      <c r="H705" s="966">
        <v>8999.67</v>
      </c>
      <c r="I705" s="966">
        <v>18.57</v>
      </c>
      <c r="M705" s="969">
        <v>96446.3718735</v>
      </c>
      <c r="Q705" s="967">
        <v>44392</v>
      </c>
      <c r="R705" s="966">
        <v>167100</v>
      </c>
      <c r="S705" s="966">
        <v>0.48999999888522</v>
      </c>
      <c r="T705" s="969">
        <v>0</v>
      </c>
      <c r="U705" s="966">
        <v>8999.67</v>
      </c>
      <c r="W705" s="971" t="e">
        <f t="shared" si="13"/>
        <v>#DIV/0!</v>
      </c>
      <c r="Y705" s="967">
        <v>44466</v>
      </c>
      <c r="Z705" s="974">
        <f ca="1">H655*Valuation_Senario!$L$372</f>
        <v>8915.2080309800003</v>
      </c>
      <c r="AA705" s="973">
        <v>19.82</v>
      </c>
      <c r="AM705" s="967">
        <v>44392</v>
      </c>
      <c r="AN705" s="974">
        <v>167100</v>
      </c>
      <c r="AO705" s="976">
        <v>0.48999999888522</v>
      </c>
    </row>
    <row r="706" spans="1:41">
      <c r="A706" s="966">
        <v>699</v>
      </c>
      <c r="B706" s="967">
        <v>44391</v>
      </c>
      <c r="C706" s="966">
        <v>166500</v>
      </c>
      <c r="D706" s="966">
        <v>198.81993600000001</v>
      </c>
      <c r="E706" s="966">
        <v>198.81993600000001</v>
      </c>
      <c r="F706" s="966">
        <v>95533.25</v>
      </c>
      <c r="G706" s="966">
        <v>79139.198083499999</v>
      </c>
      <c r="H706" s="966">
        <v>9000.18</v>
      </c>
      <c r="I706" s="966">
        <v>18.5</v>
      </c>
      <c r="M706" s="969">
        <v>97159.205368499999</v>
      </c>
      <c r="Q706" s="967">
        <v>44391</v>
      </c>
      <c r="R706" s="966">
        <v>166500</v>
      </c>
      <c r="S706" s="966">
        <v>0.48999999888522</v>
      </c>
      <c r="T706" s="969">
        <v>0</v>
      </c>
      <c r="U706" s="966">
        <v>9000.18</v>
      </c>
      <c r="W706" s="971" t="e">
        <f t="shared" si="13"/>
        <v>#DIV/0!</v>
      </c>
      <c r="Y706" s="967">
        <v>44463</v>
      </c>
      <c r="Z706" s="974">
        <f ca="1">H656*Valuation_Senario!$L$372</f>
        <v>8915.2080309800003</v>
      </c>
      <c r="AA706" s="973">
        <v>20.53</v>
      </c>
      <c r="AM706" s="967">
        <v>44391</v>
      </c>
      <c r="AN706" s="974">
        <v>166500</v>
      </c>
      <c r="AO706" s="976">
        <v>0.48999999888522</v>
      </c>
    </row>
    <row r="707" spans="1:41">
      <c r="A707" s="966">
        <v>700</v>
      </c>
      <c r="B707" s="967">
        <v>44390</v>
      </c>
      <c r="C707" s="966">
        <v>175000</v>
      </c>
      <c r="D707" s="966">
        <v>109.99647</v>
      </c>
      <c r="E707" s="966">
        <v>109.99647</v>
      </c>
      <c r="F707" s="966">
        <v>99573.39</v>
      </c>
      <c r="G707" s="966">
        <v>83179.337325</v>
      </c>
      <c r="H707" s="966">
        <v>9000.68</v>
      </c>
      <c r="I707" s="966">
        <v>19.440000000000001</v>
      </c>
      <c r="M707" s="969">
        <v>97658.188815000001</v>
      </c>
      <c r="Q707" s="967">
        <v>44390</v>
      </c>
      <c r="R707" s="966">
        <v>175000</v>
      </c>
      <c r="S707" s="966">
        <v>0.48999999888522</v>
      </c>
      <c r="T707" s="969">
        <v>0</v>
      </c>
      <c r="U707" s="966">
        <v>9000.68</v>
      </c>
      <c r="W707" s="971" t="e">
        <f t="shared" si="13"/>
        <v>#DIV/0!</v>
      </c>
      <c r="Y707" s="967">
        <v>44462</v>
      </c>
      <c r="Z707" s="974">
        <f ca="1">H657*Valuation_Senario!$L$372</f>
        <v>8915.2080309800003</v>
      </c>
      <c r="AA707" s="973">
        <v>20.76</v>
      </c>
      <c r="AM707" s="967">
        <v>44390</v>
      </c>
      <c r="AN707" s="974">
        <v>175000</v>
      </c>
      <c r="AO707" s="976">
        <v>0.48999999888522</v>
      </c>
    </row>
    <row r="708" spans="1:41">
      <c r="A708" s="966">
        <v>701</v>
      </c>
      <c r="B708" s="967">
        <v>44389</v>
      </c>
      <c r="C708" s="966">
        <v>176600</v>
      </c>
      <c r="D708" s="966">
        <v>406.392</v>
      </c>
      <c r="E708" s="966">
        <v>406.42621000000003</v>
      </c>
      <c r="F708" s="966">
        <v>100333.89</v>
      </c>
      <c r="G708" s="966">
        <v>83939.834123399996</v>
      </c>
      <c r="H708" s="966">
        <v>9001.19</v>
      </c>
      <c r="I708" s="966">
        <v>19.62</v>
      </c>
      <c r="M708" s="969">
        <v>97159.205368499999</v>
      </c>
      <c r="Q708" s="967">
        <v>44389</v>
      </c>
      <c r="R708" s="966">
        <v>176600</v>
      </c>
      <c r="S708" s="966">
        <v>0.48999999888522</v>
      </c>
      <c r="T708" s="969">
        <v>-3.421000000003005E-2</v>
      </c>
      <c r="U708" s="966">
        <v>9001.19</v>
      </c>
      <c r="W708" s="971" t="e">
        <f t="shared" si="13"/>
        <v>#DIV/0!</v>
      </c>
      <c r="Y708" s="967">
        <v>44461</v>
      </c>
      <c r="Z708" s="974">
        <f ca="1">H658*Valuation_Senario!$L$372</f>
        <v>8915.2080309800003</v>
      </c>
      <c r="AA708" s="973">
        <v>19.77</v>
      </c>
      <c r="AM708" s="967">
        <v>44389</v>
      </c>
      <c r="AN708" s="974">
        <v>176600</v>
      </c>
      <c r="AO708" s="976">
        <v>0.48999999888522</v>
      </c>
    </row>
    <row r="709" spans="1:41">
      <c r="A709" s="966">
        <v>702</v>
      </c>
      <c r="B709" s="967">
        <v>44386</v>
      </c>
      <c r="C709" s="966">
        <v>176500</v>
      </c>
      <c r="D709" s="966">
        <v>414.60840000000002</v>
      </c>
      <c r="E709" s="966">
        <v>414.60840000000002</v>
      </c>
      <c r="F709" s="966">
        <v>100286.36</v>
      </c>
      <c r="G709" s="966">
        <v>83892.303073500007</v>
      </c>
      <c r="H709" s="966">
        <v>9002.7199999999993</v>
      </c>
      <c r="I709" s="966">
        <v>19.61</v>
      </c>
      <c r="M709" s="969">
        <v>95448.404980499996</v>
      </c>
      <c r="Q709" s="967">
        <v>44386</v>
      </c>
      <c r="R709" s="966">
        <v>176500</v>
      </c>
      <c r="S709" s="966">
        <v>0.48999979485989997</v>
      </c>
      <c r="T709" s="969">
        <v>0</v>
      </c>
      <c r="U709" s="966">
        <v>9002.7199999999993</v>
      </c>
      <c r="W709" s="971" t="e">
        <f t="shared" si="13"/>
        <v>#DIV/0!</v>
      </c>
      <c r="Y709" s="967">
        <v>44460</v>
      </c>
      <c r="Z709" s="974">
        <f ca="1">H659*Valuation_Senario!$L$372</f>
        <v>8915.2080309800003</v>
      </c>
      <c r="AA709" s="973">
        <v>19.47</v>
      </c>
      <c r="AM709" s="967">
        <v>44386</v>
      </c>
      <c r="AN709" s="974">
        <v>176500</v>
      </c>
      <c r="AO709" s="976">
        <v>0.48999979485989997</v>
      </c>
    </row>
    <row r="710" spans="1:41">
      <c r="A710" s="966">
        <v>703</v>
      </c>
      <c r="B710" s="967">
        <v>44385</v>
      </c>
      <c r="C710" s="966">
        <v>172500</v>
      </c>
      <c r="D710" s="966">
        <v>68.618319999999997</v>
      </c>
      <c r="E710" s="966">
        <v>68.618319999999997</v>
      </c>
      <c r="F710" s="966">
        <v>98385.11</v>
      </c>
      <c r="G710" s="966">
        <v>81991.061077499995</v>
      </c>
      <c r="H710" s="966">
        <v>9003.2199999999993</v>
      </c>
      <c r="I710" s="966">
        <v>19.16</v>
      </c>
      <c r="M710" s="969">
        <v>94450.438087500006</v>
      </c>
      <c r="Q710" s="967">
        <v>44385</v>
      </c>
      <c r="R710" s="966">
        <v>172500</v>
      </c>
      <c r="S710" s="966">
        <v>0.48999979485989997</v>
      </c>
      <c r="T710" s="969">
        <v>0</v>
      </c>
      <c r="U710" s="966">
        <v>9003.2199999999993</v>
      </c>
      <c r="W710" s="971" t="e">
        <f t="shared" si="13"/>
        <v>#DIV/0!</v>
      </c>
      <c r="Y710" s="967">
        <v>44459</v>
      </c>
      <c r="Z710" s="974">
        <f ca="1">H660*Valuation_Senario!$L$372</f>
        <v>8915.2080309800003</v>
      </c>
      <c r="AA710" s="973">
        <v>19.350000000000001</v>
      </c>
      <c r="AM710" s="967">
        <v>44385</v>
      </c>
      <c r="AN710" s="974">
        <v>172500</v>
      </c>
      <c r="AO710" s="976">
        <v>0.48999979485989997</v>
      </c>
    </row>
    <row r="711" spans="1:41">
      <c r="A711" s="966">
        <v>704</v>
      </c>
      <c r="B711" s="967">
        <v>44384</v>
      </c>
      <c r="C711" s="966">
        <v>165800</v>
      </c>
      <c r="D711" s="966">
        <v>41.698700000000002</v>
      </c>
      <c r="E711" s="966">
        <v>41.698700000000002</v>
      </c>
      <c r="F711" s="966">
        <v>95200.53</v>
      </c>
      <c r="G711" s="966">
        <v>78806.480734199999</v>
      </c>
      <c r="H711" s="966">
        <v>9003.73</v>
      </c>
      <c r="I711" s="966">
        <v>18.41</v>
      </c>
      <c r="M711" s="969">
        <v>93737.604592500007</v>
      </c>
      <c r="Q711" s="967">
        <v>44384</v>
      </c>
      <c r="R711" s="966">
        <v>165800</v>
      </c>
      <c r="S711" s="966">
        <v>0.48999979485989997</v>
      </c>
      <c r="T711" s="969">
        <v>0</v>
      </c>
      <c r="U711" s="966">
        <v>9003.73</v>
      </c>
      <c r="W711" s="971" t="e">
        <f t="shared" si="13"/>
        <v>#DIV/0!</v>
      </c>
      <c r="Y711" s="967">
        <v>44456</v>
      </c>
      <c r="Z711" s="974">
        <f ca="1">H661*Valuation_Senario!$L$372</f>
        <v>8915.2080309800003</v>
      </c>
      <c r="AA711" s="973">
        <v>19.350000000000001</v>
      </c>
      <c r="AM711" s="967">
        <v>44384</v>
      </c>
      <c r="AN711" s="974">
        <v>165800</v>
      </c>
      <c r="AO711" s="976">
        <v>0.48999979485989997</v>
      </c>
    </row>
    <row r="712" spans="1:41">
      <c r="A712" s="966">
        <v>705</v>
      </c>
      <c r="B712" s="967">
        <v>44383</v>
      </c>
      <c r="C712" s="966">
        <v>155000</v>
      </c>
      <c r="D712" s="966">
        <v>368.85060729999998</v>
      </c>
      <c r="E712" s="966">
        <v>368.85060729999998</v>
      </c>
      <c r="F712" s="966">
        <v>90067.18</v>
      </c>
      <c r="G712" s="966">
        <v>73673.127345000001</v>
      </c>
      <c r="H712" s="966">
        <v>9004.24</v>
      </c>
      <c r="I712" s="966">
        <v>17.21</v>
      </c>
      <c r="M712" s="969">
        <v>94022.737990499998</v>
      </c>
      <c r="Q712" s="967">
        <v>44383</v>
      </c>
      <c r="R712" s="966">
        <v>155000</v>
      </c>
      <c r="S712" s="966">
        <v>0.48999999888522</v>
      </c>
      <c r="T712" s="969">
        <v>0</v>
      </c>
      <c r="U712" s="966">
        <v>9004.24</v>
      </c>
      <c r="W712" s="971" t="e">
        <f t="shared" si="13"/>
        <v>#DIV/0!</v>
      </c>
      <c r="Y712" s="967">
        <v>44455</v>
      </c>
      <c r="Z712" s="974">
        <f ca="1">H662*Valuation_Senario!$L$372</f>
        <v>8915.2080309800003</v>
      </c>
      <c r="AA712" s="973">
        <v>19.440000000000001</v>
      </c>
      <c r="AM712" s="967">
        <v>44383</v>
      </c>
      <c r="AN712" s="974">
        <v>155000</v>
      </c>
      <c r="AO712" s="976">
        <v>0.48999999888522</v>
      </c>
    </row>
    <row r="713" spans="1:41">
      <c r="A713" s="966">
        <v>706</v>
      </c>
      <c r="B713" s="967">
        <v>44382</v>
      </c>
      <c r="C713" s="966">
        <v>166500</v>
      </c>
      <c r="D713" s="966">
        <v>146.58850000000001</v>
      </c>
      <c r="E713" s="966">
        <v>146.58850000000001</v>
      </c>
      <c r="F713" s="966">
        <v>95533.25</v>
      </c>
      <c r="G713" s="966">
        <v>79139.198083499999</v>
      </c>
      <c r="H713" s="966">
        <v>9004.75</v>
      </c>
      <c r="I713" s="966">
        <v>18.489999999999998</v>
      </c>
      <c r="M713" s="969">
        <v>93381.187844999993</v>
      </c>
      <c r="Q713" s="967">
        <v>44382</v>
      </c>
      <c r="R713" s="966">
        <v>166500</v>
      </c>
      <c r="S713" s="966">
        <v>0.48999999888522</v>
      </c>
      <c r="T713" s="969">
        <v>0</v>
      </c>
      <c r="U713" s="966">
        <v>9004.75</v>
      </c>
      <c r="W713" s="971" t="e">
        <f t="shared" ref="W713:W776" si="14">T713/V713</f>
        <v>#DIV/0!</v>
      </c>
      <c r="Y713" s="967">
        <v>44454</v>
      </c>
      <c r="Z713" s="974">
        <f ca="1">H663*Valuation_Senario!$L$372</f>
        <v>8915.2080309800003</v>
      </c>
      <c r="AA713" s="973">
        <v>19.600000000000001</v>
      </c>
      <c r="AM713" s="967">
        <v>44382</v>
      </c>
      <c r="AN713" s="974">
        <v>166500</v>
      </c>
      <c r="AO713" s="976">
        <v>0.48999999888522</v>
      </c>
    </row>
    <row r="714" spans="1:41">
      <c r="A714" s="966">
        <v>707</v>
      </c>
      <c r="B714" s="967">
        <v>44379</v>
      </c>
      <c r="C714" s="966">
        <v>156800</v>
      </c>
      <c r="D714" s="966">
        <v>0</v>
      </c>
      <c r="E714" s="966">
        <v>1.5299999999999999E-2</v>
      </c>
      <c r="F714" s="966">
        <v>90922.74</v>
      </c>
      <c r="G714" s="966">
        <v>74528.686243200005</v>
      </c>
      <c r="H714" s="966">
        <v>9006.27</v>
      </c>
      <c r="I714" s="966">
        <v>17.41</v>
      </c>
      <c r="M714" s="969">
        <v>92597.0710005</v>
      </c>
      <c r="Q714" s="967">
        <v>44379</v>
      </c>
      <c r="R714" s="966">
        <v>156800</v>
      </c>
      <c r="S714" s="966">
        <v>0.48999999888522</v>
      </c>
      <c r="T714" s="969">
        <v>-1.5299999999999999E-2</v>
      </c>
      <c r="U714" s="966">
        <v>9006.27</v>
      </c>
      <c r="W714" s="971" t="e">
        <f t="shared" si="14"/>
        <v>#DIV/0!</v>
      </c>
      <c r="Y714" s="967">
        <v>44453</v>
      </c>
      <c r="Z714" s="974">
        <f ca="1">H664*Valuation_Senario!$L$372</f>
        <v>8915.2080309800003</v>
      </c>
      <c r="AA714" s="973">
        <v>19.579999999999998</v>
      </c>
      <c r="AM714" s="967">
        <v>44379</v>
      </c>
      <c r="AN714" s="974">
        <v>156800</v>
      </c>
      <c r="AO714" s="976">
        <v>0.48999999888522</v>
      </c>
    </row>
    <row r="715" spans="1:41">
      <c r="A715" s="966">
        <v>708</v>
      </c>
      <c r="B715" s="967">
        <v>44378</v>
      </c>
      <c r="C715" s="966">
        <v>151100</v>
      </c>
      <c r="D715" s="966">
        <v>30.893999999999998</v>
      </c>
      <c r="E715" s="966">
        <v>30.893999999999998</v>
      </c>
      <c r="F715" s="966">
        <v>88213.47</v>
      </c>
      <c r="G715" s="966">
        <v>71819.416398899994</v>
      </c>
      <c r="H715" s="966">
        <v>9006.7800000000007</v>
      </c>
      <c r="I715" s="966">
        <v>16.78</v>
      </c>
      <c r="M715" s="969">
        <v>94949.421533999994</v>
      </c>
      <c r="Q715" s="967">
        <v>44378</v>
      </c>
      <c r="R715" s="966">
        <v>151100</v>
      </c>
      <c r="S715" s="966">
        <v>0.48999999888522</v>
      </c>
      <c r="T715" s="969">
        <v>0</v>
      </c>
      <c r="U715" s="966">
        <v>9006.7800000000007</v>
      </c>
      <c r="W715" s="971" t="e">
        <f t="shared" si="14"/>
        <v>#DIV/0!</v>
      </c>
      <c r="Y715" s="967">
        <v>44452</v>
      </c>
      <c r="Z715" s="974">
        <f ca="1">H665*Valuation_Senario!$L$372</f>
        <v>8915.2080309800003</v>
      </c>
      <c r="AA715" s="973">
        <v>19.66</v>
      </c>
      <c r="AM715" s="967">
        <v>44378</v>
      </c>
      <c r="AN715" s="974">
        <v>151100</v>
      </c>
      <c r="AO715" s="976">
        <v>0.48999999888522</v>
      </c>
    </row>
    <row r="716" spans="1:41">
      <c r="A716" s="966">
        <v>709</v>
      </c>
      <c r="B716" s="967">
        <v>44377</v>
      </c>
      <c r="C716" s="966">
        <v>152000</v>
      </c>
      <c r="D716" s="966">
        <v>0</v>
      </c>
      <c r="E716" s="966">
        <v>0</v>
      </c>
      <c r="F716" s="966">
        <v>88641.25</v>
      </c>
      <c r="G716" s="966">
        <v>72247.195848000003</v>
      </c>
      <c r="H716" s="966">
        <v>9007.2900000000009</v>
      </c>
      <c r="I716" s="966">
        <v>16.88</v>
      </c>
      <c r="M716" s="969">
        <v>95519.688330000004</v>
      </c>
      <c r="Q716" s="967">
        <v>44377</v>
      </c>
      <c r="R716" s="966">
        <v>152000</v>
      </c>
      <c r="S716" s="966">
        <v>0.48999999888522</v>
      </c>
      <c r="T716" s="969">
        <v>0</v>
      </c>
      <c r="U716" s="966">
        <v>9007.2900000000009</v>
      </c>
      <c r="W716" s="971" t="e">
        <f t="shared" si="14"/>
        <v>#DIV/0!</v>
      </c>
      <c r="Y716" s="967">
        <v>44449</v>
      </c>
      <c r="Z716" s="974">
        <f ca="1">H666*Valuation_Senario!$L$372</f>
        <v>8915.2080309800003</v>
      </c>
      <c r="AA716" s="973">
        <v>18.7</v>
      </c>
      <c r="AM716" s="967">
        <v>44377</v>
      </c>
      <c r="AN716" s="974">
        <v>152000</v>
      </c>
      <c r="AO716" s="976">
        <v>0.48999999888522</v>
      </c>
    </row>
    <row r="717" spans="1:41">
      <c r="A717" s="966">
        <v>710</v>
      </c>
      <c r="B717" s="967">
        <v>44376</v>
      </c>
      <c r="C717" s="966">
        <v>147000</v>
      </c>
      <c r="D717" s="966">
        <v>46.68</v>
      </c>
      <c r="E717" s="966">
        <v>46.68</v>
      </c>
      <c r="F717" s="966">
        <v>86472.61</v>
      </c>
      <c r="G717" s="966">
        <v>70078.558437800006</v>
      </c>
      <c r="H717" s="966">
        <v>9005.43</v>
      </c>
      <c r="I717" s="966">
        <v>16.37</v>
      </c>
      <c r="M717" s="969">
        <v>95163.271582500005</v>
      </c>
      <c r="Q717" s="967">
        <v>44376</v>
      </c>
      <c r="R717" s="966">
        <v>147000</v>
      </c>
      <c r="S717" s="966">
        <v>0.48999999888522</v>
      </c>
      <c r="T717" s="969">
        <v>0</v>
      </c>
      <c r="U717" s="966">
        <v>9005.43</v>
      </c>
      <c r="W717" s="971" t="e">
        <f t="shared" si="14"/>
        <v>#DIV/0!</v>
      </c>
      <c r="Y717" s="967">
        <v>44448</v>
      </c>
      <c r="Z717" s="974">
        <f ca="1">H667*Valuation_Senario!$L$372</f>
        <v>8915.2080309800003</v>
      </c>
      <c r="AA717" s="973">
        <v>18.7</v>
      </c>
      <c r="AM717" s="967">
        <v>44376</v>
      </c>
      <c r="AN717" s="974">
        <v>147000</v>
      </c>
      <c r="AO717" s="976">
        <v>0.48999999888522</v>
      </c>
    </row>
    <row r="718" spans="1:41">
      <c r="A718" s="966">
        <v>711</v>
      </c>
      <c r="B718" s="967">
        <v>44375</v>
      </c>
      <c r="C718" s="966">
        <v>145500</v>
      </c>
      <c r="D718" s="966">
        <v>4.6878500000000001</v>
      </c>
      <c r="E718" s="966">
        <v>4.6878500000000001</v>
      </c>
      <c r="F718" s="966">
        <v>85569.29</v>
      </c>
      <c r="G718" s="966">
        <v>69175.239163499995</v>
      </c>
      <c r="H718" s="966">
        <v>9005.93</v>
      </c>
      <c r="I718" s="966">
        <v>16.16</v>
      </c>
      <c r="M718" s="969">
        <v>92739.637699500003</v>
      </c>
      <c r="Q718" s="967">
        <v>44375</v>
      </c>
      <c r="R718" s="966">
        <v>145500</v>
      </c>
      <c r="S718" s="966">
        <v>0.48999999888522</v>
      </c>
      <c r="T718" s="969">
        <v>0</v>
      </c>
      <c r="U718" s="966">
        <v>9005.93</v>
      </c>
      <c r="W718" s="971" t="e">
        <f t="shared" si="14"/>
        <v>#DIV/0!</v>
      </c>
      <c r="Y718" s="967">
        <v>44447</v>
      </c>
      <c r="Z718" s="974">
        <f ca="1">H668*Valuation_Senario!$L$372</f>
        <v>9335.201417549999</v>
      </c>
      <c r="AA718" s="973">
        <v>17.52</v>
      </c>
      <c r="AM718" s="967">
        <v>44375</v>
      </c>
      <c r="AN718" s="974">
        <v>145500</v>
      </c>
      <c r="AO718" s="976">
        <v>0.48999999888522</v>
      </c>
    </row>
    <row r="719" spans="1:41">
      <c r="A719" s="966">
        <v>712</v>
      </c>
      <c r="B719" s="967">
        <v>44372</v>
      </c>
      <c r="C719" s="966">
        <v>143700</v>
      </c>
      <c r="D719" s="966">
        <v>0</v>
      </c>
      <c r="E719" s="966">
        <v>0</v>
      </c>
      <c r="F719" s="966">
        <v>84713.52</v>
      </c>
      <c r="G719" s="966">
        <v>68319.463008899998</v>
      </c>
      <c r="H719" s="966">
        <v>9007.4599999999991</v>
      </c>
      <c r="I719" s="966">
        <v>15.95</v>
      </c>
      <c r="M719" s="969">
        <v>92668.354349999994</v>
      </c>
      <c r="Q719" s="967">
        <v>44372</v>
      </c>
      <c r="R719" s="966">
        <v>143700</v>
      </c>
      <c r="S719" s="966">
        <v>0.48999999888522</v>
      </c>
      <c r="T719" s="969">
        <v>0</v>
      </c>
      <c r="U719" s="966">
        <v>9007.4599999999991</v>
      </c>
      <c r="W719" s="971" t="e">
        <f t="shared" si="14"/>
        <v>#DIV/0!</v>
      </c>
      <c r="Y719" s="967">
        <v>44446</v>
      </c>
      <c r="Z719" s="974">
        <f ca="1">H669*Valuation_Senario!$L$372</f>
        <v>9335.201417549999</v>
      </c>
      <c r="AA719" s="973">
        <v>17.350000000000001</v>
      </c>
      <c r="AM719" s="967">
        <v>44372</v>
      </c>
      <c r="AN719" s="974">
        <v>143700</v>
      </c>
      <c r="AO719" s="976">
        <v>0.48999999888522</v>
      </c>
    </row>
    <row r="720" spans="1:41">
      <c r="A720" s="966">
        <v>713</v>
      </c>
      <c r="B720" s="967">
        <v>44371</v>
      </c>
      <c r="C720" s="966">
        <v>144000</v>
      </c>
      <c r="D720" s="966">
        <v>0</v>
      </c>
      <c r="E720" s="966">
        <v>0</v>
      </c>
      <c r="F720" s="966">
        <v>84856.14</v>
      </c>
      <c r="G720" s="966">
        <v>68462.092367999998</v>
      </c>
      <c r="H720" s="966">
        <v>9007.9699999999993</v>
      </c>
      <c r="I720" s="966">
        <v>15.99</v>
      </c>
      <c r="M720" s="969">
        <v>95519.688330000004</v>
      </c>
      <c r="Q720" s="967">
        <v>44371</v>
      </c>
      <c r="R720" s="966">
        <v>144000</v>
      </c>
      <c r="S720" s="966">
        <v>0.48999999888522</v>
      </c>
      <c r="T720" s="969">
        <v>0</v>
      </c>
      <c r="U720" s="966">
        <v>9007.9699999999993</v>
      </c>
      <c r="W720" s="971" t="e">
        <f t="shared" si="14"/>
        <v>#DIV/0!</v>
      </c>
      <c r="Y720" s="967">
        <v>44445</v>
      </c>
      <c r="Z720" s="974">
        <f ca="1">H670*Valuation_Senario!$L$372</f>
        <v>9335.201417549999</v>
      </c>
      <c r="AA720" s="973">
        <v>17.46</v>
      </c>
      <c r="AM720" s="967">
        <v>44371</v>
      </c>
      <c r="AN720" s="974">
        <v>144000</v>
      </c>
      <c r="AO720" s="976">
        <v>0.48999999888522</v>
      </c>
    </row>
    <row r="721" spans="1:41">
      <c r="A721" s="966">
        <v>714</v>
      </c>
      <c r="B721" s="967">
        <v>44370</v>
      </c>
      <c r="C721" s="966">
        <v>144000</v>
      </c>
      <c r="D721" s="966">
        <v>171.82</v>
      </c>
      <c r="E721" s="966">
        <v>171.82</v>
      </c>
      <c r="F721" s="966">
        <v>84856.14</v>
      </c>
      <c r="G721" s="966">
        <v>68462.092367999998</v>
      </c>
      <c r="H721" s="966">
        <v>9008.48</v>
      </c>
      <c r="I721" s="966">
        <v>15.98</v>
      </c>
      <c r="M721" s="969">
        <v>96588.938572500003</v>
      </c>
      <c r="Q721" s="967">
        <v>44370</v>
      </c>
      <c r="R721" s="966">
        <v>144000</v>
      </c>
      <c r="S721" s="966">
        <v>0.48999999888522</v>
      </c>
      <c r="T721" s="969">
        <v>0</v>
      </c>
      <c r="U721" s="966">
        <v>9008.48</v>
      </c>
      <c r="W721" s="971" t="e">
        <f t="shared" si="14"/>
        <v>#DIV/0!</v>
      </c>
      <c r="Y721" s="967">
        <v>44440</v>
      </c>
      <c r="Z721" s="974">
        <f ca="1">H671*Valuation_Senario!$L$372</f>
        <v>9335.1720484099988</v>
      </c>
      <c r="AA721" s="973">
        <v>17.329999999999998</v>
      </c>
      <c r="AM721" s="967">
        <v>44370</v>
      </c>
      <c r="AN721" s="974">
        <v>144000</v>
      </c>
      <c r="AO721" s="976">
        <v>0.48999999888522</v>
      </c>
    </row>
    <row r="722" spans="1:41">
      <c r="A722" s="966">
        <v>715</v>
      </c>
      <c r="B722" s="967">
        <v>44369</v>
      </c>
      <c r="C722" s="966">
        <v>146000</v>
      </c>
      <c r="D722" s="966">
        <v>302.64</v>
      </c>
      <c r="E722" s="966">
        <v>302.64</v>
      </c>
      <c r="F722" s="966">
        <v>85807.01</v>
      </c>
      <c r="G722" s="966">
        <v>69412.954761999994</v>
      </c>
      <c r="H722" s="966">
        <v>9008.99</v>
      </c>
      <c r="I722" s="966">
        <v>16.21</v>
      </c>
      <c r="M722" s="969">
        <v>96945.355320000002</v>
      </c>
      <c r="Q722" s="967">
        <v>44369</v>
      </c>
      <c r="R722" s="966">
        <v>146000</v>
      </c>
      <c r="S722" s="966">
        <v>0.48999999888522</v>
      </c>
      <c r="T722" s="969">
        <v>0</v>
      </c>
      <c r="U722" s="966">
        <v>9008.99</v>
      </c>
      <c r="W722" s="971" t="e">
        <f t="shared" si="14"/>
        <v>#DIV/0!</v>
      </c>
      <c r="Y722" s="967">
        <v>44439</v>
      </c>
      <c r="Z722" s="974">
        <f ca="1">H672*Valuation_Senario!$L$372</f>
        <v>9335.1720484099988</v>
      </c>
      <c r="AA722" s="973">
        <v>17.46</v>
      </c>
      <c r="AM722" s="967">
        <v>44369</v>
      </c>
      <c r="AN722" s="974">
        <v>146000</v>
      </c>
      <c r="AO722" s="976">
        <v>0.48999999888522</v>
      </c>
    </row>
    <row r="723" spans="1:41">
      <c r="A723" s="966">
        <v>716</v>
      </c>
      <c r="B723" s="967">
        <v>44368</v>
      </c>
      <c r="C723" s="966">
        <v>145800</v>
      </c>
      <c r="D723" s="966">
        <v>0</v>
      </c>
      <c r="E723" s="966">
        <v>0</v>
      </c>
      <c r="F723" s="966">
        <v>85711.92</v>
      </c>
      <c r="G723" s="966">
        <v>69317.868522599994</v>
      </c>
      <c r="H723" s="966">
        <v>9009.49</v>
      </c>
      <c r="I723" s="966">
        <v>16.18</v>
      </c>
      <c r="M723" s="969">
        <v>93951.454641000004</v>
      </c>
      <c r="Q723" s="967">
        <v>44368</v>
      </c>
      <c r="R723" s="966">
        <v>145800</v>
      </c>
      <c r="S723" s="966">
        <v>0.48999999888522</v>
      </c>
      <c r="T723" s="969">
        <v>0</v>
      </c>
      <c r="U723" s="966">
        <v>9009.49</v>
      </c>
      <c r="W723" s="971" t="e">
        <f t="shared" si="14"/>
        <v>#DIV/0!</v>
      </c>
      <c r="Y723" s="967">
        <v>44438</v>
      </c>
      <c r="Z723" s="974">
        <f ca="1">H673*Valuation_Senario!$L$372</f>
        <v>9335.1720484099988</v>
      </c>
      <c r="AA723" s="973">
        <v>17.399999999999999</v>
      </c>
      <c r="AM723" s="967">
        <v>44368</v>
      </c>
      <c r="AN723" s="974">
        <v>145800</v>
      </c>
      <c r="AO723" s="976">
        <v>0.48999999888522</v>
      </c>
    </row>
    <row r="724" spans="1:41">
      <c r="A724" s="966">
        <v>717</v>
      </c>
      <c r="B724" s="967">
        <v>44365</v>
      </c>
      <c r="C724" s="966">
        <v>141000</v>
      </c>
      <c r="D724" s="966">
        <v>0</v>
      </c>
      <c r="E724" s="966">
        <v>0</v>
      </c>
      <c r="F724" s="966">
        <v>83429.850000000006</v>
      </c>
      <c r="G724" s="966">
        <v>67035.798777000004</v>
      </c>
      <c r="H724" s="966">
        <v>9011.02</v>
      </c>
      <c r="I724" s="966">
        <v>15.65</v>
      </c>
      <c r="M724" s="969">
        <v>94806.854835000006</v>
      </c>
      <c r="Q724" s="967">
        <v>44365</v>
      </c>
      <c r="R724" s="966">
        <v>141000</v>
      </c>
      <c r="S724" s="966">
        <v>0.48999999888522</v>
      </c>
      <c r="T724" s="969">
        <v>0</v>
      </c>
      <c r="U724" s="966">
        <v>9011.02</v>
      </c>
      <c r="W724" s="971" t="e">
        <f t="shared" si="14"/>
        <v>#DIV/0!</v>
      </c>
      <c r="Y724" s="967">
        <v>44435</v>
      </c>
      <c r="Z724" s="974">
        <f ca="1">H674*Valuation_Senario!$L$372</f>
        <v>14143.957555449999</v>
      </c>
      <c r="AA724" s="973">
        <v>17.079999999999998</v>
      </c>
      <c r="AM724" s="967">
        <v>44365</v>
      </c>
      <c r="AN724" s="974">
        <v>141000</v>
      </c>
      <c r="AO724" s="976">
        <v>0.48999999888522</v>
      </c>
    </row>
    <row r="725" spans="1:41">
      <c r="A725" s="966">
        <v>718</v>
      </c>
      <c r="B725" s="967">
        <v>44364</v>
      </c>
      <c r="C725" s="966">
        <v>139000</v>
      </c>
      <c r="D725" s="966">
        <v>0</v>
      </c>
      <c r="E725" s="966">
        <v>0</v>
      </c>
      <c r="F725" s="966">
        <v>82478.990000000005</v>
      </c>
      <c r="G725" s="966">
        <v>66084.936382999993</v>
      </c>
      <c r="H725" s="966">
        <v>9011.5300000000007</v>
      </c>
      <c r="I725" s="966">
        <v>15.42</v>
      </c>
      <c r="M725" s="969">
        <v>96588.938572500003</v>
      </c>
      <c r="Q725" s="967">
        <v>44364</v>
      </c>
      <c r="R725" s="966">
        <v>139000</v>
      </c>
      <c r="S725" s="966">
        <v>0.48999999888522</v>
      </c>
      <c r="T725" s="969">
        <v>0</v>
      </c>
      <c r="U725" s="966">
        <v>9011.5300000000007</v>
      </c>
      <c r="W725" s="971" t="e">
        <f t="shared" si="14"/>
        <v>#DIV/0!</v>
      </c>
      <c r="Y725" s="967">
        <v>44434</v>
      </c>
      <c r="Z725" s="974">
        <f ca="1">H675*Valuation_Senario!$L$372</f>
        <v>14143.957555449999</v>
      </c>
      <c r="AA725" s="973">
        <v>16.82</v>
      </c>
      <c r="AM725" s="967">
        <v>44364</v>
      </c>
      <c r="AN725" s="974">
        <v>139000</v>
      </c>
      <c r="AO725" s="976">
        <v>0.48999999888522</v>
      </c>
    </row>
    <row r="726" spans="1:41">
      <c r="A726" s="966">
        <v>719</v>
      </c>
      <c r="B726" s="967">
        <v>44363</v>
      </c>
      <c r="C726" s="966">
        <v>137000</v>
      </c>
      <c r="D726" s="966">
        <v>6.7112499999999997</v>
      </c>
      <c r="E726" s="966">
        <v>6.7112499999999997</v>
      </c>
      <c r="F726" s="966">
        <v>81528.13</v>
      </c>
      <c r="G726" s="966">
        <v>65134.073988999997</v>
      </c>
      <c r="H726" s="966">
        <v>9012.0400000000009</v>
      </c>
      <c r="I726" s="966">
        <v>15.2</v>
      </c>
      <c r="M726" s="969">
        <v>98014.605562500001</v>
      </c>
      <c r="Q726" s="967">
        <v>44363</v>
      </c>
      <c r="R726" s="966">
        <v>137000</v>
      </c>
      <c r="S726" s="966">
        <v>0.48999999888522</v>
      </c>
      <c r="T726" s="969">
        <v>0</v>
      </c>
      <c r="U726" s="966">
        <v>9012.0400000000009</v>
      </c>
      <c r="W726" s="971" t="e">
        <f t="shared" si="14"/>
        <v>#DIV/0!</v>
      </c>
      <c r="Y726" s="967">
        <v>44433</v>
      </c>
      <c r="Z726" s="974">
        <f ca="1">H676*Valuation_Senario!$L$372</f>
        <v>14143.957555449999</v>
      </c>
      <c r="AA726" s="973">
        <v>16.77</v>
      </c>
      <c r="AM726" s="967">
        <v>44363</v>
      </c>
      <c r="AN726" s="974">
        <v>137000</v>
      </c>
      <c r="AO726" s="976">
        <v>0.48999999888522</v>
      </c>
    </row>
    <row r="727" spans="1:41">
      <c r="A727" s="966">
        <v>720</v>
      </c>
      <c r="B727" s="967">
        <v>44362</v>
      </c>
      <c r="C727" s="966">
        <v>137900</v>
      </c>
      <c r="D727" s="966">
        <v>4.9479499999999996</v>
      </c>
      <c r="E727" s="966">
        <v>4.9479499999999996</v>
      </c>
      <c r="F727" s="966">
        <v>81956.009999999995</v>
      </c>
      <c r="G727" s="966">
        <v>65561.962066299995</v>
      </c>
      <c r="H727" s="966">
        <v>9012.5499999999993</v>
      </c>
      <c r="I727" s="966">
        <v>15.3</v>
      </c>
      <c r="M727" s="969">
        <v>97729.472164499995</v>
      </c>
      <c r="Q727" s="967">
        <v>44362</v>
      </c>
      <c r="R727" s="966">
        <v>137900</v>
      </c>
      <c r="S727" s="966">
        <v>0.48999999888522</v>
      </c>
      <c r="T727" s="969">
        <v>0</v>
      </c>
      <c r="U727" s="966">
        <v>9012.5499999999993</v>
      </c>
      <c r="W727" s="971" t="e">
        <f t="shared" si="14"/>
        <v>#DIV/0!</v>
      </c>
      <c r="Y727" s="967">
        <v>44432</v>
      </c>
      <c r="Z727" s="974">
        <f ca="1">H677*Valuation_Senario!$L$372</f>
        <v>14143.957555449999</v>
      </c>
      <c r="AA727" s="973">
        <v>16.66</v>
      </c>
      <c r="AM727" s="967">
        <v>44362</v>
      </c>
      <c r="AN727" s="974">
        <v>137900</v>
      </c>
      <c r="AO727" s="976">
        <v>0.48999999888522</v>
      </c>
    </row>
    <row r="728" spans="1:41">
      <c r="A728" s="966">
        <v>721</v>
      </c>
      <c r="B728" s="967">
        <v>44361</v>
      </c>
      <c r="C728" s="966">
        <v>138100</v>
      </c>
      <c r="D728" s="966">
        <v>3.0764999999999998</v>
      </c>
      <c r="E728" s="966">
        <v>3.0764999999999998</v>
      </c>
      <c r="F728" s="966">
        <v>82051.100000000006</v>
      </c>
      <c r="G728" s="966">
        <v>65657.048305699995</v>
      </c>
      <c r="H728" s="966">
        <v>9013.06</v>
      </c>
      <c r="I728" s="966">
        <v>15.32</v>
      </c>
      <c r="M728" s="969">
        <v>98228.455610999998</v>
      </c>
      <c r="Q728" s="967">
        <v>44361</v>
      </c>
      <c r="R728" s="966">
        <v>138100</v>
      </c>
      <c r="S728" s="966">
        <v>0.48999999888522</v>
      </c>
      <c r="T728" s="969">
        <v>0</v>
      </c>
      <c r="U728" s="966">
        <v>9013.06</v>
      </c>
      <c r="W728" s="971" t="e">
        <f t="shared" si="14"/>
        <v>#DIV/0!</v>
      </c>
      <c r="Y728" s="967">
        <v>44431</v>
      </c>
      <c r="Z728" s="974">
        <f ca="1">H678*Valuation_Senario!$L$372</f>
        <v>14143.957555449999</v>
      </c>
      <c r="AA728" s="973">
        <v>16.41</v>
      </c>
      <c r="AM728" s="967">
        <v>44361</v>
      </c>
      <c r="AN728" s="974">
        <v>138100</v>
      </c>
      <c r="AO728" s="976">
        <v>0.48999999888522</v>
      </c>
    </row>
    <row r="729" spans="1:41">
      <c r="A729" s="966">
        <v>722</v>
      </c>
      <c r="B729" s="967">
        <v>44358</v>
      </c>
      <c r="C729" s="966">
        <v>137000</v>
      </c>
      <c r="D729" s="966">
        <v>0</v>
      </c>
      <c r="E729" s="966">
        <v>0</v>
      </c>
      <c r="F729" s="966">
        <v>81528.13</v>
      </c>
      <c r="G729" s="966">
        <v>65134.073988999997</v>
      </c>
      <c r="H729" s="966">
        <v>9014.58</v>
      </c>
      <c r="I729" s="966">
        <v>15.2</v>
      </c>
      <c r="Q729" s="967">
        <v>44358</v>
      </c>
      <c r="R729" s="966">
        <v>137000</v>
      </c>
      <c r="S729" s="966">
        <v>0.48999999888522</v>
      </c>
      <c r="T729" s="969">
        <v>0</v>
      </c>
      <c r="U729" s="966">
        <v>9014.58</v>
      </c>
      <c r="W729" s="971" t="e">
        <f t="shared" si="14"/>
        <v>#DIV/0!</v>
      </c>
      <c r="Y729" s="967">
        <v>44428</v>
      </c>
      <c r="Z729" s="974">
        <f ca="1">H679*Valuation_Senario!$L$372</f>
        <v>14143.957555449999</v>
      </c>
      <c r="AA729" s="973">
        <v>17.03</v>
      </c>
      <c r="AM729" s="967">
        <v>44358</v>
      </c>
      <c r="AN729" s="974">
        <v>137000</v>
      </c>
      <c r="AO729" s="976">
        <v>0.48999999888522</v>
      </c>
    </row>
    <row r="730" spans="1:41">
      <c r="A730" s="966">
        <v>723</v>
      </c>
      <c r="B730" s="967">
        <v>44357</v>
      </c>
      <c r="C730" s="966">
        <v>135300</v>
      </c>
      <c r="D730" s="966">
        <v>0</v>
      </c>
      <c r="E730" s="966">
        <v>0</v>
      </c>
      <c r="F730" s="966">
        <v>80719.89</v>
      </c>
      <c r="G730" s="966">
        <v>64325.8409541</v>
      </c>
      <c r="H730" s="966">
        <v>9015.09</v>
      </c>
      <c r="I730" s="966">
        <v>15.01</v>
      </c>
      <c r="Q730" s="967">
        <v>44357</v>
      </c>
      <c r="R730" s="966">
        <v>135300</v>
      </c>
      <c r="S730" s="966">
        <v>0.48999999888522</v>
      </c>
      <c r="T730" s="969">
        <v>0</v>
      </c>
      <c r="U730" s="966">
        <v>9015.09</v>
      </c>
      <c r="W730" s="971" t="e">
        <f t="shared" si="14"/>
        <v>#DIV/0!</v>
      </c>
      <c r="Y730" s="967">
        <v>44427</v>
      </c>
      <c r="Z730" s="974">
        <f ca="1">H680*Valuation_Senario!$L$372</f>
        <v>14143.957555449999</v>
      </c>
      <c r="AA730" s="973">
        <v>17.91</v>
      </c>
      <c r="AM730" s="967">
        <v>44357</v>
      </c>
      <c r="AN730" s="974">
        <v>135300</v>
      </c>
      <c r="AO730" s="976">
        <v>0.48999999888522</v>
      </c>
    </row>
    <row r="731" spans="1:41">
      <c r="A731" s="966">
        <v>724</v>
      </c>
      <c r="B731" s="967">
        <v>44356</v>
      </c>
      <c r="C731" s="966">
        <v>136400</v>
      </c>
      <c r="D731" s="966">
        <v>2.91</v>
      </c>
      <c r="E731" s="966">
        <v>2.91</v>
      </c>
      <c r="F731" s="966">
        <v>81242.87</v>
      </c>
      <c r="G731" s="966">
        <v>64848.815270799998</v>
      </c>
      <c r="H731" s="966">
        <v>9015.6</v>
      </c>
      <c r="I731" s="966">
        <v>15.13</v>
      </c>
      <c r="Q731" s="967">
        <v>44356</v>
      </c>
      <c r="R731" s="966">
        <v>136400</v>
      </c>
      <c r="S731" s="966">
        <v>0.48999981799678999</v>
      </c>
      <c r="T731" s="969">
        <v>0</v>
      </c>
      <c r="U731" s="966">
        <v>9015.6</v>
      </c>
      <c r="W731" s="971" t="e">
        <f t="shared" si="14"/>
        <v>#DIV/0!</v>
      </c>
      <c r="Y731" s="967">
        <v>44426</v>
      </c>
      <c r="Z731" s="974">
        <f ca="1">H681*Valuation_Senario!$L$372</f>
        <v>14143.957555449999</v>
      </c>
      <c r="AA731" s="973">
        <v>17.91</v>
      </c>
      <c r="AM731" s="967">
        <v>44356</v>
      </c>
      <c r="AN731" s="974">
        <v>136400</v>
      </c>
      <c r="AO731" s="976">
        <v>0.48999981799678999</v>
      </c>
    </row>
    <row r="732" spans="1:41">
      <c r="A732" s="966">
        <v>725</v>
      </c>
      <c r="B732" s="967">
        <v>44355</v>
      </c>
      <c r="C732" s="966">
        <v>136000</v>
      </c>
      <c r="D732" s="966">
        <v>0</v>
      </c>
      <c r="E732" s="966">
        <v>0</v>
      </c>
      <c r="F732" s="966">
        <v>81052.7</v>
      </c>
      <c r="G732" s="966">
        <v>64658.642791999999</v>
      </c>
      <c r="H732" s="966">
        <v>9016.11</v>
      </c>
      <c r="I732" s="966">
        <v>15.08</v>
      </c>
      <c r="Q732" s="967">
        <v>44355</v>
      </c>
      <c r="R732" s="966">
        <v>136000</v>
      </c>
      <c r="S732" s="966">
        <v>0.48999981799678999</v>
      </c>
      <c r="T732" s="969">
        <v>0</v>
      </c>
      <c r="U732" s="966">
        <v>9016.11</v>
      </c>
      <c r="W732" s="971" t="e">
        <f t="shared" si="14"/>
        <v>#DIV/0!</v>
      </c>
      <c r="Y732" s="967">
        <v>44425</v>
      </c>
      <c r="Z732" s="974">
        <f ca="1">H682*Valuation_Senario!$L$372</f>
        <v>14143.957555449999</v>
      </c>
      <c r="AA732" s="973">
        <v>17.64</v>
      </c>
      <c r="AM732" s="967">
        <v>44355</v>
      </c>
      <c r="AN732" s="974">
        <v>136000</v>
      </c>
      <c r="AO732" s="976">
        <v>0.48999981799678999</v>
      </c>
    </row>
    <row r="733" spans="1:41">
      <c r="A733" s="966">
        <v>726</v>
      </c>
      <c r="B733" s="967">
        <v>44354</v>
      </c>
      <c r="C733" s="966">
        <v>136100</v>
      </c>
      <c r="D733" s="966">
        <v>5.4132800000000003</v>
      </c>
      <c r="E733" s="966">
        <v>7.3921799999999998</v>
      </c>
      <c r="F733" s="966">
        <v>81100.240000000005</v>
      </c>
      <c r="G733" s="966">
        <v>64706.185911699999</v>
      </c>
      <c r="H733" s="966">
        <v>9016.6200000000008</v>
      </c>
      <c r="I733" s="966">
        <v>15.09</v>
      </c>
      <c r="Q733" s="967">
        <v>44354</v>
      </c>
      <c r="R733" s="966">
        <v>136100</v>
      </c>
      <c r="S733" s="966">
        <v>0.48999981799678999</v>
      </c>
      <c r="T733" s="969">
        <v>-1.9788999999999994</v>
      </c>
      <c r="U733" s="966">
        <v>9016.6200000000008</v>
      </c>
      <c r="W733" s="971" t="e">
        <f t="shared" si="14"/>
        <v>#DIV/0!</v>
      </c>
      <c r="Y733" s="967">
        <v>44424</v>
      </c>
      <c r="Z733" s="974">
        <f ca="1">H683*Valuation_Senario!$L$372</f>
        <v>14143.957555449999</v>
      </c>
      <c r="AA733" s="973">
        <v>17.66</v>
      </c>
      <c r="AM733" s="967">
        <v>44354</v>
      </c>
      <c r="AN733" s="974">
        <v>136100</v>
      </c>
      <c r="AO733" s="976">
        <v>0.48999981799678999</v>
      </c>
    </row>
    <row r="734" spans="1:41">
      <c r="A734" s="966">
        <v>727</v>
      </c>
      <c r="B734" s="967">
        <v>44351</v>
      </c>
      <c r="C734" s="966">
        <v>137500</v>
      </c>
      <c r="D734" s="966">
        <v>37.341799999999999</v>
      </c>
      <c r="E734" s="966">
        <v>37.174999999999997</v>
      </c>
      <c r="F734" s="966">
        <v>81765.84</v>
      </c>
      <c r="G734" s="966">
        <v>65371.789587500003</v>
      </c>
      <c r="H734" s="966">
        <v>9018.15</v>
      </c>
      <c r="I734" s="966">
        <v>15.25</v>
      </c>
      <c r="Q734" s="967">
        <v>44351</v>
      </c>
      <c r="R734" s="966">
        <v>137500</v>
      </c>
      <c r="S734" s="966">
        <v>0.48999729397226999</v>
      </c>
      <c r="T734" s="969">
        <v>0.16680000000000206</v>
      </c>
      <c r="U734" s="966">
        <v>9018.15</v>
      </c>
      <c r="W734" s="971" t="e">
        <f t="shared" si="14"/>
        <v>#DIV/0!</v>
      </c>
      <c r="Y734" s="967">
        <v>44421</v>
      </c>
      <c r="Z734" s="974">
        <f ca="1">H684*Valuation_Senario!$L$372</f>
        <v>14143.957555449999</v>
      </c>
      <c r="AA734" s="973">
        <v>17.75</v>
      </c>
      <c r="AM734" s="967">
        <v>44351</v>
      </c>
      <c r="AN734" s="974">
        <v>137500</v>
      </c>
      <c r="AO734" s="976">
        <v>0.48999729397226999</v>
      </c>
    </row>
    <row r="735" spans="1:41">
      <c r="A735" s="966">
        <v>728</v>
      </c>
      <c r="B735" s="967">
        <v>44350</v>
      </c>
      <c r="C735" s="966">
        <v>139000</v>
      </c>
      <c r="D735" s="966">
        <v>17.78</v>
      </c>
      <c r="E735" s="966">
        <v>17.78</v>
      </c>
      <c r="F735" s="966">
        <v>82478.990000000005</v>
      </c>
      <c r="G735" s="966">
        <v>66084.936382999993</v>
      </c>
      <c r="H735" s="966">
        <v>9018.66</v>
      </c>
      <c r="I735" s="966">
        <v>15.41</v>
      </c>
      <c r="Q735" s="967">
        <v>44350</v>
      </c>
      <c r="R735" s="966">
        <v>139000</v>
      </c>
      <c r="S735" s="966">
        <v>0.48999999888522</v>
      </c>
      <c r="T735" s="969">
        <v>0</v>
      </c>
      <c r="U735" s="966">
        <v>9018.66</v>
      </c>
      <c r="W735" s="971" t="e">
        <f t="shared" si="14"/>
        <v>#DIV/0!</v>
      </c>
      <c r="Y735" s="967">
        <v>44420</v>
      </c>
      <c r="Z735" s="974">
        <f ca="1">H685*Valuation_Senario!$L$372</f>
        <v>14143.957555449999</v>
      </c>
      <c r="AA735" s="973">
        <v>17.649999999999999</v>
      </c>
      <c r="AM735" s="967">
        <v>44350</v>
      </c>
      <c r="AN735" s="974">
        <v>139000</v>
      </c>
      <c r="AO735" s="976">
        <v>0.48999999888522</v>
      </c>
    </row>
    <row r="736" spans="1:41">
      <c r="A736" s="966">
        <v>729</v>
      </c>
      <c r="B736" s="967">
        <v>44349</v>
      </c>
      <c r="C736" s="966">
        <v>138800</v>
      </c>
      <c r="D736" s="966">
        <v>0</v>
      </c>
      <c r="E736" s="966">
        <v>0</v>
      </c>
      <c r="F736" s="966">
        <v>82383.899999999994</v>
      </c>
      <c r="G736" s="966">
        <v>65989.850143599993</v>
      </c>
      <c r="H736" s="966">
        <v>9019.17</v>
      </c>
      <c r="I736" s="966">
        <v>15.39</v>
      </c>
      <c r="Q736" s="967">
        <v>44349</v>
      </c>
      <c r="R736" s="966">
        <v>138800</v>
      </c>
      <c r="S736" s="966">
        <v>0.48999999888522</v>
      </c>
      <c r="T736" s="969">
        <v>0</v>
      </c>
      <c r="U736" s="966">
        <v>9019.17</v>
      </c>
      <c r="W736" s="971" t="e">
        <f t="shared" si="14"/>
        <v>#DIV/0!</v>
      </c>
      <c r="Y736" s="967">
        <v>44419</v>
      </c>
      <c r="Z736" s="974">
        <f ca="1">H686*Valuation_Senario!$L$372</f>
        <v>14143.957555449999</v>
      </c>
      <c r="AA736" s="973">
        <v>18.170000000000002</v>
      </c>
      <c r="AM736" s="967">
        <v>44349</v>
      </c>
      <c r="AN736" s="974">
        <v>138800</v>
      </c>
      <c r="AO736" s="976">
        <v>0.48999999888522</v>
      </c>
    </row>
    <row r="737" spans="1:41">
      <c r="A737" s="966">
        <v>730</v>
      </c>
      <c r="B737" s="967">
        <v>44348</v>
      </c>
      <c r="C737" s="966">
        <v>136500</v>
      </c>
      <c r="D737" s="966">
        <v>0</v>
      </c>
      <c r="E737" s="966">
        <v>0.17762</v>
      </c>
      <c r="F737" s="966">
        <v>81290.41</v>
      </c>
      <c r="G737" s="966">
        <v>64896.358390499998</v>
      </c>
      <c r="H737" s="966">
        <v>9019.68</v>
      </c>
      <c r="I737" s="966">
        <v>15.13</v>
      </c>
      <c r="Q737" s="967">
        <v>44348</v>
      </c>
      <c r="R737" s="966">
        <v>136500</v>
      </c>
      <c r="S737" s="966">
        <v>0.48999999888522</v>
      </c>
      <c r="T737" s="969">
        <v>-0.17762</v>
      </c>
      <c r="U737" s="966">
        <v>9019.68</v>
      </c>
      <c r="W737" s="971" t="e">
        <f t="shared" si="14"/>
        <v>#DIV/0!</v>
      </c>
      <c r="Y737" s="967">
        <v>44418</v>
      </c>
      <c r="Z737" s="974">
        <f ca="1">H687*Valuation_Senario!$L$372</f>
        <v>14143.957555449999</v>
      </c>
      <c r="AA737" s="973">
        <v>18.05</v>
      </c>
      <c r="AM737" s="967">
        <v>44348</v>
      </c>
      <c r="AN737" s="974">
        <v>136500</v>
      </c>
      <c r="AO737" s="976">
        <v>0.48999999888522</v>
      </c>
    </row>
    <row r="738" spans="1:41">
      <c r="A738" s="966">
        <v>731</v>
      </c>
      <c r="B738" s="967">
        <v>44347</v>
      </c>
      <c r="C738" s="966">
        <v>138500</v>
      </c>
      <c r="D738" s="966">
        <v>49.976500000000001</v>
      </c>
      <c r="E738" s="966">
        <v>49.976500000000001</v>
      </c>
      <c r="F738" s="966">
        <v>82241.27</v>
      </c>
      <c r="G738" s="966">
        <v>65847.220784499994</v>
      </c>
      <c r="H738" s="966">
        <v>9020.19</v>
      </c>
      <c r="I738" s="966">
        <v>15.35</v>
      </c>
      <c r="Q738" s="967">
        <v>44347</v>
      </c>
      <c r="R738" s="966">
        <v>138500</v>
      </c>
      <c r="S738" s="966">
        <v>0.48999999888522</v>
      </c>
      <c r="T738" s="969">
        <v>0</v>
      </c>
      <c r="U738" s="966">
        <v>9020.19</v>
      </c>
      <c r="W738" s="971" t="e">
        <f t="shared" si="14"/>
        <v>#DIV/0!</v>
      </c>
      <c r="Y738" s="967">
        <v>44417</v>
      </c>
      <c r="Z738" s="974">
        <f ca="1">H688*Valuation_Senario!$L$372</f>
        <v>14143.957555449999</v>
      </c>
      <c r="AA738" s="973">
        <v>18.04</v>
      </c>
      <c r="AM738" s="967">
        <v>44347</v>
      </c>
      <c r="AN738" s="974">
        <v>138500</v>
      </c>
      <c r="AO738" s="976">
        <v>0.48999999888522</v>
      </c>
    </row>
    <row r="739" spans="1:41">
      <c r="A739" s="966">
        <v>732</v>
      </c>
      <c r="B739" s="967">
        <v>44344</v>
      </c>
      <c r="C739" s="966">
        <v>142700</v>
      </c>
      <c r="D739" s="966">
        <v>12.031700000000001</v>
      </c>
      <c r="E739" s="966">
        <v>12.031700000000001</v>
      </c>
      <c r="F739" s="966">
        <v>84238.080000000002</v>
      </c>
      <c r="G739" s="966">
        <v>67844.0318119</v>
      </c>
      <c r="H739" s="966">
        <v>9021.7199999999993</v>
      </c>
      <c r="I739" s="966">
        <v>15.82</v>
      </c>
      <c r="Q739" s="967">
        <v>44344</v>
      </c>
      <c r="R739" s="966">
        <v>142700</v>
      </c>
      <c r="S739" s="966">
        <v>0.48999999888522</v>
      </c>
      <c r="T739" s="969">
        <v>0</v>
      </c>
      <c r="U739" s="966">
        <v>9021.7199999999993</v>
      </c>
      <c r="W739" s="971" t="e">
        <f t="shared" si="14"/>
        <v>#DIV/0!</v>
      </c>
      <c r="Y739" s="967">
        <v>44414</v>
      </c>
      <c r="Z739" s="974">
        <f ca="1">H689*Valuation_Senario!$L$372</f>
        <v>14143.957555449999</v>
      </c>
      <c r="AA739" s="973">
        <v>17.809999999999999</v>
      </c>
      <c r="AM739" s="967">
        <v>44344</v>
      </c>
      <c r="AN739" s="974">
        <v>142700</v>
      </c>
      <c r="AO739" s="976">
        <v>0.48999999888522</v>
      </c>
    </row>
    <row r="740" spans="1:41">
      <c r="A740" s="966">
        <v>733</v>
      </c>
      <c r="B740" s="967">
        <v>44343</v>
      </c>
      <c r="C740" s="966">
        <v>142400</v>
      </c>
      <c r="D740" s="966">
        <v>0</v>
      </c>
      <c r="E740" s="966">
        <v>0</v>
      </c>
      <c r="F740" s="966">
        <v>84095.45</v>
      </c>
      <c r="G740" s="966">
        <v>67701.402452800001</v>
      </c>
      <c r="H740" s="966">
        <v>9022.23</v>
      </c>
      <c r="I740" s="966">
        <v>15.78</v>
      </c>
      <c r="Q740" s="967">
        <v>44343</v>
      </c>
      <c r="R740" s="966">
        <v>142400</v>
      </c>
      <c r="S740" s="966">
        <v>0.48999999888522</v>
      </c>
      <c r="T740" s="969">
        <v>0</v>
      </c>
      <c r="U740" s="966">
        <v>9022.23</v>
      </c>
      <c r="W740" s="971" t="e">
        <f t="shared" si="14"/>
        <v>#DIV/0!</v>
      </c>
      <c r="Y740" s="967">
        <v>44413</v>
      </c>
      <c r="Z740" s="974">
        <f ca="1">H690*Valuation_Senario!$L$372</f>
        <v>14143.957555449999</v>
      </c>
      <c r="AA740" s="973">
        <v>17.96</v>
      </c>
      <c r="AM740" s="967">
        <v>44343</v>
      </c>
      <c r="AN740" s="974">
        <v>142400</v>
      </c>
      <c r="AO740" s="976">
        <v>0.48999999888522</v>
      </c>
    </row>
    <row r="741" spans="1:41">
      <c r="A741" s="966">
        <v>734</v>
      </c>
      <c r="B741" s="967">
        <v>44342</v>
      </c>
      <c r="C741" s="966">
        <v>144900</v>
      </c>
      <c r="D741" s="966">
        <v>0</v>
      </c>
      <c r="E741" s="966">
        <v>0</v>
      </c>
      <c r="F741" s="966">
        <v>85284.03</v>
      </c>
      <c r="G741" s="966">
        <v>68889.980445299996</v>
      </c>
      <c r="H741" s="966">
        <v>9022.74</v>
      </c>
      <c r="I741" s="966">
        <v>16.059999999999999</v>
      </c>
      <c r="Q741" s="967">
        <v>44342</v>
      </c>
      <c r="R741" s="966">
        <v>144900</v>
      </c>
      <c r="S741" s="966">
        <v>0.48999999888522</v>
      </c>
      <c r="T741" s="969">
        <v>0</v>
      </c>
      <c r="U741" s="966">
        <v>9022.74</v>
      </c>
      <c r="W741" s="971" t="e">
        <f t="shared" si="14"/>
        <v>#DIV/0!</v>
      </c>
      <c r="Y741" s="967">
        <v>44412</v>
      </c>
      <c r="Z741" s="974">
        <f ca="1">H691*Valuation_Senario!$L$372</f>
        <v>14143.957555449999</v>
      </c>
      <c r="AA741" s="973">
        <v>17.649999999999999</v>
      </c>
      <c r="AM741" s="967">
        <v>44342</v>
      </c>
      <c r="AN741" s="974">
        <v>144900</v>
      </c>
      <c r="AO741" s="976">
        <v>0.48999999888522</v>
      </c>
    </row>
    <row r="742" spans="1:41">
      <c r="A742" s="966">
        <v>735</v>
      </c>
      <c r="B742" s="967">
        <v>44341</v>
      </c>
      <c r="C742" s="966">
        <v>146000</v>
      </c>
      <c r="D742" s="966">
        <v>0</v>
      </c>
      <c r="E742" s="966">
        <v>0</v>
      </c>
      <c r="F742" s="966">
        <v>85807.01</v>
      </c>
      <c r="G742" s="966">
        <v>69412.954761999994</v>
      </c>
      <c r="H742" s="966">
        <v>9023.25</v>
      </c>
      <c r="I742" s="966">
        <v>16.18</v>
      </c>
      <c r="Q742" s="967">
        <v>44341</v>
      </c>
      <c r="R742" s="966">
        <v>146000</v>
      </c>
      <c r="S742" s="966">
        <v>0.48999999888522</v>
      </c>
      <c r="T742" s="969">
        <v>0</v>
      </c>
      <c r="U742" s="966">
        <v>9023.25</v>
      </c>
      <c r="W742" s="971" t="e">
        <f t="shared" si="14"/>
        <v>#DIV/0!</v>
      </c>
      <c r="Y742" s="967">
        <v>44411</v>
      </c>
      <c r="Z742" s="974">
        <f ca="1">H692*Valuation_Senario!$L$372</f>
        <v>14143.957555449999</v>
      </c>
      <c r="AA742" s="973">
        <v>17.64</v>
      </c>
      <c r="AM742" s="967">
        <v>44341</v>
      </c>
      <c r="AN742" s="974">
        <v>146000</v>
      </c>
      <c r="AO742" s="976">
        <v>0.48999999888522</v>
      </c>
    </row>
    <row r="743" spans="1:41">
      <c r="A743" s="966">
        <v>736</v>
      </c>
      <c r="B743" s="967">
        <v>44340</v>
      </c>
      <c r="C743" s="966">
        <v>146000</v>
      </c>
      <c r="D743" s="966">
        <v>34.489899999999999</v>
      </c>
      <c r="E743" s="966">
        <v>34.489899999999999</v>
      </c>
      <c r="F743" s="966">
        <v>85807.01</v>
      </c>
      <c r="G743" s="966">
        <v>69412.954761999994</v>
      </c>
      <c r="H743" s="966">
        <v>9023.76</v>
      </c>
      <c r="I743" s="966">
        <v>16.18</v>
      </c>
      <c r="Q743" s="967">
        <v>44340</v>
      </c>
      <c r="R743" s="966">
        <v>146000</v>
      </c>
      <c r="S743" s="966">
        <v>0.48999999888522</v>
      </c>
      <c r="T743" s="969">
        <v>0</v>
      </c>
      <c r="U743" s="966">
        <v>9023.76</v>
      </c>
      <c r="W743" s="971" t="e">
        <f t="shared" si="14"/>
        <v>#DIV/0!</v>
      </c>
      <c r="Y743" s="967">
        <v>44410</v>
      </c>
      <c r="Z743" s="974">
        <f ca="1">H693*Valuation_Senario!$L$372</f>
        <v>14143.957555449999</v>
      </c>
      <c r="AA743" s="973">
        <v>17.64</v>
      </c>
      <c r="AM743" s="967">
        <v>44340</v>
      </c>
      <c r="AN743" s="974">
        <v>146000</v>
      </c>
      <c r="AO743" s="976">
        <v>0.48999999888522</v>
      </c>
    </row>
    <row r="744" spans="1:41">
      <c r="A744" s="966">
        <v>737</v>
      </c>
      <c r="B744" s="967">
        <v>44337</v>
      </c>
      <c r="C744" s="966">
        <v>145400</v>
      </c>
      <c r="D744" s="966">
        <v>554.28499999999997</v>
      </c>
      <c r="E744" s="966">
        <v>554.28499999999997</v>
      </c>
      <c r="F744" s="966">
        <v>85521.75</v>
      </c>
      <c r="G744" s="966">
        <v>69127.696043799995</v>
      </c>
      <c r="H744" s="966">
        <v>9025.2900000000009</v>
      </c>
      <c r="I744" s="966">
        <v>16.11</v>
      </c>
      <c r="Q744" s="967">
        <v>44337</v>
      </c>
      <c r="R744" s="966">
        <v>145400</v>
      </c>
      <c r="S744" s="966">
        <v>0.48999999888522</v>
      </c>
      <c r="T744" s="969">
        <v>0</v>
      </c>
      <c r="U744" s="966">
        <v>9025.2900000000009</v>
      </c>
      <c r="W744" s="971" t="e">
        <f t="shared" si="14"/>
        <v>#DIV/0!</v>
      </c>
      <c r="Y744" s="967">
        <v>44407</v>
      </c>
      <c r="Z744" s="974">
        <f ca="1">H694*Valuation_Senario!$L$372</f>
        <v>14142.76810528</v>
      </c>
      <c r="AA744" s="973">
        <v>17.04</v>
      </c>
      <c r="AM744" s="967">
        <v>44337</v>
      </c>
      <c r="AN744" s="974">
        <v>145400</v>
      </c>
      <c r="AO744" s="976">
        <v>0.48999999888522</v>
      </c>
    </row>
    <row r="745" spans="1:41">
      <c r="A745" s="966">
        <v>738</v>
      </c>
      <c r="B745" s="967">
        <v>44336</v>
      </c>
      <c r="C745" s="966">
        <v>150000</v>
      </c>
      <c r="D745" s="966">
        <v>15.16</v>
      </c>
      <c r="E745" s="966">
        <v>15.16</v>
      </c>
      <c r="F745" s="966">
        <v>87708.73</v>
      </c>
      <c r="G745" s="966">
        <v>71314.679550000001</v>
      </c>
      <c r="H745" s="966">
        <v>9025.81</v>
      </c>
      <c r="I745" s="966">
        <v>16.62</v>
      </c>
      <c r="Q745" s="967">
        <v>44336</v>
      </c>
      <c r="R745" s="966">
        <v>150000</v>
      </c>
      <c r="S745" s="966">
        <v>0.48999999888522</v>
      </c>
      <c r="T745" s="969">
        <v>0</v>
      </c>
      <c r="U745" s="966">
        <v>9025.81</v>
      </c>
      <c r="W745" s="971" t="e">
        <f t="shared" si="14"/>
        <v>#DIV/0!</v>
      </c>
      <c r="Y745" s="967">
        <v>44406</v>
      </c>
      <c r="Z745" s="974">
        <f ca="1">H695*Valuation_Senario!$L$372</f>
        <v>14142.76810528</v>
      </c>
      <c r="AA745" s="973">
        <v>16.899999999999999</v>
      </c>
      <c r="AM745" s="967">
        <v>44336</v>
      </c>
      <c r="AN745" s="974">
        <v>150000</v>
      </c>
      <c r="AO745" s="976">
        <v>0.48999999888522</v>
      </c>
    </row>
    <row r="746" spans="1:41">
      <c r="A746" s="966">
        <v>739</v>
      </c>
      <c r="B746" s="967">
        <v>44335</v>
      </c>
      <c r="C746" s="966">
        <v>141700</v>
      </c>
      <c r="D746" s="966">
        <v>60.64</v>
      </c>
      <c r="E746" s="966">
        <v>60.64</v>
      </c>
      <c r="F746" s="966">
        <v>83762.649999999994</v>
      </c>
      <c r="G746" s="966">
        <v>67368.600614900002</v>
      </c>
      <c r="H746" s="966">
        <v>9026.32</v>
      </c>
      <c r="I746" s="966">
        <v>15.7</v>
      </c>
      <c r="Q746" s="967">
        <v>44335</v>
      </c>
      <c r="R746" s="966">
        <v>141700</v>
      </c>
      <c r="S746" s="966">
        <v>0.48999999888522</v>
      </c>
      <c r="T746" s="969">
        <v>0</v>
      </c>
      <c r="U746" s="966">
        <v>9026.32</v>
      </c>
      <c r="W746" s="971" t="e">
        <f t="shared" si="14"/>
        <v>#DIV/0!</v>
      </c>
      <c r="Y746" s="967">
        <v>44405</v>
      </c>
      <c r="Z746" s="974">
        <f ca="1">H696*Valuation_Senario!$L$372</f>
        <v>13205.93659299</v>
      </c>
      <c r="AA746" s="973">
        <v>17.47</v>
      </c>
      <c r="AM746" s="967">
        <v>44335</v>
      </c>
      <c r="AN746" s="974">
        <v>141700</v>
      </c>
      <c r="AO746" s="976">
        <v>0.48999999888522</v>
      </c>
    </row>
    <row r="747" spans="1:41">
      <c r="A747" s="966">
        <v>740</v>
      </c>
      <c r="B747" s="967">
        <v>44334</v>
      </c>
      <c r="C747" s="966">
        <v>141700</v>
      </c>
      <c r="D747" s="966">
        <v>6.9946799999999998</v>
      </c>
      <c r="E747" s="966">
        <v>6.9946799999999998</v>
      </c>
      <c r="F747" s="966">
        <v>83762.649999999994</v>
      </c>
      <c r="G747" s="966">
        <v>67368.600614900002</v>
      </c>
      <c r="H747" s="966">
        <v>9026.83</v>
      </c>
      <c r="I747" s="966">
        <v>15.7</v>
      </c>
      <c r="Q747" s="967">
        <v>44334</v>
      </c>
      <c r="R747" s="966">
        <v>141700</v>
      </c>
      <c r="S747" s="966">
        <v>0.48999999888522</v>
      </c>
      <c r="T747" s="969">
        <v>0</v>
      </c>
      <c r="U747" s="966">
        <v>9026.83</v>
      </c>
      <c r="W747" s="971" t="e">
        <f t="shared" si="14"/>
        <v>#DIV/0!</v>
      </c>
      <c r="Y747" s="967">
        <v>44404</v>
      </c>
      <c r="Z747" s="974">
        <f ca="1">H697*Valuation_Senario!$L$372</f>
        <v>13206.685506059999</v>
      </c>
      <c r="AA747" s="973">
        <v>17.57</v>
      </c>
      <c r="AM747" s="967">
        <v>44334</v>
      </c>
      <c r="AN747" s="974">
        <v>141700</v>
      </c>
      <c r="AO747" s="976">
        <v>0.48999999888522</v>
      </c>
    </row>
    <row r="748" spans="1:41">
      <c r="A748" s="966">
        <v>741</v>
      </c>
      <c r="B748" s="967">
        <v>44333</v>
      </c>
      <c r="C748" s="966">
        <v>141500</v>
      </c>
      <c r="D748" s="966">
        <v>6.0960000000000001</v>
      </c>
      <c r="E748" s="966">
        <v>6.0960000000000001</v>
      </c>
      <c r="F748" s="966">
        <v>83667.570000000007</v>
      </c>
      <c r="G748" s="966">
        <v>67273.514375500003</v>
      </c>
      <c r="H748" s="966">
        <v>9027.34</v>
      </c>
      <c r="I748" s="966">
        <v>15.67</v>
      </c>
      <c r="Q748" s="967">
        <v>44333</v>
      </c>
      <c r="R748" s="966">
        <v>141500</v>
      </c>
      <c r="S748" s="966">
        <v>0.48999999888522</v>
      </c>
      <c r="T748" s="969">
        <v>0</v>
      </c>
      <c r="U748" s="966">
        <v>9027.34</v>
      </c>
      <c r="W748" s="971" t="e">
        <f t="shared" si="14"/>
        <v>#DIV/0!</v>
      </c>
      <c r="Y748" s="967">
        <v>44403</v>
      </c>
      <c r="Z748" s="974">
        <f ca="1">H698*Valuation_Senario!$L$372</f>
        <v>13207.434419129999</v>
      </c>
      <c r="AA748" s="973">
        <v>17.82</v>
      </c>
      <c r="AM748" s="967">
        <v>44333</v>
      </c>
      <c r="AN748" s="974">
        <v>141500</v>
      </c>
      <c r="AO748" s="976">
        <v>0.48999999888522</v>
      </c>
    </row>
    <row r="749" spans="1:41">
      <c r="A749" s="966">
        <v>742</v>
      </c>
      <c r="B749" s="967">
        <v>44330</v>
      </c>
      <c r="C749" s="966">
        <v>142500</v>
      </c>
      <c r="D749" s="966">
        <v>0</v>
      </c>
      <c r="E749" s="966">
        <v>0</v>
      </c>
      <c r="F749" s="966">
        <v>84143</v>
      </c>
      <c r="G749" s="966">
        <v>67748.945572500001</v>
      </c>
      <c r="H749" s="966">
        <v>9028.8700000000008</v>
      </c>
      <c r="I749" s="966">
        <v>15.78</v>
      </c>
      <c r="Q749" s="967">
        <v>44330</v>
      </c>
      <c r="R749" s="966">
        <v>142500</v>
      </c>
      <c r="S749" s="966">
        <v>0.48999999888522</v>
      </c>
      <c r="T749" s="969">
        <v>0</v>
      </c>
      <c r="U749" s="966">
        <v>9028.8700000000008</v>
      </c>
      <c r="W749" s="971" t="e">
        <f t="shared" si="14"/>
        <v>#DIV/0!</v>
      </c>
      <c r="Y749" s="967">
        <v>44400</v>
      </c>
      <c r="Z749" s="974">
        <f ca="1">H699*Valuation_Senario!$L$372</f>
        <v>13209.666473769999</v>
      </c>
      <c r="AA749" s="973">
        <v>17.98</v>
      </c>
      <c r="AM749" s="967">
        <v>44330</v>
      </c>
      <c r="AN749" s="974">
        <v>142500</v>
      </c>
      <c r="AO749" s="976">
        <v>0.48999999888522</v>
      </c>
    </row>
    <row r="750" spans="1:41">
      <c r="A750" s="966">
        <v>743</v>
      </c>
      <c r="B750" s="967">
        <v>44329</v>
      </c>
      <c r="C750" s="966">
        <v>140000</v>
      </c>
      <c r="D750" s="966">
        <v>0</v>
      </c>
      <c r="E750" s="966">
        <v>0</v>
      </c>
      <c r="F750" s="966">
        <v>82954.42</v>
      </c>
      <c r="G750" s="966">
        <v>66560.367580000006</v>
      </c>
      <c r="H750" s="966">
        <v>9029.3799999999992</v>
      </c>
      <c r="I750" s="966">
        <v>15.5</v>
      </c>
      <c r="Q750" s="967">
        <v>44329</v>
      </c>
      <c r="R750" s="966">
        <v>140000</v>
      </c>
      <c r="S750" s="966">
        <v>0.48999999888522</v>
      </c>
      <c r="T750" s="969">
        <v>0</v>
      </c>
      <c r="U750" s="966">
        <v>9029.3799999999992</v>
      </c>
      <c r="W750" s="971" t="e">
        <f t="shared" si="14"/>
        <v>#DIV/0!</v>
      </c>
      <c r="Y750" s="967">
        <v>44399</v>
      </c>
      <c r="Z750" s="974">
        <f ca="1">H700*Valuation_Senario!$L$372</f>
        <v>13210.415386840001</v>
      </c>
      <c r="AA750" s="973">
        <v>18.36</v>
      </c>
      <c r="AM750" s="967">
        <v>44329</v>
      </c>
      <c r="AN750" s="974">
        <v>140000</v>
      </c>
      <c r="AO750" s="976">
        <v>0.48999999888522</v>
      </c>
    </row>
    <row r="751" spans="1:41">
      <c r="A751" s="966">
        <v>744</v>
      </c>
      <c r="B751" s="967">
        <v>44328</v>
      </c>
      <c r="C751" s="966">
        <v>139500</v>
      </c>
      <c r="D751" s="966">
        <v>2.9420000000000002</v>
      </c>
      <c r="E751" s="966">
        <v>2.9420000000000002</v>
      </c>
      <c r="F751" s="966">
        <v>82716.7</v>
      </c>
      <c r="G751" s="966">
        <v>66322.651981500007</v>
      </c>
      <c r="H751" s="966">
        <v>9029.89</v>
      </c>
      <c r="I751" s="966">
        <v>15.45</v>
      </c>
      <c r="Q751" s="967">
        <v>44328</v>
      </c>
      <c r="R751" s="966">
        <v>139500</v>
      </c>
      <c r="S751" s="966">
        <v>0.48999999888522</v>
      </c>
      <c r="T751" s="969">
        <v>0</v>
      </c>
      <c r="U751" s="966">
        <v>9029.89</v>
      </c>
      <c r="W751" s="971" t="e">
        <f t="shared" si="14"/>
        <v>#DIV/0!</v>
      </c>
      <c r="Y751" s="967">
        <v>44398</v>
      </c>
      <c r="Z751" s="974">
        <f ca="1">H701*Valuation_Senario!$L$372</f>
        <v>13211.14961534</v>
      </c>
      <c r="AA751" s="973">
        <v>18.16</v>
      </c>
      <c r="AM751" s="967">
        <v>44328</v>
      </c>
      <c r="AN751" s="974">
        <v>139500</v>
      </c>
      <c r="AO751" s="976">
        <v>0.48999999888522</v>
      </c>
    </row>
    <row r="752" spans="1:41">
      <c r="A752" s="966">
        <v>745</v>
      </c>
      <c r="B752" s="967">
        <v>44327</v>
      </c>
      <c r="C752" s="966">
        <v>137500</v>
      </c>
      <c r="D752" s="966">
        <v>11.50583</v>
      </c>
      <c r="E752" s="966">
        <v>11.50583</v>
      </c>
      <c r="F752" s="966">
        <v>81765.84</v>
      </c>
      <c r="G752" s="966">
        <v>65371.789587500003</v>
      </c>
      <c r="H752" s="966">
        <v>9030.4</v>
      </c>
      <c r="I752" s="966">
        <v>15.23</v>
      </c>
      <c r="Q752" s="967">
        <v>44327</v>
      </c>
      <c r="R752" s="966">
        <v>137500</v>
      </c>
      <c r="S752" s="966">
        <v>0.48999999888522</v>
      </c>
      <c r="T752" s="969">
        <v>0</v>
      </c>
      <c r="U752" s="966">
        <v>9030.4</v>
      </c>
      <c r="W752" s="971" t="e">
        <f t="shared" si="14"/>
        <v>#DIV/0!</v>
      </c>
      <c r="Y752" s="967">
        <v>44397</v>
      </c>
      <c r="Z752" s="974">
        <f ca="1">H702*Valuation_Senario!$L$372</f>
        <v>13211.898528409998</v>
      </c>
      <c r="AA752" s="973">
        <v>18.29</v>
      </c>
      <c r="AM752" s="967">
        <v>44327</v>
      </c>
      <c r="AN752" s="974">
        <v>137500</v>
      </c>
      <c r="AO752" s="976">
        <v>0.48999999888522</v>
      </c>
    </row>
    <row r="753" spans="1:41">
      <c r="A753" s="966">
        <v>746</v>
      </c>
      <c r="B753" s="967">
        <v>44326</v>
      </c>
      <c r="C753" s="966">
        <v>138100</v>
      </c>
      <c r="D753" s="966">
        <v>78</v>
      </c>
      <c r="E753" s="966">
        <v>78</v>
      </c>
      <c r="F753" s="966">
        <v>82051.100000000006</v>
      </c>
      <c r="G753" s="966">
        <v>65657.048305699995</v>
      </c>
      <c r="H753" s="966">
        <v>9030.92</v>
      </c>
      <c r="I753" s="966">
        <v>15.29</v>
      </c>
      <c r="Q753" s="967">
        <v>44326</v>
      </c>
      <c r="R753" s="966">
        <v>138100</v>
      </c>
      <c r="S753" s="966">
        <v>0.48999999888522</v>
      </c>
      <c r="T753" s="969">
        <v>0</v>
      </c>
      <c r="U753" s="966">
        <v>9030.92</v>
      </c>
      <c r="W753" s="971" t="e">
        <f t="shared" si="14"/>
        <v>#DIV/0!</v>
      </c>
      <c r="Y753" s="967">
        <v>44396</v>
      </c>
      <c r="Z753" s="974">
        <f ca="1">H703*Valuation_Senario!$L$372</f>
        <v>13212.647441479998</v>
      </c>
      <c r="AA753" s="973">
        <v>17.39</v>
      </c>
      <c r="AM753" s="967">
        <v>44326</v>
      </c>
      <c r="AN753" s="974">
        <v>138100</v>
      </c>
      <c r="AO753" s="976">
        <v>0.48999999888522</v>
      </c>
    </row>
    <row r="754" spans="1:41">
      <c r="A754" s="966">
        <v>747</v>
      </c>
      <c r="B754" s="967">
        <v>44323</v>
      </c>
      <c r="C754" s="966">
        <v>140200</v>
      </c>
      <c r="D754" s="966">
        <v>0</v>
      </c>
      <c r="E754" s="966">
        <v>0</v>
      </c>
      <c r="F754" s="966">
        <v>83049.509999999995</v>
      </c>
      <c r="G754" s="966">
        <v>66655.453819400005</v>
      </c>
      <c r="H754" s="966">
        <v>9032.4500000000007</v>
      </c>
      <c r="I754" s="966">
        <v>15.52</v>
      </c>
      <c r="Q754" s="967">
        <v>44323</v>
      </c>
      <c r="R754" s="966">
        <v>140200</v>
      </c>
      <c r="S754" s="966">
        <v>0.48999999888522</v>
      </c>
      <c r="T754" s="969">
        <v>0</v>
      </c>
      <c r="U754" s="966">
        <v>9032.4500000000007</v>
      </c>
      <c r="W754" s="971" t="e">
        <f t="shared" si="14"/>
        <v>#DIV/0!</v>
      </c>
      <c r="Y754" s="967">
        <v>44393</v>
      </c>
      <c r="Z754" s="974">
        <f ca="1">H704*Valuation_Senario!$L$372</f>
        <v>13214.879496119998</v>
      </c>
      <c r="AA754" s="973">
        <v>18.68</v>
      </c>
      <c r="AM754" s="967">
        <v>44323</v>
      </c>
      <c r="AN754" s="974">
        <v>140200</v>
      </c>
      <c r="AO754" s="976">
        <v>0.48999999888522</v>
      </c>
    </row>
    <row r="755" spans="1:41">
      <c r="A755" s="966">
        <v>748</v>
      </c>
      <c r="B755" s="967">
        <v>44322</v>
      </c>
      <c r="C755" s="966">
        <v>142000</v>
      </c>
      <c r="D755" s="966">
        <v>0</v>
      </c>
      <c r="E755" s="966">
        <v>0</v>
      </c>
      <c r="F755" s="966">
        <v>83905.279999999999</v>
      </c>
      <c r="G755" s="966">
        <v>67511.229974000002</v>
      </c>
      <c r="H755" s="966">
        <v>9032.9599999999991</v>
      </c>
      <c r="I755" s="966">
        <v>15.72</v>
      </c>
      <c r="Q755" s="967">
        <v>44322</v>
      </c>
      <c r="R755" s="966">
        <v>142000</v>
      </c>
      <c r="S755" s="966">
        <v>0.48999999888522</v>
      </c>
      <c r="T755" s="969">
        <v>0</v>
      </c>
      <c r="U755" s="966">
        <v>9032.9599999999991</v>
      </c>
      <c r="W755" s="971" t="e">
        <f t="shared" si="14"/>
        <v>#DIV/0!</v>
      </c>
      <c r="Y755" s="967">
        <v>44392</v>
      </c>
      <c r="Z755" s="974">
        <f ca="1">H705*Valuation_Senario!$L$372</f>
        <v>13215.62840919</v>
      </c>
      <c r="AA755" s="973">
        <v>18.57</v>
      </c>
      <c r="AM755" s="967">
        <v>44322</v>
      </c>
      <c r="AN755" s="974">
        <v>142000</v>
      </c>
      <c r="AO755" s="976">
        <v>0.48999999888522</v>
      </c>
    </row>
    <row r="756" spans="1:41">
      <c r="A756" s="966">
        <v>749</v>
      </c>
      <c r="B756" s="967">
        <v>44321</v>
      </c>
      <c r="C756" s="966">
        <v>140900</v>
      </c>
      <c r="D756" s="966">
        <v>0</v>
      </c>
      <c r="E756" s="966">
        <v>0</v>
      </c>
      <c r="F756" s="966">
        <v>83382.31</v>
      </c>
      <c r="G756" s="966">
        <v>66988.255657300004</v>
      </c>
      <c r="H756" s="966">
        <v>9033.4699999999993</v>
      </c>
      <c r="I756" s="966">
        <v>15.6</v>
      </c>
      <c r="Q756" s="967">
        <v>44321</v>
      </c>
      <c r="R756" s="966">
        <v>140900</v>
      </c>
      <c r="S756" s="966">
        <v>0.48999999888522</v>
      </c>
      <c r="T756" s="969">
        <v>0</v>
      </c>
      <c r="U756" s="966">
        <v>9033.4699999999993</v>
      </c>
      <c r="W756" s="971" t="e">
        <f t="shared" si="14"/>
        <v>#DIV/0!</v>
      </c>
      <c r="Y756" s="967">
        <v>44391</v>
      </c>
      <c r="Z756" s="974">
        <f ca="1">H706*Valuation_Senario!$L$372</f>
        <v>13216.377322259999</v>
      </c>
      <c r="AA756" s="973">
        <v>18.5</v>
      </c>
      <c r="AM756" s="967">
        <v>44321</v>
      </c>
      <c r="AN756" s="974">
        <v>140900</v>
      </c>
      <c r="AO756" s="976">
        <v>0.48999999888522</v>
      </c>
    </row>
    <row r="757" spans="1:41">
      <c r="A757" s="966">
        <v>750</v>
      </c>
      <c r="B757" s="967">
        <v>44320</v>
      </c>
      <c r="C757" s="966">
        <v>139400</v>
      </c>
      <c r="D757" s="966">
        <v>178.3753155</v>
      </c>
      <c r="E757" s="966">
        <v>178.3753155</v>
      </c>
      <c r="F757" s="966">
        <v>82669.16</v>
      </c>
      <c r="G757" s="966">
        <v>66275.108861800007</v>
      </c>
      <c r="H757" s="966">
        <v>9033.98</v>
      </c>
      <c r="I757" s="966">
        <v>15.43</v>
      </c>
      <c r="Q757" s="967">
        <v>44320</v>
      </c>
      <c r="R757" s="966">
        <v>139400</v>
      </c>
      <c r="S757" s="966">
        <v>0.48999999888522</v>
      </c>
      <c r="T757" s="969">
        <v>0</v>
      </c>
      <c r="U757" s="966">
        <v>9033.98</v>
      </c>
      <c r="W757" s="971" t="e">
        <f t="shared" si="14"/>
        <v>#DIV/0!</v>
      </c>
      <c r="Y757" s="967">
        <v>44390</v>
      </c>
      <c r="Z757" s="974">
        <f ca="1">H707*Valuation_Senario!$L$372</f>
        <v>13217.111550759999</v>
      </c>
      <c r="AA757" s="973">
        <v>19.440000000000001</v>
      </c>
      <c r="AM757" s="967">
        <v>44320</v>
      </c>
      <c r="AN757" s="974">
        <v>139400</v>
      </c>
      <c r="AO757" s="976">
        <v>0.48999999888522</v>
      </c>
    </row>
    <row r="758" spans="1:41">
      <c r="A758" s="966">
        <v>751</v>
      </c>
      <c r="B758" s="967">
        <v>44315</v>
      </c>
      <c r="C758" s="966">
        <v>140900</v>
      </c>
      <c r="D758" s="966">
        <v>0</v>
      </c>
      <c r="E758" s="966">
        <v>0</v>
      </c>
      <c r="F758" s="966">
        <v>77411.27</v>
      </c>
      <c r="G758" s="966">
        <v>66988.255657300004</v>
      </c>
      <c r="H758" s="966">
        <v>8644.49</v>
      </c>
      <c r="I758" s="966">
        <v>16.3</v>
      </c>
      <c r="Q758" s="967">
        <v>44315</v>
      </c>
      <c r="R758" s="966">
        <v>140900</v>
      </c>
      <c r="S758" s="966">
        <v>0.48999999888522</v>
      </c>
      <c r="T758" s="969">
        <v>0</v>
      </c>
      <c r="U758" s="966">
        <v>8644.49</v>
      </c>
      <c r="W758" s="971" t="e">
        <f t="shared" si="14"/>
        <v>#DIV/0!</v>
      </c>
      <c r="Y758" s="967">
        <v>44389</v>
      </c>
      <c r="Z758" s="974">
        <f ca="1">H708*Valuation_Senario!$L$372</f>
        <v>13217.86046383</v>
      </c>
      <c r="AA758" s="973">
        <v>19.62</v>
      </c>
      <c r="AM758" s="967">
        <v>44315</v>
      </c>
      <c r="AN758" s="974">
        <v>140900</v>
      </c>
      <c r="AO758" s="976">
        <v>0.48999999888522</v>
      </c>
    </row>
    <row r="759" spans="1:41">
      <c r="A759" s="966">
        <v>752</v>
      </c>
      <c r="B759" s="967">
        <v>44314</v>
      </c>
      <c r="C759" s="966">
        <v>140000</v>
      </c>
      <c r="D759" s="966">
        <v>10.868880000000001</v>
      </c>
      <c r="E759" s="966">
        <v>10.868880000000001</v>
      </c>
      <c r="F759" s="966">
        <v>76983.38</v>
      </c>
      <c r="G759" s="966">
        <v>66560.367580000006</v>
      </c>
      <c r="H759" s="966">
        <v>8644.49</v>
      </c>
      <c r="I759" s="966">
        <v>16.2</v>
      </c>
      <c r="Q759" s="967">
        <v>44314</v>
      </c>
      <c r="R759" s="966">
        <v>140000</v>
      </c>
      <c r="S759" s="966">
        <v>0.48999999888522</v>
      </c>
      <c r="T759" s="969">
        <v>0</v>
      </c>
      <c r="U759" s="966">
        <v>8644.49</v>
      </c>
      <c r="W759" s="971" t="e">
        <f t="shared" si="14"/>
        <v>#DIV/0!</v>
      </c>
      <c r="Y759" s="967">
        <v>44386</v>
      </c>
      <c r="Z759" s="974">
        <f ca="1">H709*Valuation_Senario!$L$372</f>
        <v>13220.107203039997</v>
      </c>
      <c r="AA759" s="973">
        <v>19.61</v>
      </c>
      <c r="AM759" s="967">
        <v>44314</v>
      </c>
      <c r="AN759" s="974">
        <v>140000</v>
      </c>
      <c r="AO759" s="976">
        <v>0.48999999888522</v>
      </c>
    </row>
    <row r="760" spans="1:41">
      <c r="A760" s="966">
        <v>753</v>
      </c>
      <c r="B760" s="967">
        <v>44313</v>
      </c>
      <c r="C760" s="966">
        <v>141900</v>
      </c>
      <c r="D760" s="966">
        <v>0</v>
      </c>
      <c r="E760" s="966">
        <v>0</v>
      </c>
      <c r="F760" s="966">
        <v>77886.7</v>
      </c>
      <c r="G760" s="966">
        <v>67463.686854300002</v>
      </c>
      <c r="H760" s="966">
        <v>8644.49</v>
      </c>
      <c r="I760" s="966">
        <v>16.420000000000002</v>
      </c>
      <c r="Q760" s="967">
        <v>44313</v>
      </c>
      <c r="R760" s="966">
        <v>141900</v>
      </c>
      <c r="S760" s="966">
        <v>0.48999996733491002</v>
      </c>
      <c r="T760" s="969">
        <v>0</v>
      </c>
      <c r="U760" s="966">
        <v>8644.49</v>
      </c>
      <c r="W760" s="971" t="e">
        <f t="shared" si="14"/>
        <v>#DIV/0!</v>
      </c>
      <c r="Y760" s="967">
        <v>44385</v>
      </c>
      <c r="Z760" s="974">
        <f ca="1">H710*Valuation_Senario!$L$372</f>
        <v>13220.841431539999</v>
      </c>
      <c r="AA760" s="973">
        <v>19.16</v>
      </c>
      <c r="AM760" s="967">
        <v>44313</v>
      </c>
      <c r="AN760" s="974">
        <v>141900</v>
      </c>
      <c r="AO760" s="976">
        <v>0.48999996733491002</v>
      </c>
    </row>
    <row r="761" spans="1:41">
      <c r="A761" s="966">
        <v>754</v>
      </c>
      <c r="B761" s="967">
        <v>44312</v>
      </c>
      <c r="C761" s="966">
        <v>142500</v>
      </c>
      <c r="D761" s="966">
        <v>355.73700000000002</v>
      </c>
      <c r="E761" s="966">
        <v>355.73700000000002</v>
      </c>
      <c r="F761" s="966">
        <v>78171.960000000006</v>
      </c>
      <c r="G761" s="966">
        <v>67748.945572500001</v>
      </c>
      <c r="H761" s="966">
        <v>8644.49</v>
      </c>
      <c r="I761" s="966">
        <v>16.48</v>
      </c>
      <c r="Q761" s="967">
        <v>44312</v>
      </c>
      <c r="R761" s="966">
        <v>142500</v>
      </c>
      <c r="S761" s="966">
        <v>0.48999996733491002</v>
      </c>
      <c r="T761" s="969">
        <v>0</v>
      </c>
      <c r="U761" s="966">
        <v>8644.49</v>
      </c>
      <c r="W761" s="971" t="e">
        <f t="shared" si="14"/>
        <v>#DIV/0!</v>
      </c>
      <c r="Y761" s="967">
        <v>44384</v>
      </c>
      <c r="Z761" s="974">
        <f ca="1">H711*Valuation_Senario!$L$372</f>
        <v>13221.590344609998</v>
      </c>
      <c r="AA761" s="973">
        <v>18.41</v>
      </c>
      <c r="AM761" s="967">
        <v>44312</v>
      </c>
      <c r="AN761" s="974">
        <v>142500</v>
      </c>
      <c r="AO761" s="976">
        <v>0.48999996733491002</v>
      </c>
    </row>
    <row r="762" spans="1:41">
      <c r="A762" s="966">
        <v>755</v>
      </c>
      <c r="B762" s="967">
        <v>44309</v>
      </c>
      <c r="C762" s="966">
        <v>147500</v>
      </c>
      <c r="D762" s="966">
        <v>1236.4882560000001</v>
      </c>
      <c r="E762" s="966">
        <v>1236.4882560000001</v>
      </c>
      <c r="F762" s="966">
        <v>80549.11</v>
      </c>
      <c r="G762" s="966">
        <v>70126.101557500006</v>
      </c>
      <c r="H762" s="966">
        <v>8644.49</v>
      </c>
      <c r="I762" s="966">
        <v>17.059999999999999</v>
      </c>
      <c r="Q762" s="967">
        <v>44309</v>
      </c>
      <c r="R762" s="966">
        <v>147500</v>
      </c>
      <c r="S762" s="966">
        <v>0.48999996733491002</v>
      </c>
      <c r="T762" s="969">
        <v>0</v>
      </c>
      <c r="U762" s="966">
        <v>8644.49</v>
      </c>
      <c r="W762" s="971" t="e">
        <f t="shared" si="14"/>
        <v>#DIV/0!</v>
      </c>
      <c r="Y762" s="967">
        <v>44383</v>
      </c>
      <c r="Z762" s="974">
        <f ca="1">H712*Valuation_Senario!$L$372</f>
        <v>13222.339257679998</v>
      </c>
      <c r="AA762" s="973">
        <v>17.21</v>
      </c>
      <c r="AM762" s="967">
        <v>44309</v>
      </c>
      <c r="AN762" s="974">
        <v>147500</v>
      </c>
      <c r="AO762" s="976">
        <v>0.48999996733491002</v>
      </c>
    </row>
    <row r="763" spans="1:41">
      <c r="A763" s="966">
        <v>756</v>
      </c>
      <c r="B763" s="967">
        <v>44308</v>
      </c>
      <c r="C763" s="966">
        <v>142500</v>
      </c>
      <c r="D763" s="966">
        <v>825.23509899999999</v>
      </c>
      <c r="E763" s="966">
        <v>130.30042900000001</v>
      </c>
      <c r="F763" s="966">
        <v>78171.960000000006</v>
      </c>
      <c r="G763" s="966">
        <v>67748.945572500001</v>
      </c>
      <c r="H763" s="966">
        <v>8644.49</v>
      </c>
      <c r="I763" s="966">
        <v>16.48</v>
      </c>
      <c r="Q763" s="967">
        <v>44308</v>
      </c>
      <c r="R763" s="966">
        <v>142500</v>
      </c>
      <c r="S763" s="966">
        <v>0.48040783280782001</v>
      </c>
      <c r="T763" s="969">
        <v>694.93466999999998</v>
      </c>
      <c r="U763" s="966">
        <v>8644.49</v>
      </c>
      <c r="W763" s="971" t="e">
        <f t="shared" si="14"/>
        <v>#DIV/0!</v>
      </c>
      <c r="Y763" s="967">
        <v>44382</v>
      </c>
      <c r="Z763" s="974">
        <f ca="1">H713*Valuation_Senario!$L$372</f>
        <v>13223.088170749999</v>
      </c>
      <c r="AA763" s="973">
        <v>18.489999999999998</v>
      </c>
      <c r="AM763" s="967">
        <v>44308</v>
      </c>
      <c r="AN763" s="974">
        <v>142500</v>
      </c>
      <c r="AO763" s="976">
        <v>0.48040783280782001</v>
      </c>
    </row>
    <row r="764" spans="1:41">
      <c r="A764" s="966">
        <v>757</v>
      </c>
      <c r="B764" s="967">
        <v>44306</v>
      </c>
      <c r="C764" s="966">
        <v>142500</v>
      </c>
      <c r="D764" s="966">
        <v>37.631999999999998</v>
      </c>
      <c r="E764" s="966">
        <v>37.631999999999998</v>
      </c>
      <c r="F764" s="966">
        <v>78171.960000000006</v>
      </c>
      <c r="G764" s="966">
        <v>67748.945572500001</v>
      </c>
      <c r="H764" s="966">
        <v>8644.49</v>
      </c>
      <c r="I764" s="966">
        <v>16.48</v>
      </c>
      <c r="Q764" s="967">
        <v>44306</v>
      </c>
      <c r="R764" s="966">
        <v>142500</v>
      </c>
      <c r="S764" s="966">
        <v>0.48999999950655998</v>
      </c>
      <c r="T764" s="969">
        <v>0</v>
      </c>
      <c r="U764" s="966">
        <v>8644.49</v>
      </c>
      <c r="W764" s="971" t="e">
        <f t="shared" si="14"/>
        <v>#DIV/0!</v>
      </c>
      <c r="Y764" s="967">
        <v>44379</v>
      </c>
      <c r="Z764" s="974">
        <f ca="1">H714*Valuation_Senario!$L$372</f>
        <v>13225.32022539</v>
      </c>
      <c r="AA764" s="973">
        <v>17.41</v>
      </c>
      <c r="AM764" s="967">
        <v>44306</v>
      </c>
      <c r="AN764" s="974">
        <v>142500</v>
      </c>
      <c r="AO764" s="976">
        <v>0.48999999950655998</v>
      </c>
    </row>
    <row r="765" spans="1:41">
      <c r="A765" s="966">
        <v>758</v>
      </c>
      <c r="B765" s="967">
        <v>44305</v>
      </c>
      <c r="C765" s="966">
        <v>137400</v>
      </c>
      <c r="D765" s="966">
        <v>0</v>
      </c>
      <c r="E765" s="966">
        <v>0</v>
      </c>
      <c r="F765" s="966">
        <v>75747.259999999995</v>
      </c>
      <c r="G765" s="966">
        <v>65324.246467800003</v>
      </c>
      <c r="H765" s="966">
        <v>8644.49</v>
      </c>
      <c r="I765" s="966">
        <v>15.89</v>
      </c>
      <c r="Q765" s="967">
        <v>44305</v>
      </c>
      <c r="R765" s="966">
        <v>137400</v>
      </c>
      <c r="S765" s="966">
        <v>0.48999999950655998</v>
      </c>
      <c r="T765" s="969">
        <v>0</v>
      </c>
      <c r="U765" s="966">
        <v>8644.49</v>
      </c>
      <c r="W765" s="971" t="e">
        <f t="shared" si="14"/>
        <v>#DIV/0!</v>
      </c>
      <c r="Y765" s="967">
        <v>44378</v>
      </c>
      <c r="Z765" s="974">
        <f ca="1">H715*Valuation_Senario!$L$372</f>
        <v>13226.06913846</v>
      </c>
      <c r="AA765" s="973">
        <v>16.78</v>
      </c>
      <c r="AM765" s="967">
        <v>44305</v>
      </c>
      <c r="AN765" s="974">
        <v>137400</v>
      </c>
      <c r="AO765" s="976">
        <v>0.48999999950655998</v>
      </c>
    </row>
    <row r="766" spans="1:41">
      <c r="A766" s="966">
        <v>759</v>
      </c>
      <c r="B766" s="967">
        <v>44302</v>
      </c>
      <c r="C766" s="966">
        <v>134000</v>
      </c>
      <c r="D766" s="966">
        <v>0</v>
      </c>
      <c r="E766" s="966">
        <v>0</v>
      </c>
      <c r="F766" s="966">
        <v>74130.789999999994</v>
      </c>
      <c r="G766" s="966">
        <v>63707.780398000003</v>
      </c>
      <c r="H766" s="966">
        <v>8644.49</v>
      </c>
      <c r="I766" s="966">
        <v>15.5</v>
      </c>
      <c r="Q766" s="967">
        <v>44302</v>
      </c>
      <c r="R766" s="966">
        <v>134000</v>
      </c>
      <c r="S766" s="966">
        <v>0.48999999950655998</v>
      </c>
      <c r="T766" s="969">
        <v>0</v>
      </c>
      <c r="U766" s="966">
        <v>8644.49</v>
      </c>
      <c r="W766" s="971" t="e">
        <f t="shared" si="14"/>
        <v>#DIV/0!</v>
      </c>
      <c r="Y766" s="967">
        <v>44377</v>
      </c>
      <c r="Z766" s="974">
        <f ca="1">H716*Valuation_Senario!$L$372</f>
        <v>13226.818051530001</v>
      </c>
      <c r="AA766" s="973">
        <v>16.88</v>
      </c>
      <c r="AM766" s="967">
        <v>44302</v>
      </c>
      <c r="AN766" s="974">
        <v>134000</v>
      </c>
      <c r="AO766" s="976">
        <v>0.48999999950655998</v>
      </c>
    </row>
    <row r="767" spans="1:41">
      <c r="A767" s="966">
        <v>760</v>
      </c>
      <c r="B767" s="967">
        <v>44301</v>
      </c>
      <c r="C767" s="966">
        <v>133700</v>
      </c>
      <c r="D767" s="966">
        <v>2.8959999999999999</v>
      </c>
      <c r="E767" s="966">
        <v>2.8959999999999999</v>
      </c>
      <c r="F767" s="966">
        <v>73988.160000000003</v>
      </c>
      <c r="G767" s="966">
        <v>63565.151038900003</v>
      </c>
      <c r="H767" s="966">
        <v>8644.49</v>
      </c>
      <c r="I767" s="966">
        <v>15.47</v>
      </c>
      <c r="Q767" s="967">
        <v>44301</v>
      </c>
      <c r="R767" s="966">
        <v>133700</v>
      </c>
      <c r="S767" s="966">
        <v>0.48999999950655998</v>
      </c>
      <c r="T767" s="969">
        <v>0</v>
      </c>
      <c r="U767" s="966">
        <v>8644.49</v>
      </c>
      <c r="W767" s="971" t="e">
        <f t="shared" si="14"/>
        <v>#DIV/0!</v>
      </c>
      <c r="Y767" s="967">
        <v>44376</v>
      </c>
      <c r="Z767" s="974">
        <f ca="1">H717*Valuation_Senario!$L$372</f>
        <v>13224.086721509999</v>
      </c>
      <c r="AA767" s="973">
        <v>16.37</v>
      </c>
      <c r="AM767" s="967">
        <v>44301</v>
      </c>
      <c r="AN767" s="974">
        <v>133700</v>
      </c>
      <c r="AO767" s="976">
        <v>0.48999999950655998</v>
      </c>
    </row>
    <row r="768" spans="1:41">
      <c r="A768" s="966">
        <v>761</v>
      </c>
      <c r="B768" s="967">
        <v>44300</v>
      </c>
      <c r="C768" s="966">
        <v>135400</v>
      </c>
      <c r="D768" s="966">
        <v>0</v>
      </c>
      <c r="E768" s="966">
        <v>0.33750000000000002</v>
      </c>
      <c r="F768" s="966">
        <v>74796.399999999994</v>
      </c>
      <c r="G768" s="966">
        <v>64373.3840738</v>
      </c>
      <c r="H768" s="966">
        <v>8579.09</v>
      </c>
      <c r="I768" s="966">
        <v>15.78</v>
      </c>
      <c r="Q768" s="967">
        <v>44300</v>
      </c>
      <c r="R768" s="966">
        <v>135400</v>
      </c>
      <c r="S768" s="966">
        <v>0.48999999950655998</v>
      </c>
      <c r="T768" s="969">
        <v>-0.33750000000000002</v>
      </c>
      <c r="U768" s="966">
        <v>8579.09</v>
      </c>
      <c r="W768" s="971" t="e">
        <f t="shared" si="14"/>
        <v>#DIV/0!</v>
      </c>
      <c r="Y768" s="967">
        <v>44375</v>
      </c>
      <c r="Z768" s="974">
        <f ca="1">H718*Valuation_Senario!$L$372</f>
        <v>13224.82095001</v>
      </c>
      <c r="AA768" s="973">
        <v>16.16</v>
      </c>
      <c r="AM768" s="967">
        <v>44300</v>
      </c>
      <c r="AN768" s="974">
        <v>135400</v>
      </c>
      <c r="AO768" s="976">
        <v>0.48999999950655998</v>
      </c>
    </row>
    <row r="769" spans="1:41">
      <c r="A769" s="966">
        <v>762</v>
      </c>
      <c r="B769" s="967">
        <v>44299</v>
      </c>
      <c r="C769" s="966">
        <v>134900</v>
      </c>
      <c r="D769" s="966">
        <v>0</v>
      </c>
      <c r="E769" s="966">
        <v>0</v>
      </c>
      <c r="F769" s="966">
        <v>74558.679999999993</v>
      </c>
      <c r="G769" s="966">
        <v>64135.668475300001</v>
      </c>
      <c r="H769" s="966">
        <v>8580.2800000000007</v>
      </c>
      <c r="I769" s="966">
        <v>15.72</v>
      </c>
      <c r="Q769" s="967">
        <v>44299</v>
      </c>
      <c r="R769" s="966">
        <v>134900</v>
      </c>
      <c r="S769" s="966">
        <v>0.48999999950655998</v>
      </c>
      <c r="T769" s="969">
        <v>0</v>
      </c>
      <c r="U769" s="966">
        <v>8580.2800000000007</v>
      </c>
      <c r="W769" s="971" t="e">
        <f t="shared" si="14"/>
        <v>#DIV/0!</v>
      </c>
      <c r="Y769" s="967">
        <v>44372</v>
      </c>
      <c r="Z769" s="974">
        <f ca="1">H719*Valuation_Senario!$L$372</f>
        <v>13227.067689219997</v>
      </c>
      <c r="AA769" s="973">
        <v>15.95</v>
      </c>
      <c r="AM769" s="967">
        <v>44299</v>
      </c>
      <c r="AN769" s="974">
        <v>134900</v>
      </c>
      <c r="AO769" s="976">
        <v>0.48999999950655998</v>
      </c>
    </row>
    <row r="770" spans="1:41">
      <c r="A770" s="966">
        <v>763</v>
      </c>
      <c r="B770" s="967">
        <v>44298</v>
      </c>
      <c r="C770" s="966">
        <v>134900</v>
      </c>
      <c r="D770" s="966">
        <v>0</v>
      </c>
      <c r="E770" s="966">
        <v>0</v>
      </c>
      <c r="F770" s="966">
        <v>74558.679999999993</v>
      </c>
      <c r="G770" s="966">
        <v>64135.668475300001</v>
      </c>
      <c r="H770" s="966">
        <v>8581.4699999999993</v>
      </c>
      <c r="I770" s="966">
        <v>15.72</v>
      </c>
      <c r="Q770" s="967">
        <v>44298</v>
      </c>
      <c r="R770" s="966">
        <v>134900</v>
      </c>
      <c r="S770" s="966">
        <v>0.48999999950655998</v>
      </c>
      <c r="T770" s="969">
        <v>0</v>
      </c>
      <c r="U770" s="966">
        <v>8581.4699999999993</v>
      </c>
      <c r="W770" s="971" t="e">
        <f t="shared" si="14"/>
        <v>#DIV/0!</v>
      </c>
      <c r="Y770" s="967">
        <v>44371</v>
      </c>
      <c r="Z770" s="974">
        <f ca="1">H720*Valuation_Senario!$L$372</f>
        <v>13227.816602289999</v>
      </c>
      <c r="AA770" s="973">
        <v>15.99</v>
      </c>
      <c r="AM770" s="967">
        <v>44298</v>
      </c>
      <c r="AN770" s="974">
        <v>134900</v>
      </c>
      <c r="AO770" s="976">
        <v>0.48999999950655998</v>
      </c>
    </row>
    <row r="771" spans="1:41">
      <c r="A771" s="966">
        <v>764</v>
      </c>
      <c r="B771" s="967">
        <v>44295</v>
      </c>
      <c r="C771" s="966">
        <v>133300</v>
      </c>
      <c r="D771" s="966">
        <v>0</v>
      </c>
      <c r="E771" s="966">
        <v>0</v>
      </c>
      <c r="F771" s="966">
        <v>73797.990000000005</v>
      </c>
      <c r="G771" s="966">
        <v>63374.978560099997</v>
      </c>
      <c r="H771" s="966">
        <v>8585.0499999999993</v>
      </c>
      <c r="I771" s="966">
        <v>15.53</v>
      </c>
      <c r="Q771" s="967">
        <v>44295</v>
      </c>
      <c r="R771" s="966">
        <v>133300</v>
      </c>
      <c r="S771" s="966">
        <v>0.48999999950655998</v>
      </c>
      <c r="T771" s="969">
        <v>0</v>
      </c>
      <c r="U771" s="966">
        <v>8585.0499999999993</v>
      </c>
      <c r="W771" s="971" t="e">
        <f t="shared" si="14"/>
        <v>#DIV/0!</v>
      </c>
      <c r="Y771" s="967">
        <v>44370</v>
      </c>
      <c r="Z771" s="974">
        <f ca="1">H721*Valuation_Senario!$L$372</f>
        <v>13228.565515359998</v>
      </c>
      <c r="AA771" s="973">
        <v>15.98</v>
      </c>
      <c r="AM771" s="967">
        <v>44295</v>
      </c>
      <c r="AN771" s="974">
        <v>133300</v>
      </c>
      <c r="AO771" s="976">
        <v>0.48999999950655998</v>
      </c>
    </row>
    <row r="772" spans="1:41">
      <c r="A772" s="966">
        <v>765</v>
      </c>
      <c r="B772" s="967">
        <v>44294</v>
      </c>
      <c r="C772" s="966">
        <v>134000</v>
      </c>
      <c r="D772" s="966">
        <v>0</v>
      </c>
      <c r="E772" s="966">
        <v>0</v>
      </c>
      <c r="F772" s="966">
        <v>74130.789999999994</v>
      </c>
      <c r="G772" s="966">
        <v>63707.780398000003</v>
      </c>
      <c r="H772" s="966">
        <v>8586.24</v>
      </c>
      <c r="I772" s="966">
        <v>15.61</v>
      </c>
      <c r="Q772" s="967">
        <v>44294</v>
      </c>
      <c r="R772" s="966">
        <v>134000</v>
      </c>
      <c r="S772" s="966">
        <v>0.48999999950655998</v>
      </c>
      <c r="T772" s="969">
        <v>0</v>
      </c>
      <c r="U772" s="966">
        <v>8586.24</v>
      </c>
      <c r="W772" s="971" t="e">
        <f t="shared" si="14"/>
        <v>#DIV/0!</v>
      </c>
      <c r="Y772" s="967">
        <v>44369</v>
      </c>
      <c r="Z772" s="974">
        <f ca="1">H722*Valuation_Senario!$L$372</f>
        <v>13229.31442843</v>
      </c>
      <c r="AA772" s="973">
        <v>16.21</v>
      </c>
      <c r="AM772" s="967">
        <v>44294</v>
      </c>
      <c r="AN772" s="974">
        <v>134000</v>
      </c>
      <c r="AO772" s="976">
        <v>0.48999999950655998</v>
      </c>
    </row>
    <row r="773" spans="1:41">
      <c r="A773" s="966">
        <v>766</v>
      </c>
      <c r="B773" s="967">
        <v>44293</v>
      </c>
      <c r="C773" s="966">
        <v>134500</v>
      </c>
      <c r="D773" s="966">
        <v>21.39</v>
      </c>
      <c r="E773" s="966">
        <v>21.39</v>
      </c>
      <c r="F773" s="966">
        <v>74368.509999999995</v>
      </c>
      <c r="G773" s="966">
        <v>63945.495996500002</v>
      </c>
      <c r="H773" s="966">
        <v>8587.43</v>
      </c>
      <c r="I773" s="966">
        <v>15.66</v>
      </c>
      <c r="Q773" s="967">
        <v>44293</v>
      </c>
      <c r="R773" s="966">
        <v>134500</v>
      </c>
      <c r="S773" s="966">
        <v>0.48999999950655998</v>
      </c>
      <c r="T773" s="969">
        <v>0</v>
      </c>
      <c r="U773" s="966">
        <v>8587.43</v>
      </c>
      <c r="W773" s="971" t="e">
        <f t="shared" si="14"/>
        <v>#DIV/0!</v>
      </c>
      <c r="Y773" s="967">
        <v>44368</v>
      </c>
      <c r="Z773" s="974">
        <f ca="1">H723*Valuation_Senario!$L$372</f>
        <v>13230.048656929999</v>
      </c>
      <c r="AA773" s="973">
        <v>16.18</v>
      </c>
      <c r="AM773" s="967">
        <v>44293</v>
      </c>
      <c r="AN773" s="974">
        <v>134500</v>
      </c>
      <c r="AO773" s="976">
        <v>0.48999999950655998</v>
      </c>
    </row>
    <row r="774" spans="1:41">
      <c r="A774" s="966">
        <v>767</v>
      </c>
      <c r="B774" s="967">
        <v>44292</v>
      </c>
      <c r="C774" s="966">
        <v>133300</v>
      </c>
      <c r="D774" s="966">
        <v>0</v>
      </c>
      <c r="E774" s="966">
        <v>0</v>
      </c>
      <c r="F774" s="966">
        <v>73797.990000000005</v>
      </c>
      <c r="G774" s="966">
        <v>63374.978560099997</v>
      </c>
      <c r="H774" s="966">
        <v>8588.6299999999992</v>
      </c>
      <c r="I774" s="966">
        <v>15.52</v>
      </c>
      <c r="Q774" s="967">
        <v>44292</v>
      </c>
      <c r="R774" s="966">
        <v>133300</v>
      </c>
      <c r="S774" s="966">
        <v>0.48999999950655998</v>
      </c>
      <c r="T774" s="969">
        <v>0</v>
      </c>
      <c r="U774" s="966">
        <v>8588.6299999999992</v>
      </c>
      <c r="W774" s="971" t="e">
        <f t="shared" si="14"/>
        <v>#DIV/0!</v>
      </c>
      <c r="Y774" s="967">
        <v>44365</v>
      </c>
      <c r="Z774" s="974">
        <f ca="1">H724*Valuation_Senario!$L$372</f>
        <v>13232.29539614</v>
      </c>
      <c r="AA774" s="973">
        <v>15.65</v>
      </c>
      <c r="AM774" s="967">
        <v>44292</v>
      </c>
      <c r="AN774" s="974">
        <v>133300</v>
      </c>
      <c r="AO774" s="976">
        <v>0.48999999950655998</v>
      </c>
    </row>
    <row r="775" spans="1:41">
      <c r="A775" s="966">
        <v>768</v>
      </c>
      <c r="B775" s="967">
        <v>44291</v>
      </c>
      <c r="C775" s="966">
        <v>134100</v>
      </c>
      <c r="D775" s="966">
        <v>0</v>
      </c>
      <c r="E775" s="966">
        <v>0</v>
      </c>
      <c r="F775" s="966">
        <v>74178.34</v>
      </c>
      <c r="G775" s="966">
        <v>63755.323517700002</v>
      </c>
      <c r="H775" s="966">
        <v>8589.82</v>
      </c>
      <c r="I775" s="966">
        <v>15.61</v>
      </c>
      <c r="Q775" s="967">
        <v>44291</v>
      </c>
      <c r="R775" s="966">
        <v>134100</v>
      </c>
      <c r="S775" s="966">
        <v>0.48999999950655998</v>
      </c>
      <c r="T775" s="969">
        <v>0</v>
      </c>
      <c r="U775" s="966">
        <v>8589.82</v>
      </c>
      <c r="W775" s="971" t="e">
        <f t="shared" si="14"/>
        <v>#DIV/0!</v>
      </c>
      <c r="Y775" s="967">
        <v>44364</v>
      </c>
      <c r="Z775" s="974">
        <f ca="1">H725*Valuation_Senario!$L$372</f>
        <v>13233.044309209999</v>
      </c>
      <c r="AA775" s="973">
        <v>15.42</v>
      </c>
      <c r="AM775" s="967">
        <v>44291</v>
      </c>
      <c r="AN775" s="974">
        <v>134100</v>
      </c>
      <c r="AO775" s="976">
        <v>0.48999999950655998</v>
      </c>
    </row>
    <row r="776" spans="1:41">
      <c r="A776" s="966">
        <v>769</v>
      </c>
      <c r="B776" s="967">
        <v>44288</v>
      </c>
      <c r="C776" s="966">
        <v>134800</v>
      </c>
      <c r="D776" s="966">
        <v>0</v>
      </c>
      <c r="E776" s="966">
        <v>0</v>
      </c>
      <c r="F776" s="966">
        <v>73256.56</v>
      </c>
      <c r="G776" s="966">
        <v>62833.545799599997</v>
      </c>
      <c r="H776" s="966">
        <v>8593.89</v>
      </c>
      <c r="I776" s="966">
        <v>15.69</v>
      </c>
      <c r="Q776" s="967">
        <v>44288</v>
      </c>
      <c r="R776" s="966">
        <v>134800</v>
      </c>
      <c r="S776" s="966">
        <v>0.48999999950655998</v>
      </c>
      <c r="T776" s="969">
        <v>0</v>
      </c>
      <c r="U776" s="966">
        <v>8593.89</v>
      </c>
      <c r="W776" s="971" t="e">
        <f t="shared" si="14"/>
        <v>#DIV/0!</v>
      </c>
      <c r="Y776" s="967">
        <v>44363</v>
      </c>
      <c r="Z776" s="974">
        <f ca="1">H726*Valuation_Senario!$L$372</f>
        <v>13233.793222280001</v>
      </c>
      <c r="AA776" s="973">
        <v>15.2</v>
      </c>
      <c r="AM776" s="967">
        <v>44288</v>
      </c>
      <c r="AN776" s="974">
        <v>134800</v>
      </c>
      <c r="AO776" s="976">
        <v>0.48999999950655998</v>
      </c>
    </row>
    <row r="777" spans="1:41">
      <c r="A777" s="966">
        <v>770</v>
      </c>
      <c r="B777" s="967">
        <v>44287</v>
      </c>
      <c r="C777" s="966">
        <v>134300</v>
      </c>
      <c r="D777" s="966">
        <v>16.81044</v>
      </c>
      <c r="E777" s="966">
        <v>16.81044</v>
      </c>
      <c r="F777" s="966">
        <v>73023.5</v>
      </c>
      <c r="G777" s="966">
        <v>62600.4836861</v>
      </c>
      <c r="H777" s="966">
        <v>8594.6</v>
      </c>
      <c r="I777" s="966">
        <v>15.63</v>
      </c>
      <c r="Q777" s="967">
        <v>44287</v>
      </c>
      <c r="R777" s="966">
        <v>134300</v>
      </c>
      <c r="S777" s="966">
        <v>0.48999999950655998</v>
      </c>
      <c r="T777" s="969">
        <v>0</v>
      </c>
      <c r="U777" s="966">
        <v>8594.6</v>
      </c>
      <c r="W777" s="971" t="e">
        <f t="shared" ref="W777:W840" si="15">T777/V777</f>
        <v>#DIV/0!</v>
      </c>
      <c r="Y777" s="967">
        <v>44362</v>
      </c>
      <c r="Z777" s="974">
        <f ca="1">H727*Valuation_Senario!$L$372</f>
        <v>13234.542135349999</v>
      </c>
      <c r="AA777" s="973">
        <v>15.3</v>
      </c>
      <c r="AM777" s="967">
        <v>44287</v>
      </c>
      <c r="AN777" s="974">
        <v>134300</v>
      </c>
      <c r="AO777" s="976">
        <v>0.48999999950655998</v>
      </c>
    </row>
    <row r="778" spans="1:41">
      <c r="A778" s="966">
        <v>771</v>
      </c>
      <c r="B778" s="967">
        <v>44286</v>
      </c>
      <c r="C778" s="966">
        <v>129700</v>
      </c>
      <c r="D778" s="966">
        <v>0</v>
      </c>
      <c r="E778" s="966">
        <v>0</v>
      </c>
      <c r="F778" s="966">
        <v>70879.320000000007</v>
      </c>
      <c r="G778" s="966">
        <v>60456.312241899999</v>
      </c>
      <c r="H778" s="966">
        <v>8595.31</v>
      </c>
      <c r="I778" s="966">
        <v>15.09</v>
      </c>
      <c r="Q778" s="967">
        <v>44286</v>
      </c>
      <c r="R778" s="966">
        <v>129700</v>
      </c>
      <c r="S778" s="966">
        <v>0.48999999950655998</v>
      </c>
      <c r="T778" s="969">
        <v>0</v>
      </c>
      <c r="U778" s="966">
        <v>8595.31</v>
      </c>
      <c r="W778" s="971" t="e">
        <f t="shared" si="15"/>
        <v>#DIV/0!</v>
      </c>
      <c r="Y778" s="967">
        <v>44361</v>
      </c>
      <c r="Z778" s="974">
        <f ca="1">H728*Valuation_Senario!$L$372</f>
        <v>13235.291048419998</v>
      </c>
      <c r="AA778" s="973">
        <v>15.32</v>
      </c>
      <c r="AM778" s="967">
        <v>44286</v>
      </c>
      <c r="AN778" s="974">
        <v>129700</v>
      </c>
      <c r="AO778" s="976">
        <v>0.48999999950655998</v>
      </c>
    </row>
    <row r="779" spans="1:41">
      <c r="A779" s="966">
        <v>772</v>
      </c>
      <c r="B779" s="967">
        <v>44285</v>
      </c>
      <c r="C779" s="966">
        <v>129400</v>
      </c>
      <c r="D779" s="966">
        <v>0</v>
      </c>
      <c r="E779" s="966">
        <v>0</v>
      </c>
      <c r="F779" s="966">
        <v>70739.490000000005</v>
      </c>
      <c r="G779" s="966">
        <v>60316.474973800003</v>
      </c>
      <c r="H779" s="966">
        <v>8596.02</v>
      </c>
      <c r="I779" s="966">
        <v>15.05</v>
      </c>
      <c r="Q779" s="967">
        <v>44285</v>
      </c>
      <c r="R779" s="966">
        <v>129400</v>
      </c>
      <c r="S779" s="966">
        <v>0.48999999950655998</v>
      </c>
      <c r="T779" s="969">
        <v>0</v>
      </c>
      <c r="U779" s="966">
        <v>8596.02</v>
      </c>
      <c r="W779" s="971" t="e">
        <f t="shared" si="15"/>
        <v>#DIV/0!</v>
      </c>
      <c r="Y779" s="967">
        <v>44358</v>
      </c>
      <c r="Z779" s="974">
        <f ca="1">H729*Valuation_Senario!$L$372</f>
        <v>13237.523103059999</v>
      </c>
      <c r="AA779" s="973">
        <v>15.2</v>
      </c>
      <c r="AM779" s="967">
        <v>44285</v>
      </c>
      <c r="AN779" s="974">
        <v>129400</v>
      </c>
      <c r="AO779" s="976">
        <v>0.48999999950655998</v>
      </c>
    </row>
    <row r="780" spans="1:41">
      <c r="A780" s="966">
        <v>773</v>
      </c>
      <c r="B780" s="967">
        <v>44284</v>
      </c>
      <c r="C780" s="966">
        <v>130100</v>
      </c>
      <c r="D780" s="966">
        <v>4.173</v>
      </c>
      <c r="E780" s="966">
        <v>4.4340000000000002</v>
      </c>
      <c r="F780" s="966">
        <v>71065.77</v>
      </c>
      <c r="G780" s="966">
        <v>60642.761932699999</v>
      </c>
      <c r="H780" s="966">
        <v>8596.73</v>
      </c>
      <c r="I780" s="966">
        <v>15.13</v>
      </c>
      <c r="Q780" s="967">
        <v>44284</v>
      </c>
      <c r="R780" s="966">
        <v>130100</v>
      </c>
      <c r="S780" s="966">
        <v>0.48999999950655998</v>
      </c>
      <c r="T780" s="969">
        <v>-0.26100000000000012</v>
      </c>
      <c r="U780" s="966">
        <v>8596.73</v>
      </c>
      <c r="W780" s="971" t="e">
        <f t="shared" si="15"/>
        <v>#DIV/0!</v>
      </c>
      <c r="Y780" s="967">
        <v>44357</v>
      </c>
      <c r="Z780" s="974">
        <f ca="1">H730*Valuation_Senario!$L$372</f>
        <v>13238.272016129999</v>
      </c>
      <c r="AA780" s="973">
        <v>15.01</v>
      </c>
      <c r="AM780" s="967">
        <v>44284</v>
      </c>
      <c r="AN780" s="974">
        <v>130100</v>
      </c>
      <c r="AO780" s="976">
        <v>0.48999999950655998</v>
      </c>
    </row>
    <row r="781" spans="1:41">
      <c r="A781" s="966">
        <v>774</v>
      </c>
      <c r="B781" s="967">
        <v>44281</v>
      </c>
      <c r="C781" s="966">
        <v>130000</v>
      </c>
      <c r="D781" s="966">
        <v>0</v>
      </c>
      <c r="E781" s="966">
        <v>0</v>
      </c>
      <c r="F781" s="966">
        <v>71019.16</v>
      </c>
      <c r="G781" s="966">
        <v>60596.149510000003</v>
      </c>
      <c r="H781" s="966">
        <v>8598.85</v>
      </c>
      <c r="I781" s="966">
        <v>15.12</v>
      </c>
      <c r="Q781" s="967">
        <v>44281</v>
      </c>
      <c r="R781" s="966">
        <v>130000</v>
      </c>
      <c r="S781" s="966">
        <v>0.48999999950655998</v>
      </c>
      <c r="T781" s="969">
        <v>0</v>
      </c>
      <c r="U781" s="966">
        <v>8598.85</v>
      </c>
      <c r="W781" s="971" t="e">
        <f t="shared" si="15"/>
        <v>#DIV/0!</v>
      </c>
      <c r="Y781" s="967">
        <v>44356</v>
      </c>
      <c r="Z781" s="974">
        <f ca="1">H731*Valuation_Senario!$L$372</f>
        <v>13239.0209292</v>
      </c>
      <c r="AA781" s="973">
        <v>15.13</v>
      </c>
      <c r="AM781" s="967">
        <v>44281</v>
      </c>
      <c r="AN781" s="974">
        <v>130000</v>
      </c>
      <c r="AO781" s="976">
        <v>0.48999999950655998</v>
      </c>
    </row>
    <row r="782" spans="1:41">
      <c r="A782" s="966">
        <v>775</v>
      </c>
      <c r="B782" s="967">
        <v>44280</v>
      </c>
      <c r="C782" s="966">
        <v>128800</v>
      </c>
      <c r="D782" s="966">
        <v>0</v>
      </c>
      <c r="E782" s="966">
        <v>0</v>
      </c>
      <c r="F782" s="966">
        <v>70459.81</v>
      </c>
      <c r="G782" s="966">
        <v>60036.800437600003</v>
      </c>
      <c r="H782" s="966">
        <v>8599.56</v>
      </c>
      <c r="I782" s="966">
        <v>14.98</v>
      </c>
      <c r="Q782" s="967">
        <v>44280</v>
      </c>
      <c r="R782" s="966">
        <v>128800</v>
      </c>
      <c r="S782" s="966">
        <v>0.48999999950655998</v>
      </c>
      <c r="T782" s="969">
        <v>0</v>
      </c>
      <c r="U782" s="966">
        <v>8599.56</v>
      </c>
      <c r="W782" s="971" t="e">
        <f t="shared" si="15"/>
        <v>#DIV/0!</v>
      </c>
      <c r="Y782" s="967">
        <v>44355</v>
      </c>
      <c r="Z782" s="974">
        <f ca="1">H732*Valuation_Senario!$L$372</f>
        <v>13239.76984227</v>
      </c>
      <c r="AA782" s="973">
        <v>15.08</v>
      </c>
      <c r="AM782" s="967">
        <v>44280</v>
      </c>
      <c r="AN782" s="974">
        <v>128800</v>
      </c>
      <c r="AO782" s="976">
        <v>0.48999999950655998</v>
      </c>
    </row>
    <row r="783" spans="1:41">
      <c r="A783" s="966">
        <v>776</v>
      </c>
      <c r="B783" s="967">
        <v>44279</v>
      </c>
      <c r="C783" s="966">
        <v>129900</v>
      </c>
      <c r="D783" s="966">
        <v>0</v>
      </c>
      <c r="E783" s="966">
        <v>0</v>
      </c>
      <c r="F783" s="966">
        <v>70972.55</v>
      </c>
      <c r="G783" s="966">
        <v>60549.537087299999</v>
      </c>
      <c r="H783" s="966">
        <v>8600.27</v>
      </c>
      <c r="I783" s="966">
        <v>15.1</v>
      </c>
      <c r="Q783" s="967">
        <v>44279</v>
      </c>
      <c r="R783" s="966">
        <v>129900</v>
      </c>
      <c r="S783" s="966">
        <v>0.48999999950655998</v>
      </c>
      <c r="T783" s="969">
        <v>0</v>
      </c>
      <c r="U783" s="966">
        <v>8600.27</v>
      </c>
      <c r="W783" s="971" t="e">
        <f t="shared" si="15"/>
        <v>#DIV/0!</v>
      </c>
      <c r="Y783" s="967">
        <v>44354</v>
      </c>
      <c r="Z783" s="974">
        <f ca="1">H733*Valuation_Senario!$L$372</f>
        <v>13240.518755340001</v>
      </c>
      <c r="AA783" s="973">
        <v>15.09</v>
      </c>
      <c r="AM783" s="967">
        <v>44279</v>
      </c>
      <c r="AN783" s="974">
        <v>129900</v>
      </c>
      <c r="AO783" s="976">
        <v>0.48999999950655998</v>
      </c>
    </row>
    <row r="784" spans="1:41">
      <c r="A784" s="966">
        <v>777</v>
      </c>
      <c r="B784" s="967">
        <v>44278</v>
      </c>
      <c r="C784" s="966">
        <v>131000</v>
      </c>
      <c r="D784" s="966">
        <v>0</v>
      </c>
      <c r="E784" s="966">
        <v>0</v>
      </c>
      <c r="F784" s="966">
        <v>71485.289999999994</v>
      </c>
      <c r="G784" s="966">
        <v>61062.273737000003</v>
      </c>
      <c r="H784" s="966">
        <v>8600.98</v>
      </c>
      <c r="I784" s="966">
        <v>15.23</v>
      </c>
      <c r="Q784" s="967">
        <v>44278</v>
      </c>
      <c r="R784" s="966">
        <v>131000</v>
      </c>
      <c r="S784" s="966">
        <v>0.48999999950655998</v>
      </c>
      <c r="T784" s="969">
        <v>0</v>
      </c>
      <c r="U784" s="966">
        <v>8600.98</v>
      </c>
      <c r="W784" s="971" t="e">
        <f t="shared" si="15"/>
        <v>#DIV/0!</v>
      </c>
      <c r="Y784" s="967">
        <v>44351</v>
      </c>
      <c r="Z784" s="974">
        <f ca="1">H734*Valuation_Senario!$L$372</f>
        <v>13242.765494549998</v>
      </c>
      <c r="AA784" s="973">
        <v>15.25</v>
      </c>
      <c r="AM784" s="967">
        <v>44278</v>
      </c>
      <c r="AN784" s="974">
        <v>131000</v>
      </c>
      <c r="AO784" s="976">
        <v>0.48999999950655998</v>
      </c>
    </row>
    <row r="785" spans="1:41">
      <c r="A785" s="966">
        <v>778</v>
      </c>
      <c r="B785" s="967">
        <v>44277</v>
      </c>
      <c r="C785" s="966">
        <v>131900</v>
      </c>
      <c r="D785" s="966">
        <v>0</v>
      </c>
      <c r="E785" s="966">
        <v>0</v>
      </c>
      <c r="F785" s="966">
        <v>71904.800000000003</v>
      </c>
      <c r="G785" s="966">
        <v>61481.7855413</v>
      </c>
      <c r="H785" s="966">
        <v>8601.69</v>
      </c>
      <c r="I785" s="966">
        <v>15.33</v>
      </c>
      <c r="Q785" s="967">
        <v>44277</v>
      </c>
      <c r="R785" s="966">
        <v>131900</v>
      </c>
      <c r="S785" s="966">
        <v>0.48999999950655998</v>
      </c>
      <c r="T785" s="969">
        <v>0</v>
      </c>
      <c r="U785" s="966">
        <v>8601.69</v>
      </c>
      <c r="W785" s="971" t="e">
        <f t="shared" si="15"/>
        <v>#DIV/0!</v>
      </c>
      <c r="Y785" s="967">
        <v>44350</v>
      </c>
      <c r="Z785" s="974">
        <f ca="1">H735*Valuation_Senario!$L$372</f>
        <v>13243.514407619999</v>
      </c>
      <c r="AA785" s="973">
        <v>15.41</v>
      </c>
      <c r="AM785" s="967">
        <v>44277</v>
      </c>
      <c r="AN785" s="974">
        <v>131900</v>
      </c>
      <c r="AO785" s="976">
        <v>0.48999999950655998</v>
      </c>
    </row>
    <row r="786" spans="1:41">
      <c r="A786" s="966">
        <v>779</v>
      </c>
      <c r="B786" s="967">
        <v>44274</v>
      </c>
      <c r="C786" s="966">
        <v>133000</v>
      </c>
      <c r="D786" s="966">
        <v>0</v>
      </c>
      <c r="E786" s="966">
        <v>0</v>
      </c>
      <c r="F786" s="966">
        <v>72417.53</v>
      </c>
      <c r="G786" s="966">
        <v>61994.522190999996</v>
      </c>
      <c r="H786" s="966">
        <v>8603.82</v>
      </c>
      <c r="I786" s="966">
        <v>15.46</v>
      </c>
      <c r="Q786" s="967">
        <v>44274</v>
      </c>
      <c r="R786" s="966">
        <v>133000</v>
      </c>
      <c r="S786" s="966">
        <v>0.48999999950655998</v>
      </c>
      <c r="T786" s="969">
        <v>0</v>
      </c>
      <c r="U786" s="966">
        <v>8603.82</v>
      </c>
      <c r="W786" s="971" t="e">
        <f t="shared" si="15"/>
        <v>#DIV/0!</v>
      </c>
      <c r="Y786" s="967">
        <v>44349</v>
      </c>
      <c r="Z786" s="974">
        <f ca="1">H736*Valuation_Senario!$L$372</f>
        <v>13244.263320689999</v>
      </c>
      <c r="AA786" s="973">
        <v>15.39</v>
      </c>
      <c r="AM786" s="967">
        <v>44274</v>
      </c>
      <c r="AN786" s="974">
        <v>133000</v>
      </c>
      <c r="AO786" s="976">
        <v>0.48999999950655998</v>
      </c>
    </row>
    <row r="787" spans="1:41">
      <c r="A787" s="966">
        <v>780</v>
      </c>
      <c r="B787" s="967">
        <v>44273</v>
      </c>
      <c r="C787" s="966">
        <v>133600</v>
      </c>
      <c r="D787" s="966">
        <v>0</v>
      </c>
      <c r="E787" s="966">
        <v>0</v>
      </c>
      <c r="F787" s="966">
        <v>72697.210000000006</v>
      </c>
      <c r="G787" s="966">
        <v>62274.196727199997</v>
      </c>
      <c r="H787" s="966">
        <v>8604.52</v>
      </c>
      <c r="I787" s="966">
        <v>15.53</v>
      </c>
      <c r="Q787" s="967">
        <v>44273</v>
      </c>
      <c r="R787" s="966">
        <v>133600</v>
      </c>
      <c r="S787" s="966">
        <v>0.48999999950655998</v>
      </c>
      <c r="T787" s="969">
        <v>0</v>
      </c>
      <c r="U787" s="966">
        <v>8604.52</v>
      </c>
      <c r="W787" s="971" t="e">
        <f t="shared" si="15"/>
        <v>#DIV/0!</v>
      </c>
      <c r="Y787" s="967">
        <v>44348</v>
      </c>
      <c r="Z787" s="974">
        <f ca="1">H737*Valuation_Senario!$L$372</f>
        <v>13245.012233759999</v>
      </c>
      <c r="AA787" s="973">
        <v>15.13</v>
      </c>
      <c r="AM787" s="967">
        <v>44273</v>
      </c>
      <c r="AN787" s="974">
        <v>133600</v>
      </c>
      <c r="AO787" s="976">
        <v>0.48999999950655998</v>
      </c>
    </row>
    <row r="788" spans="1:41">
      <c r="A788" s="966">
        <v>781</v>
      </c>
      <c r="B788" s="967">
        <v>44272</v>
      </c>
      <c r="C788" s="966">
        <v>132800</v>
      </c>
      <c r="D788" s="966">
        <v>7.0285275</v>
      </c>
      <c r="E788" s="966">
        <v>7.0285275</v>
      </c>
      <c r="F788" s="966">
        <v>72324.31</v>
      </c>
      <c r="G788" s="966">
        <v>61901.297345600004</v>
      </c>
      <c r="H788" s="966">
        <v>8605.23</v>
      </c>
      <c r="I788" s="966">
        <v>15.43</v>
      </c>
      <c r="Q788" s="967">
        <v>44272</v>
      </c>
      <c r="R788" s="966">
        <v>132800</v>
      </c>
      <c r="S788" s="966">
        <v>0.48999999950655998</v>
      </c>
      <c r="T788" s="969">
        <v>0</v>
      </c>
      <c r="U788" s="966">
        <v>8605.23</v>
      </c>
      <c r="W788" s="971" t="e">
        <f t="shared" si="15"/>
        <v>#DIV/0!</v>
      </c>
      <c r="Y788" s="967">
        <v>44347</v>
      </c>
      <c r="Z788" s="974">
        <f ca="1">H738*Valuation_Senario!$L$372</f>
        <v>13245.76114683</v>
      </c>
      <c r="AA788" s="973">
        <v>15.35</v>
      </c>
      <c r="AM788" s="967">
        <v>44272</v>
      </c>
      <c r="AN788" s="974">
        <v>132800</v>
      </c>
      <c r="AO788" s="976">
        <v>0.48999999950655998</v>
      </c>
    </row>
    <row r="789" spans="1:41">
      <c r="A789" s="966">
        <v>782</v>
      </c>
      <c r="B789" s="967">
        <v>44271</v>
      </c>
      <c r="C789" s="966">
        <v>133200</v>
      </c>
      <c r="D789" s="966">
        <v>7.0949999999999998</v>
      </c>
      <c r="E789" s="966">
        <v>7.0949999999999998</v>
      </c>
      <c r="F789" s="966">
        <v>72510.759999999995</v>
      </c>
      <c r="G789" s="966">
        <v>62087.747036399996</v>
      </c>
      <c r="H789" s="966">
        <v>8605.94</v>
      </c>
      <c r="I789" s="966">
        <v>15.48</v>
      </c>
      <c r="Q789" s="967">
        <v>44271</v>
      </c>
      <c r="R789" s="966">
        <v>133200</v>
      </c>
      <c r="S789" s="966">
        <v>0.48999999950655998</v>
      </c>
      <c r="T789" s="969">
        <v>0</v>
      </c>
      <c r="U789" s="966">
        <v>8605.94</v>
      </c>
      <c r="W789" s="971" t="e">
        <f t="shared" si="15"/>
        <v>#DIV/0!</v>
      </c>
      <c r="Y789" s="967">
        <v>44344</v>
      </c>
      <c r="Z789" s="974">
        <f ca="1">H739*Valuation_Senario!$L$372</f>
        <v>13248.007886039999</v>
      </c>
      <c r="AA789" s="973">
        <v>15.82</v>
      </c>
      <c r="AM789" s="967">
        <v>44271</v>
      </c>
      <c r="AN789" s="974">
        <v>133200</v>
      </c>
      <c r="AO789" s="976">
        <v>0.48999999950655998</v>
      </c>
    </row>
    <row r="790" spans="1:41">
      <c r="A790" s="966">
        <v>783</v>
      </c>
      <c r="B790" s="967">
        <v>44270</v>
      </c>
      <c r="C790" s="966">
        <v>132700</v>
      </c>
      <c r="D790" s="966">
        <v>0</v>
      </c>
      <c r="E790" s="966">
        <v>0</v>
      </c>
      <c r="F790" s="966">
        <v>72277.7</v>
      </c>
      <c r="G790" s="966">
        <v>61854.6849229</v>
      </c>
      <c r="H790" s="966">
        <v>8606.65</v>
      </c>
      <c r="I790" s="966">
        <v>15.42</v>
      </c>
      <c r="Q790" s="967">
        <v>44270</v>
      </c>
      <c r="R790" s="966">
        <v>132700</v>
      </c>
      <c r="S790" s="966">
        <v>0.48999999950655998</v>
      </c>
      <c r="T790" s="969">
        <v>0</v>
      </c>
      <c r="U790" s="966">
        <v>8606.65</v>
      </c>
      <c r="W790" s="971" t="e">
        <f t="shared" si="15"/>
        <v>#DIV/0!</v>
      </c>
      <c r="Y790" s="967">
        <v>44343</v>
      </c>
      <c r="Z790" s="974">
        <f ca="1">H740*Valuation_Senario!$L$372</f>
        <v>13248.756799109999</v>
      </c>
      <c r="AA790" s="973">
        <v>15.78</v>
      </c>
      <c r="AM790" s="967">
        <v>44270</v>
      </c>
      <c r="AN790" s="974">
        <v>132700</v>
      </c>
      <c r="AO790" s="976">
        <v>0.48999999950655998</v>
      </c>
    </row>
    <row r="791" spans="1:41">
      <c r="A791" s="966">
        <v>784</v>
      </c>
      <c r="B791" s="967">
        <v>44267</v>
      </c>
      <c r="C791" s="966">
        <v>131100</v>
      </c>
      <c r="D791" s="966">
        <v>0</v>
      </c>
      <c r="E791" s="966">
        <v>0</v>
      </c>
      <c r="F791" s="966">
        <v>71531.899999999994</v>
      </c>
      <c r="G791" s="966">
        <v>61108.8861597</v>
      </c>
      <c r="H791" s="966">
        <v>8608.7800000000007</v>
      </c>
      <c r="I791" s="966">
        <v>15.23</v>
      </c>
      <c r="Q791" s="967">
        <v>44267</v>
      </c>
      <c r="R791" s="966">
        <v>131100</v>
      </c>
      <c r="S791" s="966">
        <v>0.48999999950655998</v>
      </c>
      <c r="T791" s="969">
        <v>0</v>
      </c>
      <c r="U791" s="966">
        <v>8608.7800000000007</v>
      </c>
      <c r="W791" s="971" t="e">
        <f t="shared" si="15"/>
        <v>#DIV/0!</v>
      </c>
      <c r="Y791" s="967">
        <v>44342</v>
      </c>
      <c r="Z791" s="974">
        <f ca="1">H741*Valuation_Senario!$L$372</f>
        <v>13249.505712179998</v>
      </c>
      <c r="AA791" s="973">
        <v>16.059999999999999</v>
      </c>
      <c r="AM791" s="967">
        <v>44267</v>
      </c>
      <c r="AN791" s="974">
        <v>131100</v>
      </c>
      <c r="AO791" s="976">
        <v>0.48999999950655998</v>
      </c>
    </row>
    <row r="792" spans="1:41">
      <c r="A792" s="966">
        <v>785</v>
      </c>
      <c r="B792" s="967">
        <v>44266</v>
      </c>
      <c r="C792" s="966">
        <v>132500</v>
      </c>
      <c r="D792" s="966">
        <v>90.879599999999996</v>
      </c>
      <c r="E792" s="966">
        <v>90.879599999999996</v>
      </c>
      <c r="F792" s="966">
        <v>72184.47</v>
      </c>
      <c r="G792" s="966">
        <v>61761.4600775</v>
      </c>
      <c r="H792" s="966">
        <v>8609.5</v>
      </c>
      <c r="I792" s="966">
        <v>15.39</v>
      </c>
      <c r="Q792" s="967">
        <v>44266</v>
      </c>
      <c r="R792" s="966">
        <v>132500</v>
      </c>
      <c r="S792" s="966">
        <v>0.48999999950655998</v>
      </c>
      <c r="T792" s="969">
        <v>0</v>
      </c>
      <c r="U792" s="966">
        <v>8609.5</v>
      </c>
      <c r="W792" s="971" t="e">
        <f t="shared" si="15"/>
        <v>#DIV/0!</v>
      </c>
      <c r="Y792" s="967">
        <v>44341</v>
      </c>
      <c r="Z792" s="974">
        <f ca="1">H742*Valuation_Senario!$L$372</f>
        <v>13250.25462525</v>
      </c>
      <c r="AA792" s="973">
        <v>16.18</v>
      </c>
      <c r="AM792" s="967">
        <v>44266</v>
      </c>
      <c r="AN792" s="974">
        <v>132500</v>
      </c>
      <c r="AO792" s="976">
        <v>0.48999999950655998</v>
      </c>
    </row>
    <row r="793" spans="1:41">
      <c r="A793" s="966">
        <v>786</v>
      </c>
      <c r="B793" s="967">
        <v>44265</v>
      </c>
      <c r="C793" s="966">
        <v>130500</v>
      </c>
      <c r="D793" s="966">
        <v>0</v>
      </c>
      <c r="E793" s="966">
        <v>0</v>
      </c>
      <c r="F793" s="966">
        <v>71252.22</v>
      </c>
      <c r="G793" s="966">
        <v>60829.211623499999</v>
      </c>
      <c r="H793" s="966">
        <v>8610.2099999999991</v>
      </c>
      <c r="I793" s="966">
        <v>15.16</v>
      </c>
      <c r="Q793" s="967">
        <v>44265</v>
      </c>
      <c r="R793" s="966">
        <v>130500</v>
      </c>
      <c r="S793" s="966">
        <v>0.48999999950655998</v>
      </c>
      <c r="T793" s="969">
        <v>0</v>
      </c>
      <c r="U793" s="966">
        <v>8610.2099999999991</v>
      </c>
      <c r="W793" s="971" t="e">
        <f t="shared" si="15"/>
        <v>#DIV/0!</v>
      </c>
      <c r="Y793" s="967">
        <v>44340</v>
      </c>
      <c r="Z793" s="974">
        <f ca="1">H743*Valuation_Senario!$L$372</f>
        <v>13251.003538319999</v>
      </c>
      <c r="AA793" s="973">
        <v>16.18</v>
      </c>
      <c r="AM793" s="967">
        <v>44265</v>
      </c>
      <c r="AN793" s="974">
        <v>130500</v>
      </c>
      <c r="AO793" s="976">
        <v>0.48999999950655998</v>
      </c>
    </row>
    <row r="794" spans="1:41">
      <c r="A794" s="966">
        <v>787</v>
      </c>
      <c r="B794" s="967">
        <v>44264</v>
      </c>
      <c r="C794" s="966">
        <v>128100</v>
      </c>
      <c r="D794" s="966">
        <v>186.53328669999999</v>
      </c>
      <c r="E794" s="966">
        <v>186.53328669999999</v>
      </c>
      <c r="F794" s="966">
        <v>70133.53</v>
      </c>
      <c r="G794" s="966">
        <v>59710.513478699999</v>
      </c>
      <c r="H794" s="966">
        <v>8610.92</v>
      </c>
      <c r="I794" s="966">
        <v>14.88</v>
      </c>
      <c r="Q794" s="967">
        <v>44264</v>
      </c>
      <c r="R794" s="966">
        <v>128100</v>
      </c>
      <c r="S794" s="966">
        <v>0.48999999950655998</v>
      </c>
      <c r="T794" s="969">
        <v>0</v>
      </c>
      <c r="U794" s="966">
        <v>8610.92</v>
      </c>
      <c r="W794" s="971" t="e">
        <f t="shared" si="15"/>
        <v>#DIV/0!</v>
      </c>
      <c r="Y794" s="967">
        <v>44337</v>
      </c>
      <c r="Z794" s="974">
        <f ca="1">H744*Valuation_Senario!$L$372</f>
        <v>13253.25027753</v>
      </c>
      <c r="AA794" s="973">
        <v>16.11</v>
      </c>
      <c r="AM794" s="967">
        <v>44264</v>
      </c>
      <c r="AN794" s="974">
        <v>128100</v>
      </c>
      <c r="AO794" s="976">
        <v>0.48999999950655998</v>
      </c>
    </row>
    <row r="795" spans="1:41">
      <c r="A795" s="966">
        <v>788</v>
      </c>
      <c r="B795" s="967">
        <v>44263</v>
      </c>
      <c r="C795" s="966">
        <v>130800</v>
      </c>
      <c r="D795" s="966">
        <v>5.0479799999999999</v>
      </c>
      <c r="E795" s="966">
        <v>5.0479799999999999</v>
      </c>
      <c r="F795" s="966">
        <v>71392.06</v>
      </c>
      <c r="G795" s="966">
        <v>60969.048891600003</v>
      </c>
      <c r="H795" s="966">
        <v>8611.6299999999992</v>
      </c>
      <c r="I795" s="966">
        <v>15.19</v>
      </c>
      <c r="Q795" s="967">
        <v>44263</v>
      </c>
      <c r="R795" s="966">
        <v>130800</v>
      </c>
      <c r="S795" s="966">
        <v>0.48999999950655998</v>
      </c>
      <c r="T795" s="969">
        <v>0</v>
      </c>
      <c r="U795" s="966">
        <v>8611.6299999999992</v>
      </c>
      <c r="W795" s="971" t="e">
        <f t="shared" si="15"/>
        <v>#DIV/0!</v>
      </c>
      <c r="Y795" s="967">
        <v>44336</v>
      </c>
      <c r="Z795" s="974">
        <f ca="1">H745*Valuation_Senario!$L$372</f>
        <v>13254.013875169998</v>
      </c>
      <c r="AA795" s="973">
        <v>16.62</v>
      </c>
      <c r="AM795" s="967">
        <v>44263</v>
      </c>
      <c r="AN795" s="974">
        <v>130800</v>
      </c>
      <c r="AO795" s="976">
        <v>0.48999999950655998</v>
      </c>
    </row>
    <row r="796" spans="1:41">
      <c r="A796" s="966">
        <v>789</v>
      </c>
      <c r="B796" s="967">
        <v>44260</v>
      </c>
      <c r="C796" s="966">
        <v>132200</v>
      </c>
      <c r="D796" s="966">
        <v>0</v>
      </c>
      <c r="E796" s="966">
        <v>0</v>
      </c>
      <c r="F796" s="966">
        <v>72044.639999999999</v>
      </c>
      <c r="G796" s="966">
        <v>61621.622809400003</v>
      </c>
      <c r="H796" s="966">
        <v>8613.76</v>
      </c>
      <c r="I796" s="966">
        <v>15.35</v>
      </c>
      <c r="Q796" s="967">
        <v>44260</v>
      </c>
      <c r="R796" s="966">
        <v>132200</v>
      </c>
      <c r="S796" s="966">
        <v>0.48999999950655998</v>
      </c>
      <c r="T796" s="969">
        <v>0</v>
      </c>
      <c r="U796" s="966">
        <v>8613.76</v>
      </c>
      <c r="W796" s="971" t="e">
        <f t="shared" si="15"/>
        <v>#DIV/0!</v>
      </c>
      <c r="Y796" s="967">
        <v>44335</v>
      </c>
      <c r="Z796" s="974">
        <f ca="1">H746*Valuation_Senario!$L$372</f>
        <v>13254.762788239999</v>
      </c>
      <c r="AA796" s="973">
        <v>15.7</v>
      </c>
      <c r="AM796" s="967">
        <v>44260</v>
      </c>
      <c r="AN796" s="974">
        <v>132200</v>
      </c>
      <c r="AO796" s="976">
        <v>0.48999999950655998</v>
      </c>
    </row>
    <row r="797" spans="1:41">
      <c r="A797" s="966">
        <v>790</v>
      </c>
      <c r="B797" s="967">
        <v>44259</v>
      </c>
      <c r="C797" s="966">
        <v>132800</v>
      </c>
      <c r="D797" s="966">
        <v>0</v>
      </c>
      <c r="E797" s="966">
        <v>0</v>
      </c>
      <c r="F797" s="966">
        <v>72324.31</v>
      </c>
      <c r="G797" s="966">
        <v>61901.297345600004</v>
      </c>
      <c r="H797" s="966">
        <v>8614.4699999999993</v>
      </c>
      <c r="I797" s="966">
        <v>15.42</v>
      </c>
      <c r="Q797" s="967">
        <v>44259</v>
      </c>
      <c r="R797" s="966">
        <v>132800</v>
      </c>
      <c r="S797" s="966">
        <v>0.48999999950655998</v>
      </c>
      <c r="T797" s="969">
        <v>0</v>
      </c>
      <c r="U797" s="966">
        <v>8614.4699999999993</v>
      </c>
      <c r="W797" s="971" t="e">
        <f t="shared" si="15"/>
        <v>#DIV/0!</v>
      </c>
      <c r="Y797" s="967">
        <v>44334</v>
      </c>
      <c r="Z797" s="974">
        <f ca="1">H747*Valuation_Senario!$L$372</f>
        <v>13255.511701309999</v>
      </c>
      <c r="AA797" s="973">
        <v>15.7</v>
      </c>
      <c r="AM797" s="967">
        <v>44259</v>
      </c>
      <c r="AN797" s="974">
        <v>132800</v>
      </c>
      <c r="AO797" s="976">
        <v>0.48999999950655998</v>
      </c>
    </row>
    <row r="798" spans="1:41">
      <c r="A798" s="966">
        <v>791</v>
      </c>
      <c r="B798" s="967">
        <v>44258</v>
      </c>
      <c r="C798" s="966">
        <v>136200</v>
      </c>
      <c r="D798" s="966">
        <v>0</v>
      </c>
      <c r="E798" s="966">
        <v>0</v>
      </c>
      <c r="F798" s="966">
        <v>73909.13</v>
      </c>
      <c r="G798" s="966">
        <v>63486.119717399997</v>
      </c>
      <c r="H798" s="966">
        <v>8615.18</v>
      </c>
      <c r="I798" s="966">
        <v>15.81</v>
      </c>
      <c r="Q798" s="967">
        <v>44258</v>
      </c>
      <c r="R798" s="966">
        <v>136200</v>
      </c>
      <c r="S798" s="966">
        <v>0.48999999950655998</v>
      </c>
      <c r="T798" s="969">
        <v>0</v>
      </c>
      <c r="U798" s="966">
        <v>8615.18</v>
      </c>
      <c r="W798" s="971" t="e">
        <f t="shared" si="15"/>
        <v>#DIV/0!</v>
      </c>
      <c r="Y798" s="967">
        <v>44333</v>
      </c>
      <c r="Z798" s="974">
        <f ca="1">H748*Valuation_Senario!$L$372</f>
        <v>13256.260614379999</v>
      </c>
      <c r="AA798" s="973">
        <v>15.67</v>
      </c>
      <c r="AM798" s="967">
        <v>44258</v>
      </c>
      <c r="AN798" s="974">
        <v>136200</v>
      </c>
      <c r="AO798" s="976">
        <v>0.48999999950655998</v>
      </c>
    </row>
    <row r="799" spans="1:41">
      <c r="A799" s="966">
        <v>792</v>
      </c>
      <c r="B799" s="967">
        <v>44257</v>
      </c>
      <c r="C799" s="966">
        <v>135800</v>
      </c>
      <c r="D799" s="966">
        <v>0</v>
      </c>
      <c r="E799" s="966">
        <v>0</v>
      </c>
      <c r="F799" s="966">
        <v>73722.679999999993</v>
      </c>
      <c r="G799" s="966">
        <v>63299.670026599997</v>
      </c>
      <c r="H799" s="966">
        <v>8615.89</v>
      </c>
      <c r="I799" s="966">
        <v>15.76</v>
      </c>
      <c r="Q799" s="967">
        <v>44257</v>
      </c>
      <c r="R799" s="966">
        <v>135800</v>
      </c>
      <c r="S799" s="966">
        <v>0.48999999950655998</v>
      </c>
      <c r="T799" s="969">
        <v>0</v>
      </c>
      <c r="U799" s="966">
        <v>8615.89</v>
      </c>
      <c r="W799" s="971" t="e">
        <f t="shared" si="15"/>
        <v>#DIV/0!</v>
      </c>
      <c r="Y799" s="967">
        <v>44330</v>
      </c>
      <c r="Z799" s="974">
        <f ca="1">H749*Valuation_Senario!$L$372</f>
        <v>13258.507353590001</v>
      </c>
      <c r="AA799" s="973">
        <v>15.78</v>
      </c>
      <c r="AM799" s="967">
        <v>44257</v>
      </c>
      <c r="AN799" s="974">
        <v>135800</v>
      </c>
      <c r="AO799" s="976">
        <v>0.48999999950655998</v>
      </c>
    </row>
    <row r="800" spans="1:41">
      <c r="A800" s="966">
        <v>793</v>
      </c>
      <c r="B800" s="967">
        <v>44256</v>
      </c>
      <c r="C800" s="966">
        <v>134800</v>
      </c>
      <c r="D800" s="966">
        <v>0</v>
      </c>
      <c r="E800" s="966">
        <v>4.0500000000000001E-2</v>
      </c>
      <c r="F800" s="966">
        <v>73256.56</v>
      </c>
      <c r="G800" s="966">
        <v>62833.545799599997</v>
      </c>
      <c r="H800" s="966">
        <v>8616.61</v>
      </c>
      <c r="I800" s="966">
        <v>15.64</v>
      </c>
      <c r="Q800" s="967">
        <v>44256</v>
      </c>
      <c r="R800" s="966">
        <v>134800</v>
      </c>
      <c r="S800" s="966">
        <v>0.48999999950655998</v>
      </c>
      <c r="T800" s="969">
        <v>-4.0500000000000001E-2</v>
      </c>
      <c r="U800" s="966">
        <v>8616.61</v>
      </c>
      <c r="W800" s="971" t="e">
        <f t="shared" si="15"/>
        <v>#DIV/0!</v>
      </c>
      <c r="Y800" s="967">
        <v>44329</v>
      </c>
      <c r="Z800" s="974">
        <f ca="1">H750*Valuation_Senario!$L$372</f>
        <v>13259.256266659999</v>
      </c>
      <c r="AA800" s="973">
        <v>15.5</v>
      </c>
      <c r="AM800" s="967">
        <v>44256</v>
      </c>
      <c r="AN800" s="974">
        <v>134800</v>
      </c>
      <c r="AO800" s="976">
        <v>0.48999999950655998</v>
      </c>
    </row>
    <row r="801" spans="1:41">
      <c r="A801" s="966">
        <v>794</v>
      </c>
      <c r="B801" s="967">
        <v>44253</v>
      </c>
      <c r="C801" s="966">
        <v>135000</v>
      </c>
      <c r="D801" s="966">
        <v>0</v>
      </c>
      <c r="E801" s="966">
        <v>0</v>
      </c>
      <c r="F801" s="966">
        <v>73349.78</v>
      </c>
      <c r="G801" s="966">
        <v>62926.770644999997</v>
      </c>
      <c r="H801" s="966">
        <v>8618.74</v>
      </c>
      <c r="I801" s="966">
        <v>15.66</v>
      </c>
      <c r="Q801" s="967">
        <v>44253</v>
      </c>
      <c r="R801" s="966">
        <v>135000</v>
      </c>
      <c r="S801" s="966">
        <v>0.48999999950655998</v>
      </c>
      <c r="T801" s="969">
        <v>0</v>
      </c>
      <c r="U801" s="966">
        <v>8618.74</v>
      </c>
      <c r="W801" s="971" t="e">
        <f t="shared" si="15"/>
        <v>#DIV/0!</v>
      </c>
      <c r="Y801" s="967">
        <v>44328</v>
      </c>
      <c r="Z801" s="974">
        <f ca="1">H751*Valuation_Senario!$L$372</f>
        <v>13260.005179729998</v>
      </c>
      <c r="AA801" s="973">
        <v>15.45</v>
      </c>
      <c r="AM801" s="967">
        <v>44253</v>
      </c>
      <c r="AN801" s="974">
        <v>135000</v>
      </c>
      <c r="AO801" s="976">
        <v>0.48999999950655998</v>
      </c>
    </row>
    <row r="802" spans="1:41">
      <c r="A802" s="966">
        <v>795</v>
      </c>
      <c r="B802" s="967">
        <v>44252</v>
      </c>
      <c r="C802" s="966">
        <v>135700</v>
      </c>
      <c r="D802" s="966">
        <v>0</v>
      </c>
      <c r="E802" s="966">
        <v>0</v>
      </c>
      <c r="F802" s="966">
        <v>73676.070000000007</v>
      </c>
      <c r="G802" s="966">
        <v>63253.057603900001</v>
      </c>
      <c r="H802" s="966">
        <v>8619.4500000000007</v>
      </c>
      <c r="I802" s="966">
        <v>15.74</v>
      </c>
      <c r="Q802" s="967">
        <v>44252</v>
      </c>
      <c r="R802" s="966">
        <v>135700</v>
      </c>
      <c r="S802" s="966">
        <v>0.48999999950655998</v>
      </c>
      <c r="T802" s="969">
        <v>0</v>
      </c>
      <c r="U802" s="966">
        <v>8619.4500000000007</v>
      </c>
      <c r="W802" s="971" t="e">
        <f t="shared" si="15"/>
        <v>#DIV/0!</v>
      </c>
      <c r="Y802" s="967">
        <v>44327</v>
      </c>
      <c r="Z802" s="974">
        <f ca="1">H752*Valuation_Senario!$L$372</f>
        <v>13260.754092799998</v>
      </c>
      <c r="AA802" s="973">
        <v>15.23</v>
      </c>
      <c r="AM802" s="967">
        <v>44252</v>
      </c>
      <c r="AN802" s="974">
        <v>135700</v>
      </c>
      <c r="AO802" s="976">
        <v>0.48999999950655998</v>
      </c>
    </row>
    <row r="803" spans="1:41">
      <c r="A803" s="966">
        <v>796</v>
      </c>
      <c r="B803" s="967">
        <v>44251</v>
      </c>
      <c r="C803" s="966">
        <v>133800</v>
      </c>
      <c r="D803" s="966">
        <v>0</v>
      </c>
      <c r="E803" s="966">
        <v>0</v>
      </c>
      <c r="F803" s="966">
        <v>72790.429999999993</v>
      </c>
      <c r="G803" s="966">
        <v>62367.421572599997</v>
      </c>
      <c r="H803" s="966">
        <v>8620.17</v>
      </c>
      <c r="I803" s="966">
        <v>15.52</v>
      </c>
      <c r="Q803" s="967">
        <v>44251</v>
      </c>
      <c r="R803" s="966">
        <v>133800</v>
      </c>
      <c r="S803" s="966">
        <v>0.48999999950655998</v>
      </c>
      <c r="T803" s="969">
        <v>0</v>
      </c>
      <c r="U803" s="966">
        <v>8620.17</v>
      </c>
      <c r="W803" s="971" t="e">
        <f t="shared" si="15"/>
        <v>#DIV/0!</v>
      </c>
      <c r="Y803" s="967">
        <v>44326</v>
      </c>
      <c r="Z803" s="974">
        <f ca="1">H753*Valuation_Senario!$L$372</f>
        <v>13261.51769044</v>
      </c>
      <c r="AA803" s="973">
        <v>15.29</v>
      </c>
      <c r="AM803" s="967">
        <v>44251</v>
      </c>
      <c r="AN803" s="974">
        <v>133800</v>
      </c>
      <c r="AO803" s="976">
        <v>0.48999999950655998</v>
      </c>
    </row>
    <row r="804" spans="1:41">
      <c r="A804" s="966">
        <v>797</v>
      </c>
      <c r="B804" s="967">
        <v>44250</v>
      </c>
      <c r="C804" s="966">
        <v>136200</v>
      </c>
      <c r="D804" s="966">
        <v>0</v>
      </c>
      <c r="E804" s="966">
        <v>0</v>
      </c>
      <c r="F804" s="966">
        <v>73909.13</v>
      </c>
      <c r="G804" s="966">
        <v>63486.119717399997</v>
      </c>
      <c r="H804" s="966">
        <v>8620.8799999999992</v>
      </c>
      <c r="I804" s="966">
        <v>15.8</v>
      </c>
      <c r="Q804" s="967">
        <v>44250</v>
      </c>
      <c r="R804" s="966">
        <v>136200</v>
      </c>
      <c r="S804" s="966">
        <v>0.48999999950655998</v>
      </c>
      <c r="T804" s="969">
        <v>0</v>
      </c>
      <c r="U804" s="966">
        <v>8620.8799999999992</v>
      </c>
      <c r="W804" s="971" t="e">
        <f t="shared" si="15"/>
        <v>#DIV/0!</v>
      </c>
      <c r="Y804" s="967">
        <v>44323</v>
      </c>
      <c r="Z804" s="974">
        <f ca="1">H754*Valuation_Senario!$L$372</f>
        <v>13263.76442965</v>
      </c>
      <c r="AA804" s="973">
        <v>15.52</v>
      </c>
      <c r="AM804" s="967">
        <v>44250</v>
      </c>
      <c r="AN804" s="974">
        <v>136200</v>
      </c>
      <c r="AO804" s="976">
        <v>0.48999999950655998</v>
      </c>
    </row>
    <row r="805" spans="1:41">
      <c r="A805" s="966">
        <v>798</v>
      </c>
      <c r="B805" s="967">
        <v>44249</v>
      </c>
      <c r="C805" s="966">
        <v>137000</v>
      </c>
      <c r="D805" s="966">
        <v>0</v>
      </c>
      <c r="E805" s="966">
        <v>0</v>
      </c>
      <c r="F805" s="966">
        <v>74282.03</v>
      </c>
      <c r="G805" s="966">
        <v>63859.019098999997</v>
      </c>
      <c r="H805" s="966">
        <v>8621.59</v>
      </c>
      <c r="I805" s="966">
        <v>15.89</v>
      </c>
      <c r="Q805" s="967">
        <v>44249</v>
      </c>
      <c r="R805" s="966">
        <v>137000</v>
      </c>
      <c r="S805" s="966">
        <v>0.48999999950655998</v>
      </c>
      <c r="T805" s="969">
        <v>0</v>
      </c>
      <c r="U805" s="966">
        <v>8621.59</v>
      </c>
      <c r="W805" s="971" t="e">
        <f t="shared" si="15"/>
        <v>#DIV/0!</v>
      </c>
      <c r="Y805" s="967">
        <v>44322</v>
      </c>
      <c r="Z805" s="974">
        <f ca="1">H755*Valuation_Senario!$L$372</f>
        <v>13264.513342719998</v>
      </c>
      <c r="AA805" s="973">
        <v>15.72</v>
      </c>
      <c r="AM805" s="967">
        <v>44249</v>
      </c>
      <c r="AN805" s="974">
        <v>137000</v>
      </c>
      <c r="AO805" s="976">
        <v>0.48999999950655998</v>
      </c>
    </row>
    <row r="806" spans="1:41">
      <c r="A806" s="966">
        <v>799</v>
      </c>
      <c r="B806" s="967">
        <v>44246</v>
      </c>
      <c r="C806" s="966">
        <v>137600</v>
      </c>
      <c r="D806" s="966">
        <v>0</v>
      </c>
      <c r="E806" s="966">
        <v>0</v>
      </c>
      <c r="F806" s="966">
        <v>74561.710000000006</v>
      </c>
      <c r="G806" s="966">
        <v>64138.693635199998</v>
      </c>
      <c r="H806" s="966">
        <v>8623.73</v>
      </c>
      <c r="I806" s="966">
        <v>15.96</v>
      </c>
      <c r="Q806" s="967">
        <v>44246</v>
      </c>
      <c r="R806" s="966">
        <v>137600</v>
      </c>
      <c r="S806" s="966">
        <v>0.48999999950655998</v>
      </c>
      <c r="T806" s="969">
        <v>0</v>
      </c>
      <c r="U806" s="966">
        <v>8623.73</v>
      </c>
      <c r="W806" s="971" t="e">
        <f t="shared" si="15"/>
        <v>#DIV/0!</v>
      </c>
      <c r="Y806" s="967">
        <v>44321</v>
      </c>
      <c r="Z806" s="974">
        <f ca="1">H756*Valuation_Senario!$L$372</f>
        <v>13265.262255789998</v>
      </c>
      <c r="AA806" s="973">
        <v>15.6</v>
      </c>
      <c r="AM806" s="967">
        <v>44246</v>
      </c>
      <c r="AN806" s="974">
        <v>137600</v>
      </c>
      <c r="AO806" s="976">
        <v>0.48999999950655998</v>
      </c>
    </row>
    <row r="807" spans="1:41">
      <c r="A807" s="966">
        <v>800</v>
      </c>
      <c r="B807" s="967">
        <v>44245</v>
      </c>
      <c r="C807" s="966">
        <v>139500</v>
      </c>
      <c r="D807" s="966">
        <v>0</v>
      </c>
      <c r="E807" s="966">
        <v>0</v>
      </c>
      <c r="F807" s="966">
        <v>75447.34</v>
      </c>
      <c r="G807" s="966">
        <v>65024.329666500002</v>
      </c>
      <c r="H807" s="966">
        <v>8624.44</v>
      </c>
      <c r="I807" s="966">
        <v>16.170000000000002</v>
      </c>
      <c r="Q807" s="967">
        <v>44245</v>
      </c>
      <c r="R807" s="966">
        <v>139500</v>
      </c>
      <c r="S807" s="966">
        <v>0.48999999950655998</v>
      </c>
      <c r="T807" s="969">
        <v>0</v>
      </c>
      <c r="U807" s="966">
        <v>8624.44</v>
      </c>
      <c r="W807" s="971" t="e">
        <f t="shared" si="15"/>
        <v>#DIV/0!</v>
      </c>
      <c r="Y807" s="967">
        <v>44320</v>
      </c>
      <c r="Z807" s="974">
        <f ca="1">H757*Valuation_Senario!$L$372</f>
        <v>13266.011168859999</v>
      </c>
      <c r="AA807" s="973">
        <v>15.43</v>
      </c>
      <c r="AM807" s="967">
        <v>44245</v>
      </c>
      <c r="AN807" s="974">
        <v>139500</v>
      </c>
      <c r="AO807" s="976">
        <v>0.48999999950655998</v>
      </c>
    </row>
    <row r="808" spans="1:41">
      <c r="A808" s="966">
        <v>801</v>
      </c>
      <c r="B808" s="967">
        <v>44244</v>
      </c>
      <c r="C808" s="966">
        <v>138000</v>
      </c>
      <c r="D808" s="966">
        <v>0</v>
      </c>
      <c r="E808" s="966">
        <v>0</v>
      </c>
      <c r="F808" s="966">
        <v>74748.160000000003</v>
      </c>
      <c r="G808" s="966">
        <v>64325.143325999998</v>
      </c>
      <c r="H808" s="966">
        <v>8625.15</v>
      </c>
      <c r="I808" s="966">
        <v>16</v>
      </c>
      <c r="Q808" s="967">
        <v>44244</v>
      </c>
      <c r="R808" s="966">
        <v>138000</v>
      </c>
      <c r="S808" s="966">
        <v>0.48999999950655998</v>
      </c>
      <c r="T808" s="969">
        <v>0</v>
      </c>
      <c r="U808" s="966">
        <v>8625.15</v>
      </c>
      <c r="W808" s="971" t="e">
        <f t="shared" si="15"/>
        <v>#DIV/0!</v>
      </c>
      <c r="Y808" s="967">
        <v>44315</v>
      </c>
      <c r="Z808" s="974">
        <f ca="1">H758*Valuation_Senario!$L$372</f>
        <v>12694.061851929999</v>
      </c>
      <c r="AA808" s="973">
        <v>16.3</v>
      </c>
      <c r="AM808" s="967">
        <v>44244</v>
      </c>
      <c r="AN808" s="974">
        <v>138000</v>
      </c>
      <c r="AO808" s="976">
        <v>0.48999999950655998</v>
      </c>
    </row>
    <row r="809" spans="1:41">
      <c r="A809" s="966">
        <v>802</v>
      </c>
      <c r="B809" s="967">
        <v>44236</v>
      </c>
      <c r="C809" s="966">
        <v>129500</v>
      </c>
      <c r="D809" s="966">
        <v>0</v>
      </c>
      <c r="E809" s="966">
        <v>0</v>
      </c>
      <c r="F809" s="966">
        <v>70786.100000000006</v>
      </c>
      <c r="G809" s="966">
        <v>60363.087396499999</v>
      </c>
      <c r="H809" s="966">
        <v>8630.86</v>
      </c>
      <c r="I809" s="966">
        <v>15</v>
      </c>
      <c r="Q809" s="967">
        <v>44236</v>
      </c>
      <c r="R809" s="966">
        <v>129500</v>
      </c>
      <c r="S809" s="966">
        <v>0.48999999950655998</v>
      </c>
      <c r="T809" s="969">
        <v>0</v>
      </c>
      <c r="U809" s="966">
        <v>8630.86</v>
      </c>
      <c r="W809" s="971" t="e">
        <f t="shared" si="15"/>
        <v>#DIV/0!</v>
      </c>
      <c r="Y809" s="967">
        <v>44314</v>
      </c>
      <c r="Z809" s="974">
        <f ca="1">H759*Valuation_Senario!$L$372</f>
        <v>12694.061851929999</v>
      </c>
      <c r="AA809" s="973">
        <v>16.2</v>
      </c>
      <c r="AM809" s="967">
        <v>44236</v>
      </c>
      <c r="AN809" s="974">
        <v>129500</v>
      </c>
      <c r="AO809" s="976">
        <v>0.48999999950655998</v>
      </c>
    </row>
    <row r="810" spans="1:41">
      <c r="A810" s="966">
        <v>803</v>
      </c>
      <c r="B810" s="967">
        <v>44235</v>
      </c>
      <c r="C810" s="966">
        <v>128500</v>
      </c>
      <c r="D810" s="966">
        <v>0</v>
      </c>
      <c r="E810" s="966">
        <v>0</v>
      </c>
      <c r="F810" s="966">
        <v>70319.98</v>
      </c>
      <c r="G810" s="966">
        <v>59896.963169499999</v>
      </c>
      <c r="H810" s="966">
        <v>8631.58</v>
      </c>
      <c r="I810" s="966">
        <v>14.89</v>
      </c>
      <c r="Q810" s="967">
        <v>44235</v>
      </c>
      <c r="R810" s="966">
        <v>128500</v>
      </c>
      <c r="S810" s="966">
        <v>0.48999999950655998</v>
      </c>
      <c r="T810" s="969">
        <v>0</v>
      </c>
      <c r="U810" s="966">
        <v>8631.58</v>
      </c>
      <c r="W810" s="971" t="e">
        <f t="shared" si="15"/>
        <v>#DIV/0!</v>
      </c>
      <c r="Y810" s="967">
        <v>44313</v>
      </c>
      <c r="Z810" s="974">
        <f ca="1">H760*Valuation_Senario!$L$372</f>
        <v>12694.061851929999</v>
      </c>
      <c r="AA810" s="973">
        <v>16.420000000000002</v>
      </c>
      <c r="AM810" s="967">
        <v>44235</v>
      </c>
      <c r="AN810" s="974">
        <v>128500</v>
      </c>
      <c r="AO810" s="976">
        <v>0.48999999950655998</v>
      </c>
    </row>
    <row r="811" spans="1:41">
      <c r="A811" s="966">
        <v>804</v>
      </c>
      <c r="B811" s="967">
        <v>44232</v>
      </c>
      <c r="C811" s="966">
        <v>130500</v>
      </c>
      <c r="D811" s="966">
        <v>0</v>
      </c>
      <c r="E811" s="966">
        <v>0</v>
      </c>
      <c r="F811" s="966">
        <v>71252.22</v>
      </c>
      <c r="G811" s="966">
        <v>60829.211623499999</v>
      </c>
      <c r="H811" s="966">
        <v>8633.7199999999993</v>
      </c>
      <c r="I811" s="966">
        <v>15.12</v>
      </c>
      <c r="Q811" s="967">
        <v>44232</v>
      </c>
      <c r="R811" s="966">
        <v>130500</v>
      </c>
      <c r="S811" s="966">
        <v>0.48999978926218002</v>
      </c>
      <c r="T811" s="969">
        <v>0</v>
      </c>
      <c r="U811" s="966">
        <v>8633.7199999999993</v>
      </c>
      <c r="W811" s="971" t="e">
        <f t="shared" si="15"/>
        <v>#DIV/0!</v>
      </c>
      <c r="Y811" s="967">
        <v>44312</v>
      </c>
      <c r="Z811" s="974">
        <f ca="1">H761*Valuation_Senario!$L$372</f>
        <v>12694.061851929999</v>
      </c>
      <c r="AA811" s="973">
        <v>16.48</v>
      </c>
      <c r="AM811" s="967">
        <v>44232</v>
      </c>
      <c r="AN811" s="974">
        <v>130500</v>
      </c>
      <c r="AO811" s="976">
        <v>0.48999978926218002</v>
      </c>
    </row>
    <row r="812" spans="1:41">
      <c r="A812" s="966">
        <v>805</v>
      </c>
      <c r="B812" s="967">
        <v>44231</v>
      </c>
      <c r="C812" s="966">
        <v>128500</v>
      </c>
      <c r="D812" s="966">
        <v>2.1292499999999999</v>
      </c>
      <c r="E812" s="966">
        <v>0</v>
      </c>
      <c r="F812" s="966">
        <v>70319.98</v>
      </c>
      <c r="G812" s="966">
        <v>59896.963169499999</v>
      </c>
      <c r="H812" s="966">
        <v>8634.43</v>
      </c>
      <c r="I812" s="966">
        <v>14.88</v>
      </c>
      <c r="Q812" s="967">
        <v>44231</v>
      </c>
      <c r="R812" s="966">
        <v>128500</v>
      </c>
      <c r="S812" s="966">
        <v>0.48996396190322</v>
      </c>
      <c r="T812" s="969">
        <v>2.1292499999999999</v>
      </c>
      <c r="U812" s="966">
        <v>8634.43</v>
      </c>
      <c r="W812" s="971" t="e">
        <f t="shared" si="15"/>
        <v>#DIV/0!</v>
      </c>
      <c r="Y812" s="967">
        <v>44309</v>
      </c>
      <c r="Z812" s="974">
        <f ca="1">H762*Valuation_Senario!$L$372</f>
        <v>12694.061851929999</v>
      </c>
      <c r="AA812" s="973">
        <v>17.059999999999999</v>
      </c>
      <c r="AM812" s="967">
        <v>44231</v>
      </c>
      <c r="AN812" s="974">
        <v>128500</v>
      </c>
      <c r="AO812" s="976">
        <v>0.48996396190322</v>
      </c>
    </row>
    <row r="813" spans="1:41">
      <c r="A813" s="966">
        <v>806</v>
      </c>
      <c r="B813" s="967">
        <v>44230</v>
      </c>
      <c r="C813" s="966">
        <v>127500</v>
      </c>
      <c r="D813" s="966">
        <v>3.8399999999999997E-2</v>
      </c>
      <c r="E813" s="966">
        <v>0</v>
      </c>
      <c r="F813" s="966">
        <v>69853.850000000006</v>
      </c>
      <c r="G813" s="966">
        <v>59430.838942499999</v>
      </c>
      <c r="H813" s="966">
        <v>8635.15</v>
      </c>
      <c r="I813" s="966">
        <v>14.77</v>
      </c>
      <c r="Q813" s="967">
        <v>44230</v>
      </c>
      <c r="R813" s="966">
        <v>127500</v>
      </c>
      <c r="S813" s="966">
        <v>0.48999914565692998</v>
      </c>
      <c r="T813" s="969">
        <v>3.8399999999999997E-2</v>
      </c>
      <c r="U813" s="966">
        <v>8635.15</v>
      </c>
      <c r="W813" s="971" t="e">
        <f t="shared" si="15"/>
        <v>#DIV/0!</v>
      </c>
      <c r="Y813" s="967">
        <v>44308</v>
      </c>
      <c r="Z813" s="974">
        <f ca="1">H763*Valuation_Senario!$L$372</f>
        <v>12694.061851929999</v>
      </c>
      <c r="AA813" s="973">
        <v>16.48</v>
      </c>
      <c r="AM813" s="967">
        <v>44230</v>
      </c>
      <c r="AN813" s="974">
        <v>127500</v>
      </c>
      <c r="AO813" s="976">
        <v>0.48999914565692998</v>
      </c>
    </row>
    <row r="814" spans="1:41">
      <c r="A814" s="966">
        <v>807</v>
      </c>
      <c r="B814" s="967">
        <v>44229</v>
      </c>
      <c r="C814" s="966">
        <v>128000</v>
      </c>
      <c r="D814" s="966">
        <v>0</v>
      </c>
      <c r="E814" s="966">
        <v>0</v>
      </c>
      <c r="F814" s="966">
        <v>70086.91</v>
      </c>
      <c r="G814" s="966">
        <v>59663.901056000002</v>
      </c>
      <c r="H814" s="966">
        <v>8635.86</v>
      </c>
      <c r="I814" s="966">
        <v>14.82</v>
      </c>
      <c r="Q814" s="967">
        <v>44229</v>
      </c>
      <c r="R814" s="966">
        <v>128000</v>
      </c>
      <c r="S814" s="966">
        <v>0.48999978926218002</v>
      </c>
      <c r="T814" s="969">
        <v>0</v>
      </c>
      <c r="U814" s="966">
        <v>8635.86</v>
      </c>
      <c r="W814" s="971" t="e">
        <f t="shared" si="15"/>
        <v>#DIV/0!</v>
      </c>
      <c r="Y814" s="967">
        <v>44306</v>
      </c>
      <c r="Z814" s="974">
        <f ca="1">H764*Valuation_Senario!$L$372</f>
        <v>12694.061851929999</v>
      </c>
      <c r="AA814" s="973">
        <v>16.48</v>
      </c>
      <c r="AM814" s="967">
        <v>44229</v>
      </c>
      <c r="AN814" s="974">
        <v>128000</v>
      </c>
      <c r="AO814" s="976">
        <v>0.48999978926218002</v>
      </c>
    </row>
    <row r="815" spans="1:41">
      <c r="A815" s="966">
        <v>808</v>
      </c>
      <c r="B815" s="967">
        <v>44228</v>
      </c>
      <c r="C815" s="966">
        <v>123700</v>
      </c>
      <c r="D815" s="966">
        <v>9.9329999999999998</v>
      </c>
      <c r="E815" s="966">
        <v>12.057700000000001</v>
      </c>
      <c r="F815" s="966">
        <v>68082.58</v>
      </c>
      <c r="G815" s="966">
        <v>57659.566879899998</v>
      </c>
      <c r="H815" s="966">
        <v>8636.58</v>
      </c>
      <c r="I815" s="966">
        <v>14.32</v>
      </c>
      <c r="Q815" s="967">
        <v>44228</v>
      </c>
      <c r="R815" s="966">
        <v>123700</v>
      </c>
      <c r="S815" s="966">
        <v>0.48999978926218002</v>
      </c>
      <c r="T815" s="969">
        <v>-2.1247000000000007</v>
      </c>
      <c r="U815" s="966">
        <v>8636.58</v>
      </c>
      <c r="W815" s="971" t="e">
        <f t="shared" si="15"/>
        <v>#DIV/0!</v>
      </c>
      <c r="Y815" s="967">
        <v>44305</v>
      </c>
      <c r="Z815" s="974">
        <f ca="1">H765*Valuation_Senario!$L$372</f>
        <v>12694.061851929999</v>
      </c>
      <c r="AA815" s="973">
        <v>15.89</v>
      </c>
      <c r="AM815" s="967">
        <v>44228</v>
      </c>
      <c r="AN815" s="974">
        <v>123700</v>
      </c>
      <c r="AO815" s="976">
        <v>0.48999978926218002</v>
      </c>
    </row>
    <row r="816" spans="1:41">
      <c r="A816" s="966">
        <v>809</v>
      </c>
      <c r="B816" s="967">
        <v>44225</v>
      </c>
      <c r="C816" s="966">
        <v>132700</v>
      </c>
      <c r="D816" s="966">
        <v>840.26474199999996</v>
      </c>
      <c r="E816" s="966">
        <v>3.9E-2</v>
      </c>
      <c r="F816" s="966">
        <v>72277.7</v>
      </c>
      <c r="G816" s="966">
        <v>61854.6849229</v>
      </c>
      <c r="H816" s="966">
        <v>8506.2900000000009</v>
      </c>
      <c r="I816" s="966">
        <v>15.6</v>
      </c>
      <c r="Q816" s="967">
        <v>44225</v>
      </c>
      <c r="R816" s="966">
        <v>132700</v>
      </c>
      <c r="S816" s="966">
        <v>0.47642424516158</v>
      </c>
      <c r="T816" s="969">
        <v>840.22574199999997</v>
      </c>
      <c r="U816" s="966">
        <v>8506.2900000000009</v>
      </c>
      <c r="W816" s="971" t="e">
        <f t="shared" si="15"/>
        <v>#DIV/0!</v>
      </c>
      <c r="Y816" s="967">
        <v>44302</v>
      </c>
      <c r="Z816" s="974">
        <f ca="1">H766*Valuation_Senario!$L$372</f>
        <v>12694.061851929999</v>
      </c>
      <c r="AA816" s="973">
        <v>15.5</v>
      </c>
      <c r="AM816" s="967">
        <v>44225</v>
      </c>
      <c r="AN816" s="974">
        <v>132700</v>
      </c>
      <c r="AO816" s="976">
        <v>0.47642424516158</v>
      </c>
    </row>
    <row r="817" spans="1:41">
      <c r="A817" s="966">
        <v>810</v>
      </c>
      <c r="B817" s="967">
        <v>44224</v>
      </c>
      <c r="C817" s="966">
        <v>124200</v>
      </c>
      <c r="D817" s="966">
        <v>586.86515999999995</v>
      </c>
      <c r="E817" s="966">
        <v>586.86515999999995</v>
      </c>
      <c r="F817" s="966">
        <v>68315.64</v>
      </c>
      <c r="G817" s="966">
        <v>57892.628993400001</v>
      </c>
      <c r="H817" s="966">
        <v>8507</v>
      </c>
      <c r="I817" s="966">
        <v>14.6</v>
      </c>
      <c r="Q817" s="967">
        <v>44224</v>
      </c>
      <c r="R817" s="966">
        <v>124200</v>
      </c>
      <c r="S817" s="966">
        <v>0.48999997654507998</v>
      </c>
      <c r="T817" s="969">
        <v>0</v>
      </c>
      <c r="U817" s="966">
        <v>8507</v>
      </c>
      <c r="W817" s="971" t="e">
        <f t="shared" si="15"/>
        <v>#DIV/0!</v>
      </c>
      <c r="Y817" s="967">
        <v>44301</v>
      </c>
      <c r="Z817" s="974">
        <f ca="1">H767*Valuation_Senario!$L$372</f>
        <v>12694.061851929999</v>
      </c>
      <c r="AA817" s="973">
        <v>15.47</v>
      </c>
      <c r="AM817" s="967">
        <v>44224</v>
      </c>
      <c r="AN817" s="974">
        <v>124200</v>
      </c>
      <c r="AO817" s="976">
        <v>0.48999997654507998</v>
      </c>
    </row>
    <row r="818" spans="1:41">
      <c r="A818" s="966">
        <v>811</v>
      </c>
      <c r="B818" s="967">
        <v>44223</v>
      </c>
      <c r="C818" s="966">
        <v>133500</v>
      </c>
      <c r="D818" s="966">
        <v>116.51824000000001</v>
      </c>
      <c r="E818" s="966">
        <v>116.51824000000001</v>
      </c>
      <c r="F818" s="966">
        <v>72650.600000000006</v>
      </c>
      <c r="G818" s="966">
        <v>62227.5843045</v>
      </c>
      <c r="H818" s="966">
        <v>8507.7099999999991</v>
      </c>
      <c r="I818" s="966">
        <v>15.69</v>
      </c>
      <c r="Q818" s="967">
        <v>44223</v>
      </c>
      <c r="R818" s="966">
        <v>133500</v>
      </c>
      <c r="S818" s="966">
        <v>0.48999997654507998</v>
      </c>
      <c r="T818" s="969">
        <v>0</v>
      </c>
      <c r="U818" s="966">
        <v>8507.7099999999991</v>
      </c>
      <c r="W818" s="971" t="e">
        <f t="shared" si="15"/>
        <v>#DIV/0!</v>
      </c>
      <c r="Y818" s="967">
        <v>44300</v>
      </c>
      <c r="Z818" s="974">
        <f ca="1">H768*Valuation_Senario!$L$372</f>
        <v>12598.024764129999</v>
      </c>
      <c r="AA818" s="973">
        <v>15.78</v>
      </c>
      <c r="AM818" s="967">
        <v>44223</v>
      </c>
      <c r="AN818" s="974">
        <v>133500</v>
      </c>
      <c r="AO818" s="976">
        <v>0.48999997654507998</v>
      </c>
    </row>
    <row r="819" spans="1:41">
      <c r="A819" s="966">
        <v>812</v>
      </c>
      <c r="B819" s="967">
        <v>44222</v>
      </c>
      <c r="C819" s="966">
        <v>132000</v>
      </c>
      <c r="D819" s="966">
        <v>36.288400000000003</v>
      </c>
      <c r="E819" s="966">
        <v>36.288400000000003</v>
      </c>
      <c r="F819" s="966">
        <v>71951.41</v>
      </c>
      <c r="G819" s="966">
        <v>61528.397964000003</v>
      </c>
      <c r="H819" s="966">
        <v>8508.42</v>
      </c>
      <c r="I819" s="966">
        <v>15.51</v>
      </c>
      <c r="Q819" s="967">
        <v>44222</v>
      </c>
      <c r="R819" s="966">
        <v>132000</v>
      </c>
      <c r="S819" s="966">
        <v>0.48999997654507998</v>
      </c>
      <c r="T819" s="969">
        <v>0</v>
      </c>
      <c r="U819" s="966">
        <v>8508.42</v>
      </c>
      <c r="W819" s="971" t="e">
        <f t="shared" si="15"/>
        <v>#DIV/0!</v>
      </c>
      <c r="Y819" s="967">
        <v>44299</v>
      </c>
      <c r="Z819" s="974">
        <f ca="1">H769*Valuation_Senario!$L$372</f>
        <v>12599.77222796</v>
      </c>
      <c r="AA819" s="973">
        <v>15.72</v>
      </c>
      <c r="AM819" s="967">
        <v>44222</v>
      </c>
      <c r="AN819" s="974">
        <v>132000</v>
      </c>
      <c r="AO819" s="976">
        <v>0.48999997654507998</v>
      </c>
    </row>
    <row r="820" spans="1:41">
      <c r="A820" s="966">
        <v>813</v>
      </c>
      <c r="B820" s="967">
        <v>44221</v>
      </c>
      <c r="C820" s="966">
        <v>132000</v>
      </c>
      <c r="D820" s="966">
        <v>0</v>
      </c>
      <c r="E820" s="966">
        <v>0</v>
      </c>
      <c r="F820" s="966">
        <v>71951.41</v>
      </c>
      <c r="G820" s="966">
        <v>61528.397964000003</v>
      </c>
      <c r="H820" s="966">
        <v>8509.1200000000008</v>
      </c>
      <c r="I820" s="966">
        <v>15.51</v>
      </c>
      <c r="Q820" s="967">
        <v>44221</v>
      </c>
      <c r="R820" s="966">
        <v>132000</v>
      </c>
      <c r="S820" s="966">
        <v>0.48999997654507998</v>
      </c>
      <c r="T820" s="969">
        <v>0</v>
      </c>
      <c r="U820" s="966">
        <v>8509.1200000000008</v>
      </c>
      <c r="W820" s="971" t="e">
        <f t="shared" si="15"/>
        <v>#DIV/0!</v>
      </c>
      <c r="Y820" s="967">
        <v>44298</v>
      </c>
      <c r="Z820" s="974">
        <f ca="1">H770*Valuation_Senario!$L$372</f>
        <v>12601.519691789998</v>
      </c>
      <c r="AA820" s="973">
        <v>15.72</v>
      </c>
      <c r="AM820" s="967">
        <v>44221</v>
      </c>
      <c r="AN820" s="974">
        <v>132000</v>
      </c>
      <c r="AO820" s="976">
        <v>0.48999997654507998</v>
      </c>
    </row>
    <row r="821" spans="1:41">
      <c r="A821" s="966">
        <v>814</v>
      </c>
      <c r="B821" s="967">
        <v>44218</v>
      </c>
      <c r="C821" s="966">
        <v>127200</v>
      </c>
      <c r="D821" s="966">
        <v>13.37</v>
      </c>
      <c r="E821" s="966">
        <v>13.37</v>
      </c>
      <c r="F821" s="966">
        <v>69714.009999999995</v>
      </c>
      <c r="G821" s="966">
        <v>59291.001674400002</v>
      </c>
      <c r="H821" s="966">
        <v>8511.25</v>
      </c>
      <c r="I821" s="966">
        <v>14.94</v>
      </c>
      <c r="Q821" s="967">
        <v>44218</v>
      </c>
      <c r="R821" s="966">
        <v>127200</v>
      </c>
      <c r="S821" s="966">
        <v>0.48999997654507998</v>
      </c>
      <c r="T821" s="969">
        <v>0</v>
      </c>
      <c r="U821" s="966">
        <v>8511.25</v>
      </c>
      <c r="W821" s="971" t="e">
        <f t="shared" si="15"/>
        <v>#DIV/0!</v>
      </c>
      <c r="Y821" s="967">
        <v>44295</v>
      </c>
      <c r="Z821" s="974">
        <f ca="1">H771*Valuation_Senario!$L$372</f>
        <v>12606.776767849999</v>
      </c>
      <c r="AA821" s="973">
        <v>15.53</v>
      </c>
      <c r="AM821" s="967">
        <v>44218</v>
      </c>
      <c r="AN821" s="974">
        <v>127200</v>
      </c>
      <c r="AO821" s="976">
        <v>0.48999997654507998</v>
      </c>
    </row>
    <row r="822" spans="1:41">
      <c r="A822" s="966">
        <v>815</v>
      </c>
      <c r="B822" s="967">
        <v>44217</v>
      </c>
      <c r="C822" s="966">
        <v>125000</v>
      </c>
      <c r="D822" s="966">
        <v>0</v>
      </c>
      <c r="E822" s="966">
        <v>0</v>
      </c>
      <c r="F822" s="966">
        <v>68688.539999999994</v>
      </c>
      <c r="G822" s="966">
        <v>58265.528375000002</v>
      </c>
      <c r="H822" s="966">
        <v>8511.9599999999991</v>
      </c>
      <c r="I822" s="966">
        <v>14.69</v>
      </c>
      <c r="Q822" s="967">
        <v>44217</v>
      </c>
      <c r="R822" s="966">
        <v>125000</v>
      </c>
      <c r="S822" s="966">
        <v>0.48999997654507998</v>
      </c>
      <c r="T822" s="969">
        <v>0</v>
      </c>
      <c r="U822" s="966">
        <v>8511.9599999999991</v>
      </c>
      <c r="W822" s="971" t="e">
        <f t="shared" si="15"/>
        <v>#DIV/0!</v>
      </c>
      <c r="Y822" s="967">
        <v>44294</v>
      </c>
      <c r="Z822" s="974">
        <f ca="1">H772*Valuation_Senario!$L$372</f>
        <v>12608.52423168</v>
      </c>
      <c r="AA822" s="973">
        <v>15.61</v>
      </c>
      <c r="AM822" s="967">
        <v>44217</v>
      </c>
      <c r="AN822" s="974">
        <v>125000</v>
      </c>
      <c r="AO822" s="976">
        <v>0.48999997654507998</v>
      </c>
    </row>
    <row r="823" spans="1:41">
      <c r="A823" s="966">
        <v>816</v>
      </c>
      <c r="B823" s="967">
        <v>44216</v>
      </c>
      <c r="C823" s="966">
        <v>122800</v>
      </c>
      <c r="D823" s="966">
        <v>0</v>
      </c>
      <c r="E823" s="966">
        <v>0</v>
      </c>
      <c r="F823" s="966">
        <v>67663.070000000007</v>
      </c>
      <c r="G823" s="966">
        <v>57240.055075600001</v>
      </c>
      <c r="H823" s="966">
        <v>8512.67</v>
      </c>
      <c r="I823" s="966">
        <v>14.43</v>
      </c>
      <c r="Q823" s="967">
        <v>44216</v>
      </c>
      <c r="R823" s="966">
        <v>122800</v>
      </c>
      <c r="S823" s="966">
        <v>0.48999997654507998</v>
      </c>
      <c r="T823" s="969">
        <v>0</v>
      </c>
      <c r="U823" s="966">
        <v>8512.67</v>
      </c>
      <c r="W823" s="971" t="e">
        <f t="shared" si="15"/>
        <v>#DIV/0!</v>
      </c>
      <c r="Y823" s="967">
        <v>44293</v>
      </c>
      <c r="Z823" s="974">
        <f ca="1">H773*Valuation_Senario!$L$372</f>
        <v>12610.27169551</v>
      </c>
      <c r="AA823" s="973">
        <v>15.66</v>
      </c>
      <c r="AM823" s="967">
        <v>44216</v>
      </c>
      <c r="AN823" s="974">
        <v>122800</v>
      </c>
      <c r="AO823" s="976">
        <v>0.48999997654507998</v>
      </c>
    </row>
    <row r="824" spans="1:41">
      <c r="A824" s="966">
        <v>817</v>
      </c>
      <c r="B824" s="967">
        <v>44215</v>
      </c>
      <c r="C824" s="966">
        <v>120000</v>
      </c>
      <c r="D824" s="966">
        <v>0</v>
      </c>
      <c r="E824" s="966">
        <v>0</v>
      </c>
      <c r="F824" s="966">
        <v>66357.919999999998</v>
      </c>
      <c r="G824" s="966">
        <v>55934.90724</v>
      </c>
      <c r="H824" s="966">
        <v>8513.3799999999992</v>
      </c>
      <c r="I824" s="966">
        <v>14.1</v>
      </c>
      <c r="Q824" s="967">
        <v>44215</v>
      </c>
      <c r="R824" s="966">
        <v>120000</v>
      </c>
      <c r="S824" s="966">
        <v>0.48999997654507998</v>
      </c>
      <c r="T824" s="969">
        <v>0</v>
      </c>
      <c r="U824" s="966">
        <v>8513.3799999999992</v>
      </c>
      <c r="W824" s="971" t="e">
        <f t="shared" si="15"/>
        <v>#DIV/0!</v>
      </c>
      <c r="Y824" s="967">
        <v>44292</v>
      </c>
      <c r="Z824" s="974">
        <f ca="1">H774*Valuation_Senario!$L$372</f>
        <v>12612.033843909998</v>
      </c>
      <c r="AA824" s="973">
        <v>15.52</v>
      </c>
      <c r="AM824" s="967">
        <v>44215</v>
      </c>
      <c r="AN824" s="974">
        <v>120000</v>
      </c>
      <c r="AO824" s="976">
        <v>0.48999997654507998</v>
      </c>
    </row>
    <row r="825" spans="1:41">
      <c r="A825" s="966">
        <v>818</v>
      </c>
      <c r="B825" s="967">
        <v>44214</v>
      </c>
      <c r="C825" s="966">
        <v>126400</v>
      </c>
      <c r="D825" s="966">
        <v>4.101</v>
      </c>
      <c r="E825" s="966">
        <v>4.101</v>
      </c>
      <c r="F825" s="966">
        <v>69341.11</v>
      </c>
      <c r="G825" s="966">
        <v>58918.102292800002</v>
      </c>
      <c r="H825" s="966">
        <v>8514.09</v>
      </c>
      <c r="I825" s="966">
        <v>14.85</v>
      </c>
      <c r="Q825" s="967">
        <v>44214</v>
      </c>
      <c r="R825" s="966">
        <v>126400</v>
      </c>
      <c r="S825" s="966">
        <v>0.48999998316452997</v>
      </c>
      <c r="T825" s="969">
        <v>0</v>
      </c>
      <c r="U825" s="966">
        <v>8514.09</v>
      </c>
      <c r="W825" s="971" t="e">
        <f t="shared" si="15"/>
        <v>#DIV/0!</v>
      </c>
      <c r="Y825" s="967">
        <v>44291</v>
      </c>
      <c r="Z825" s="974">
        <f ca="1">H775*Valuation_Senario!$L$372</f>
        <v>12613.781307739999</v>
      </c>
      <c r="AA825" s="973">
        <v>15.61</v>
      </c>
      <c r="AM825" s="967">
        <v>44214</v>
      </c>
      <c r="AN825" s="974">
        <v>126400</v>
      </c>
      <c r="AO825" s="976">
        <v>0.48999998316452997</v>
      </c>
    </row>
    <row r="826" spans="1:41">
      <c r="A826" s="966">
        <v>819</v>
      </c>
      <c r="B826" s="967">
        <v>44211</v>
      </c>
      <c r="C826" s="966">
        <v>127800</v>
      </c>
      <c r="D826" s="966">
        <v>0</v>
      </c>
      <c r="E826" s="966">
        <v>0</v>
      </c>
      <c r="F826" s="966">
        <v>69993.69</v>
      </c>
      <c r="G826" s="966">
        <v>59570.676210600002</v>
      </c>
      <c r="H826" s="966">
        <v>8516.2199999999993</v>
      </c>
      <c r="I826" s="966">
        <v>15.01</v>
      </c>
      <c r="Q826" s="967">
        <v>44211</v>
      </c>
      <c r="R826" s="966">
        <v>127800</v>
      </c>
      <c r="S826" s="966">
        <v>0.48999997654507998</v>
      </c>
      <c r="T826" s="969">
        <v>0</v>
      </c>
      <c r="U826" s="966">
        <v>8516.2199999999993</v>
      </c>
      <c r="W826" s="971" t="e">
        <f t="shared" si="15"/>
        <v>#DIV/0!</v>
      </c>
      <c r="Y826" s="967">
        <v>44288</v>
      </c>
      <c r="Z826" s="974">
        <f ca="1">H776*Valuation_Senario!$L$372</f>
        <v>12619.757927729997</v>
      </c>
      <c r="AA826" s="973">
        <v>15.69</v>
      </c>
      <c r="AM826" s="967">
        <v>44211</v>
      </c>
      <c r="AN826" s="974">
        <v>127800</v>
      </c>
      <c r="AO826" s="976">
        <v>0.48999997654507998</v>
      </c>
    </row>
    <row r="827" spans="1:41">
      <c r="A827" s="966">
        <v>820</v>
      </c>
      <c r="B827" s="967">
        <v>44210</v>
      </c>
      <c r="C827" s="966">
        <v>127900</v>
      </c>
      <c r="D827" s="966">
        <v>2.5239999999999999E-2</v>
      </c>
      <c r="E827" s="966">
        <v>0</v>
      </c>
      <c r="F827" s="966">
        <v>70040.3</v>
      </c>
      <c r="G827" s="966">
        <v>59617.288633299999</v>
      </c>
      <c r="H827" s="966">
        <v>8516.93</v>
      </c>
      <c r="I827" s="966">
        <v>15.02</v>
      </c>
      <c r="Q827" s="967">
        <v>44210</v>
      </c>
      <c r="R827" s="966">
        <v>127900</v>
      </c>
      <c r="S827" s="966">
        <v>0.48999953524854001</v>
      </c>
      <c r="T827" s="969">
        <v>2.5239999999999999E-2</v>
      </c>
      <c r="U827" s="966">
        <v>8516.93</v>
      </c>
      <c r="W827" s="971" t="e">
        <f t="shared" si="15"/>
        <v>#DIV/0!</v>
      </c>
      <c r="Y827" s="967">
        <v>44287</v>
      </c>
      <c r="Z827" s="974">
        <f ca="1">H777*Valuation_Senario!$L$372</f>
        <v>12620.800532199999</v>
      </c>
      <c r="AA827" s="973">
        <v>15.63</v>
      </c>
      <c r="AM827" s="967">
        <v>44210</v>
      </c>
      <c r="AN827" s="974">
        <v>127900</v>
      </c>
      <c r="AO827" s="976">
        <v>0.48999953524854001</v>
      </c>
    </row>
    <row r="828" spans="1:41">
      <c r="A828" s="966">
        <v>821</v>
      </c>
      <c r="B828" s="967">
        <v>44209</v>
      </c>
      <c r="C828" s="966">
        <v>126200</v>
      </c>
      <c r="D828" s="966">
        <v>0</v>
      </c>
      <c r="E828" s="966">
        <v>0</v>
      </c>
      <c r="F828" s="966">
        <v>69247.89</v>
      </c>
      <c r="G828" s="966">
        <v>58824.877447400002</v>
      </c>
      <c r="H828" s="966">
        <v>8517.64</v>
      </c>
      <c r="I828" s="966">
        <v>14.82</v>
      </c>
      <c r="Q828" s="967">
        <v>44209</v>
      </c>
      <c r="R828" s="966">
        <v>126200</v>
      </c>
      <c r="S828" s="966">
        <v>0.48999997654507998</v>
      </c>
      <c r="T828" s="969">
        <v>0</v>
      </c>
      <c r="U828" s="966">
        <v>8517.64</v>
      </c>
      <c r="W828" s="971" t="e">
        <f t="shared" si="15"/>
        <v>#DIV/0!</v>
      </c>
      <c r="Y828" s="967">
        <v>44286</v>
      </c>
      <c r="Z828" s="974">
        <f ca="1">H778*Valuation_Senario!$L$372</f>
        <v>12621.843136669999</v>
      </c>
      <c r="AA828" s="973">
        <v>15.09</v>
      </c>
      <c r="AM828" s="967">
        <v>44209</v>
      </c>
      <c r="AN828" s="974">
        <v>126200</v>
      </c>
      <c r="AO828" s="976">
        <v>0.48999997654507998</v>
      </c>
    </row>
    <row r="829" spans="1:41">
      <c r="A829" s="966">
        <v>822</v>
      </c>
      <c r="B829" s="967">
        <v>44208</v>
      </c>
      <c r="C829" s="966">
        <v>126200</v>
      </c>
      <c r="D829" s="966">
        <v>0</v>
      </c>
      <c r="E829" s="966">
        <v>0</v>
      </c>
      <c r="F829" s="966">
        <v>67541.88</v>
      </c>
      <c r="G829" s="966">
        <v>57118.863822799998</v>
      </c>
      <c r="H829" s="966">
        <v>8519.06</v>
      </c>
      <c r="I829" s="966">
        <v>14.81</v>
      </c>
      <c r="Q829" s="967">
        <v>44208</v>
      </c>
      <c r="R829" s="966">
        <v>126200</v>
      </c>
      <c r="S829" s="966">
        <v>0.48999997654507998</v>
      </c>
      <c r="T829" s="969">
        <v>0</v>
      </c>
      <c r="U829" s="966">
        <v>8519.06</v>
      </c>
      <c r="W829" s="971" t="e">
        <f t="shared" si="15"/>
        <v>#DIV/0!</v>
      </c>
      <c r="Y829" s="967">
        <v>44285</v>
      </c>
      <c r="Z829" s="974">
        <f ca="1">H779*Valuation_Senario!$L$372</f>
        <v>12622.88574114</v>
      </c>
      <c r="AA829" s="973">
        <v>15.05</v>
      </c>
      <c r="AM829" s="967">
        <v>44208</v>
      </c>
      <c r="AN829" s="974">
        <v>126200</v>
      </c>
      <c r="AO829" s="976">
        <v>0.48999997654507998</v>
      </c>
    </row>
    <row r="830" spans="1:41">
      <c r="A830" s="966">
        <v>823</v>
      </c>
      <c r="B830" s="967">
        <v>44207</v>
      </c>
      <c r="C830" s="966">
        <v>126200</v>
      </c>
      <c r="D830" s="966">
        <v>13.03</v>
      </c>
      <c r="E830" s="966">
        <v>13.054959999999999</v>
      </c>
      <c r="F830" s="966">
        <v>67541.88</v>
      </c>
      <c r="G830" s="966">
        <v>57118.863822799998</v>
      </c>
      <c r="H830" s="966">
        <v>8519.06</v>
      </c>
      <c r="I830" s="966">
        <v>14.81</v>
      </c>
      <c r="Q830" s="967">
        <v>44207</v>
      </c>
      <c r="R830" s="966">
        <v>126200</v>
      </c>
      <c r="S830" s="966">
        <v>0.48999997654507998</v>
      </c>
      <c r="T830" s="969">
        <v>-2.4960000000000093E-2</v>
      </c>
      <c r="U830" s="966">
        <v>8519.06</v>
      </c>
      <c r="W830" s="971" t="e">
        <f t="shared" si="15"/>
        <v>#DIV/0!</v>
      </c>
      <c r="Y830" s="967">
        <v>44284</v>
      </c>
      <c r="Z830" s="974">
        <f ca="1">H780*Valuation_Senario!$L$372</f>
        <v>12623.928345609998</v>
      </c>
      <c r="AA830" s="973">
        <v>15.13</v>
      </c>
      <c r="AM830" s="967">
        <v>44207</v>
      </c>
      <c r="AN830" s="974">
        <v>126200</v>
      </c>
      <c r="AO830" s="976">
        <v>0.48999997654507998</v>
      </c>
    </row>
    <row r="831" spans="1:41">
      <c r="A831" s="966">
        <v>824</v>
      </c>
      <c r="B831" s="967">
        <v>44204</v>
      </c>
      <c r="C831" s="966">
        <v>121800</v>
      </c>
      <c r="D831" s="966">
        <v>0</v>
      </c>
      <c r="E831" s="966">
        <v>0</v>
      </c>
      <c r="F831" s="966">
        <v>65550.41</v>
      </c>
      <c r="G831" s="966">
        <v>55127.397889200001</v>
      </c>
      <c r="H831" s="966">
        <v>8519.06</v>
      </c>
      <c r="I831" s="966">
        <v>14.3</v>
      </c>
      <c r="Q831" s="967">
        <v>44204</v>
      </c>
      <c r="R831" s="966">
        <v>121800</v>
      </c>
      <c r="S831" s="966">
        <v>0.48999997654507998</v>
      </c>
      <c r="T831" s="969">
        <v>0</v>
      </c>
      <c r="U831" s="966">
        <v>8519.06</v>
      </c>
      <c r="W831" s="971" t="e">
        <f t="shared" si="15"/>
        <v>#DIV/0!</v>
      </c>
      <c r="Y831" s="967">
        <v>44281</v>
      </c>
      <c r="Z831" s="974">
        <f ca="1">H781*Valuation_Senario!$L$372</f>
        <v>12627.041474449999</v>
      </c>
      <c r="AA831" s="973">
        <v>15.12</v>
      </c>
      <c r="AM831" s="967">
        <v>44204</v>
      </c>
      <c r="AN831" s="974">
        <v>121800</v>
      </c>
      <c r="AO831" s="976">
        <v>0.48999997654507998</v>
      </c>
    </row>
    <row r="832" spans="1:41">
      <c r="A832" s="966">
        <v>825</v>
      </c>
      <c r="B832" s="967">
        <v>44203</v>
      </c>
      <c r="C832" s="966">
        <v>120800</v>
      </c>
      <c r="D832" s="966">
        <v>3.2425000000000002</v>
      </c>
      <c r="E832" s="966">
        <v>3.2425000000000002</v>
      </c>
      <c r="F832" s="966">
        <v>65188.33</v>
      </c>
      <c r="G832" s="966">
        <v>54765.313174000003</v>
      </c>
      <c r="H832" s="966">
        <v>8519.06</v>
      </c>
      <c r="I832" s="966">
        <v>14.2</v>
      </c>
      <c r="Q832" s="967">
        <v>44203</v>
      </c>
      <c r="R832" s="966">
        <v>120800</v>
      </c>
      <c r="S832" s="966">
        <v>0.48999997654507998</v>
      </c>
      <c r="T832" s="969">
        <v>0</v>
      </c>
      <c r="U832" s="966">
        <v>8519.06</v>
      </c>
      <c r="W832" s="971" t="e">
        <f t="shared" si="15"/>
        <v>#DIV/0!</v>
      </c>
      <c r="Y832" s="967">
        <v>44280</v>
      </c>
      <c r="Z832" s="974">
        <f ca="1">H782*Valuation_Senario!$L$372</f>
        <v>12628.084078919999</v>
      </c>
      <c r="AA832" s="973">
        <v>14.98</v>
      </c>
      <c r="AM832" s="967">
        <v>44203</v>
      </c>
      <c r="AN832" s="974">
        <v>120800</v>
      </c>
      <c r="AO832" s="976">
        <v>0.48999997654507998</v>
      </c>
    </row>
    <row r="833" spans="1:41">
      <c r="A833" s="966">
        <v>826</v>
      </c>
      <c r="B833" s="967">
        <v>44202</v>
      </c>
      <c r="C833" s="966">
        <v>121300</v>
      </c>
      <c r="D833" s="966">
        <v>0</v>
      </c>
      <c r="E833" s="966">
        <v>0</v>
      </c>
      <c r="F833" s="966">
        <v>65324.11</v>
      </c>
      <c r="G833" s="966">
        <v>54901.094942199998</v>
      </c>
      <c r="H833" s="966">
        <v>8519.06</v>
      </c>
      <c r="I833" s="966">
        <v>14.24</v>
      </c>
      <c r="Q833" s="967">
        <v>44202</v>
      </c>
      <c r="R833" s="966">
        <v>121300</v>
      </c>
      <c r="S833" s="966">
        <v>0.48999997654507998</v>
      </c>
      <c r="T833" s="969">
        <v>0</v>
      </c>
      <c r="U833" s="966">
        <v>8519.06</v>
      </c>
      <c r="W833" s="971" t="e">
        <f t="shared" si="15"/>
        <v>#DIV/0!</v>
      </c>
      <c r="Y833" s="967">
        <v>44279</v>
      </c>
      <c r="Z833" s="974">
        <f ca="1">H783*Valuation_Senario!$L$372</f>
        <v>12629.126683389999</v>
      </c>
      <c r="AA833" s="973">
        <v>15.1</v>
      </c>
      <c r="AM833" s="967">
        <v>44202</v>
      </c>
      <c r="AN833" s="974">
        <v>121300</v>
      </c>
      <c r="AO833" s="976">
        <v>0.48999997654507998</v>
      </c>
    </row>
    <row r="834" spans="1:41">
      <c r="A834" s="966">
        <v>827</v>
      </c>
      <c r="B834" s="967">
        <v>44201</v>
      </c>
      <c r="C834" s="966">
        <v>121900</v>
      </c>
      <c r="D834" s="966">
        <v>4.8000000000000001E-2</v>
      </c>
      <c r="E834" s="966">
        <v>0</v>
      </c>
      <c r="F834" s="966">
        <v>65595.67</v>
      </c>
      <c r="G834" s="966">
        <v>55172.658478600002</v>
      </c>
      <c r="H834" s="966">
        <v>8519.06</v>
      </c>
      <c r="I834" s="966">
        <v>14.31</v>
      </c>
      <c r="Q834" s="967">
        <v>44201</v>
      </c>
      <c r="R834" s="966">
        <v>121900</v>
      </c>
      <c r="S834" s="966">
        <v>0.48999909395199998</v>
      </c>
      <c r="T834" s="969">
        <v>4.8000000000000001E-2</v>
      </c>
      <c r="U834" s="966">
        <v>8519.06</v>
      </c>
      <c r="W834" s="971" t="e">
        <f t="shared" si="15"/>
        <v>#DIV/0!</v>
      </c>
      <c r="Y834" s="967">
        <v>44278</v>
      </c>
      <c r="Z834" s="974">
        <f ca="1">H784*Valuation_Senario!$L$372</f>
        <v>12630.169287859999</v>
      </c>
      <c r="AA834" s="973">
        <v>15.23</v>
      </c>
      <c r="AM834" s="967">
        <v>44201</v>
      </c>
      <c r="AN834" s="974">
        <v>121900</v>
      </c>
      <c r="AO834" s="976">
        <v>0.48999909395199998</v>
      </c>
    </row>
    <row r="835" spans="1:41">
      <c r="A835" s="966">
        <v>828</v>
      </c>
      <c r="B835" s="967">
        <v>44200</v>
      </c>
      <c r="C835" s="966">
        <v>120600</v>
      </c>
      <c r="D835" s="966">
        <v>0.35849999999999999</v>
      </c>
      <c r="E835" s="966">
        <v>0</v>
      </c>
      <c r="F835" s="966">
        <v>65007.28</v>
      </c>
      <c r="G835" s="966">
        <v>54584.2708164</v>
      </c>
      <c r="H835" s="966">
        <v>8519.06</v>
      </c>
      <c r="I835" s="966">
        <v>14.16</v>
      </c>
      <c r="Q835" s="967">
        <v>44200</v>
      </c>
      <c r="R835" s="966">
        <v>120600</v>
      </c>
      <c r="S835" s="966">
        <v>0.48999326883764999</v>
      </c>
      <c r="T835" s="969">
        <v>0.35849999999999999</v>
      </c>
      <c r="U835" s="966">
        <v>8519.06</v>
      </c>
      <c r="W835" s="971" t="e">
        <f t="shared" si="15"/>
        <v>#DIV/0!</v>
      </c>
      <c r="Y835" s="967">
        <v>44277</v>
      </c>
      <c r="Z835" s="974">
        <f ca="1">H785*Valuation_Senario!$L$372</f>
        <v>12631.21189233</v>
      </c>
      <c r="AA835" s="973">
        <v>15.33</v>
      </c>
      <c r="AM835" s="967">
        <v>44200</v>
      </c>
      <c r="AN835" s="974">
        <v>120600</v>
      </c>
      <c r="AO835" s="976">
        <v>0.48999326883764999</v>
      </c>
    </row>
    <row r="836" spans="1:41">
      <c r="A836" s="966">
        <v>829</v>
      </c>
      <c r="B836" s="967">
        <v>44196</v>
      </c>
      <c r="C836" s="966">
        <v>118900</v>
      </c>
      <c r="D836" s="966">
        <v>0</v>
      </c>
      <c r="E836" s="966">
        <v>0</v>
      </c>
      <c r="F836" s="966">
        <v>64237.85</v>
      </c>
      <c r="G836" s="966">
        <v>53814.840796600001</v>
      </c>
      <c r="H836" s="966">
        <v>8519.06</v>
      </c>
      <c r="I836" s="966">
        <v>13.96</v>
      </c>
      <c r="Q836" s="967">
        <v>44196</v>
      </c>
      <c r="R836" s="966">
        <v>118900</v>
      </c>
      <c r="S836" s="966">
        <v>0.48999999860991</v>
      </c>
      <c r="T836" s="969">
        <v>0</v>
      </c>
      <c r="U836" s="966">
        <v>8519.06</v>
      </c>
      <c r="W836" s="971" t="e">
        <f t="shared" si="15"/>
        <v>#DIV/0!</v>
      </c>
      <c r="Y836" s="967">
        <v>44274</v>
      </c>
      <c r="Z836" s="974">
        <f ca="1">H786*Valuation_Senario!$L$372</f>
        <v>12634.339705739998</v>
      </c>
      <c r="AA836" s="973">
        <v>15.46</v>
      </c>
      <c r="AM836" s="967">
        <v>44196</v>
      </c>
      <c r="AN836" s="974">
        <v>118900</v>
      </c>
      <c r="AO836" s="976">
        <v>0.48999999860991</v>
      </c>
    </row>
    <row r="837" spans="1:41">
      <c r="A837" s="966">
        <v>830</v>
      </c>
      <c r="B837" s="967">
        <v>44195</v>
      </c>
      <c r="C837" s="966">
        <v>117300</v>
      </c>
      <c r="D837" s="966">
        <v>5.7428E-2</v>
      </c>
      <c r="E837" s="966">
        <v>4.2212E-2</v>
      </c>
      <c r="F837" s="966">
        <v>63513.68</v>
      </c>
      <c r="G837" s="966">
        <v>53090.671366199997</v>
      </c>
      <c r="H837" s="966">
        <v>8519.06</v>
      </c>
      <c r="I837" s="966">
        <v>13.77</v>
      </c>
      <c r="Q837" s="967">
        <v>44195</v>
      </c>
      <c r="R837" s="966">
        <v>117300</v>
      </c>
      <c r="S837" s="966">
        <v>0.48999891743337998</v>
      </c>
      <c r="T837" s="969">
        <v>1.5216E-2</v>
      </c>
      <c r="U837" s="966">
        <v>8519.06</v>
      </c>
      <c r="W837" s="971" t="e">
        <f t="shared" si="15"/>
        <v>#DIV/0!</v>
      </c>
      <c r="Y837" s="967">
        <v>44273</v>
      </c>
      <c r="Z837" s="974">
        <f ca="1">H787*Valuation_Senario!$L$372</f>
        <v>12635.367625639999</v>
      </c>
      <c r="AA837" s="973">
        <v>15.53</v>
      </c>
      <c r="AM837" s="967">
        <v>44195</v>
      </c>
      <c r="AN837" s="974">
        <v>117300</v>
      </c>
      <c r="AO837" s="976">
        <v>0.48999891743337998</v>
      </c>
    </row>
    <row r="838" spans="1:41">
      <c r="A838" s="966">
        <v>831</v>
      </c>
      <c r="B838" s="967">
        <v>44194</v>
      </c>
      <c r="C838" s="966">
        <v>117200</v>
      </c>
      <c r="D838" s="966">
        <v>0</v>
      </c>
      <c r="E838" s="966">
        <v>0.358375</v>
      </c>
      <c r="F838" s="966">
        <v>63468.42</v>
      </c>
      <c r="G838" s="966">
        <v>53045.410776800003</v>
      </c>
      <c r="H838" s="966">
        <v>8519.06</v>
      </c>
      <c r="I838" s="966">
        <v>13.76</v>
      </c>
      <c r="Q838" s="967">
        <v>44194</v>
      </c>
      <c r="R838" s="966">
        <v>117200</v>
      </c>
      <c r="S838" s="966">
        <v>0.48999999860991</v>
      </c>
      <c r="T838" s="969">
        <v>-0.358375</v>
      </c>
      <c r="U838" s="966">
        <v>8519.06</v>
      </c>
      <c r="W838" s="971" t="e">
        <f t="shared" si="15"/>
        <v>#DIV/0!</v>
      </c>
      <c r="Y838" s="967">
        <v>44272</v>
      </c>
      <c r="Z838" s="974">
        <f ca="1">H788*Valuation_Senario!$L$372</f>
        <v>12636.410230109999</v>
      </c>
      <c r="AA838" s="973">
        <v>15.43</v>
      </c>
      <c r="AM838" s="967">
        <v>44194</v>
      </c>
      <c r="AN838" s="974">
        <v>117200</v>
      </c>
      <c r="AO838" s="976">
        <v>0.48999999860991</v>
      </c>
    </row>
    <row r="839" spans="1:41">
      <c r="A839" s="966">
        <v>832</v>
      </c>
      <c r="B839" s="967">
        <v>44193</v>
      </c>
      <c r="C839" s="966">
        <v>117300</v>
      </c>
      <c r="D839" s="966">
        <v>0</v>
      </c>
      <c r="E839" s="966">
        <v>0</v>
      </c>
      <c r="F839" s="966">
        <v>63513.68</v>
      </c>
      <c r="G839" s="966">
        <v>53090.671366199997</v>
      </c>
      <c r="H839" s="966">
        <v>8519.06</v>
      </c>
      <c r="I839" s="966">
        <v>13.77</v>
      </c>
      <c r="Q839" s="967">
        <v>44193</v>
      </c>
      <c r="R839" s="966">
        <v>117300</v>
      </c>
      <c r="S839" s="966">
        <v>0.48999999860991</v>
      </c>
      <c r="T839" s="969">
        <v>0</v>
      </c>
      <c r="U839" s="966">
        <v>8519.06</v>
      </c>
      <c r="W839" s="971" t="e">
        <f t="shared" si="15"/>
        <v>#DIV/0!</v>
      </c>
      <c r="Y839" s="967">
        <v>44271</v>
      </c>
      <c r="Z839" s="974">
        <f ca="1">H789*Valuation_Senario!$L$372</f>
        <v>12637.452834579999</v>
      </c>
      <c r="AA839" s="973">
        <v>15.48</v>
      </c>
      <c r="AM839" s="967">
        <v>44193</v>
      </c>
      <c r="AN839" s="974">
        <v>117300</v>
      </c>
      <c r="AO839" s="976">
        <v>0.48999999860991</v>
      </c>
    </row>
    <row r="840" spans="1:41">
      <c r="A840" s="966">
        <v>833</v>
      </c>
      <c r="B840" s="967">
        <v>44190</v>
      </c>
      <c r="C840" s="966">
        <v>118500</v>
      </c>
      <c r="D840" s="966">
        <v>0</v>
      </c>
      <c r="E840" s="966">
        <v>5.7820000000000003E-2</v>
      </c>
      <c r="F840" s="966">
        <v>64056.81</v>
      </c>
      <c r="G840" s="966">
        <v>53633.798438999998</v>
      </c>
      <c r="H840" s="966">
        <v>8519.06</v>
      </c>
      <c r="I840" s="966">
        <v>13.91</v>
      </c>
      <c r="Q840" s="967">
        <v>44190</v>
      </c>
      <c r="R840" s="966">
        <v>118500</v>
      </c>
      <c r="S840" s="966">
        <v>0.48999999860991</v>
      </c>
      <c r="T840" s="969">
        <v>-5.7820000000000003E-2</v>
      </c>
      <c r="U840" s="966">
        <v>8519.06</v>
      </c>
      <c r="W840" s="971" t="e">
        <f t="shared" si="15"/>
        <v>#DIV/0!</v>
      </c>
      <c r="Y840" s="967">
        <v>44270</v>
      </c>
      <c r="Z840" s="974">
        <f ca="1">H790*Valuation_Senario!$L$372</f>
        <v>12638.495439049999</v>
      </c>
      <c r="AA840" s="973">
        <v>15.42</v>
      </c>
      <c r="AM840" s="967">
        <v>44190</v>
      </c>
      <c r="AN840" s="974">
        <v>118500</v>
      </c>
      <c r="AO840" s="976">
        <v>0.48999999860991</v>
      </c>
    </row>
    <row r="841" spans="1:41">
      <c r="A841" s="966">
        <v>834</v>
      </c>
      <c r="B841" s="967">
        <v>44189</v>
      </c>
      <c r="C841" s="966">
        <v>116700</v>
      </c>
      <c r="D841" s="966">
        <v>0</v>
      </c>
      <c r="E841" s="966">
        <v>0</v>
      </c>
      <c r="F841" s="966">
        <v>63242.12</v>
      </c>
      <c r="G841" s="966">
        <v>52819.107829799999</v>
      </c>
      <c r="H841" s="966">
        <v>8519.06</v>
      </c>
      <c r="I841" s="966">
        <v>13.7</v>
      </c>
      <c r="Q841" s="967">
        <v>44189</v>
      </c>
      <c r="R841" s="966">
        <v>116700</v>
      </c>
      <c r="S841" s="966">
        <v>0.48999999860991</v>
      </c>
      <c r="T841" s="969">
        <v>0</v>
      </c>
      <c r="U841" s="966">
        <v>8519.06</v>
      </c>
      <c r="W841" s="971" t="e">
        <f t="shared" ref="W841:W904" si="16">T841/V841</f>
        <v>#DIV/0!</v>
      </c>
      <c r="Y841" s="967">
        <v>44267</v>
      </c>
      <c r="Z841" s="974">
        <f ca="1">H791*Valuation_Senario!$L$372</f>
        <v>12641.62325246</v>
      </c>
      <c r="AA841" s="973">
        <v>15.23</v>
      </c>
      <c r="AM841" s="967">
        <v>44189</v>
      </c>
      <c r="AN841" s="974">
        <v>116700</v>
      </c>
      <c r="AO841" s="976">
        <v>0.48999999860991</v>
      </c>
    </row>
    <row r="842" spans="1:41">
      <c r="A842" s="966">
        <v>835</v>
      </c>
      <c r="B842" s="967">
        <v>44188</v>
      </c>
      <c r="C842" s="966">
        <v>118100</v>
      </c>
      <c r="D842" s="966">
        <v>0</v>
      </c>
      <c r="E842" s="966">
        <v>0</v>
      </c>
      <c r="F842" s="966">
        <v>63875.77</v>
      </c>
      <c r="G842" s="966">
        <v>53452.756081400003</v>
      </c>
      <c r="H842" s="966">
        <v>8519.06</v>
      </c>
      <c r="I842" s="966">
        <v>13.86</v>
      </c>
      <c r="Q842" s="967">
        <v>44188</v>
      </c>
      <c r="R842" s="966">
        <v>118100</v>
      </c>
      <c r="S842" s="966">
        <v>0.48999999860991</v>
      </c>
      <c r="T842" s="969">
        <v>0</v>
      </c>
      <c r="U842" s="966">
        <v>8519.06</v>
      </c>
      <c r="W842" s="971" t="e">
        <f t="shared" si="16"/>
        <v>#DIV/0!</v>
      </c>
      <c r="Y842" s="967">
        <v>44266</v>
      </c>
      <c r="Z842" s="974">
        <f ca="1">H792*Valuation_Senario!$L$372</f>
        <v>12642.6805415</v>
      </c>
      <c r="AA842" s="973">
        <v>15.39</v>
      </c>
      <c r="AM842" s="967">
        <v>44188</v>
      </c>
      <c r="AN842" s="974">
        <v>118100</v>
      </c>
      <c r="AO842" s="976">
        <v>0.48999999860991</v>
      </c>
    </row>
    <row r="843" spans="1:41">
      <c r="A843" s="966">
        <v>836</v>
      </c>
      <c r="B843" s="967">
        <v>44187</v>
      </c>
      <c r="C843" s="966">
        <v>119900</v>
      </c>
      <c r="D843" s="966">
        <v>0</v>
      </c>
      <c r="E843" s="966">
        <v>0</v>
      </c>
      <c r="F843" s="966">
        <v>64690.46</v>
      </c>
      <c r="G843" s="966">
        <v>54267.446690600002</v>
      </c>
      <c r="H843" s="966">
        <v>8519.06</v>
      </c>
      <c r="I843" s="966">
        <v>14.07</v>
      </c>
      <c r="Q843" s="967">
        <v>44187</v>
      </c>
      <c r="R843" s="966">
        <v>119900</v>
      </c>
      <c r="S843" s="966">
        <v>0.48999999860991</v>
      </c>
      <c r="T843" s="969">
        <v>0</v>
      </c>
      <c r="U843" s="966">
        <v>8519.06</v>
      </c>
      <c r="W843" s="971" t="e">
        <f t="shared" si="16"/>
        <v>#DIV/0!</v>
      </c>
      <c r="Y843" s="967">
        <v>44265</v>
      </c>
      <c r="Z843" s="974">
        <f ca="1">H793*Valuation_Senario!$L$372</f>
        <v>12643.723145969998</v>
      </c>
      <c r="AA843" s="973">
        <v>15.16</v>
      </c>
      <c r="AM843" s="967">
        <v>44187</v>
      </c>
      <c r="AN843" s="974">
        <v>119900</v>
      </c>
      <c r="AO843" s="976">
        <v>0.48999999860991</v>
      </c>
    </row>
    <row r="844" spans="1:41">
      <c r="A844" s="966">
        <v>837</v>
      </c>
      <c r="B844" s="967">
        <v>44186</v>
      </c>
      <c r="C844" s="966">
        <v>116200</v>
      </c>
      <c r="D844" s="966">
        <v>0</v>
      </c>
      <c r="E844" s="966">
        <v>0</v>
      </c>
      <c r="F844" s="966">
        <v>63015.82</v>
      </c>
      <c r="G844" s="966">
        <v>52592.804882800003</v>
      </c>
      <c r="H844" s="966">
        <v>8519.06</v>
      </c>
      <c r="I844" s="966">
        <v>13.64</v>
      </c>
      <c r="Q844" s="967">
        <v>44186</v>
      </c>
      <c r="R844" s="966">
        <v>116200</v>
      </c>
      <c r="S844" s="966">
        <v>0.48999999860991</v>
      </c>
      <c r="T844" s="969">
        <v>0</v>
      </c>
      <c r="U844" s="966">
        <v>8519.06</v>
      </c>
      <c r="W844" s="971" t="e">
        <f t="shared" si="16"/>
        <v>#DIV/0!</v>
      </c>
      <c r="Y844" s="967">
        <v>44264</v>
      </c>
      <c r="Z844" s="974">
        <f ca="1">H794*Valuation_Senario!$L$372</f>
        <v>12644.765750439999</v>
      </c>
      <c r="AA844" s="973">
        <v>14.88</v>
      </c>
      <c r="AM844" s="967">
        <v>44186</v>
      </c>
      <c r="AN844" s="974">
        <v>116200</v>
      </c>
      <c r="AO844" s="976">
        <v>0.48999999860991</v>
      </c>
    </row>
    <row r="845" spans="1:41">
      <c r="A845" s="966">
        <v>838</v>
      </c>
      <c r="B845" s="967">
        <v>44183</v>
      </c>
      <c r="C845" s="966">
        <v>115000</v>
      </c>
      <c r="D845" s="966">
        <v>0</v>
      </c>
      <c r="E845" s="966">
        <v>0</v>
      </c>
      <c r="F845" s="966">
        <v>62472.69</v>
      </c>
      <c r="G845" s="966">
        <v>52049.677810000001</v>
      </c>
      <c r="H845" s="966">
        <v>8519.06</v>
      </c>
      <c r="I845" s="966">
        <v>13.5</v>
      </c>
      <c r="Q845" s="967">
        <v>44183</v>
      </c>
      <c r="R845" s="966">
        <v>115000</v>
      </c>
      <c r="S845" s="966">
        <v>0.48999999860991</v>
      </c>
      <c r="T845" s="969">
        <v>0</v>
      </c>
      <c r="U845" s="966">
        <v>8519.06</v>
      </c>
      <c r="W845" s="971" t="e">
        <f t="shared" si="16"/>
        <v>#DIV/0!</v>
      </c>
      <c r="Y845" s="967">
        <v>44263</v>
      </c>
      <c r="Z845" s="974">
        <f ca="1">H795*Valuation_Senario!$L$372</f>
        <v>12645.808354909997</v>
      </c>
      <c r="AA845" s="973">
        <v>15.19</v>
      </c>
      <c r="AM845" s="967">
        <v>44183</v>
      </c>
      <c r="AN845" s="974">
        <v>115000</v>
      </c>
      <c r="AO845" s="976">
        <v>0.48999999860991</v>
      </c>
    </row>
    <row r="846" spans="1:41">
      <c r="A846" s="966">
        <v>839</v>
      </c>
      <c r="B846" s="967">
        <v>44182</v>
      </c>
      <c r="C846" s="966">
        <v>113500</v>
      </c>
      <c r="D846" s="966">
        <v>0</v>
      </c>
      <c r="E846" s="966">
        <v>0</v>
      </c>
      <c r="F846" s="966">
        <v>61793.78</v>
      </c>
      <c r="G846" s="966">
        <v>51370.768968999997</v>
      </c>
      <c r="H846" s="966">
        <v>8519.06</v>
      </c>
      <c r="I846" s="966">
        <v>13.32</v>
      </c>
      <c r="Q846" s="967">
        <v>44182</v>
      </c>
      <c r="R846" s="966">
        <v>113500</v>
      </c>
      <c r="S846" s="966">
        <v>0.48999999860991</v>
      </c>
      <c r="T846" s="969">
        <v>0</v>
      </c>
      <c r="U846" s="966">
        <v>8519.06</v>
      </c>
      <c r="W846" s="971" t="e">
        <f t="shared" si="16"/>
        <v>#DIV/0!</v>
      </c>
      <c r="Y846" s="967">
        <v>44260</v>
      </c>
      <c r="Z846" s="974">
        <f ca="1">H796*Valuation_Senario!$L$372</f>
        <v>12648.936168319999</v>
      </c>
      <c r="AA846" s="973">
        <v>15.35</v>
      </c>
      <c r="AM846" s="967">
        <v>44182</v>
      </c>
      <c r="AN846" s="974">
        <v>113500</v>
      </c>
      <c r="AO846" s="976">
        <v>0.48999999860991</v>
      </c>
    </row>
    <row r="847" spans="1:41">
      <c r="A847" s="966">
        <v>840</v>
      </c>
      <c r="B847" s="967">
        <v>44181</v>
      </c>
      <c r="C847" s="966">
        <v>115500</v>
      </c>
      <c r="D847" s="966">
        <v>0</v>
      </c>
      <c r="E847" s="966">
        <v>0</v>
      </c>
      <c r="F847" s="966">
        <v>62698.99</v>
      </c>
      <c r="G847" s="966">
        <v>52275.980756999998</v>
      </c>
      <c r="H847" s="966">
        <v>8519.06</v>
      </c>
      <c r="I847" s="966">
        <v>13.56</v>
      </c>
      <c r="Q847" s="967">
        <v>44181</v>
      </c>
      <c r="R847" s="966">
        <v>115500</v>
      </c>
      <c r="S847" s="966">
        <v>0.48999998978398002</v>
      </c>
      <c r="T847" s="969">
        <v>0</v>
      </c>
      <c r="U847" s="966">
        <v>8519.06</v>
      </c>
      <c r="W847" s="971" t="e">
        <f t="shared" si="16"/>
        <v>#DIV/0!</v>
      </c>
      <c r="Y847" s="967">
        <v>44259</v>
      </c>
      <c r="Z847" s="974">
        <f ca="1">H797*Valuation_Senario!$L$372</f>
        <v>12649.978772789998</v>
      </c>
      <c r="AA847" s="973">
        <v>15.42</v>
      </c>
      <c r="AM847" s="967">
        <v>44181</v>
      </c>
      <c r="AN847" s="974">
        <v>115500</v>
      </c>
      <c r="AO847" s="976">
        <v>0.48999998978398002</v>
      </c>
    </row>
    <row r="848" spans="1:41">
      <c r="A848" s="966">
        <v>841</v>
      </c>
      <c r="B848" s="967">
        <v>44180</v>
      </c>
      <c r="C848" s="966">
        <v>115300</v>
      </c>
      <c r="D848" s="966">
        <v>0</v>
      </c>
      <c r="E848" s="966">
        <v>0</v>
      </c>
      <c r="F848" s="966">
        <v>62608.47</v>
      </c>
      <c r="G848" s="966">
        <v>52185.459578200003</v>
      </c>
      <c r="H848" s="966">
        <v>8519.06</v>
      </c>
      <c r="I848" s="966">
        <v>13.53</v>
      </c>
      <c r="Q848" s="967">
        <v>44180</v>
      </c>
      <c r="R848" s="966">
        <v>115300</v>
      </c>
      <c r="S848" s="966">
        <v>0.48999998978398002</v>
      </c>
      <c r="T848" s="969">
        <v>0</v>
      </c>
      <c r="U848" s="966">
        <v>8519.06</v>
      </c>
      <c r="W848" s="971" t="e">
        <f t="shared" si="16"/>
        <v>#DIV/0!</v>
      </c>
      <c r="Y848" s="967">
        <v>44258</v>
      </c>
      <c r="Z848" s="974">
        <f ca="1">H798*Valuation_Senario!$L$372</f>
        <v>12651.02137726</v>
      </c>
      <c r="AA848" s="973">
        <v>15.81</v>
      </c>
      <c r="AM848" s="967">
        <v>44180</v>
      </c>
      <c r="AN848" s="974">
        <v>115300</v>
      </c>
      <c r="AO848" s="976">
        <v>0.48999998978398002</v>
      </c>
    </row>
    <row r="849" spans="1:41">
      <c r="A849" s="966">
        <v>842</v>
      </c>
      <c r="B849" s="967">
        <v>44179</v>
      </c>
      <c r="C849" s="966">
        <v>115700</v>
      </c>
      <c r="D849" s="966">
        <v>0</v>
      </c>
      <c r="E849" s="966">
        <v>0</v>
      </c>
      <c r="F849" s="966">
        <v>62789.51</v>
      </c>
      <c r="G849" s="966">
        <v>52366.501935799999</v>
      </c>
      <c r="H849" s="966">
        <v>8519.06</v>
      </c>
      <c r="I849" s="966">
        <v>13.58</v>
      </c>
      <c r="Q849" s="967">
        <v>44179</v>
      </c>
      <c r="R849" s="966">
        <v>115700</v>
      </c>
      <c r="S849" s="966">
        <v>0.48999998978398002</v>
      </c>
      <c r="T849" s="969">
        <v>0</v>
      </c>
      <c r="U849" s="966">
        <v>8519.06</v>
      </c>
      <c r="W849" s="971" t="e">
        <f t="shared" si="16"/>
        <v>#DIV/0!</v>
      </c>
      <c r="Y849" s="967">
        <v>44257</v>
      </c>
      <c r="Z849" s="974">
        <f ca="1">H799*Valuation_Senario!$L$372</f>
        <v>12652.063981729998</v>
      </c>
      <c r="AA849" s="973">
        <v>15.76</v>
      </c>
      <c r="AM849" s="967">
        <v>44179</v>
      </c>
      <c r="AN849" s="974">
        <v>115700</v>
      </c>
      <c r="AO849" s="976">
        <v>0.48999998978398002</v>
      </c>
    </row>
    <row r="850" spans="1:41">
      <c r="A850" s="966">
        <v>843</v>
      </c>
      <c r="B850" s="967">
        <v>44176</v>
      </c>
      <c r="C850" s="966">
        <v>114300</v>
      </c>
      <c r="D850" s="966">
        <v>0</v>
      </c>
      <c r="E850" s="966">
        <v>0</v>
      </c>
      <c r="F850" s="966">
        <v>62155.87</v>
      </c>
      <c r="G850" s="966">
        <v>51732.853684200003</v>
      </c>
      <c r="H850" s="966">
        <v>8519.06</v>
      </c>
      <c r="I850" s="966">
        <v>13.42</v>
      </c>
      <c r="Q850" s="967">
        <v>44176</v>
      </c>
      <c r="R850" s="966">
        <v>114300</v>
      </c>
      <c r="S850" s="966">
        <v>0.48999998978398002</v>
      </c>
      <c r="T850" s="969">
        <v>0</v>
      </c>
      <c r="U850" s="966">
        <v>8519.06</v>
      </c>
      <c r="W850" s="971" t="e">
        <f t="shared" si="16"/>
        <v>#DIV/0!</v>
      </c>
      <c r="Y850" s="967">
        <v>44256</v>
      </c>
      <c r="Z850" s="974">
        <f ca="1">H800*Valuation_Senario!$L$372</f>
        <v>12653.12127077</v>
      </c>
      <c r="AA850" s="973">
        <v>15.64</v>
      </c>
      <c r="AM850" s="967">
        <v>44176</v>
      </c>
      <c r="AN850" s="974">
        <v>114300</v>
      </c>
      <c r="AO850" s="976">
        <v>0.48999998978398002</v>
      </c>
    </row>
    <row r="851" spans="1:41">
      <c r="A851" s="966">
        <v>844</v>
      </c>
      <c r="B851" s="967">
        <v>44175</v>
      </c>
      <c r="C851" s="966">
        <v>113800</v>
      </c>
      <c r="D851" s="966">
        <v>5.7500000000000002E-2</v>
      </c>
      <c r="E851" s="966">
        <v>0</v>
      </c>
      <c r="F851" s="966">
        <v>61929.56</v>
      </c>
      <c r="G851" s="966">
        <v>51506.550737199999</v>
      </c>
      <c r="H851" s="966">
        <v>8519.06</v>
      </c>
      <c r="I851" s="966">
        <v>13.36</v>
      </c>
      <c r="Q851" s="967">
        <v>44175</v>
      </c>
      <c r="R851" s="966">
        <v>113800</v>
      </c>
      <c r="S851" s="966">
        <v>0.48999888654263002</v>
      </c>
      <c r="T851" s="969">
        <v>5.7500000000000002E-2</v>
      </c>
      <c r="U851" s="966">
        <v>8519.06</v>
      </c>
      <c r="W851" s="971" t="e">
        <f t="shared" si="16"/>
        <v>#DIV/0!</v>
      </c>
      <c r="Y851" s="967">
        <v>44253</v>
      </c>
      <c r="Z851" s="974">
        <f ca="1">H801*Valuation_Senario!$L$372</f>
        <v>12656.249084179999</v>
      </c>
      <c r="AA851" s="973">
        <v>15.66</v>
      </c>
      <c r="AM851" s="967">
        <v>44175</v>
      </c>
      <c r="AN851" s="974">
        <v>113800</v>
      </c>
      <c r="AO851" s="976">
        <v>0.48999888654263002</v>
      </c>
    </row>
    <row r="852" spans="1:41">
      <c r="A852" s="966">
        <v>845</v>
      </c>
      <c r="B852" s="967">
        <v>44174</v>
      </c>
      <c r="C852" s="966">
        <v>115000</v>
      </c>
      <c r="D852" s="966">
        <v>0</v>
      </c>
      <c r="E852" s="966">
        <v>0</v>
      </c>
      <c r="F852" s="966">
        <v>62472.69</v>
      </c>
      <c r="G852" s="966">
        <v>52049.677810000001</v>
      </c>
      <c r="H852" s="966">
        <v>8519.06</v>
      </c>
      <c r="I852" s="966">
        <v>13.5</v>
      </c>
      <c r="Q852" s="967">
        <v>44174</v>
      </c>
      <c r="R852" s="966">
        <v>115000</v>
      </c>
      <c r="S852" s="966">
        <v>0.48999999860991</v>
      </c>
      <c r="T852" s="969">
        <v>0</v>
      </c>
      <c r="U852" s="966">
        <v>8519.06</v>
      </c>
      <c r="W852" s="971" t="e">
        <f t="shared" si="16"/>
        <v>#DIV/0!</v>
      </c>
      <c r="Y852" s="967">
        <v>44252</v>
      </c>
      <c r="Z852" s="974">
        <f ca="1">H802*Valuation_Senario!$L$372</f>
        <v>12657.291688650001</v>
      </c>
      <c r="AA852" s="973">
        <v>15.74</v>
      </c>
      <c r="AM852" s="967">
        <v>44174</v>
      </c>
      <c r="AN852" s="974">
        <v>115000</v>
      </c>
      <c r="AO852" s="976">
        <v>0.48999999860991</v>
      </c>
    </row>
    <row r="853" spans="1:41">
      <c r="A853" s="966">
        <v>846</v>
      </c>
      <c r="B853" s="967">
        <v>44173</v>
      </c>
      <c r="C853" s="966">
        <v>114500</v>
      </c>
      <c r="D853" s="966">
        <v>0</v>
      </c>
      <c r="E853" s="966">
        <v>0</v>
      </c>
      <c r="F853" s="966">
        <v>62246.39</v>
      </c>
      <c r="G853" s="966">
        <v>51823.374862999997</v>
      </c>
      <c r="H853" s="966">
        <v>8519.06</v>
      </c>
      <c r="I853" s="966">
        <v>13.44</v>
      </c>
      <c r="Q853" s="967">
        <v>44173</v>
      </c>
      <c r="R853" s="966">
        <v>114500</v>
      </c>
      <c r="S853" s="966">
        <v>0.48999999860991</v>
      </c>
      <c r="T853" s="969">
        <v>0</v>
      </c>
      <c r="U853" s="966">
        <v>8519.06</v>
      </c>
      <c r="W853" s="971" t="e">
        <f t="shared" si="16"/>
        <v>#DIV/0!</v>
      </c>
      <c r="Y853" s="967">
        <v>44251</v>
      </c>
      <c r="Z853" s="974">
        <f ca="1">H803*Valuation_Senario!$L$372</f>
        <v>12658.348977689999</v>
      </c>
      <c r="AA853" s="973">
        <v>15.52</v>
      </c>
      <c r="AM853" s="967">
        <v>44173</v>
      </c>
      <c r="AN853" s="974">
        <v>114500</v>
      </c>
      <c r="AO853" s="976">
        <v>0.48999999860991</v>
      </c>
    </row>
    <row r="854" spans="1:41">
      <c r="A854" s="966">
        <v>847</v>
      </c>
      <c r="B854" s="967">
        <v>44172</v>
      </c>
      <c r="C854" s="966">
        <v>114300</v>
      </c>
      <c r="D854" s="966">
        <v>0</v>
      </c>
      <c r="E854" s="966">
        <v>0.41808600000000001</v>
      </c>
      <c r="F854" s="966">
        <v>62155.87</v>
      </c>
      <c r="G854" s="966">
        <v>51732.853684200003</v>
      </c>
      <c r="H854" s="966">
        <v>8519.06</v>
      </c>
      <c r="I854" s="966">
        <v>13.42</v>
      </c>
      <c r="Q854" s="967">
        <v>44172</v>
      </c>
      <c r="R854" s="966">
        <v>114300</v>
      </c>
      <c r="S854" s="966">
        <v>0.48999999860991</v>
      </c>
      <c r="T854" s="969">
        <v>-0.41808600000000001</v>
      </c>
      <c r="U854" s="966">
        <v>8519.06</v>
      </c>
      <c r="W854" s="971" t="e">
        <f t="shared" si="16"/>
        <v>#DIV/0!</v>
      </c>
      <c r="Y854" s="967">
        <v>44250</v>
      </c>
      <c r="Z854" s="974">
        <f ca="1">H804*Valuation_Senario!$L$372</f>
        <v>12659.391582159999</v>
      </c>
      <c r="AA854" s="973">
        <v>15.8</v>
      </c>
      <c r="AM854" s="967">
        <v>44172</v>
      </c>
      <c r="AN854" s="974">
        <v>114300</v>
      </c>
      <c r="AO854" s="976">
        <v>0.48999999860991</v>
      </c>
    </row>
    <row r="855" spans="1:41">
      <c r="A855" s="966">
        <v>848</v>
      </c>
      <c r="B855" s="967">
        <v>44169</v>
      </c>
      <c r="C855" s="966">
        <v>113900</v>
      </c>
      <c r="D855" s="966">
        <v>0</v>
      </c>
      <c r="E855" s="966">
        <v>0</v>
      </c>
      <c r="F855" s="966">
        <v>61974.82</v>
      </c>
      <c r="G855" s="966">
        <v>51551.8113266</v>
      </c>
      <c r="H855" s="966">
        <v>8519.06</v>
      </c>
      <c r="I855" s="966">
        <v>13.37</v>
      </c>
      <c r="Q855" s="967">
        <v>44169</v>
      </c>
      <c r="R855" s="966">
        <v>113900</v>
      </c>
      <c r="S855" s="966">
        <v>0.48999999860991</v>
      </c>
      <c r="T855" s="969">
        <v>0</v>
      </c>
      <c r="U855" s="966">
        <v>8519.06</v>
      </c>
      <c r="W855" s="971" t="e">
        <f t="shared" si="16"/>
        <v>#DIV/0!</v>
      </c>
      <c r="Y855" s="967">
        <v>44249</v>
      </c>
      <c r="Z855" s="974">
        <f ca="1">H805*Valuation_Senario!$L$372</f>
        <v>12660.43418663</v>
      </c>
      <c r="AA855" s="973">
        <v>15.89</v>
      </c>
      <c r="AM855" s="967">
        <v>44169</v>
      </c>
      <c r="AN855" s="974">
        <v>113900</v>
      </c>
      <c r="AO855" s="976">
        <v>0.48999999860991</v>
      </c>
    </row>
    <row r="856" spans="1:41">
      <c r="A856" s="966">
        <v>849</v>
      </c>
      <c r="B856" s="967">
        <v>44168</v>
      </c>
      <c r="C856" s="966">
        <v>114700</v>
      </c>
      <c r="D856" s="966">
        <v>40.226999999999997</v>
      </c>
      <c r="E856" s="966">
        <v>40.226999999999997</v>
      </c>
      <c r="F856" s="966">
        <v>62336.91</v>
      </c>
      <c r="G856" s="966">
        <v>51913.896041799999</v>
      </c>
      <c r="H856" s="966">
        <v>8519.06</v>
      </c>
      <c r="I856" s="966">
        <v>13.46</v>
      </c>
      <c r="Q856" s="967">
        <v>44168</v>
      </c>
      <c r="R856" s="966">
        <v>114700</v>
      </c>
      <c r="S856" s="966">
        <v>0.48999999860991</v>
      </c>
      <c r="T856" s="969">
        <v>0</v>
      </c>
      <c r="U856" s="966">
        <v>8519.06</v>
      </c>
      <c r="W856" s="971" t="e">
        <f t="shared" si="16"/>
        <v>#DIV/0!</v>
      </c>
      <c r="Y856" s="967">
        <v>44246</v>
      </c>
      <c r="Z856" s="974">
        <f ca="1">H806*Valuation_Senario!$L$372</f>
        <v>12663.576684609998</v>
      </c>
      <c r="AA856" s="973">
        <v>15.96</v>
      </c>
      <c r="AM856" s="967">
        <v>44168</v>
      </c>
      <c r="AN856" s="974">
        <v>114700</v>
      </c>
      <c r="AO856" s="976">
        <v>0.48999999860991</v>
      </c>
    </row>
    <row r="857" spans="1:41">
      <c r="A857" s="966">
        <v>850</v>
      </c>
      <c r="B857" s="967">
        <v>44167</v>
      </c>
      <c r="C857" s="966">
        <v>114000</v>
      </c>
      <c r="D857" s="966">
        <v>0</v>
      </c>
      <c r="E857" s="966">
        <v>0</v>
      </c>
      <c r="F857" s="966">
        <v>62020.08</v>
      </c>
      <c r="G857" s="966">
        <v>51597.071916000001</v>
      </c>
      <c r="H857" s="966">
        <v>8519.06</v>
      </c>
      <c r="I857" s="966">
        <v>13.38</v>
      </c>
      <c r="Q857" s="967">
        <v>44167</v>
      </c>
      <c r="R857" s="966">
        <v>114000</v>
      </c>
      <c r="S857" s="966">
        <v>0.48999999860991</v>
      </c>
      <c r="T857" s="969">
        <v>0</v>
      </c>
      <c r="U857" s="966">
        <v>8519.06</v>
      </c>
      <c r="W857" s="971" t="e">
        <f t="shared" si="16"/>
        <v>#DIV/0!</v>
      </c>
      <c r="Y857" s="967">
        <v>44245</v>
      </c>
      <c r="Z857" s="974">
        <f ca="1">H807*Valuation_Senario!$L$372</f>
        <v>12664.619289079999</v>
      </c>
      <c r="AA857" s="973">
        <v>16.170000000000002</v>
      </c>
      <c r="AM857" s="967">
        <v>44167</v>
      </c>
      <c r="AN857" s="974">
        <v>114000</v>
      </c>
      <c r="AO857" s="976">
        <v>0.48999999860991</v>
      </c>
    </row>
    <row r="858" spans="1:41">
      <c r="A858" s="966">
        <v>851</v>
      </c>
      <c r="B858" s="967">
        <v>44166</v>
      </c>
      <c r="C858" s="966">
        <v>116000</v>
      </c>
      <c r="D858" s="966">
        <v>0</v>
      </c>
      <c r="E858" s="966">
        <v>0</v>
      </c>
      <c r="F858" s="966">
        <v>62925.3</v>
      </c>
      <c r="G858" s="966">
        <v>52502.283704000001</v>
      </c>
      <c r="H858" s="966">
        <v>8519.06</v>
      </c>
      <c r="I858" s="966">
        <v>13.62</v>
      </c>
      <c r="Q858" s="967">
        <v>44166</v>
      </c>
      <c r="R858" s="966">
        <v>116000</v>
      </c>
      <c r="S858" s="966">
        <v>0.48999999860991</v>
      </c>
      <c r="T858" s="969">
        <v>0</v>
      </c>
      <c r="U858" s="966">
        <v>8519.06</v>
      </c>
      <c r="W858" s="971" t="e">
        <f t="shared" si="16"/>
        <v>#DIV/0!</v>
      </c>
      <c r="Y858" s="967">
        <v>44244</v>
      </c>
      <c r="Z858" s="974">
        <f ca="1">H808*Valuation_Senario!$L$372</f>
        <v>12665.661893549999</v>
      </c>
      <c r="AA858" s="973">
        <v>16</v>
      </c>
      <c r="AM858" s="967">
        <v>44166</v>
      </c>
      <c r="AN858" s="974">
        <v>116000</v>
      </c>
      <c r="AO858" s="976">
        <v>0.48999999860991</v>
      </c>
    </row>
    <row r="859" spans="1:41">
      <c r="A859" s="966">
        <v>852</v>
      </c>
      <c r="B859" s="967">
        <v>44165</v>
      </c>
      <c r="C859" s="966">
        <v>116000</v>
      </c>
      <c r="D859" s="966">
        <v>0</v>
      </c>
      <c r="E859" s="966">
        <v>0</v>
      </c>
      <c r="F859" s="966">
        <v>62925.3</v>
      </c>
      <c r="G859" s="966">
        <v>52502.283704000001</v>
      </c>
      <c r="H859" s="966">
        <v>8519.06</v>
      </c>
      <c r="I859" s="966">
        <v>13.62</v>
      </c>
      <c r="Q859" s="967">
        <v>44165</v>
      </c>
      <c r="R859" s="966">
        <v>116000</v>
      </c>
      <c r="S859" s="966">
        <v>0.48999999860991</v>
      </c>
      <c r="T859" s="969">
        <v>0</v>
      </c>
      <c r="U859" s="966">
        <v>8519.06</v>
      </c>
      <c r="W859" s="971" t="e">
        <f t="shared" si="16"/>
        <v>#DIV/0!</v>
      </c>
      <c r="Y859" s="967">
        <v>44236</v>
      </c>
      <c r="Z859" s="974">
        <f ca="1">H809*Valuation_Senario!$L$372</f>
        <v>12674.04678302</v>
      </c>
      <c r="AA859" s="973">
        <v>15</v>
      </c>
      <c r="AM859" s="967">
        <v>44165</v>
      </c>
      <c r="AN859" s="974">
        <v>116000</v>
      </c>
      <c r="AO859" s="976">
        <v>0.48999999860991</v>
      </c>
    </row>
    <row r="860" spans="1:41">
      <c r="A860" s="966">
        <v>853</v>
      </c>
      <c r="B860" s="967">
        <v>44162</v>
      </c>
      <c r="C860" s="966">
        <v>115500</v>
      </c>
      <c r="D860" s="966">
        <v>0</v>
      </c>
      <c r="E860" s="966">
        <v>0</v>
      </c>
      <c r="F860" s="966">
        <v>62698.99</v>
      </c>
      <c r="G860" s="966">
        <v>52275.980756999998</v>
      </c>
      <c r="H860" s="966">
        <v>8519.06</v>
      </c>
      <c r="I860" s="966">
        <v>13.56</v>
      </c>
      <c r="Q860" s="967">
        <v>44162</v>
      </c>
      <c r="R860" s="966">
        <v>115500</v>
      </c>
      <c r="S860" s="966">
        <v>0.48999999860991</v>
      </c>
      <c r="T860" s="969">
        <v>0</v>
      </c>
      <c r="U860" s="966">
        <v>8519.06</v>
      </c>
      <c r="W860" s="971" t="e">
        <f t="shared" si="16"/>
        <v>#DIV/0!</v>
      </c>
      <c r="Y860" s="967">
        <v>44235</v>
      </c>
      <c r="Z860" s="974">
        <f ca="1">H810*Valuation_Senario!$L$372</f>
        <v>12675.104072059999</v>
      </c>
      <c r="AA860" s="973">
        <v>14.89</v>
      </c>
      <c r="AM860" s="967">
        <v>44162</v>
      </c>
      <c r="AN860" s="974">
        <v>115500</v>
      </c>
      <c r="AO860" s="976">
        <v>0.48999999860991</v>
      </c>
    </row>
    <row r="861" spans="1:41">
      <c r="A861" s="966">
        <v>854</v>
      </c>
      <c r="B861" s="967">
        <v>44161</v>
      </c>
      <c r="C861" s="966">
        <v>112800</v>
      </c>
      <c r="D861" s="966">
        <v>1.12E-2</v>
      </c>
      <c r="E861" s="966">
        <v>0</v>
      </c>
      <c r="F861" s="966">
        <v>61476.959999999999</v>
      </c>
      <c r="G861" s="966">
        <v>51053.944843199999</v>
      </c>
      <c r="H861" s="966">
        <v>8519.06</v>
      </c>
      <c r="I861" s="966">
        <v>13.24</v>
      </c>
      <c r="Q861" s="967">
        <v>44161</v>
      </c>
      <c r="R861" s="966">
        <v>112800</v>
      </c>
      <c r="S861" s="966">
        <v>0.48999977796164002</v>
      </c>
      <c r="T861" s="969">
        <v>1.12E-2</v>
      </c>
      <c r="U861" s="966">
        <v>8519.06</v>
      </c>
      <c r="W861" s="971" t="e">
        <f t="shared" si="16"/>
        <v>#DIV/0!</v>
      </c>
      <c r="Y861" s="967">
        <v>44232</v>
      </c>
      <c r="Z861" s="974">
        <f ca="1">H811*Valuation_Senario!$L$372</f>
        <v>12678.246570039999</v>
      </c>
      <c r="AA861" s="973">
        <v>15.12</v>
      </c>
      <c r="AM861" s="967">
        <v>44161</v>
      </c>
      <c r="AN861" s="974">
        <v>112800</v>
      </c>
      <c r="AO861" s="976">
        <v>0.48999977796164002</v>
      </c>
    </row>
    <row r="862" spans="1:41">
      <c r="A862" s="966">
        <v>855</v>
      </c>
      <c r="B862" s="967">
        <v>44160</v>
      </c>
      <c r="C862" s="966">
        <v>112000</v>
      </c>
      <c r="D862" s="966">
        <v>0</v>
      </c>
      <c r="E862" s="966">
        <v>0</v>
      </c>
      <c r="F862" s="966">
        <v>61114.87</v>
      </c>
      <c r="G862" s="966">
        <v>50691.860128</v>
      </c>
      <c r="H862" s="966">
        <v>8519.06</v>
      </c>
      <c r="I862" s="966">
        <v>13.15</v>
      </c>
      <c r="Q862" s="967">
        <v>44160</v>
      </c>
      <c r="R862" s="966">
        <v>112000</v>
      </c>
      <c r="S862" s="966">
        <v>0.48999999860991</v>
      </c>
      <c r="T862" s="969">
        <v>0</v>
      </c>
      <c r="U862" s="966">
        <v>8519.06</v>
      </c>
      <c r="W862" s="971" t="e">
        <f t="shared" si="16"/>
        <v>#DIV/0!</v>
      </c>
      <c r="Y862" s="967">
        <v>44231</v>
      </c>
      <c r="Z862" s="974">
        <f ca="1">H812*Valuation_Senario!$L$372</f>
        <v>12679.289174509999</v>
      </c>
      <c r="AA862" s="973">
        <v>14.88</v>
      </c>
      <c r="AM862" s="967">
        <v>44160</v>
      </c>
      <c r="AN862" s="974">
        <v>112000</v>
      </c>
      <c r="AO862" s="976">
        <v>0.48999999860991</v>
      </c>
    </row>
    <row r="863" spans="1:41">
      <c r="A863" s="966">
        <v>856</v>
      </c>
      <c r="B863" s="967">
        <v>44159</v>
      </c>
      <c r="C863" s="966">
        <v>112000</v>
      </c>
      <c r="D863" s="966">
        <v>8.6564000000000002E-2</v>
      </c>
      <c r="E863" s="966">
        <v>0</v>
      </c>
      <c r="F863" s="966">
        <v>61114.87</v>
      </c>
      <c r="G863" s="966">
        <v>50691.860128</v>
      </c>
      <c r="H863" s="966">
        <v>8519.06</v>
      </c>
      <c r="I863" s="966">
        <v>13.15</v>
      </c>
      <c r="Q863" s="967">
        <v>44159</v>
      </c>
      <c r="R863" s="966">
        <v>112000</v>
      </c>
      <c r="S863" s="966">
        <v>0.48999832168305002</v>
      </c>
      <c r="T863" s="969">
        <v>8.6564000000000002E-2</v>
      </c>
      <c r="U863" s="966">
        <v>8519.06</v>
      </c>
      <c r="W863" s="971" t="e">
        <f t="shared" si="16"/>
        <v>#DIV/0!</v>
      </c>
      <c r="Y863" s="967">
        <v>44230</v>
      </c>
      <c r="Z863" s="974">
        <f ca="1">H813*Valuation_Senario!$L$372</f>
        <v>12680.346463549999</v>
      </c>
      <c r="AA863" s="973">
        <v>14.77</v>
      </c>
      <c r="AM863" s="967">
        <v>44159</v>
      </c>
      <c r="AN863" s="974">
        <v>112000</v>
      </c>
      <c r="AO863" s="976">
        <v>0.48999832168305002</v>
      </c>
    </row>
    <row r="864" spans="1:41">
      <c r="A864" s="966">
        <v>857</v>
      </c>
      <c r="B864" s="967">
        <v>44158</v>
      </c>
      <c r="C864" s="966">
        <v>113200</v>
      </c>
      <c r="D864" s="966">
        <v>0</v>
      </c>
      <c r="E864" s="966">
        <v>1.1299999999999999E-2</v>
      </c>
      <c r="F864" s="966">
        <v>61658</v>
      </c>
      <c r="G864" s="966">
        <v>51234.987200800002</v>
      </c>
      <c r="H864" s="966">
        <v>8519.06</v>
      </c>
      <c r="I864" s="966">
        <v>13.29</v>
      </c>
      <c r="Q864" s="967">
        <v>44158</v>
      </c>
      <c r="R864" s="966">
        <v>113200</v>
      </c>
      <c r="S864" s="966">
        <v>0.48999999860991</v>
      </c>
      <c r="T864" s="969">
        <v>-1.1299999999999999E-2</v>
      </c>
      <c r="U864" s="966">
        <v>8519.06</v>
      </c>
      <c r="W864" s="971" t="e">
        <f t="shared" si="16"/>
        <v>#DIV/0!</v>
      </c>
      <c r="Y864" s="967">
        <v>44229</v>
      </c>
      <c r="Z864" s="974">
        <f ca="1">H814*Valuation_Senario!$L$372</f>
        <v>12681.38906802</v>
      </c>
      <c r="AA864" s="973">
        <v>14.82</v>
      </c>
      <c r="AM864" s="967">
        <v>44158</v>
      </c>
      <c r="AN864" s="974">
        <v>113200</v>
      </c>
      <c r="AO864" s="976">
        <v>0.48999999860991</v>
      </c>
    </row>
    <row r="865" spans="1:41">
      <c r="A865" s="966">
        <v>858</v>
      </c>
      <c r="B865" s="967">
        <v>44155</v>
      </c>
      <c r="C865" s="966">
        <v>110800</v>
      </c>
      <c r="D865" s="966">
        <v>0</v>
      </c>
      <c r="E865" s="966">
        <v>0</v>
      </c>
      <c r="F865" s="966">
        <v>60571.75</v>
      </c>
      <c r="G865" s="966">
        <v>50148.733055199998</v>
      </c>
      <c r="H865" s="966">
        <v>8519.06</v>
      </c>
      <c r="I865" s="966">
        <v>13.01</v>
      </c>
      <c r="Q865" s="967">
        <v>44155</v>
      </c>
      <c r="R865" s="966">
        <v>110800</v>
      </c>
      <c r="S865" s="966">
        <v>0.48999999860991</v>
      </c>
      <c r="T865" s="969">
        <v>0</v>
      </c>
      <c r="U865" s="966">
        <v>8519.06</v>
      </c>
      <c r="W865" s="971" t="e">
        <f t="shared" si="16"/>
        <v>#DIV/0!</v>
      </c>
      <c r="Y865" s="967">
        <v>44228</v>
      </c>
      <c r="Z865" s="974">
        <f ca="1">H815*Valuation_Senario!$L$372</f>
        <v>12682.446357059998</v>
      </c>
      <c r="AA865" s="973">
        <v>14.32</v>
      </c>
      <c r="AM865" s="967">
        <v>44155</v>
      </c>
      <c r="AN865" s="974">
        <v>110800</v>
      </c>
      <c r="AO865" s="976">
        <v>0.48999999860991</v>
      </c>
    </row>
    <row r="866" spans="1:41">
      <c r="A866" s="966">
        <v>859</v>
      </c>
      <c r="B866" s="967">
        <v>44154</v>
      </c>
      <c r="C866" s="966">
        <v>112000</v>
      </c>
      <c r="D866" s="966">
        <v>0</v>
      </c>
      <c r="E866" s="966">
        <v>8.4096000000000004E-2</v>
      </c>
      <c r="F866" s="966">
        <v>61114.87</v>
      </c>
      <c r="G866" s="966">
        <v>50691.860128</v>
      </c>
      <c r="H866" s="966">
        <v>8519.06</v>
      </c>
      <c r="I866" s="966">
        <v>13.15</v>
      </c>
      <c r="Q866" s="967">
        <v>44154</v>
      </c>
      <c r="R866" s="966">
        <v>112000</v>
      </c>
      <c r="S866" s="966">
        <v>0.48999999860991</v>
      </c>
      <c r="T866" s="969">
        <v>-8.4096000000000004E-2</v>
      </c>
      <c r="U866" s="966">
        <v>8519.06</v>
      </c>
      <c r="W866" s="971" t="e">
        <f t="shared" si="16"/>
        <v>#DIV/0!</v>
      </c>
      <c r="Y866" s="967">
        <v>44225</v>
      </c>
      <c r="Z866" s="974">
        <f ca="1">H816*Valuation_Senario!$L$372</f>
        <v>12491.121094530001</v>
      </c>
      <c r="AA866" s="973">
        <v>15.6</v>
      </c>
      <c r="AM866" s="967">
        <v>44154</v>
      </c>
      <c r="AN866" s="974">
        <v>112000</v>
      </c>
      <c r="AO866" s="976">
        <v>0.48999999860991</v>
      </c>
    </row>
    <row r="867" spans="1:41">
      <c r="A867" s="966">
        <v>860</v>
      </c>
      <c r="B867" s="967">
        <v>44153</v>
      </c>
      <c r="C867" s="966">
        <v>110600</v>
      </c>
      <c r="D867" s="966">
        <v>2.2339999999999999E-2</v>
      </c>
      <c r="E867" s="966">
        <v>0</v>
      </c>
      <c r="F867" s="966">
        <v>60481.22</v>
      </c>
      <c r="G867" s="966">
        <v>50058.211876399997</v>
      </c>
      <c r="H867" s="966">
        <v>8519.06</v>
      </c>
      <c r="I867" s="966">
        <v>12.98</v>
      </c>
      <c r="Q867" s="967">
        <v>44153</v>
      </c>
      <c r="R867" s="966">
        <v>110600</v>
      </c>
      <c r="S867" s="966">
        <v>0.48999955731337003</v>
      </c>
      <c r="T867" s="969">
        <v>2.2339999999999999E-2</v>
      </c>
      <c r="U867" s="966">
        <v>8519.06</v>
      </c>
      <c r="W867" s="971" t="e">
        <f t="shared" si="16"/>
        <v>#DIV/0!</v>
      </c>
      <c r="Y867" s="967">
        <v>44224</v>
      </c>
      <c r="Z867" s="974">
        <f ca="1">H817*Valuation_Senario!$L$372</f>
        <v>12492.163698999999</v>
      </c>
      <c r="AA867" s="973">
        <v>14.6</v>
      </c>
      <c r="AM867" s="967">
        <v>44153</v>
      </c>
      <c r="AN867" s="974">
        <v>110600</v>
      </c>
      <c r="AO867" s="976">
        <v>0.48999955731337003</v>
      </c>
    </row>
    <row r="868" spans="1:41">
      <c r="A868" s="966">
        <v>861</v>
      </c>
      <c r="B868" s="967">
        <v>44152</v>
      </c>
      <c r="C868" s="966">
        <v>112000</v>
      </c>
      <c r="D868" s="966">
        <v>4.3880000000000002E-2</v>
      </c>
      <c r="E868" s="966">
        <v>0</v>
      </c>
      <c r="F868" s="966">
        <v>61114.87</v>
      </c>
      <c r="G868" s="966">
        <v>50691.860128</v>
      </c>
      <c r="H868" s="966">
        <v>8519.06</v>
      </c>
      <c r="I868" s="966">
        <v>13.15</v>
      </c>
      <c r="Q868" s="967">
        <v>44152</v>
      </c>
      <c r="R868" s="966">
        <v>112000</v>
      </c>
      <c r="S868" s="966">
        <v>0.48999911601682999</v>
      </c>
      <c r="T868" s="969">
        <v>4.3880000000000002E-2</v>
      </c>
      <c r="U868" s="966">
        <v>8519.06</v>
      </c>
      <c r="W868" s="971" t="e">
        <f t="shared" si="16"/>
        <v>#DIV/0!</v>
      </c>
      <c r="Y868" s="967">
        <v>44223</v>
      </c>
      <c r="Z868" s="974">
        <f ca="1">H818*Valuation_Senario!$L$372</f>
        <v>12493.206303469999</v>
      </c>
      <c r="AA868" s="973">
        <v>15.69</v>
      </c>
      <c r="AM868" s="967">
        <v>44152</v>
      </c>
      <c r="AN868" s="974">
        <v>112000</v>
      </c>
      <c r="AO868" s="976">
        <v>0.48999911601682999</v>
      </c>
    </row>
    <row r="869" spans="1:41">
      <c r="A869" s="966">
        <v>862</v>
      </c>
      <c r="B869" s="967">
        <v>44151</v>
      </c>
      <c r="C869" s="966">
        <v>109700</v>
      </c>
      <c r="D869" s="966">
        <v>0</v>
      </c>
      <c r="E869" s="966">
        <v>1.1259999999999999E-2</v>
      </c>
      <c r="F869" s="966">
        <v>60073.88</v>
      </c>
      <c r="G869" s="966">
        <v>49650.866571799997</v>
      </c>
      <c r="H869" s="966">
        <v>8519.06</v>
      </c>
      <c r="I869" s="966">
        <v>12.88</v>
      </c>
      <c r="Q869" s="967">
        <v>44151</v>
      </c>
      <c r="R869" s="966">
        <v>109700</v>
      </c>
      <c r="S869" s="966">
        <v>0.48999999860991</v>
      </c>
      <c r="T869" s="969">
        <v>-1.1259999999999999E-2</v>
      </c>
      <c r="U869" s="966">
        <v>8519.06</v>
      </c>
      <c r="W869" s="971" t="e">
        <f t="shared" si="16"/>
        <v>#DIV/0!</v>
      </c>
      <c r="Y869" s="967">
        <v>44222</v>
      </c>
      <c r="Z869" s="974">
        <f ca="1">H819*Valuation_Senario!$L$372</f>
        <v>12494.248907939998</v>
      </c>
      <c r="AA869" s="973">
        <v>15.51</v>
      </c>
      <c r="AM869" s="967">
        <v>44151</v>
      </c>
      <c r="AN869" s="974">
        <v>109700</v>
      </c>
      <c r="AO869" s="976">
        <v>0.48999999860991</v>
      </c>
    </row>
    <row r="870" spans="1:41">
      <c r="A870" s="966">
        <v>863</v>
      </c>
      <c r="B870" s="967">
        <v>44148</v>
      </c>
      <c r="C870" s="966">
        <v>111100</v>
      </c>
      <c r="D870" s="966">
        <v>0</v>
      </c>
      <c r="E870" s="966">
        <v>2.232E-2</v>
      </c>
      <c r="F870" s="966">
        <v>60707.53</v>
      </c>
      <c r="G870" s="966">
        <v>50284.514823400001</v>
      </c>
      <c r="H870" s="966">
        <v>8519.06</v>
      </c>
      <c r="I870" s="966">
        <v>13.04</v>
      </c>
      <c r="Q870" s="967">
        <v>44148</v>
      </c>
      <c r="R870" s="966">
        <v>111100</v>
      </c>
      <c r="S870" s="966">
        <v>0.48999999860991</v>
      </c>
      <c r="T870" s="969">
        <v>-2.232E-2</v>
      </c>
      <c r="U870" s="966">
        <v>8519.06</v>
      </c>
      <c r="W870" s="971" t="e">
        <f t="shared" si="16"/>
        <v>#DIV/0!</v>
      </c>
      <c r="Y870" s="967">
        <v>44221</v>
      </c>
      <c r="Z870" s="974">
        <f ca="1">H820*Valuation_Senario!$L$372</f>
        <v>12495.27682784</v>
      </c>
      <c r="AA870" s="973">
        <v>15.51</v>
      </c>
      <c r="AM870" s="967">
        <v>44148</v>
      </c>
      <c r="AN870" s="974">
        <v>111100</v>
      </c>
      <c r="AO870" s="976">
        <v>0.48999999860991</v>
      </c>
    </row>
    <row r="871" spans="1:41">
      <c r="A871" s="966">
        <v>864</v>
      </c>
      <c r="B871" s="967">
        <v>44147</v>
      </c>
      <c r="C871" s="966">
        <v>111100</v>
      </c>
      <c r="D871" s="966">
        <v>0</v>
      </c>
      <c r="E871" s="966">
        <v>4.4200000000000003E-2</v>
      </c>
      <c r="F871" s="966">
        <v>60707.53</v>
      </c>
      <c r="G871" s="966">
        <v>50284.514823400001</v>
      </c>
      <c r="H871" s="966">
        <v>8519.06</v>
      </c>
      <c r="I871" s="966">
        <v>13.04</v>
      </c>
      <c r="Q871" s="967">
        <v>44147</v>
      </c>
      <c r="R871" s="966">
        <v>111100</v>
      </c>
      <c r="S871" s="966">
        <v>0.48999999860991</v>
      </c>
      <c r="T871" s="969">
        <v>-4.4200000000000003E-2</v>
      </c>
      <c r="U871" s="966">
        <v>8519.06</v>
      </c>
      <c r="W871" s="971" t="e">
        <f t="shared" si="16"/>
        <v>#DIV/0!</v>
      </c>
      <c r="Y871" s="967">
        <v>44218</v>
      </c>
      <c r="Z871" s="974">
        <f ca="1">H821*Valuation_Senario!$L$372</f>
        <v>12498.404641249999</v>
      </c>
      <c r="AA871" s="973">
        <v>14.94</v>
      </c>
      <c r="AM871" s="967">
        <v>44147</v>
      </c>
      <c r="AN871" s="974">
        <v>111100</v>
      </c>
      <c r="AO871" s="976">
        <v>0.48999999860991</v>
      </c>
    </row>
    <row r="872" spans="1:41">
      <c r="A872" s="966">
        <v>865</v>
      </c>
      <c r="B872" s="967">
        <v>44146</v>
      </c>
      <c r="C872" s="966">
        <v>108000</v>
      </c>
      <c r="D872" s="966">
        <v>0</v>
      </c>
      <c r="E872" s="966">
        <v>0.288078</v>
      </c>
      <c r="F872" s="966">
        <v>59304.45</v>
      </c>
      <c r="G872" s="966">
        <v>48881.436551999999</v>
      </c>
      <c r="H872" s="966">
        <v>8519.06</v>
      </c>
      <c r="I872" s="966">
        <v>12.68</v>
      </c>
      <c r="Q872" s="967">
        <v>44146</v>
      </c>
      <c r="R872" s="966">
        <v>108000</v>
      </c>
      <c r="S872" s="966">
        <v>0.48999999860991</v>
      </c>
      <c r="T872" s="969">
        <v>-0.288078</v>
      </c>
      <c r="U872" s="966">
        <v>8519.06</v>
      </c>
      <c r="W872" s="971" t="e">
        <f t="shared" si="16"/>
        <v>#DIV/0!</v>
      </c>
      <c r="Y872" s="967">
        <v>44217</v>
      </c>
      <c r="Z872" s="974">
        <f ca="1">H822*Valuation_Senario!$L$372</f>
        <v>12499.447245719997</v>
      </c>
      <c r="AA872" s="973">
        <v>14.69</v>
      </c>
      <c r="AM872" s="967">
        <v>44146</v>
      </c>
      <c r="AN872" s="974">
        <v>108000</v>
      </c>
      <c r="AO872" s="976">
        <v>0.48999999860991</v>
      </c>
    </row>
    <row r="873" spans="1:41">
      <c r="A873" s="966">
        <v>866</v>
      </c>
      <c r="B873" s="967">
        <v>44145</v>
      </c>
      <c r="C873" s="966">
        <v>106000</v>
      </c>
      <c r="D873" s="966">
        <v>0</v>
      </c>
      <c r="E873" s="966">
        <v>0</v>
      </c>
      <c r="F873" s="966">
        <v>58399.24</v>
      </c>
      <c r="G873" s="966">
        <v>47976.224763999999</v>
      </c>
      <c r="H873" s="966">
        <v>8519.06</v>
      </c>
      <c r="I873" s="966">
        <v>12.44</v>
      </c>
      <c r="Q873" s="967">
        <v>44145</v>
      </c>
      <c r="R873" s="966">
        <v>106000</v>
      </c>
      <c r="S873" s="966">
        <v>0.48999999860991</v>
      </c>
      <c r="T873" s="969">
        <v>0</v>
      </c>
      <c r="U873" s="966">
        <v>8519.06</v>
      </c>
      <c r="W873" s="971" t="e">
        <f t="shared" si="16"/>
        <v>#DIV/0!</v>
      </c>
      <c r="Y873" s="967">
        <v>44216</v>
      </c>
      <c r="Z873" s="974">
        <f ca="1">H823*Valuation_Senario!$L$372</f>
        <v>12500.489850189999</v>
      </c>
      <c r="AA873" s="973">
        <v>14.43</v>
      </c>
      <c r="AM873" s="967">
        <v>44145</v>
      </c>
      <c r="AN873" s="974">
        <v>106000</v>
      </c>
      <c r="AO873" s="976">
        <v>0.48999999860991</v>
      </c>
    </row>
    <row r="874" spans="1:41">
      <c r="A874" s="966">
        <v>867</v>
      </c>
      <c r="B874" s="967">
        <v>44144</v>
      </c>
      <c r="C874" s="966">
        <v>105700</v>
      </c>
      <c r="D874" s="966">
        <v>0</v>
      </c>
      <c r="E874" s="966">
        <v>0</v>
      </c>
      <c r="F874" s="966">
        <v>58263.46</v>
      </c>
      <c r="G874" s="966">
        <v>47840.442995799996</v>
      </c>
      <c r="H874" s="966">
        <v>8519.06</v>
      </c>
      <c r="I874" s="966">
        <v>12.41</v>
      </c>
      <c r="Q874" s="967">
        <v>44144</v>
      </c>
      <c r="R874" s="966">
        <v>105700</v>
      </c>
      <c r="S874" s="966">
        <v>0.48999999860991</v>
      </c>
      <c r="T874" s="969">
        <v>0</v>
      </c>
      <c r="U874" s="966">
        <v>8519.06</v>
      </c>
      <c r="W874" s="971" t="e">
        <f t="shared" si="16"/>
        <v>#DIV/0!</v>
      </c>
      <c r="Y874" s="967">
        <v>44215</v>
      </c>
      <c r="Z874" s="974">
        <f ca="1">H824*Valuation_Senario!$L$372</f>
        <v>12501.532454659999</v>
      </c>
      <c r="AA874" s="973">
        <v>14.1</v>
      </c>
      <c r="AM874" s="967">
        <v>44144</v>
      </c>
      <c r="AN874" s="974">
        <v>105700</v>
      </c>
      <c r="AO874" s="976">
        <v>0.48999999860991</v>
      </c>
    </row>
    <row r="875" spans="1:41">
      <c r="A875" s="966">
        <v>868</v>
      </c>
      <c r="B875" s="967">
        <v>44141</v>
      </c>
      <c r="C875" s="966">
        <v>105000</v>
      </c>
      <c r="D875" s="966">
        <v>0</v>
      </c>
      <c r="E875" s="966">
        <v>0</v>
      </c>
      <c r="F875" s="966">
        <v>57946.63</v>
      </c>
      <c r="G875" s="966">
        <v>47523.618869999998</v>
      </c>
      <c r="H875" s="966">
        <v>8519.06</v>
      </c>
      <c r="I875" s="966">
        <v>12.33</v>
      </c>
      <c r="Q875" s="967">
        <v>44141</v>
      </c>
      <c r="R875" s="966">
        <v>105000</v>
      </c>
      <c r="S875" s="966">
        <v>0.48999999860991</v>
      </c>
      <c r="T875" s="969">
        <v>0</v>
      </c>
      <c r="U875" s="966">
        <v>8519.06</v>
      </c>
      <c r="W875" s="971" t="e">
        <f t="shared" si="16"/>
        <v>#DIV/0!</v>
      </c>
      <c r="Y875" s="967">
        <v>44214</v>
      </c>
      <c r="Z875" s="974">
        <f ca="1">H825*Valuation_Senario!$L$372</f>
        <v>12502.57505913</v>
      </c>
      <c r="AA875" s="973">
        <v>14.85</v>
      </c>
      <c r="AM875" s="967">
        <v>44141</v>
      </c>
      <c r="AN875" s="974">
        <v>105000</v>
      </c>
      <c r="AO875" s="976">
        <v>0.48999999860991</v>
      </c>
    </row>
    <row r="876" spans="1:41">
      <c r="A876" s="966">
        <v>869</v>
      </c>
      <c r="B876" s="967">
        <v>44140</v>
      </c>
      <c r="C876" s="966">
        <v>106800</v>
      </c>
      <c r="D876" s="966">
        <v>7.6113157999999999</v>
      </c>
      <c r="E876" s="966">
        <v>7.6113157999999999</v>
      </c>
      <c r="F876" s="966">
        <v>58761.32</v>
      </c>
      <c r="G876" s="966">
        <v>48338.309479199997</v>
      </c>
      <c r="H876" s="966">
        <v>8519.06</v>
      </c>
      <c r="I876" s="966">
        <v>12.54</v>
      </c>
      <c r="Q876" s="967">
        <v>44140</v>
      </c>
      <c r="R876" s="966">
        <v>106800</v>
      </c>
      <c r="S876" s="966">
        <v>0.48999999860991</v>
      </c>
      <c r="T876" s="969">
        <v>0</v>
      </c>
      <c r="U876" s="966">
        <v>8519.06</v>
      </c>
      <c r="W876" s="971" t="e">
        <f t="shared" si="16"/>
        <v>#DIV/0!</v>
      </c>
      <c r="Y876" s="967">
        <v>44211</v>
      </c>
      <c r="Z876" s="974">
        <f ca="1">H826*Valuation_Senario!$L$372</f>
        <v>12505.702872539998</v>
      </c>
      <c r="AA876" s="973">
        <v>15.01</v>
      </c>
      <c r="AM876" s="967">
        <v>44140</v>
      </c>
      <c r="AN876" s="974">
        <v>106800</v>
      </c>
      <c r="AO876" s="976">
        <v>0.48999999860991</v>
      </c>
    </row>
    <row r="877" spans="1:41">
      <c r="A877" s="966">
        <v>870</v>
      </c>
      <c r="B877" s="967">
        <v>44139</v>
      </c>
      <c r="C877" s="966">
        <v>106800</v>
      </c>
      <c r="D877" s="966">
        <v>0</v>
      </c>
      <c r="E877" s="966">
        <v>0</v>
      </c>
      <c r="F877" s="966">
        <v>58761.32</v>
      </c>
      <c r="G877" s="966">
        <v>48338.309479199997</v>
      </c>
      <c r="H877" s="966">
        <v>8519.06</v>
      </c>
      <c r="I877" s="966">
        <v>12.54</v>
      </c>
      <c r="Q877" s="967">
        <v>44139</v>
      </c>
      <c r="R877" s="966">
        <v>106800</v>
      </c>
      <c r="S877" s="966">
        <v>0.48999999860991</v>
      </c>
      <c r="T877" s="969">
        <v>0</v>
      </c>
      <c r="U877" s="966">
        <v>8519.06</v>
      </c>
      <c r="W877" s="971" t="e">
        <f t="shared" si="16"/>
        <v>#DIV/0!</v>
      </c>
      <c r="Y877" s="967">
        <v>44210</v>
      </c>
      <c r="Z877" s="974">
        <f ca="1">H827*Valuation_Senario!$L$372</f>
        <v>12506.745477009999</v>
      </c>
      <c r="AA877" s="973">
        <v>15.02</v>
      </c>
      <c r="AM877" s="967">
        <v>44139</v>
      </c>
      <c r="AN877" s="974">
        <v>106800</v>
      </c>
      <c r="AO877" s="976">
        <v>0.48999999860991</v>
      </c>
    </row>
    <row r="878" spans="1:41">
      <c r="A878" s="966">
        <v>871</v>
      </c>
      <c r="B878" s="967">
        <v>44138</v>
      </c>
      <c r="C878" s="966">
        <v>107200</v>
      </c>
      <c r="D878" s="966">
        <v>7.5846562000000004</v>
      </c>
      <c r="E878" s="966">
        <v>7.5846562000000004</v>
      </c>
      <c r="F878" s="966">
        <v>58942.36</v>
      </c>
      <c r="G878" s="966">
        <v>48519.3518368</v>
      </c>
      <c r="H878" s="966">
        <v>8519.06</v>
      </c>
      <c r="I878" s="966">
        <v>12.58</v>
      </c>
      <c r="Q878" s="967">
        <v>44138</v>
      </c>
      <c r="R878" s="966">
        <v>107200</v>
      </c>
      <c r="S878" s="966">
        <v>0.48999999860991</v>
      </c>
      <c r="T878" s="969">
        <v>0</v>
      </c>
      <c r="U878" s="966">
        <v>8519.06</v>
      </c>
      <c r="W878" s="971" t="e">
        <f t="shared" si="16"/>
        <v>#DIV/0!</v>
      </c>
      <c r="Y878" s="967">
        <v>44209</v>
      </c>
      <c r="Z878" s="974">
        <f ca="1">H828*Valuation_Senario!$L$372</f>
        <v>12507.788081479999</v>
      </c>
      <c r="AA878" s="973">
        <v>14.82</v>
      </c>
      <c r="AM878" s="967">
        <v>44138</v>
      </c>
      <c r="AN878" s="974">
        <v>107200</v>
      </c>
      <c r="AO878" s="976">
        <v>0.48999999860991</v>
      </c>
    </row>
    <row r="879" spans="1:41">
      <c r="A879" s="966">
        <v>872</v>
      </c>
      <c r="B879" s="967">
        <v>44137</v>
      </c>
      <c r="C879" s="966">
        <v>106400</v>
      </c>
      <c r="D879" s="966">
        <v>0</v>
      </c>
      <c r="E879" s="966">
        <v>0</v>
      </c>
      <c r="F879" s="966">
        <v>58580.28</v>
      </c>
      <c r="G879" s="966">
        <v>48157.267121600002</v>
      </c>
      <c r="H879" s="966">
        <v>8519.06</v>
      </c>
      <c r="I879" s="966">
        <v>12.49</v>
      </c>
      <c r="Q879" s="967">
        <v>44137</v>
      </c>
      <c r="R879" s="966">
        <v>106400</v>
      </c>
      <c r="S879" s="966">
        <v>0.48999999860991</v>
      </c>
      <c r="T879" s="969">
        <v>0</v>
      </c>
      <c r="U879" s="966">
        <v>8519.06</v>
      </c>
      <c r="W879" s="971" t="e">
        <f t="shared" si="16"/>
        <v>#DIV/0!</v>
      </c>
      <c r="Y879" s="967">
        <v>44208</v>
      </c>
      <c r="Z879" s="974">
        <f ca="1">H829*Valuation_Senario!$L$372</f>
        <v>12509.873290419999</v>
      </c>
      <c r="AA879" s="973">
        <v>14.81</v>
      </c>
      <c r="AM879" s="967">
        <v>44137</v>
      </c>
      <c r="AN879" s="974">
        <v>106400</v>
      </c>
      <c r="AO879" s="976">
        <v>0.48999999860991</v>
      </c>
    </row>
    <row r="880" spans="1:41">
      <c r="A880" s="966">
        <v>873</v>
      </c>
      <c r="B880" s="967">
        <v>44134</v>
      </c>
      <c r="C880" s="966">
        <v>104700</v>
      </c>
      <c r="D880" s="966">
        <v>3.5576880000000002</v>
      </c>
      <c r="E880" s="966">
        <v>3.5576880000000002</v>
      </c>
      <c r="F880" s="966">
        <v>57810.85</v>
      </c>
      <c r="G880" s="966">
        <v>47387.837101800003</v>
      </c>
      <c r="H880" s="966">
        <v>8519.06</v>
      </c>
      <c r="I880" s="966">
        <v>12.29</v>
      </c>
      <c r="Q880" s="967">
        <v>44134</v>
      </c>
      <c r="R880" s="966">
        <v>104700</v>
      </c>
      <c r="S880" s="966">
        <v>0.48999999860991</v>
      </c>
      <c r="T880" s="969">
        <v>0</v>
      </c>
      <c r="U880" s="966">
        <v>8519.06</v>
      </c>
      <c r="W880" s="971" t="e">
        <f t="shared" si="16"/>
        <v>#DIV/0!</v>
      </c>
      <c r="Y880" s="967">
        <v>44207</v>
      </c>
      <c r="Z880" s="974">
        <f ca="1">H830*Valuation_Senario!$L$372</f>
        <v>12509.873290419999</v>
      </c>
      <c r="AA880" s="973">
        <v>14.81</v>
      </c>
      <c r="AM880" s="967">
        <v>44134</v>
      </c>
      <c r="AN880" s="974">
        <v>104700</v>
      </c>
      <c r="AO880" s="976">
        <v>0.48999999860991</v>
      </c>
    </row>
    <row r="881" spans="1:41">
      <c r="A881" s="966">
        <v>874</v>
      </c>
      <c r="B881" s="967">
        <v>44133</v>
      </c>
      <c r="C881" s="966">
        <v>102300</v>
      </c>
      <c r="D881" s="966">
        <v>0</v>
      </c>
      <c r="E881" s="966">
        <v>0</v>
      </c>
      <c r="F881" s="966">
        <v>55858.35</v>
      </c>
      <c r="G881" s="966">
        <v>46301.5829562</v>
      </c>
      <c r="H881" s="966">
        <v>8357.2199999999993</v>
      </c>
      <c r="I881" s="966">
        <v>12.24</v>
      </c>
      <c r="Q881" s="967">
        <v>44133</v>
      </c>
      <c r="R881" s="966">
        <v>102300</v>
      </c>
      <c r="S881" s="966">
        <v>0.48999999860991</v>
      </c>
      <c r="T881" s="969">
        <v>0</v>
      </c>
      <c r="U881" s="966">
        <v>8357.2199999999993</v>
      </c>
      <c r="W881" s="971" t="e">
        <f t="shared" si="16"/>
        <v>#DIV/0!</v>
      </c>
      <c r="Y881" s="967">
        <v>44204</v>
      </c>
      <c r="Z881" s="974">
        <f ca="1">H831*Valuation_Senario!$L$372</f>
        <v>12509.873290419999</v>
      </c>
      <c r="AA881" s="973">
        <v>14.3</v>
      </c>
      <c r="AM881" s="967">
        <v>44133</v>
      </c>
      <c r="AN881" s="974">
        <v>102300</v>
      </c>
      <c r="AO881" s="976">
        <v>0.48999999860991</v>
      </c>
    </row>
    <row r="882" spans="1:41">
      <c r="A882" s="966">
        <v>875</v>
      </c>
      <c r="B882" s="967">
        <v>44132</v>
      </c>
      <c r="C882" s="966">
        <v>105000</v>
      </c>
      <c r="D882" s="966">
        <v>0</v>
      </c>
      <c r="E882" s="966">
        <v>0</v>
      </c>
      <c r="F882" s="966">
        <v>57080.38</v>
      </c>
      <c r="G882" s="966">
        <v>47523.618869999998</v>
      </c>
      <c r="H882" s="966">
        <v>8357.2199999999993</v>
      </c>
      <c r="I882" s="966">
        <v>12.56</v>
      </c>
      <c r="Q882" s="967">
        <v>44132</v>
      </c>
      <c r="R882" s="966">
        <v>105000</v>
      </c>
      <c r="S882" s="966">
        <v>0.48999999860991</v>
      </c>
      <c r="T882" s="969">
        <v>0</v>
      </c>
      <c r="U882" s="966">
        <v>8357.2199999999993</v>
      </c>
      <c r="W882" s="971" t="e">
        <f t="shared" si="16"/>
        <v>#DIV/0!</v>
      </c>
      <c r="Y882" s="967">
        <v>44203</v>
      </c>
      <c r="Z882" s="974">
        <f ca="1">H832*Valuation_Senario!$L$372</f>
        <v>12509.873290419999</v>
      </c>
      <c r="AA882" s="973">
        <v>14.2</v>
      </c>
      <c r="AM882" s="967">
        <v>44132</v>
      </c>
      <c r="AN882" s="974">
        <v>105000</v>
      </c>
      <c r="AO882" s="976">
        <v>0.48999999860991</v>
      </c>
    </row>
    <row r="883" spans="1:41">
      <c r="A883" s="966">
        <v>876</v>
      </c>
      <c r="B883" s="967">
        <v>44131</v>
      </c>
      <c r="C883" s="966">
        <v>110000</v>
      </c>
      <c r="D883" s="966">
        <v>2.4089999999999998</v>
      </c>
      <c r="E883" s="966">
        <v>2.3540000000000001</v>
      </c>
      <c r="F883" s="966">
        <v>59343.41</v>
      </c>
      <c r="G883" s="966">
        <v>49786.64834</v>
      </c>
      <c r="H883" s="966">
        <v>8357.2199999999993</v>
      </c>
      <c r="I883" s="966">
        <v>13.16</v>
      </c>
      <c r="Q883" s="967">
        <v>44131</v>
      </c>
      <c r="R883" s="966">
        <v>110000</v>
      </c>
      <c r="S883" s="966">
        <v>0.48999889536856001</v>
      </c>
      <c r="T883" s="969">
        <v>5.4999999999999716E-2</v>
      </c>
      <c r="U883" s="966">
        <v>8357.2199999999993</v>
      </c>
      <c r="W883" s="971" t="e">
        <f t="shared" si="16"/>
        <v>#DIV/0!</v>
      </c>
      <c r="Y883" s="967">
        <v>44202</v>
      </c>
      <c r="Z883" s="974">
        <f ca="1">H833*Valuation_Senario!$L$372</f>
        <v>12509.873290419999</v>
      </c>
      <c r="AA883" s="973">
        <v>14.24</v>
      </c>
      <c r="AM883" s="967">
        <v>44131</v>
      </c>
      <c r="AN883" s="974">
        <v>110000</v>
      </c>
      <c r="AO883" s="976">
        <v>0.48999889536856001</v>
      </c>
    </row>
    <row r="884" spans="1:41">
      <c r="A884" s="966">
        <v>877</v>
      </c>
      <c r="B884" s="967">
        <v>44130</v>
      </c>
      <c r="C884" s="966">
        <v>110000</v>
      </c>
      <c r="D884" s="966">
        <v>0</v>
      </c>
      <c r="E884" s="966">
        <v>0</v>
      </c>
      <c r="F884" s="966">
        <v>59343.41</v>
      </c>
      <c r="G884" s="966">
        <v>49786.64834</v>
      </c>
      <c r="H884" s="966">
        <v>8357.2199999999993</v>
      </c>
      <c r="I884" s="966">
        <v>13.16</v>
      </c>
      <c r="Q884" s="967">
        <v>44130</v>
      </c>
      <c r="R884" s="966">
        <v>110000</v>
      </c>
      <c r="S884" s="966">
        <v>0.48999999860991</v>
      </c>
      <c r="T884" s="969">
        <v>0</v>
      </c>
      <c r="U884" s="966">
        <v>8357.2199999999993</v>
      </c>
      <c r="W884" s="971" t="e">
        <f t="shared" si="16"/>
        <v>#DIV/0!</v>
      </c>
      <c r="Y884" s="967">
        <v>44201</v>
      </c>
      <c r="Z884" s="974">
        <f ca="1">H834*Valuation_Senario!$L$372</f>
        <v>12509.873290419999</v>
      </c>
      <c r="AA884" s="973">
        <v>14.31</v>
      </c>
      <c r="AM884" s="967">
        <v>44130</v>
      </c>
      <c r="AN884" s="974">
        <v>110000</v>
      </c>
      <c r="AO884" s="976">
        <v>0.48999999860991</v>
      </c>
    </row>
    <row r="885" spans="1:41">
      <c r="A885" s="966">
        <v>878</v>
      </c>
      <c r="B885" s="967">
        <v>44127</v>
      </c>
      <c r="C885" s="966">
        <v>110000</v>
      </c>
      <c r="D885" s="966">
        <v>0</v>
      </c>
      <c r="E885" s="966">
        <v>5.5E-2</v>
      </c>
      <c r="F885" s="966">
        <v>59343.41</v>
      </c>
      <c r="G885" s="966">
        <v>49786.64834</v>
      </c>
      <c r="H885" s="966">
        <v>8357.2199999999993</v>
      </c>
      <c r="I885" s="966">
        <v>13.16</v>
      </c>
      <c r="Q885" s="967">
        <v>44127</v>
      </c>
      <c r="R885" s="966">
        <v>110000</v>
      </c>
      <c r="S885" s="966">
        <v>0.48999999860991</v>
      </c>
      <c r="T885" s="969">
        <v>-5.5E-2</v>
      </c>
      <c r="U885" s="966">
        <v>8357.2199999999993</v>
      </c>
      <c r="W885" s="971" t="e">
        <f t="shared" si="16"/>
        <v>#DIV/0!</v>
      </c>
      <c r="Y885" s="967">
        <v>44200</v>
      </c>
      <c r="Z885" s="974">
        <f ca="1">H835*Valuation_Senario!$L$372</f>
        <v>12509.873290419999</v>
      </c>
      <c r="AA885" s="973">
        <v>14.16</v>
      </c>
      <c r="AM885" s="967">
        <v>44127</v>
      </c>
      <c r="AN885" s="974">
        <v>110000</v>
      </c>
      <c r="AO885" s="976">
        <v>0.48999999860991</v>
      </c>
    </row>
    <row r="886" spans="1:41">
      <c r="A886" s="966">
        <v>879</v>
      </c>
      <c r="B886" s="967">
        <v>44126</v>
      </c>
      <c r="C886" s="966">
        <v>108500</v>
      </c>
      <c r="D886" s="966">
        <v>0</v>
      </c>
      <c r="E886" s="966">
        <v>5.3800000000000001E-2</v>
      </c>
      <c r="F886" s="966">
        <v>58664.51</v>
      </c>
      <c r="G886" s="966">
        <v>49107.739499000003</v>
      </c>
      <c r="H886" s="966">
        <v>8357.2199999999993</v>
      </c>
      <c r="I886" s="966">
        <v>12.98</v>
      </c>
      <c r="Q886" s="967">
        <v>44126</v>
      </c>
      <c r="R886" s="966">
        <v>108500</v>
      </c>
      <c r="S886" s="966">
        <v>0.48999999860991</v>
      </c>
      <c r="T886" s="969">
        <v>-5.3800000000000001E-2</v>
      </c>
      <c r="U886" s="966">
        <v>8357.2199999999993</v>
      </c>
      <c r="W886" s="971" t="e">
        <f t="shared" si="16"/>
        <v>#DIV/0!</v>
      </c>
      <c r="Y886" s="967">
        <v>44196</v>
      </c>
      <c r="Z886" s="974">
        <f ca="1">H836*Valuation_Senario!$L$372</f>
        <v>12509.873290419999</v>
      </c>
      <c r="AA886" s="973">
        <v>13.96</v>
      </c>
      <c r="AM886" s="967">
        <v>44126</v>
      </c>
      <c r="AN886" s="974">
        <v>108500</v>
      </c>
      <c r="AO886" s="976">
        <v>0.48999999860991</v>
      </c>
    </row>
    <row r="887" spans="1:41">
      <c r="A887" s="966">
        <v>880</v>
      </c>
      <c r="B887" s="967">
        <v>44125</v>
      </c>
      <c r="C887" s="966">
        <v>105800</v>
      </c>
      <c r="D887" s="966">
        <v>0</v>
      </c>
      <c r="E887" s="966">
        <v>0</v>
      </c>
      <c r="F887" s="966">
        <v>57442.47</v>
      </c>
      <c r="G887" s="966">
        <v>47885.703585199997</v>
      </c>
      <c r="H887" s="966">
        <v>8357.2199999999993</v>
      </c>
      <c r="I887" s="966">
        <v>12.66</v>
      </c>
      <c r="Q887" s="967">
        <v>44125</v>
      </c>
      <c r="R887" s="966">
        <v>105800</v>
      </c>
      <c r="S887" s="966">
        <v>0.48999999860991</v>
      </c>
      <c r="T887" s="969">
        <v>0</v>
      </c>
      <c r="U887" s="966">
        <v>8357.2199999999993</v>
      </c>
      <c r="W887" s="971" t="e">
        <f t="shared" si="16"/>
        <v>#DIV/0!</v>
      </c>
      <c r="Y887" s="967">
        <v>44195</v>
      </c>
      <c r="Z887" s="974">
        <f ca="1">H837*Valuation_Senario!$L$372</f>
        <v>12509.873290419999</v>
      </c>
      <c r="AA887" s="973">
        <v>13.77</v>
      </c>
      <c r="AM887" s="967">
        <v>44125</v>
      </c>
      <c r="AN887" s="974">
        <v>105800</v>
      </c>
      <c r="AO887" s="976">
        <v>0.48999999860991</v>
      </c>
    </row>
    <row r="888" spans="1:41">
      <c r="A888" s="966">
        <v>881</v>
      </c>
      <c r="B888" s="967">
        <v>44124</v>
      </c>
      <c r="C888" s="966">
        <v>106800</v>
      </c>
      <c r="D888" s="966">
        <v>0</v>
      </c>
      <c r="E888" s="966">
        <v>1.062E-3</v>
      </c>
      <c r="F888" s="966">
        <v>57895.08</v>
      </c>
      <c r="G888" s="966">
        <v>48338.309479199997</v>
      </c>
      <c r="H888" s="966">
        <v>8357.2199999999993</v>
      </c>
      <c r="I888" s="966">
        <v>12.78</v>
      </c>
      <c r="Q888" s="967">
        <v>44124</v>
      </c>
      <c r="R888" s="966">
        <v>106800</v>
      </c>
      <c r="S888" s="966">
        <v>0.48999999860991</v>
      </c>
      <c r="T888" s="969">
        <v>-1.062E-3</v>
      </c>
      <c r="U888" s="966">
        <v>8357.2199999999993</v>
      </c>
      <c r="W888" s="971" t="e">
        <f t="shared" si="16"/>
        <v>#DIV/0!</v>
      </c>
      <c r="Y888" s="967">
        <v>44194</v>
      </c>
      <c r="Z888" s="974">
        <f ca="1">H838*Valuation_Senario!$L$372</f>
        <v>12509.873290419999</v>
      </c>
      <c r="AA888" s="973">
        <v>13.76</v>
      </c>
      <c r="AM888" s="967">
        <v>44124</v>
      </c>
      <c r="AN888" s="974">
        <v>106800</v>
      </c>
      <c r="AO888" s="976">
        <v>0.48999999860991</v>
      </c>
    </row>
    <row r="889" spans="1:41">
      <c r="A889" s="966">
        <v>882</v>
      </c>
      <c r="B889" s="967">
        <v>44123</v>
      </c>
      <c r="C889" s="966">
        <v>106800</v>
      </c>
      <c r="D889" s="966">
        <v>6.9809999999999997E-2</v>
      </c>
      <c r="E889" s="966">
        <v>0</v>
      </c>
      <c r="F889" s="966">
        <v>57895.08</v>
      </c>
      <c r="G889" s="966">
        <v>48338.309479199997</v>
      </c>
      <c r="H889" s="966">
        <v>8357.2199999999993</v>
      </c>
      <c r="I889" s="966">
        <v>12.78</v>
      </c>
      <c r="Q889" s="967">
        <v>44123</v>
      </c>
      <c r="R889" s="966">
        <v>106800</v>
      </c>
      <c r="S889" s="966">
        <v>0.48999855336373999</v>
      </c>
      <c r="T889" s="969">
        <v>6.9809999999999997E-2</v>
      </c>
      <c r="U889" s="966">
        <v>8357.2199999999993</v>
      </c>
      <c r="W889" s="971" t="e">
        <f t="shared" si="16"/>
        <v>#DIV/0!</v>
      </c>
      <c r="Y889" s="967">
        <v>44193</v>
      </c>
      <c r="Z889" s="974">
        <f ca="1">H839*Valuation_Senario!$L$372</f>
        <v>12509.873290419999</v>
      </c>
      <c r="AA889" s="973">
        <v>13.77</v>
      </c>
      <c r="AM889" s="967">
        <v>44123</v>
      </c>
      <c r="AN889" s="974">
        <v>106800</v>
      </c>
      <c r="AO889" s="976">
        <v>0.48999855336373999</v>
      </c>
    </row>
    <row r="890" spans="1:41">
      <c r="A890" s="966">
        <v>883</v>
      </c>
      <c r="B890" s="967">
        <v>44120</v>
      </c>
      <c r="C890" s="966">
        <v>108400</v>
      </c>
      <c r="D890" s="966">
        <v>0</v>
      </c>
      <c r="E890" s="966">
        <v>0</v>
      </c>
      <c r="F890" s="966">
        <v>58627.25</v>
      </c>
      <c r="G890" s="966">
        <v>49070.485658799997</v>
      </c>
      <c r="H890" s="966">
        <v>8355.84</v>
      </c>
      <c r="I890" s="966">
        <v>12.97</v>
      </c>
      <c r="Q890" s="967">
        <v>44120</v>
      </c>
      <c r="R890" s="966">
        <v>108400</v>
      </c>
      <c r="S890" s="966">
        <v>0.48999999860991</v>
      </c>
      <c r="T890" s="969">
        <v>0</v>
      </c>
      <c r="U890" s="966">
        <v>8355.84</v>
      </c>
      <c r="W890" s="971" t="e">
        <f t="shared" si="16"/>
        <v>#DIV/0!</v>
      </c>
      <c r="Y890" s="967">
        <v>44190</v>
      </c>
      <c r="Z890" s="974">
        <f ca="1">H840*Valuation_Senario!$L$372</f>
        <v>12509.873290419999</v>
      </c>
      <c r="AA890" s="973">
        <v>13.91</v>
      </c>
      <c r="AM890" s="967">
        <v>44120</v>
      </c>
      <c r="AN890" s="974">
        <v>108400</v>
      </c>
      <c r="AO890" s="976">
        <v>0.48999999860991</v>
      </c>
    </row>
    <row r="891" spans="1:41">
      <c r="A891" s="966">
        <v>884</v>
      </c>
      <c r="B891" s="967">
        <v>44119</v>
      </c>
      <c r="C891" s="966">
        <v>109400</v>
      </c>
      <c r="D891" s="966">
        <v>0</v>
      </c>
      <c r="E891" s="966">
        <v>0</v>
      </c>
      <c r="F891" s="966">
        <v>59079.93</v>
      </c>
      <c r="G891" s="966">
        <v>49523.165415800002</v>
      </c>
      <c r="H891" s="966">
        <v>8355.84</v>
      </c>
      <c r="I891" s="966">
        <v>13.09</v>
      </c>
      <c r="Q891" s="967">
        <v>44119</v>
      </c>
      <c r="R891" s="966">
        <v>109400</v>
      </c>
      <c r="S891" s="966">
        <v>0.48999999860991</v>
      </c>
      <c r="T891" s="969">
        <v>0</v>
      </c>
      <c r="U891" s="966">
        <v>8355.84</v>
      </c>
      <c r="W891" s="971" t="e">
        <f t="shared" si="16"/>
        <v>#DIV/0!</v>
      </c>
      <c r="Y891" s="967">
        <v>44189</v>
      </c>
      <c r="Z891" s="974">
        <f ca="1">H841*Valuation_Senario!$L$372</f>
        <v>12509.873290419999</v>
      </c>
      <c r="AA891" s="973">
        <v>13.7</v>
      </c>
      <c r="AM891" s="967">
        <v>44119</v>
      </c>
      <c r="AN891" s="974">
        <v>109400</v>
      </c>
      <c r="AO891" s="976">
        <v>0.48999999860991</v>
      </c>
    </row>
    <row r="892" spans="1:41">
      <c r="A892" s="966">
        <v>885</v>
      </c>
      <c r="B892" s="967">
        <v>44118</v>
      </c>
      <c r="C892" s="966">
        <v>109000</v>
      </c>
      <c r="D892" s="966">
        <v>0</v>
      </c>
      <c r="E892" s="966">
        <v>7.2779999999999997E-2</v>
      </c>
      <c r="F892" s="966">
        <v>58898.86</v>
      </c>
      <c r="G892" s="966">
        <v>49342.093513</v>
      </c>
      <c r="H892" s="966">
        <v>8355.84</v>
      </c>
      <c r="I892" s="966">
        <v>13.04</v>
      </c>
      <c r="Q892" s="967">
        <v>44118</v>
      </c>
      <c r="R892" s="966">
        <v>109000</v>
      </c>
      <c r="S892" s="966">
        <v>0.48999999860991</v>
      </c>
      <c r="T892" s="969">
        <v>-7.2779999999999997E-2</v>
      </c>
      <c r="U892" s="966">
        <v>8355.84</v>
      </c>
      <c r="W892" s="971" t="e">
        <f t="shared" si="16"/>
        <v>#DIV/0!</v>
      </c>
      <c r="Y892" s="967">
        <v>44188</v>
      </c>
      <c r="Z892" s="974">
        <f ca="1">H842*Valuation_Senario!$L$372</f>
        <v>12509.873290419999</v>
      </c>
      <c r="AA892" s="973">
        <v>13.86</v>
      </c>
      <c r="AM892" s="967">
        <v>44118</v>
      </c>
      <c r="AN892" s="974">
        <v>109000</v>
      </c>
      <c r="AO892" s="976">
        <v>0.48999999860991</v>
      </c>
    </row>
    <row r="893" spans="1:41">
      <c r="A893" s="966">
        <v>886</v>
      </c>
      <c r="B893" s="967">
        <v>44117</v>
      </c>
      <c r="C893" s="966">
        <v>106200</v>
      </c>
      <c r="D893" s="966">
        <v>0</v>
      </c>
      <c r="E893" s="966">
        <v>0</v>
      </c>
      <c r="F893" s="966">
        <v>57631.360000000001</v>
      </c>
      <c r="G893" s="966">
        <v>48074.590193399999</v>
      </c>
      <c r="H893" s="966">
        <v>8355.84</v>
      </c>
      <c r="I893" s="966">
        <v>12.71</v>
      </c>
      <c r="Q893" s="967">
        <v>44117</v>
      </c>
      <c r="R893" s="966">
        <v>106200</v>
      </c>
      <c r="S893" s="966">
        <v>0.48999999860991</v>
      </c>
      <c r="T893" s="969">
        <v>0</v>
      </c>
      <c r="U893" s="966">
        <v>8355.84</v>
      </c>
      <c r="W893" s="971" t="e">
        <f t="shared" si="16"/>
        <v>#DIV/0!</v>
      </c>
      <c r="Y893" s="967">
        <v>44187</v>
      </c>
      <c r="Z893" s="974">
        <f ca="1">H843*Valuation_Senario!$L$372</f>
        <v>12509.873290419999</v>
      </c>
      <c r="AA893" s="973">
        <v>14.07</v>
      </c>
      <c r="AM893" s="967">
        <v>44117</v>
      </c>
      <c r="AN893" s="974">
        <v>106200</v>
      </c>
      <c r="AO893" s="976">
        <v>0.48999999860991</v>
      </c>
    </row>
    <row r="894" spans="1:41">
      <c r="A894" s="966">
        <v>887</v>
      </c>
      <c r="B894" s="967">
        <v>44116</v>
      </c>
      <c r="C894" s="966">
        <v>107500</v>
      </c>
      <c r="D894" s="966">
        <v>0</v>
      </c>
      <c r="E894" s="966">
        <v>0</v>
      </c>
      <c r="F894" s="966">
        <v>58219.839999999997</v>
      </c>
      <c r="G894" s="966">
        <v>48663.073877499999</v>
      </c>
      <c r="H894" s="966">
        <v>8355.84</v>
      </c>
      <c r="I894" s="966">
        <v>12.87</v>
      </c>
      <c r="Q894" s="967">
        <v>44116</v>
      </c>
      <c r="R894" s="966">
        <v>107500</v>
      </c>
      <c r="S894" s="966">
        <v>0.48999999860991</v>
      </c>
      <c r="T894" s="969">
        <v>0</v>
      </c>
      <c r="U894" s="966">
        <v>8355.84</v>
      </c>
      <c r="W894" s="971" t="e">
        <f t="shared" si="16"/>
        <v>#DIV/0!</v>
      </c>
      <c r="Y894" s="967">
        <v>44186</v>
      </c>
      <c r="Z894" s="974">
        <f ca="1">H844*Valuation_Senario!$L$372</f>
        <v>12509.873290419999</v>
      </c>
      <c r="AA894" s="973">
        <v>13.64</v>
      </c>
      <c r="AM894" s="967">
        <v>44116</v>
      </c>
      <c r="AN894" s="974">
        <v>107500</v>
      </c>
      <c r="AO894" s="976">
        <v>0.48999999860991</v>
      </c>
    </row>
    <row r="895" spans="1:41">
      <c r="A895" s="966">
        <v>888</v>
      </c>
      <c r="B895" s="967">
        <v>44113</v>
      </c>
      <c r="C895" s="966">
        <v>109000</v>
      </c>
      <c r="D895" s="966">
        <v>0</v>
      </c>
      <c r="E895" s="966">
        <v>0</v>
      </c>
      <c r="F895" s="966">
        <v>58898.86</v>
      </c>
      <c r="G895" s="966">
        <v>49342.093513</v>
      </c>
      <c r="H895" s="966">
        <v>8355.84</v>
      </c>
      <c r="I895" s="966">
        <v>13.04</v>
      </c>
      <c r="Q895" s="967">
        <v>44113</v>
      </c>
      <c r="R895" s="966">
        <v>109000</v>
      </c>
      <c r="S895" s="966">
        <v>0.48999999860991</v>
      </c>
      <c r="T895" s="969">
        <v>0</v>
      </c>
      <c r="U895" s="966">
        <v>8355.84</v>
      </c>
      <c r="W895" s="971" t="e">
        <f t="shared" si="16"/>
        <v>#DIV/0!</v>
      </c>
      <c r="Y895" s="967">
        <v>44183</v>
      </c>
      <c r="Z895" s="974">
        <f ca="1">H845*Valuation_Senario!$L$372</f>
        <v>12509.873290419999</v>
      </c>
      <c r="AA895" s="973">
        <v>13.5</v>
      </c>
      <c r="AM895" s="967">
        <v>44113</v>
      </c>
      <c r="AN895" s="974">
        <v>109000</v>
      </c>
      <c r="AO895" s="976">
        <v>0.48999999860991</v>
      </c>
    </row>
    <row r="896" spans="1:41">
      <c r="A896" s="966">
        <v>889</v>
      </c>
      <c r="B896" s="967">
        <v>44112</v>
      </c>
      <c r="C896" s="966">
        <v>109500</v>
      </c>
      <c r="D896" s="966">
        <v>3.7407499999999998</v>
      </c>
      <c r="E896" s="966">
        <v>3.7407499999999998</v>
      </c>
      <c r="F896" s="966">
        <v>59125.2</v>
      </c>
      <c r="G896" s="966">
        <v>49568.433391500002</v>
      </c>
      <c r="H896" s="966">
        <v>8355.84</v>
      </c>
      <c r="I896" s="966">
        <v>13.1</v>
      </c>
      <c r="Q896" s="967">
        <v>44112</v>
      </c>
      <c r="R896" s="966">
        <v>109500</v>
      </c>
      <c r="S896" s="966">
        <v>0.48999999860991</v>
      </c>
      <c r="T896" s="969">
        <v>0</v>
      </c>
      <c r="U896" s="966">
        <v>8355.84</v>
      </c>
      <c r="W896" s="971" t="e">
        <f t="shared" si="16"/>
        <v>#DIV/0!</v>
      </c>
      <c r="Y896" s="967">
        <v>44182</v>
      </c>
      <c r="Z896" s="974">
        <f ca="1">H846*Valuation_Senario!$L$372</f>
        <v>12509.873290419999</v>
      </c>
      <c r="AA896" s="973">
        <v>13.32</v>
      </c>
      <c r="AM896" s="967">
        <v>44112</v>
      </c>
      <c r="AN896" s="974">
        <v>109500</v>
      </c>
      <c r="AO896" s="976">
        <v>0.48999999860991</v>
      </c>
    </row>
    <row r="897" spans="1:41">
      <c r="A897" s="966">
        <v>890</v>
      </c>
      <c r="B897" s="967">
        <v>44111</v>
      </c>
      <c r="C897" s="966">
        <v>107600</v>
      </c>
      <c r="D897" s="966">
        <v>0</v>
      </c>
      <c r="E897" s="966">
        <v>5.3850000000000002E-2</v>
      </c>
      <c r="F897" s="966">
        <v>58265.11</v>
      </c>
      <c r="G897" s="966">
        <v>48708.3418532</v>
      </c>
      <c r="H897" s="966">
        <v>8355.84</v>
      </c>
      <c r="I897" s="966">
        <v>12.88</v>
      </c>
      <c r="Q897" s="967">
        <v>44111</v>
      </c>
      <c r="R897" s="966">
        <v>107600</v>
      </c>
      <c r="S897" s="966">
        <v>0.48999999860991</v>
      </c>
      <c r="T897" s="969">
        <v>-5.3850000000000002E-2</v>
      </c>
      <c r="U897" s="966">
        <v>8355.84</v>
      </c>
      <c r="W897" s="971" t="e">
        <f t="shared" si="16"/>
        <v>#DIV/0!</v>
      </c>
      <c r="Y897" s="967">
        <v>44181</v>
      </c>
      <c r="Z897" s="974">
        <f ca="1">H847*Valuation_Senario!$L$372</f>
        <v>12509.873290419999</v>
      </c>
      <c r="AA897" s="973">
        <v>13.56</v>
      </c>
      <c r="AM897" s="967">
        <v>44111</v>
      </c>
      <c r="AN897" s="974">
        <v>107600</v>
      </c>
      <c r="AO897" s="976">
        <v>0.48999999860991</v>
      </c>
    </row>
    <row r="898" spans="1:41">
      <c r="A898" s="966">
        <v>891</v>
      </c>
      <c r="B898" s="967">
        <v>44110</v>
      </c>
      <c r="C898" s="966">
        <v>105200</v>
      </c>
      <c r="D898" s="966">
        <v>0</v>
      </c>
      <c r="E898" s="966">
        <v>0</v>
      </c>
      <c r="F898" s="966">
        <v>57178.68</v>
      </c>
      <c r="G898" s="966">
        <v>47621.910436400001</v>
      </c>
      <c r="H898" s="966">
        <v>8355.84</v>
      </c>
      <c r="I898" s="966">
        <v>12.59</v>
      </c>
      <c r="Q898" s="967">
        <v>44110</v>
      </c>
      <c r="R898" s="966">
        <v>105200</v>
      </c>
      <c r="S898" s="966">
        <v>0.48999999860991</v>
      </c>
      <c r="T898" s="969">
        <v>0</v>
      </c>
      <c r="U898" s="966">
        <v>8355.84</v>
      </c>
      <c r="W898" s="971" t="e">
        <f t="shared" si="16"/>
        <v>#DIV/0!</v>
      </c>
      <c r="Y898" s="967">
        <v>44180</v>
      </c>
      <c r="Z898" s="974">
        <f ca="1">H848*Valuation_Senario!$L$372</f>
        <v>12509.873290419999</v>
      </c>
      <c r="AA898" s="973">
        <v>13.53</v>
      </c>
      <c r="AM898" s="967">
        <v>44110</v>
      </c>
      <c r="AN898" s="974">
        <v>105200</v>
      </c>
      <c r="AO898" s="976">
        <v>0.48999999860991</v>
      </c>
    </row>
    <row r="899" spans="1:41">
      <c r="A899" s="966">
        <v>892</v>
      </c>
      <c r="B899" s="967">
        <v>44109</v>
      </c>
      <c r="C899" s="966">
        <v>104000</v>
      </c>
      <c r="D899" s="966">
        <v>0</v>
      </c>
      <c r="E899" s="966">
        <v>0</v>
      </c>
      <c r="F899" s="966">
        <v>56635.46</v>
      </c>
      <c r="G899" s="966">
        <v>47078.694728000002</v>
      </c>
      <c r="H899" s="966">
        <v>8355.84</v>
      </c>
      <c r="I899" s="966">
        <v>12.45</v>
      </c>
      <c r="Q899" s="967">
        <v>44109</v>
      </c>
      <c r="R899" s="966">
        <v>104000</v>
      </c>
      <c r="S899" s="966">
        <v>0.48999999860991</v>
      </c>
      <c r="T899" s="969">
        <v>0</v>
      </c>
      <c r="U899" s="966">
        <v>8355.84</v>
      </c>
      <c r="W899" s="971" t="e">
        <f t="shared" si="16"/>
        <v>#DIV/0!</v>
      </c>
      <c r="Y899" s="967">
        <v>44179</v>
      </c>
      <c r="Z899" s="974">
        <f ca="1">H849*Valuation_Senario!$L$372</f>
        <v>12509.873290419999</v>
      </c>
      <c r="AA899" s="973">
        <v>13.58</v>
      </c>
      <c r="AM899" s="967">
        <v>44109</v>
      </c>
      <c r="AN899" s="974">
        <v>104000</v>
      </c>
      <c r="AO899" s="976">
        <v>0.48999999860991</v>
      </c>
    </row>
    <row r="900" spans="1:41">
      <c r="A900" s="966">
        <v>893</v>
      </c>
      <c r="B900" s="967">
        <v>44106</v>
      </c>
      <c r="C900" s="966">
        <v>104000</v>
      </c>
      <c r="D900" s="966">
        <v>5.2499999999999998E-2</v>
      </c>
      <c r="E900" s="966">
        <v>0</v>
      </c>
      <c r="F900" s="966">
        <v>56635.46</v>
      </c>
      <c r="G900" s="966">
        <v>47078.694728000002</v>
      </c>
      <c r="H900" s="966">
        <v>8355.84</v>
      </c>
      <c r="I900" s="966">
        <v>12.45</v>
      </c>
      <c r="Q900" s="967">
        <v>44106</v>
      </c>
      <c r="R900" s="966">
        <v>104000</v>
      </c>
      <c r="S900" s="966">
        <v>0.48999999860991</v>
      </c>
      <c r="T900" s="969">
        <v>5.2499999999999998E-2</v>
      </c>
      <c r="U900" s="966">
        <v>8355.84</v>
      </c>
      <c r="W900" s="971" t="e">
        <f t="shared" si="16"/>
        <v>#DIV/0!</v>
      </c>
      <c r="Y900" s="967">
        <v>44176</v>
      </c>
      <c r="Z900" s="974">
        <f ca="1">H850*Valuation_Senario!$L$372</f>
        <v>12509.873290419999</v>
      </c>
      <c r="AA900" s="973">
        <v>13.42</v>
      </c>
      <c r="AM900" s="967">
        <v>44106</v>
      </c>
      <c r="AN900" s="974">
        <v>104000</v>
      </c>
      <c r="AO900" s="976">
        <v>0.48999999860991</v>
      </c>
    </row>
    <row r="901" spans="1:41">
      <c r="A901" s="966">
        <v>894</v>
      </c>
      <c r="B901" s="967">
        <v>44105</v>
      </c>
      <c r="C901" s="966">
        <v>105000</v>
      </c>
      <c r="D901" s="966">
        <v>0</v>
      </c>
      <c r="E901" s="966">
        <v>0</v>
      </c>
      <c r="F901" s="966">
        <v>57088.14</v>
      </c>
      <c r="G901" s="966">
        <v>47531.374485</v>
      </c>
      <c r="H901" s="966">
        <v>8355.84</v>
      </c>
      <c r="I901" s="966">
        <v>12.57</v>
      </c>
      <c r="Q901" s="967">
        <v>44105</v>
      </c>
      <c r="R901" s="966">
        <v>105000</v>
      </c>
      <c r="S901" s="966">
        <v>0.48999999860991</v>
      </c>
      <c r="T901" s="969">
        <v>0</v>
      </c>
      <c r="U901" s="966">
        <v>8355.84</v>
      </c>
      <c r="W901" s="971" t="e">
        <f t="shared" si="16"/>
        <v>#DIV/0!</v>
      </c>
      <c r="Y901" s="967">
        <v>44175</v>
      </c>
      <c r="Z901" s="974">
        <f ca="1">H851*Valuation_Senario!$L$372</f>
        <v>12509.873290419999</v>
      </c>
      <c r="AA901" s="973">
        <v>13.36</v>
      </c>
      <c r="AM901" s="967">
        <v>44105</v>
      </c>
      <c r="AN901" s="974">
        <v>105000</v>
      </c>
      <c r="AO901" s="976">
        <v>0.48999999860991</v>
      </c>
    </row>
    <row r="902" spans="1:41">
      <c r="A902" s="966">
        <v>895</v>
      </c>
      <c r="B902" s="967">
        <v>44104</v>
      </c>
      <c r="C902" s="966">
        <v>104300</v>
      </c>
      <c r="D902" s="966">
        <v>0</v>
      </c>
      <c r="E902" s="966">
        <v>0</v>
      </c>
      <c r="F902" s="966">
        <v>56771.26</v>
      </c>
      <c r="G902" s="966">
        <v>47214.498655099997</v>
      </c>
      <c r="H902" s="966">
        <v>8355.84</v>
      </c>
      <c r="I902" s="966">
        <v>12.48</v>
      </c>
      <c r="Q902" s="967">
        <v>44104</v>
      </c>
      <c r="R902" s="966">
        <v>104300</v>
      </c>
      <c r="S902" s="966">
        <v>0.48999999860991</v>
      </c>
      <c r="T902" s="969">
        <v>0</v>
      </c>
      <c r="U902" s="966">
        <v>8355.84</v>
      </c>
      <c r="W902" s="971" t="e">
        <f t="shared" si="16"/>
        <v>#DIV/0!</v>
      </c>
      <c r="Y902" s="967">
        <v>44174</v>
      </c>
      <c r="Z902" s="974">
        <f ca="1">H852*Valuation_Senario!$L$372</f>
        <v>12509.873290419999</v>
      </c>
      <c r="AA902" s="973">
        <v>13.5</v>
      </c>
      <c r="AM902" s="967">
        <v>44104</v>
      </c>
      <c r="AN902" s="974">
        <v>104300</v>
      </c>
      <c r="AO902" s="976">
        <v>0.48999999860991</v>
      </c>
    </row>
    <row r="903" spans="1:41">
      <c r="A903" s="966">
        <v>896</v>
      </c>
      <c r="B903" s="967">
        <v>44103</v>
      </c>
      <c r="C903" s="966">
        <v>103500</v>
      </c>
      <c r="D903" s="966">
        <v>0</v>
      </c>
      <c r="E903" s="966">
        <v>5.2449999999999997E-2</v>
      </c>
      <c r="F903" s="966">
        <v>56409.120000000003</v>
      </c>
      <c r="G903" s="966">
        <v>46852.3548495</v>
      </c>
      <c r="H903" s="966">
        <v>8355.84</v>
      </c>
      <c r="I903" s="966">
        <v>12.39</v>
      </c>
      <c r="Q903" s="967">
        <v>44103</v>
      </c>
      <c r="R903" s="966">
        <v>103500</v>
      </c>
      <c r="S903" s="966">
        <v>0.48999999860991</v>
      </c>
      <c r="T903" s="969">
        <v>-5.2449999999999997E-2</v>
      </c>
      <c r="U903" s="966">
        <v>8355.84</v>
      </c>
      <c r="W903" s="971" t="e">
        <f t="shared" si="16"/>
        <v>#DIV/0!</v>
      </c>
      <c r="Y903" s="967">
        <v>44173</v>
      </c>
      <c r="Z903" s="974">
        <f ca="1">H853*Valuation_Senario!$L$372</f>
        <v>12509.873290419999</v>
      </c>
      <c r="AA903" s="973">
        <v>13.44</v>
      </c>
      <c r="AM903" s="967">
        <v>44103</v>
      </c>
      <c r="AN903" s="974">
        <v>103500</v>
      </c>
      <c r="AO903" s="976">
        <v>0.48999999860991</v>
      </c>
    </row>
    <row r="904" spans="1:41">
      <c r="A904" s="966">
        <v>897</v>
      </c>
      <c r="B904" s="967">
        <v>44102</v>
      </c>
      <c r="C904" s="966">
        <v>103000</v>
      </c>
      <c r="D904" s="966">
        <v>0</v>
      </c>
      <c r="E904" s="966">
        <v>3.3660000000000002E-2</v>
      </c>
      <c r="F904" s="966">
        <v>56182.78</v>
      </c>
      <c r="G904" s="966">
        <v>46626.014970999997</v>
      </c>
      <c r="H904" s="966">
        <v>8355.84</v>
      </c>
      <c r="I904" s="966">
        <v>12.33</v>
      </c>
      <c r="Q904" s="967">
        <v>44102</v>
      </c>
      <c r="R904" s="966">
        <v>103000</v>
      </c>
      <c r="S904" s="966">
        <v>0.48999999860991</v>
      </c>
      <c r="T904" s="969">
        <v>-3.3660000000000002E-2</v>
      </c>
      <c r="U904" s="966">
        <v>8355.84</v>
      </c>
      <c r="W904" s="971" t="e">
        <f t="shared" si="16"/>
        <v>#DIV/0!</v>
      </c>
      <c r="Y904" s="967">
        <v>44172</v>
      </c>
      <c r="Z904" s="974">
        <f ca="1">H854*Valuation_Senario!$L$372</f>
        <v>12509.873290419999</v>
      </c>
      <c r="AA904" s="973">
        <v>13.42</v>
      </c>
      <c r="AM904" s="967">
        <v>44102</v>
      </c>
      <c r="AN904" s="974">
        <v>103000</v>
      </c>
      <c r="AO904" s="976">
        <v>0.48999999860991</v>
      </c>
    </row>
    <row r="905" spans="1:41">
      <c r="A905" s="966">
        <v>898</v>
      </c>
      <c r="B905" s="967">
        <v>44099</v>
      </c>
      <c r="C905" s="966">
        <v>100500</v>
      </c>
      <c r="D905" s="966">
        <v>0</v>
      </c>
      <c r="E905" s="966">
        <v>0</v>
      </c>
      <c r="F905" s="966">
        <v>55051.08</v>
      </c>
      <c r="G905" s="966">
        <v>45494.315578499998</v>
      </c>
      <c r="H905" s="966">
        <v>8355.84</v>
      </c>
      <c r="I905" s="966">
        <v>12.03</v>
      </c>
      <c r="Q905" s="967">
        <v>44099</v>
      </c>
      <c r="R905" s="966">
        <v>100500</v>
      </c>
      <c r="S905" s="966">
        <v>0.48999999860991</v>
      </c>
      <c r="T905" s="969">
        <v>0</v>
      </c>
      <c r="U905" s="966">
        <v>8355.84</v>
      </c>
      <c r="W905" s="971" t="e">
        <f t="shared" ref="W905:W968" si="17">T905/V905</f>
        <v>#DIV/0!</v>
      </c>
      <c r="Y905" s="967">
        <v>44169</v>
      </c>
      <c r="Z905" s="974">
        <f ca="1">H855*Valuation_Senario!$L$372</f>
        <v>12509.873290419999</v>
      </c>
      <c r="AA905" s="973">
        <v>13.37</v>
      </c>
      <c r="AM905" s="967">
        <v>44099</v>
      </c>
      <c r="AN905" s="974">
        <v>100500</v>
      </c>
      <c r="AO905" s="976">
        <v>0.48999999860991</v>
      </c>
    </row>
    <row r="906" spans="1:41">
      <c r="A906" s="966">
        <v>899</v>
      </c>
      <c r="B906" s="967">
        <v>44098</v>
      </c>
      <c r="C906" s="966">
        <v>101200</v>
      </c>
      <c r="D906" s="966">
        <v>0</v>
      </c>
      <c r="E906" s="966">
        <v>0</v>
      </c>
      <c r="F906" s="966">
        <v>55367.96</v>
      </c>
      <c r="G906" s="966">
        <v>45811.191408400002</v>
      </c>
      <c r="H906" s="966">
        <v>8355.84</v>
      </c>
      <c r="I906" s="966">
        <v>12.11</v>
      </c>
      <c r="Q906" s="967">
        <v>44098</v>
      </c>
      <c r="R906" s="966">
        <v>101200</v>
      </c>
      <c r="S906" s="966">
        <v>0.48999999860991</v>
      </c>
      <c r="T906" s="969">
        <v>0</v>
      </c>
      <c r="U906" s="966">
        <v>8355.84</v>
      </c>
      <c r="W906" s="971" t="e">
        <f t="shared" si="17"/>
        <v>#DIV/0!</v>
      </c>
      <c r="Y906" s="967">
        <v>44168</v>
      </c>
      <c r="Z906" s="974">
        <f ca="1">H856*Valuation_Senario!$L$372</f>
        <v>12509.873290419999</v>
      </c>
      <c r="AA906" s="973">
        <v>13.46</v>
      </c>
      <c r="AM906" s="967">
        <v>44098</v>
      </c>
      <c r="AN906" s="974">
        <v>101200</v>
      </c>
      <c r="AO906" s="976">
        <v>0.48999999860991</v>
      </c>
    </row>
    <row r="907" spans="1:41">
      <c r="A907" s="966">
        <v>900</v>
      </c>
      <c r="B907" s="967">
        <v>44097</v>
      </c>
      <c r="C907" s="966">
        <v>101900</v>
      </c>
      <c r="D907" s="966">
        <v>0</v>
      </c>
      <c r="E907" s="966">
        <v>0</v>
      </c>
      <c r="F907" s="966">
        <v>55684.83</v>
      </c>
      <c r="G907" s="966">
        <v>46128.067238299998</v>
      </c>
      <c r="H907" s="966">
        <v>8355.84</v>
      </c>
      <c r="I907" s="966">
        <v>12.2</v>
      </c>
      <c r="Q907" s="967">
        <v>44097</v>
      </c>
      <c r="R907" s="966">
        <v>101900</v>
      </c>
      <c r="S907" s="966">
        <v>0.48999999860991</v>
      </c>
      <c r="T907" s="969">
        <v>0</v>
      </c>
      <c r="U907" s="966">
        <v>8355.84</v>
      </c>
      <c r="W907" s="971" t="e">
        <f t="shared" si="17"/>
        <v>#DIV/0!</v>
      </c>
      <c r="Y907" s="967">
        <v>44167</v>
      </c>
      <c r="Z907" s="974">
        <f ca="1">H857*Valuation_Senario!$L$372</f>
        <v>12509.873290419999</v>
      </c>
      <c r="AA907" s="973">
        <v>13.38</v>
      </c>
      <c r="AM907" s="967">
        <v>44097</v>
      </c>
      <c r="AN907" s="974">
        <v>101900</v>
      </c>
      <c r="AO907" s="976">
        <v>0.48999999860991</v>
      </c>
    </row>
    <row r="908" spans="1:41">
      <c r="A908" s="966">
        <v>901</v>
      </c>
      <c r="B908" s="967">
        <v>44096</v>
      </c>
      <c r="C908" s="966">
        <v>99600</v>
      </c>
      <c r="D908" s="966">
        <v>0</v>
      </c>
      <c r="E908" s="966">
        <v>0</v>
      </c>
      <c r="F908" s="966">
        <v>54643.67</v>
      </c>
      <c r="G908" s="966">
        <v>45086.903797200001</v>
      </c>
      <c r="H908" s="966">
        <v>8355.84</v>
      </c>
      <c r="I908" s="966">
        <v>11.92</v>
      </c>
      <c r="Q908" s="967">
        <v>44096</v>
      </c>
      <c r="R908" s="966">
        <v>99600</v>
      </c>
      <c r="S908" s="966">
        <v>0.48999999860991</v>
      </c>
      <c r="T908" s="969">
        <v>0</v>
      </c>
      <c r="U908" s="966">
        <v>8355.84</v>
      </c>
      <c r="W908" s="971" t="e">
        <f t="shared" si="17"/>
        <v>#DIV/0!</v>
      </c>
      <c r="Y908" s="967">
        <v>44166</v>
      </c>
      <c r="Z908" s="974">
        <f ca="1">H858*Valuation_Senario!$L$372</f>
        <v>12509.873290419999</v>
      </c>
      <c r="AA908" s="973">
        <v>13.62</v>
      </c>
      <c r="AM908" s="967">
        <v>44096</v>
      </c>
      <c r="AN908" s="974">
        <v>99600</v>
      </c>
      <c r="AO908" s="976">
        <v>0.48999999860991</v>
      </c>
    </row>
    <row r="909" spans="1:41">
      <c r="A909" s="966">
        <v>902</v>
      </c>
      <c r="B909" s="967">
        <v>44095</v>
      </c>
      <c r="C909" s="966">
        <v>98400</v>
      </c>
      <c r="D909" s="966">
        <v>0</v>
      </c>
      <c r="E909" s="966">
        <v>0</v>
      </c>
      <c r="F909" s="966">
        <v>54100.45</v>
      </c>
      <c r="G909" s="966">
        <v>44543.688088800001</v>
      </c>
      <c r="H909" s="966">
        <v>8355.84</v>
      </c>
      <c r="I909" s="966">
        <v>11.78</v>
      </c>
      <c r="Q909" s="967">
        <v>44095</v>
      </c>
      <c r="R909" s="966">
        <v>98400</v>
      </c>
      <c r="S909" s="966">
        <v>0.48999999860991</v>
      </c>
      <c r="T909" s="969">
        <v>0</v>
      </c>
      <c r="U909" s="966">
        <v>8355.84</v>
      </c>
      <c r="W909" s="971" t="e">
        <f t="shared" si="17"/>
        <v>#DIV/0!</v>
      </c>
      <c r="Y909" s="967">
        <v>44165</v>
      </c>
      <c r="Z909" s="974">
        <f ca="1">H859*Valuation_Senario!$L$372</f>
        <v>12509.873290419999</v>
      </c>
      <c r="AA909" s="973">
        <v>13.62</v>
      </c>
      <c r="AM909" s="967">
        <v>44095</v>
      </c>
      <c r="AN909" s="974">
        <v>98400</v>
      </c>
      <c r="AO909" s="976">
        <v>0.48999999860991</v>
      </c>
    </row>
    <row r="910" spans="1:41">
      <c r="A910" s="966">
        <v>903</v>
      </c>
      <c r="B910" s="967">
        <v>44092</v>
      </c>
      <c r="C910" s="966">
        <v>94500</v>
      </c>
      <c r="D910" s="966">
        <v>0</v>
      </c>
      <c r="E910" s="966">
        <v>0</v>
      </c>
      <c r="F910" s="966">
        <v>52335</v>
      </c>
      <c r="G910" s="966">
        <v>42778.237036500002</v>
      </c>
      <c r="H910" s="966">
        <v>8355.84</v>
      </c>
      <c r="I910" s="966">
        <v>11.31</v>
      </c>
      <c r="Q910" s="967">
        <v>44092</v>
      </c>
      <c r="R910" s="966">
        <v>94500</v>
      </c>
      <c r="S910" s="966">
        <v>0.48999999860991</v>
      </c>
      <c r="T910" s="969">
        <v>0</v>
      </c>
      <c r="U910" s="966">
        <v>8355.84</v>
      </c>
      <c r="W910" s="971" t="e">
        <f t="shared" si="17"/>
        <v>#DIV/0!</v>
      </c>
      <c r="Y910" s="967">
        <v>44162</v>
      </c>
      <c r="Z910" s="974">
        <f ca="1">H860*Valuation_Senario!$L$372</f>
        <v>12509.873290419999</v>
      </c>
      <c r="AA910" s="973">
        <v>13.56</v>
      </c>
      <c r="AM910" s="967">
        <v>44092</v>
      </c>
      <c r="AN910" s="974">
        <v>94500</v>
      </c>
      <c r="AO910" s="976">
        <v>0.48999999860991</v>
      </c>
    </row>
    <row r="911" spans="1:41">
      <c r="A911" s="966">
        <v>904</v>
      </c>
      <c r="B911" s="967">
        <v>44091</v>
      </c>
      <c r="C911" s="966">
        <v>94200</v>
      </c>
      <c r="D911" s="966">
        <v>0</v>
      </c>
      <c r="E911" s="966">
        <v>0</v>
      </c>
      <c r="F911" s="966">
        <v>52199.199999999997</v>
      </c>
      <c r="G911" s="966">
        <v>42642.433109400001</v>
      </c>
      <c r="H911" s="966">
        <v>8355.84</v>
      </c>
      <c r="I911" s="966">
        <v>11.27</v>
      </c>
      <c r="Q911" s="967">
        <v>44091</v>
      </c>
      <c r="R911" s="966">
        <v>94200</v>
      </c>
      <c r="S911" s="966">
        <v>0.48999999860991</v>
      </c>
      <c r="T911" s="969">
        <v>0</v>
      </c>
      <c r="U911" s="966">
        <v>8355.84</v>
      </c>
      <c r="W911" s="971" t="e">
        <f t="shared" si="17"/>
        <v>#DIV/0!</v>
      </c>
      <c r="Y911" s="967">
        <v>44161</v>
      </c>
      <c r="Z911" s="974">
        <f ca="1">H861*Valuation_Senario!$L$372</f>
        <v>12509.873290419999</v>
      </c>
      <c r="AA911" s="973">
        <v>13.24</v>
      </c>
      <c r="AM911" s="967">
        <v>44091</v>
      </c>
      <c r="AN911" s="974">
        <v>94200</v>
      </c>
      <c r="AO911" s="976">
        <v>0.48999999860991</v>
      </c>
    </row>
    <row r="912" spans="1:41">
      <c r="A912" s="966">
        <v>905</v>
      </c>
      <c r="B912" s="967">
        <v>44090</v>
      </c>
      <c r="C912" s="966">
        <v>94600</v>
      </c>
      <c r="D912" s="966">
        <v>0</v>
      </c>
      <c r="E912" s="966">
        <v>0</v>
      </c>
      <c r="F912" s="966">
        <v>52380.27</v>
      </c>
      <c r="G912" s="966">
        <v>42823.505012200003</v>
      </c>
      <c r="H912" s="966">
        <v>8355.84</v>
      </c>
      <c r="I912" s="966">
        <v>11.32</v>
      </c>
      <c r="Q912" s="967">
        <v>44090</v>
      </c>
      <c r="R912" s="966">
        <v>94600</v>
      </c>
      <c r="S912" s="966">
        <v>0.48999999860991</v>
      </c>
      <c r="T912" s="969">
        <v>0</v>
      </c>
      <c r="U912" s="966">
        <v>8355.84</v>
      </c>
      <c r="W912" s="971" t="e">
        <f t="shared" si="17"/>
        <v>#DIV/0!</v>
      </c>
      <c r="Y912" s="967">
        <v>44160</v>
      </c>
      <c r="Z912" s="974">
        <f ca="1">H862*Valuation_Senario!$L$372</f>
        <v>12509.873290419999</v>
      </c>
      <c r="AA912" s="973">
        <v>13.15</v>
      </c>
      <c r="AM912" s="967">
        <v>44090</v>
      </c>
      <c r="AN912" s="974">
        <v>94600</v>
      </c>
      <c r="AO912" s="976">
        <v>0.48999999860991</v>
      </c>
    </row>
    <row r="913" spans="1:41">
      <c r="A913" s="966">
        <v>906</v>
      </c>
      <c r="B913" s="967">
        <v>44089</v>
      </c>
      <c r="C913" s="966">
        <v>92900</v>
      </c>
      <c r="D913" s="966">
        <v>0</v>
      </c>
      <c r="E913" s="966">
        <v>0</v>
      </c>
      <c r="F913" s="966">
        <v>51610.720000000001</v>
      </c>
      <c r="G913" s="966">
        <v>42053.949425300001</v>
      </c>
      <c r="H913" s="966">
        <v>8355.84</v>
      </c>
      <c r="I913" s="966">
        <v>11.12</v>
      </c>
      <c r="Q913" s="967">
        <v>44089</v>
      </c>
      <c r="R913" s="966">
        <v>92900</v>
      </c>
      <c r="S913" s="966">
        <v>0.48999999860991</v>
      </c>
      <c r="T913" s="969">
        <v>0</v>
      </c>
      <c r="U913" s="966">
        <v>8355.84</v>
      </c>
      <c r="W913" s="971" t="e">
        <f t="shared" si="17"/>
        <v>#DIV/0!</v>
      </c>
      <c r="Y913" s="967">
        <v>44159</v>
      </c>
      <c r="Z913" s="974">
        <f ca="1">H863*Valuation_Senario!$L$372</f>
        <v>12509.873290419999</v>
      </c>
      <c r="AA913" s="973">
        <v>13.15</v>
      </c>
      <c r="AM913" s="967">
        <v>44089</v>
      </c>
      <c r="AN913" s="974">
        <v>92900</v>
      </c>
      <c r="AO913" s="976">
        <v>0.48999999860991</v>
      </c>
    </row>
    <row r="914" spans="1:41">
      <c r="A914" s="966">
        <v>907</v>
      </c>
      <c r="B914" s="967">
        <v>44088</v>
      </c>
      <c r="C914" s="966">
        <v>93000</v>
      </c>
      <c r="D914" s="966">
        <v>0</v>
      </c>
      <c r="E914" s="966">
        <v>0</v>
      </c>
      <c r="F914" s="966">
        <v>51655.98</v>
      </c>
      <c r="G914" s="966">
        <v>42099.217401000002</v>
      </c>
      <c r="H914" s="966">
        <v>8355.84</v>
      </c>
      <c r="I914" s="966">
        <v>11.13</v>
      </c>
      <c r="Q914" s="967">
        <v>44088</v>
      </c>
      <c r="R914" s="966">
        <v>93000</v>
      </c>
      <c r="S914" s="966">
        <v>0.48999999860991</v>
      </c>
      <c r="T914" s="969">
        <v>0</v>
      </c>
      <c r="U914" s="966">
        <v>8355.84</v>
      </c>
      <c r="W914" s="971" t="e">
        <f t="shared" si="17"/>
        <v>#DIV/0!</v>
      </c>
      <c r="Y914" s="967">
        <v>44158</v>
      </c>
      <c r="Z914" s="974">
        <f ca="1">H864*Valuation_Senario!$L$372</f>
        <v>12509.873290419999</v>
      </c>
      <c r="AA914" s="973">
        <v>13.29</v>
      </c>
      <c r="AM914" s="967">
        <v>44088</v>
      </c>
      <c r="AN914" s="974">
        <v>93000</v>
      </c>
      <c r="AO914" s="976">
        <v>0.48999999860991</v>
      </c>
    </row>
    <row r="915" spans="1:41">
      <c r="A915" s="966">
        <v>908</v>
      </c>
      <c r="B915" s="967">
        <v>44085</v>
      </c>
      <c r="C915" s="966">
        <v>93400</v>
      </c>
      <c r="D915" s="966">
        <v>0</v>
      </c>
      <c r="E915" s="966">
        <v>0</v>
      </c>
      <c r="F915" s="966">
        <v>51837.06</v>
      </c>
      <c r="G915" s="966">
        <v>42280.289303799997</v>
      </c>
      <c r="H915" s="966">
        <v>8355.84</v>
      </c>
      <c r="I915" s="966">
        <v>11.18</v>
      </c>
      <c r="Q915" s="967">
        <v>44085</v>
      </c>
      <c r="R915" s="966">
        <v>93400</v>
      </c>
      <c r="S915" s="966">
        <v>0.48999999860991</v>
      </c>
      <c r="T915" s="969">
        <v>0</v>
      </c>
      <c r="U915" s="966">
        <v>8355.84</v>
      </c>
      <c r="W915" s="971" t="e">
        <f t="shared" si="17"/>
        <v>#DIV/0!</v>
      </c>
      <c r="Y915" s="967">
        <v>44155</v>
      </c>
      <c r="Z915" s="974">
        <f ca="1">H865*Valuation_Senario!$L$372</f>
        <v>12509.873290419999</v>
      </c>
      <c r="AA915" s="973">
        <v>13.01</v>
      </c>
      <c r="AM915" s="967">
        <v>44085</v>
      </c>
      <c r="AN915" s="974">
        <v>93400</v>
      </c>
      <c r="AO915" s="976">
        <v>0.48999999860991</v>
      </c>
    </row>
    <row r="916" spans="1:41">
      <c r="A916" s="966">
        <v>909</v>
      </c>
      <c r="B916" s="967">
        <v>44084</v>
      </c>
      <c r="C916" s="966">
        <v>93900</v>
      </c>
      <c r="D916" s="966">
        <v>0</v>
      </c>
      <c r="E916" s="966">
        <v>0</v>
      </c>
      <c r="F916" s="966">
        <v>52063.39</v>
      </c>
      <c r="G916" s="966">
        <v>42506.629182299999</v>
      </c>
      <c r="H916" s="966">
        <v>8355.84</v>
      </c>
      <c r="I916" s="966">
        <v>11.24</v>
      </c>
      <c r="Q916" s="967">
        <v>44084</v>
      </c>
      <c r="R916" s="966">
        <v>93900</v>
      </c>
      <c r="S916" s="966">
        <v>0.48999999860991</v>
      </c>
      <c r="T916" s="969">
        <v>0</v>
      </c>
      <c r="U916" s="966">
        <v>8355.84</v>
      </c>
      <c r="W916" s="971" t="e">
        <f t="shared" si="17"/>
        <v>#DIV/0!</v>
      </c>
      <c r="Y916" s="967">
        <v>44154</v>
      </c>
      <c r="Z916" s="974">
        <f ca="1">H866*Valuation_Senario!$L$372</f>
        <v>12509.873290419999</v>
      </c>
      <c r="AA916" s="973">
        <v>13.15</v>
      </c>
      <c r="AM916" s="967">
        <v>44084</v>
      </c>
      <c r="AN916" s="974">
        <v>93900</v>
      </c>
      <c r="AO916" s="976">
        <v>0.48999999860991</v>
      </c>
    </row>
    <row r="917" spans="1:41">
      <c r="A917" s="966">
        <v>910</v>
      </c>
      <c r="B917" s="967">
        <v>44083</v>
      </c>
      <c r="C917" s="966">
        <v>93400</v>
      </c>
      <c r="D917" s="966">
        <v>0</v>
      </c>
      <c r="E917" s="966">
        <v>0</v>
      </c>
      <c r="F917" s="966">
        <v>51837.06</v>
      </c>
      <c r="G917" s="966">
        <v>42280.289303799997</v>
      </c>
      <c r="H917" s="966">
        <v>8355.84</v>
      </c>
      <c r="I917" s="966">
        <v>11.18</v>
      </c>
      <c r="Q917" s="967">
        <v>44083</v>
      </c>
      <c r="R917" s="966">
        <v>93400</v>
      </c>
      <c r="S917" s="966">
        <v>0.48999999860991</v>
      </c>
      <c r="T917" s="969">
        <v>0</v>
      </c>
      <c r="U917" s="966">
        <v>8355.84</v>
      </c>
      <c r="W917" s="971" t="e">
        <f t="shared" si="17"/>
        <v>#DIV/0!</v>
      </c>
      <c r="Y917" s="967">
        <v>44153</v>
      </c>
      <c r="Z917" s="974">
        <f ca="1">H867*Valuation_Senario!$L$372</f>
        <v>12509.873290419999</v>
      </c>
      <c r="AA917" s="973">
        <v>12.98</v>
      </c>
      <c r="AM917" s="967">
        <v>44083</v>
      </c>
      <c r="AN917" s="974">
        <v>93400</v>
      </c>
      <c r="AO917" s="976">
        <v>0.48999999860991</v>
      </c>
    </row>
    <row r="918" spans="1:41">
      <c r="A918" s="966">
        <v>911</v>
      </c>
      <c r="B918" s="967">
        <v>44082</v>
      </c>
      <c r="C918" s="966">
        <v>93100</v>
      </c>
      <c r="D918" s="966">
        <v>0</v>
      </c>
      <c r="E918" s="966">
        <v>0</v>
      </c>
      <c r="F918" s="966">
        <v>51701.25</v>
      </c>
      <c r="G918" s="966">
        <v>42144.485376700002</v>
      </c>
      <c r="H918" s="966">
        <v>8355.84</v>
      </c>
      <c r="I918" s="966">
        <v>11.14</v>
      </c>
      <c r="Q918" s="967">
        <v>44082</v>
      </c>
      <c r="R918" s="966">
        <v>93100</v>
      </c>
      <c r="S918" s="966">
        <v>0.48999999860991</v>
      </c>
      <c r="T918" s="969">
        <v>0</v>
      </c>
      <c r="U918" s="966">
        <v>8355.84</v>
      </c>
      <c r="W918" s="971" t="e">
        <f t="shared" si="17"/>
        <v>#DIV/0!</v>
      </c>
      <c r="Y918" s="967">
        <v>44152</v>
      </c>
      <c r="Z918" s="974">
        <f ca="1">H868*Valuation_Senario!$L$372</f>
        <v>12509.873290419999</v>
      </c>
      <c r="AA918" s="973">
        <v>13.15</v>
      </c>
      <c r="AM918" s="967">
        <v>44082</v>
      </c>
      <c r="AN918" s="974">
        <v>93100</v>
      </c>
      <c r="AO918" s="976">
        <v>0.48999999860991</v>
      </c>
    </row>
    <row r="919" spans="1:41">
      <c r="A919" s="966">
        <v>912</v>
      </c>
      <c r="B919" s="967">
        <v>44081</v>
      </c>
      <c r="C919" s="966">
        <v>90300</v>
      </c>
      <c r="D919" s="966">
        <v>0</v>
      </c>
      <c r="E919" s="966">
        <v>0.752</v>
      </c>
      <c r="F919" s="966">
        <v>50433.75</v>
      </c>
      <c r="G919" s="966">
        <v>40876.982057100002</v>
      </c>
      <c r="H919" s="966">
        <v>8355.84</v>
      </c>
      <c r="I919" s="966">
        <v>10.81</v>
      </c>
      <c r="Q919" s="967">
        <v>44081</v>
      </c>
      <c r="R919" s="966">
        <v>90300</v>
      </c>
      <c r="S919" s="966">
        <v>0.48999999860991</v>
      </c>
      <c r="T919" s="969">
        <v>-0.752</v>
      </c>
      <c r="U919" s="966">
        <v>8355.84</v>
      </c>
      <c r="W919" s="971" t="e">
        <f t="shared" si="17"/>
        <v>#DIV/0!</v>
      </c>
      <c r="Y919" s="967">
        <v>44151</v>
      </c>
      <c r="Z919" s="974">
        <f ca="1">H869*Valuation_Senario!$L$372</f>
        <v>12509.873290419999</v>
      </c>
      <c r="AA919" s="973">
        <v>12.88</v>
      </c>
      <c r="AM919" s="967">
        <v>44081</v>
      </c>
      <c r="AN919" s="974">
        <v>90300</v>
      </c>
      <c r="AO919" s="976">
        <v>0.48999999860991</v>
      </c>
    </row>
    <row r="920" spans="1:41">
      <c r="A920" s="966">
        <v>913</v>
      </c>
      <c r="B920" s="967">
        <v>44078</v>
      </c>
      <c r="C920" s="966">
        <v>94100</v>
      </c>
      <c r="D920" s="966">
        <v>0</v>
      </c>
      <c r="E920" s="966">
        <v>0</v>
      </c>
      <c r="F920" s="966">
        <v>52153.93</v>
      </c>
      <c r="G920" s="966">
        <v>42597.1651337</v>
      </c>
      <c r="H920" s="966">
        <v>8355.84</v>
      </c>
      <c r="I920" s="966">
        <v>11.26</v>
      </c>
      <c r="Q920" s="967">
        <v>44078</v>
      </c>
      <c r="R920" s="966">
        <v>94100</v>
      </c>
      <c r="S920" s="966">
        <v>0.48999999860991</v>
      </c>
      <c r="T920" s="969">
        <v>0</v>
      </c>
      <c r="U920" s="966">
        <v>8355.84</v>
      </c>
      <c r="W920" s="971" t="e">
        <f t="shared" si="17"/>
        <v>#DIV/0!</v>
      </c>
      <c r="Y920" s="967">
        <v>44148</v>
      </c>
      <c r="Z920" s="974">
        <f ca="1">H870*Valuation_Senario!$L$372</f>
        <v>12509.873290419999</v>
      </c>
      <c r="AA920" s="973">
        <v>13.04</v>
      </c>
      <c r="AM920" s="967">
        <v>44078</v>
      </c>
      <c r="AN920" s="974">
        <v>94100</v>
      </c>
      <c r="AO920" s="976">
        <v>0.48999999860991</v>
      </c>
    </row>
    <row r="921" spans="1:41">
      <c r="A921" s="966">
        <v>914</v>
      </c>
      <c r="B921" s="967">
        <v>44077</v>
      </c>
      <c r="C921" s="966">
        <v>94800</v>
      </c>
      <c r="D921" s="966">
        <v>0</v>
      </c>
      <c r="E921" s="966">
        <v>0</v>
      </c>
      <c r="F921" s="966">
        <v>52470.81</v>
      </c>
      <c r="G921" s="966">
        <v>42914.040963599997</v>
      </c>
      <c r="H921" s="966">
        <v>8355.84</v>
      </c>
      <c r="I921" s="966">
        <v>11.35</v>
      </c>
      <c r="Q921" s="967">
        <v>44077</v>
      </c>
      <c r="R921" s="966">
        <v>94800</v>
      </c>
      <c r="S921" s="966">
        <v>0.48999999860991</v>
      </c>
      <c r="T921" s="969">
        <v>0</v>
      </c>
      <c r="U921" s="966">
        <v>8355.84</v>
      </c>
      <c r="W921" s="971" t="e">
        <f t="shared" si="17"/>
        <v>#DIV/0!</v>
      </c>
      <c r="Y921" s="967">
        <v>44147</v>
      </c>
      <c r="Z921" s="974">
        <f ca="1">H871*Valuation_Senario!$L$372</f>
        <v>12509.873290419999</v>
      </c>
      <c r="AA921" s="973">
        <v>13.04</v>
      </c>
      <c r="AM921" s="967">
        <v>44077</v>
      </c>
      <c r="AN921" s="974">
        <v>94800</v>
      </c>
      <c r="AO921" s="976">
        <v>0.48999999860991</v>
      </c>
    </row>
    <row r="922" spans="1:41">
      <c r="A922" s="966">
        <v>915</v>
      </c>
      <c r="B922" s="967">
        <v>44075</v>
      </c>
      <c r="C922" s="966">
        <v>93800</v>
      </c>
      <c r="D922" s="966">
        <v>2.698299</v>
      </c>
      <c r="E922" s="966">
        <v>2.698299</v>
      </c>
      <c r="F922" s="966">
        <v>52018.13</v>
      </c>
      <c r="G922" s="966">
        <v>42461.361206599999</v>
      </c>
      <c r="H922" s="966">
        <v>8355.84</v>
      </c>
      <c r="I922" s="966">
        <v>11.23</v>
      </c>
      <c r="Q922" s="967">
        <v>44075</v>
      </c>
      <c r="R922" s="966">
        <v>93800</v>
      </c>
      <c r="S922" s="966">
        <v>0.48999999860991</v>
      </c>
      <c r="T922" s="969">
        <v>0</v>
      </c>
      <c r="U922" s="966">
        <v>8355.84</v>
      </c>
      <c r="W922" s="971" t="e">
        <f t="shared" si="17"/>
        <v>#DIV/0!</v>
      </c>
      <c r="Y922" s="967">
        <v>44146</v>
      </c>
      <c r="Z922" s="974">
        <f ca="1">H872*Valuation_Senario!$L$372</f>
        <v>12509.873290419999</v>
      </c>
      <c r="AA922" s="973">
        <v>12.68</v>
      </c>
      <c r="AM922" s="967">
        <v>44075</v>
      </c>
      <c r="AN922" s="974">
        <v>93800</v>
      </c>
      <c r="AO922" s="976">
        <v>0.48999999860991</v>
      </c>
    </row>
    <row r="923" spans="1:41">
      <c r="A923" s="966">
        <v>916</v>
      </c>
      <c r="B923" s="967">
        <v>44074</v>
      </c>
      <c r="C923" s="966">
        <v>93400</v>
      </c>
      <c r="D923" s="966">
        <v>0</v>
      </c>
      <c r="E923" s="966">
        <v>0</v>
      </c>
      <c r="F923" s="966">
        <v>51837.06</v>
      </c>
      <c r="G923" s="966">
        <v>42280.289303799997</v>
      </c>
      <c r="H923" s="966">
        <v>8355.84</v>
      </c>
      <c r="I923" s="966">
        <v>11.18</v>
      </c>
      <c r="Q923" s="967">
        <v>44074</v>
      </c>
      <c r="R923" s="966">
        <v>93400</v>
      </c>
      <c r="S923" s="966">
        <v>0.48999999860991</v>
      </c>
      <c r="T923" s="969">
        <v>0</v>
      </c>
      <c r="U923" s="966">
        <v>8355.84</v>
      </c>
      <c r="W923" s="971" t="e">
        <f t="shared" si="17"/>
        <v>#DIV/0!</v>
      </c>
      <c r="Y923" s="967">
        <v>44145</v>
      </c>
      <c r="Z923" s="974">
        <f ca="1">H873*Valuation_Senario!$L$372</f>
        <v>12509.873290419999</v>
      </c>
      <c r="AA923" s="973">
        <v>12.44</v>
      </c>
      <c r="AM923" s="967">
        <v>44074</v>
      </c>
      <c r="AN923" s="974">
        <v>93400</v>
      </c>
      <c r="AO923" s="976">
        <v>0.48999999860991</v>
      </c>
    </row>
    <row r="924" spans="1:41">
      <c r="A924" s="966">
        <v>917</v>
      </c>
      <c r="B924" s="967">
        <v>44071</v>
      </c>
      <c r="C924" s="966">
        <v>92800</v>
      </c>
      <c r="D924" s="966">
        <v>1.9019999999999999</v>
      </c>
      <c r="E924" s="966">
        <v>1.9019999999999999</v>
      </c>
      <c r="F924" s="966">
        <v>51565.45</v>
      </c>
      <c r="G924" s="966">
        <v>42008.681449600001</v>
      </c>
      <c r="H924" s="966">
        <v>8355.84</v>
      </c>
      <c r="I924" s="966">
        <v>11.11</v>
      </c>
      <c r="Q924" s="967">
        <v>44071</v>
      </c>
      <c r="R924" s="966">
        <v>92800</v>
      </c>
      <c r="S924" s="966">
        <v>0.48999999860991</v>
      </c>
      <c r="T924" s="969">
        <v>0</v>
      </c>
      <c r="U924" s="966">
        <v>8355.84</v>
      </c>
      <c r="W924" s="971" t="e">
        <f t="shared" si="17"/>
        <v>#DIV/0!</v>
      </c>
      <c r="Y924" s="967">
        <v>44144</v>
      </c>
      <c r="Z924" s="974">
        <f ca="1">H874*Valuation_Senario!$L$372</f>
        <v>12509.873290419999</v>
      </c>
      <c r="AA924" s="973">
        <v>12.41</v>
      </c>
      <c r="AM924" s="967">
        <v>44071</v>
      </c>
      <c r="AN924" s="974">
        <v>92800</v>
      </c>
      <c r="AO924" s="976">
        <v>0.48999999860991</v>
      </c>
    </row>
    <row r="925" spans="1:41">
      <c r="A925" s="966">
        <v>918</v>
      </c>
      <c r="B925" s="967">
        <v>44070</v>
      </c>
      <c r="C925" s="966">
        <v>88900</v>
      </c>
      <c r="D925" s="966">
        <v>0</v>
      </c>
      <c r="E925" s="966">
        <v>0</v>
      </c>
      <c r="F925" s="966">
        <v>49800</v>
      </c>
      <c r="G925" s="966">
        <v>40243.230397300002</v>
      </c>
      <c r="H925" s="966">
        <v>8355.84</v>
      </c>
      <c r="I925" s="966">
        <v>10.64</v>
      </c>
      <c r="Q925" s="967">
        <v>44070</v>
      </c>
      <c r="R925" s="966">
        <v>88900</v>
      </c>
      <c r="S925" s="966">
        <v>0.48999999860991</v>
      </c>
      <c r="T925" s="969">
        <v>0</v>
      </c>
      <c r="U925" s="966">
        <v>8355.84</v>
      </c>
      <c r="W925" s="971" t="e">
        <f t="shared" si="17"/>
        <v>#DIV/0!</v>
      </c>
      <c r="Y925" s="967">
        <v>44141</v>
      </c>
      <c r="Z925" s="974">
        <f ca="1">H875*Valuation_Senario!$L$372</f>
        <v>12509.873290419999</v>
      </c>
      <c r="AA925" s="973">
        <v>12.33</v>
      </c>
      <c r="AM925" s="967">
        <v>44070</v>
      </c>
      <c r="AN925" s="974">
        <v>88900</v>
      </c>
      <c r="AO925" s="976">
        <v>0.48999999860991</v>
      </c>
    </row>
    <row r="926" spans="1:41">
      <c r="A926" s="966">
        <v>919</v>
      </c>
      <c r="B926" s="967">
        <v>44069</v>
      </c>
      <c r="C926" s="966">
        <v>87300</v>
      </c>
      <c r="D926" s="966">
        <v>7.6946440000000003</v>
      </c>
      <c r="E926" s="966">
        <v>7.6946440000000003</v>
      </c>
      <c r="F926" s="966">
        <v>49075.71</v>
      </c>
      <c r="G926" s="966">
        <v>39518.9427861</v>
      </c>
      <c r="H926" s="966">
        <v>8355.84</v>
      </c>
      <c r="I926" s="966">
        <v>10.45</v>
      </c>
      <c r="Q926" s="967">
        <v>44069</v>
      </c>
      <c r="R926" s="966">
        <v>87300</v>
      </c>
      <c r="S926" s="966">
        <v>0.48999999860991</v>
      </c>
      <c r="T926" s="969">
        <v>0</v>
      </c>
      <c r="U926" s="966">
        <v>8355.84</v>
      </c>
      <c r="W926" s="971" t="e">
        <f t="shared" si="17"/>
        <v>#DIV/0!</v>
      </c>
      <c r="Y926" s="967">
        <v>44140</v>
      </c>
      <c r="Z926" s="974">
        <f ca="1">H876*Valuation_Senario!$L$372</f>
        <v>12509.873290419999</v>
      </c>
      <c r="AA926" s="973">
        <v>12.54</v>
      </c>
      <c r="AM926" s="967">
        <v>44069</v>
      </c>
      <c r="AN926" s="974">
        <v>87300</v>
      </c>
      <c r="AO926" s="976">
        <v>0.48999999860991</v>
      </c>
    </row>
    <row r="927" spans="1:41">
      <c r="A927" s="966">
        <v>920</v>
      </c>
      <c r="B927" s="967">
        <v>44068</v>
      </c>
      <c r="C927" s="966">
        <v>87600</v>
      </c>
      <c r="D927" s="966">
        <v>0</v>
      </c>
      <c r="E927" s="966">
        <v>0</v>
      </c>
      <c r="F927" s="966">
        <v>49211.51</v>
      </c>
      <c r="G927" s="966">
        <v>39654.746713200002</v>
      </c>
      <c r="H927" s="966">
        <v>8355.84</v>
      </c>
      <c r="I927" s="966">
        <v>10.48</v>
      </c>
      <c r="Q927" s="967">
        <v>44068</v>
      </c>
      <c r="R927" s="966">
        <v>87600</v>
      </c>
      <c r="S927" s="966">
        <v>0.48999999860991</v>
      </c>
      <c r="T927" s="969">
        <v>0</v>
      </c>
      <c r="U927" s="966">
        <v>8355.84</v>
      </c>
      <c r="W927" s="971" t="e">
        <f t="shared" si="17"/>
        <v>#DIV/0!</v>
      </c>
      <c r="Y927" s="967">
        <v>44139</v>
      </c>
      <c r="Z927" s="974">
        <f ca="1">H877*Valuation_Senario!$L$372</f>
        <v>12509.873290419999</v>
      </c>
      <c r="AA927" s="973">
        <v>12.54</v>
      </c>
      <c r="AM927" s="967">
        <v>44068</v>
      </c>
      <c r="AN927" s="974">
        <v>87600</v>
      </c>
      <c r="AO927" s="976">
        <v>0.48999999860991</v>
      </c>
    </row>
    <row r="928" spans="1:41">
      <c r="A928" s="966">
        <v>921</v>
      </c>
      <c r="B928" s="967">
        <v>44067</v>
      </c>
      <c r="C928" s="966">
        <v>84100</v>
      </c>
      <c r="D928" s="966">
        <v>0</v>
      </c>
      <c r="E928" s="966">
        <v>0</v>
      </c>
      <c r="F928" s="966">
        <v>47638.71</v>
      </c>
      <c r="G928" s="966">
        <v>38081.9455266</v>
      </c>
      <c r="H928" s="966">
        <v>8353.27</v>
      </c>
      <c r="I928" s="966">
        <v>10.07</v>
      </c>
      <c r="Q928" s="967">
        <v>44067</v>
      </c>
      <c r="R928" s="966">
        <v>84100</v>
      </c>
      <c r="S928" s="966">
        <v>0.48999999860991</v>
      </c>
      <c r="T928" s="969">
        <v>0</v>
      </c>
      <c r="U928" s="966">
        <v>8353.27</v>
      </c>
      <c r="W928" s="971" t="e">
        <f t="shared" si="17"/>
        <v>#DIV/0!</v>
      </c>
      <c r="Y928" s="967">
        <v>44138</v>
      </c>
      <c r="Z928" s="974">
        <f ca="1">H878*Valuation_Senario!$L$372</f>
        <v>12509.873290419999</v>
      </c>
      <c r="AA928" s="973">
        <v>12.58</v>
      </c>
      <c r="AM928" s="967">
        <v>44067</v>
      </c>
      <c r="AN928" s="974">
        <v>84100</v>
      </c>
      <c r="AO928" s="976">
        <v>0.48999999860991</v>
      </c>
    </row>
    <row r="929" spans="1:41">
      <c r="A929" s="966">
        <v>922</v>
      </c>
      <c r="B929" s="967">
        <v>44064</v>
      </c>
      <c r="C929" s="966">
        <v>82000</v>
      </c>
      <c r="D929" s="966">
        <v>0</v>
      </c>
      <c r="E929" s="966">
        <v>0</v>
      </c>
      <c r="F929" s="966">
        <v>46687.79</v>
      </c>
      <c r="G929" s="966">
        <v>37131.028932000001</v>
      </c>
      <c r="H929" s="966">
        <v>8353.27</v>
      </c>
      <c r="I929" s="966">
        <v>9.82</v>
      </c>
      <c r="Q929" s="967">
        <v>44064</v>
      </c>
      <c r="R929" s="966">
        <v>82000</v>
      </c>
      <c r="S929" s="966">
        <v>0.48999999860991</v>
      </c>
      <c r="T929" s="969">
        <v>0</v>
      </c>
      <c r="U929" s="966">
        <v>8353.27</v>
      </c>
      <c r="W929" s="971" t="e">
        <f t="shared" si="17"/>
        <v>#DIV/0!</v>
      </c>
      <c r="Y929" s="967">
        <v>44137</v>
      </c>
      <c r="Z929" s="974">
        <f ca="1">H879*Valuation_Senario!$L$372</f>
        <v>12509.873290419999</v>
      </c>
      <c r="AA929" s="973">
        <v>12.49</v>
      </c>
      <c r="AM929" s="967">
        <v>44064</v>
      </c>
      <c r="AN929" s="974">
        <v>82000</v>
      </c>
      <c r="AO929" s="976">
        <v>0.48999999860991</v>
      </c>
    </row>
    <row r="930" spans="1:41">
      <c r="A930" s="966">
        <v>923</v>
      </c>
      <c r="B930" s="967">
        <v>44063</v>
      </c>
      <c r="C930" s="966">
        <v>81700</v>
      </c>
      <c r="D930" s="966">
        <v>0</v>
      </c>
      <c r="E930" s="966">
        <v>0</v>
      </c>
      <c r="F930" s="966">
        <v>46551.95</v>
      </c>
      <c r="G930" s="966">
        <v>36995.183704199997</v>
      </c>
      <c r="H930" s="966">
        <v>8353.27</v>
      </c>
      <c r="I930" s="966">
        <v>9.7799999999999994</v>
      </c>
      <c r="Q930" s="967">
        <v>44063</v>
      </c>
      <c r="R930" s="966">
        <v>81700</v>
      </c>
      <c r="S930" s="966">
        <v>0.48999999860991</v>
      </c>
      <c r="T930" s="969">
        <v>0</v>
      </c>
      <c r="U930" s="966">
        <v>8353.27</v>
      </c>
      <c r="W930" s="971" t="e">
        <f t="shared" si="17"/>
        <v>#DIV/0!</v>
      </c>
      <c r="Y930" s="967">
        <v>44134</v>
      </c>
      <c r="Z930" s="974">
        <f ca="1">H880*Valuation_Senario!$L$372</f>
        <v>12509.873290419999</v>
      </c>
      <c r="AA930" s="973">
        <v>12.29</v>
      </c>
      <c r="AM930" s="967">
        <v>44063</v>
      </c>
      <c r="AN930" s="974">
        <v>81700</v>
      </c>
      <c r="AO930" s="976">
        <v>0.48999999860991</v>
      </c>
    </row>
    <row r="931" spans="1:41">
      <c r="A931" s="966">
        <v>924</v>
      </c>
      <c r="B931" s="967">
        <v>44062</v>
      </c>
      <c r="C931" s="966">
        <v>81800</v>
      </c>
      <c r="D931" s="966">
        <v>0</v>
      </c>
      <c r="E931" s="966">
        <v>0</v>
      </c>
      <c r="F931" s="966">
        <v>46597.23</v>
      </c>
      <c r="G931" s="966">
        <v>37040.465446800001</v>
      </c>
      <c r="H931" s="966">
        <v>8353.27</v>
      </c>
      <c r="I931" s="966">
        <v>9.7899999999999991</v>
      </c>
      <c r="Q931" s="967">
        <v>44062</v>
      </c>
      <c r="R931" s="966">
        <v>81800</v>
      </c>
      <c r="S931" s="966">
        <v>0.48999999860991</v>
      </c>
      <c r="T931" s="969">
        <v>0</v>
      </c>
      <c r="U931" s="966">
        <v>8353.27</v>
      </c>
      <c r="W931" s="971" t="e">
        <f t="shared" si="17"/>
        <v>#DIV/0!</v>
      </c>
      <c r="Y931" s="967">
        <v>44133</v>
      </c>
      <c r="Z931" s="974">
        <f ca="1">H881*Valuation_Senario!$L$372</f>
        <v>12272.218209539998</v>
      </c>
      <c r="AA931" s="973">
        <v>12.24</v>
      </c>
      <c r="AM931" s="967">
        <v>44062</v>
      </c>
      <c r="AN931" s="974">
        <v>81800</v>
      </c>
      <c r="AO931" s="976">
        <v>0.48999999860991</v>
      </c>
    </row>
    <row r="932" spans="1:41">
      <c r="A932" s="966">
        <v>925</v>
      </c>
      <c r="B932" s="967">
        <v>44061</v>
      </c>
      <c r="C932" s="966">
        <v>81400</v>
      </c>
      <c r="D932" s="966">
        <v>0</v>
      </c>
      <c r="E932" s="966">
        <v>0</v>
      </c>
      <c r="F932" s="966">
        <v>46416.1</v>
      </c>
      <c r="G932" s="966">
        <v>36859.3384764</v>
      </c>
      <c r="H932" s="966">
        <v>8353.27</v>
      </c>
      <c r="I932" s="966">
        <v>9.74</v>
      </c>
      <c r="Q932" s="967">
        <v>44061</v>
      </c>
      <c r="R932" s="966">
        <v>81400</v>
      </c>
      <c r="S932" s="966">
        <v>0.48999999860991</v>
      </c>
      <c r="T932" s="969">
        <v>0</v>
      </c>
      <c r="U932" s="966">
        <v>8353.27</v>
      </c>
      <c r="W932" s="971" t="e">
        <f t="shared" si="17"/>
        <v>#DIV/0!</v>
      </c>
      <c r="Y932" s="967">
        <v>44132</v>
      </c>
      <c r="Z932" s="974">
        <f ca="1">H882*Valuation_Senario!$L$372</f>
        <v>12272.218209539998</v>
      </c>
      <c r="AA932" s="973">
        <v>12.56</v>
      </c>
      <c r="AM932" s="967">
        <v>44061</v>
      </c>
      <c r="AN932" s="974">
        <v>81400</v>
      </c>
      <c r="AO932" s="976">
        <v>0.48999999860991</v>
      </c>
    </row>
    <row r="933" spans="1:41">
      <c r="A933" s="966">
        <v>926</v>
      </c>
      <c r="B933" s="967">
        <v>44060</v>
      </c>
      <c r="C933" s="966">
        <v>82200</v>
      </c>
      <c r="D933" s="966">
        <v>0</v>
      </c>
      <c r="E933" s="966">
        <v>0</v>
      </c>
      <c r="F933" s="966">
        <v>46778.36</v>
      </c>
      <c r="G933" s="966">
        <v>37221.592417200001</v>
      </c>
      <c r="H933" s="966">
        <v>8353.27</v>
      </c>
      <c r="I933" s="966">
        <v>9.84</v>
      </c>
      <c r="Q933" s="967">
        <v>44060</v>
      </c>
      <c r="R933" s="966">
        <v>82200</v>
      </c>
      <c r="S933" s="966">
        <v>0.48999999860991</v>
      </c>
      <c r="T933" s="969">
        <v>0</v>
      </c>
      <c r="U933" s="966">
        <v>8353.27</v>
      </c>
      <c r="W933" s="971" t="e">
        <f t="shared" si="17"/>
        <v>#DIV/0!</v>
      </c>
      <c r="Y933" s="967">
        <v>44131</v>
      </c>
      <c r="Z933" s="974">
        <f ca="1">H883*Valuation_Senario!$L$372</f>
        <v>12272.218209539998</v>
      </c>
      <c r="AA933" s="973">
        <v>13.16</v>
      </c>
      <c r="AM933" s="967">
        <v>44060</v>
      </c>
      <c r="AN933" s="974">
        <v>82200</v>
      </c>
      <c r="AO933" s="976">
        <v>0.48999999860991</v>
      </c>
    </row>
    <row r="934" spans="1:41">
      <c r="A934" s="966">
        <v>927</v>
      </c>
      <c r="B934" s="967">
        <v>44057</v>
      </c>
      <c r="C934" s="966">
        <v>83100</v>
      </c>
      <c r="D934" s="966">
        <v>0</v>
      </c>
      <c r="E934" s="966">
        <v>0</v>
      </c>
      <c r="F934" s="966">
        <v>47185.89</v>
      </c>
      <c r="G934" s="966">
        <v>37629.128100599999</v>
      </c>
      <c r="H934" s="966">
        <v>8353.27</v>
      </c>
      <c r="I934" s="966">
        <v>9.9499999999999993</v>
      </c>
      <c r="Q934" s="967">
        <v>44057</v>
      </c>
      <c r="R934" s="966">
        <v>83100</v>
      </c>
      <c r="S934" s="966">
        <v>0.48999999860991</v>
      </c>
      <c r="T934" s="969">
        <v>0</v>
      </c>
      <c r="U934" s="966">
        <v>8353.27</v>
      </c>
      <c r="W934" s="971" t="e">
        <f t="shared" si="17"/>
        <v>#DIV/0!</v>
      </c>
      <c r="Y934" s="967">
        <v>44130</v>
      </c>
      <c r="Z934" s="974">
        <f ca="1">H884*Valuation_Senario!$L$372</f>
        <v>12272.218209539998</v>
      </c>
      <c r="AA934" s="973">
        <v>13.16</v>
      </c>
      <c r="AM934" s="967">
        <v>44057</v>
      </c>
      <c r="AN934" s="974">
        <v>83100</v>
      </c>
      <c r="AO934" s="976">
        <v>0.48999999860991</v>
      </c>
    </row>
    <row r="935" spans="1:41">
      <c r="A935" s="966">
        <v>928</v>
      </c>
      <c r="B935" s="967">
        <v>44056</v>
      </c>
      <c r="C935" s="966">
        <v>82200</v>
      </c>
      <c r="D935" s="966">
        <v>0</v>
      </c>
      <c r="E935" s="966">
        <v>0</v>
      </c>
      <c r="F935" s="966">
        <v>46778.36</v>
      </c>
      <c r="G935" s="966">
        <v>37221.592417200001</v>
      </c>
      <c r="H935" s="966">
        <v>8353.27</v>
      </c>
      <c r="I935" s="966">
        <v>9.84</v>
      </c>
      <c r="Q935" s="967">
        <v>44056</v>
      </c>
      <c r="R935" s="966">
        <v>82200</v>
      </c>
      <c r="S935" s="966">
        <v>0.48999999860991</v>
      </c>
      <c r="T935" s="969">
        <v>0</v>
      </c>
      <c r="U935" s="966">
        <v>8353.27</v>
      </c>
      <c r="W935" s="971" t="e">
        <f t="shared" si="17"/>
        <v>#DIV/0!</v>
      </c>
      <c r="Y935" s="967">
        <v>44127</v>
      </c>
      <c r="Z935" s="974">
        <f ca="1">H885*Valuation_Senario!$L$372</f>
        <v>12272.218209539998</v>
      </c>
      <c r="AA935" s="973">
        <v>13.16</v>
      </c>
      <c r="AM935" s="967">
        <v>44056</v>
      </c>
      <c r="AN935" s="974">
        <v>82200</v>
      </c>
      <c r="AO935" s="976">
        <v>0.48999999860991</v>
      </c>
    </row>
    <row r="936" spans="1:41">
      <c r="A936" s="966">
        <v>929</v>
      </c>
      <c r="B936" s="967">
        <v>44055</v>
      </c>
      <c r="C936" s="966">
        <v>79800</v>
      </c>
      <c r="D936" s="966">
        <v>0</v>
      </c>
      <c r="E936" s="966">
        <v>0</v>
      </c>
      <c r="F936" s="966">
        <v>45691.6</v>
      </c>
      <c r="G936" s="966">
        <v>36134.830594799998</v>
      </c>
      <c r="H936" s="966">
        <v>8353.27</v>
      </c>
      <c r="I936" s="966">
        <v>9.5500000000000007</v>
      </c>
      <c r="Q936" s="967">
        <v>44055</v>
      </c>
      <c r="R936" s="966">
        <v>79800</v>
      </c>
      <c r="S936" s="966">
        <v>0.48999999860991</v>
      </c>
      <c r="T936" s="969">
        <v>0</v>
      </c>
      <c r="U936" s="966">
        <v>8353.27</v>
      </c>
      <c r="W936" s="971" t="e">
        <f t="shared" si="17"/>
        <v>#DIV/0!</v>
      </c>
      <c r="Y936" s="967">
        <v>44126</v>
      </c>
      <c r="Z936" s="974">
        <f ca="1">H886*Valuation_Senario!$L$372</f>
        <v>12272.218209539998</v>
      </c>
      <c r="AA936" s="973">
        <v>12.98</v>
      </c>
      <c r="AM936" s="967">
        <v>44055</v>
      </c>
      <c r="AN936" s="974">
        <v>79800</v>
      </c>
      <c r="AO936" s="976">
        <v>0.48999999860991</v>
      </c>
    </row>
    <row r="937" spans="1:41">
      <c r="A937" s="966">
        <v>930</v>
      </c>
      <c r="B937" s="967">
        <v>44054</v>
      </c>
      <c r="C937" s="966">
        <v>79500</v>
      </c>
      <c r="D937" s="966">
        <v>0</v>
      </c>
      <c r="E937" s="966">
        <v>0</v>
      </c>
      <c r="F937" s="966">
        <v>45555.75</v>
      </c>
      <c r="G937" s="966">
        <v>35998.985367000001</v>
      </c>
      <c r="H937" s="966">
        <v>8353.27</v>
      </c>
      <c r="I937" s="966">
        <v>9.52</v>
      </c>
      <c r="Q937" s="967">
        <v>44054</v>
      </c>
      <c r="R937" s="966">
        <v>79500</v>
      </c>
      <c r="S937" s="966">
        <v>0.48999999860991</v>
      </c>
      <c r="T937" s="969">
        <v>0</v>
      </c>
      <c r="U937" s="966">
        <v>8353.27</v>
      </c>
      <c r="W937" s="971" t="e">
        <f t="shared" si="17"/>
        <v>#DIV/0!</v>
      </c>
      <c r="Y937" s="967">
        <v>44125</v>
      </c>
      <c r="Z937" s="974">
        <f ca="1">H887*Valuation_Senario!$L$372</f>
        <v>12272.218209539998</v>
      </c>
      <c r="AA937" s="973">
        <v>12.66</v>
      </c>
      <c r="AM937" s="967">
        <v>44054</v>
      </c>
      <c r="AN937" s="974">
        <v>79500</v>
      </c>
      <c r="AO937" s="976">
        <v>0.48999999860991</v>
      </c>
    </row>
    <row r="938" spans="1:41">
      <c r="A938" s="966">
        <v>931</v>
      </c>
      <c r="B938" s="967">
        <v>44053</v>
      </c>
      <c r="C938" s="966">
        <v>79000</v>
      </c>
      <c r="D938" s="966">
        <v>0</v>
      </c>
      <c r="E938" s="966">
        <v>0</v>
      </c>
      <c r="F938" s="966">
        <v>45329.34</v>
      </c>
      <c r="G938" s="966">
        <v>35772.576653999997</v>
      </c>
      <c r="H938" s="966">
        <v>8353.27</v>
      </c>
      <c r="I938" s="966">
        <v>9.4600000000000009</v>
      </c>
      <c r="Q938" s="967">
        <v>44053</v>
      </c>
      <c r="R938" s="966">
        <v>79000</v>
      </c>
      <c r="S938" s="966">
        <v>0.48999999860991</v>
      </c>
      <c r="T938" s="969">
        <v>0</v>
      </c>
      <c r="U938" s="966">
        <v>8353.27</v>
      </c>
      <c r="W938" s="971" t="e">
        <f t="shared" si="17"/>
        <v>#DIV/0!</v>
      </c>
      <c r="Y938" s="967">
        <v>44124</v>
      </c>
      <c r="Z938" s="974">
        <f ca="1">H888*Valuation_Senario!$L$372</f>
        <v>12272.218209539998</v>
      </c>
      <c r="AA938" s="973">
        <v>12.78</v>
      </c>
      <c r="AM938" s="967">
        <v>44053</v>
      </c>
      <c r="AN938" s="974">
        <v>79000</v>
      </c>
      <c r="AO938" s="976">
        <v>0.48999999860991</v>
      </c>
    </row>
    <row r="939" spans="1:41">
      <c r="A939" s="966">
        <v>932</v>
      </c>
      <c r="B939" s="967">
        <v>44050</v>
      </c>
      <c r="C939" s="966">
        <v>78600</v>
      </c>
      <c r="D939" s="966">
        <v>0</v>
      </c>
      <c r="E939" s="966">
        <v>0</v>
      </c>
      <c r="F939" s="966">
        <v>45148.22</v>
      </c>
      <c r="G939" s="966">
        <v>35591.449683600003</v>
      </c>
      <c r="H939" s="966">
        <v>8353.27</v>
      </c>
      <c r="I939" s="966">
        <v>9.41</v>
      </c>
      <c r="Q939" s="967">
        <v>44050</v>
      </c>
      <c r="R939" s="966">
        <v>78600</v>
      </c>
      <c r="S939" s="966">
        <v>0.48999999860991</v>
      </c>
      <c r="T939" s="969">
        <v>0</v>
      </c>
      <c r="U939" s="966">
        <v>8353.27</v>
      </c>
      <c r="W939" s="971" t="e">
        <f t="shared" si="17"/>
        <v>#DIV/0!</v>
      </c>
      <c r="Y939" s="967">
        <v>44123</v>
      </c>
      <c r="Z939" s="974">
        <f ca="1">H889*Valuation_Senario!$L$372</f>
        <v>12272.218209539998</v>
      </c>
      <c r="AA939" s="973">
        <v>12.78</v>
      </c>
      <c r="AM939" s="967">
        <v>44050</v>
      </c>
      <c r="AN939" s="974">
        <v>78600</v>
      </c>
      <c r="AO939" s="976">
        <v>0.48999999860991</v>
      </c>
    </row>
    <row r="940" spans="1:41">
      <c r="A940" s="966">
        <v>933</v>
      </c>
      <c r="B940" s="967">
        <v>44049</v>
      </c>
      <c r="C940" s="966">
        <v>79300</v>
      </c>
      <c r="D940" s="966">
        <v>0</v>
      </c>
      <c r="E940" s="966">
        <v>0</v>
      </c>
      <c r="F940" s="966">
        <v>45465.19</v>
      </c>
      <c r="G940" s="966">
        <v>35908.421881800001</v>
      </c>
      <c r="H940" s="966">
        <v>8353.27</v>
      </c>
      <c r="I940" s="966">
        <v>9.49</v>
      </c>
      <c r="Q940" s="967">
        <v>44049</v>
      </c>
      <c r="R940" s="966">
        <v>79300</v>
      </c>
      <c r="S940" s="966">
        <v>0.48999999860991</v>
      </c>
      <c r="T940" s="969">
        <v>0</v>
      </c>
      <c r="U940" s="966">
        <v>8353.27</v>
      </c>
      <c r="W940" s="971" t="e">
        <f t="shared" si="17"/>
        <v>#DIV/0!</v>
      </c>
      <c r="Y940" s="967">
        <v>44120</v>
      </c>
      <c r="Z940" s="974">
        <f ca="1">H890*Valuation_Senario!$L$372</f>
        <v>12270.191738879999</v>
      </c>
      <c r="AA940" s="973">
        <v>12.97</v>
      </c>
      <c r="AM940" s="967">
        <v>44049</v>
      </c>
      <c r="AN940" s="974">
        <v>79300</v>
      </c>
      <c r="AO940" s="976">
        <v>0.48999999860991</v>
      </c>
    </row>
    <row r="941" spans="1:41">
      <c r="A941" s="966">
        <v>934</v>
      </c>
      <c r="B941" s="967">
        <v>44048</v>
      </c>
      <c r="C941" s="966">
        <v>79200</v>
      </c>
      <c r="D941" s="966">
        <v>0</v>
      </c>
      <c r="E941" s="966">
        <v>0</v>
      </c>
      <c r="F941" s="966">
        <v>45419.91</v>
      </c>
      <c r="G941" s="966">
        <v>35863.140139199997</v>
      </c>
      <c r="H941" s="966">
        <v>8353.27</v>
      </c>
      <c r="I941" s="966">
        <v>9.48</v>
      </c>
      <c r="Q941" s="967">
        <v>44048</v>
      </c>
      <c r="R941" s="966">
        <v>79200</v>
      </c>
      <c r="S941" s="966">
        <v>0.48999999860991</v>
      </c>
      <c r="T941" s="969">
        <v>0</v>
      </c>
      <c r="U941" s="966">
        <v>8353.27</v>
      </c>
      <c r="W941" s="971" t="e">
        <f t="shared" si="17"/>
        <v>#DIV/0!</v>
      </c>
      <c r="Y941" s="967">
        <v>44119</v>
      </c>
      <c r="Z941" s="974">
        <f ca="1">H891*Valuation_Senario!$L$372</f>
        <v>12270.191738879999</v>
      </c>
      <c r="AA941" s="973">
        <v>13.09</v>
      </c>
      <c r="AM941" s="967">
        <v>44048</v>
      </c>
      <c r="AN941" s="974">
        <v>79200</v>
      </c>
      <c r="AO941" s="976">
        <v>0.48999999860991</v>
      </c>
    </row>
    <row r="942" spans="1:41">
      <c r="A942" s="966">
        <v>935</v>
      </c>
      <c r="B942" s="967">
        <v>44047</v>
      </c>
      <c r="C942" s="966">
        <v>77000</v>
      </c>
      <c r="D942" s="966">
        <v>0</v>
      </c>
      <c r="E942" s="966">
        <v>0</v>
      </c>
      <c r="F942" s="966">
        <v>44423.71</v>
      </c>
      <c r="G942" s="966">
        <v>34866.941802000001</v>
      </c>
      <c r="H942" s="966">
        <v>8353.27</v>
      </c>
      <c r="I942" s="966">
        <v>9.2200000000000006</v>
      </c>
      <c r="Q942" s="967">
        <v>44047</v>
      </c>
      <c r="R942" s="966">
        <v>77000</v>
      </c>
      <c r="S942" s="966">
        <v>0.48999999860991</v>
      </c>
      <c r="T942" s="969">
        <v>0</v>
      </c>
      <c r="U942" s="966">
        <v>8353.27</v>
      </c>
      <c r="W942" s="971" t="e">
        <f t="shared" si="17"/>
        <v>#DIV/0!</v>
      </c>
      <c r="Y942" s="967">
        <v>44118</v>
      </c>
      <c r="Z942" s="974">
        <f ca="1">H892*Valuation_Senario!$L$372</f>
        <v>12270.191738879999</v>
      </c>
      <c r="AA942" s="973">
        <v>13.04</v>
      </c>
      <c r="AM942" s="967">
        <v>44047</v>
      </c>
      <c r="AN942" s="974">
        <v>77000</v>
      </c>
      <c r="AO942" s="976">
        <v>0.48999999860991</v>
      </c>
    </row>
    <row r="943" spans="1:41">
      <c r="A943" s="966">
        <v>936</v>
      </c>
      <c r="B943" s="967">
        <v>44046</v>
      </c>
      <c r="C943" s="966">
        <v>76000</v>
      </c>
      <c r="D943" s="966">
        <v>0</v>
      </c>
      <c r="E943" s="966">
        <v>0</v>
      </c>
      <c r="F943" s="966">
        <v>43970.89</v>
      </c>
      <c r="G943" s="966">
        <v>34414.124376</v>
      </c>
      <c r="H943" s="966">
        <v>8353.27</v>
      </c>
      <c r="I943" s="966">
        <v>9.1</v>
      </c>
      <c r="Q943" s="967">
        <v>44046</v>
      </c>
      <c r="R943" s="966">
        <v>76000</v>
      </c>
      <c r="S943" s="966">
        <v>0.48999999860991</v>
      </c>
      <c r="T943" s="969">
        <v>0</v>
      </c>
      <c r="U943" s="966">
        <v>8353.27</v>
      </c>
      <c r="W943" s="971" t="e">
        <f t="shared" si="17"/>
        <v>#DIV/0!</v>
      </c>
      <c r="Y943" s="967">
        <v>44117</v>
      </c>
      <c r="Z943" s="974">
        <f ca="1">H893*Valuation_Senario!$L$372</f>
        <v>12270.191738879999</v>
      </c>
      <c r="AA943" s="973">
        <v>12.71</v>
      </c>
      <c r="AM943" s="967">
        <v>44046</v>
      </c>
      <c r="AN943" s="974">
        <v>76000</v>
      </c>
      <c r="AO943" s="976">
        <v>0.48999999860991</v>
      </c>
    </row>
    <row r="944" spans="1:41">
      <c r="A944" s="966">
        <v>937</v>
      </c>
      <c r="B944" s="967">
        <v>44043</v>
      </c>
      <c r="C944" s="966">
        <v>74500</v>
      </c>
      <c r="D944" s="966">
        <v>3.6249999999999998E-2</v>
      </c>
      <c r="E944" s="966">
        <v>0</v>
      </c>
      <c r="F944" s="966">
        <v>43291.66</v>
      </c>
      <c r="G944" s="966">
        <v>33734.898237000001</v>
      </c>
      <c r="H944" s="966">
        <v>8353.27</v>
      </c>
      <c r="I944" s="966">
        <v>8.92</v>
      </c>
      <c r="Q944" s="967">
        <v>44043</v>
      </c>
      <c r="R944" s="966">
        <v>74500</v>
      </c>
      <c r="S944" s="966">
        <v>0.48999889536856001</v>
      </c>
      <c r="T944" s="969">
        <v>3.6249999999999998E-2</v>
      </c>
      <c r="U944" s="966">
        <v>8353.27</v>
      </c>
      <c r="W944" s="971" t="e">
        <f t="shared" si="17"/>
        <v>#DIV/0!</v>
      </c>
      <c r="Y944" s="967">
        <v>44116</v>
      </c>
      <c r="Z944" s="974">
        <f ca="1">H894*Valuation_Senario!$L$372</f>
        <v>12270.191738879999</v>
      </c>
      <c r="AA944" s="973">
        <v>12.87</v>
      </c>
      <c r="AM944" s="967">
        <v>44043</v>
      </c>
      <c r="AN944" s="974">
        <v>74500</v>
      </c>
      <c r="AO944" s="976">
        <v>0.48999889536856001</v>
      </c>
    </row>
    <row r="945" spans="1:41">
      <c r="A945" s="966">
        <v>938</v>
      </c>
      <c r="B945" s="967">
        <v>44042</v>
      </c>
      <c r="C945" s="966">
        <v>74300</v>
      </c>
      <c r="D945" s="966">
        <v>21.930657</v>
      </c>
      <c r="E945" s="966">
        <v>21.930657</v>
      </c>
      <c r="F945" s="966">
        <v>41997.26</v>
      </c>
      <c r="G945" s="966">
        <v>33644.334751800001</v>
      </c>
      <c r="H945" s="966">
        <v>8816.6</v>
      </c>
      <c r="I945" s="966">
        <v>8.43</v>
      </c>
      <c r="Q945" s="967">
        <v>44042</v>
      </c>
      <c r="R945" s="966">
        <v>74300</v>
      </c>
      <c r="S945" s="966">
        <v>0.48999999860991</v>
      </c>
      <c r="T945" s="969">
        <v>0</v>
      </c>
      <c r="U945" s="966">
        <v>8816.6</v>
      </c>
      <c r="W945" s="971" t="e">
        <f t="shared" si="17"/>
        <v>#DIV/0!</v>
      </c>
      <c r="Y945" s="967">
        <v>44113</v>
      </c>
      <c r="Z945" s="974">
        <f ca="1">H895*Valuation_Senario!$L$372</f>
        <v>12270.191738879999</v>
      </c>
      <c r="AA945" s="973">
        <v>13.04</v>
      </c>
      <c r="AM945" s="967">
        <v>44042</v>
      </c>
      <c r="AN945" s="974">
        <v>74300</v>
      </c>
      <c r="AO945" s="976">
        <v>0.48999999860991</v>
      </c>
    </row>
    <row r="946" spans="1:41">
      <c r="A946" s="966">
        <v>939</v>
      </c>
      <c r="B946" s="967">
        <v>44041</v>
      </c>
      <c r="C946" s="966">
        <v>73000</v>
      </c>
      <c r="D946" s="966">
        <v>0</v>
      </c>
      <c r="E946" s="966">
        <v>0</v>
      </c>
      <c r="F946" s="966">
        <v>41408.589999999997</v>
      </c>
      <c r="G946" s="966">
        <v>33055.672098000003</v>
      </c>
      <c r="H946" s="966">
        <v>8816.6</v>
      </c>
      <c r="I946" s="966">
        <v>8.2799999999999994</v>
      </c>
      <c r="Q946" s="967">
        <v>44041</v>
      </c>
      <c r="R946" s="966">
        <v>73000</v>
      </c>
      <c r="S946" s="966">
        <v>0.48999999860991</v>
      </c>
      <c r="T946" s="969">
        <v>0</v>
      </c>
      <c r="U946" s="966">
        <v>8816.6</v>
      </c>
      <c r="W946" s="971" t="e">
        <f t="shared" si="17"/>
        <v>#DIV/0!</v>
      </c>
      <c r="Y946" s="967">
        <v>44112</v>
      </c>
      <c r="Z946" s="974">
        <f ca="1">H896*Valuation_Senario!$L$372</f>
        <v>12270.191738879999</v>
      </c>
      <c r="AA946" s="973">
        <v>13.1</v>
      </c>
      <c r="AM946" s="967">
        <v>44041</v>
      </c>
      <c r="AN946" s="974">
        <v>73000</v>
      </c>
      <c r="AO946" s="976">
        <v>0.48999999860991</v>
      </c>
    </row>
    <row r="947" spans="1:41">
      <c r="A947" s="966">
        <v>940</v>
      </c>
      <c r="B947" s="967">
        <v>44040</v>
      </c>
      <c r="C947" s="966">
        <v>76000</v>
      </c>
      <c r="D947" s="966">
        <v>0</v>
      </c>
      <c r="E947" s="966">
        <v>3.7150000000000002E-2</v>
      </c>
      <c r="F947" s="966">
        <v>42767.05</v>
      </c>
      <c r="G947" s="966">
        <v>34414.124376</v>
      </c>
      <c r="H947" s="966">
        <v>8816.6</v>
      </c>
      <c r="I947" s="966">
        <v>8.6199999999999992</v>
      </c>
      <c r="Q947" s="967">
        <v>44040</v>
      </c>
      <c r="R947" s="966">
        <v>76000</v>
      </c>
      <c r="S947" s="966">
        <v>0.48999999860991</v>
      </c>
      <c r="T947" s="969">
        <v>-3.7150000000000002E-2</v>
      </c>
      <c r="U947" s="966">
        <v>8816.6</v>
      </c>
      <c r="W947" s="971" t="e">
        <f t="shared" si="17"/>
        <v>#DIV/0!</v>
      </c>
      <c r="Y947" s="967">
        <v>44111</v>
      </c>
      <c r="Z947" s="974">
        <f ca="1">H897*Valuation_Senario!$L$372</f>
        <v>12270.191738879999</v>
      </c>
      <c r="AA947" s="973">
        <v>12.88</v>
      </c>
      <c r="AM947" s="967">
        <v>44040</v>
      </c>
      <c r="AN947" s="974">
        <v>76000</v>
      </c>
      <c r="AO947" s="976">
        <v>0.48999999860991</v>
      </c>
    </row>
    <row r="948" spans="1:41">
      <c r="A948" s="966">
        <v>941</v>
      </c>
      <c r="B948" s="967">
        <v>44039</v>
      </c>
      <c r="C948" s="966">
        <v>73700</v>
      </c>
      <c r="D948" s="966">
        <v>0</v>
      </c>
      <c r="E948" s="966">
        <v>0</v>
      </c>
      <c r="F948" s="966">
        <v>41725.57</v>
      </c>
      <c r="G948" s="966">
        <v>33372.6442962</v>
      </c>
      <c r="H948" s="966">
        <v>8816.6</v>
      </c>
      <c r="I948" s="966">
        <v>8.36</v>
      </c>
      <c r="Q948" s="967">
        <v>44039</v>
      </c>
      <c r="R948" s="966">
        <v>73700</v>
      </c>
      <c r="S948" s="966">
        <v>0.48999999860991</v>
      </c>
      <c r="T948" s="969">
        <v>0</v>
      </c>
      <c r="U948" s="966">
        <v>8816.6</v>
      </c>
      <c r="W948" s="971" t="e">
        <f t="shared" si="17"/>
        <v>#DIV/0!</v>
      </c>
      <c r="Y948" s="967">
        <v>44110</v>
      </c>
      <c r="Z948" s="974">
        <f ca="1">H898*Valuation_Senario!$L$372</f>
        <v>12270.191738879999</v>
      </c>
      <c r="AA948" s="973">
        <v>12.59</v>
      </c>
      <c r="AM948" s="967">
        <v>44039</v>
      </c>
      <c r="AN948" s="974">
        <v>73700</v>
      </c>
      <c r="AO948" s="976">
        <v>0.48999999860991</v>
      </c>
    </row>
    <row r="949" spans="1:41">
      <c r="A949" s="966">
        <v>942</v>
      </c>
      <c r="B949" s="967">
        <v>44036</v>
      </c>
      <c r="C949" s="966">
        <v>79200</v>
      </c>
      <c r="D949" s="966">
        <v>0</v>
      </c>
      <c r="E949" s="966">
        <v>0</v>
      </c>
      <c r="F949" s="966">
        <v>44216.06</v>
      </c>
      <c r="G949" s="966">
        <v>35863.140139199997</v>
      </c>
      <c r="H949" s="966">
        <v>8816.6</v>
      </c>
      <c r="I949" s="966">
        <v>8.98</v>
      </c>
      <c r="Q949" s="967">
        <v>44036</v>
      </c>
      <c r="R949" s="966">
        <v>79200</v>
      </c>
      <c r="S949" s="966">
        <v>0.48999999860991</v>
      </c>
      <c r="T949" s="969">
        <v>0</v>
      </c>
      <c r="U949" s="966">
        <v>8816.6</v>
      </c>
      <c r="W949" s="971" t="e">
        <f t="shared" si="17"/>
        <v>#DIV/0!</v>
      </c>
      <c r="Y949" s="967">
        <v>44109</v>
      </c>
      <c r="Z949" s="974">
        <f ca="1">H899*Valuation_Senario!$L$372</f>
        <v>12270.191738879999</v>
      </c>
      <c r="AA949" s="973">
        <v>12.45</v>
      </c>
      <c r="AM949" s="967">
        <v>44036</v>
      </c>
      <c r="AN949" s="974">
        <v>79200</v>
      </c>
      <c r="AO949" s="976">
        <v>0.48999999860991</v>
      </c>
    </row>
    <row r="950" spans="1:41">
      <c r="A950" s="966">
        <v>943</v>
      </c>
      <c r="B950" s="967">
        <v>44035</v>
      </c>
      <c r="C950" s="966">
        <v>83000</v>
      </c>
      <c r="D950" s="966">
        <v>0</v>
      </c>
      <c r="E950" s="966">
        <v>0</v>
      </c>
      <c r="F950" s="966">
        <v>45936.77</v>
      </c>
      <c r="G950" s="966">
        <v>37583.846358000003</v>
      </c>
      <c r="H950" s="966">
        <v>8816.6</v>
      </c>
      <c r="I950" s="966">
        <v>9.41</v>
      </c>
      <c r="Q950" s="967">
        <v>44035</v>
      </c>
      <c r="R950" s="966">
        <v>83000</v>
      </c>
      <c r="S950" s="966">
        <v>0.48999999860991</v>
      </c>
      <c r="T950" s="969">
        <v>0</v>
      </c>
      <c r="U950" s="966">
        <v>8816.6</v>
      </c>
      <c r="W950" s="971" t="e">
        <f t="shared" si="17"/>
        <v>#DIV/0!</v>
      </c>
      <c r="Y950" s="967">
        <v>44106</v>
      </c>
      <c r="Z950" s="974">
        <f ca="1">H900*Valuation_Senario!$L$372</f>
        <v>12270.191738879999</v>
      </c>
      <c r="AA950" s="973">
        <v>12.45</v>
      </c>
      <c r="AM950" s="967">
        <v>44035</v>
      </c>
      <c r="AN950" s="974">
        <v>83000</v>
      </c>
      <c r="AO950" s="976">
        <v>0.48999999860991</v>
      </c>
    </row>
    <row r="951" spans="1:41">
      <c r="A951" s="966">
        <v>944</v>
      </c>
      <c r="B951" s="967">
        <v>44034</v>
      </c>
      <c r="C951" s="966">
        <v>83200</v>
      </c>
      <c r="D951" s="966">
        <v>0</v>
      </c>
      <c r="E951" s="966">
        <v>0</v>
      </c>
      <c r="F951" s="966">
        <v>46027.33</v>
      </c>
      <c r="G951" s="966">
        <v>37674.409843200003</v>
      </c>
      <c r="H951" s="966">
        <v>8816.6</v>
      </c>
      <c r="I951" s="966">
        <v>9.44</v>
      </c>
      <c r="Q951" s="967">
        <v>44034</v>
      </c>
      <c r="R951" s="966">
        <v>83200</v>
      </c>
      <c r="S951" s="966">
        <v>0.48999999860991</v>
      </c>
      <c r="T951" s="969">
        <v>0</v>
      </c>
      <c r="U951" s="966">
        <v>8816.6</v>
      </c>
      <c r="W951" s="971" t="e">
        <f t="shared" si="17"/>
        <v>#DIV/0!</v>
      </c>
      <c r="Y951" s="967">
        <v>44105</v>
      </c>
      <c r="Z951" s="974">
        <f ca="1">H901*Valuation_Senario!$L$372</f>
        <v>12270.191738879999</v>
      </c>
      <c r="AA951" s="973">
        <v>12.57</v>
      </c>
      <c r="AM951" s="967">
        <v>44034</v>
      </c>
      <c r="AN951" s="974">
        <v>83200</v>
      </c>
      <c r="AO951" s="976">
        <v>0.48999999860991</v>
      </c>
    </row>
    <row r="952" spans="1:41">
      <c r="A952" s="966">
        <v>945</v>
      </c>
      <c r="B952" s="967">
        <v>44033</v>
      </c>
      <c r="C952" s="966">
        <v>83700</v>
      </c>
      <c r="D952" s="966">
        <v>0</v>
      </c>
      <c r="E952" s="966">
        <v>0</v>
      </c>
      <c r="F952" s="966">
        <v>46253.74</v>
      </c>
      <c r="G952" s="966">
        <v>37900.8185562</v>
      </c>
      <c r="H952" s="966">
        <v>8816.6</v>
      </c>
      <c r="I952" s="966">
        <v>9.49</v>
      </c>
      <c r="Q952" s="967">
        <v>44033</v>
      </c>
      <c r="R952" s="966">
        <v>83700</v>
      </c>
      <c r="S952" s="966">
        <v>0.48999999860991</v>
      </c>
      <c r="T952" s="969">
        <v>0</v>
      </c>
      <c r="U952" s="966">
        <v>8816.6</v>
      </c>
      <c r="W952" s="971" t="e">
        <f t="shared" si="17"/>
        <v>#DIV/0!</v>
      </c>
      <c r="Y952" s="967">
        <v>44104</v>
      </c>
      <c r="Z952" s="974">
        <f ca="1">H902*Valuation_Senario!$L$372</f>
        <v>12270.191738879999</v>
      </c>
      <c r="AA952" s="973">
        <v>12.48</v>
      </c>
      <c r="AM952" s="967">
        <v>44033</v>
      </c>
      <c r="AN952" s="974">
        <v>83700</v>
      </c>
      <c r="AO952" s="976">
        <v>0.48999999860991</v>
      </c>
    </row>
    <row r="953" spans="1:41">
      <c r="A953" s="966">
        <v>946</v>
      </c>
      <c r="B953" s="967">
        <v>44032</v>
      </c>
      <c r="C953" s="966">
        <v>83300</v>
      </c>
      <c r="D953" s="966">
        <v>19.204999999999998</v>
      </c>
      <c r="E953" s="966">
        <v>19.204999999999998</v>
      </c>
      <c r="F953" s="966">
        <v>46072.61</v>
      </c>
      <c r="G953" s="966">
        <v>37719.691585799999</v>
      </c>
      <c r="H953" s="966">
        <v>8816.6</v>
      </c>
      <c r="I953" s="966">
        <v>9.4499999999999993</v>
      </c>
      <c r="Q953" s="967">
        <v>44032</v>
      </c>
      <c r="R953" s="966">
        <v>83300</v>
      </c>
      <c r="S953" s="966">
        <v>0.48999999860991</v>
      </c>
      <c r="T953" s="969">
        <v>0</v>
      </c>
      <c r="U953" s="966">
        <v>8816.6</v>
      </c>
      <c r="W953" s="971" t="e">
        <f t="shared" si="17"/>
        <v>#DIV/0!</v>
      </c>
      <c r="Y953" s="967">
        <v>44103</v>
      </c>
      <c r="Z953" s="974">
        <f ca="1">H903*Valuation_Senario!$L$372</f>
        <v>12270.191738879999</v>
      </c>
      <c r="AA953" s="973">
        <v>12.39</v>
      </c>
      <c r="AM953" s="967">
        <v>44032</v>
      </c>
      <c r="AN953" s="974">
        <v>83300</v>
      </c>
      <c r="AO953" s="976">
        <v>0.48999999860991</v>
      </c>
    </row>
    <row r="954" spans="1:41">
      <c r="A954" s="966">
        <v>947</v>
      </c>
      <c r="B954" s="967">
        <v>44029</v>
      </c>
      <c r="C954" s="966">
        <v>84000</v>
      </c>
      <c r="D954" s="966">
        <v>0</v>
      </c>
      <c r="E954" s="966">
        <v>0</v>
      </c>
      <c r="F954" s="966">
        <v>46389.59</v>
      </c>
      <c r="G954" s="966">
        <v>38036.663783999997</v>
      </c>
      <c r="H954" s="966">
        <v>8816.6</v>
      </c>
      <c r="I954" s="966">
        <v>9.5299999999999994</v>
      </c>
      <c r="Q954" s="967">
        <v>44029</v>
      </c>
      <c r="R954" s="966">
        <v>84000</v>
      </c>
      <c r="S954" s="966">
        <v>0.48999999860991</v>
      </c>
      <c r="T954" s="969">
        <v>0</v>
      </c>
      <c r="U954" s="966">
        <v>8816.6</v>
      </c>
      <c r="W954" s="971" t="e">
        <f t="shared" si="17"/>
        <v>#DIV/0!</v>
      </c>
      <c r="Y954" s="967">
        <v>44102</v>
      </c>
      <c r="Z954" s="974">
        <f ca="1">H904*Valuation_Senario!$L$372</f>
        <v>12270.191738879999</v>
      </c>
      <c r="AA954" s="973">
        <v>12.33</v>
      </c>
      <c r="AM954" s="967">
        <v>44029</v>
      </c>
      <c r="AN954" s="974">
        <v>84000</v>
      </c>
      <c r="AO954" s="976">
        <v>0.48999999860991</v>
      </c>
    </row>
    <row r="955" spans="1:41">
      <c r="A955" s="966">
        <v>948</v>
      </c>
      <c r="B955" s="967">
        <v>44028</v>
      </c>
      <c r="C955" s="966">
        <v>84800</v>
      </c>
      <c r="D955" s="966">
        <v>0</v>
      </c>
      <c r="E955" s="966">
        <v>0</v>
      </c>
      <c r="F955" s="966">
        <v>46751.839999999997</v>
      </c>
      <c r="G955" s="966">
        <v>38398.917724799998</v>
      </c>
      <c r="H955" s="966">
        <v>8816.6</v>
      </c>
      <c r="I955" s="966">
        <v>9.6199999999999992</v>
      </c>
      <c r="Q955" s="967">
        <v>44028</v>
      </c>
      <c r="R955" s="966">
        <v>84800</v>
      </c>
      <c r="S955" s="966">
        <v>0.48999999860991</v>
      </c>
      <c r="T955" s="969">
        <v>0</v>
      </c>
      <c r="U955" s="966">
        <v>8816.6</v>
      </c>
      <c r="W955" s="971" t="e">
        <f t="shared" si="17"/>
        <v>#DIV/0!</v>
      </c>
      <c r="Y955" s="967">
        <v>44099</v>
      </c>
      <c r="Z955" s="974">
        <f ca="1">H905*Valuation_Senario!$L$372</f>
        <v>12270.191738879999</v>
      </c>
      <c r="AA955" s="973">
        <v>12.03</v>
      </c>
      <c r="AM955" s="967">
        <v>44028</v>
      </c>
      <c r="AN955" s="974">
        <v>84800</v>
      </c>
      <c r="AO955" s="976">
        <v>0.48999999860991</v>
      </c>
    </row>
    <row r="956" spans="1:41">
      <c r="A956" s="966">
        <v>949</v>
      </c>
      <c r="B956" s="967">
        <v>44027</v>
      </c>
      <c r="C956" s="966">
        <v>84600</v>
      </c>
      <c r="D956" s="966">
        <v>0</v>
      </c>
      <c r="E956" s="966">
        <v>0</v>
      </c>
      <c r="F956" s="966">
        <v>46661.279999999999</v>
      </c>
      <c r="G956" s="966">
        <v>38308.354239599998</v>
      </c>
      <c r="H956" s="966">
        <v>8816.6</v>
      </c>
      <c r="I956" s="966">
        <v>9.6</v>
      </c>
      <c r="Q956" s="967">
        <v>44027</v>
      </c>
      <c r="R956" s="966">
        <v>84600</v>
      </c>
      <c r="S956" s="966">
        <v>0.48999999860991</v>
      </c>
      <c r="T956" s="969">
        <v>0</v>
      </c>
      <c r="U956" s="966">
        <v>8816.6</v>
      </c>
      <c r="W956" s="971" t="e">
        <f t="shared" si="17"/>
        <v>#DIV/0!</v>
      </c>
      <c r="Y956" s="967">
        <v>44098</v>
      </c>
      <c r="Z956" s="974">
        <f ca="1">H906*Valuation_Senario!$L$372</f>
        <v>12270.191738879999</v>
      </c>
      <c r="AA956" s="973">
        <v>12.11</v>
      </c>
      <c r="AM956" s="967">
        <v>44027</v>
      </c>
      <c r="AN956" s="974">
        <v>84600</v>
      </c>
      <c r="AO956" s="976">
        <v>0.48999999860991</v>
      </c>
    </row>
    <row r="957" spans="1:41">
      <c r="A957" s="966">
        <v>950</v>
      </c>
      <c r="B957" s="967">
        <v>44026</v>
      </c>
      <c r="C957" s="966">
        <v>82900</v>
      </c>
      <c r="D957" s="966">
        <v>0</v>
      </c>
      <c r="E957" s="966">
        <v>0</v>
      </c>
      <c r="F957" s="966">
        <v>45891.49</v>
      </c>
      <c r="G957" s="966">
        <v>37538.564615399999</v>
      </c>
      <c r="H957" s="966">
        <v>8816.6</v>
      </c>
      <c r="I957" s="966">
        <v>9.4</v>
      </c>
      <c r="Q957" s="967">
        <v>44026</v>
      </c>
      <c r="R957" s="966">
        <v>82900</v>
      </c>
      <c r="S957" s="966">
        <v>0.48999999860991</v>
      </c>
      <c r="T957" s="969">
        <v>0</v>
      </c>
      <c r="U957" s="966">
        <v>8816.6</v>
      </c>
      <c r="W957" s="971" t="e">
        <f t="shared" si="17"/>
        <v>#DIV/0!</v>
      </c>
      <c r="Y957" s="967">
        <v>44097</v>
      </c>
      <c r="Z957" s="974">
        <f ca="1">H907*Valuation_Senario!$L$372</f>
        <v>12270.191738879999</v>
      </c>
      <c r="AA957" s="973">
        <v>12.2</v>
      </c>
      <c r="AM957" s="967">
        <v>44026</v>
      </c>
      <c r="AN957" s="974">
        <v>82900</v>
      </c>
      <c r="AO957" s="976">
        <v>0.48999999860991</v>
      </c>
    </row>
    <row r="958" spans="1:41">
      <c r="A958" s="966">
        <v>951</v>
      </c>
      <c r="B958" s="967">
        <v>44025</v>
      </c>
      <c r="C958" s="966">
        <v>82800</v>
      </c>
      <c r="D958" s="966">
        <v>0</v>
      </c>
      <c r="E958" s="966">
        <v>0</v>
      </c>
      <c r="F958" s="966">
        <v>45846.21</v>
      </c>
      <c r="G958" s="966">
        <v>37493.282872800002</v>
      </c>
      <c r="H958" s="966">
        <v>8816.6</v>
      </c>
      <c r="I958" s="966">
        <v>9.39</v>
      </c>
      <c r="Q958" s="967">
        <v>44025</v>
      </c>
      <c r="R958" s="966">
        <v>82800</v>
      </c>
      <c r="S958" s="966">
        <v>0.48999999860991</v>
      </c>
      <c r="T958" s="969">
        <v>0</v>
      </c>
      <c r="U958" s="966">
        <v>8816.6</v>
      </c>
      <c r="W958" s="971" t="e">
        <f t="shared" si="17"/>
        <v>#DIV/0!</v>
      </c>
      <c r="Y958" s="967">
        <v>44096</v>
      </c>
      <c r="Z958" s="974">
        <f ca="1">H908*Valuation_Senario!$L$372</f>
        <v>12270.191738879999</v>
      </c>
      <c r="AA958" s="973">
        <v>11.92</v>
      </c>
      <c r="AM958" s="967">
        <v>44025</v>
      </c>
      <c r="AN958" s="974">
        <v>82800</v>
      </c>
      <c r="AO958" s="976">
        <v>0.48999999860991</v>
      </c>
    </row>
    <row r="959" spans="1:41">
      <c r="A959" s="966">
        <v>952</v>
      </c>
      <c r="B959" s="967">
        <v>44022</v>
      </c>
      <c r="C959" s="966">
        <v>82900</v>
      </c>
      <c r="D959" s="966">
        <v>0</v>
      </c>
      <c r="E959" s="966">
        <v>0</v>
      </c>
      <c r="F959" s="966">
        <v>45891.49</v>
      </c>
      <c r="G959" s="966">
        <v>37538.564615399999</v>
      </c>
      <c r="H959" s="966">
        <v>8816.6</v>
      </c>
      <c r="I959" s="966">
        <v>9.4</v>
      </c>
      <c r="Q959" s="967">
        <v>44022</v>
      </c>
      <c r="R959" s="966">
        <v>82900</v>
      </c>
      <c r="S959" s="966">
        <v>0.48999999860991</v>
      </c>
      <c r="T959" s="969">
        <v>0</v>
      </c>
      <c r="U959" s="966">
        <v>8816.6</v>
      </c>
      <c r="W959" s="971" t="e">
        <f t="shared" si="17"/>
        <v>#DIV/0!</v>
      </c>
      <c r="Y959" s="967">
        <v>44095</v>
      </c>
      <c r="Z959" s="974">
        <f ca="1">H909*Valuation_Senario!$L$372</f>
        <v>12270.191738879999</v>
      </c>
      <c r="AA959" s="973">
        <v>11.78</v>
      </c>
      <c r="AM959" s="967">
        <v>44022</v>
      </c>
      <c r="AN959" s="974">
        <v>82900</v>
      </c>
      <c r="AO959" s="976">
        <v>0.48999999860991</v>
      </c>
    </row>
    <row r="960" spans="1:41">
      <c r="A960" s="966">
        <v>953</v>
      </c>
      <c r="B960" s="967">
        <v>44021</v>
      </c>
      <c r="C960" s="966">
        <v>84000</v>
      </c>
      <c r="D960" s="966">
        <v>180.78396760000001</v>
      </c>
      <c r="E960" s="966">
        <v>180.78396760000001</v>
      </c>
      <c r="F960" s="966">
        <v>46389.59</v>
      </c>
      <c r="G960" s="966">
        <v>38036.663783999997</v>
      </c>
      <c r="H960" s="966">
        <v>8816.6</v>
      </c>
      <c r="I960" s="966">
        <v>9.5299999999999994</v>
      </c>
      <c r="Q960" s="967">
        <v>44021</v>
      </c>
      <c r="R960" s="966">
        <v>84000</v>
      </c>
      <c r="S960" s="966">
        <v>0.48999999860991</v>
      </c>
      <c r="T960" s="969">
        <v>0</v>
      </c>
      <c r="U960" s="966">
        <v>8816.6</v>
      </c>
      <c r="W960" s="971" t="e">
        <f t="shared" si="17"/>
        <v>#DIV/0!</v>
      </c>
      <c r="Y960" s="967">
        <v>44092</v>
      </c>
      <c r="Z960" s="974">
        <f ca="1">H910*Valuation_Senario!$L$372</f>
        <v>12270.191738879999</v>
      </c>
      <c r="AA960" s="973">
        <v>11.31</v>
      </c>
      <c r="AM960" s="967">
        <v>44021</v>
      </c>
      <c r="AN960" s="974">
        <v>84000</v>
      </c>
      <c r="AO960" s="976">
        <v>0.48999999860991</v>
      </c>
    </row>
    <row r="961" spans="1:41">
      <c r="A961" s="966">
        <v>954</v>
      </c>
      <c r="B961" s="967">
        <v>44020</v>
      </c>
      <c r="C961" s="966">
        <v>83600</v>
      </c>
      <c r="D961" s="966">
        <v>0</v>
      </c>
      <c r="E961" s="966">
        <v>0</v>
      </c>
      <c r="F961" s="966">
        <v>46208.46</v>
      </c>
      <c r="G961" s="966">
        <v>37855.536813600003</v>
      </c>
      <c r="H961" s="966">
        <v>8816.6</v>
      </c>
      <c r="I961" s="966">
        <v>9.48</v>
      </c>
      <c r="Q961" s="967">
        <v>44020</v>
      </c>
      <c r="R961" s="966">
        <v>83600</v>
      </c>
      <c r="S961" s="966">
        <v>0.48999999860991</v>
      </c>
      <c r="T961" s="969">
        <v>0</v>
      </c>
      <c r="U961" s="966">
        <v>8816.6</v>
      </c>
      <c r="W961" s="971" t="e">
        <f t="shared" si="17"/>
        <v>#DIV/0!</v>
      </c>
      <c r="Y961" s="967">
        <v>44091</v>
      </c>
      <c r="Z961" s="974">
        <f ca="1">H911*Valuation_Senario!$L$372</f>
        <v>12270.191738879999</v>
      </c>
      <c r="AA961" s="973">
        <v>11.27</v>
      </c>
      <c r="AM961" s="967">
        <v>44020</v>
      </c>
      <c r="AN961" s="974">
        <v>83600</v>
      </c>
      <c r="AO961" s="976">
        <v>0.48999999860991</v>
      </c>
    </row>
    <row r="962" spans="1:41">
      <c r="A962" s="966">
        <v>955</v>
      </c>
      <c r="B962" s="967">
        <v>44019</v>
      </c>
      <c r="C962" s="966">
        <v>83700</v>
      </c>
      <c r="D962" s="966">
        <v>102.8702959</v>
      </c>
      <c r="E962" s="966">
        <v>102.8702959</v>
      </c>
      <c r="F962" s="966">
        <v>46253.74</v>
      </c>
      <c r="G962" s="966">
        <v>37900.8185562</v>
      </c>
      <c r="H962" s="966">
        <v>8816.6</v>
      </c>
      <c r="I962" s="966">
        <v>9.49</v>
      </c>
      <c r="Q962" s="967">
        <v>44019</v>
      </c>
      <c r="R962" s="966">
        <v>83700</v>
      </c>
      <c r="S962" s="966">
        <v>0.48999999860991</v>
      </c>
      <c r="T962" s="969">
        <v>0</v>
      </c>
      <c r="U962" s="966">
        <v>8816.6</v>
      </c>
      <c r="W962" s="971" t="e">
        <f t="shared" si="17"/>
        <v>#DIV/0!</v>
      </c>
      <c r="Y962" s="967">
        <v>44090</v>
      </c>
      <c r="Z962" s="974">
        <f ca="1">H912*Valuation_Senario!$L$372</f>
        <v>12270.191738879999</v>
      </c>
      <c r="AA962" s="973">
        <v>11.32</v>
      </c>
      <c r="AM962" s="967">
        <v>44019</v>
      </c>
      <c r="AN962" s="974">
        <v>83700</v>
      </c>
      <c r="AO962" s="976">
        <v>0.48999999860991</v>
      </c>
    </row>
    <row r="963" spans="1:41">
      <c r="A963" s="966">
        <v>956</v>
      </c>
      <c r="B963" s="967">
        <v>44018</v>
      </c>
      <c r="C963" s="966">
        <v>83500</v>
      </c>
      <c r="D963" s="966">
        <v>0</v>
      </c>
      <c r="E963" s="966">
        <v>0</v>
      </c>
      <c r="F963" s="966">
        <v>46163.18</v>
      </c>
      <c r="G963" s="966">
        <v>37810.255071</v>
      </c>
      <c r="H963" s="966">
        <v>8816.6</v>
      </c>
      <c r="I963" s="966">
        <v>9.4700000000000006</v>
      </c>
      <c r="Q963" s="967">
        <v>44018</v>
      </c>
      <c r="R963" s="966">
        <v>83500</v>
      </c>
      <c r="S963" s="966">
        <v>0.48999999860991</v>
      </c>
      <c r="T963" s="969">
        <v>0</v>
      </c>
      <c r="U963" s="966">
        <v>8816.6</v>
      </c>
      <c r="W963" s="971" t="e">
        <f t="shared" si="17"/>
        <v>#DIV/0!</v>
      </c>
      <c r="Y963" s="967">
        <v>44089</v>
      </c>
      <c r="Z963" s="974">
        <f ca="1">H913*Valuation_Senario!$L$372</f>
        <v>12270.191738879999</v>
      </c>
      <c r="AA963" s="973">
        <v>11.12</v>
      </c>
      <c r="AM963" s="967">
        <v>44018</v>
      </c>
      <c r="AN963" s="974">
        <v>83500</v>
      </c>
      <c r="AO963" s="976">
        <v>0.48999999860991</v>
      </c>
    </row>
    <row r="964" spans="1:41">
      <c r="A964" s="966">
        <v>957</v>
      </c>
      <c r="B964" s="967">
        <v>44015</v>
      </c>
      <c r="C964" s="966">
        <v>81700</v>
      </c>
      <c r="D964" s="966">
        <v>0</v>
      </c>
      <c r="E964" s="966">
        <v>0</v>
      </c>
      <c r="F964" s="966">
        <v>45348.11</v>
      </c>
      <c r="G964" s="966">
        <v>36995.183704199997</v>
      </c>
      <c r="H964" s="966">
        <v>8816.6</v>
      </c>
      <c r="I964" s="966">
        <v>9.27</v>
      </c>
      <c r="Q964" s="967">
        <v>44015</v>
      </c>
      <c r="R964" s="966">
        <v>81700</v>
      </c>
      <c r="S964" s="966">
        <v>0.48999999860991</v>
      </c>
      <c r="T964" s="969">
        <v>0</v>
      </c>
      <c r="U964" s="966">
        <v>8816.6</v>
      </c>
      <c r="W964" s="971" t="e">
        <f t="shared" si="17"/>
        <v>#DIV/0!</v>
      </c>
      <c r="Y964" s="967">
        <v>44088</v>
      </c>
      <c r="Z964" s="974">
        <f ca="1">H914*Valuation_Senario!$L$372</f>
        <v>12270.191738879999</v>
      </c>
      <c r="AA964" s="973">
        <v>11.13</v>
      </c>
      <c r="AM964" s="967">
        <v>44015</v>
      </c>
      <c r="AN964" s="974">
        <v>81700</v>
      </c>
      <c r="AO964" s="976">
        <v>0.48999999860991</v>
      </c>
    </row>
    <row r="965" spans="1:41">
      <c r="A965" s="966">
        <v>958</v>
      </c>
      <c r="B965" s="967">
        <v>44014</v>
      </c>
      <c r="C965" s="966">
        <v>81800</v>
      </c>
      <c r="D965" s="966">
        <v>0</v>
      </c>
      <c r="E965" s="966">
        <v>0</v>
      </c>
      <c r="F965" s="966">
        <v>45393.39</v>
      </c>
      <c r="G965" s="966">
        <v>37040.465446800001</v>
      </c>
      <c r="H965" s="966">
        <v>8816.6</v>
      </c>
      <c r="I965" s="966">
        <v>9.2799999999999994</v>
      </c>
      <c r="Q965" s="967">
        <v>44014</v>
      </c>
      <c r="R965" s="966">
        <v>81800</v>
      </c>
      <c r="S965" s="966">
        <v>0.48999999860991</v>
      </c>
      <c r="T965" s="969">
        <v>0</v>
      </c>
      <c r="U965" s="966">
        <v>8816.6</v>
      </c>
      <c r="W965" s="971" t="e">
        <f t="shared" si="17"/>
        <v>#DIV/0!</v>
      </c>
      <c r="Y965" s="967">
        <v>44085</v>
      </c>
      <c r="Z965" s="974">
        <f ca="1">H915*Valuation_Senario!$L$372</f>
        <v>12270.191738879999</v>
      </c>
      <c r="AA965" s="973">
        <v>11.18</v>
      </c>
      <c r="AM965" s="967">
        <v>44014</v>
      </c>
      <c r="AN965" s="974">
        <v>81800</v>
      </c>
      <c r="AO965" s="976">
        <v>0.48999999860991</v>
      </c>
    </row>
    <row r="966" spans="1:41">
      <c r="A966" s="966">
        <v>959</v>
      </c>
      <c r="B966" s="967">
        <v>44013</v>
      </c>
      <c r="C966" s="966">
        <v>82000</v>
      </c>
      <c r="D966" s="966">
        <v>0</v>
      </c>
      <c r="E966" s="966">
        <v>0</v>
      </c>
      <c r="F966" s="966">
        <v>45483.95</v>
      </c>
      <c r="G966" s="966">
        <v>37131.028932000001</v>
      </c>
      <c r="H966" s="966">
        <v>8816.6</v>
      </c>
      <c r="I966" s="966">
        <v>9.3000000000000007</v>
      </c>
      <c r="Q966" s="967">
        <v>44013</v>
      </c>
      <c r="R966" s="966">
        <v>82000</v>
      </c>
      <c r="S966" s="966">
        <v>0.48999999860991</v>
      </c>
      <c r="T966" s="969">
        <v>0</v>
      </c>
      <c r="U966" s="966">
        <v>8816.6</v>
      </c>
      <c r="W966" s="971" t="e">
        <f t="shared" si="17"/>
        <v>#DIV/0!</v>
      </c>
      <c r="Y966" s="967">
        <v>44084</v>
      </c>
      <c r="Z966" s="974">
        <f ca="1">H916*Valuation_Senario!$L$372</f>
        <v>12270.191738879999</v>
      </c>
      <c r="AA966" s="973">
        <v>11.24</v>
      </c>
      <c r="AM966" s="967">
        <v>44013</v>
      </c>
      <c r="AN966" s="974">
        <v>82000</v>
      </c>
      <c r="AO966" s="976">
        <v>0.48999999860991</v>
      </c>
    </row>
    <row r="967" spans="1:41">
      <c r="A967" s="966">
        <v>960</v>
      </c>
      <c r="B967" s="967">
        <v>44012</v>
      </c>
      <c r="C967" s="966">
        <v>80800</v>
      </c>
      <c r="D967" s="966">
        <v>0</v>
      </c>
      <c r="E967" s="966">
        <v>0</v>
      </c>
      <c r="F967" s="966">
        <v>44940.57</v>
      </c>
      <c r="G967" s="966">
        <v>36587.648020799999</v>
      </c>
      <c r="H967" s="966">
        <v>8816.6</v>
      </c>
      <c r="I967" s="966">
        <v>9.16</v>
      </c>
      <c r="Q967" s="967">
        <v>44012</v>
      </c>
      <c r="R967" s="966">
        <v>80800</v>
      </c>
      <c r="S967" s="966">
        <v>0.48999999860991</v>
      </c>
      <c r="T967" s="969">
        <v>0</v>
      </c>
      <c r="U967" s="966">
        <v>8816.6</v>
      </c>
      <c r="W967" s="971" t="e">
        <f t="shared" si="17"/>
        <v>#DIV/0!</v>
      </c>
      <c r="Y967" s="967">
        <v>44083</v>
      </c>
      <c r="Z967" s="974">
        <f ca="1">H917*Valuation_Senario!$L$372</f>
        <v>12270.191738879999</v>
      </c>
      <c r="AA967" s="973">
        <v>11.18</v>
      </c>
      <c r="AM967" s="967">
        <v>44012</v>
      </c>
      <c r="AN967" s="974">
        <v>80800</v>
      </c>
      <c r="AO967" s="976">
        <v>0.48999999860991</v>
      </c>
    </row>
    <row r="968" spans="1:41">
      <c r="A968" s="966">
        <v>961</v>
      </c>
      <c r="B968" s="967">
        <v>44011</v>
      </c>
      <c r="C968" s="966">
        <v>81500</v>
      </c>
      <c r="D968" s="966">
        <v>0</v>
      </c>
      <c r="E968" s="966">
        <v>0</v>
      </c>
      <c r="F968" s="966">
        <v>45257.54</v>
      </c>
      <c r="G968" s="966">
        <v>36904.620218999997</v>
      </c>
      <c r="H968" s="966">
        <v>8816.6</v>
      </c>
      <c r="I968" s="966">
        <v>9.24</v>
      </c>
      <c r="Q968" s="967">
        <v>44011</v>
      </c>
      <c r="R968" s="966">
        <v>81500</v>
      </c>
      <c r="S968" s="966">
        <v>0.48999999860991</v>
      </c>
      <c r="T968" s="969">
        <v>0</v>
      </c>
      <c r="U968" s="966">
        <v>8816.6</v>
      </c>
      <c r="W968" s="971" t="e">
        <f t="shared" si="17"/>
        <v>#DIV/0!</v>
      </c>
      <c r="Y968" s="967">
        <v>44082</v>
      </c>
      <c r="Z968" s="974">
        <f ca="1">H918*Valuation_Senario!$L$372</f>
        <v>12270.191738879999</v>
      </c>
      <c r="AA968" s="973">
        <v>11.14</v>
      </c>
      <c r="AM968" s="967">
        <v>44011</v>
      </c>
      <c r="AN968" s="974">
        <v>81500</v>
      </c>
      <c r="AO968" s="976">
        <v>0.48999999860991</v>
      </c>
    </row>
    <row r="969" spans="1:41">
      <c r="A969" s="966">
        <v>962</v>
      </c>
      <c r="B969" s="967">
        <v>44008</v>
      </c>
      <c r="C969" s="966">
        <v>84200</v>
      </c>
      <c r="D969" s="966">
        <v>0</v>
      </c>
      <c r="E969" s="966">
        <v>0</v>
      </c>
      <c r="F969" s="966">
        <v>46480.15</v>
      </c>
      <c r="G969" s="966">
        <v>38127.227269199997</v>
      </c>
      <c r="H969" s="966">
        <v>8816.6</v>
      </c>
      <c r="I969" s="966">
        <v>9.5500000000000007</v>
      </c>
      <c r="Q969" s="967">
        <v>44008</v>
      </c>
      <c r="R969" s="966">
        <v>84200</v>
      </c>
      <c r="S969" s="966">
        <v>0.48999999860991</v>
      </c>
      <c r="T969" s="969">
        <v>0</v>
      </c>
      <c r="U969" s="966">
        <v>8816.6</v>
      </c>
      <c r="W969" s="971" t="e">
        <f t="shared" ref="W969:W1032" si="18">T969/V969</f>
        <v>#DIV/0!</v>
      </c>
      <c r="Y969" s="967">
        <v>44081</v>
      </c>
      <c r="Z969" s="974">
        <f ca="1">H919*Valuation_Senario!$L$372</f>
        <v>12270.191738879999</v>
      </c>
      <c r="AA969" s="973">
        <v>10.81</v>
      </c>
      <c r="AM969" s="967">
        <v>44008</v>
      </c>
      <c r="AN969" s="974">
        <v>84200</v>
      </c>
      <c r="AO969" s="976">
        <v>0.48999999860991</v>
      </c>
    </row>
    <row r="970" spans="1:41">
      <c r="A970" s="966">
        <v>963</v>
      </c>
      <c r="B970" s="967">
        <v>44007</v>
      </c>
      <c r="C970" s="966">
        <v>83600</v>
      </c>
      <c r="D970" s="966">
        <v>0</v>
      </c>
      <c r="E970" s="966">
        <v>0</v>
      </c>
      <c r="F970" s="966">
        <v>46208.46</v>
      </c>
      <c r="G970" s="966">
        <v>37855.536813600003</v>
      </c>
      <c r="H970" s="966">
        <v>8816.6</v>
      </c>
      <c r="I970" s="966">
        <v>9.48</v>
      </c>
      <c r="Q970" s="967">
        <v>44007</v>
      </c>
      <c r="R970" s="966">
        <v>83600</v>
      </c>
      <c r="S970" s="966">
        <v>0.48999999860991</v>
      </c>
      <c r="T970" s="969">
        <v>0</v>
      </c>
      <c r="U970" s="966">
        <v>8816.6</v>
      </c>
      <c r="W970" s="971" t="e">
        <f t="shared" si="18"/>
        <v>#DIV/0!</v>
      </c>
      <c r="Y970" s="967">
        <v>44078</v>
      </c>
      <c r="Z970" s="974">
        <f ca="1">H920*Valuation_Senario!$L$372</f>
        <v>12270.191738879999</v>
      </c>
      <c r="AA970" s="973">
        <v>11.26</v>
      </c>
      <c r="AM970" s="967">
        <v>44007</v>
      </c>
      <c r="AN970" s="974">
        <v>83600</v>
      </c>
      <c r="AO970" s="976">
        <v>0.48999999860991</v>
      </c>
    </row>
    <row r="971" spans="1:41">
      <c r="A971" s="966">
        <v>964</v>
      </c>
      <c r="B971" s="967">
        <v>44006</v>
      </c>
      <c r="C971" s="966">
        <v>85000</v>
      </c>
      <c r="D971" s="966">
        <v>101.88</v>
      </c>
      <c r="E971" s="966">
        <v>101.88</v>
      </c>
      <c r="F971" s="966">
        <v>46842.400000000001</v>
      </c>
      <c r="G971" s="966">
        <v>38489.481209999998</v>
      </c>
      <c r="H971" s="966">
        <v>8816.6</v>
      </c>
      <c r="I971" s="966">
        <v>9.64</v>
      </c>
      <c r="Q971" s="967">
        <v>44006</v>
      </c>
      <c r="R971" s="966">
        <v>85000</v>
      </c>
      <c r="S971" s="966">
        <v>0.48999999860991</v>
      </c>
      <c r="T971" s="969">
        <v>0</v>
      </c>
      <c r="U971" s="966">
        <v>8816.6</v>
      </c>
      <c r="W971" s="971" t="e">
        <f t="shared" si="18"/>
        <v>#DIV/0!</v>
      </c>
      <c r="Y971" s="967">
        <v>44077</v>
      </c>
      <c r="Z971" s="974">
        <f ca="1">H921*Valuation_Senario!$L$372</f>
        <v>12270.191738879999</v>
      </c>
      <c r="AA971" s="973">
        <v>11.35</v>
      </c>
      <c r="AM971" s="967">
        <v>44006</v>
      </c>
      <c r="AN971" s="974">
        <v>85000</v>
      </c>
      <c r="AO971" s="976">
        <v>0.48999999860991</v>
      </c>
    </row>
    <row r="972" spans="1:41">
      <c r="A972" s="966">
        <v>965</v>
      </c>
      <c r="B972" s="967">
        <v>44005</v>
      </c>
      <c r="C972" s="966">
        <v>85300</v>
      </c>
      <c r="D972" s="966">
        <v>75.358000000000004</v>
      </c>
      <c r="E972" s="966">
        <v>75.358000000000004</v>
      </c>
      <c r="F972" s="966">
        <v>46978.25</v>
      </c>
      <c r="G972" s="966">
        <v>38625.326437800002</v>
      </c>
      <c r="H972" s="966">
        <v>8816.6</v>
      </c>
      <c r="I972" s="966">
        <v>9.67</v>
      </c>
      <c r="Q972" s="967">
        <v>44005</v>
      </c>
      <c r="R972" s="966">
        <v>85300</v>
      </c>
      <c r="S972" s="966">
        <v>0.48999999860991</v>
      </c>
      <c r="T972" s="969">
        <v>0</v>
      </c>
      <c r="U972" s="966">
        <v>8816.6</v>
      </c>
      <c r="W972" s="971" t="e">
        <f t="shared" si="18"/>
        <v>#DIV/0!</v>
      </c>
      <c r="Y972" s="967">
        <v>44075</v>
      </c>
      <c r="Z972" s="974">
        <f ca="1">H922*Valuation_Senario!$L$372</f>
        <v>12270.191738879999</v>
      </c>
      <c r="AA972" s="973">
        <v>11.23</v>
      </c>
      <c r="AM972" s="967">
        <v>44005</v>
      </c>
      <c r="AN972" s="974">
        <v>85300</v>
      </c>
      <c r="AO972" s="976">
        <v>0.48999999860991</v>
      </c>
    </row>
    <row r="973" spans="1:41">
      <c r="A973" s="966">
        <v>966</v>
      </c>
      <c r="B973" s="967">
        <v>44004</v>
      </c>
      <c r="C973" s="966">
        <v>85900</v>
      </c>
      <c r="D973" s="966">
        <v>21.4</v>
      </c>
      <c r="E973" s="966">
        <v>21.4</v>
      </c>
      <c r="F973" s="966">
        <v>47249.94</v>
      </c>
      <c r="G973" s="966">
        <v>38897.016893400003</v>
      </c>
      <c r="H973" s="966">
        <v>8816.6</v>
      </c>
      <c r="I973" s="966">
        <v>9.74</v>
      </c>
      <c r="Q973" s="967">
        <v>44004</v>
      </c>
      <c r="R973" s="966">
        <v>85900</v>
      </c>
      <c r="S973" s="966">
        <v>0.48999999860991</v>
      </c>
      <c r="T973" s="969">
        <v>0</v>
      </c>
      <c r="U973" s="966">
        <v>8816.6</v>
      </c>
      <c r="W973" s="971" t="e">
        <f t="shared" si="18"/>
        <v>#DIV/0!</v>
      </c>
      <c r="Y973" s="967">
        <v>44074</v>
      </c>
      <c r="Z973" s="974">
        <f ca="1">H923*Valuation_Senario!$L$372</f>
        <v>12270.191738879999</v>
      </c>
      <c r="AA973" s="973">
        <v>11.18</v>
      </c>
      <c r="AM973" s="967">
        <v>44004</v>
      </c>
      <c r="AN973" s="974">
        <v>85900</v>
      </c>
      <c r="AO973" s="976">
        <v>0.48999999860991</v>
      </c>
    </row>
    <row r="974" spans="1:41">
      <c r="A974" s="966">
        <v>967</v>
      </c>
      <c r="B974" s="967">
        <v>44001</v>
      </c>
      <c r="C974" s="966">
        <v>84500</v>
      </c>
      <c r="D974" s="966">
        <v>21.15</v>
      </c>
      <c r="E974" s="966">
        <v>21.15</v>
      </c>
      <c r="F974" s="966">
        <v>46615.99</v>
      </c>
      <c r="G974" s="966">
        <v>38263.072497000001</v>
      </c>
      <c r="H974" s="966">
        <v>8816.6</v>
      </c>
      <c r="I974" s="966">
        <v>9.58</v>
      </c>
      <c r="Q974" s="967">
        <v>44001</v>
      </c>
      <c r="R974" s="966">
        <v>84500</v>
      </c>
      <c r="S974" s="966">
        <v>0.48999999860991</v>
      </c>
      <c r="T974" s="969">
        <v>0</v>
      </c>
      <c r="U974" s="966">
        <v>8816.6</v>
      </c>
      <c r="W974" s="971" t="e">
        <f t="shared" si="18"/>
        <v>#DIV/0!</v>
      </c>
      <c r="Y974" s="967">
        <v>44071</v>
      </c>
      <c r="Z974" s="974">
        <f ca="1">H924*Valuation_Senario!$L$372</f>
        <v>12270.191738879999</v>
      </c>
      <c r="AA974" s="973">
        <v>11.11</v>
      </c>
      <c r="AM974" s="967">
        <v>44001</v>
      </c>
      <c r="AN974" s="974">
        <v>84500</v>
      </c>
      <c r="AO974" s="976">
        <v>0.48999999860991</v>
      </c>
    </row>
    <row r="975" spans="1:41">
      <c r="A975" s="966">
        <v>968</v>
      </c>
      <c r="B975" s="967">
        <v>44000</v>
      </c>
      <c r="C975" s="966">
        <v>83800</v>
      </c>
      <c r="D975" s="966">
        <v>0</v>
      </c>
      <c r="E975" s="966">
        <v>0</v>
      </c>
      <c r="F975" s="966">
        <v>46299.02</v>
      </c>
      <c r="G975" s="966">
        <v>37946.100298799996</v>
      </c>
      <c r="H975" s="966">
        <v>8816.6</v>
      </c>
      <c r="I975" s="966">
        <v>9.5</v>
      </c>
      <c r="Q975" s="967">
        <v>44000</v>
      </c>
      <c r="R975" s="966">
        <v>83800</v>
      </c>
      <c r="S975" s="966">
        <v>0.48999999860991</v>
      </c>
      <c r="T975" s="969">
        <v>0</v>
      </c>
      <c r="U975" s="966">
        <v>8816.6</v>
      </c>
      <c r="W975" s="971" t="e">
        <f t="shared" si="18"/>
        <v>#DIV/0!</v>
      </c>
      <c r="Y975" s="967">
        <v>44070</v>
      </c>
      <c r="Z975" s="974">
        <f ca="1">H925*Valuation_Senario!$L$372</f>
        <v>12270.191738879999</v>
      </c>
      <c r="AA975" s="973">
        <v>10.64</v>
      </c>
      <c r="AM975" s="967">
        <v>44000</v>
      </c>
      <c r="AN975" s="974">
        <v>83800</v>
      </c>
      <c r="AO975" s="976">
        <v>0.48999999860991</v>
      </c>
    </row>
    <row r="976" spans="1:41">
      <c r="A976" s="966">
        <v>969</v>
      </c>
      <c r="B976" s="967">
        <v>43999</v>
      </c>
      <c r="C976" s="966">
        <v>83800</v>
      </c>
      <c r="D976" s="966">
        <v>0</v>
      </c>
      <c r="E976" s="966">
        <v>0</v>
      </c>
      <c r="F976" s="966">
        <v>46299.02</v>
      </c>
      <c r="G976" s="966">
        <v>37946.100298799996</v>
      </c>
      <c r="H976" s="966">
        <v>8816.6</v>
      </c>
      <c r="I976" s="966">
        <v>9.5</v>
      </c>
      <c r="Q976" s="967">
        <v>43999</v>
      </c>
      <c r="R976" s="966">
        <v>83800</v>
      </c>
      <c r="S976" s="966">
        <v>0.48999999860991</v>
      </c>
      <c r="T976" s="969">
        <v>0</v>
      </c>
      <c r="U976" s="966">
        <v>8816.6</v>
      </c>
      <c r="W976" s="971" t="e">
        <f t="shared" si="18"/>
        <v>#DIV/0!</v>
      </c>
      <c r="Y976" s="967">
        <v>44069</v>
      </c>
      <c r="Z976" s="974">
        <f ca="1">H926*Valuation_Senario!$L$372</f>
        <v>12270.191738879999</v>
      </c>
      <c r="AA976" s="973">
        <v>10.45</v>
      </c>
      <c r="AM976" s="967">
        <v>43999</v>
      </c>
      <c r="AN976" s="974">
        <v>83800</v>
      </c>
      <c r="AO976" s="976">
        <v>0.48999999860991</v>
      </c>
    </row>
    <row r="977" spans="1:41">
      <c r="A977" s="966">
        <v>970</v>
      </c>
      <c r="B977" s="967">
        <v>43998</v>
      </c>
      <c r="C977" s="966">
        <v>84400</v>
      </c>
      <c r="D977" s="966">
        <v>0</v>
      </c>
      <c r="E977" s="966">
        <v>0</v>
      </c>
      <c r="F977" s="966">
        <v>46570.71</v>
      </c>
      <c r="G977" s="966">
        <v>38217.790754399997</v>
      </c>
      <c r="H977" s="966">
        <v>8816.6</v>
      </c>
      <c r="I977" s="966">
        <v>9.57</v>
      </c>
      <c r="Q977" s="967">
        <v>43998</v>
      </c>
      <c r="R977" s="966">
        <v>84400</v>
      </c>
      <c r="S977" s="966">
        <v>0.48999999860991</v>
      </c>
      <c r="T977" s="969">
        <v>0</v>
      </c>
      <c r="U977" s="966">
        <v>8816.6</v>
      </c>
      <c r="W977" s="971" t="e">
        <f t="shared" si="18"/>
        <v>#DIV/0!</v>
      </c>
      <c r="Y977" s="967">
        <v>44068</v>
      </c>
      <c r="Z977" s="974">
        <f ca="1">H927*Valuation_Senario!$L$372</f>
        <v>12270.191738879999</v>
      </c>
      <c r="AA977" s="973">
        <v>10.48</v>
      </c>
      <c r="AM977" s="967">
        <v>43998</v>
      </c>
      <c r="AN977" s="974">
        <v>84400</v>
      </c>
      <c r="AO977" s="976">
        <v>0.48999999860991</v>
      </c>
    </row>
    <row r="978" spans="1:41">
      <c r="A978" s="966">
        <v>971</v>
      </c>
      <c r="B978" s="967">
        <v>43997</v>
      </c>
      <c r="C978" s="966">
        <v>82500</v>
      </c>
      <c r="D978" s="966">
        <v>0</v>
      </c>
      <c r="E978" s="966">
        <v>0</v>
      </c>
      <c r="F978" s="966">
        <v>45710.36</v>
      </c>
      <c r="G978" s="966">
        <v>37357.437644999998</v>
      </c>
      <c r="H978" s="966">
        <v>8816.6</v>
      </c>
      <c r="I978" s="966">
        <v>9.36</v>
      </c>
      <c r="Q978" s="967">
        <v>43997</v>
      </c>
      <c r="R978" s="966">
        <v>82500</v>
      </c>
      <c r="S978" s="966">
        <v>0.48999999860991</v>
      </c>
      <c r="T978" s="969">
        <v>0</v>
      </c>
      <c r="U978" s="966">
        <v>8816.6</v>
      </c>
      <c r="W978" s="971" t="e">
        <f t="shared" si="18"/>
        <v>#DIV/0!</v>
      </c>
      <c r="Y978" s="967">
        <v>44067</v>
      </c>
      <c r="Z978" s="974">
        <f ca="1">H928*Valuation_Senario!$L$372</f>
        <v>12266.417804389999</v>
      </c>
      <c r="AA978" s="973">
        <v>10.07</v>
      </c>
      <c r="AM978" s="967">
        <v>43997</v>
      </c>
      <c r="AN978" s="974">
        <v>82500</v>
      </c>
      <c r="AO978" s="976">
        <v>0.48999999860991</v>
      </c>
    </row>
    <row r="979" spans="1:41">
      <c r="A979" s="966">
        <v>972</v>
      </c>
      <c r="B979" s="967">
        <v>43994</v>
      </c>
      <c r="C979" s="966">
        <v>86000</v>
      </c>
      <c r="D979" s="966">
        <v>0</v>
      </c>
      <c r="E979" s="966">
        <v>0</v>
      </c>
      <c r="F979" s="966">
        <v>47295.22</v>
      </c>
      <c r="G979" s="966">
        <v>38942.298636</v>
      </c>
      <c r="H979" s="966">
        <v>8816.6</v>
      </c>
      <c r="I979" s="966">
        <v>9.75</v>
      </c>
      <c r="Q979" s="967">
        <v>43994</v>
      </c>
      <c r="R979" s="966">
        <v>86000</v>
      </c>
      <c r="S979" s="966">
        <v>0.48999999860991</v>
      </c>
      <c r="T979" s="969">
        <v>0</v>
      </c>
      <c r="U979" s="966">
        <v>8816.6</v>
      </c>
      <c r="W979" s="971" t="e">
        <f t="shared" si="18"/>
        <v>#DIV/0!</v>
      </c>
      <c r="Y979" s="967">
        <v>44064</v>
      </c>
      <c r="Z979" s="974">
        <f ca="1">H929*Valuation_Senario!$L$372</f>
        <v>12266.417804389999</v>
      </c>
      <c r="AA979" s="973">
        <v>9.82</v>
      </c>
      <c r="AM979" s="967">
        <v>43994</v>
      </c>
      <c r="AN979" s="974">
        <v>86000</v>
      </c>
      <c r="AO979" s="976">
        <v>0.48999999860991</v>
      </c>
    </row>
    <row r="980" spans="1:41">
      <c r="A980" s="966">
        <v>973</v>
      </c>
      <c r="B980" s="967">
        <v>43993</v>
      </c>
      <c r="C980" s="966">
        <v>83200</v>
      </c>
      <c r="D980" s="966">
        <v>0</v>
      </c>
      <c r="E980" s="966">
        <v>0</v>
      </c>
      <c r="F980" s="966">
        <v>46027.33</v>
      </c>
      <c r="G980" s="966">
        <v>37674.409843200003</v>
      </c>
      <c r="H980" s="966">
        <v>8816.6</v>
      </c>
      <c r="I980" s="966">
        <v>9.44</v>
      </c>
      <c r="Q980" s="967">
        <v>43993</v>
      </c>
      <c r="R980" s="966">
        <v>83200</v>
      </c>
      <c r="S980" s="966">
        <v>0.48999999860991</v>
      </c>
      <c r="T980" s="969">
        <v>0</v>
      </c>
      <c r="U980" s="966">
        <v>8816.6</v>
      </c>
      <c r="W980" s="971" t="e">
        <f t="shared" si="18"/>
        <v>#DIV/0!</v>
      </c>
      <c r="Y980" s="967">
        <v>44063</v>
      </c>
      <c r="Z980" s="974">
        <f ca="1">H930*Valuation_Senario!$L$372</f>
        <v>12266.417804389999</v>
      </c>
      <c r="AA980" s="973">
        <v>9.7799999999999994</v>
      </c>
      <c r="AM980" s="967">
        <v>43993</v>
      </c>
      <c r="AN980" s="974">
        <v>83200</v>
      </c>
      <c r="AO980" s="976">
        <v>0.48999999860991</v>
      </c>
    </row>
    <row r="981" spans="1:41">
      <c r="A981" s="966">
        <v>974</v>
      </c>
      <c r="B981" s="967">
        <v>43992</v>
      </c>
      <c r="C981" s="966">
        <v>89400</v>
      </c>
      <c r="D981" s="966">
        <v>0</v>
      </c>
      <c r="E981" s="966">
        <v>0</v>
      </c>
      <c r="F981" s="966">
        <v>48834.8</v>
      </c>
      <c r="G981" s="966">
        <v>40481.877884399997</v>
      </c>
      <c r="H981" s="966">
        <v>8816.6</v>
      </c>
      <c r="I981" s="966">
        <v>10.14</v>
      </c>
      <c r="Q981" s="967">
        <v>43992</v>
      </c>
      <c r="R981" s="966">
        <v>89400</v>
      </c>
      <c r="S981" s="966">
        <v>0.48999999860991</v>
      </c>
      <c r="T981" s="969">
        <v>0</v>
      </c>
      <c r="U981" s="966">
        <v>8816.6</v>
      </c>
      <c r="W981" s="971" t="e">
        <f t="shared" si="18"/>
        <v>#DIV/0!</v>
      </c>
      <c r="Y981" s="967">
        <v>44062</v>
      </c>
      <c r="Z981" s="974">
        <f ca="1">H931*Valuation_Senario!$L$372</f>
        <v>12266.417804389999</v>
      </c>
      <c r="AA981" s="973">
        <v>9.7899999999999991</v>
      </c>
      <c r="AM981" s="967">
        <v>43992</v>
      </c>
      <c r="AN981" s="974">
        <v>89400</v>
      </c>
      <c r="AO981" s="976">
        <v>0.48999999860991</v>
      </c>
    </row>
    <row r="982" spans="1:41">
      <c r="A982" s="966">
        <v>975</v>
      </c>
      <c r="B982" s="967">
        <v>43991</v>
      </c>
      <c r="C982" s="966">
        <v>88700</v>
      </c>
      <c r="D982" s="966">
        <v>19.7779101</v>
      </c>
      <c r="E982" s="966">
        <v>19.7779101</v>
      </c>
      <c r="F982" s="966">
        <v>48517.83</v>
      </c>
      <c r="G982" s="966">
        <v>40164.9056862</v>
      </c>
      <c r="H982" s="966">
        <v>8816.6</v>
      </c>
      <c r="I982" s="966">
        <v>10.06</v>
      </c>
      <c r="Q982" s="967">
        <v>43991</v>
      </c>
      <c r="R982" s="966">
        <v>88700</v>
      </c>
      <c r="S982" s="966">
        <v>0.48999999860991</v>
      </c>
      <c r="T982" s="969">
        <v>0</v>
      </c>
      <c r="U982" s="966">
        <v>8816.6</v>
      </c>
      <c r="W982" s="971" t="e">
        <f t="shared" si="18"/>
        <v>#DIV/0!</v>
      </c>
      <c r="Y982" s="967">
        <v>44061</v>
      </c>
      <c r="Z982" s="974">
        <f ca="1">H932*Valuation_Senario!$L$372</f>
        <v>12266.417804389999</v>
      </c>
      <c r="AA982" s="973">
        <v>9.74</v>
      </c>
      <c r="AM982" s="967">
        <v>43991</v>
      </c>
      <c r="AN982" s="974">
        <v>88700</v>
      </c>
      <c r="AO982" s="976">
        <v>0.48999999860991</v>
      </c>
    </row>
    <row r="983" spans="1:41">
      <c r="A983" s="966">
        <v>976</v>
      </c>
      <c r="B983" s="967">
        <v>43990</v>
      </c>
      <c r="C983" s="966">
        <v>90100</v>
      </c>
      <c r="D983" s="966">
        <v>0</v>
      </c>
      <c r="E983" s="966">
        <v>0</v>
      </c>
      <c r="F983" s="966">
        <v>49151.77</v>
      </c>
      <c r="G983" s="966">
        <v>40798.850082600002</v>
      </c>
      <c r="H983" s="966">
        <v>8816.6</v>
      </c>
      <c r="I983" s="966">
        <v>10.220000000000001</v>
      </c>
      <c r="Q983" s="967">
        <v>43990</v>
      </c>
      <c r="R983" s="966">
        <v>90100</v>
      </c>
      <c r="S983" s="966">
        <v>0.48999999860991</v>
      </c>
      <c r="T983" s="969">
        <v>0</v>
      </c>
      <c r="U983" s="966">
        <v>8816.6</v>
      </c>
      <c r="W983" s="971" t="e">
        <f t="shared" si="18"/>
        <v>#DIV/0!</v>
      </c>
      <c r="Y983" s="967">
        <v>44060</v>
      </c>
      <c r="Z983" s="974">
        <f ca="1">H933*Valuation_Senario!$L$372</f>
        <v>12266.417804389999</v>
      </c>
      <c r="AA983" s="973">
        <v>9.84</v>
      </c>
      <c r="AM983" s="967">
        <v>43990</v>
      </c>
      <c r="AN983" s="974">
        <v>90100</v>
      </c>
      <c r="AO983" s="976">
        <v>0.48999999860991</v>
      </c>
    </row>
    <row r="984" spans="1:41">
      <c r="A984" s="966">
        <v>977</v>
      </c>
      <c r="B984" s="967">
        <v>43987</v>
      </c>
      <c r="C984" s="966">
        <v>86100</v>
      </c>
      <c r="D984" s="966">
        <v>0</v>
      </c>
      <c r="E984" s="966">
        <v>0</v>
      </c>
      <c r="F984" s="966">
        <v>47340.5</v>
      </c>
      <c r="G984" s="966">
        <v>38987.580378600003</v>
      </c>
      <c r="H984" s="966">
        <v>8816.6</v>
      </c>
      <c r="I984" s="966">
        <v>9.77</v>
      </c>
      <c r="Q984" s="967">
        <v>43987</v>
      </c>
      <c r="R984" s="966">
        <v>86100</v>
      </c>
      <c r="S984" s="966">
        <v>0.48999999860991</v>
      </c>
      <c r="T984" s="969">
        <v>0</v>
      </c>
      <c r="U984" s="966">
        <v>8816.6</v>
      </c>
      <c r="W984" s="971" t="e">
        <f t="shared" si="18"/>
        <v>#DIV/0!</v>
      </c>
      <c r="Y984" s="967">
        <v>44057</v>
      </c>
      <c r="Z984" s="974">
        <f ca="1">H934*Valuation_Senario!$L$372</f>
        <v>12266.417804389999</v>
      </c>
      <c r="AA984" s="973">
        <v>9.9499999999999993</v>
      </c>
      <c r="AM984" s="967">
        <v>43987</v>
      </c>
      <c r="AN984" s="974">
        <v>86100</v>
      </c>
      <c r="AO984" s="976">
        <v>0.48999999860991</v>
      </c>
    </row>
    <row r="985" spans="1:41">
      <c r="A985" s="966">
        <v>978</v>
      </c>
      <c r="B985" s="967">
        <v>43986</v>
      </c>
      <c r="C985" s="966">
        <v>85500</v>
      </c>
      <c r="D985" s="966">
        <v>0</v>
      </c>
      <c r="E985" s="966">
        <v>0</v>
      </c>
      <c r="F985" s="966">
        <v>47068.81</v>
      </c>
      <c r="G985" s="966">
        <v>38715.889923000002</v>
      </c>
      <c r="H985" s="966">
        <v>8816.6</v>
      </c>
      <c r="I985" s="966">
        <v>9.6999999999999993</v>
      </c>
      <c r="Q985" s="967">
        <v>43986</v>
      </c>
      <c r="R985" s="966">
        <v>85500</v>
      </c>
      <c r="S985" s="966">
        <v>0.48999999860991</v>
      </c>
      <c r="T985" s="969">
        <v>0</v>
      </c>
      <c r="U985" s="966">
        <v>8816.6</v>
      </c>
      <c r="W985" s="971" t="e">
        <f t="shared" si="18"/>
        <v>#DIV/0!</v>
      </c>
      <c r="Y985" s="967">
        <v>44056</v>
      </c>
      <c r="Z985" s="974">
        <f ca="1">H935*Valuation_Senario!$L$372</f>
        <v>12266.417804389999</v>
      </c>
      <c r="AA985" s="973">
        <v>9.84</v>
      </c>
      <c r="AM985" s="967">
        <v>43986</v>
      </c>
      <c r="AN985" s="974">
        <v>85500</v>
      </c>
      <c r="AO985" s="976">
        <v>0.48999999860991</v>
      </c>
    </row>
    <row r="986" spans="1:41">
      <c r="A986" s="966">
        <v>979</v>
      </c>
      <c r="B986" s="967">
        <v>43985</v>
      </c>
      <c r="C986" s="966">
        <v>85400</v>
      </c>
      <c r="D986" s="966">
        <v>0</v>
      </c>
      <c r="E986" s="966">
        <v>0</v>
      </c>
      <c r="F986" s="966">
        <v>47023.53</v>
      </c>
      <c r="G986" s="966">
        <v>38670.608180399999</v>
      </c>
      <c r="H986" s="966">
        <v>8816.6</v>
      </c>
      <c r="I986" s="966">
        <v>9.69</v>
      </c>
      <c r="Q986" s="967">
        <v>43985</v>
      </c>
      <c r="R986" s="966">
        <v>85400</v>
      </c>
      <c r="S986" s="966">
        <v>0.48999999860991</v>
      </c>
      <c r="T986" s="969">
        <v>0</v>
      </c>
      <c r="U986" s="966">
        <v>8816.6</v>
      </c>
      <c r="W986" s="971" t="e">
        <f t="shared" si="18"/>
        <v>#DIV/0!</v>
      </c>
      <c r="Y986" s="967">
        <v>44055</v>
      </c>
      <c r="Z986" s="974">
        <f ca="1">H936*Valuation_Senario!$L$372</f>
        <v>12266.417804389999</v>
      </c>
      <c r="AA986" s="973">
        <v>9.5500000000000007</v>
      </c>
      <c r="AM986" s="967">
        <v>43985</v>
      </c>
      <c r="AN986" s="974">
        <v>85400</v>
      </c>
      <c r="AO986" s="976">
        <v>0.48999999860991</v>
      </c>
    </row>
    <row r="987" spans="1:41">
      <c r="A987" s="966">
        <v>980</v>
      </c>
      <c r="B987" s="967">
        <v>43984</v>
      </c>
      <c r="C987" s="966">
        <v>85300</v>
      </c>
      <c r="D987" s="966">
        <v>0</v>
      </c>
      <c r="E987" s="966">
        <v>0</v>
      </c>
      <c r="F987" s="966">
        <v>46978.25</v>
      </c>
      <c r="G987" s="966">
        <v>38625.326437800002</v>
      </c>
      <c r="H987" s="966">
        <v>8816.6</v>
      </c>
      <c r="I987" s="966">
        <v>9.67</v>
      </c>
      <c r="Q987" s="967">
        <v>43984</v>
      </c>
      <c r="R987" s="966">
        <v>85300</v>
      </c>
      <c r="S987" s="966">
        <v>0.48999999860991</v>
      </c>
      <c r="T987" s="969">
        <v>0</v>
      </c>
      <c r="U987" s="966">
        <v>8816.6</v>
      </c>
      <c r="W987" s="971" t="e">
        <f t="shared" si="18"/>
        <v>#DIV/0!</v>
      </c>
      <c r="Y987" s="967">
        <v>44054</v>
      </c>
      <c r="Z987" s="974">
        <f ca="1">H937*Valuation_Senario!$L$372</f>
        <v>12266.417804389999</v>
      </c>
      <c r="AA987" s="973">
        <v>9.52</v>
      </c>
      <c r="AM987" s="967">
        <v>43984</v>
      </c>
      <c r="AN987" s="974">
        <v>85300</v>
      </c>
      <c r="AO987" s="976">
        <v>0.48999999860991</v>
      </c>
    </row>
    <row r="988" spans="1:41">
      <c r="A988" s="966">
        <v>981</v>
      </c>
      <c r="B988" s="967">
        <v>43983</v>
      </c>
      <c r="C988" s="966">
        <v>86000</v>
      </c>
      <c r="D988" s="966">
        <v>0</v>
      </c>
      <c r="E988" s="966">
        <v>0</v>
      </c>
      <c r="F988" s="966">
        <v>47295.22</v>
      </c>
      <c r="G988" s="966">
        <v>38942.298636</v>
      </c>
      <c r="H988" s="966">
        <v>8816.6</v>
      </c>
      <c r="I988" s="966">
        <v>9.75</v>
      </c>
      <c r="Q988" s="967">
        <v>43983</v>
      </c>
      <c r="R988" s="966">
        <v>86000</v>
      </c>
      <c r="S988" s="966">
        <v>0.48999999860991</v>
      </c>
      <c r="T988" s="969">
        <v>0</v>
      </c>
      <c r="U988" s="966">
        <v>8816.6</v>
      </c>
      <c r="W988" s="971" t="e">
        <f t="shared" si="18"/>
        <v>#DIV/0!</v>
      </c>
      <c r="Y988" s="967">
        <v>44053</v>
      </c>
      <c r="Z988" s="974">
        <f ca="1">H938*Valuation_Senario!$L$372</f>
        <v>12266.417804389999</v>
      </c>
      <c r="AA988" s="973">
        <v>9.4600000000000009</v>
      </c>
      <c r="AM988" s="967">
        <v>43983</v>
      </c>
      <c r="AN988" s="974">
        <v>86000</v>
      </c>
      <c r="AO988" s="976">
        <v>0.48999999860991</v>
      </c>
    </row>
    <row r="989" spans="1:41">
      <c r="A989" s="966">
        <v>982</v>
      </c>
      <c r="B989" s="967">
        <v>43980</v>
      </c>
      <c r="C989" s="966">
        <v>84600</v>
      </c>
      <c r="D989" s="966">
        <v>0</v>
      </c>
      <c r="E989" s="966">
        <v>0</v>
      </c>
      <c r="F989" s="966">
        <v>46661.279999999999</v>
      </c>
      <c r="G989" s="966">
        <v>38308.354239599998</v>
      </c>
      <c r="H989" s="966">
        <v>8816.6</v>
      </c>
      <c r="I989" s="966">
        <v>9.6</v>
      </c>
      <c r="Q989" s="967">
        <v>43980</v>
      </c>
      <c r="R989" s="966">
        <v>84600</v>
      </c>
      <c r="S989" s="966">
        <v>0.48999999860991</v>
      </c>
      <c r="T989" s="969">
        <v>0</v>
      </c>
      <c r="U989" s="966">
        <v>8816.6</v>
      </c>
      <c r="W989" s="971" t="e">
        <f t="shared" si="18"/>
        <v>#DIV/0!</v>
      </c>
      <c r="Y989" s="967">
        <v>44050</v>
      </c>
      <c r="Z989" s="974">
        <f ca="1">H939*Valuation_Senario!$L$372</f>
        <v>12266.417804389999</v>
      </c>
      <c r="AA989" s="973">
        <v>9.41</v>
      </c>
      <c r="AM989" s="967">
        <v>43980</v>
      </c>
      <c r="AN989" s="974">
        <v>84600</v>
      </c>
      <c r="AO989" s="976">
        <v>0.48999999860991</v>
      </c>
    </row>
    <row r="990" spans="1:41">
      <c r="A990" s="966">
        <v>983</v>
      </c>
      <c r="B990" s="967">
        <v>43979</v>
      </c>
      <c r="C990" s="966">
        <v>84700</v>
      </c>
      <c r="D990" s="966">
        <v>0</v>
      </c>
      <c r="E990" s="966">
        <v>0</v>
      </c>
      <c r="F990" s="966">
        <v>46706.559999999998</v>
      </c>
      <c r="G990" s="966">
        <v>38353.635982200001</v>
      </c>
      <c r="H990" s="966">
        <v>8816.6</v>
      </c>
      <c r="I990" s="966">
        <v>9.61</v>
      </c>
      <c r="Q990" s="967">
        <v>43979</v>
      </c>
      <c r="R990" s="966">
        <v>84700</v>
      </c>
      <c r="S990" s="966">
        <v>0.48999999860991</v>
      </c>
      <c r="T990" s="969">
        <v>0</v>
      </c>
      <c r="U990" s="966">
        <v>8816.6</v>
      </c>
      <c r="W990" s="971" t="e">
        <f t="shared" si="18"/>
        <v>#DIV/0!</v>
      </c>
      <c r="Y990" s="967">
        <v>44049</v>
      </c>
      <c r="Z990" s="974">
        <f ca="1">H940*Valuation_Senario!$L$372</f>
        <v>12266.417804389999</v>
      </c>
      <c r="AA990" s="973">
        <v>9.49</v>
      </c>
      <c r="AM990" s="967">
        <v>43979</v>
      </c>
      <c r="AN990" s="974">
        <v>84700</v>
      </c>
      <c r="AO990" s="976">
        <v>0.48999999860991</v>
      </c>
    </row>
    <row r="991" spans="1:41">
      <c r="A991" s="966">
        <v>984</v>
      </c>
      <c r="B991" s="967">
        <v>43978</v>
      </c>
      <c r="C991" s="966">
        <v>84800</v>
      </c>
      <c r="D991" s="966">
        <v>0</v>
      </c>
      <c r="E991" s="966">
        <v>0</v>
      </c>
      <c r="F991" s="966">
        <v>46751.839999999997</v>
      </c>
      <c r="G991" s="966">
        <v>38398.917724799998</v>
      </c>
      <c r="H991" s="966">
        <v>8816.6</v>
      </c>
      <c r="I991" s="966">
        <v>9.6199999999999992</v>
      </c>
      <c r="Q991" s="967">
        <v>43978</v>
      </c>
      <c r="R991" s="966">
        <v>84800</v>
      </c>
      <c r="S991" s="966">
        <v>0.48999998537101003</v>
      </c>
      <c r="T991" s="969">
        <v>0</v>
      </c>
      <c r="U991" s="966">
        <v>8816.6</v>
      </c>
      <c r="W991" s="971" t="e">
        <f t="shared" si="18"/>
        <v>#DIV/0!</v>
      </c>
      <c r="Y991" s="967">
        <v>44048</v>
      </c>
      <c r="Z991" s="974">
        <f ca="1">H941*Valuation_Senario!$L$372</f>
        <v>12266.417804389999</v>
      </c>
      <c r="AA991" s="973">
        <v>9.48</v>
      </c>
      <c r="AM991" s="967">
        <v>43978</v>
      </c>
      <c r="AN991" s="974">
        <v>84800</v>
      </c>
      <c r="AO991" s="976">
        <v>0.48999998537101003</v>
      </c>
    </row>
    <row r="992" spans="1:41">
      <c r="A992" s="966">
        <v>985</v>
      </c>
      <c r="B992" s="967">
        <v>43977</v>
      </c>
      <c r="C992" s="966">
        <v>86500</v>
      </c>
      <c r="D992" s="966">
        <v>0</v>
      </c>
      <c r="E992" s="966">
        <v>0</v>
      </c>
      <c r="F992" s="966">
        <v>47521.63</v>
      </c>
      <c r="G992" s="966">
        <v>39168.707348999997</v>
      </c>
      <c r="H992" s="966">
        <v>8816.6</v>
      </c>
      <c r="I992" s="966">
        <v>9.81</v>
      </c>
      <c r="Q992" s="967">
        <v>43977</v>
      </c>
      <c r="R992" s="966">
        <v>86500</v>
      </c>
      <c r="S992" s="966">
        <v>0.48999998537101003</v>
      </c>
      <c r="T992" s="969">
        <v>0</v>
      </c>
      <c r="U992" s="966">
        <v>8816.6</v>
      </c>
      <c r="W992" s="971" t="e">
        <f t="shared" si="18"/>
        <v>#DIV/0!</v>
      </c>
      <c r="Y992" s="967">
        <v>44047</v>
      </c>
      <c r="Z992" s="974">
        <f ca="1">H942*Valuation_Senario!$L$372</f>
        <v>12266.417804389999</v>
      </c>
      <c r="AA992" s="973">
        <v>9.2200000000000006</v>
      </c>
      <c r="AM992" s="967">
        <v>43977</v>
      </c>
      <c r="AN992" s="974">
        <v>86500</v>
      </c>
      <c r="AO992" s="976">
        <v>0.48999998537101003</v>
      </c>
    </row>
    <row r="993" spans="1:41">
      <c r="A993" s="966">
        <v>986</v>
      </c>
      <c r="B993" s="967">
        <v>43976</v>
      </c>
      <c r="C993" s="966">
        <v>86100</v>
      </c>
      <c r="D993" s="966">
        <v>17.28</v>
      </c>
      <c r="E993" s="966">
        <v>17.28</v>
      </c>
      <c r="F993" s="966">
        <v>47340.5</v>
      </c>
      <c r="G993" s="966">
        <v>38987.580378600003</v>
      </c>
      <c r="H993" s="966">
        <v>8816.6</v>
      </c>
      <c r="I993" s="966">
        <v>9.77</v>
      </c>
      <c r="Q993" s="967">
        <v>43976</v>
      </c>
      <c r="R993" s="966">
        <v>86100</v>
      </c>
      <c r="S993" s="966">
        <v>0.48999998537101003</v>
      </c>
      <c r="T993" s="969">
        <v>0</v>
      </c>
      <c r="U993" s="966">
        <v>8816.6</v>
      </c>
      <c r="W993" s="971" t="e">
        <f t="shared" si="18"/>
        <v>#DIV/0!</v>
      </c>
      <c r="Y993" s="967">
        <v>44046</v>
      </c>
      <c r="Z993" s="974">
        <f ca="1">H943*Valuation_Senario!$L$372</f>
        <v>12266.417804389999</v>
      </c>
      <c r="AA993" s="973">
        <v>9.1</v>
      </c>
      <c r="AM993" s="967">
        <v>43976</v>
      </c>
      <c r="AN993" s="974">
        <v>86100</v>
      </c>
      <c r="AO993" s="976">
        <v>0.48999998537101003</v>
      </c>
    </row>
    <row r="994" spans="1:41">
      <c r="A994" s="966">
        <v>987</v>
      </c>
      <c r="B994" s="967">
        <v>43973</v>
      </c>
      <c r="C994" s="966">
        <v>85000</v>
      </c>
      <c r="D994" s="966">
        <v>7.8659400000000002</v>
      </c>
      <c r="E994" s="966">
        <v>7.8659400000000002</v>
      </c>
      <c r="F994" s="966">
        <v>46842.400000000001</v>
      </c>
      <c r="G994" s="966">
        <v>38489.481209999998</v>
      </c>
      <c r="H994" s="966">
        <v>8816.6</v>
      </c>
      <c r="I994" s="966">
        <v>9.64</v>
      </c>
      <c r="Q994" s="967">
        <v>43973</v>
      </c>
      <c r="R994" s="966">
        <v>85000</v>
      </c>
      <c r="S994" s="966">
        <v>0.48999998537101003</v>
      </c>
      <c r="T994" s="969">
        <v>0</v>
      </c>
      <c r="U994" s="966">
        <v>8816.6</v>
      </c>
      <c r="W994" s="971" t="e">
        <f t="shared" si="18"/>
        <v>#DIV/0!</v>
      </c>
      <c r="Y994" s="967">
        <v>44043</v>
      </c>
      <c r="Z994" s="974">
        <f ca="1">H944*Valuation_Senario!$L$372</f>
        <v>12266.417804389999</v>
      </c>
      <c r="AA994" s="973">
        <v>8.92</v>
      </c>
      <c r="AM994" s="967">
        <v>43973</v>
      </c>
      <c r="AN994" s="974">
        <v>85000</v>
      </c>
      <c r="AO994" s="976">
        <v>0.48999998537101003</v>
      </c>
    </row>
    <row r="995" spans="1:41">
      <c r="A995" s="966">
        <v>988</v>
      </c>
      <c r="B995" s="967">
        <v>43972</v>
      </c>
      <c r="C995" s="966">
        <v>87000</v>
      </c>
      <c r="D995" s="966">
        <v>0</v>
      </c>
      <c r="E995" s="966">
        <v>0</v>
      </c>
      <c r="F995" s="966">
        <v>47748.04</v>
      </c>
      <c r="G995" s="966">
        <v>39395.116062000001</v>
      </c>
      <c r="H995" s="966">
        <v>8816.6</v>
      </c>
      <c r="I995" s="966">
        <v>9.8699999999999992</v>
      </c>
      <c r="Q995" s="967">
        <v>43972</v>
      </c>
      <c r="R995" s="966">
        <v>87000</v>
      </c>
      <c r="S995" s="966">
        <v>0.48999998537101003</v>
      </c>
      <c r="T995" s="969">
        <v>0</v>
      </c>
      <c r="U995" s="966">
        <v>8816.6</v>
      </c>
      <c r="W995" s="971" t="e">
        <f t="shared" si="18"/>
        <v>#DIV/0!</v>
      </c>
      <c r="Y995" s="967">
        <v>44042</v>
      </c>
      <c r="Z995" s="974">
        <f ca="1">H945*Valuation_Senario!$L$372</f>
        <v>12946.797986199999</v>
      </c>
      <c r="AA995" s="973">
        <v>8.43</v>
      </c>
      <c r="AM995" s="967">
        <v>43972</v>
      </c>
      <c r="AN995" s="974">
        <v>87000</v>
      </c>
      <c r="AO995" s="976">
        <v>0.48999998537101003</v>
      </c>
    </row>
    <row r="996" spans="1:41">
      <c r="A996" s="966">
        <v>989</v>
      </c>
      <c r="B996" s="967">
        <v>43971</v>
      </c>
      <c r="C996" s="966">
        <v>86500</v>
      </c>
      <c r="D996" s="966">
        <v>0</v>
      </c>
      <c r="E996" s="966">
        <v>0</v>
      </c>
      <c r="F996" s="966">
        <v>47521.63</v>
      </c>
      <c r="G996" s="966">
        <v>39168.707348999997</v>
      </c>
      <c r="H996" s="966">
        <v>8816.6</v>
      </c>
      <c r="I996" s="966">
        <v>9.81</v>
      </c>
      <c r="Q996" s="967">
        <v>43971</v>
      </c>
      <c r="R996" s="966">
        <v>86500</v>
      </c>
      <c r="S996" s="966">
        <v>0.48999999860991</v>
      </c>
      <c r="T996" s="969">
        <v>0</v>
      </c>
      <c r="U996" s="966">
        <v>8816.6</v>
      </c>
      <c r="W996" s="971" t="e">
        <f t="shared" si="18"/>
        <v>#DIV/0!</v>
      </c>
      <c r="Y996" s="967">
        <v>44041</v>
      </c>
      <c r="Z996" s="974">
        <f ca="1">H946*Valuation_Senario!$L$372</f>
        <v>12946.797986199999</v>
      </c>
      <c r="AA996" s="973">
        <v>8.2799999999999994</v>
      </c>
      <c r="AM996" s="967">
        <v>43971</v>
      </c>
      <c r="AN996" s="974">
        <v>86500</v>
      </c>
      <c r="AO996" s="976">
        <v>0.48999999860991</v>
      </c>
    </row>
    <row r="997" spans="1:41">
      <c r="A997" s="966">
        <v>990</v>
      </c>
      <c r="B997" s="967">
        <v>43970</v>
      </c>
      <c r="C997" s="966">
        <v>87200</v>
      </c>
      <c r="D997" s="966">
        <v>0</v>
      </c>
      <c r="E997" s="966">
        <v>0</v>
      </c>
      <c r="F997" s="966">
        <v>47838.6</v>
      </c>
      <c r="G997" s="966">
        <v>39485.679547200001</v>
      </c>
      <c r="H997" s="966">
        <v>8816.6</v>
      </c>
      <c r="I997" s="966">
        <v>9.89</v>
      </c>
      <c r="Q997" s="967">
        <v>43970</v>
      </c>
      <c r="R997" s="966">
        <v>87200</v>
      </c>
      <c r="S997" s="966">
        <v>0.48999999860991</v>
      </c>
      <c r="T997" s="969">
        <v>0</v>
      </c>
      <c r="U997" s="966">
        <v>8816.6</v>
      </c>
      <c r="W997" s="971" t="e">
        <f t="shared" si="18"/>
        <v>#DIV/0!</v>
      </c>
      <c r="Y997" s="967">
        <v>44040</v>
      </c>
      <c r="Z997" s="974">
        <f ca="1">H947*Valuation_Senario!$L$372</f>
        <v>12946.797986199999</v>
      </c>
      <c r="AA997" s="973">
        <v>8.6199999999999992</v>
      </c>
      <c r="AM997" s="967">
        <v>43970</v>
      </c>
      <c r="AN997" s="974">
        <v>87200</v>
      </c>
      <c r="AO997" s="976">
        <v>0.48999999860991</v>
      </c>
    </row>
    <row r="998" spans="1:41">
      <c r="A998" s="966">
        <v>991</v>
      </c>
      <c r="B998" s="967">
        <v>43969</v>
      </c>
      <c r="C998" s="966">
        <v>85500</v>
      </c>
      <c r="D998" s="966">
        <v>0</v>
      </c>
      <c r="E998" s="966">
        <v>0</v>
      </c>
      <c r="F998" s="966">
        <v>47068.81</v>
      </c>
      <c r="G998" s="966">
        <v>38715.889923000002</v>
      </c>
      <c r="H998" s="966">
        <v>8816.6</v>
      </c>
      <c r="I998" s="966">
        <v>9.6999999999999993</v>
      </c>
      <c r="Q998" s="967">
        <v>43969</v>
      </c>
      <c r="R998" s="966">
        <v>85500</v>
      </c>
      <c r="S998" s="966">
        <v>0.48999999860991</v>
      </c>
      <c r="T998" s="969">
        <v>0</v>
      </c>
      <c r="U998" s="966">
        <v>8816.6</v>
      </c>
      <c r="W998" s="971" t="e">
        <f t="shared" si="18"/>
        <v>#DIV/0!</v>
      </c>
      <c r="Y998" s="967">
        <v>44039</v>
      </c>
      <c r="Z998" s="974">
        <f ca="1">H948*Valuation_Senario!$L$372</f>
        <v>12946.797986199999</v>
      </c>
      <c r="AA998" s="973">
        <v>8.36</v>
      </c>
      <c r="AM998" s="967">
        <v>43969</v>
      </c>
      <c r="AN998" s="974">
        <v>85500</v>
      </c>
      <c r="AO998" s="976">
        <v>0.48999999860991</v>
      </c>
    </row>
    <row r="999" spans="1:41">
      <c r="A999" s="966">
        <v>992</v>
      </c>
      <c r="B999" s="967">
        <v>43966</v>
      </c>
      <c r="C999" s="966">
        <v>82100</v>
      </c>
      <c r="D999" s="966">
        <v>0</v>
      </c>
      <c r="E999" s="966">
        <v>0</v>
      </c>
      <c r="F999" s="966">
        <v>45529.23</v>
      </c>
      <c r="G999" s="966">
        <v>37176.310674599998</v>
      </c>
      <c r="H999" s="966">
        <v>8816.6</v>
      </c>
      <c r="I999" s="966">
        <v>9.31</v>
      </c>
      <c r="Q999" s="967">
        <v>43966</v>
      </c>
      <c r="R999" s="966">
        <v>82100</v>
      </c>
      <c r="S999" s="966">
        <v>0.48999999860991</v>
      </c>
      <c r="T999" s="969">
        <v>0</v>
      </c>
      <c r="U999" s="966">
        <v>8816.6</v>
      </c>
      <c r="W999" s="971" t="e">
        <f t="shared" si="18"/>
        <v>#DIV/0!</v>
      </c>
      <c r="Y999" s="967">
        <v>44036</v>
      </c>
      <c r="Z999" s="974">
        <f ca="1">H949*Valuation_Senario!$L$372</f>
        <v>12946.797986199999</v>
      </c>
      <c r="AA999" s="973">
        <v>8.98</v>
      </c>
      <c r="AM999" s="967">
        <v>43966</v>
      </c>
      <c r="AN999" s="974">
        <v>82100</v>
      </c>
      <c r="AO999" s="976">
        <v>0.48999999860991</v>
      </c>
    </row>
    <row r="1000" spans="1:41">
      <c r="A1000" s="966">
        <v>993</v>
      </c>
      <c r="B1000" s="967">
        <v>43965</v>
      </c>
      <c r="C1000" s="966">
        <v>83000</v>
      </c>
      <c r="D1000" s="966">
        <v>0</v>
      </c>
      <c r="E1000" s="966">
        <v>0</v>
      </c>
      <c r="F1000" s="966">
        <v>45936.77</v>
      </c>
      <c r="G1000" s="966">
        <v>37583.846358000003</v>
      </c>
      <c r="H1000" s="966">
        <v>8816.6</v>
      </c>
      <c r="I1000" s="966">
        <v>9.41</v>
      </c>
      <c r="Q1000" s="967">
        <v>43965</v>
      </c>
      <c r="R1000" s="966">
        <v>83000</v>
      </c>
      <c r="S1000" s="966">
        <v>0.48999999860991</v>
      </c>
      <c r="T1000" s="969">
        <v>0</v>
      </c>
      <c r="U1000" s="966">
        <v>8816.6</v>
      </c>
      <c r="W1000" s="971" t="e">
        <f t="shared" si="18"/>
        <v>#DIV/0!</v>
      </c>
      <c r="Y1000" s="967">
        <v>44035</v>
      </c>
      <c r="Z1000" s="974">
        <f ca="1">H950*Valuation_Senario!$L$372</f>
        <v>12946.797986199999</v>
      </c>
      <c r="AA1000" s="973">
        <v>9.41</v>
      </c>
      <c r="AM1000" s="967">
        <v>43965</v>
      </c>
      <c r="AN1000" s="974">
        <v>83000</v>
      </c>
      <c r="AO1000" s="976">
        <v>0.48999999860991</v>
      </c>
    </row>
    <row r="1001" spans="1:41">
      <c r="A1001" s="966">
        <v>994</v>
      </c>
      <c r="B1001" s="967">
        <v>43964</v>
      </c>
      <c r="C1001" s="966">
        <v>83900</v>
      </c>
      <c r="D1001" s="966">
        <v>1.782</v>
      </c>
      <c r="E1001" s="966">
        <v>1.782</v>
      </c>
      <c r="F1001" s="966">
        <v>46344.3</v>
      </c>
      <c r="G1001" s="966">
        <v>37991.3820414</v>
      </c>
      <c r="H1001" s="966">
        <v>8816.6</v>
      </c>
      <c r="I1001" s="966">
        <v>9.52</v>
      </c>
      <c r="Q1001" s="967">
        <v>43964</v>
      </c>
      <c r="R1001" s="966">
        <v>83900</v>
      </c>
      <c r="S1001" s="966">
        <v>0.48999999860991</v>
      </c>
      <c r="T1001" s="969">
        <v>0</v>
      </c>
      <c r="U1001" s="966">
        <v>8816.6</v>
      </c>
      <c r="W1001" s="971" t="e">
        <f t="shared" si="18"/>
        <v>#DIV/0!</v>
      </c>
      <c r="Y1001" s="967">
        <v>44034</v>
      </c>
      <c r="Z1001" s="974">
        <f ca="1">H951*Valuation_Senario!$L$372</f>
        <v>12946.797986199999</v>
      </c>
      <c r="AA1001" s="973">
        <v>9.44</v>
      </c>
      <c r="AM1001" s="967">
        <v>43964</v>
      </c>
      <c r="AN1001" s="974">
        <v>83900</v>
      </c>
      <c r="AO1001" s="976">
        <v>0.48999999860991</v>
      </c>
    </row>
    <row r="1002" spans="1:41">
      <c r="A1002" s="966">
        <v>995</v>
      </c>
      <c r="B1002" s="967">
        <v>43963</v>
      </c>
      <c r="C1002" s="966">
        <v>83300</v>
      </c>
      <c r="D1002" s="966">
        <v>0</v>
      </c>
      <c r="E1002" s="966">
        <v>0</v>
      </c>
      <c r="F1002" s="966">
        <v>46072.61</v>
      </c>
      <c r="G1002" s="966">
        <v>37719.691585799999</v>
      </c>
      <c r="H1002" s="966">
        <v>8816.6</v>
      </c>
      <c r="I1002" s="966">
        <v>9.4499999999999993</v>
      </c>
      <c r="Q1002" s="967">
        <v>43963</v>
      </c>
      <c r="R1002" s="966">
        <v>83300</v>
      </c>
      <c r="S1002" s="966">
        <v>0.48999999860991</v>
      </c>
      <c r="T1002" s="969">
        <v>0</v>
      </c>
      <c r="U1002" s="966">
        <v>8816.6</v>
      </c>
      <c r="W1002" s="971" t="e">
        <f t="shared" si="18"/>
        <v>#DIV/0!</v>
      </c>
      <c r="Y1002" s="967">
        <v>44033</v>
      </c>
      <c r="Z1002" s="974">
        <f ca="1">H952*Valuation_Senario!$L$372</f>
        <v>12946.797986199999</v>
      </c>
      <c r="AA1002" s="973">
        <v>9.49</v>
      </c>
      <c r="AM1002" s="967">
        <v>43963</v>
      </c>
      <c r="AN1002" s="974">
        <v>83300</v>
      </c>
      <c r="AO1002" s="976">
        <v>0.48999999860991</v>
      </c>
    </row>
    <row r="1003" spans="1:41">
      <c r="A1003" s="966">
        <v>996</v>
      </c>
      <c r="B1003" s="967">
        <v>43962</v>
      </c>
      <c r="C1003" s="966">
        <v>85000</v>
      </c>
      <c r="D1003" s="966">
        <v>0.76776</v>
      </c>
      <c r="E1003" s="966">
        <v>0</v>
      </c>
      <c r="F1003" s="966">
        <v>46842.400000000001</v>
      </c>
      <c r="G1003" s="966">
        <v>38489.481209999998</v>
      </c>
      <c r="H1003" s="966">
        <v>8816.6</v>
      </c>
      <c r="I1003" s="966">
        <v>9.64</v>
      </c>
      <c r="Q1003" s="967">
        <v>43962</v>
      </c>
      <c r="R1003" s="966">
        <v>85000</v>
      </c>
      <c r="S1003" s="966">
        <v>0.48997983135794998</v>
      </c>
      <c r="T1003" s="969">
        <v>0.76776</v>
      </c>
      <c r="U1003" s="966">
        <v>8816.6</v>
      </c>
      <c r="W1003" s="971" t="e">
        <f t="shared" si="18"/>
        <v>#DIV/0!</v>
      </c>
      <c r="Y1003" s="967">
        <v>44032</v>
      </c>
      <c r="Z1003" s="974">
        <f ca="1">H953*Valuation_Senario!$L$372</f>
        <v>12946.797986199999</v>
      </c>
      <c r="AA1003" s="973">
        <v>9.4499999999999993</v>
      </c>
      <c r="AM1003" s="967">
        <v>43962</v>
      </c>
      <c r="AN1003" s="974">
        <v>85000</v>
      </c>
      <c r="AO1003" s="976">
        <v>0.48997983135794998</v>
      </c>
    </row>
    <row r="1004" spans="1:41">
      <c r="A1004" s="966">
        <v>997</v>
      </c>
      <c r="B1004" s="967">
        <v>43959</v>
      </c>
      <c r="C1004" s="966">
        <v>83800</v>
      </c>
      <c r="D1004" s="966">
        <v>0</v>
      </c>
      <c r="E1004" s="966">
        <v>0</v>
      </c>
      <c r="F1004" s="966">
        <v>46299.02</v>
      </c>
      <c r="G1004" s="966">
        <v>37946.100298799996</v>
      </c>
      <c r="H1004" s="966">
        <v>8816.6</v>
      </c>
      <c r="I1004" s="966">
        <v>9.5</v>
      </c>
      <c r="Q1004" s="967">
        <v>43959</v>
      </c>
      <c r="R1004" s="966">
        <v>83800</v>
      </c>
      <c r="S1004" s="966">
        <v>0.48999999860991</v>
      </c>
      <c r="T1004" s="969">
        <v>0</v>
      </c>
      <c r="U1004" s="966">
        <v>8816.6</v>
      </c>
      <c r="W1004" s="971" t="e">
        <f t="shared" si="18"/>
        <v>#DIV/0!</v>
      </c>
      <c r="Y1004" s="967">
        <v>44029</v>
      </c>
      <c r="Z1004" s="974">
        <f ca="1">H954*Valuation_Senario!$L$372</f>
        <v>12946.797986199999</v>
      </c>
      <c r="AA1004" s="973">
        <v>9.5299999999999994</v>
      </c>
      <c r="AM1004" s="967">
        <v>43959</v>
      </c>
      <c r="AN1004" s="974">
        <v>83800</v>
      </c>
      <c r="AO1004" s="976">
        <v>0.48999999860991</v>
      </c>
    </row>
    <row r="1005" spans="1:41">
      <c r="A1005" s="966">
        <v>998</v>
      </c>
      <c r="B1005" s="967">
        <v>43958</v>
      </c>
      <c r="C1005" s="966">
        <v>82600</v>
      </c>
      <c r="D1005" s="966">
        <v>0</v>
      </c>
      <c r="E1005" s="966">
        <v>0</v>
      </c>
      <c r="F1005" s="966">
        <v>45755.64</v>
      </c>
      <c r="G1005" s="966">
        <v>37402.719387600002</v>
      </c>
      <c r="H1005" s="966">
        <v>8816.6</v>
      </c>
      <c r="I1005" s="966">
        <v>9.3699999999999992</v>
      </c>
      <c r="Q1005" s="967">
        <v>43958</v>
      </c>
      <c r="R1005" s="966">
        <v>82600</v>
      </c>
      <c r="S1005" s="966">
        <v>0.48999999860991</v>
      </c>
      <c r="T1005" s="969">
        <v>0</v>
      </c>
      <c r="U1005" s="966">
        <v>8816.6</v>
      </c>
      <c r="W1005" s="971" t="e">
        <f t="shared" si="18"/>
        <v>#DIV/0!</v>
      </c>
      <c r="Y1005" s="967">
        <v>44028</v>
      </c>
      <c r="Z1005" s="974">
        <f ca="1">H955*Valuation_Senario!$L$372</f>
        <v>12946.797986199999</v>
      </c>
      <c r="AA1005" s="973">
        <v>9.6199999999999992</v>
      </c>
      <c r="AM1005" s="967">
        <v>43958</v>
      </c>
      <c r="AN1005" s="974">
        <v>82600</v>
      </c>
      <c r="AO1005" s="976">
        <v>0.48999999860991</v>
      </c>
    </row>
    <row r="1006" spans="1:41">
      <c r="A1006" s="966">
        <v>999</v>
      </c>
      <c r="B1006" s="967">
        <v>43957</v>
      </c>
      <c r="C1006" s="966">
        <v>81200</v>
      </c>
      <c r="D1006" s="966">
        <v>0</v>
      </c>
      <c r="E1006" s="966">
        <v>0.74034</v>
      </c>
      <c r="F1006" s="966">
        <v>45121.7</v>
      </c>
      <c r="G1006" s="966">
        <v>36768.7749912</v>
      </c>
      <c r="H1006" s="966">
        <v>8816.6</v>
      </c>
      <c r="I1006" s="966">
        <v>9.2100000000000009</v>
      </c>
      <c r="Q1006" s="967">
        <v>43957</v>
      </c>
      <c r="R1006" s="966">
        <v>81200</v>
      </c>
      <c r="S1006" s="966">
        <v>0.48999999860991</v>
      </c>
      <c r="T1006" s="969">
        <v>-0.74034</v>
      </c>
      <c r="U1006" s="966">
        <v>8816.6</v>
      </c>
      <c r="W1006" s="971" t="e">
        <f t="shared" si="18"/>
        <v>#DIV/0!</v>
      </c>
      <c r="Y1006" s="967">
        <v>44027</v>
      </c>
      <c r="Z1006" s="974">
        <f ca="1">H956*Valuation_Senario!$L$372</f>
        <v>12946.797986199999</v>
      </c>
      <c r="AA1006" s="973">
        <v>9.6</v>
      </c>
      <c r="AM1006" s="967">
        <v>43957</v>
      </c>
      <c r="AN1006" s="974">
        <v>81200</v>
      </c>
      <c r="AO1006" s="976">
        <v>0.48999999860991</v>
      </c>
    </row>
    <row r="1007" spans="1:41">
      <c r="A1007" s="966">
        <v>1000</v>
      </c>
      <c r="B1007" s="967">
        <v>43956</v>
      </c>
      <c r="C1007" s="966">
        <v>79300</v>
      </c>
      <c r="D1007" s="966">
        <v>0</v>
      </c>
      <c r="E1007" s="966">
        <v>0</v>
      </c>
      <c r="F1007" s="966">
        <v>44261.34</v>
      </c>
      <c r="G1007" s="966">
        <v>35908.421881800001</v>
      </c>
      <c r="H1007" s="966">
        <v>8816.6</v>
      </c>
      <c r="I1007" s="966">
        <v>8.99</v>
      </c>
      <c r="Q1007" s="967">
        <v>43956</v>
      </c>
      <c r="R1007" s="966">
        <v>79300</v>
      </c>
      <c r="S1007" s="966">
        <v>0.48999999860991</v>
      </c>
      <c r="T1007" s="969">
        <v>0</v>
      </c>
      <c r="U1007" s="966">
        <v>8816.6</v>
      </c>
      <c r="W1007" s="971" t="e">
        <f t="shared" si="18"/>
        <v>#DIV/0!</v>
      </c>
      <c r="Y1007" s="967">
        <v>44026</v>
      </c>
      <c r="Z1007" s="974">
        <f ca="1">H957*Valuation_Senario!$L$372</f>
        <v>12946.797986199999</v>
      </c>
      <c r="AA1007" s="973">
        <v>9.4</v>
      </c>
      <c r="AM1007" s="967">
        <v>43956</v>
      </c>
      <c r="AN1007" s="974">
        <v>79300</v>
      </c>
      <c r="AO1007" s="976">
        <v>0.48999999860991</v>
      </c>
    </row>
    <row r="1008" spans="1:41">
      <c r="A1008" s="966">
        <v>1001</v>
      </c>
      <c r="B1008" s="967">
        <v>43955</v>
      </c>
      <c r="C1008" s="966">
        <v>79400</v>
      </c>
      <c r="D1008" s="966">
        <v>0</v>
      </c>
      <c r="E1008" s="966">
        <v>0</v>
      </c>
      <c r="F1008" s="966">
        <v>44306.63</v>
      </c>
      <c r="G1008" s="966">
        <v>35953.703624399997</v>
      </c>
      <c r="H1008" s="966">
        <v>8816.6</v>
      </c>
      <c r="I1008" s="966">
        <v>9.01</v>
      </c>
      <c r="Q1008" s="967">
        <v>43955</v>
      </c>
      <c r="R1008" s="966">
        <v>79400</v>
      </c>
      <c r="T1008" s="969">
        <v>0</v>
      </c>
      <c r="U1008" s="966">
        <v>8816.6</v>
      </c>
      <c r="W1008" s="971" t="e">
        <f t="shared" si="18"/>
        <v>#DIV/0!</v>
      </c>
      <c r="Y1008" s="967">
        <v>44025</v>
      </c>
      <c r="Z1008" s="974">
        <f ca="1">H958*Valuation_Senario!$L$372</f>
        <v>12946.797986199999</v>
      </c>
      <c r="AA1008" s="973">
        <v>9.39</v>
      </c>
    </row>
    <row r="1009" spans="1:40">
      <c r="A1009" s="966">
        <v>1002</v>
      </c>
      <c r="B1009" s="967">
        <v>43950</v>
      </c>
      <c r="C1009" s="966">
        <v>81700</v>
      </c>
      <c r="D1009" s="966">
        <v>0</v>
      </c>
      <c r="E1009" s="966">
        <v>0</v>
      </c>
      <c r="F1009" s="966">
        <v>45348.11</v>
      </c>
      <c r="G1009" s="966">
        <v>36995.183704199997</v>
      </c>
      <c r="H1009" s="966">
        <v>8816.6</v>
      </c>
      <c r="I1009" s="966">
        <v>9.27</v>
      </c>
      <c r="Q1009" s="967">
        <v>43950</v>
      </c>
      <c r="R1009" s="966">
        <v>81700</v>
      </c>
      <c r="T1009" s="969">
        <v>0</v>
      </c>
      <c r="U1009" s="966">
        <v>8816.6</v>
      </c>
      <c r="W1009" s="971" t="e">
        <f t="shared" si="18"/>
        <v>#DIV/0!</v>
      </c>
      <c r="Y1009" s="967">
        <v>44022</v>
      </c>
      <c r="Z1009" s="974">
        <f ca="1">H959*Valuation_Senario!$L$372</f>
        <v>12946.797986199999</v>
      </c>
      <c r="AA1009" s="973">
        <v>9.4</v>
      </c>
      <c r="AM1009" s="967">
        <v>43950</v>
      </c>
      <c r="AN1009" s="974">
        <v>81700</v>
      </c>
    </row>
    <row r="1010" spans="1:40">
      <c r="A1010" s="966">
        <v>1003</v>
      </c>
      <c r="B1010" s="967">
        <v>43949</v>
      </c>
      <c r="C1010" s="966">
        <v>80900</v>
      </c>
      <c r="D1010" s="966">
        <v>0</v>
      </c>
      <c r="E1010" s="966">
        <v>0</v>
      </c>
      <c r="F1010" s="966">
        <v>42976.89</v>
      </c>
      <c r="G1010" s="966">
        <v>36632.929763400003</v>
      </c>
      <c r="H1010" s="966">
        <v>8644.58</v>
      </c>
      <c r="I1010" s="966">
        <v>9.36</v>
      </c>
      <c r="Q1010" s="967">
        <v>43949</v>
      </c>
      <c r="R1010" s="966">
        <v>80900</v>
      </c>
      <c r="T1010" s="969">
        <v>0</v>
      </c>
      <c r="U1010" s="966">
        <v>8644.58</v>
      </c>
      <c r="W1010" s="971" t="e">
        <f t="shared" si="18"/>
        <v>#DIV/0!</v>
      </c>
      <c r="Y1010" s="967">
        <v>44021</v>
      </c>
      <c r="Z1010" s="974">
        <f ca="1">H960*Valuation_Senario!$L$372</f>
        <v>12946.797986199999</v>
      </c>
      <c r="AA1010" s="973">
        <v>9.5299999999999994</v>
      </c>
      <c r="AM1010" s="967">
        <v>43949</v>
      </c>
      <c r="AN1010" s="974">
        <v>80900</v>
      </c>
    </row>
    <row r="1011" spans="1:40">
      <c r="A1011" s="966">
        <v>1004</v>
      </c>
      <c r="B1011" s="967">
        <v>43948</v>
      </c>
      <c r="C1011" s="966">
        <v>82200</v>
      </c>
      <c r="D1011" s="966">
        <v>0</v>
      </c>
      <c r="E1011" s="966">
        <v>0</v>
      </c>
      <c r="F1011" s="966">
        <v>43565.55</v>
      </c>
      <c r="G1011" s="966">
        <v>37221.592417200001</v>
      </c>
      <c r="H1011" s="966">
        <v>8644.58</v>
      </c>
      <c r="I1011" s="966">
        <v>9.51</v>
      </c>
      <c r="Q1011" s="967">
        <v>43948</v>
      </c>
      <c r="R1011" s="966">
        <v>82200</v>
      </c>
      <c r="T1011" s="969">
        <v>0</v>
      </c>
      <c r="U1011" s="966">
        <v>8644.58</v>
      </c>
      <c r="W1011" s="971" t="e">
        <f t="shared" si="18"/>
        <v>#DIV/0!</v>
      </c>
      <c r="Y1011" s="967">
        <v>44020</v>
      </c>
      <c r="Z1011" s="974">
        <f ca="1">H961*Valuation_Senario!$L$372</f>
        <v>12946.797986199999</v>
      </c>
      <c r="AA1011" s="973">
        <v>9.48</v>
      </c>
      <c r="AM1011" s="967">
        <v>43948</v>
      </c>
      <c r="AN1011" s="974">
        <v>82200</v>
      </c>
    </row>
    <row r="1012" spans="1:40">
      <c r="A1012" s="966">
        <v>1005</v>
      </c>
      <c r="B1012" s="967">
        <v>43945</v>
      </c>
      <c r="C1012" s="966">
        <v>83000</v>
      </c>
      <c r="D1012" s="966">
        <v>0.501</v>
      </c>
      <c r="E1012" s="966">
        <v>0</v>
      </c>
      <c r="F1012" s="966">
        <v>43927.8</v>
      </c>
      <c r="G1012" s="966">
        <v>37583.846358000003</v>
      </c>
      <c r="H1012" s="966">
        <v>8644.58</v>
      </c>
      <c r="I1012" s="966">
        <v>9.6</v>
      </c>
      <c r="Q1012" s="967">
        <v>43945</v>
      </c>
      <c r="R1012" s="966">
        <v>83000</v>
      </c>
      <c r="T1012" s="969">
        <v>0.501</v>
      </c>
      <c r="U1012" s="966">
        <v>8644.58</v>
      </c>
      <c r="W1012" s="971" t="e">
        <f t="shared" si="18"/>
        <v>#DIV/0!</v>
      </c>
      <c r="Y1012" s="967">
        <v>44019</v>
      </c>
      <c r="Z1012" s="974">
        <f ca="1">H962*Valuation_Senario!$L$372</f>
        <v>12946.797986199999</v>
      </c>
      <c r="AA1012" s="973">
        <v>9.49</v>
      </c>
      <c r="AM1012" s="967">
        <v>43945</v>
      </c>
      <c r="AN1012" s="974">
        <v>83000</v>
      </c>
    </row>
    <row r="1013" spans="1:40">
      <c r="A1013" s="966">
        <v>1006</v>
      </c>
      <c r="B1013" s="967">
        <v>43944</v>
      </c>
      <c r="C1013" s="966">
        <v>83500</v>
      </c>
      <c r="D1013" s="966">
        <v>0</v>
      </c>
      <c r="E1013" s="966">
        <v>0</v>
      </c>
      <c r="F1013" s="966">
        <v>44154.21</v>
      </c>
      <c r="G1013" s="966">
        <v>37810.255071</v>
      </c>
      <c r="H1013" s="966">
        <v>8644.58</v>
      </c>
      <c r="I1013" s="966">
        <v>9.66</v>
      </c>
      <c r="Q1013" s="967">
        <v>43944</v>
      </c>
      <c r="R1013" s="966">
        <v>83500</v>
      </c>
      <c r="T1013" s="969">
        <v>0</v>
      </c>
      <c r="U1013" s="966">
        <v>8644.58</v>
      </c>
      <c r="W1013" s="971" t="e">
        <f t="shared" si="18"/>
        <v>#DIV/0!</v>
      </c>
      <c r="Y1013" s="967">
        <v>44018</v>
      </c>
      <c r="Z1013" s="974">
        <f ca="1">H963*Valuation_Senario!$L$372</f>
        <v>12946.797986199999</v>
      </c>
      <c r="AA1013" s="973">
        <v>9.4700000000000006</v>
      </c>
      <c r="AM1013" s="967">
        <v>43944</v>
      </c>
      <c r="AN1013" s="974">
        <v>83500</v>
      </c>
    </row>
    <row r="1014" spans="1:40">
      <c r="A1014" s="966">
        <v>1007</v>
      </c>
      <c r="B1014" s="967">
        <v>43943</v>
      </c>
      <c r="C1014" s="966">
        <v>82000</v>
      </c>
      <c r="D1014" s="966">
        <v>4.2203790000000003</v>
      </c>
      <c r="E1014" s="966">
        <v>4.2203790000000003</v>
      </c>
      <c r="F1014" s="966">
        <v>43474.99</v>
      </c>
      <c r="G1014" s="966">
        <v>37131.028932000001</v>
      </c>
      <c r="H1014" s="966">
        <v>8644.58</v>
      </c>
      <c r="I1014" s="966">
        <v>9.49</v>
      </c>
      <c r="Q1014" s="967">
        <v>43943</v>
      </c>
      <c r="R1014" s="966">
        <v>82000</v>
      </c>
      <c r="T1014" s="969">
        <v>0</v>
      </c>
      <c r="U1014" s="966">
        <v>8644.58</v>
      </c>
      <c r="W1014" s="971" t="e">
        <f t="shared" si="18"/>
        <v>#DIV/0!</v>
      </c>
      <c r="Y1014" s="967">
        <v>44015</v>
      </c>
      <c r="Z1014" s="974">
        <f ca="1">H964*Valuation_Senario!$L$372</f>
        <v>12946.797986199999</v>
      </c>
      <c r="AA1014" s="973">
        <v>9.27</v>
      </c>
      <c r="AM1014" s="967">
        <v>43943</v>
      </c>
      <c r="AN1014" s="974">
        <v>82000</v>
      </c>
    </row>
    <row r="1015" spans="1:40">
      <c r="A1015" s="966">
        <v>1008</v>
      </c>
      <c r="B1015" s="967">
        <v>43942</v>
      </c>
      <c r="C1015" s="966">
        <v>79400</v>
      </c>
      <c r="D1015" s="966">
        <v>120.4268222</v>
      </c>
      <c r="E1015" s="966">
        <v>120.9234222</v>
      </c>
      <c r="F1015" s="966">
        <v>42297.66</v>
      </c>
      <c r="G1015" s="966">
        <v>35953.703624399997</v>
      </c>
      <c r="H1015" s="966">
        <v>8644.58</v>
      </c>
      <c r="I1015" s="966">
        <v>9.18</v>
      </c>
      <c r="Q1015" s="967">
        <v>43942</v>
      </c>
      <c r="R1015" s="966">
        <v>79400</v>
      </c>
      <c r="T1015" s="969">
        <v>-0.49660000000000082</v>
      </c>
      <c r="U1015" s="966">
        <v>8644.58</v>
      </c>
      <c r="W1015" s="971" t="e">
        <f t="shared" si="18"/>
        <v>#DIV/0!</v>
      </c>
      <c r="Y1015" s="967">
        <v>44014</v>
      </c>
      <c r="Z1015" s="974">
        <f ca="1">H965*Valuation_Senario!$L$372</f>
        <v>12946.797986199999</v>
      </c>
      <c r="AA1015" s="973">
        <v>9.2799999999999994</v>
      </c>
      <c r="AM1015" s="967">
        <v>43942</v>
      </c>
      <c r="AN1015" s="974">
        <v>79400</v>
      </c>
    </row>
    <row r="1016" spans="1:40">
      <c r="A1016" s="966">
        <v>1009</v>
      </c>
      <c r="B1016" s="967">
        <v>43941</v>
      </c>
      <c r="C1016" s="966">
        <v>84300</v>
      </c>
      <c r="D1016" s="966">
        <v>0</v>
      </c>
      <c r="E1016" s="966">
        <v>0</v>
      </c>
      <c r="F1016" s="966">
        <v>44516.47</v>
      </c>
      <c r="G1016" s="966">
        <v>38172.509011800001</v>
      </c>
      <c r="H1016" s="966">
        <v>8644.58</v>
      </c>
      <c r="I1016" s="966">
        <v>9.75</v>
      </c>
      <c r="Q1016" s="967">
        <v>43941</v>
      </c>
      <c r="R1016" s="966">
        <v>84300</v>
      </c>
      <c r="T1016" s="969">
        <v>0</v>
      </c>
      <c r="U1016" s="966">
        <v>8644.58</v>
      </c>
      <c r="W1016" s="971" t="e">
        <f t="shared" si="18"/>
        <v>#DIV/0!</v>
      </c>
      <c r="Y1016" s="967">
        <v>44013</v>
      </c>
      <c r="Z1016" s="974">
        <f ca="1">H966*Valuation_Senario!$L$372</f>
        <v>12946.797986199999</v>
      </c>
      <c r="AA1016" s="973">
        <v>9.3000000000000007</v>
      </c>
      <c r="AM1016" s="967">
        <v>43941</v>
      </c>
      <c r="AN1016" s="974">
        <v>84300</v>
      </c>
    </row>
    <row r="1017" spans="1:40">
      <c r="A1017" s="966">
        <v>1010</v>
      </c>
      <c r="B1017" s="967">
        <v>43938</v>
      </c>
      <c r="C1017" s="966">
        <v>82000</v>
      </c>
      <c r="D1017" s="966">
        <v>29.889564</v>
      </c>
      <c r="E1017" s="966">
        <v>29.889564</v>
      </c>
      <c r="F1017" s="966">
        <v>43474.99</v>
      </c>
      <c r="G1017" s="966">
        <v>37131.028932000001</v>
      </c>
      <c r="H1017" s="966">
        <v>8644.58</v>
      </c>
      <c r="I1017" s="966">
        <v>9.49</v>
      </c>
      <c r="Q1017" s="967">
        <v>43938</v>
      </c>
      <c r="R1017" s="966">
        <v>82000</v>
      </c>
      <c r="T1017" s="969">
        <v>0</v>
      </c>
      <c r="U1017" s="966">
        <v>8644.58</v>
      </c>
      <c r="W1017" s="971" t="e">
        <f t="shared" si="18"/>
        <v>#DIV/0!</v>
      </c>
      <c r="Y1017" s="967">
        <v>44012</v>
      </c>
      <c r="Z1017" s="974">
        <f ca="1">H967*Valuation_Senario!$L$372</f>
        <v>12946.797986199999</v>
      </c>
      <c r="AA1017" s="973">
        <v>9.16</v>
      </c>
      <c r="AM1017" s="967">
        <v>43938</v>
      </c>
      <c r="AN1017" s="974">
        <v>82000</v>
      </c>
    </row>
    <row r="1018" spans="1:40">
      <c r="A1018" s="966">
        <v>1011</v>
      </c>
      <c r="B1018" s="967">
        <v>43937</v>
      </c>
      <c r="C1018" s="966">
        <v>76900</v>
      </c>
      <c r="D1018" s="966">
        <v>0.64524000000000004</v>
      </c>
      <c r="E1018" s="966">
        <v>0</v>
      </c>
      <c r="F1018" s="966">
        <v>41165.620000000003</v>
      </c>
      <c r="G1018" s="966">
        <v>34821.660059399997</v>
      </c>
      <c r="H1018" s="966">
        <v>8644.58</v>
      </c>
      <c r="I1018" s="966">
        <v>8.9</v>
      </c>
      <c r="Q1018" s="967">
        <v>43937</v>
      </c>
      <c r="R1018" s="966">
        <v>76900</v>
      </c>
      <c r="T1018" s="969">
        <v>0.64524000000000004</v>
      </c>
      <c r="U1018" s="966">
        <v>8644.58</v>
      </c>
      <c r="W1018" s="971" t="e">
        <f t="shared" si="18"/>
        <v>#DIV/0!</v>
      </c>
      <c r="Y1018" s="967">
        <v>44011</v>
      </c>
      <c r="Z1018" s="974">
        <f ca="1">H968*Valuation_Senario!$L$372</f>
        <v>12946.797986199999</v>
      </c>
      <c r="AA1018" s="973">
        <v>9.24</v>
      </c>
      <c r="AM1018" s="967">
        <v>43937</v>
      </c>
      <c r="AN1018" s="974">
        <v>76900</v>
      </c>
    </row>
    <row r="1019" spans="1:40">
      <c r="A1019" s="966">
        <v>1012</v>
      </c>
      <c r="B1019" s="967">
        <v>43936</v>
      </c>
      <c r="C1019" s="966">
        <v>76800</v>
      </c>
      <c r="D1019" s="966">
        <v>0</v>
      </c>
      <c r="E1019" s="966">
        <v>0</v>
      </c>
      <c r="F1019" s="966">
        <v>41120.339999999997</v>
      </c>
      <c r="G1019" s="966">
        <v>34776.378316800001</v>
      </c>
      <c r="H1019" s="966">
        <v>8644.58</v>
      </c>
      <c r="I1019" s="966">
        <v>8.8800000000000008</v>
      </c>
      <c r="Q1019" s="967">
        <v>43936</v>
      </c>
      <c r="R1019" s="966">
        <v>76800</v>
      </c>
      <c r="T1019" s="969">
        <v>0</v>
      </c>
      <c r="U1019" s="966">
        <v>8644.58</v>
      </c>
      <c r="W1019" s="971" t="e">
        <f t="shared" si="18"/>
        <v>#DIV/0!</v>
      </c>
      <c r="Y1019" s="967">
        <v>44008</v>
      </c>
      <c r="Z1019" s="974">
        <f ca="1">H969*Valuation_Senario!$L$372</f>
        <v>12946.797986199999</v>
      </c>
      <c r="AA1019" s="973">
        <v>9.5500000000000007</v>
      </c>
      <c r="AM1019" s="967">
        <v>43936</v>
      </c>
      <c r="AN1019" s="974">
        <v>76800</v>
      </c>
    </row>
    <row r="1020" spans="1:40">
      <c r="A1020" s="966">
        <v>1013</v>
      </c>
      <c r="B1020" s="967">
        <v>43935</v>
      </c>
      <c r="C1020" s="966">
        <v>74800</v>
      </c>
      <c r="D1020" s="966">
        <v>0</v>
      </c>
      <c r="E1020" s="966">
        <v>0</v>
      </c>
      <c r="F1020" s="966">
        <v>40214.699999999997</v>
      </c>
      <c r="G1020" s="966">
        <v>33870.743464799998</v>
      </c>
      <c r="H1020" s="966">
        <v>8644.58</v>
      </c>
      <c r="I1020" s="966">
        <v>8.65</v>
      </c>
      <c r="Q1020" s="967">
        <v>43935</v>
      </c>
      <c r="R1020" s="966">
        <v>74800</v>
      </c>
      <c r="T1020" s="969">
        <v>0</v>
      </c>
      <c r="U1020" s="966">
        <v>8644.58</v>
      </c>
      <c r="W1020" s="971" t="e">
        <f t="shared" si="18"/>
        <v>#DIV/0!</v>
      </c>
      <c r="Y1020" s="967">
        <v>44007</v>
      </c>
      <c r="Z1020" s="974">
        <f ca="1">H970*Valuation_Senario!$L$372</f>
        <v>12946.797986199999</v>
      </c>
      <c r="AA1020" s="973">
        <v>9.48</v>
      </c>
      <c r="AM1020" s="967">
        <v>43935</v>
      </c>
      <c r="AN1020" s="974">
        <v>74800</v>
      </c>
    </row>
    <row r="1021" spans="1:40">
      <c r="A1021" s="966">
        <v>1014</v>
      </c>
      <c r="B1021" s="967">
        <v>43934</v>
      </c>
      <c r="C1021" s="966">
        <v>75000</v>
      </c>
      <c r="D1021" s="966">
        <v>0</v>
      </c>
      <c r="E1021" s="966">
        <v>0.61128000000000005</v>
      </c>
      <c r="F1021" s="966">
        <v>40305.269999999997</v>
      </c>
      <c r="G1021" s="966">
        <v>33961.306949999998</v>
      </c>
      <c r="H1021" s="966">
        <v>8610.0300000000007</v>
      </c>
      <c r="I1021" s="966">
        <v>8.7100000000000009</v>
      </c>
      <c r="Q1021" s="967">
        <v>43934</v>
      </c>
      <c r="R1021" s="966">
        <v>75000</v>
      </c>
      <c r="T1021" s="969">
        <v>-0.61128000000000005</v>
      </c>
      <c r="U1021" s="966">
        <v>8610.0300000000007</v>
      </c>
      <c r="W1021" s="971" t="e">
        <f t="shared" si="18"/>
        <v>#DIV/0!</v>
      </c>
      <c r="Y1021" s="967">
        <v>44006</v>
      </c>
      <c r="Z1021" s="974">
        <f ca="1">H971*Valuation_Senario!$L$372</f>
        <v>12946.797986199999</v>
      </c>
      <c r="AA1021" s="973">
        <v>9.64</v>
      </c>
      <c r="AM1021" s="967">
        <v>43934</v>
      </c>
      <c r="AN1021" s="974">
        <v>75000</v>
      </c>
    </row>
    <row r="1022" spans="1:40">
      <c r="A1022" s="966">
        <v>1015</v>
      </c>
      <c r="B1022" s="967">
        <v>43931</v>
      </c>
      <c r="C1022" s="966">
        <v>71700</v>
      </c>
      <c r="D1022" s="966">
        <v>0</v>
      </c>
      <c r="E1022" s="966">
        <v>0</v>
      </c>
      <c r="F1022" s="966">
        <v>38810.97</v>
      </c>
      <c r="G1022" s="966">
        <v>32467.009444200001</v>
      </c>
      <c r="H1022" s="966">
        <v>8611.73</v>
      </c>
      <c r="I1022" s="966">
        <v>8.33</v>
      </c>
      <c r="Q1022" s="967">
        <v>43931</v>
      </c>
      <c r="R1022" s="966">
        <v>71700</v>
      </c>
      <c r="T1022" s="969">
        <v>0</v>
      </c>
      <c r="U1022" s="966">
        <v>8611.73</v>
      </c>
      <c r="W1022" s="971" t="e">
        <f t="shared" si="18"/>
        <v>#DIV/0!</v>
      </c>
      <c r="Y1022" s="967">
        <v>44005</v>
      </c>
      <c r="Z1022" s="974">
        <f ca="1">H972*Valuation_Senario!$L$372</f>
        <v>12946.797986199999</v>
      </c>
      <c r="AA1022" s="973">
        <v>9.67</v>
      </c>
      <c r="AM1022" s="967">
        <v>43931</v>
      </c>
      <c r="AN1022" s="974">
        <v>71700</v>
      </c>
    </row>
    <row r="1023" spans="1:40">
      <c r="A1023" s="966">
        <v>1016</v>
      </c>
      <c r="B1023" s="967">
        <v>43930</v>
      </c>
      <c r="C1023" s="966">
        <v>73000</v>
      </c>
      <c r="D1023" s="966">
        <v>0</v>
      </c>
      <c r="E1023" s="966">
        <v>0</v>
      </c>
      <c r="F1023" s="966">
        <v>39399.629999999997</v>
      </c>
      <c r="G1023" s="966">
        <v>33055.672098000003</v>
      </c>
      <c r="H1023" s="966">
        <v>8612.2900000000009</v>
      </c>
      <c r="I1023" s="966">
        <v>8.48</v>
      </c>
      <c r="Q1023" s="967">
        <v>43930</v>
      </c>
      <c r="R1023" s="966">
        <v>73000</v>
      </c>
      <c r="T1023" s="969">
        <v>0</v>
      </c>
      <c r="U1023" s="966">
        <v>8612.2900000000009</v>
      </c>
      <c r="W1023" s="971" t="e">
        <f t="shared" si="18"/>
        <v>#DIV/0!</v>
      </c>
      <c r="Y1023" s="967">
        <v>44004</v>
      </c>
      <c r="Z1023" s="974">
        <f ca="1">H973*Valuation_Senario!$L$372</f>
        <v>12946.797986199999</v>
      </c>
      <c r="AA1023" s="973">
        <v>9.74</v>
      </c>
      <c r="AM1023" s="967">
        <v>43930</v>
      </c>
      <c r="AN1023" s="974">
        <v>73000</v>
      </c>
    </row>
    <row r="1024" spans="1:40">
      <c r="A1024" s="966">
        <v>1017</v>
      </c>
      <c r="B1024" s="967">
        <v>43929</v>
      </c>
      <c r="C1024" s="966">
        <v>74000</v>
      </c>
      <c r="D1024" s="966">
        <v>0</v>
      </c>
      <c r="E1024" s="966">
        <v>0</v>
      </c>
      <c r="F1024" s="966">
        <v>39852.449999999997</v>
      </c>
      <c r="G1024" s="966">
        <v>33508.489523999997</v>
      </c>
      <c r="H1024" s="966">
        <v>8612.86</v>
      </c>
      <c r="I1024" s="966">
        <v>8.59</v>
      </c>
      <c r="Q1024" s="967">
        <v>43929</v>
      </c>
      <c r="R1024" s="966">
        <v>74000</v>
      </c>
      <c r="T1024" s="969">
        <v>0</v>
      </c>
      <c r="U1024" s="966">
        <v>8612.86</v>
      </c>
      <c r="W1024" s="971" t="e">
        <f t="shared" si="18"/>
        <v>#DIV/0!</v>
      </c>
      <c r="Y1024" s="967">
        <v>44001</v>
      </c>
      <c r="Z1024" s="974">
        <f ca="1">H974*Valuation_Senario!$L$372</f>
        <v>12946.797986199999</v>
      </c>
      <c r="AA1024" s="973">
        <v>9.58</v>
      </c>
      <c r="AM1024" s="967">
        <v>43929</v>
      </c>
      <c r="AN1024" s="974">
        <v>74000</v>
      </c>
    </row>
    <row r="1025" spans="1:40">
      <c r="A1025" s="966">
        <v>1018</v>
      </c>
      <c r="B1025" s="967">
        <v>43928</v>
      </c>
      <c r="C1025" s="966">
        <v>74600</v>
      </c>
      <c r="D1025" s="966">
        <v>0</v>
      </c>
      <c r="E1025" s="966">
        <v>0</v>
      </c>
      <c r="F1025" s="966">
        <v>40124.14</v>
      </c>
      <c r="G1025" s="966">
        <v>33780.179979599998</v>
      </c>
      <c r="H1025" s="966">
        <v>8613.42</v>
      </c>
      <c r="I1025" s="966">
        <v>8.66</v>
      </c>
      <c r="Q1025" s="967">
        <v>43928</v>
      </c>
      <c r="R1025" s="966">
        <v>74600</v>
      </c>
      <c r="T1025" s="969">
        <v>0</v>
      </c>
      <c r="U1025" s="966">
        <v>8613.42</v>
      </c>
      <c r="W1025" s="971" t="e">
        <f t="shared" si="18"/>
        <v>#DIV/0!</v>
      </c>
      <c r="Y1025" s="967">
        <v>44000</v>
      </c>
      <c r="Z1025" s="974">
        <f ca="1">H975*Valuation_Senario!$L$372</f>
        <v>12946.797986199999</v>
      </c>
      <c r="AA1025" s="973">
        <v>9.5</v>
      </c>
      <c r="AM1025" s="967">
        <v>43928</v>
      </c>
      <c r="AN1025" s="974">
        <v>74600</v>
      </c>
    </row>
    <row r="1026" spans="1:40">
      <c r="A1026" s="966">
        <v>1019</v>
      </c>
      <c r="B1026" s="967">
        <v>43927</v>
      </c>
      <c r="C1026" s="966">
        <v>69900</v>
      </c>
      <c r="D1026" s="966">
        <v>0</v>
      </c>
      <c r="E1026" s="966">
        <v>0</v>
      </c>
      <c r="F1026" s="966">
        <v>37995.9</v>
      </c>
      <c r="G1026" s="966">
        <v>31651.938077399998</v>
      </c>
      <c r="H1026" s="966">
        <v>8613.99</v>
      </c>
      <c r="I1026" s="966">
        <v>8.11</v>
      </c>
      <c r="Q1026" s="967">
        <v>43927</v>
      </c>
      <c r="R1026" s="966">
        <v>69900</v>
      </c>
      <c r="T1026" s="969">
        <v>0</v>
      </c>
      <c r="U1026" s="966">
        <v>8613.99</v>
      </c>
      <c r="W1026" s="971" t="e">
        <f t="shared" si="18"/>
        <v>#DIV/0!</v>
      </c>
      <c r="Y1026" s="967">
        <v>43999</v>
      </c>
      <c r="Z1026" s="974">
        <f ca="1">H976*Valuation_Senario!$L$372</f>
        <v>12946.797986199999</v>
      </c>
      <c r="AA1026" s="973">
        <v>9.5</v>
      </c>
      <c r="AM1026" s="967">
        <v>43927</v>
      </c>
      <c r="AN1026" s="974">
        <v>69900</v>
      </c>
    </row>
    <row r="1027" spans="1:40">
      <c r="A1027" s="966">
        <v>1020</v>
      </c>
      <c r="B1027" s="967">
        <v>43924</v>
      </c>
      <c r="C1027" s="966">
        <v>65400</v>
      </c>
      <c r="D1027" s="966">
        <v>0</v>
      </c>
      <c r="E1027" s="966">
        <v>0</v>
      </c>
      <c r="F1027" s="966">
        <v>35958.22</v>
      </c>
      <c r="G1027" s="966">
        <v>29614.259660399999</v>
      </c>
      <c r="H1027" s="966">
        <v>8615.69</v>
      </c>
      <c r="I1027" s="966">
        <v>7.59</v>
      </c>
      <c r="Q1027" s="967">
        <v>43924</v>
      </c>
      <c r="R1027" s="966">
        <v>65400</v>
      </c>
      <c r="T1027" s="969">
        <v>0</v>
      </c>
      <c r="U1027" s="966">
        <v>8615.69</v>
      </c>
      <c r="W1027" s="971" t="e">
        <f t="shared" si="18"/>
        <v>#DIV/0!</v>
      </c>
      <c r="Y1027" s="967">
        <v>43998</v>
      </c>
      <c r="Z1027" s="974">
        <f ca="1">H977*Valuation_Senario!$L$372</f>
        <v>12946.797986199999</v>
      </c>
      <c r="AA1027" s="973">
        <v>9.57</v>
      </c>
      <c r="AM1027" s="967">
        <v>43924</v>
      </c>
      <c r="AN1027" s="974">
        <v>65400</v>
      </c>
    </row>
    <row r="1028" spans="1:40">
      <c r="A1028" s="966">
        <v>1021</v>
      </c>
      <c r="B1028" s="967">
        <v>43922</v>
      </c>
      <c r="C1028" s="966">
        <v>61200</v>
      </c>
      <c r="D1028" s="966">
        <v>0</v>
      </c>
      <c r="E1028" s="966">
        <v>0</v>
      </c>
      <c r="F1028" s="966">
        <v>34056.379999999997</v>
      </c>
      <c r="G1028" s="966">
        <v>27712.4264712</v>
      </c>
      <c r="H1028" s="966">
        <v>8616.82</v>
      </c>
      <c r="I1028" s="966">
        <v>7.1</v>
      </c>
      <c r="Q1028" s="967">
        <v>43922</v>
      </c>
      <c r="R1028" s="966">
        <v>61200</v>
      </c>
      <c r="T1028" s="969">
        <v>0</v>
      </c>
      <c r="U1028" s="966">
        <v>8616.82</v>
      </c>
      <c r="W1028" s="971" t="e">
        <f t="shared" si="18"/>
        <v>#DIV/0!</v>
      </c>
      <c r="Y1028" s="967">
        <v>43997</v>
      </c>
      <c r="Z1028" s="974">
        <f ca="1">H978*Valuation_Senario!$L$372</f>
        <v>12946.797986199999</v>
      </c>
      <c r="AA1028" s="973">
        <v>9.36</v>
      </c>
      <c r="AM1028" s="967">
        <v>43922</v>
      </c>
      <c r="AN1028" s="974">
        <v>61200</v>
      </c>
    </row>
    <row r="1029" spans="1:40">
      <c r="A1029" s="966">
        <v>1022</v>
      </c>
      <c r="B1029" s="967">
        <v>43921</v>
      </c>
      <c r="C1029" s="966">
        <v>58900</v>
      </c>
      <c r="D1029" s="966">
        <v>0</v>
      </c>
      <c r="E1029" s="966">
        <v>0</v>
      </c>
      <c r="F1029" s="966">
        <v>33014.9</v>
      </c>
      <c r="G1029" s="966">
        <v>26670.946391400001</v>
      </c>
      <c r="H1029" s="966">
        <v>8617.3799999999992</v>
      </c>
      <c r="I1029" s="966">
        <v>6.84</v>
      </c>
      <c r="Q1029" s="967">
        <v>43921</v>
      </c>
      <c r="R1029" s="966">
        <v>58900</v>
      </c>
      <c r="T1029" s="969">
        <v>0</v>
      </c>
      <c r="U1029" s="966">
        <v>8617.3799999999992</v>
      </c>
      <c r="W1029" s="971" t="e">
        <f t="shared" si="18"/>
        <v>#DIV/0!</v>
      </c>
      <c r="Y1029" s="967">
        <v>43994</v>
      </c>
      <c r="Z1029" s="974">
        <f ca="1">H979*Valuation_Senario!$L$372</f>
        <v>12946.797986199999</v>
      </c>
      <c r="AA1029" s="973">
        <v>9.75</v>
      </c>
      <c r="AM1029" s="967">
        <v>43921</v>
      </c>
      <c r="AN1029" s="974">
        <v>58900</v>
      </c>
    </row>
    <row r="1030" spans="1:40">
      <c r="A1030" s="966">
        <v>1023</v>
      </c>
      <c r="B1030" s="967">
        <v>43920</v>
      </c>
      <c r="C1030" s="966">
        <v>59500</v>
      </c>
      <c r="D1030" s="966">
        <v>0</v>
      </c>
      <c r="E1030" s="966">
        <v>0</v>
      </c>
      <c r="F1030" s="966">
        <v>33286.6</v>
      </c>
      <c r="G1030" s="966">
        <v>26942.636847000002</v>
      </c>
      <c r="H1030" s="966">
        <v>8617.9500000000007</v>
      </c>
      <c r="I1030" s="966">
        <v>6.9</v>
      </c>
      <c r="Q1030" s="967">
        <v>43920</v>
      </c>
      <c r="R1030" s="966">
        <v>59500</v>
      </c>
      <c r="T1030" s="969">
        <v>0</v>
      </c>
      <c r="U1030" s="966">
        <v>8617.9500000000007</v>
      </c>
      <c r="W1030" s="971" t="e">
        <f t="shared" si="18"/>
        <v>#DIV/0!</v>
      </c>
      <c r="Y1030" s="967">
        <v>43993</v>
      </c>
      <c r="Z1030" s="974">
        <f ca="1">H980*Valuation_Senario!$L$372</f>
        <v>12946.797986199999</v>
      </c>
      <c r="AA1030" s="973">
        <v>9.44</v>
      </c>
      <c r="AM1030" s="967">
        <v>43920</v>
      </c>
      <c r="AN1030" s="974">
        <v>59500</v>
      </c>
    </row>
    <row r="1031" spans="1:40">
      <c r="A1031" s="966">
        <v>1024</v>
      </c>
      <c r="B1031" s="967">
        <v>43917</v>
      </c>
      <c r="C1031" s="966">
        <v>63300</v>
      </c>
      <c r="D1031" s="966">
        <v>0</v>
      </c>
      <c r="E1031" s="966">
        <v>0</v>
      </c>
      <c r="F1031" s="966">
        <v>35007.300000000003</v>
      </c>
      <c r="G1031" s="966">
        <v>28663.3430658</v>
      </c>
      <c r="H1031" s="966">
        <v>8619.65</v>
      </c>
      <c r="I1031" s="966">
        <v>7.34</v>
      </c>
      <c r="Q1031" s="967">
        <v>43917</v>
      </c>
      <c r="R1031" s="966">
        <v>63300</v>
      </c>
      <c r="T1031" s="969">
        <v>0</v>
      </c>
      <c r="U1031" s="966">
        <v>8619.65</v>
      </c>
      <c r="W1031" s="971" t="e">
        <f t="shared" si="18"/>
        <v>#DIV/0!</v>
      </c>
      <c r="Y1031" s="967">
        <v>43992</v>
      </c>
      <c r="Z1031" s="974">
        <f ca="1">H981*Valuation_Senario!$L$372</f>
        <v>12946.797986199999</v>
      </c>
      <c r="AA1031" s="973">
        <v>10.14</v>
      </c>
      <c r="AM1031" s="967">
        <v>43917</v>
      </c>
      <c r="AN1031" s="974">
        <v>63300</v>
      </c>
    </row>
    <row r="1032" spans="1:40">
      <c r="A1032" s="966">
        <v>1025</v>
      </c>
      <c r="B1032" s="967">
        <v>43916</v>
      </c>
      <c r="C1032" s="966">
        <v>68000</v>
      </c>
      <c r="D1032" s="966">
        <v>0</v>
      </c>
      <c r="E1032" s="966">
        <v>0</v>
      </c>
      <c r="F1032" s="966">
        <v>37135.54</v>
      </c>
      <c r="G1032" s="966">
        <v>30791.584967999999</v>
      </c>
      <c r="H1032" s="966">
        <v>8620.2099999999991</v>
      </c>
      <c r="I1032" s="966">
        <v>7.89</v>
      </c>
      <c r="Q1032" s="967">
        <v>43916</v>
      </c>
      <c r="R1032" s="966">
        <v>68000</v>
      </c>
      <c r="T1032" s="969">
        <v>0</v>
      </c>
      <c r="U1032" s="966">
        <v>8620.2099999999991</v>
      </c>
      <c r="W1032" s="971" t="e">
        <f t="shared" si="18"/>
        <v>#DIV/0!</v>
      </c>
      <c r="Y1032" s="967">
        <v>43991</v>
      </c>
      <c r="Z1032" s="974">
        <f ca="1">H982*Valuation_Senario!$L$372</f>
        <v>12946.797986199999</v>
      </c>
      <c r="AA1032" s="973">
        <v>10.06</v>
      </c>
      <c r="AM1032" s="967">
        <v>43916</v>
      </c>
      <c r="AN1032" s="974">
        <v>68000</v>
      </c>
    </row>
    <row r="1033" spans="1:40">
      <c r="A1033" s="966">
        <v>1026</v>
      </c>
      <c r="B1033" s="967">
        <v>43915</v>
      </c>
      <c r="C1033" s="966">
        <v>73000</v>
      </c>
      <c r="D1033" s="966">
        <v>0</v>
      </c>
      <c r="E1033" s="966">
        <v>0</v>
      </c>
      <c r="F1033" s="966">
        <v>39399.629999999997</v>
      </c>
      <c r="G1033" s="966">
        <v>33055.672098000003</v>
      </c>
      <c r="H1033" s="966">
        <v>8620.7800000000007</v>
      </c>
      <c r="I1033" s="966">
        <v>8.4700000000000006</v>
      </c>
      <c r="Q1033" s="967">
        <v>43915</v>
      </c>
      <c r="R1033" s="966">
        <v>73000</v>
      </c>
      <c r="T1033" s="969">
        <v>0</v>
      </c>
      <c r="U1033" s="966">
        <v>8620.7800000000007</v>
      </c>
      <c r="W1033" s="971" t="e">
        <f t="shared" ref="W1033:W1096" si="19">T1033/V1033</f>
        <v>#DIV/0!</v>
      </c>
      <c r="Y1033" s="967">
        <v>43990</v>
      </c>
      <c r="Z1033" s="974">
        <f ca="1">H983*Valuation_Senario!$L$372</f>
        <v>12946.797986199999</v>
      </c>
      <c r="AA1033" s="973">
        <v>10.220000000000001</v>
      </c>
      <c r="AM1033" s="967">
        <v>43915</v>
      </c>
      <c r="AN1033" s="974">
        <v>73000</v>
      </c>
    </row>
    <row r="1034" spans="1:40">
      <c r="A1034" s="966">
        <v>1027</v>
      </c>
      <c r="B1034" s="967">
        <v>43914</v>
      </c>
      <c r="C1034" s="966">
        <v>68800</v>
      </c>
      <c r="D1034" s="966">
        <v>26.111999999999998</v>
      </c>
      <c r="E1034" s="966">
        <v>26.111999999999998</v>
      </c>
      <c r="F1034" s="966">
        <v>37497.800000000003</v>
      </c>
      <c r="G1034" s="966">
        <v>31153.8389088</v>
      </c>
      <c r="H1034" s="966">
        <v>8621.35</v>
      </c>
      <c r="I1034" s="966">
        <v>7.98</v>
      </c>
      <c r="Q1034" s="967">
        <v>43914</v>
      </c>
      <c r="R1034" s="966">
        <v>68800</v>
      </c>
      <c r="T1034" s="969">
        <v>0</v>
      </c>
      <c r="U1034" s="966">
        <v>8621.35</v>
      </c>
      <c r="W1034" s="971" t="e">
        <f t="shared" si="19"/>
        <v>#DIV/0!</v>
      </c>
      <c r="Y1034" s="967">
        <v>43987</v>
      </c>
      <c r="Z1034" s="974">
        <f ca="1">H984*Valuation_Senario!$L$372</f>
        <v>12946.797986199999</v>
      </c>
      <c r="AA1034" s="973">
        <v>9.77</v>
      </c>
      <c r="AM1034" s="967">
        <v>43914</v>
      </c>
      <c r="AN1034" s="974">
        <v>68800</v>
      </c>
    </row>
    <row r="1035" spans="1:40">
      <c r="A1035" s="966">
        <v>1028</v>
      </c>
      <c r="B1035" s="967">
        <v>43913</v>
      </c>
      <c r="C1035" s="966">
        <v>71800</v>
      </c>
      <c r="D1035" s="966">
        <v>0</v>
      </c>
      <c r="E1035" s="966">
        <v>0</v>
      </c>
      <c r="F1035" s="966">
        <v>38856.25</v>
      </c>
      <c r="G1035" s="966">
        <v>32512.291186800001</v>
      </c>
      <c r="H1035" s="966">
        <v>8621.91</v>
      </c>
      <c r="I1035" s="966">
        <v>8.33</v>
      </c>
      <c r="Q1035" s="967">
        <v>43913</v>
      </c>
      <c r="R1035" s="966">
        <v>71800</v>
      </c>
      <c r="T1035" s="969">
        <v>0</v>
      </c>
      <c r="U1035" s="966">
        <v>8621.91</v>
      </c>
      <c r="W1035" s="971" t="e">
        <f t="shared" si="19"/>
        <v>#DIV/0!</v>
      </c>
      <c r="Y1035" s="967">
        <v>43986</v>
      </c>
      <c r="Z1035" s="974">
        <f ca="1">H985*Valuation_Senario!$L$372</f>
        <v>12946.797986199999</v>
      </c>
      <c r="AA1035" s="973">
        <v>9.6999999999999993</v>
      </c>
      <c r="AM1035" s="967">
        <v>43913</v>
      </c>
      <c r="AN1035" s="974">
        <v>71800</v>
      </c>
    </row>
    <row r="1036" spans="1:40">
      <c r="A1036" s="966">
        <v>1029</v>
      </c>
      <c r="B1036" s="967">
        <v>43910</v>
      </c>
      <c r="C1036" s="966">
        <v>77200</v>
      </c>
      <c r="D1036" s="966">
        <v>0</v>
      </c>
      <c r="E1036" s="966">
        <v>0</v>
      </c>
      <c r="F1036" s="966">
        <v>41331.769999999997</v>
      </c>
      <c r="G1036" s="966">
        <v>34987.810996400003</v>
      </c>
      <c r="H1036" s="966">
        <v>8616.01</v>
      </c>
      <c r="I1036" s="966">
        <v>8.9600000000000009</v>
      </c>
      <c r="Q1036" s="967">
        <v>43910</v>
      </c>
      <c r="R1036" s="966">
        <v>77200</v>
      </c>
      <c r="T1036" s="969">
        <v>0</v>
      </c>
      <c r="U1036" s="966">
        <v>8616.01</v>
      </c>
      <c r="W1036" s="971" t="e">
        <f t="shared" si="19"/>
        <v>#DIV/0!</v>
      </c>
      <c r="Y1036" s="967">
        <v>43985</v>
      </c>
      <c r="Z1036" s="974">
        <f ca="1">H986*Valuation_Senario!$L$372</f>
        <v>12946.797986199999</v>
      </c>
      <c r="AA1036" s="973">
        <v>9.69</v>
      </c>
      <c r="AM1036" s="967">
        <v>43910</v>
      </c>
      <c r="AN1036" s="974">
        <v>77200</v>
      </c>
    </row>
    <row r="1037" spans="1:40">
      <c r="A1037" s="966">
        <v>1030</v>
      </c>
      <c r="B1037" s="967">
        <v>43909</v>
      </c>
      <c r="C1037" s="966">
        <v>75600</v>
      </c>
      <c r="D1037" s="966">
        <v>0</v>
      </c>
      <c r="E1037" s="966">
        <v>0</v>
      </c>
      <c r="F1037" s="966">
        <v>40606.629999999997</v>
      </c>
      <c r="G1037" s="966">
        <v>34262.675017200003</v>
      </c>
      <c r="H1037" s="966">
        <v>8616.57</v>
      </c>
      <c r="I1037" s="966">
        <v>8.77</v>
      </c>
      <c r="Q1037" s="967">
        <v>43909</v>
      </c>
      <c r="R1037" s="966">
        <v>75600</v>
      </c>
      <c r="T1037" s="969">
        <v>0</v>
      </c>
      <c r="U1037" s="966">
        <v>8616.57</v>
      </c>
      <c r="W1037" s="971" t="e">
        <f t="shared" si="19"/>
        <v>#DIV/0!</v>
      </c>
      <c r="Y1037" s="967">
        <v>43984</v>
      </c>
      <c r="Z1037" s="974">
        <f ca="1">H987*Valuation_Senario!$L$372</f>
        <v>12946.797986199999</v>
      </c>
      <c r="AA1037" s="973">
        <v>9.67</v>
      </c>
      <c r="AM1037" s="967">
        <v>43909</v>
      </c>
      <c r="AN1037" s="974">
        <v>75600</v>
      </c>
    </row>
    <row r="1038" spans="1:40">
      <c r="A1038" s="966">
        <v>1031</v>
      </c>
      <c r="B1038" s="967">
        <v>43908</v>
      </c>
      <c r="C1038" s="966">
        <v>78800</v>
      </c>
      <c r="D1038" s="966">
        <v>0.67452599999999996</v>
      </c>
      <c r="E1038" s="966">
        <v>0</v>
      </c>
      <c r="F1038" s="966">
        <v>42056.91</v>
      </c>
      <c r="G1038" s="966">
        <v>35712.946975600003</v>
      </c>
      <c r="H1038" s="966">
        <v>8617.14</v>
      </c>
      <c r="I1038" s="966">
        <v>9.14</v>
      </c>
      <c r="Q1038" s="967">
        <v>43908</v>
      </c>
      <c r="R1038" s="966">
        <v>78800</v>
      </c>
      <c r="T1038" s="969">
        <v>0.67452599999999996</v>
      </c>
      <c r="U1038" s="966">
        <v>8617.14</v>
      </c>
      <c r="W1038" s="971" t="e">
        <f t="shared" si="19"/>
        <v>#DIV/0!</v>
      </c>
      <c r="Y1038" s="967">
        <v>43983</v>
      </c>
      <c r="Z1038" s="974">
        <f ca="1">H988*Valuation_Senario!$L$372</f>
        <v>12946.797986199999</v>
      </c>
      <c r="AA1038" s="973">
        <v>9.75</v>
      </c>
      <c r="AM1038" s="967">
        <v>43908</v>
      </c>
      <c r="AN1038" s="974">
        <v>78800</v>
      </c>
    </row>
    <row r="1039" spans="1:40">
      <c r="A1039" s="966">
        <v>1032</v>
      </c>
      <c r="B1039" s="967">
        <v>43907</v>
      </c>
      <c r="C1039" s="966">
        <v>77300</v>
      </c>
      <c r="D1039" s="966">
        <v>0</v>
      </c>
      <c r="E1039" s="966">
        <v>0</v>
      </c>
      <c r="F1039" s="966">
        <v>41377.089999999997</v>
      </c>
      <c r="G1039" s="966">
        <v>35033.131995099997</v>
      </c>
      <c r="H1039" s="966">
        <v>8617.7000000000007</v>
      </c>
      <c r="I1039" s="966">
        <v>8.9700000000000006</v>
      </c>
      <c r="Q1039" s="967">
        <v>43907</v>
      </c>
      <c r="R1039" s="966">
        <v>77300</v>
      </c>
      <c r="T1039" s="969">
        <v>0</v>
      </c>
      <c r="U1039" s="966">
        <v>8617.7000000000007</v>
      </c>
      <c r="W1039" s="971" t="e">
        <f t="shared" si="19"/>
        <v>#DIV/0!</v>
      </c>
      <c r="Y1039" s="967">
        <v>43980</v>
      </c>
      <c r="Z1039" s="974">
        <f ca="1">H989*Valuation_Senario!$L$372</f>
        <v>12946.797986199999</v>
      </c>
      <c r="AA1039" s="973">
        <v>9.6</v>
      </c>
      <c r="AM1039" s="967">
        <v>43907</v>
      </c>
      <c r="AN1039" s="974">
        <v>77300</v>
      </c>
    </row>
    <row r="1040" spans="1:40">
      <c r="A1040" s="966">
        <v>1033</v>
      </c>
      <c r="B1040" s="967">
        <v>43906</v>
      </c>
      <c r="C1040" s="966">
        <v>76000</v>
      </c>
      <c r="D1040" s="966">
        <v>5.2043549999999996</v>
      </c>
      <c r="E1040" s="966">
        <v>5.2043549999999996</v>
      </c>
      <c r="F1040" s="966">
        <v>40787.919999999998</v>
      </c>
      <c r="G1040" s="966">
        <v>34443.959011999999</v>
      </c>
      <c r="H1040" s="966">
        <v>8618.27</v>
      </c>
      <c r="I1040" s="966">
        <v>8.82</v>
      </c>
      <c r="Q1040" s="967">
        <v>43906</v>
      </c>
      <c r="R1040" s="966">
        <v>76000</v>
      </c>
      <c r="T1040" s="969">
        <v>0</v>
      </c>
      <c r="U1040" s="966">
        <v>8618.27</v>
      </c>
      <c r="W1040" s="971" t="e">
        <f t="shared" si="19"/>
        <v>#DIV/0!</v>
      </c>
      <c r="Y1040" s="967">
        <v>43979</v>
      </c>
      <c r="Z1040" s="974">
        <f ca="1">H990*Valuation_Senario!$L$372</f>
        <v>12946.797986199999</v>
      </c>
      <c r="AA1040" s="973">
        <v>9.61</v>
      </c>
      <c r="AM1040" s="967">
        <v>43906</v>
      </c>
      <c r="AN1040" s="974">
        <v>76000</v>
      </c>
    </row>
    <row r="1041" spans="1:40">
      <c r="A1041" s="966">
        <v>1034</v>
      </c>
      <c r="B1041" s="967">
        <v>43903</v>
      </c>
      <c r="C1041" s="966">
        <v>79000</v>
      </c>
      <c r="D1041" s="966">
        <v>8.3276269999999997</v>
      </c>
      <c r="E1041" s="966">
        <v>6.1021130000000001</v>
      </c>
      <c r="F1041" s="966">
        <v>42147.55</v>
      </c>
      <c r="G1041" s="966">
        <v>35803.588972999998</v>
      </c>
      <c r="H1041" s="966">
        <v>8619.9699999999993</v>
      </c>
      <c r="I1041" s="966">
        <v>9.16</v>
      </c>
      <c r="Q1041" s="967">
        <v>43903</v>
      </c>
      <c r="R1041" s="966">
        <v>79000</v>
      </c>
      <c r="T1041" s="969">
        <v>2.2255139999999995</v>
      </c>
      <c r="U1041" s="966">
        <v>8619.9699999999993</v>
      </c>
      <c r="W1041" s="971" t="e">
        <f t="shared" si="19"/>
        <v>#DIV/0!</v>
      </c>
      <c r="Y1041" s="967">
        <v>43978</v>
      </c>
      <c r="Z1041" s="974">
        <f ca="1">H991*Valuation_Senario!$L$372</f>
        <v>12946.797986199999</v>
      </c>
      <c r="AA1041" s="973">
        <v>9.6199999999999992</v>
      </c>
      <c r="AM1041" s="967">
        <v>43903</v>
      </c>
      <c r="AN1041" s="974">
        <v>79000</v>
      </c>
    </row>
    <row r="1042" spans="1:40">
      <c r="A1042" s="966">
        <v>1035</v>
      </c>
      <c r="B1042" s="967">
        <v>43902</v>
      </c>
      <c r="C1042" s="966">
        <v>81300</v>
      </c>
      <c r="D1042" s="966">
        <v>0</v>
      </c>
      <c r="E1042" s="966">
        <v>0</v>
      </c>
      <c r="F1042" s="966">
        <v>43189.93</v>
      </c>
      <c r="G1042" s="966">
        <v>36845.971943099998</v>
      </c>
      <c r="H1042" s="966">
        <v>8620.5400000000009</v>
      </c>
      <c r="I1042" s="966">
        <v>9.43</v>
      </c>
      <c r="Q1042" s="967">
        <v>43902</v>
      </c>
      <c r="R1042" s="966">
        <v>81300</v>
      </c>
      <c r="T1042" s="969">
        <v>0</v>
      </c>
      <c r="U1042" s="966">
        <v>8620.5400000000009</v>
      </c>
      <c r="W1042" s="971" t="e">
        <f t="shared" si="19"/>
        <v>#DIV/0!</v>
      </c>
      <c r="Y1042" s="967">
        <v>43977</v>
      </c>
      <c r="Z1042" s="974">
        <f ca="1">H992*Valuation_Senario!$L$372</f>
        <v>12946.797986199999</v>
      </c>
      <c r="AA1042" s="973">
        <v>9.81</v>
      </c>
      <c r="AM1042" s="967">
        <v>43902</v>
      </c>
      <c r="AN1042" s="974">
        <v>81300</v>
      </c>
    </row>
    <row r="1043" spans="1:40">
      <c r="A1043" s="966">
        <v>1036</v>
      </c>
      <c r="B1043" s="967">
        <v>43901</v>
      </c>
      <c r="C1043" s="966">
        <v>87400</v>
      </c>
      <c r="D1043" s="966">
        <v>0</v>
      </c>
      <c r="E1043" s="966">
        <v>0</v>
      </c>
      <c r="F1043" s="966">
        <v>45954.51</v>
      </c>
      <c r="G1043" s="966">
        <v>39610.552863800003</v>
      </c>
      <c r="H1043" s="966">
        <v>8621.1</v>
      </c>
      <c r="I1043" s="966">
        <v>10.14</v>
      </c>
      <c r="Q1043" s="967">
        <v>43901</v>
      </c>
      <c r="R1043" s="966">
        <v>87400</v>
      </c>
      <c r="T1043" s="969">
        <v>0</v>
      </c>
      <c r="U1043" s="966">
        <v>8621.1</v>
      </c>
      <c r="W1043" s="971" t="e">
        <f t="shared" si="19"/>
        <v>#DIV/0!</v>
      </c>
      <c r="Y1043" s="967">
        <v>43976</v>
      </c>
      <c r="Z1043" s="974">
        <f ca="1">H993*Valuation_Senario!$L$372</f>
        <v>12946.797986199999</v>
      </c>
      <c r="AA1043" s="973">
        <v>9.77</v>
      </c>
      <c r="AM1043" s="967">
        <v>43901</v>
      </c>
      <c r="AN1043" s="974">
        <v>87400</v>
      </c>
    </row>
    <row r="1044" spans="1:40">
      <c r="A1044" s="966">
        <v>1037</v>
      </c>
      <c r="B1044" s="967">
        <v>43900</v>
      </c>
      <c r="C1044" s="966">
        <v>93900</v>
      </c>
      <c r="D1044" s="966">
        <v>0</v>
      </c>
      <c r="E1044" s="966">
        <v>3.31548</v>
      </c>
      <c r="F1044" s="966">
        <v>48900.38</v>
      </c>
      <c r="G1044" s="966">
        <v>42556.417779299998</v>
      </c>
      <c r="H1044" s="966">
        <v>8621.67</v>
      </c>
      <c r="I1044" s="966">
        <v>10.89</v>
      </c>
      <c r="Q1044" s="967">
        <v>43900</v>
      </c>
      <c r="R1044" s="966">
        <v>93900</v>
      </c>
      <c r="T1044" s="969">
        <v>-3.31548</v>
      </c>
      <c r="U1044" s="966">
        <v>8621.67</v>
      </c>
      <c r="W1044" s="971" t="e">
        <f t="shared" si="19"/>
        <v>#DIV/0!</v>
      </c>
      <c r="Y1044" s="967">
        <v>43973</v>
      </c>
      <c r="Z1044" s="974">
        <f ca="1">H994*Valuation_Senario!$L$372</f>
        <v>12946.797986199999</v>
      </c>
      <c r="AA1044" s="973">
        <v>9.64</v>
      </c>
      <c r="AM1044" s="967">
        <v>43900</v>
      </c>
      <c r="AN1044" s="974">
        <v>93900</v>
      </c>
    </row>
    <row r="1045" spans="1:40">
      <c r="A1045" s="966">
        <v>1038</v>
      </c>
      <c r="B1045" s="967">
        <v>43899</v>
      </c>
      <c r="C1045" s="966">
        <v>95900</v>
      </c>
      <c r="D1045" s="966">
        <v>0</v>
      </c>
      <c r="E1045" s="966">
        <v>0</v>
      </c>
      <c r="F1045" s="966">
        <v>49806.8</v>
      </c>
      <c r="G1045" s="966">
        <v>43462.837753300002</v>
      </c>
      <c r="H1045" s="966">
        <v>8622.23</v>
      </c>
      <c r="I1045" s="966">
        <v>11.12</v>
      </c>
      <c r="Q1045" s="967">
        <v>43899</v>
      </c>
      <c r="R1045" s="966">
        <v>95900</v>
      </c>
      <c r="T1045" s="969">
        <v>0</v>
      </c>
      <c r="U1045" s="966">
        <v>8622.23</v>
      </c>
      <c r="W1045" s="971" t="e">
        <f t="shared" si="19"/>
        <v>#DIV/0!</v>
      </c>
      <c r="Y1045" s="967">
        <v>43972</v>
      </c>
      <c r="Z1045" s="974">
        <f ca="1">H995*Valuation_Senario!$L$372</f>
        <v>12946.797986199999</v>
      </c>
      <c r="AA1045" s="973">
        <v>9.8699999999999992</v>
      </c>
      <c r="AM1045" s="967">
        <v>43899</v>
      </c>
      <c r="AN1045" s="974">
        <v>95900</v>
      </c>
    </row>
    <row r="1046" spans="1:40">
      <c r="A1046" s="966">
        <v>1039</v>
      </c>
      <c r="B1046" s="967">
        <v>43896</v>
      </c>
      <c r="C1046" s="966">
        <v>103100</v>
      </c>
      <c r="D1046" s="966">
        <v>0</v>
      </c>
      <c r="E1046" s="966">
        <v>0</v>
      </c>
      <c r="F1046" s="966">
        <v>53069.91</v>
      </c>
      <c r="G1046" s="966">
        <v>46725.949659700003</v>
      </c>
      <c r="H1046" s="966">
        <v>8623.93</v>
      </c>
      <c r="I1046" s="966">
        <v>11.96</v>
      </c>
      <c r="Q1046" s="967">
        <v>43896</v>
      </c>
      <c r="R1046" s="966">
        <v>103100</v>
      </c>
      <c r="T1046" s="969">
        <v>0</v>
      </c>
      <c r="U1046" s="966">
        <v>8623.93</v>
      </c>
      <c r="W1046" s="971" t="e">
        <f t="shared" si="19"/>
        <v>#DIV/0!</v>
      </c>
      <c r="Y1046" s="967">
        <v>43971</v>
      </c>
      <c r="Z1046" s="974">
        <f ca="1">H996*Valuation_Senario!$L$372</f>
        <v>12946.797986199999</v>
      </c>
      <c r="AA1046" s="973">
        <v>9.81</v>
      </c>
      <c r="AM1046" s="967">
        <v>43896</v>
      </c>
      <c r="AN1046" s="974">
        <v>103100</v>
      </c>
    </row>
    <row r="1047" spans="1:40">
      <c r="A1047" s="966">
        <v>1040</v>
      </c>
      <c r="B1047" s="967">
        <v>43895</v>
      </c>
      <c r="C1047" s="966">
        <v>105500</v>
      </c>
      <c r="D1047" s="966">
        <v>0.23319999999999999</v>
      </c>
      <c r="E1047" s="966">
        <v>0</v>
      </c>
      <c r="F1047" s="966">
        <v>54157.61</v>
      </c>
      <c r="G1047" s="966">
        <v>47813.653628499997</v>
      </c>
      <c r="H1047" s="966">
        <v>8624.5</v>
      </c>
      <c r="I1047" s="966">
        <v>12.23</v>
      </c>
      <c r="Q1047" s="967">
        <v>43895</v>
      </c>
      <c r="R1047" s="966">
        <v>105500</v>
      </c>
      <c r="T1047" s="969">
        <v>0.23319999999999999</v>
      </c>
      <c r="U1047" s="966">
        <v>8624.5</v>
      </c>
      <c r="W1047" s="971" t="e">
        <f t="shared" si="19"/>
        <v>#DIV/0!</v>
      </c>
      <c r="Y1047" s="967">
        <v>43970</v>
      </c>
      <c r="Z1047" s="974">
        <f ca="1">H997*Valuation_Senario!$L$372</f>
        <v>12946.797986199999</v>
      </c>
      <c r="AA1047" s="973">
        <v>9.89</v>
      </c>
      <c r="AM1047" s="967">
        <v>43895</v>
      </c>
      <c r="AN1047" s="974">
        <v>105500</v>
      </c>
    </row>
    <row r="1048" spans="1:40">
      <c r="A1048" s="966">
        <v>1041</v>
      </c>
      <c r="B1048" s="967">
        <v>43894</v>
      </c>
      <c r="C1048" s="966">
        <v>106000</v>
      </c>
      <c r="D1048" s="966">
        <v>2.7533999999999999E-2</v>
      </c>
      <c r="E1048" s="966">
        <v>0</v>
      </c>
      <c r="F1048" s="966">
        <v>54384.22</v>
      </c>
      <c r="G1048" s="966">
        <v>48040.258622000001</v>
      </c>
      <c r="H1048" s="966">
        <v>8625.07</v>
      </c>
      <c r="I1048" s="966">
        <v>12.29</v>
      </c>
      <c r="Q1048" s="967">
        <v>43894</v>
      </c>
      <c r="R1048" s="966">
        <v>106000</v>
      </c>
      <c r="T1048" s="969">
        <v>2.7533999999999999E-2</v>
      </c>
      <c r="U1048" s="966">
        <v>8625.07</v>
      </c>
      <c r="W1048" s="971" t="e">
        <f t="shared" si="19"/>
        <v>#DIV/0!</v>
      </c>
      <c r="Y1048" s="967">
        <v>43969</v>
      </c>
      <c r="Z1048" s="974">
        <f ca="1">H998*Valuation_Senario!$L$372</f>
        <v>12946.797986199999</v>
      </c>
      <c r="AA1048" s="973">
        <v>9.6999999999999993</v>
      </c>
      <c r="AM1048" s="967">
        <v>43894</v>
      </c>
      <c r="AN1048" s="974">
        <v>106000</v>
      </c>
    </row>
    <row r="1049" spans="1:40">
      <c r="A1049" s="966">
        <v>1042</v>
      </c>
      <c r="B1049" s="967">
        <v>43893</v>
      </c>
      <c r="C1049" s="966">
        <v>106400</v>
      </c>
      <c r="D1049" s="966">
        <v>1.078E-3</v>
      </c>
      <c r="E1049" s="966">
        <v>0</v>
      </c>
      <c r="F1049" s="966">
        <v>54565.5</v>
      </c>
      <c r="G1049" s="966">
        <v>48221.542616799998</v>
      </c>
      <c r="H1049" s="966">
        <v>8625.64</v>
      </c>
      <c r="I1049" s="966">
        <v>12.34</v>
      </c>
      <c r="Q1049" s="967">
        <v>43893</v>
      </c>
      <c r="R1049" s="966">
        <v>106400</v>
      </c>
      <c r="T1049" s="969">
        <v>1.078E-3</v>
      </c>
      <c r="U1049" s="966">
        <v>8625.64</v>
      </c>
      <c r="W1049" s="971" t="e">
        <f t="shared" si="19"/>
        <v>#DIV/0!</v>
      </c>
      <c r="Y1049" s="967">
        <v>43966</v>
      </c>
      <c r="Z1049" s="974">
        <f ca="1">H999*Valuation_Senario!$L$372</f>
        <v>12946.797986199999</v>
      </c>
      <c r="AA1049" s="973">
        <v>9.31</v>
      </c>
      <c r="AM1049" s="967">
        <v>43893</v>
      </c>
      <c r="AN1049" s="974">
        <v>106400</v>
      </c>
    </row>
    <row r="1050" spans="1:40">
      <c r="A1050" s="966">
        <v>1043</v>
      </c>
      <c r="B1050" s="967">
        <v>43892</v>
      </c>
      <c r="C1050" s="966">
        <v>106500</v>
      </c>
      <c r="D1050" s="966">
        <v>0</v>
      </c>
      <c r="E1050" s="966">
        <v>0.23430000000000001</v>
      </c>
      <c r="F1050" s="966">
        <v>54610.82</v>
      </c>
      <c r="G1050" s="966">
        <v>48266.863615499999</v>
      </c>
      <c r="H1050" s="966">
        <v>8626.2000000000007</v>
      </c>
      <c r="I1050" s="966">
        <v>12.35</v>
      </c>
      <c r="Q1050" s="967">
        <v>43892</v>
      </c>
      <c r="R1050" s="966">
        <v>106500</v>
      </c>
      <c r="T1050" s="969">
        <v>-0.23430000000000001</v>
      </c>
      <c r="U1050" s="966">
        <v>8626.2000000000007</v>
      </c>
      <c r="W1050" s="971" t="e">
        <f t="shared" si="19"/>
        <v>#DIV/0!</v>
      </c>
      <c r="Y1050" s="967">
        <v>43965</v>
      </c>
      <c r="Z1050" s="974">
        <f ca="1">H1000*Valuation_Senario!$L$372</f>
        <v>12946.797986199999</v>
      </c>
      <c r="AA1050" s="973">
        <v>9.41</v>
      </c>
      <c r="AM1050" s="967">
        <v>43892</v>
      </c>
      <c r="AN1050" s="974">
        <v>106500</v>
      </c>
    </row>
    <row r="1051" spans="1:40">
      <c r="A1051" s="966">
        <v>1044</v>
      </c>
      <c r="B1051" s="967">
        <v>43889</v>
      </c>
      <c r="C1051" s="966">
        <v>106500</v>
      </c>
      <c r="D1051" s="966">
        <v>0</v>
      </c>
      <c r="E1051" s="966">
        <v>2.7529000000000001E-2</v>
      </c>
      <c r="F1051" s="966">
        <v>54610.82</v>
      </c>
      <c r="G1051" s="966">
        <v>48266.863615499999</v>
      </c>
      <c r="H1051" s="966">
        <v>8627.9</v>
      </c>
      <c r="I1051" s="966">
        <v>12.34</v>
      </c>
      <c r="Q1051" s="967">
        <v>43889</v>
      </c>
      <c r="R1051" s="966">
        <v>106500</v>
      </c>
      <c r="T1051" s="969">
        <v>-2.7529000000000001E-2</v>
      </c>
      <c r="U1051" s="966">
        <v>8627.9</v>
      </c>
      <c r="W1051" s="971" t="e">
        <f t="shared" si="19"/>
        <v>#DIV/0!</v>
      </c>
      <c r="Y1051" s="967">
        <v>43964</v>
      </c>
      <c r="Z1051" s="974">
        <f ca="1">H1001*Valuation_Senario!$L$372</f>
        <v>12946.797986199999</v>
      </c>
      <c r="AA1051" s="973">
        <v>9.52</v>
      </c>
      <c r="AM1051" s="967">
        <v>43889</v>
      </c>
      <c r="AN1051" s="974">
        <v>106500</v>
      </c>
    </row>
    <row r="1052" spans="1:40">
      <c r="A1052" s="966">
        <v>1045</v>
      </c>
      <c r="B1052" s="967">
        <v>43888</v>
      </c>
      <c r="C1052" s="966">
        <v>108400</v>
      </c>
      <c r="D1052" s="966">
        <v>0</v>
      </c>
      <c r="E1052" s="966">
        <v>0</v>
      </c>
      <c r="F1052" s="966">
        <v>55471.92</v>
      </c>
      <c r="G1052" s="966">
        <v>49127.962590800002</v>
      </c>
      <c r="H1052" s="966">
        <v>8628.4699999999993</v>
      </c>
      <c r="I1052" s="966">
        <v>12.56</v>
      </c>
      <c r="Q1052" s="967">
        <v>43888</v>
      </c>
      <c r="R1052" s="966">
        <v>108400</v>
      </c>
      <c r="T1052" s="969">
        <v>0</v>
      </c>
      <c r="U1052" s="966">
        <v>8628.4699999999993</v>
      </c>
      <c r="W1052" s="971" t="e">
        <f t="shared" si="19"/>
        <v>#DIV/0!</v>
      </c>
      <c r="Y1052" s="967">
        <v>43963</v>
      </c>
      <c r="Z1052" s="974">
        <f ca="1">H1002*Valuation_Senario!$L$372</f>
        <v>12946.797986199999</v>
      </c>
      <c r="AA1052" s="973">
        <v>9.4499999999999993</v>
      </c>
      <c r="AM1052" s="967">
        <v>43888</v>
      </c>
      <c r="AN1052" s="974">
        <v>108400</v>
      </c>
    </row>
    <row r="1053" spans="1:40">
      <c r="A1053" s="966">
        <v>1046</v>
      </c>
      <c r="B1053" s="967">
        <v>43887</v>
      </c>
      <c r="C1053" s="966">
        <v>106200</v>
      </c>
      <c r="D1053" s="966">
        <v>0</v>
      </c>
      <c r="E1053" s="966">
        <v>0</v>
      </c>
      <c r="F1053" s="966">
        <v>54474.86</v>
      </c>
      <c r="G1053" s="966">
        <v>48130.900619400003</v>
      </c>
      <c r="H1053" s="966">
        <v>8629.0400000000009</v>
      </c>
      <c r="I1053" s="966">
        <v>12.31</v>
      </c>
      <c r="Q1053" s="967">
        <v>43887</v>
      </c>
      <c r="R1053" s="966">
        <v>106200</v>
      </c>
      <c r="T1053" s="969">
        <v>0</v>
      </c>
      <c r="U1053" s="966">
        <v>8629.0400000000009</v>
      </c>
      <c r="W1053" s="971" t="e">
        <f t="shared" si="19"/>
        <v>#DIV/0!</v>
      </c>
      <c r="Y1053" s="967">
        <v>43962</v>
      </c>
      <c r="Z1053" s="974">
        <f ca="1">H1003*Valuation_Senario!$L$372</f>
        <v>12946.797986199999</v>
      </c>
      <c r="AA1053" s="973">
        <v>9.64</v>
      </c>
      <c r="AM1053" s="967">
        <v>43887</v>
      </c>
      <c r="AN1053" s="974">
        <v>106200</v>
      </c>
    </row>
    <row r="1054" spans="1:40">
      <c r="A1054" s="966">
        <v>1047</v>
      </c>
      <c r="B1054" s="967">
        <v>43886</v>
      </c>
      <c r="C1054" s="966">
        <v>107000</v>
      </c>
      <c r="D1054" s="966">
        <v>0</v>
      </c>
      <c r="E1054" s="966">
        <v>0</v>
      </c>
      <c r="F1054" s="966">
        <v>54837.43</v>
      </c>
      <c r="G1054" s="966">
        <v>48493.468609000003</v>
      </c>
      <c r="H1054" s="966">
        <v>8629.61</v>
      </c>
      <c r="I1054" s="966">
        <v>12.4</v>
      </c>
      <c r="Q1054" s="967">
        <v>43886</v>
      </c>
      <c r="R1054" s="966">
        <v>107000</v>
      </c>
      <c r="T1054" s="969">
        <v>0</v>
      </c>
      <c r="U1054" s="966">
        <v>8629.61</v>
      </c>
      <c r="W1054" s="971" t="e">
        <f t="shared" si="19"/>
        <v>#DIV/0!</v>
      </c>
      <c r="Y1054" s="967">
        <v>43959</v>
      </c>
      <c r="Z1054" s="974">
        <f ca="1">H1004*Valuation_Senario!$L$372</f>
        <v>12946.797986199999</v>
      </c>
      <c r="AA1054" s="973">
        <v>9.5</v>
      </c>
      <c r="AM1054" s="967">
        <v>43886</v>
      </c>
      <c r="AN1054" s="974">
        <v>107000</v>
      </c>
    </row>
    <row r="1055" spans="1:40">
      <c r="A1055" s="966">
        <v>1048</v>
      </c>
      <c r="B1055" s="967">
        <v>43885</v>
      </c>
      <c r="C1055" s="966">
        <v>106200</v>
      </c>
      <c r="D1055" s="966">
        <v>0</v>
      </c>
      <c r="E1055" s="966">
        <v>0</v>
      </c>
      <c r="F1055" s="966">
        <v>54474.86</v>
      </c>
      <c r="G1055" s="966">
        <v>48130.900619400003</v>
      </c>
      <c r="H1055" s="966">
        <v>8630.17</v>
      </c>
      <c r="I1055" s="966">
        <v>12.31</v>
      </c>
      <c r="Q1055" s="967">
        <v>43885</v>
      </c>
      <c r="R1055" s="966">
        <v>106200</v>
      </c>
      <c r="T1055" s="969">
        <v>0</v>
      </c>
      <c r="U1055" s="966">
        <v>8630.17</v>
      </c>
      <c r="W1055" s="971" t="e">
        <f t="shared" si="19"/>
        <v>#DIV/0!</v>
      </c>
      <c r="Y1055" s="967">
        <v>43958</v>
      </c>
      <c r="Z1055" s="974">
        <f ca="1">H1005*Valuation_Senario!$L$372</f>
        <v>12946.797986199999</v>
      </c>
      <c r="AA1055" s="973">
        <v>9.3699999999999992</v>
      </c>
      <c r="AM1055" s="967">
        <v>43885</v>
      </c>
      <c r="AN1055" s="974">
        <v>106200</v>
      </c>
    </row>
    <row r="1056" spans="1:40">
      <c r="A1056" s="966">
        <v>1049</v>
      </c>
      <c r="B1056" s="967">
        <v>43882</v>
      </c>
      <c r="C1056" s="966">
        <v>110600</v>
      </c>
      <c r="D1056" s="966">
        <v>0</v>
      </c>
      <c r="E1056" s="966">
        <v>0</v>
      </c>
      <c r="F1056" s="966">
        <v>56468.98</v>
      </c>
      <c r="G1056" s="966">
        <v>50125.0245622</v>
      </c>
      <c r="H1056" s="966">
        <v>8631.8799999999992</v>
      </c>
      <c r="I1056" s="966">
        <v>12.81</v>
      </c>
      <c r="Q1056" s="967">
        <v>43882</v>
      </c>
      <c r="R1056" s="966">
        <v>110600</v>
      </c>
      <c r="T1056" s="969">
        <v>0</v>
      </c>
      <c r="U1056" s="966">
        <v>8631.8799999999992</v>
      </c>
      <c r="W1056" s="971" t="e">
        <f t="shared" si="19"/>
        <v>#DIV/0!</v>
      </c>
      <c r="Y1056" s="967">
        <v>43957</v>
      </c>
      <c r="Z1056" s="974">
        <f ca="1">H1006*Valuation_Senario!$L$372</f>
        <v>12946.797986199999</v>
      </c>
      <c r="AA1056" s="973">
        <v>9.2100000000000009</v>
      </c>
      <c r="AM1056" s="967">
        <v>43882</v>
      </c>
      <c r="AN1056" s="974">
        <v>110600</v>
      </c>
    </row>
    <row r="1057" spans="1:40">
      <c r="A1057" s="966">
        <v>1050</v>
      </c>
      <c r="B1057" s="967">
        <v>43881</v>
      </c>
      <c r="C1057" s="966">
        <v>110600</v>
      </c>
      <c r="D1057" s="966">
        <v>0.55500000000000005</v>
      </c>
      <c r="E1057" s="966">
        <v>0</v>
      </c>
      <c r="F1057" s="966">
        <v>56468.98</v>
      </c>
      <c r="G1057" s="966">
        <v>50125.0245622</v>
      </c>
      <c r="H1057" s="966">
        <v>8632.4500000000007</v>
      </c>
      <c r="I1057" s="966">
        <v>12.81</v>
      </c>
      <c r="Q1057" s="967">
        <v>43881</v>
      </c>
      <c r="R1057" s="966">
        <v>110600</v>
      </c>
      <c r="T1057" s="969">
        <v>0.55500000000000005</v>
      </c>
      <c r="U1057" s="966">
        <v>8632.4500000000007</v>
      </c>
      <c r="W1057" s="971" t="e">
        <f t="shared" si="19"/>
        <v>#DIV/0!</v>
      </c>
      <c r="Y1057" s="967">
        <v>43956</v>
      </c>
      <c r="Z1057" s="974">
        <f ca="1">H1007*Valuation_Senario!$L$372</f>
        <v>12946.797986199999</v>
      </c>
      <c r="AA1057" s="973">
        <v>8.99</v>
      </c>
      <c r="AM1057" s="967">
        <v>43881</v>
      </c>
      <c r="AN1057" s="974">
        <v>110600</v>
      </c>
    </row>
    <row r="1058" spans="1:40">
      <c r="A1058" s="966">
        <v>1051</v>
      </c>
      <c r="B1058" s="967">
        <v>43880</v>
      </c>
      <c r="C1058" s="966">
        <v>110500</v>
      </c>
      <c r="D1058" s="966">
        <v>0</v>
      </c>
      <c r="E1058" s="966">
        <v>0</v>
      </c>
      <c r="F1058" s="966">
        <v>56423.66</v>
      </c>
      <c r="G1058" s="966">
        <v>50079.703563499999</v>
      </c>
      <c r="H1058" s="966">
        <v>8633.01</v>
      </c>
      <c r="I1058" s="966">
        <v>12.8</v>
      </c>
      <c r="Q1058" s="967">
        <v>43880</v>
      </c>
      <c r="R1058" s="966">
        <v>110500</v>
      </c>
      <c r="T1058" s="969">
        <v>0</v>
      </c>
      <c r="U1058" s="966">
        <v>8633.01</v>
      </c>
      <c r="W1058" s="971" t="e">
        <f t="shared" si="19"/>
        <v>#DIV/0!</v>
      </c>
      <c r="Y1058" s="967">
        <v>43955</v>
      </c>
      <c r="Z1058" s="974">
        <f ca="1">H1008*Valuation_Senario!$L$372</f>
        <v>12946.797986199999</v>
      </c>
      <c r="AA1058" s="973">
        <v>9.01</v>
      </c>
      <c r="AM1058" s="967">
        <v>43880</v>
      </c>
      <c r="AN1058" s="974">
        <v>110500</v>
      </c>
    </row>
    <row r="1059" spans="1:40">
      <c r="A1059" s="966">
        <v>1052</v>
      </c>
      <c r="B1059" s="967">
        <v>43879</v>
      </c>
      <c r="C1059" s="966">
        <v>108900</v>
      </c>
      <c r="D1059" s="966">
        <v>0</v>
      </c>
      <c r="E1059" s="966">
        <v>0</v>
      </c>
      <c r="F1059" s="966">
        <v>55698.53</v>
      </c>
      <c r="G1059" s="966">
        <v>49354.567584299999</v>
      </c>
      <c r="H1059" s="966">
        <v>8633.58</v>
      </c>
      <c r="I1059" s="966">
        <v>12.61</v>
      </c>
      <c r="Q1059" s="967">
        <v>43879</v>
      </c>
      <c r="R1059" s="966">
        <v>108900</v>
      </c>
      <c r="T1059" s="969">
        <v>0</v>
      </c>
      <c r="U1059" s="966">
        <v>8633.58</v>
      </c>
      <c r="W1059" s="971" t="e">
        <f t="shared" si="19"/>
        <v>#DIV/0!</v>
      </c>
      <c r="Y1059" s="967">
        <v>43950</v>
      </c>
      <c r="Z1059" s="974">
        <f ca="1">H1009*Valuation_Senario!$L$372</f>
        <v>12946.797986199999</v>
      </c>
      <c r="AA1059" s="973">
        <v>9.27</v>
      </c>
      <c r="AM1059" s="967">
        <v>43879</v>
      </c>
      <c r="AN1059" s="974">
        <v>108900</v>
      </c>
    </row>
    <row r="1060" spans="1:40">
      <c r="A1060" s="966">
        <v>1053</v>
      </c>
      <c r="B1060" s="967">
        <v>43878</v>
      </c>
      <c r="C1060" s="966">
        <v>107500</v>
      </c>
      <c r="D1060" s="966">
        <v>0</v>
      </c>
      <c r="E1060" s="966">
        <v>0.53100000000000003</v>
      </c>
      <c r="F1060" s="966">
        <v>55064.03</v>
      </c>
      <c r="G1060" s="966">
        <v>48720.073602500001</v>
      </c>
      <c r="H1060" s="966">
        <v>8634.15</v>
      </c>
      <c r="I1060" s="966">
        <v>12.45</v>
      </c>
      <c r="Q1060" s="967">
        <v>43878</v>
      </c>
      <c r="R1060" s="966">
        <v>107500</v>
      </c>
      <c r="T1060" s="969">
        <v>-0.53100000000000003</v>
      </c>
      <c r="U1060" s="966">
        <v>8634.15</v>
      </c>
      <c r="W1060" s="971" t="e">
        <f t="shared" si="19"/>
        <v>#DIV/0!</v>
      </c>
      <c r="Y1060" s="967">
        <v>43949</v>
      </c>
      <c r="Z1060" s="974">
        <f ca="1">H1010*Valuation_Senario!$L$372</f>
        <v>12694.19401306</v>
      </c>
      <c r="AA1060" s="973">
        <v>9.36</v>
      </c>
      <c r="AM1060" s="967">
        <v>43878</v>
      </c>
      <c r="AN1060" s="974">
        <v>107500</v>
      </c>
    </row>
    <row r="1061" spans="1:40">
      <c r="A1061" s="966">
        <v>1054</v>
      </c>
      <c r="B1061" s="967">
        <v>43875</v>
      </c>
      <c r="C1061" s="966">
        <v>107100</v>
      </c>
      <c r="D1061" s="966">
        <v>0</v>
      </c>
      <c r="E1061" s="966">
        <v>0</v>
      </c>
      <c r="F1061" s="966">
        <v>54882.75</v>
      </c>
      <c r="G1061" s="966">
        <v>48538.789607699997</v>
      </c>
      <c r="H1061" s="966">
        <v>8635.85</v>
      </c>
      <c r="I1061" s="966">
        <v>12.4</v>
      </c>
      <c r="Q1061" s="967">
        <v>43875</v>
      </c>
      <c r="R1061" s="966">
        <v>107100</v>
      </c>
      <c r="T1061" s="969">
        <v>0</v>
      </c>
      <c r="U1061" s="966">
        <v>8635.85</v>
      </c>
      <c r="W1061" s="971" t="e">
        <f t="shared" si="19"/>
        <v>#DIV/0!</v>
      </c>
      <c r="Y1061" s="967">
        <v>43948</v>
      </c>
      <c r="Z1061" s="974">
        <f ca="1">H1011*Valuation_Senario!$L$372</f>
        <v>12694.19401306</v>
      </c>
      <c r="AA1061" s="973">
        <v>9.51</v>
      </c>
      <c r="AM1061" s="967">
        <v>43875</v>
      </c>
      <c r="AN1061" s="974">
        <v>107100</v>
      </c>
    </row>
    <row r="1062" spans="1:40">
      <c r="A1062" s="966">
        <v>1055</v>
      </c>
      <c r="B1062" s="967">
        <v>43874</v>
      </c>
      <c r="C1062" s="966">
        <v>108000</v>
      </c>
      <c r="D1062" s="966">
        <v>0</v>
      </c>
      <c r="E1062" s="966">
        <v>0</v>
      </c>
      <c r="F1062" s="966">
        <v>55290.64</v>
      </c>
      <c r="G1062" s="966">
        <v>48946.678595999998</v>
      </c>
      <c r="H1062" s="966">
        <v>8636.42</v>
      </c>
      <c r="I1062" s="966">
        <v>12.51</v>
      </c>
      <c r="Q1062" s="967">
        <v>43874</v>
      </c>
      <c r="R1062" s="966">
        <v>108000</v>
      </c>
      <c r="T1062" s="969">
        <v>0</v>
      </c>
      <c r="U1062" s="966">
        <v>8636.42</v>
      </c>
      <c r="W1062" s="971" t="e">
        <f t="shared" si="19"/>
        <v>#DIV/0!</v>
      </c>
      <c r="Y1062" s="967">
        <v>43945</v>
      </c>
      <c r="Z1062" s="974">
        <f ca="1">H1012*Valuation_Senario!$L$372</f>
        <v>12694.19401306</v>
      </c>
      <c r="AA1062" s="973">
        <v>9.6</v>
      </c>
      <c r="AM1062" s="967">
        <v>43874</v>
      </c>
      <c r="AN1062" s="974">
        <v>108000</v>
      </c>
    </row>
    <row r="1063" spans="1:40">
      <c r="A1063" s="966">
        <v>1056</v>
      </c>
      <c r="B1063" s="967">
        <v>43873</v>
      </c>
      <c r="C1063" s="966">
        <v>109000</v>
      </c>
      <c r="D1063" s="966">
        <v>0</v>
      </c>
      <c r="E1063" s="966">
        <v>0</v>
      </c>
      <c r="F1063" s="966">
        <v>55743.85</v>
      </c>
      <c r="G1063" s="966">
        <v>49399.888583</v>
      </c>
      <c r="H1063" s="966">
        <v>8636.99</v>
      </c>
      <c r="I1063" s="966">
        <v>12.62</v>
      </c>
      <c r="Q1063" s="967">
        <v>43873</v>
      </c>
      <c r="R1063" s="966">
        <v>109000</v>
      </c>
      <c r="T1063" s="969">
        <v>0</v>
      </c>
      <c r="U1063" s="966">
        <v>8636.99</v>
      </c>
      <c r="W1063" s="971" t="e">
        <f t="shared" si="19"/>
        <v>#DIV/0!</v>
      </c>
      <c r="Y1063" s="967">
        <v>43944</v>
      </c>
      <c r="Z1063" s="974">
        <f ca="1">H1013*Valuation_Senario!$L$372</f>
        <v>12694.19401306</v>
      </c>
      <c r="AA1063" s="973">
        <v>9.66</v>
      </c>
      <c r="AM1063" s="967">
        <v>43873</v>
      </c>
      <c r="AN1063" s="974">
        <v>109000</v>
      </c>
    </row>
    <row r="1064" spans="1:40">
      <c r="A1064" s="966">
        <v>1057</v>
      </c>
      <c r="B1064" s="967">
        <v>43872</v>
      </c>
      <c r="C1064" s="966">
        <v>106500</v>
      </c>
      <c r="D1064" s="966">
        <v>0</v>
      </c>
      <c r="E1064" s="966">
        <v>0</v>
      </c>
      <c r="F1064" s="966">
        <v>54610.82</v>
      </c>
      <c r="G1064" s="966">
        <v>48266.863615499999</v>
      </c>
      <c r="H1064" s="966">
        <v>8637.56</v>
      </c>
      <c r="I1064" s="966">
        <v>12.33</v>
      </c>
      <c r="Q1064" s="967">
        <v>43872</v>
      </c>
      <c r="R1064" s="966">
        <v>106500</v>
      </c>
      <c r="T1064" s="969">
        <v>0</v>
      </c>
      <c r="U1064" s="966">
        <v>8637.56</v>
      </c>
      <c r="W1064" s="971" t="e">
        <f t="shared" si="19"/>
        <v>#DIV/0!</v>
      </c>
      <c r="Y1064" s="967">
        <v>43943</v>
      </c>
      <c r="Z1064" s="974">
        <f ca="1">H1014*Valuation_Senario!$L$372</f>
        <v>12694.19401306</v>
      </c>
      <c r="AA1064" s="973">
        <v>9.49</v>
      </c>
      <c r="AM1064" s="967">
        <v>43872</v>
      </c>
      <c r="AN1064" s="974">
        <v>106500</v>
      </c>
    </row>
    <row r="1065" spans="1:40">
      <c r="A1065" s="966">
        <v>1058</v>
      </c>
      <c r="B1065" s="967">
        <v>43871</v>
      </c>
      <c r="C1065" s="966">
        <v>105800</v>
      </c>
      <c r="D1065" s="966">
        <v>0</v>
      </c>
      <c r="E1065" s="966">
        <v>0</v>
      </c>
      <c r="F1065" s="966">
        <v>54293.57</v>
      </c>
      <c r="G1065" s="966">
        <v>47949.616624599999</v>
      </c>
      <c r="H1065" s="966">
        <v>8638.1299999999992</v>
      </c>
      <c r="I1065" s="966">
        <v>12.25</v>
      </c>
      <c r="Q1065" s="967">
        <v>43871</v>
      </c>
      <c r="R1065" s="966">
        <v>105800</v>
      </c>
      <c r="T1065" s="969">
        <v>0</v>
      </c>
      <c r="U1065" s="966">
        <v>8638.1299999999992</v>
      </c>
      <c r="W1065" s="971" t="e">
        <f t="shared" si="19"/>
        <v>#DIV/0!</v>
      </c>
      <c r="Y1065" s="967">
        <v>43942</v>
      </c>
      <c r="Z1065" s="974">
        <f ca="1">H1015*Valuation_Senario!$L$372</f>
        <v>12694.19401306</v>
      </c>
      <c r="AA1065" s="973">
        <v>9.18</v>
      </c>
      <c r="AM1065" s="967">
        <v>43871</v>
      </c>
      <c r="AN1065" s="974">
        <v>105800</v>
      </c>
    </row>
    <row r="1066" spans="1:40">
      <c r="A1066" s="966">
        <v>1059</v>
      </c>
      <c r="B1066" s="967">
        <v>43868</v>
      </c>
      <c r="C1066" s="966">
        <v>108700</v>
      </c>
      <c r="D1066" s="966">
        <v>0</v>
      </c>
      <c r="E1066" s="966">
        <v>0</v>
      </c>
      <c r="F1066" s="966">
        <v>55607.88</v>
      </c>
      <c r="G1066" s="966">
        <v>49263.925586899997</v>
      </c>
      <c r="H1066" s="966">
        <v>8639.83</v>
      </c>
      <c r="I1066" s="966">
        <v>12.58</v>
      </c>
      <c r="Q1066" s="967">
        <v>43868</v>
      </c>
      <c r="R1066" s="966">
        <v>108700</v>
      </c>
      <c r="T1066" s="969">
        <v>0</v>
      </c>
      <c r="U1066" s="966">
        <v>8639.83</v>
      </c>
      <c r="W1066" s="971" t="e">
        <f t="shared" si="19"/>
        <v>#DIV/0!</v>
      </c>
      <c r="Y1066" s="967">
        <v>43941</v>
      </c>
      <c r="Z1066" s="974">
        <f ca="1">H1016*Valuation_Senario!$L$372</f>
        <v>12694.19401306</v>
      </c>
      <c r="AA1066" s="973">
        <v>9.75</v>
      </c>
      <c r="AM1066" s="967">
        <v>43868</v>
      </c>
      <c r="AN1066" s="974">
        <v>108700</v>
      </c>
    </row>
    <row r="1067" spans="1:40">
      <c r="A1067" s="966">
        <v>1060</v>
      </c>
      <c r="B1067" s="967">
        <v>43867</v>
      </c>
      <c r="C1067" s="966">
        <v>109500</v>
      </c>
      <c r="D1067" s="966">
        <v>0</v>
      </c>
      <c r="E1067" s="966">
        <v>0</v>
      </c>
      <c r="F1067" s="966">
        <v>55970.45</v>
      </c>
      <c r="G1067" s="966">
        <v>49626.493576499997</v>
      </c>
      <c r="H1067" s="966">
        <v>8640.4</v>
      </c>
      <c r="I1067" s="966">
        <v>12.67</v>
      </c>
      <c r="Q1067" s="967">
        <v>43867</v>
      </c>
      <c r="R1067" s="966">
        <v>109500</v>
      </c>
      <c r="T1067" s="969">
        <v>0</v>
      </c>
      <c r="U1067" s="966">
        <v>8640.4</v>
      </c>
      <c r="W1067" s="971" t="e">
        <f t="shared" si="19"/>
        <v>#DIV/0!</v>
      </c>
      <c r="Y1067" s="967">
        <v>43938</v>
      </c>
      <c r="Z1067" s="974">
        <f ca="1">H1017*Valuation_Senario!$L$372</f>
        <v>12694.19401306</v>
      </c>
      <c r="AA1067" s="973">
        <v>9.49</v>
      </c>
      <c r="AM1067" s="967">
        <v>43867</v>
      </c>
      <c r="AN1067" s="974">
        <v>109500</v>
      </c>
    </row>
    <row r="1068" spans="1:40">
      <c r="A1068" s="966">
        <v>1061</v>
      </c>
      <c r="B1068" s="967">
        <v>43866</v>
      </c>
      <c r="C1068" s="966">
        <v>108000</v>
      </c>
      <c r="D1068" s="966">
        <v>0</v>
      </c>
      <c r="E1068" s="966">
        <v>0</v>
      </c>
      <c r="F1068" s="966">
        <v>55290.64</v>
      </c>
      <c r="G1068" s="966">
        <v>48946.678595999998</v>
      </c>
      <c r="H1068" s="966">
        <v>8640.9699999999993</v>
      </c>
      <c r="I1068" s="966">
        <v>12.5</v>
      </c>
      <c r="Q1068" s="967">
        <v>43866</v>
      </c>
      <c r="R1068" s="966">
        <v>108000</v>
      </c>
      <c r="T1068" s="969">
        <v>0</v>
      </c>
      <c r="U1068" s="966">
        <v>8640.9699999999993</v>
      </c>
      <c r="W1068" s="971" t="e">
        <f t="shared" si="19"/>
        <v>#DIV/0!</v>
      </c>
      <c r="Y1068" s="967">
        <v>43937</v>
      </c>
      <c r="Z1068" s="974">
        <f ca="1">H1018*Valuation_Senario!$L$372</f>
        <v>12694.19401306</v>
      </c>
      <c r="AA1068" s="973">
        <v>8.9</v>
      </c>
      <c r="AM1068" s="967">
        <v>43866</v>
      </c>
      <c r="AN1068" s="974">
        <v>108000</v>
      </c>
    </row>
    <row r="1069" spans="1:40">
      <c r="A1069" s="966">
        <v>1062</v>
      </c>
      <c r="B1069" s="967">
        <v>43865</v>
      </c>
      <c r="C1069" s="966">
        <v>107900</v>
      </c>
      <c r="D1069" s="966">
        <v>0.31936999999999999</v>
      </c>
      <c r="E1069" s="966">
        <v>0</v>
      </c>
      <c r="F1069" s="966">
        <v>55245.32</v>
      </c>
      <c r="G1069" s="966">
        <v>48901.357597299997</v>
      </c>
      <c r="H1069" s="966">
        <v>8641.5400000000009</v>
      </c>
      <c r="I1069" s="966">
        <v>12.49</v>
      </c>
      <c r="Q1069" s="967">
        <v>43865</v>
      </c>
      <c r="R1069" s="966">
        <v>107900</v>
      </c>
      <c r="T1069" s="969">
        <v>0.31936999999999999</v>
      </c>
      <c r="U1069" s="966">
        <v>8641.5400000000009</v>
      </c>
      <c r="W1069" s="971" t="e">
        <f t="shared" si="19"/>
        <v>#DIV/0!</v>
      </c>
      <c r="Y1069" s="967">
        <v>43936</v>
      </c>
      <c r="Z1069" s="974">
        <f ca="1">H1019*Valuation_Senario!$L$372</f>
        <v>12694.19401306</v>
      </c>
      <c r="AA1069" s="973">
        <v>8.8800000000000008</v>
      </c>
      <c r="AM1069" s="967">
        <v>43865</v>
      </c>
      <c r="AN1069" s="974">
        <v>107900</v>
      </c>
    </row>
    <row r="1070" spans="1:40">
      <c r="A1070" s="966">
        <v>1063</v>
      </c>
      <c r="B1070" s="967">
        <v>43864</v>
      </c>
      <c r="C1070" s="966">
        <v>108800</v>
      </c>
      <c r="D1070" s="966">
        <v>0</v>
      </c>
      <c r="E1070" s="966">
        <v>0</v>
      </c>
      <c r="F1070" s="966">
        <v>55653.2</v>
      </c>
      <c r="G1070" s="966">
        <v>49309.246585599998</v>
      </c>
      <c r="H1070" s="966">
        <v>8642.11</v>
      </c>
      <c r="I1070" s="966">
        <v>12.59</v>
      </c>
      <c r="Q1070" s="967">
        <v>43864</v>
      </c>
      <c r="R1070" s="966">
        <v>108800</v>
      </c>
      <c r="T1070" s="969">
        <v>0</v>
      </c>
      <c r="U1070" s="966">
        <v>8642.11</v>
      </c>
      <c r="W1070" s="971" t="e">
        <f t="shared" si="19"/>
        <v>#DIV/0!</v>
      </c>
      <c r="Y1070" s="967">
        <v>43935</v>
      </c>
      <c r="Z1070" s="974">
        <f ca="1">H1020*Valuation_Senario!$L$372</f>
        <v>12694.19401306</v>
      </c>
      <c r="AA1070" s="973">
        <v>8.65</v>
      </c>
      <c r="AM1070" s="967">
        <v>43864</v>
      </c>
      <c r="AN1070" s="974">
        <v>108800</v>
      </c>
    </row>
    <row r="1071" spans="1:40">
      <c r="A1071" s="966">
        <v>1064</v>
      </c>
      <c r="B1071" s="967">
        <v>43861</v>
      </c>
      <c r="C1071" s="966">
        <v>110800</v>
      </c>
      <c r="D1071" s="966">
        <v>0</v>
      </c>
      <c r="E1071" s="966">
        <v>0</v>
      </c>
      <c r="F1071" s="966">
        <v>56559.62</v>
      </c>
      <c r="G1071" s="966">
        <v>50215.666559600002</v>
      </c>
      <c r="H1071" s="966">
        <v>8643.82</v>
      </c>
      <c r="I1071" s="966">
        <v>12.82</v>
      </c>
      <c r="Q1071" s="967">
        <v>43861</v>
      </c>
      <c r="R1071" s="966">
        <v>110800</v>
      </c>
      <c r="T1071" s="969">
        <v>0</v>
      </c>
      <c r="U1071" s="966">
        <v>8643.82</v>
      </c>
      <c r="W1071" s="971" t="e">
        <f t="shared" si="19"/>
        <v>#DIV/0!</v>
      </c>
      <c r="Y1071" s="967">
        <v>43934</v>
      </c>
      <c r="Z1071" s="974">
        <f ca="1">H1021*Valuation_Senario!$L$372</f>
        <v>12643.45882371</v>
      </c>
      <c r="AA1071" s="973">
        <v>8.7100000000000009</v>
      </c>
      <c r="AM1071" s="967">
        <v>43861</v>
      </c>
      <c r="AN1071" s="974">
        <v>110800</v>
      </c>
    </row>
    <row r="1072" spans="1:40">
      <c r="A1072" s="966">
        <v>1065</v>
      </c>
      <c r="B1072" s="967">
        <v>43860</v>
      </c>
      <c r="C1072" s="966">
        <v>114000</v>
      </c>
      <c r="D1072" s="966">
        <v>0</v>
      </c>
      <c r="E1072" s="966">
        <v>0.33988000000000002</v>
      </c>
      <c r="F1072" s="966">
        <v>58009.9</v>
      </c>
      <c r="G1072" s="966">
        <v>51665.938518000003</v>
      </c>
      <c r="H1072" s="966">
        <v>8644.39</v>
      </c>
      <c r="I1072" s="966">
        <v>13.19</v>
      </c>
      <c r="Q1072" s="967">
        <v>43860</v>
      </c>
      <c r="R1072" s="966">
        <v>114000</v>
      </c>
      <c r="T1072" s="969">
        <v>-0.33988000000000002</v>
      </c>
      <c r="U1072" s="966">
        <v>8644.39</v>
      </c>
      <c r="W1072" s="971" t="e">
        <f t="shared" si="19"/>
        <v>#DIV/0!</v>
      </c>
      <c r="Y1072" s="967">
        <v>43931</v>
      </c>
      <c r="Z1072" s="974">
        <f ca="1">H1022*Valuation_Senario!$L$372</f>
        <v>12645.955200609998</v>
      </c>
      <c r="AA1072" s="973">
        <v>8.33</v>
      </c>
      <c r="AM1072" s="967">
        <v>43860</v>
      </c>
      <c r="AN1072" s="974">
        <v>114000</v>
      </c>
    </row>
    <row r="1073" spans="1:40">
      <c r="A1073" s="966">
        <v>1066</v>
      </c>
      <c r="B1073" s="967">
        <v>43852</v>
      </c>
      <c r="C1073" s="966">
        <v>119200</v>
      </c>
      <c r="D1073" s="966">
        <v>0</v>
      </c>
      <c r="E1073" s="966">
        <v>0</v>
      </c>
      <c r="F1073" s="966">
        <v>60366.59</v>
      </c>
      <c r="G1073" s="966">
        <v>54022.6304504</v>
      </c>
      <c r="H1073" s="966">
        <v>8325.58</v>
      </c>
      <c r="I1073" s="966">
        <v>14.32</v>
      </c>
      <c r="Q1073" s="967">
        <v>43852</v>
      </c>
      <c r="R1073" s="966">
        <v>119200</v>
      </c>
      <c r="T1073" s="969">
        <v>0</v>
      </c>
      <c r="U1073" s="966">
        <v>8325.58</v>
      </c>
      <c r="W1073" s="971" t="e">
        <f t="shared" si="19"/>
        <v>#DIV/0!</v>
      </c>
      <c r="Y1073" s="967">
        <v>43930</v>
      </c>
      <c r="Z1073" s="974">
        <f ca="1">H1023*Valuation_Senario!$L$372</f>
        <v>12646.77753653</v>
      </c>
      <c r="AA1073" s="973">
        <v>8.48</v>
      </c>
      <c r="AM1073" s="967">
        <v>43852</v>
      </c>
      <c r="AN1073" s="974">
        <v>119200</v>
      </c>
    </row>
    <row r="1074" spans="1:40">
      <c r="A1074" s="966">
        <v>1067</v>
      </c>
      <c r="B1074" s="967">
        <v>43851</v>
      </c>
      <c r="C1074" s="966">
        <v>120000</v>
      </c>
      <c r="D1074" s="966">
        <v>31.725000000000001</v>
      </c>
      <c r="E1074" s="966">
        <v>31.725000000000001</v>
      </c>
      <c r="F1074" s="966">
        <v>60729.16</v>
      </c>
      <c r="G1074" s="966">
        <v>54385.19844</v>
      </c>
      <c r="H1074" s="966">
        <v>8326.14</v>
      </c>
      <c r="I1074" s="966">
        <v>14.41</v>
      </c>
      <c r="Q1074" s="967">
        <v>43851</v>
      </c>
      <c r="R1074" s="966">
        <v>120000</v>
      </c>
      <c r="T1074" s="969">
        <v>0</v>
      </c>
      <c r="U1074" s="966">
        <v>8326.14</v>
      </c>
      <c r="W1074" s="971" t="e">
        <f t="shared" si="19"/>
        <v>#DIV/0!</v>
      </c>
      <c r="Y1074" s="967">
        <v>43929</v>
      </c>
      <c r="Z1074" s="974">
        <f ca="1">H1024*Valuation_Senario!$L$372</f>
        <v>12647.614557020001</v>
      </c>
      <c r="AA1074" s="973">
        <v>8.59</v>
      </c>
      <c r="AM1074" s="967">
        <v>43851</v>
      </c>
      <c r="AN1074" s="974">
        <v>120000</v>
      </c>
    </row>
    <row r="1075" spans="1:40">
      <c r="A1075" s="966">
        <v>1068</v>
      </c>
      <c r="B1075" s="967">
        <v>43850</v>
      </c>
      <c r="C1075" s="966">
        <v>118600</v>
      </c>
      <c r="D1075" s="966">
        <v>654.81988200000001</v>
      </c>
      <c r="E1075" s="966">
        <v>66.702851999999993</v>
      </c>
      <c r="F1075" s="966">
        <v>60094.66</v>
      </c>
      <c r="G1075" s="966">
        <v>53750.704458200002</v>
      </c>
      <c r="H1075" s="966">
        <v>8326.69</v>
      </c>
      <c r="I1075" s="966">
        <v>14.24</v>
      </c>
      <c r="Q1075" s="967">
        <v>43850</v>
      </c>
      <c r="R1075" s="966">
        <v>118600</v>
      </c>
      <c r="T1075" s="969">
        <v>588.11703</v>
      </c>
      <c r="U1075" s="966">
        <v>8326.69</v>
      </c>
      <c r="W1075" s="971" t="e">
        <f t="shared" si="19"/>
        <v>#DIV/0!</v>
      </c>
      <c r="Y1075" s="967">
        <v>43928</v>
      </c>
      <c r="Z1075" s="974">
        <f ca="1">H1025*Valuation_Senario!$L$372</f>
        <v>12648.436892939999</v>
      </c>
      <c r="AA1075" s="973">
        <v>8.66</v>
      </c>
      <c r="AM1075" s="967">
        <v>43850</v>
      </c>
      <c r="AN1075" s="974">
        <v>118600</v>
      </c>
    </row>
    <row r="1076" spans="1:40">
      <c r="A1076" s="966">
        <v>1069</v>
      </c>
      <c r="B1076" s="967">
        <v>43847</v>
      </c>
      <c r="C1076" s="966">
        <v>116100</v>
      </c>
      <c r="D1076" s="966">
        <v>0</v>
      </c>
      <c r="E1076" s="966">
        <v>0</v>
      </c>
      <c r="F1076" s="966">
        <v>58961.64</v>
      </c>
      <c r="G1076" s="966">
        <v>52617.6794907</v>
      </c>
      <c r="H1076" s="966">
        <v>8328.35</v>
      </c>
      <c r="I1076" s="966">
        <v>13.94</v>
      </c>
      <c r="Q1076" s="967">
        <v>43847</v>
      </c>
      <c r="R1076" s="966">
        <v>116100</v>
      </c>
      <c r="T1076" s="969">
        <v>0</v>
      </c>
      <c r="U1076" s="966">
        <v>8328.35</v>
      </c>
      <c r="W1076" s="971" t="e">
        <f t="shared" si="19"/>
        <v>#DIV/0!</v>
      </c>
      <c r="Y1076" s="967">
        <v>43927</v>
      </c>
      <c r="Z1076" s="974">
        <f ca="1">H1026*Valuation_Senario!$L$372</f>
        <v>12649.273913429999</v>
      </c>
      <c r="AA1076" s="973">
        <v>8.11</v>
      </c>
      <c r="AM1076" s="967">
        <v>43847</v>
      </c>
      <c r="AN1076" s="974">
        <v>116100</v>
      </c>
    </row>
    <row r="1077" spans="1:40">
      <c r="A1077" s="966">
        <v>1070</v>
      </c>
      <c r="B1077" s="967">
        <v>43846</v>
      </c>
      <c r="C1077" s="966">
        <v>115400</v>
      </c>
      <c r="D1077" s="966">
        <v>0</v>
      </c>
      <c r="E1077" s="966">
        <v>0</v>
      </c>
      <c r="F1077" s="966">
        <v>58644.39</v>
      </c>
      <c r="G1077" s="966">
        <v>52300.432499800001</v>
      </c>
      <c r="H1077" s="966">
        <v>8328.9</v>
      </c>
      <c r="I1077" s="966">
        <v>13.86</v>
      </c>
      <c r="Q1077" s="967">
        <v>43846</v>
      </c>
      <c r="R1077" s="966">
        <v>115400</v>
      </c>
      <c r="T1077" s="969">
        <v>0</v>
      </c>
      <c r="U1077" s="966">
        <v>8328.9</v>
      </c>
      <c r="W1077" s="971" t="e">
        <f t="shared" si="19"/>
        <v>#DIV/0!</v>
      </c>
      <c r="Y1077" s="967">
        <v>43924</v>
      </c>
      <c r="Z1077" s="974">
        <f ca="1">H1027*Valuation_Senario!$L$372</f>
        <v>12651.77029033</v>
      </c>
      <c r="AA1077" s="973">
        <v>7.59</v>
      </c>
      <c r="AM1077" s="967">
        <v>43846</v>
      </c>
      <c r="AN1077" s="974">
        <v>115400</v>
      </c>
    </row>
    <row r="1078" spans="1:40">
      <c r="A1078" s="966">
        <v>1071</v>
      </c>
      <c r="B1078" s="967">
        <v>43845</v>
      </c>
      <c r="C1078" s="966">
        <v>114000</v>
      </c>
      <c r="D1078" s="966">
        <v>0.99320799999999998</v>
      </c>
      <c r="E1078" s="966">
        <v>0</v>
      </c>
      <c r="F1078" s="966">
        <v>58009.9</v>
      </c>
      <c r="G1078" s="966">
        <v>51665.938518000003</v>
      </c>
      <c r="H1078" s="966">
        <v>8329.4500000000007</v>
      </c>
      <c r="I1078" s="966">
        <v>13.69</v>
      </c>
      <c r="Q1078" s="967">
        <v>43845</v>
      </c>
      <c r="R1078" s="966">
        <v>114000</v>
      </c>
      <c r="T1078" s="969">
        <v>0.99320799999999998</v>
      </c>
      <c r="U1078" s="966">
        <v>8329.4500000000007</v>
      </c>
      <c r="W1078" s="971" t="e">
        <f t="shared" si="19"/>
        <v>#DIV/0!</v>
      </c>
      <c r="Y1078" s="967">
        <v>43922</v>
      </c>
      <c r="Z1078" s="974">
        <f ca="1">H1028*Valuation_Senario!$L$372</f>
        <v>12653.429646739998</v>
      </c>
      <c r="AA1078" s="973">
        <v>7.1</v>
      </c>
      <c r="AM1078" s="967">
        <v>43845</v>
      </c>
      <c r="AN1078" s="974">
        <v>114000</v>
      </c>
    </row>
    <row r="1079" spans="1:40">
      <c r="A1079" s="966">
        <v>1072</v>
      </c>
      <c r="B1079" s="967">
        <v>43844</v>
      </c>
      <c r="C1079" s="966">
        <v>113900</v>
      </c>
      <c r="D1079" s="966">
        <v>0.4592</v>
      </c>
      <c r="E1079" s="966">
        <v>0</v>
      </c>
      <c r="F1079" s="966">
        <v>57964.58</v>
      </c>
      <c r="G1079" s="966">
        <v>51620.617519300002</v>
      </c>
      <c r="H1079" s="966">
        <v>8330</v>
      </c>
      <c r="I1079" s="966">
        <v>13.67</v>
      </c>
      <c r="Q1079" s="967">
        <v>43844</v>
      </c>
      <c r="R1079" s="966">
        <v>113900</v>
      </c>
      <c r="T1079" s="969">
        <v>0.4592</v>
      </c>
      <c r="U1079" s="966">
        <v>8330</v>
      </c>
      <c r="W1079" s="971" t="e">
        <f t="shared" si="19"/>
        <v>#DIV/0!</v>
      </c>
      <c r="Y1079" s="967">
        <v>43921</v>
      </c>
      <c r="Z1079" s="974">
        <f ca="1">H1029*Valuation_Senario!$L$372</f>
        <v>12654.251982659998</v>
      </c>
      <c r="AA1079" s="973">
        <v>6.84</v>
      </c>
      <c r="AM1079" s="967">
        <v>43844</v>
      </c>
      <c r="AN1079" s="974">
        <v>113900</v>
      </c>
    </row>
    <row r="1080" spans="1:40">
      <c r="A1080" s="966">
        <v>1073</v>
      </c>
      <c r="B1080" s="967">
        <v>43843</v>
      </c>
      <c r="C1080" s="966">
        <v>114500</v>
      </c>
      <c r="D1080" s="966">
        <v>0</v>
      </c>
      <c r="E1080" s="966">
        <v>0</v>
      </c>
      <c r="F1080" s="966">
        <v>58236.5</v>
      </c>
      <c r="G1080" s="966">
        <v>51892.5435115</v>
      </c>
      <c r="H1080" s="966">
        <v>8330.56</v>
      </c>
      <c r="I1080" s="966">
        <v>13.74</v>
      </c>
      <c r="Q1080" s="967">
        <v>43843</v>
      </c>
      <c r="R1080" s="966">
        <v>114500</v>
      </c>
      <c r="T1080" s="969">
        <v>0</v>
      </c>
      <c r="U1080" s="966">
        <v>8330.56</v>
      </c>
      <c r="W1080" s="971" t="e">
        <f t="shared" si="19"/>
        <v>#DIV/0!</v>
      </c>
      <c r="Y1080" s="967">
        <v>43920</v>
      </c>
      <c r="Z1080" s="974">
        <f ca="1">H1030*Valuation_Senario!$L$372</f>
        <v>12655.08900315</v>
      </c>
      <c r="AA1080" s="973">
        <v>6.9</v>
      </c>
      <c r="AM1080" s="967">
        <v>43843</v>
      </c>
      <c r="AN1080" s="974">
        <v>114500</v>
      </c>
    </row>
    <row r="1081" spans="1:40">
      <c r="A1081" s="966">
        <v>1074</v>
      </c>
      <c r="B1081" s="967">
        <v>43840</v>
      </c>
      <c r="C1081" s="966">
        <v>115100</v>
      </c>
      <c r="D1081" s="966">
        <v>0</v>
      </c>
      <c r="E1081" s="966">
        <v>0.99854699999999996</v>
      </c>
      <c r="F1081" s="966">
        <v>58508.43</v>
      </c>
      <c r="G1081" s="966">
        <v>52164.469503699998</v>
      </c>
      <c r="H1081" s="966">
        <v>8332.2199999999993</v>
      </c>
      <c r="I1081" s="966">
        <v>13.81</v>
      </c>
      <c r="Q1081" s="967">
        <v>43840</v>
      </c>
      <c r="R1081" s="966">
        <v>115100</v>
      </c>
      <c r="T1081" s="969">
        <v>-0.99854699999999996</v>
      </c>
      <c r="U1081" s="966">
        <v>8332.2199999999993</v>
      </c>
      <c r="W1081" s="971" t="e">
        <f t="shared" si="19"/>
        <v>#DIV/0!</v>
      </c>
      <c r="Y1081" s="967">
        <v>43917</v>
      </c>
      <c r="Z1081" s="974">
        <f ca="1">H1031*Valuation_Senario!$L$372</f>
        <v>12657.585380049999</v>
      </c>
      <c r="AA1081" s="973">
        <v>7.34</v>
      </c>
      <c r="AM1081" s="967">
        <v>43840</v>
      </c>
      <c r="AN1081" s="974">
        <v>115100</v>
      </c>
    </row>
    <row r="1082" spans="1:40">
      <c r="A1082" s="966">
        <v>1075</v>
      </c>
      <c r="B1082" s="967">
        <v>43839</v>
      </c>
      <c r="C1082" s="966">
        <v>114500</v>
      </c>
      <c r="D1082" s="966">
        <v>0</v>
      </c>
      <c r="E1082" s="966">
        <v>0.4556</v>
      </c>
      <c r="F1082" s="966">
        <v>58236.5</v>
      </c>
      <c r="G1082" s="966">
        <v>51892.5435115</v>
      </c>
      <c r="H1082" s="966">
        <v>8332.77</v>
      </c>
      <c r="I1082" s="966">
        <v>13.74</v>
      </c>
      <c r="Q1082" s="967">
        <v>43839</v>
      </c>
      <c r="R1082" s="966">
        <v>114500</v>
      </c>
      <c r="T1082" s="969">
        <v>-0.4556</v>
      </c>
      <c r="U1082" s="966">
        <v>8332.77</v>
      </c>
      <c r="W1082" s="971" t="e">
        <f t="shared" si="19"/>
        <v>#DIV/0!</v>
      </c>
      <c r="Y1082" s="967">
        <v>43916</v>
      </c>
      <c r="Z1082" s="974">
        <f ca="1">H1032*Valuation_Senario!$L$372</f>
        <v>12658.407715969997</v>
      </c>
      <c r="AA1082" s="973">
        <v>7.89</v>
      </c>
      <c r="AM1082" s="967">
        <v>43839</v>
      </c>
      <c r="AN1082" s="974">
        <v>114500</v>
      </c>
    </row>
    <row r="1083" spans="1:40">
      <c r="A1083" s="966">
        <v>1076</v>
      </c>
      <c r="B1083" s="967">
        <v>43838</v>
      </c>
      <c r="C1083" s="966">
        <v>112800</v>
      </c>
      <c r="D1083" s="966">
        <v>0</v>
      </c>
      <c r="E1083" s="966">
        <v>0</v>
      </c>
      <c r="F1083" s="966">
        <v>57466.04</v>
      </c>
      <c r="G1083" s="966">
        <v>51122.086533599999</v>
      </c>
      <c r="H1083" s="966">
        <v>8333.32</v>
      </c>
      <c r="I1083" s="966">
        <v>13.54</v>
      </c>
      <c r="Q1083" s="967">
        <v>43838</v>
      </c>
      <c r="R1083" s="966">
        <v>112800</v>
      </c>
      <c r="T1083" s="969">
        <v>0</v>
      </c>
      <c r="U1083" s="966">
        <v>8333.32</v>
      </c>
      <c r="W1083" s="971" t="e">
        <f t="shared" si="19"/>
        <v>#DIV/0!</v>
      </c>
      <c r="Y1083" s="967">
        <v>43915</v>
      </c>
      <c r="Z1083" s="974">
        <f ca="1">H1033*Valuation_Senario!$L$372</f>
        <v>12659.244736459999</v>
      </c>
      <c r="AA1083" s="973">
        <v>8.4700000000000006</v>
      </c>
      <c r="AM1083" s="967">
        <v>43838</v>
      </c>
      <c r="AN1083" s="974">
        <v>112800</v>
      </c>
    </row>
    <row r="1084" spans="1:40">
      <c r="A1084" s="966">
        <v>1077</v>
      </c>
      <c r="B1084" s="967">
        <v>43837</v>
      </c>
      <c r="C1084" s="966">
        <v>115600</v>
      </c>
      <c r="D1084" s="966">
        <v>0</v>
      </c>
      <c r="E1084" s="966">
        <v>0</v>
      </c>
      <c r="F1084" s="966">
        <v>57518.92</v>
      </c>
      <c r="G1084" s="966">
        <v>51174.957295200002</v>
      </c>
      <c r="H1084" s="966">
        <v>8334.43</v>
      </c>
      <c r="I1084" s="966">
        <v>13.87</v>
      </c>
      <c r="Q1084" s="967">
        <v>43837</v>
      </c>
      <c r="R1084" s="966">
        <v>115600</v>
      </c>
      <c r="T1084" s="969">
        <v>0</v>
      </c>
      <c r="U1084" s="966">
        <v>8334.43</v>
      </c>
      <c r="W1084" s="971" t="e">
        <f t="shared" si="19"/>
        <v>#DIV/0!</v>
      </c>
      <c r="Y1084" s="967">
        <v>43914</v>
      </c>
      <c r="Z1084" s="974">
        <f ca="1">H1034*Valuation_Senario!$L$372</f>
        <v>12660.08175695</v>
      </c>
      <c r="AA1084" s="973">
        <v>7.98</v>
      </c>
      <c r="AM1084" s="967">
        <v>43837</v>
      </c>
      <c r="AN1084" s="974">
        <v>115600</v>
      </c>
    </row>
    <row r="1085" spans="1:40">
      <c r="A1085" s="966">
        <v>1078</v>
      </c>
      <c r="B1085" s="967">
        <v>43836</v>
      </c>
      <c r="C1085" s="966">
        <v>114700</v>
      </c>
      <c r="D1085" s="966">
        <v>5.7400000000000003E-3</v>
      </c>
      <c r="E1085" s="966">
        <v>0</v>
      </c>
      <c r="F1085" s="966">
        <v>57120.49</v>
      </c>
      <c r="G1085" s="966">
        <v>50776.536347399997</v>
      </c>
      <c r="H1085" s="966">
        <v>8334.43</v>
      </c>
      <c r="I1085" s="966">
        <v>13.76</v>
      </c>
      <c r="Q1085" s="967">
        <v>43836</v>
      </c>
      <c r="R1085" s="966">
        <v>114700</v>
      </c>
      <c r="T1085" s="969">
        <v>5.7400000000000003E-3</v>
      </c>
      <c r="U1085" s="966">
        <v>8334.43</v>
      </c>
      <c r="W1085" s="971" t="e">
        <f t="shared" si="19"/>
        <v>#DIV/0!</v>
      </c>
      <c r="Y1085" s="967">
        <v>43913</v>
      </c>
      <c r="Z1085" s="974">
        <f ca="1">H1035*Valuation_Senario!$L$372</f>
        <v>12660.90409287</v>
      </c>
      <c r="AA1085" s="973">
        <v>8.33</v>
      </c>
      <c r="AM1085" s="967">
        <v>43836</v>
      </c>
      <c r="AN1085" s="974">
        <v>114700</v>
      </c>
    </row>
    <row r="1086" spans="1:40">
      <c r="A1086" s="966">
        <v>1079</v>
      </c>
      <c r="B1086" s="967">
        <v>43833</v>
      </c>
      <c r="C1086" s="966">
        <v>115300</v>
      </c>
      <c r="D1086" s="966">
        <v>0</v>
      </c>
      <c r="E1086" s="966">
        <v>0</v>
      </c>
      <c r="F1086" s="966">
        <v>57386.11</v>
      </c>
      <c r="G1086" s="966">
        <v>51042.150312600003</v>
      </c>
      <c r="H1086" s="966">
        <v>8334.43</v>
      </c>
      <c r="I1086" s="966">
        <v>13.83</v>
      </c>
      <c r="Q1086" s="967">
        <v>43833</v>
      </c>
      <c r="R1086" s="966">
        <v>115300</v>
      </c>
      <c r="T1086" s="969">
        <v>0</v>
      </c>
      <c r="U1086" s="966">
        <v>8334.43</v>
      </c>
      <c r="W1086" s="971" t="e">
        <f t="shared" si="19"/>
        <v>#DIV/0!</v>
      </c>
      <c r="Y1086" s="967">
        <v>43910</v>
      </c>
      <c r="Z1086" s="974">
        <f ca="1">H1036*Valuation_Senario!$L$372</f>
        <v>12652.240196569999</v>
      </c>
      <c r="AA1086" s="973">
        <v>8.9600000000000009</v>
      </c>
      <c r="AM1086" s="967">
        <v>43833</v>
      </c>
      <c r="AN1086" s="974">
        <v>115300</v>
      </c>
    </row>
    <row r="1087" spans="1:40">
      <c r="A1087" s="966">
        <v>1080</v>
      </c>
      <c r="B1087" s="967">
        <v>43832</v>
      </c>
      <c r="C1087" s="966">
        <v>117000</v>
      </c>
      <c r="D1087" s="966">
        <v>0</v>
      </c>
      <c r="E1087" s="966">
        <v>0</v>
      </c>
      <c r="F1087" s="966">
        <v>58138.68</v>
      </c>
      <c r="G1087" s="966">
        <v>51794.723213999998</v>
      </c>
      <c r="H1087" s="966">
        <v>8334.43</v>
      </c>
      <c r="I1087" s="966">
        <v>14.04</v>
      </c>
      <c r="Q1087" s="967">
        <v>43832</v>
      </c>
      <c r="R1087" s="966">
        <v>117000</v>
      </c>
      <c r="T1087" s="969">
        <v>0</v>
      </c>
      <c r="U1087" s="966">
        <v>8334.43</v>
      </c>
      <c r="W1087" s="971" t="e">
        <f t="shared" si="19"/>
        <v>#DIV/0!</v>
      </c>
      <c r="Y1087" s="967">
        <v>43909</v>
      </c>
      <c r="Z1087" s="974">
        <f ca="1">H1037*Valuation_Senario!$L$372</f>
        <v>12653.062532489999</v>
      </c>
      <c r="AA1087" s="973">
        <v>8.77</v>
      </c>
      <c r="AM1087" s="967">
        <v>43832</v>
      </c>
      <c r="AN1087" s="974">
        <v>117000</v>
      </c>
    </row>
    <row r="1088" spans="1:40">
      <c r="A1088" s="966">
        <v>1081</v>
      </c>
      <c r="B1088" s="967">
        <v>43830</v>
      </c>
      <c r="C1088" s="966">
        <v>114000</v>
      </c>
      <c r="D1088" s="966">
        <v>0</v>
      </c>
      <c r="E1088" s="966">
        <v>5.7149999999999996E-3</v>
      </c>
      <c r="F1088" s="966">
        <v>56810.61</v>
      </c>
      <c r="G1088" s="966">
        <v>50466.653387999999</v>
      </c>
      <c r="H1088" s="966">
        <v>8334.43</v>
      </c>
      <c r="I1088" s="966">
        <v>13.68</v>
      </c>
      <c r="Q1088" s="967">
        <v>43830</v>
      </c>
      <c r="R1088" s="966">
        <v>114000</v>
      </c>
      <c r="T1088" s="969">
        <v>-5.7149999999999996E-3</v>
      </c>
      <c r="U1088" s="966">
        <v>8334.43</v>
      </c>
      <c r="W1088" s="971" t="e">
        <f t="shared" si="19"/>
        <v>#DIV/0!</v>
      </c>
      <c r="Y1088" s="967">
        <v>43908</v>
      </c>
      <c r="Z1088" s="974">
        <f ca="1">H1038*Valuation_Senario!$L$372</f>
        <v>12653.899552979998</v>
      </c>
      <c r="AA1088" s="973">
        <v>9.14</v>
      </c>
      <c r="AM1088" s="967">
        <v>43830</v>
      </c>
      <c r="AN1088" s="974">
        <v>114000</v>
      </c>
    </row>
    <row r="1089" spans="1:40">
      <c r="A1089" s="966">
        <v>1082</v>
      </c>
      <c r="B1089" s="967">
        <v>43829</v>
      </c>
      <c r="C1089" s="966">
        <v>114000</v>
      </c>
      <c r="D1089" s="966">
        <v>0</v>
      </c>
      <c r="E1089" s="966">
        <v>0</v>
      </c>
      <c r="F1089" s="966">
        <v>56810.61</v>
      </c>
      <c r="G1089" s="966">
        <v>50466.653387999999</v>
      </c>
      <c r="H1089" s="966">
        <v>8334.43</v>
      </c>
      <c r="I1089" s="966">
        <v>13.68</v>
      </c>
      <c r="Q1089" s="967">
        <v>43829</v>
      </c>
      <c r="R1089" s="966">
        <v>114000</v>
      </c>
      <c r="T1089" s="969">
        <v>0</v>
      </c>
      <c r="U1089" s="966">
        <v>8334.43</v>
      </c>
      <c r="W1089" s="971" t="e">
        <f t="shared" si="19"/>
        <v>#DIV/0!</v>
      </c>
      <c r="Y1089" s="967">
        <v>43907</v>
      </c>
      <c r="Z1089" s="974">
        <f ca="1">H1039*Valuation_Senario!$L$372</f>
        <v>12654.7218889</v>
      </c>
      <c r="AA1089" s="973">
        <v>8.9700000000000006</v>
      </c>
      <c r="AM1089" s="967">
        <v>43829</v>
      </c>
      <c r="AN1089" s="974">
        <v>114000</v>
      </c>
    </row>
    <row r="1090" spans="1:40">
      <c r="A1090" s="966">
        <v>1083</v>
      </c>
      <c r="B1090" s="967">
        <v>43826</v>
      </c>
      <c r="C1090" s="966">
        <v>113500</v>
      </c>
      <c r="D1090" s="966">
        <v>0</v>
      </c>
      <c r="E1090" s="966">
        <v>0</v>
      </c>
      <c r="F1090" s="966">
        <v>56589.27</v>
      </c>
      <c r="G1090" s="966">
        <v>50245.308417</v>
      </c>
      <c r="H1090" s="966">
        <v>8334.43</v>
      </c>
      <c r="I1090" s="966">
        <v>13.62</v>
      </c>
      <c r="Q1090" s="967">
        <v>43826</v>
      </c>
      <c r="R1090" s="966">
        <v>113500</v>
      </c>
      <c r="T1090" s="969">
        <v>0</v>
      </c>
      <c r="U1090" s="966">
        <v>8334.43</v>
      </c>
      <c r="W1090" s="971" t="e">
        <f t="shared" si="19"/>
        <v>#DIV/0!</v>
      </c>
      <c r="Y1090" s="967">
        <v>43906</v>
      </c>
      <c r="Z1090" s="974">
        <f ca="1">H1040*Valuation_Senario!$L$372</f>
        <v>12655.55890939</v>
      </c>
      <c r="AA1090" s="973">
        <v>8.82</v>
      </c>
      <c r="AM1090" s="967">
        <v>43826</v>
      </c>
      <c r="AN1090" s="974">
        <v>113500</v>
      </c>
    </row>
    <row r="1091" spans="1:40">
      <c r="A1091" s="966">
        <v>1084</v>
      </c>
      <c r="B1091" s="967">
        <v>43825</v>
      </c>
      <c r="C1091" s="966">
        <v>113300</v>
      </c>
      <c r="D1091" s="966">
        <v>0</v>
      </c>
      <c r="E1091" s="966">
        <v>0</v>
      </c>
      <c r="F1091" s="966">
        <v>56500.73</v>
      </c>
      <c r="G1091" s="966">
        <v>50156.770428600001</v>
      </c>
      <c r="H1091" s="966">
        <v>8334.43</v>
      </c>
      <c r="I1091" s="966">
        <v>13.59</v>
      </c>
      <c r="Q1091" s="967">
        <v>43825</v>
      </c>
      <c r="R1091" s="966">
        <v>113300</v>
      </c>
      <c r="T1091" s="969">
        <v>0</v>
      </c>
      <c r="U1091" s="966">
        <v>8334.43</v>
      </c>
      <c r="W1091" s="971" t="e">
        <f t="shared" si="19"/>
        <v>#DIV/0!</v>
      </c>
      <c r="Y1091" s="967">
        <v>43903</v>
      </c>
      <c r="Z1091" s="974">
        <f ca="1">H1041*Valuation_Senario!$L$372</f>
        <v>12658.055286289999</v>
      </c>
      <c r="AA1091" s="973">
        <v>9.16</v>
      </c>
      <c r="AM1091" s="967">
        <v>43825</v>
      </c>
      <c r="AN1091" s="974">
        <v>113300</v>
      </c>
    </row>
    <row r="1092" spans="1:40">
      <c r="A1092" s="966">
        <v>1085</v>
      </c>
      <c r="B1092" s="967">
        <v>43824</v>
      </c>
      <c r="C1092" s="966">
        <v>113900</v>
      </c>
      <c r="D1092" s="966">
        <v>2.232E-2</v>
      </c>
      <c r="E1092" s="966">
        <v>0</v>
      </c>
      <c r="F1092" s="966">
        <v>56766.34</v>
      </c>
      <c r="G1092" s="966">
        <v>50422.384393799999</v>
      </c>
      <c r="H1092" s="966">
        <v>8334.43</v>
      </c>
      <c r="I1092" s="966">
        <v>13.67</v>
      </c>
      <c r="Q1092" s="967">
        <v>43824</v>
      </c>
      <c r="R1092" s="966">
        <v>113900</v>
      </c>
      <c r="T1092" s="969">
        <v>2.232E-2</v>
      </c>
      <c r="U1092" s="966">
        <v>8334.43</v>
      </c>
      <c r="W1092" s="971" t="e">
        <f t="shared" si="19"/>
        <v>#DIV/0!</v>
      </c>
      <c r="Y1092" s="967">
        <v>43902</v>
      </c>
      <c r="Z1092" s="974">
        <f ca="1">H1042*Valuation_Senario!$L$372</f>
        <v>12658.892306780001</v>
      </c>
      <c r="AA1092" s="973">
        <v>9.43</v>
      </c>
      <c r="AM1092" s="967">
        <v>43824</v>
      </c>
      <c r="AN1092" s="974">
        <v>113900</v>
      </c>
    </row>
    <row r="1093" spans="1:40">
      <c r="A1093" s="966">
        <v>1086</v>
      </c>
      <c r="B1093" s="967">
        <v>43823</v>
      </c>
      <c r="C1093" s="966">
        <v>111300</v>
      </c>
      <c r="D1093" s="966">
        <v>7.9274981999999996</v>
      </c>
      <c r="E1093" s="966">
        <v>7.9274981999999996</v>
      </c>
      <c r="F1093" s="966">
        <v>55615.35</v>
      </c>
      <c r="G1093" s="966">
        <v>49271.390544599999</v>
      </c>
      <c r="H1093" s="966">
        <v>8334.43</v>
      </c>
      <c r="I1093" s="966">
        <v>13.35</v>
      </c>
      <c r="Q1093" s="967">
        <v>43823</v>
      </c>
      <c r="R1093" s="966">
        <v>111300</v>
      </c>
      <c r="T1093" s="969">
        <v>0</v>
      </c>
      <c r="U1093" s="966">
        <v>8334.43</v>
      </c>
      <c r="W1093" s="971" t="e">
        <f t="shared" si="19"/>
        <v>#DIV/0!</v>
      </c>
      <c r="Y1093" s="967">
        <v>43901</v>
      </c>
      <c r="Z1093" s="974">
        <f ca="1">H1043*Valuation_Senario!$L$372</f>
        <v>12659.714642699999</v>
      </c>
      <c r="AA1093" s="973">
        <v>10.14</v>
      </c>
      <c r="AM1093" s="967">
        <v>43823</v>
      </c>
      <c r="AN1093" s="974">
        <v>111300</v>
      </c>
    </row>
    <row r="1094" spans="1:40">
      <c r="A1094" s="966">
        <v>1087</v>
      </c>
      <c r="B1094" s="967">
        <v>43822</v>
      </c>
      <c r="C1094" s="966">
        <v>111000</v>
      </c>
      <c r="D1094" s="966">
        <v>0</v>
      </c>
      <c r="E1094" s="966">
        <v>0</v>
      </c>
      <c r="F1094" s="966">
        <v>55482.54</v>
      </c>
      <c r="G1094" s="966">
        <v>49138.583562</v>
      </c>
      <c r="H1094" s="966">
        <v>8334.43</v>
      </c>
      <c r="I1094" s="966">
        <v>13.32</v>
      </c>
      <c r="Q1094" s="967">
        <v>43822</v>
      </c>
      <c r="R1094" s="966">
        <v>111000</v>
      </c>
      <c r="T1094" s="969">
        <v>0</v>
      </c>
      <c r="U1094" s="966">
        <v>8334.43</v>
      </c>
      <c r="W1094" s="971" t="e">
        <f t="shared" si="19"/>
        <v>#DIV/0!</v>
      </c>
      <c r="Y1094" s="967">
        <v>43900</v>
      </c>
      <c r="Z1094" s="974">
        <f ca="1">H1044*Valuation_Senario!$L$372</f>
        <v>12660.551663189999</v>
      </c>
      <c r="AA1094" s="973">
        <v>10.89</v>
      </c>
      <c r="AM1094" s="967">
        <v>43822</v>
      </c>
      <c r="AN1094" s="974">
        <v>111000</v>
      </c>
    </row>
    <row r="1095" spans="1:40">
      <c r="A1095" s="966">
        <v>1088</v>
      </c>
      <c r="B1095" s="967">
        <v>43819</v>
      </c>
      <c r="C1095" s="966">
        <v>110700</v>
      </c>
      <c r="D1095" s="966">
        <v>1.2187999999999999E-2</v>
      </c>
      <c r="E1095" s="966">
        <v>2.2159999999999999E-2</v>
      </c>
      <c r="F1095" s="966">
        <v>55349.73</v>
      </c>
      <c r="G1095" s="966">
        <v>49005.776579400001</v>
      </c>
      <c r="H1095" s="966">
        <v>8334.43</v>
      </c>
      <c r="I1095" s="966">
        <v>13.28</v>
      </c>
      <c r="Q1095" s="967">
        <v>43819</v>
      </c>
      <c r="R1095" s="966">
        <v>110700</v>
      </c>
      <c r="T1095" s="969">
        <v>-9.972E-3</v>
      </c>
      <c r="U1095" s="966">
        <v>8334.43</v>
      </c>
      <c r="W1095" s="971" t="e">
        <f t="shared" si="19"/>
        <v>#DIV/0!</v>
      </c>
      <c r="Y1095" s="967">
        <v>43899</v>
      </c>
      <c r="Z1095" s="974">
        <f ca="1">H1045*Valuation_Senario!$L$372</f>
        <v>12661.373999109999</v>
      </c>
      <c r="AA1095" s="973">
        <v>11.12</v>
      </c>
      <c r="AM1095" s="967">
        <v>43819</v>
      </c>
      <c r="AN1095" s="974">
        <v>110700</v>
      </c>
    </row>
    <row r="1096" spans="1:40">
      <c r="A1096" s="966">
        <v>1089</v>
      </c>
      <c r="B1096" s="967">
        <v>43818</v>
      </c>
      <c r="C1096" s="966">
        <v>110000</v>
      </c>
      <c r="D1096" s="966">
        <v>0</v>
      </c>
      <c r="E1096" s="966">
        <v>0</v>
      </c>
      <c r="F1096" s="966">
        <v>55039.85</v>
      </c>
      <c r="G1096" s="966">
        <v>48695.893620000003</v>
      </c>
      <c r="H1096" s="966">
        <v>8334.43</v>
      </c>
      <c r="I1096" s="966">
        <v>13.2</v>
      </c>
      <c r="Q1096" s="967">
        <v>43818</v>
      </c>
      <c r="R1096" s="966">
        <v>110000</v>
      </c>
      <c r="T1096" s="969">
        <v>0</v>
      </c>
      <c r="U1096" s="966">
        <v>8334.43</v>
      </c>
      <c r="W1096" s="971" t="e">
        <f t="shared" si="19"/>
        <v>#DIV/0!</v>
      </c>
      <c r="Y1096" s="967">
        <v>43896</v>
      </c>
      <c r="Z1096" s="974">
        <f ca="1">H1046*Valuation_Senario!$L$372</f>
        <v>12663.87037601</v>
      </c>
      <c r="AA1096" s="973">
        <v>11.96</v>
      </c>
      <c r="AM1096" s="967">
        <v>43818</v>
      </c>
      <c r="AN1096" s="974">
        <v>110000</v>
      </c>
    </row>
    <row r="1097" spans="1:40">
      <c r="A1097" s="966">
        <v>1090</v>
      </c>
      <c r="B1097" s="967">
        <v>43817</v>
      </c>
      <c r="C1097" s="966">
        <v>110000</v>
      </c>
      <c r="D1097" s="966">
        <v>0</v>
      </c>
      <c r="E1097" s="966">
        <v>0</v>
      </c>
      <c r="F1097" s="966">
        <v>55039.85</v>
      </c>
      <c r="G1097" s="966">
        <v>48695.893620000003</v>
      </c>
      <c r="H1097" s="966">
        <v>8334.43</v>
      </c>
      <c r="I1097" s="966">
        <v>13.2</v>
      </c>
      <c r="Q1097" s="967">
        <v>43817</v>
      </c>
      <c r="R1097" s="966">
        <v>110000</v>
      </c>
      <c r="T1097" s="969">
        <v>0</v>
      </c>
      <c r="U1097" s="966">
        <v>8334.43</v>
      </c>
      <c r="W1097" s="971" t="e">
        <f t="shared" ref="W1097:W1160" si="20">T1097/V1097</f>
        <v>#DIV/0!</v>
      </c>
      <c r="Y1097" s="967">
        <v>43895</v>
      </c>
      <c r="Z1097" s="974">
        <f ca="1">H1047*Valuation_Senario!$L$372</f>
        <v>12664.7073965</v>
      </c>
      <c r="AA1097" s="973">
        <v>12.23</v>
      </c>
      <c r="AM1097" s="967">
        <v>43817</v>
      </c>
      <c r="AN1097" s="974">
        <v>110000</v>
      </c>
    </row>
    <row r="1098" spans="1:40">
      <c r="A1098" s="966">
        <v>1091</v>
      </c>
      <c r="B1098" s="967">
        <v>43816</v>
      </c>
      <c r="C1098" s="966">
        <v>113300</v>
      </c>
      <c r="D1098" s="966">
        <v>0</v>
      </c>
      <c r="E1098" s="966">
        <v>1.2518E-2</v>
      </c>
      <c r="F1098" s="966">
        <v>56500.73</v>
      </c>
      <c r="G1098" s="966">
        <v>50156.770428600001</v>
      </c>
      <c r="H1098" s="966">
        <v>8334.43</v>
      </c>
      <c r="I1098" s="966">
        <v>13.59</v>
      </c>
      <c r="Q1098" s="967">
        <v>43816</v>
      </c>
      <c r="R1098" s="966">
        <v>113300</v>
      </c>
      <c r="T1098" s="969">
        <v>-1.2518E-2</v>
      </c>
      <c r="U1098" s="966">
        <v>8334.43</v>
      </c>
      <c r="W1098" s="971" t="e">
        <f t="shared" si="20"/>
        <v>#DIV/0!</v>
      </c>
      <c r="Y1098" s="967">
        <v>43894</v>
      </c>
      <c r="Z1098" s="974">
        <f ca="1">H1048*Valuation_Senario!$L$372</f>
        <v>12665.544416989998</v>
      </c>
      <c r="AA1098" s="973">
        <v>12.29</v>
      </c>
      <c r="AM1098" s="967">
        <v>43816</v>
      </c>
      <c r="AN1098" s="974">
        <v>113300</v>
      </c>
    </row>
    <row r="1099" spans="1:40">
      <c r="A1099" s="966">
        <v>1092</v>
      </c>
      <c r="B1099" s="967">
        <v>43815</v>
      </c>
      <c r="C1099" s="966">
        <v>113200</v>
      </c>
      <c r="D1099" s="966">
        <v>0</v>
      </c>
      <c r="E1099" s="966">
        <v>0</v>
      </c>
      <c r="F1099" s="966">
        <v>56456.46</v>
      </c>
      <c r="G1099" s="966">
        <v>50112.501434400001</v>
      </c>
      <c r="H1099" s="966">
        <v>8334.43</v>
      </c>
      <c r="I1099" s="966">
        <v>13.58</v>
      </c>
      <c r="Q1099" s="967">
        <v>43815</v>
      </c>
      <c r="R1099" s="966">
        <v>113200</v>
      </c>
      <c r="T1099" s="969">
        <v>0</v>
      </c>
      <c r="U1099" s="966">
        <v>8334.43</v>
      </c>
      <c r="W1099" s="971" t="e">
        <f t="shared" si="20"/>
        <v>#DIV/0!</v>
      </c>
      <c r="Y1099" s="967">
        <v>43893</v>
      </c>
      <c r="Z1099" s="974">
        <f ca="1">H1049*Valuation_Senario!$L$372</f>
        <v>12666.381437479999</v>
      </c>
      <c r="AA1099" s="973">
        <v>12.34</v>
      </c>
      <c r="AM1099" s="967">
        <v>43815</v>
      </c>
      <c r="AN1099" s="974">
        <v>113200</v>
      </c>
    </row>
    <row r="1100" spans="1:40">
      <c r="A1100" s="966">
        <v>1093</v>
      </c>
      <c r="B1100" s="967">
        <v>43812</v>
      </c>
      <c r="C1100" s="966">
        <v>113000</v>
      </c>
      <c r="D1100" s="966">
        <v>0</v>
      </c>
      <c r="E1100" s="966">
        <v>0</v>
      </c>
      <c r="F1100" s="966">
        <v>56367.92</v>
      </c>
      <c r="G1100" s="966">
        <v>50023.963446000002</v>
      </c>
      <c r="H1100" s="966">
        <v>8334.43</v>
      </c>
      <c r="I1100" s="966">
        <v>13.56</v>
      </c>
      <c r="Q1100" s="967">
        <v>43812</v>
      </c>
      <c r="R1100" s="966">
        <v>113000</v>
      </c>
      <c r="T1100" s="969">
        <v>0</v>
      </c>
      <c r="U1100" s="966">
        <v>8334.43</v>
      </c>
      <c r="W1100" s="971" t="e">
        <f t="shared" si="20"/>
        <v>#DIV/0!</v>
      </c>
      <c r="Y1100" s="967">
        <v>43892</v>
      </c>
      <c r="Z1100" s="974">
        <f ca="1">H1050*Valuation_Senario!$L$372</f>
        <v>12667.203773400001</v>
      </c>
      <c r="AA1100" s="973">
        <v>12.35</v>
      </c>
      <c r="AM1100" s="967">
        <v>43812</v>
      </c>
      <c r="AN1100" s="974">
        <v>113000</v>
      </c>
    </row>
    <row r="1101" spans="1:40">
      <c r="A1101" s="966">
        <v>1094</v>
      </c>
      <c r="B1101" s="967">
        <v>43811</v>
      </c>
      <c r="C1101" s="966">
        <v>113400</v>
      </c>
      <c r="D1101" s="966">
        <v>0</v>
      </c>
      <c r="E1101" s="966">
        <v>0</v>
      </c>
      <c r="F1101" s="966">
        <v>56545</v>
      </c>
      <c r="G1101" s="966">
        <v>50201.0394228</v>
      </c>
      <c r="H1101" s="966">
        <v>8334.43</v>
      </c>
      <c r="I1101" s="966">
        <v>13.61</v>
      </c>
      <c r="Q1101" s="967">
        <v>43811</v>
      </c>
      <c r="R1101" s="966">
        <v>113400</v>
      </c>
      <c r="T1101" s="969">
        <v>0</v>
      </c>
      <c r="U1101" s="966">
        <v>8334.43</v>
      </c>
      <c r="W1101" s="971" t="e">
        <f t="shared" si="20"/>
        <v>#DIV/0!</v>
      </c>
      <c r="Y1101" s="967">
        <v>43889</v>
      </c>
      <c r="Z1101" s="974">
        <f ca="1">H1051*Valuation_Senario!$L$372</f>
        <v>12669.700150299999</v>
      </c>
      <c r="AA1101" s="973">
        <v>12.34</v>
      </c>
      <c r="AM1101" s="967">
        <v>43811</v>
      </c>
      <c r="AN1101" s="974">
        <v>113400</v>
      </c>
    </row>
    <row r="1102" spans="1:40">
      <c r="A1102" s="966">
        <v>1095</v>
      </c>
      <c r="B1102" s="967">
        <v>43810</v>
      </c>
      <c r="C1102" s="966">
        <v>113000</v>
      </c>
      <c r="D1102" s="966">
        <v>0</v>
      </c>
      <c r="E1102" s="966">
        <v>0</v>
      </c>
      <c r="F1102" s="966">
        <v>56367.92</v>
      </c>
      <c r="G1102" s="966">
        <v>50023.963446000002</v>
      </c>
      <c r="H1102" s="966">
        <v>8334.43</v>
      </c>
      <c r="I1102" s="966">
        <v>13.56</v>
      </c>
      <c r="Q1102" s="967">
        <v>43810</v>
      </c>
      <c r="R1102" s="966">
        <v>113000</v>
      </c>
      <c r="T1102" s="969">
        <v>0</v>
      </c>
      <c r="U1102" s="966">
        <v>8334.43</v>
      </c>
      <c r="W1102" s="971" t="e">
        <f t="shared" si="20"/>
        <v>#DIV/0!</v>
      </c>
      <c r="Y1102" s="967">
        <v>43888</v>
      </c>
      <c r="Z1102" s="974">
        <f ca="1">H1052*Valuation_Senario!$L$372</f>
        <v>12670.537170789998</v>
      </c>
      <c r="AA1102" s="973">
        <v>12.56</v>
      </c>
      <c r="AM1102" s="967">
        <v>43810</v>
      </c>
      <c r="AN1102" s="974">
        <v>113000</v>
      </c>
    </row>
    <row r="1103" spans="1:40">
      <c r="A1103" s="966">
        <v>1096</v>
      </c>
      <c r="B1103" s="967">
        <v>43809</v>
      </c>
      <c r="C1103" s="966">
        <v>111000</v>
      </c>
      <c r="D1103" s="966">
        <v>0</v>
      </c>
      <c r="E1103" s="966">
        <v>0</v>
      </c>
      <c r="F1103" s="966">
        <v>55482.54</v>
      </c>
      <c r="G1103" s="966">
        <v>49138.583562</v>
      </c>
      <c r="H1103" s="966">
        <v>8334.43</v>
      </c>
      <c r="I1103" s="966">
        <v>13.32</v>
      </c>
      <c r="Q1103" s="967">
        <v>43809</v>
      </c>
      <c r="R1103" s="966">
        <v>111000</v>
      </c>
      <c r="T1103" s="969">
        <v>0</v>
      </c>
      <c r="U1103" s="966">
        <v>8334.43</v>
      </c>
      <c r="W1103" s="971" t="e">
        <f t="shared" si="20"/>
        <v>#DIV/0!</v>
      </c>
      <c r="Y1103" s="967">
        <v>43887</v>
      </c>
      <c r="Z1103" s="974">
        <f ca="1">H1053*Valuation_Senario!$L$372</f>
        <v>12671.37419128</v>
      </c>
      <c r="AA1103" s="973">
        <v>12.31</v>
      </c>
      <c r="AM1103" s="967">
        <v>43809</v>
      </c>
      <c r="AN1103" s="974">
        <v>111000</v>
      </c>
    </row>
    <row r="1104" spans="1:40">
      <c r="A1104" s="966">
        <v>1097</v>
      </c>
      <c r="B1104" s="967">
        <v>43808</v>
      </c>
      <c r="C1104" s="966">
        <v>110900</v>
      </c>
      <c r="D1104" s="966">
        <v>0</v>
      </c>
      <c r="E1104" s="966">
        <v>0</v>
      </c>
      <c r="F1104" s="966">
        <v>55438.27</v>
      </c>
      <c r="G1104" s="966">
        <v>49094.3145678</v>
      </c>
      <c r="H1104" s="966">
        <v>8334.43</v>
      </c>
      <c r="I1104" s="966">
        <v>13.31</v>
      </c>
      <c r="Q1104" s="967">
        <v>43808</v>
      </c>
      <c r="R1104" s="966">
        <v>110900</v>
      </c>
      <c r="T1104" s="969">
        <v>0</v>
      </c>
      <c r="U1104" s="966">
        <v>8334.43</v>
      </c>
      <c r="W1104" s="971" t="e">
        <f t="shared" si="20"/>
        <v>#DIV/0!</v>
      </c>
      <c r="Y1104" s="967">
        <v>43886</v>
      </c>
      <c r="Z1104" s="974">
        <f ca="1">H1054*Valuation_Senario!$L$372</f>
        <v>12672.21121177</v>
      </c>
      <c r="AA1104" s="973">
        <v>12.4</v>
      </c>
      <c r="AM1104" s="967">
        <v>43808</v>
      </c>
      <c r="AN1104" s="974">
        <v>110900</v>
      </c>
    </row>
    <row r="1105" spans="1:40">
      <c r="A1105" s="966">
        <v>1098</v>
      </c>
      <c r="B1105" s="967">
        <v>43805</v>
      </c>
      <c r="C1105" s="966">
        <v>110800</v>
      </c>
      <c r="D1105" s="966">
        <v>1.7696E-2</v>
      </c>
      <c r="E1105" s="966">
        <v>0</v>
      </c>
      <c r="F1105" s="966">
        <v>55394</v>
      </c>
      <c r="G1105" s="966">
        <v>49050.0455736</v>
      </c>
      <c r="H1105" s="966">
        <v>8334.43</v>
      </c>
      <c r="I1105" s="966">
        <v>13.29</v>
      </c>
      <c r="Q1105" s="967">
        <v>43805</v>
      </c>
      <c r="R1105" s="966">
        <v>110800</v>
      </c>
      <c r="T1105" s="969">
        <v>1.7696E-2</v>
      </c>
      <c r="U1105" s="966">
        <v>8334.43</v>
      </c>
      <c r="W1105" s="971" t="e">
        <f t="shared" si="20"/>
        <v>#DIV/0!</v>
      </c>
      <c r="Y1105" s="967">
        <v>43885</v>
      </c>
      <c r="Z1105" s="974">
        <f ca="1">H1055*Valuation_Senario!$L$372</f>
        <v>12673.03354769</v>
      </c>
      <c r="AA1105" s="973">
        <v>12.31</v>
      </c>
      <c r="AM1105" s="967">
        <v>43805</v>
      </c>
      <c r="AN1105" s="974">
        <v>110800</v>
      </c>
    </row>
    <row r="1106" spans="1:40">
      <c r="A1106" s="966">
        <v>1099</v>
      </c>
      <c r="B1106" s="967">
        <v>43804</v>
      </c>
      <c r="C1106" s="966">
        <v>110600</v>
      </c>
      <c r="D1106" s="966">
        <v>0</v>
      </c>
      <c r="E1106" s="966">
        <v>0</v>
      </c>
      <c r="F1106" s="966">
        <v>55305.47</v>
      </c>
      <c r="G1106" s="966">
        <v>48961.507585200001</v>
      </c>
      <c r="H1106" s="966">
        <v>8334.43</v>
      </c>
      <c r="I1106" s="966">
        <v>13.27</v>
      </c>
      <c r="Q1106" s="967">
        <v>43804</v>
      </c>
      <c r="R1106" s="966">
        <v>110600</v>
      </c>
      <c r="T1106" s="969">
        <v>0</v>
      </c>
      <c r="U1106" s="966">
        <v>8334.43</v>
      </c>
      <c r="W1106" s="971" t="e">
        <f t="shared" si="20"/>
        <v>#DIV/0!</v>
      </c>
      <c r="Y1106" s="967">
        <v>43882</v>
      </c>
      <c r="Z1106" s="974">
        <f ca="1">H1056*Valuation_Senario!$L$372</f>
        <v>12675.544609159999</v>
      </c>
      <c r="AA1106" s="973">
        <v>12.81</v>
      </c>
      <c r="AM1106" s="967">
        <v>43804</v>
      </c>
      <c r="AN1106" s="974">
        <v>110600</v>
      </c>
    </row>
    <row r="1107" spans="1:40">
      <c r="A1107" s="966">
        <v>1100</v>
      </c>
      <c r="B1107" s="967">
        <v>43803</v>
      </c>
      <c r="C1107" s="966">
        <v>113000</v>
      </c>
      <c r="D1107" s="966">
        <v>0</v>
      </c>
      <c r="E1107" s="966">
        <v>0</v>
      </c>
      <c r="F1107" s="966">
        <v>56367.92</v>
      </c>
      <c r="G1107" s="966">
        <v>50023.963446000002</v>
      </c>
      <c r="H1107" s="966">
        <v>8334.43</v>
      </c>
      <c r="I1107" s="966">
        <v>13.56</v>
      </c>
      <c r="Q1107" s="967">
        <v>43803</v>
      </c>
      <c r="R1107" s="966">
        <v>113000</v>
      </c>
      <c r="T1107" s="969">
        <v>0</v>
      </c>
      <c r="U1107" s="966">
        <v>8334.43</v>
      </c>
      <c r="W1107" s="971" t="e">
        <f t="shared" si="20"/>
        <v>#DIV/0!</v>
      </c>
      <c r="Y1107" s="967">
        <v>43881</v>
      </c>
      <c r="Z1107" s="974">
        <f ca="1">H1057*Valuation_Senario!$L$372</f>
        <v>12676.381629650001</v>
      </c>
      <c r="AA1107" s="973">
        <v>12.81</v>
      </c>
      <c r="AM1107" s="967">
        <v>43803</v>
      </c>
      <c r="AN1107" s="974">
        <v>113000</v>
      </c>
    </row>
    <row r="1108" spans="1:40">
      <c r="A1108" s="966">
        <v>1101</v>
      </c>
      <c r="B1108" s="967">
        <v>43802</v>
      </c>
      <c r="C1108" s="966">
        <v>109200</v>
      </c>
      <c r="D1108" s="966">
        <v>11.59</v>
      </c>
      <c r="E1108" s="966">
        <v>11.607376</v>
      </c>
      <c r="F1108" s="966">
        <v>54685.7</v>
      </c>
      <c r="G1108" s="966">
        <v>48341.741666399997</v>
      </c>
      <c r="H1108" s="966">
        <v>8334.43</v>
      </c>
      <c r="I1108" s="966">
        <v>13.1</v>
      </c>
      <c r="Q1108" s="967">
        <v>43802</v>
      </c>
      <c r="R1108" s="966">
        <v>109200</v>
      </c>
      <c r="T1108" s="969">
        <v>-1.7376000000000502E-2</v>
      </c>
      <c r="U1108" s="966">
        <v>8334.43</v>
      </c>
      <c r="W1108" s="971" t="e">
        <f t="shared" si="20"/>
        <v>#DIV/0!</v>
      </c>
      <c r="Y1108" s="967">
        <v>43880</v>
      </c>
      <c r="Z1108" s="974">
        <f ca="1">H1058*Valuation_Senario!$L$372</f>
        <v>12677.203965569999</v>
      </c>
      <c r="AA1108" s="973">
        <v>12.8</v>
      </c>
      <c r="AM1108" s="967">
        <v>43802</v>
      </c>
      <c r="AN1108" s="974">
        <v>109200</v>
      </c>
    </row>
    <row r="1109" spans="1:40">
      <c r="A1109" s="966">
        <v>1102</v>
      </c>
      <c r="B1109" s="967">
        <v>43801</v>
      </c>
      <c r="C1109" s="966">
        <v>108400</v>
      </c>
      <c r="D1109" s="966">
        <v>0</v>
      </c>
      <c r="E1109" s="966">
        <v>0</v>
      </c>
      <c r="F1109" s="966">
        <v>54331.55</v>
      </c>
      <c r="G1109" s="966">
        <v>47987.5897128</v>
      </c>
      <c r="H1109" s="966">
        <v>8334.43</v>
      </c>
      <c r="I1109" s="966">
        <v>13.01</v>
      </c>
      <c r="Q1109" s="967">
        <v>43801</v>
      </c>
      <c r="R1109" s="966">
        <v>108400</v>
      </c>
      <c r="T1109" s="969">
        <v>0</v>
      </c>
      <c r="U1109" s="966">
        <v>8334.43</v>
      </c>
      <c r="W1109" s="971" t="e">
        <f t="shared" si="20"/>
        <v>#DIV/0!</v>
      </c>
      <c r="Y1109" s="967">
        <v>43879</v>
      </c>
      <c r="Z1109" s="974">
        <f ca="1">H1059*Valuation_Senario!$L$372</f>
        <v>12678.040986059999</v>
      </c>
      <c r="AA1109" s="973">
        <v>12.61</v>
      </c>
      <c r="AM1109" s="967">
        <v>43801</v>
      </c>
      <c r="AN1109" s="974">
        <v>108400</v>
      </c>
    </row>
    <row r="1110" spans="1:40">
      <c r="A1110" s="966">
        <v>1103</v>
      </c>
      <c r="B1110" s="967">
        <v>43798</v>
      </c>
      <c r="C1110" s="966">
        <v>109000</v>
      </c>
      <c r="D1110" s="966">
        <v>0</v>
      </c>
      <c r="E1110" s="966">
        <v>0</v>
      </c>
      <c r="F1110" s="966">
        <v>54597.16</v>
      </c>
      <c r="G1110" s="966">
        <v>48253.203677999998</v>
      </c>
      <c r="H1110" s="966">
        <v>8334.43</v>
      </c>
      <c r="I1110" s="966">
        <v>13.08</v>
      </c>
      <c r="Q1110" s="967">
        <v>43798</v>
      </c>
      <c r="R1110" s="966">
        <v>109000</v>
      </c>
      <c r="T1110" s="969">
        <v>0</v>
      </c>
      <c r="U1110" s="966">
        <v>8334.43</v>
      </c>
      <c r="W1110" s="971" t="e">
        <f t="shared" si="20"/>
        <v>#DIV/0!</v>
      </c>
      <c r="Y1110" s="967">
        <v>43878</v>
      </c>
      <c r="Z1110" s="974">
        <f ca="1">H1060*Valuation_Senario!$L$372</f>
        <v>12678.878006549998</v>
      </c>
      <c r="AA1110" s="973">
        <v>12.45</v>
      </c>
      <c r="AM1110" s="967">
        <v>43798</v>
      </c>
      <c r="AN1110" s="974">
        <v>109000</v>
      </c>
    </row>
    <row r="1111" spans="1:40">
      <c r="A1111" s="966">
        <v>1104</v>
      </c>
      <c r="B1111" s="967">
        <v>43797</v>
      </c>
      <c r="C1111" s="966">
        <v>109000</v>
      </c>
      <c r="D1111" s="966">
        <v>1.1119999999999999E-3</v>
      </c>
      <c r="E1111" s="966">
        <v>0</v>
      </c>
      <c r="F1111" s="966">
        <v>54597.16</v>
      </c>
      <c r="G1111" s="966">
        <v>48253.203677999998</v>
      </c>
      <c r="H1111" s="966">
        <v>8334.43</v>
      </c>
      <c r="I1111" s="966">
        <v>13.08</v>
      </c>
      <c r="Q1111" s="967">
        <v>43797</v>
      </c>
      <c r="R1111" s="966">
        <v>109000</v>
      </c>
      <c r="T1111" s="969">
        <v>1.1119999999999999E-3</v>
      </c>
      <c r="U1111" s="966">
        <v>8334.43</v>
      </c>
      <c r="W1111" s="971" t="e">
        <f t="shared" si="20"/>
        <v>#DIV/0!</v>
      </c>
      <c r="Y1111" s="967">
        <v>43875</v>
      </c>
      <c r="Z1111" s="974">
        <f ca="1">H1061*Valuation_Senario!$L$372</f>
        <v>12681.37438345</v>
      </c>
      <c r="AA1111" s="973">
        <v>12.4</v>
      </c>
      <c r="AM1111" s="967">
        <v>43797</v>
      </c>
      <c r="AN1111" s="974">
        <v>109000</v>
      </c>
    </row>
    <row r="1112" spans="1:40">
      <c r="A1112" s="966">
        <v>1105</v>
      </c>
      <c r="B1112" s="967">
        <v>43796</v>
      </c>
      <c r="C1112" s="966">
        <v>113200</v>
      </c>
      <c r="D1112" s="966">
        <v>0</v>
      </c>
      <c r="E1112" s="966">
        <v>0</v>
      </c>
      <c r="F1112" s="966">
        <v>56456.46</v>
      </c>
      <c r="G1112" s="966">
        <v>50112.501434400001</v>
      </c>
      <c r="H1112" s="966">
        <v>8334.43</v>
      </c>
      <c r="I1112" s="966">
        <v>13.58</v>
      </c>
      <c r="Q1112" s="967">
        <v>43796</v>
      </c>
      <c r="R1112" s="966">
        <v>113200</v>
      </c>
      <c r="T1112" s="969">
        <v>0</v>
      </c>
      <c r="U1112" s="966">
        <v>8334.43</v>
      </c>
      <c r="W1112" s="971" t="e">
        <f t="shared" si="20"/>
        <v>#DIV/0!</v>
      </c>
      <c r="Y1112" s="967">
        <v>43874</v>
      </c>
      <c r="Z1112" s="974">
        <f ca="1">H1062*Valuation_Senario!$L$372</f>
        <v>12682.211403939998</v>
      </c>
      <c r="AA1112" s="973">
        <v>12.51</v>
      </c>
      <c r="AM1112" s="967">
        <v>43796</v>
      </c>
      <c r="AN1112" s="974">
        <v>113200</v>
      </c>
    </row>
    <row r="1113" spans="1:40">
      <c r="A1113" s="966">
        <v>1106</v>
      </c>
      <c r="B1113" s="967">
        <v>43795</v>
      </c>
      <c r="C1113" s="966">
        <v>113500</v>
      </c>
      <c r="D1113" s="966">
        <v>0</v>
      </c>
      <c r="E1113" s="966">
        <v>0</v>
      </c>
      <c r="F1113" s="966">
        <v>56589.27</v>
      </c>
      <c r="G1113" s="966">
        <v>50245.308417</v>
      </c>
      <c r="H1113" s="966">
        <v>8334.43</v>
      </c>
      <c r="I1113" s="966">
        <v>13.62</v>
      </c>
      <c r="Q1113" s="967">
        <v>43795</v>
      </c>
      <c r="R1113" s="966">
        <v>113500</v>
      </c>
      <c r="T1113" s="969">
        <v>0</v>
      </c>
      <c r="U1113" s="966">
        <v>8334.43</v>
      </c>
      <c r="W1113" s="971" t="e">
        <f t="shared" si="20"/>
        <v>#DIV/0!</v>
      </c>
      <c r="Y1113" s="967">
        <v>43873</v>
      </c>
      <c r="Z1113" s="974">
        <f ca="1">H1063*Valuation_Senario!$L$372</f>
        <v>12683.048424429999</v>
      </c>
      <c r="AA1113" s="973">
        <v>12.62</v>
      </c>
      <c r="AM1113" s="967">
        <v>43795</v>
      </c>
      <c r="AN1113" s="974">
        <v>113500</v>
      </c>
    </row>
    <row r="1114" spans="1:40">
      <c r="A1114" s="966">
        <v>1107</v>
      </c>
      <c r="B1114" s="967">
        <v>43794</v>
      </c>
      <c r="C1114" s="966">
        <v>112000</v>
      </c>
      <c r="D1114" s="966">
        <v>0</v>
      </c>
      <c r="E1114" s="966">
        <v>1.127E-3</v>
      </c>
      <c r="F1114" s="966">
        <v>55925.23</v>
      </c>
      <c r="G1114" s="966">
        <v>49581.273503999997</v>
      </c>
      <c r="H1114" s="966">
        <v>8334.43</v>
      </c>
      <c r="I1114" s="966">
        <v>13.44</v>
      </c>
      <c r="Q1114" s="967">
        <v>43794</v>
      </c>
      <c r="R1114" s="966">
        <v>112000</v>
      </c>
      <c r="T1114" s="969">
        <v>-1.127E-3</v>
      </c>
      <c r="U1114" s="966">
        <v>8334.43</v>
      </c>
      <c r="W1114" s="971" t="e">
        <f t="shared" si="20"/>
        <v>#DIV/0!</v>
      </c>
      <c r="Y1114" s="967">
        <v>43872</v>
      </c>
      <c r="Z1114" s="974">
        <f ca="1">H1064*Valuation_Senario!$L$372</f>
        <v>12683.885444919999</v>
      </c>
      <c r="AA1114" s="973">
        <v>12.33</v>
      </c>
      <c r="AM1114" s="967">
        <v>43794</v>
      </c>
      <c r="AN1114" s="974">
        <v>112000</v>
      </c>
    </row>
    <row r="1115" spans="1:40">
      <c r="A1115" s="966">
        <v>1108</v>
      </c>
      <c r="B1115" s="967">
        <v>43791</v>
      </c>
      <c r="C1115" s="966">
        <v>112000</v>
      </c>
      <c r="D1115" s="966">
        <v>0</v>
      </c>
      <c r="E1115" s="966">
        <v>0</v>
      </c>
      <c r="F1115" s="966">
        <v>55925.23</v>
      </c>
      <c r="G1115" s="966">
        <v>49581.273503999997</v>
      </c>
      <c r="H1115" s="966">
        <v>8334.43</v>
      </c>
      <c r="I1115" s="966">
        <v>13.44</v>
      </c>
      <c r="Q1115" s="967">
        <v>43791</v>
      </c>
      <c r="R1115" s="966">
        <v>112000</v>
      </c>
      <c r="T1115" s="969">
        <v>0</v>
      </c>
      <c r="U1115" s="966">
        <v>8334.43</v>
      </c>
      <c r="W1115" s="971" t="e">
        <f t="shared" si="20"/>
        <v>#DIV/0!</v>
      </c>
      <c r="Y1115" s="967">
        <v>43871</v>
      </c>
      <c r="Z1115" s="974">
        <f ca="1">H1065*Valuation_Senario!$L$372</f>
        <v>12684.722465409997</v>
      </c>
      <c r="AA1115" s="973">
        <v>12.25</v>
      </c>
      <c r="AM1115" s="967">
        <v>43791</v>
      </c>
      <c r="AN1115" s="974">
        <v>112000</v>
      </c>
    </row>
    <row r="1116" spans="1:40">
      <c r="A1116" s="966">
        <v>1109</v>
      </c>
      <c r="B1116" s="967">
        <v>43790</v>
      </c>
      <c r="C1116" s="966">
        <v>113500</v>
      </c>
      <c r="D1116" s="966">
        <v>0</v>
      </c>
      <c r="E1116" s="966">
        <v>0</v>
      </c>
      <c r="F1116" s="966">
        <v>56589.27</v>
      </c>
      <c r="G1116" s="966">
        <v>50245.308417</v>
      </c>
      <c r="H1116" s="966">
        <v>8334.43</v>
      </c>
      <c r="I1116" s="966">
        <v>13.62</v>
      </c>
      <c r="Q1116" s="967">
        <v>43790</v>
      </c>
      <c r="R1116" s="966">
        <v>113500</v>
      </c>
      <c r="T1116" s="969">
        <v>0</v>
      </c>
      <c r="U1116" s="966">
        <v>8334.43</v>
      </c>
      <c r="W1116" s="971" t="e">
        <f t="shared" si="20"/>
        <v>#DIV/0!</v>
      </c>
      <c r="Y1116" s="967">
        <v>43868</v>
      </c>
      <c r="Z1116" s="974">
        <f ca="1">H1066*Valuation_Senario!$L$372</f>
        <v>12687.21884231</v>
      </c>
      <c r="AA1116" s="973">
        <v>12.58</v>
      </c>
      <c r="AM1116" s="967">
        <v>43790</v>
      </c>
      <c r="AN1116" s="974">
        <v>113500</v>
      </c>
    </row>
    <row r="1117" spans="1:40">
      <c r="A1117" s="966">
        <v>1110</v>
      </c>
      <c r="B1117" s="967">
        <v>43789</v>
      </c>
      <c r="C1117" s="966">
        <v>117100</v>
      </c>
      <c r="D1117" s="966">
        <v>0</v>
      </c>
      <c r="E1117" s="966">
        <v>0</v>
      </c>
      <c r="F1117" s="966">
        <v>58182.95</v>
      </c>
      <c r="G1117" s="966">
        <v>51838.992208199998</v>
      </c>
      <c r="H1117" s="966">
        <v>8334.43</v>
      </c>
      <c r="I1117" s="966">
        <v>14.05</v>
      </c>
      <c r="Q1117" s="967">
        <v>43789</v>
      </c>
      <c r="R1117" s="966">
        <v>117100</v>
      </c>
      <c r="T1117" s="969">
        <v>0</v>
      </c>
      <c r="U1117" s="966">
        <v>8334.43</v>
      </c>
      <c r="W1117" s="971" t="e">
        <f t="shared" si="20"/>
        <v>#DIV/0!</v>
      </c>
      <c r="Y1117" s="967">
        <v>43867</v>
      </c>
      <c r="Z1117" s="974">
        <f ca="1">H1067*Valuation_Senario!$L$372</f>
        <v>12688.055862799998</v>
      </c>
      <c r="AA1117" s="973">
        <v>12.67</v>
      </c>
      <c r="AM1117" s="967">
        <v>43789</v>
      </c>
      <c r="AN1117" s="974">
        <v>117100</v>
      </c>
    </row>
    <row r="1118" spans="1:40">
      <c r="A1118" s="966">
        <v>1111</v>
      </c>
      <c r="B1118" s="967">
        <v>43788</v>
      </c>
      <c r="C1118" s="966">
        <v>119000</v>
      </c>
      <c r="D1118" s="966">
        <v>0</v>
      </c>
      <c r="E1118" s="966">
        <v>0</v>
      </c>
      <c r="F1118" s="966">
        <v>59024.06</v>
      </c>
      <c r="G1118" s="966">
        <v>52680.103098</v>
      </c>
      <c r="H1118" s="966">
        <v>8334.43</v>
      </c>
      <c r="I1118" s="966">
        <v>14.28</v>
      </c>
      <c r="Q1118" s="967">
        <v>43788</v>
      </c>
      <c r="R1118" s="966">
        <v>119000</v>
      </c>
      <c r="T1118" s="969">
        <v>0</v>
      </c>
      <c r="U1118" s="966">
        <v>8334.43</v>
      </c>
      <c r="W1118" s="971" t="e">
        <f t="shared" si="20"/>
        <v>#DIV/0!</v>
      </c>
      <c r="Y1118" s="967">
        <v>43866</v>
      </c>
      <c r="Z1118" s="974">
        <f ca="1">H1068*Valuation_Senario!$L$372</f>
        <v>12688.892883289998</v>
      </c>
      <c r="AA1118" s="973">
        <v>12.5</v>
      </c>
      <c r="AM1118" s="967">
        <v>43788</v>
      </c>
      <c r="AN1118" s="974">
        <v>119000</v>
      </c>
    </row>
    <row r="1119" spans="1:40">
      <c r="A1119" s="966">
        <v>1112</v>
      </c>
      <c r="B1119" s="967">
        <v>43787</v>
      </c>
      <c r="C1119" s="966">
        <v>117800</v>
      </c>
      <c r="D1119" s="966">
        <v>0</v>
      </c>
      <c r="E1119" s="966">
        <v>0</v>
      </c>
      <c r="F1119" s="966">
        <v>58492.83</v>
      </c>
      <c r="G1119" s="966">
        <v>52148.875167600003</v>
      </c>
      <c r="H1119" s="966">
        <v>8334.43</v>
      </c>
      <c r="I1119" s="966">
        <v>14.13</v>
      </c>
      <c r="Q1119" s="967">
        <v>43787</v>
      </c>
      <c r="R1119" s="966">
        <v>117800</v>
      </c>
      <c r="T1119" s="969">
        <v>0</v>
      </c>
      <c r="U1119" s="966">
        <v>8334.43</v>
      </c>
      <c r="W1119" s="971" t="e">
        <f t="shared" si="20"/>
        <v>#DIV/0!</v>
      </c>
      <c r="Y1119" s="967">
        <v>43865</v>
      </c>
      <c r="Z1119" s="974">
        <f ca="1">H1069*Valuation_Senario!$L$372</f>
        <v>12689.72990378</v>
      </c>
      <c r="AA1119" s="973">
        <v>12.49</v>
      </c>
      <c r="AM1119" s="967">
        <v>43787</v>
      </c>
      <c r="AN1119" s="974">
        <v>117800</v>
      </c>
    </row>
    <row r="1120" spans="1:40">
      <c r="A1120" s="966">
        <v>1113</v>
      </c>
      <c r="B1120" s="967">
        <v>43784</v>
      </c>
      <c r="C1120" s="966">
        <v>118500</v>
      </c>
      <c r="D1120" s="966">
        <v>0</v>
      </c>
      <c r="E1120" s="966">
        <v>0</v>
      </c>
      <c r="F1120" s="966">
        <v>58802.720000000001</v>
      </c>
      <c r="G1120" s="966">
        <v>52458.758127000001</v>
      </c>
      <c r="H1120" s="966">
        <v>8334.43</v>
      </c>
      <c r="I1120" s="966">
        <v>14.22</v>
      </c>
      <c r="Q1120" s="967">
        <v>43784</v>
      </c>
      <c r="R1120" s="966">
        <v>118500</v>
      </c>
      <c r="T1120" s="969">
        <v>0</v>
      </c>
      <c r="U1120" s="966">
        <v>8334.43</v>
      </c>
      <c r="W1120" s="971" t="e">
        <f t="shared" si="20"/>
        <v>#DIV/0!</v>
      </c>
      <c r="Y1120" s="967">
        <v>43864</v>
      </c>
      <c r="Z1120" s="974">
        <f ca="1">H1070*Valuation_Senario!$L$372</f>
        <v>12690.566924270001</v>
      </c>
      <c r="AA1120" s="973">
        <v>12.59</v>
      </c>
      <c r="AM1120" s="967">
        <v>43784</v>
      </c>
      <c r="AN1120" s="974">
        <v>118500</v>
      </c>
    </row>
    <row r="1121" spans="1:40">
      <c r="A1121" s="966">
        <v>1114</v>
      </c>
      <c r="B1121" s="967">
        <v>43783</v>
      </c>
      <c r="C1121" s="966">
        <v>116800</v>
      </c>
      <c r="D1121" s="966">
        <v>0</v>
      </c>
      <c r="E1121" s="966">
        <v>0</v>
      </c>
      <c r="F1121" s="966">
        <v>58055.53</v>
      </c>
      <c r="G1121" s="966">
        <v>51711.569004800003</v>
      </c>
      <c r="H1121" s="966">
        <v>8333.56</v>
      </c>
      <c r="I1121" s="966">
        <v>14.02</v>
      </c>
      <c r="Q1121" s="967">
        <v>43783</v>
      </c>
      <c r="R1121" s="966">
        <v>116800</v>
      </c>
      <c r="T1121" s="969">
        <v>0</v>
      </c>
      <c r="U1121" s="966">
        <v>8333.56</v>
      </c>
      <c r="W1121" s="971" t="e">
        <f t="shared" si="20"/>
        <v>#DIV/0!</v>
      </c>
      <c r="Y1121" s="967">
        <v>43861</v>
      </c>
      <c r="Z1121" s="974">
        <f ca="1">H1071*Valuation_Senario!$L$372</f>
        <v>12693.077985739999</v>
      </c>
      <c r="AA1121" s="973">
        <v>12.82</v>
      </c>
      <c r="AM1121" s="967">
        <v>43783</v>
      </c>
      <c r="AN1121" s="974">
        <v>116800</v>
      </c>
    </row>
    <row r="1122" spans="1:40">
      <c r="A1122" s="966">
        <v>1115</v>
      </c>
      <c r="B1122" s="967">
        <v>43782</v>
      </c>
      <c r="C1122" s="966">
        <v>119900</v>
      </c>
      <c r="D1122" s="966">
        <v>0</v>
      </c>
      <c r="E1122" s="966">
        <v>0</v>
      </c>
      <c r="F1122" s="966">
        <v>59428.01</v>
      </c>
      <c r="G1122" s="966">
        <v>53084.050716400001</v>
      </c>
      <c r="H1122" s="966">
        <v>8333.56</v>
      </c>
      <c r="I1122" s="966">
        <v>14.39</v>
      </c>
      <c r="Q1122" s="967">
        <v>43782</v>
      </c>
      <c r="R1122" s="966">
        <v>119900</v>
      </c>
      <c r="T1122" s="969">
        <v>0</v>
      </c>
      <c r="U1122" s="966">
        <v>8333.56</v>
      </c>
      <c r="W1122" s="971" t="e">
        <f t="shared" si="20"/>
        <v>#DIV/0!</v>
      </c>
      <c r="Y1122" s="967">
        <v>43860</v>
      </c>
      <c r="Z1122" s="974">
        <f ca="1">H1072*Valuation_Senario!$L$372</f>
        <v>12693.915006229998</v>
      </c>
      <c r="AA1122" s="973">
        <v>13.19</v>
      </c>
      <c r="AM1122" s="967">
        <v>43782</v>
      </c>
      <c r="AN1122" s="974">
        <v>119900</v>
      </c>
    </row>
    <row r="1123" spans="1:40">
      <c r="A1123" s="966">
        <v>1116</v>
      </c>
      <c r="B1123" s="967">
        <v>43781</v>
      </c>
      <c r="C1123" s="966">
        <v>122300</v>
      </c>
      <c r="D1123" s="966">
        <v>0</v>
      </c>
      <c r="E1123" s="966">
        <v>0</v>
      </c>
      <c r="F1123" s="966">
        <v>60490.58</v>
      </c>
      <c r="G1123" s="966">
        <v>54146.6172028</v>
      </c>
      <c r="H1123" s="966">
        <v>8333.56</v>
      </c>
      <c r="I1123" s="966">
        <v>14.68</v>
      </c>
      <c r="Q1123" s="967">
        <v>43781</v>
      </c>
      <c r="R1123" s="966">
        <v>122300</v>
      </c>
      <c r="T1123" s="969">
        <v>0</v>
      </c>
      <c r="U1123" s="966">
        <v>8333.56</v>
      </c>
      <c r="W1123" s="971" t="e">
        <f t="shared" si="20"/>
        <v>#DIV/0!</v>
      </c>
      <c r="Y1123" s="967">
        <v>43852</v>
      </c>
      <c r="Z1123" s="974">
        <f ca="1">H1073*Valuation_Senario!$L$372</f>
        <v>12225.756230059998</v>
      </c>
      <c r="AA1123" s="973">
        <v>14.32</v>
      </c>
      <c r="AM1123" s="967">
        <v>43781</v>
      </c>
      <c r="AN1123" s="974">
        <v>122300</v>
      </c>
    </row>
    <row r="1124" spans="1:40">
      <c r="A1124" s="966">
        <v>1117</v>
      </c>
      <c r="B1124" s="967">
        <v>43780</v>
      </c>
      <c r="C1124" s="966">
        <v>121900</v>
      </c>
      <c r="D1124" s="966">
        <v>0</v>
      </c>
      <c r="E1124" s="966">
        <v>0</v>
      </c>
      <c r="F1124" s="966">
        <v>60313.48</v>
      </c>
      <c r="G1124" s="966">
        <v>53969.522788399998</v>
      </c>
      <c r="H1124" s="966">
        <v>8333.56</v>
      </c>
      <c r="I1124" s="966">
        <v>14.63</v>
      </c>
      <c r="Q1124" s="967">
        <v>43780</v>
      </c>
      <c r="R1124" s="966">
        <v>121900</v>
      </c>
      <c r="T1124" s="969">
        <v>0</v>
      </c>
      <c r="U1124" s="966">
        <v>8333.56</v>
      </c>
      <c r="W1124" s="971" t="e">
        <f t="shared" si="20"/>
        <v>#DIV/0!</v>
      </c>
      <c r="Y1124" s="967">
        <v>43851</v>
      </c>
      <c r="Z1124" s="974">
        <f ca="1">H1074*Valuation_Senario!$L$372</f>
        <v>12226.578565979999</v>
      </c>
      <c r="AA1124" s="973">
        <v>14.41</v>
      </c>
      <c r="AM1124" s="967">
        <v>43780</v>
      </c>
      <c r="AN1124" s="974">
        <v>121900</v>
      </c>
    </row>
    <row r="1125" spans="1:40">
      <c r="A1125" s="966">
        <v>1118</v>
      </c>
      <c r="B1125" s="967">
        <v>43777</v>
      </c>
      <c r="C1125" s="966">
        <v>124600</v>
      </c>
      <c r="D1125" s="966">
        <v>0</v>
      </c>
      <c r="E1125" s="966">
        <v>0</v>
      </c>
      <c r="F1125" s="966">
        <v>61508.87</v>
      </c>
      <c r="G1125" s="966">
        <v>55164.9100856</v>
      </c>
      <c r="H1125" s="966">
        <v>8333.56</v>
      </c>
      <c r="I1125" s="966">
        <v>14.95</v>
      </c>
      <c r="Q1125" s="967">
        <v>43777</v>
      </c>
      <c r="R1125" s="966">
        <v>124600</v>
      </c>
      <c r="T1125" s="969">
        <v>0</v>
      </c>
      <c r="U1125" s="966">
        <v>8333.56</v>
      </c>
      <c r="W1125" s="971" t="e">
        <f t="shared" si="20"/>
        <v>#DIV/0!</v>
      </c>
      <c r="Y1125" s="967">
        <v>43850</v>
      </c>
      <c r="Z1125" s="974">
        <f ca="1">H1075*Valuation_Senario!$L$372</f>
        <v>12227.38621733</v>
      </c>
      <c r="AA1125" s="973">
        <v>14.24</v>
      </c>
      <c r="AM1125" s="967">
        <v>43777</v>
      </c>
      <c r="AN1125" s="974">
        <v>124600</v>
      </c>
    </row>
    <row r="1126" spans="1:40">
      <c r="A1126" s="966">
        <v>1119</v>
      </c>
      <c r="B1126" s="967">
        <v>43776</v>
      </c>
      <c r="C1126" s="966">
        <v>125300</v>
      </c>
      <c r="D1126" s="966">
        <v>0</v>
      </c>
      <c r="E1126" s="966">
        <v>0</v>
      </c>
      <c r="F1126" s="966">
        <v>61818.78</v>
      </c>
      <c r="G1126" s="966">
        <v>55474.825310799999</v>
      </c>
      <c r="H1126" s="966">
        <v>8333.56</v>
      </c>
      <c r="I1126" s="966">
        <v>15.04</v>
      </c>
      <c r="Q1126" s="967">
        <v>43776</v>
      </c>
      <c r="R1126" s="966">
        <v>125300</v>
      </c>
      <c r="T1126" s="969">
        <v>0</v>
      </c>
      <c r="U1126" s="966">
        <v>8333.56</v>
      </c>
      <c r="W1126" s="971" t="e">
        <f t="shared" si="20"/>
        <v>#DIV/0!</v>
      </c>
      <c r="Y1126" s="967">
        <v>43847</v>
      </c>
      <c r="Z1126" s="974">
        <f ca="1">H1076*Valuation_Senario!$L$372</f>
        <v>12229.823855950001</v>
      </c>
      <c r="AA1126" s="973">
        <v>13.94</v>
      </c>
      <c r="AM1126" s="967">
        <v>43776</v>
      </c>
      <c r="AN1126" s="974">
        <v>125300</v>
      </c>
    </row>
    <row r="1127" spans="1:40">
      <c r="A1127" s="966">
        <v>1120</v>
      </c>
      <c r="B1127" s="967">
        <v>43775</v>
      </c>
      <c r="C1127" s="966">
        <v>124600</v>
      </c>
      <c r="D1127" s="966">
        <v>1.256E-3</v>
      </c>
      <c r="E1127" s="966">
        <v>0</v>
      </c>
      <c r="F1127" s="966">
        <v>61508.87</v>
      </c>
      <c r="G1127" s="966">
        <v>55164.9100856</v>
      </c>
      <c r="H1127" s="966">
        <v>8333.56</v>
      </c>
      <c r="I1127" s="966">
        <v>14.95</v>
      </c>
      <c r="Q1127" s="967">
        <v>43775</v>
      </c>
      <c r="R1127" s="966">
        <v>124600</v>
      </c>
      <c r="T1127" s="969">
        <v>1.256E-3</v>
      </c>
      <c r="U1127" s="966">
        <v>8333.56</v>
      </c>
      <c r="W1127" s="971" t="e">
        <f t="shared" si="20"/>
        <v>#DIV/0!</v>
      </c>
      <c r="Y1127" s="967">
        <v>43846</v>
      </c>
      <c r="Z1127" s="974">
        <f ca="1">H1077*Valuation_Senario!$L$372</f>
        <v>12230.631507299999</v>
      </c>
      <c r="AA1127" s="973">
        <v>13.86</v>
      </c>
      <c r="AM1127" s="967">
        <v>43775</v>
      </c>
      <c r="AN1127" s="974">
        <v>124600</v>
      </c>
    </row>
    <row r="1128" spans="1:40">
      <c r="A1128" s="966">
        <v>1121</v>
      </c>
      <c r="B1128" s="967">
        <v>43774</v>
      </c>
      <c r="C1128" s="966">
        <v>125600</v>
      </c>
      <c r="D1128" s="966">
        <v>0</v>
      </c>
      <c r="E1128" s="966">
        <v>0</v>
      </c>
      <c r="F1128" s="966">
        <v>61951.6</v>
      </c>
      <c r="G1128" s="966">
        <v>55607.646121600003</v>
      </c>
      <c r="H1128" s="966">
        <v>8333.56</v>
      </c>
      <c r="I1128" s="966">
        <v>15.07</v>
      </c>
      <c r="Q1128" s="967">
        <v>43774</v>
      </c>
      <c r="R1128" s="966">
        <v>125600</v>
      </c>
      <c r="T1128" s="969">
        <v>0</v>
      </c>
      <c r="U1128" s="966">
        <v>8333.56</v>
      </c>
      <c r="W1128" s="971" t="e">
        <f t="shared" si="20"/>
        <v>#DIV/0!</v>
      </c>
      <c r="Y1128" s="967">
        <v>43845</v>
      </c>
      <c r="Z1128" s="974">
        <f ca="1">H1078*Valuation_Senario!$L$372</f>
        <v>12231.439158650001</v>
      </c>
      <c r="AA1128" s="973">
        <v>13.69</v>
      </c>
      <c r="AM1128" s="967">
        <v>43774</v>
      </c>
      <c r="AN1128" s="974">
        <v>125600</v>
      </c>
    </row>
    <row r="1129" spans="1:40">
      <c r="A1129" s="966">
        <v>1122</v>
      </c>
      <c r="B1129" s="967">
        <v>43773</v>
      </c>
      <c r="C1129" s="966">
        <v>126100</v>
      </c>
      <c r="D1129" s="966">
        <v>25.976600000000001</v>
      </c>
      <c r="E1129" s="966">
        <v>25.976600000000001</v>
      </c>
      <c r="F1129" s="966">
        <v>62172.97</v>
      </c>
      <c r="G1129" s="966">
        <v>55829.014139600004</v>
      </c>
      <c r="H1129" s="966">
        <v>8333.56</v>
      </c>
      <c r="I1129" s="966">
        <v>15.13</v>
      </c>
      <c r="Q1129" s="967">
        <v>43773</v>
      </c>
      <c r="R1129" s="966">
        <v>126100</v>
      </c>
      <c r="T1129" s="969">
        <v>0</v>
      </c>
      <c r="U1129" s="966">
        <v>8333.56</v>
      </c>
      <c r="W1129" s="971" t="e">
        <f t="shared" si="20"/>
        <v>#DIV/0!</v>
      </c>
      <c r="Y1129" s="967">
        <v>43844</v>
      </c>
      <c r="Z1129" s="974">
        <f ca="1">H1079*Valuation_Senario!$L$372</f>
        <v>12232.246809999999</v>
      </c>
      <c r="AA1129" s="973">
        <v>13.67</v>
      </c>
      <c r="AM1129" s="967">
        <v>43773</v>
      </c>
      <c r="AN1129" s="974">
        <v>126100</v>
      </c>
    </row>
    <row r="1130" spans="1:40">
      <c r="A1130" s="966">
        <v>1123</v>
      </c>
      <c r="B1130" s="967">
        <v>43770</v>
      </c>
      <c r="C1130" s="966">
        <v>125200</v>
      </c>
      <c r="D1130" s="966">
        <v>0</v>
      </c>
      <c r="E1130" s="966">
        <v>1.2459999999999999E-3</v>
      </c>
      <c r="F1130" s="966">
        <v>61774.51</v>
      </c>
      <c r="G1130" s="966">
        <v>55430.5517072</v>
      </c>
      <c r="H1130" s="966">
        <v>8333.56</v>
      </c>
      <c r="I1130" s="966">
        <v>15.02</v>
      </c>
      <c r="Q1130" s="967">
        <v>43770</v>
      </c>
      <c r="R1130" s="966">
        <v>125200</v>
      </c>
      <c r="T1130" s="969">
        <v>-1.2459999999999999E-3</v>
      </c>
      <c r="U1130" s="966">
        <v>8333.56</v>
      </c>
      <c r="W1130" s="971" t="e">
        <f t="shared" si="20"/>
        <v>#DIV/0!</v>
      </c>
      <c r="Y1130" s="967">
        <v>43843</v>
      </c>
      <c r="Z1130" s="974">
        <f ca="1">H1080*Valuation_Senario!$L$372</f>
        <v>12233.069145919999</v>
      </c>
      <c r="AA1130" s="973">
        <v>13.74</v>
      </c>
      <c r="AM1130" s="967">
        <v>43770</v>
      </c>
      <c r="AN1130" s="974">
        <v>125200</v>
      </c>
    </row>
    <row r="1131" spans="1:40">
      <c r="A1131" s="966">
        <v>1124</v>
      </c>
      <c r="B1131" s="967">
        <v>43769</v>
      </c>
      <c r="C1131" s="966">
        <v>124600</v>
      </c>
      <c r="D1131" s="966">
        <v>0</v>
      </c>
      <c r="E1131" s="966">
        <v>0</v>
      </c>
      <c r="F1131" s="966">
        <v>61508.87</v>
      </c>
      <c r="G1131" s="966">
        <v>55164.9100856</v>
      </c>
      <c r="H1131" s="966">
        <v>8333.56</v>
      </c>
      <c r="I1131" s="966">
        <v>14.95</v>
      </c>
      <c r="Q1131" s="967">
        <v>43769</v>
      </c>
      <c r="R1131" s="966">
        <v>124600</v>
      </c>
      <c r="T1131" s="969">
        <v>0</v>
      </c>
      <c r="U1131" s="966">
        <v>8333.56</v>
      </c>
      <c r="W1131" s="971" t="e">
        <f t="shared" si="20"/>
        <v>#DIV/0!</v>
      </c>
      <c r="Y1131" s="967">
        <v>43840</v>
      </c>
      <c r="Z1131" s="974">
        <f ca="1">H1081*Valuation_Senario!$L$372</f>
        <v>12235.506784539999</v>
      </c>
      <c r="AA1131" s="973">
        <v>13.81</v>
      </c>
      <c r="AM1131" s="967">
        <v>43769</v>
      </c>
      <c r="AN1131" s="974">
        <v>124600</v>
      </c>
    </row>
    <row r="1132" spans="1:40">
      <c r="A1132" s="966">
        <v>1125</v>
      </c>
      <c r="B1132" s="967">
        <v>43768</v>
      </c>
      <c r="C1132" s="966">
        <v>124900</v>
      </c>
      <c r="D1132" s="966">
        <v>0</v>
      </c>
      <c r="E1132" s="966">
        <v>0</v>
      </c>
      <c r="F1132" s="966">
        <v>61641.69</v>
      </c>
      <c r="G1132" s="966">
        <v>55297.730896399997</v>
      </c>
      <c r="H1132" s="966">
        <v>8333.56</v>
      </c>
      <c r="I1132" s="966">
        <v>14.99</v>
      </c>
      <c r="Q1132" s="967">
        <v>43768</v>
      </c>
      <c r="R1132" s="966">
        <v>124900</v>
      </c>
      <c r="T1132" s="969">
        <v>0</v>
      </c>
      <c r="U1132" s="966">
        <v>8333.56</v>
      </c>
      <c r="W1132" s="971" t="e">
        <f t="shared" si="20"/>
        <v>#DIV/0!</v>
      </c>
      <c r="Y1132" s="967">
        <v>43839</v>
      </c>
      <c r="Z1132" s="974">
        <f ca="1">H1082*Valuation_Senario!$L$372</f>
        <v>12236.314435889999</v>
      </c>
      <c r="AA1132" s="973">
        <v>13.74</v>
      </c>
      <c r="AM1132" s="967">
        <v>43768</v>
      </c>
      <c r="AN1132" s="974">
        <v>124900</v>
      </c>
    </row>
    <row r="1133" spans="1:40">
      <c r="A1133" s="966">
        <v>1126</v>
      </c>
      <c r="B1133" s="967">
        <v>43767</v>
      </c>
      <c r="C1133" s="966">
        <v>127000</v>
      </c>
      <c r="D1133" s="966">
        <v>0</v>
      </c>
      <c r="E1133" s="966">
        <v>0</v>
      </c>
      <c r="F1133" s="966">
        <v>63152.33</v>
      </c>
      <c r="G1133" s="966">
        <v>56227.476572</v>
      </c>
      <c r="H1133" s="966">
        <v>7919.55</v>
      </c>
      <c r="I1133" s="966">
        <v>16.04</v>
      </c>
      <c r="Q1133" s="967">
        <v>43767</v>
      </c>
      <c r="R1133" s="966">
        <v>127000</v>
      </c>
      <c r="T1133" s="969">
        <v>0</v>
      </c>
      <c r="U1133" s="966">
        <v>7919.55</v>
      </c>
      <c r="W1133" s="971" t="e">
        <f t="shared" si="20"/>
        <v>#DIV/0!</v>
      </c>
      <c r="Y1133" s="967">
        <v>43838</v>
      </c>
      <c r="Z1133" s="974">
        <f ca="1">H1083*Valuation_Senario!$L$372</f>
        <v>12237.122087239999</v>
      </c>
      <c r="AA1133" s="973">
        <v>13.54</v>
      </c>
      <c r="AM1133" s="967">
        <v>43767</v>
      </c>
      <c r="AN1133" s="974">
        <v>127000</v>
      </c>
    </row>
    <row r="1134" spans="1:40">
      <c r="A1134" s="966">
        <v>1127</v>
      </c>
      <c r="B1134" s="967">
        <v>43766</v>
      </c>
      <c r="C1134" s="966">
        <v>127600</v>
      </c>
      <c r="D1134" s="966">
        <v>0</v>
      </c>
      <c r="E1134" s="966">
        <v>0</v>
      </c>
      <c r="F1134" s="966">
        <v>63417.97</v>
      </c>
      <c r="G1134" s="966">
        <v>56493.118193599999</v>
      </c>
      <c r="H1134" s="966">
        <v>7919.55</v>
      </c>
      <c r="I1134" s="966">
        <v>16.11</v>
      </c>
      <c r="Q1134" s="967">
        <v>43766</v>
      </c>
      <c r="R1134" s="966">
        <v>127600</v>
      </c>
      <c r="T1134" s="969">
        <v>0</v>
      </c>
      <c r="U1134" s="966">
        <v>7919.55</v>
      </c>
      <c r="W1134" s="971" t="e">
        <f t="shared" si="20"/>
        <v>#DIV/0!</v>
      </c>
      <c r="Y1134" s="967">
        <v>43837</v>
      </c>
      <c r="Z1134" s="974">
        <f ca="1">H1084*Valuation_Senario!$L$372</f>
        <v>12238.752074509999</v>
      </c>
      <c r="AA1134" s="973">
        <v>13.87</v>
      </c>
      <c r="AM1134" s="967">
        <v>43766</v>
      </c>
      <c r="AN1134" s="974">
        <v>127600</v>
      </c>
    </row>
    <row r="1135" spans="1:40">
      <c r="A1135" s="966">
        <v>1128</v>
      </c>
      <c r="B1135" s="967">
        <v>43763</v>
      </c>
      <c r="C1135" s="966">
        <v>127900</v>
      </c>
      <c r="D1135" s="966">
        <v>0</v>
      </c>
      <c r="E1135" s="966">
        <v>0</v>
      </c>
      <c r="F1135" s="966">
        <v>63550.79</v>
      </c>
      <c r="G1135" s="966">
        <v>56625.939004400003</v>
      </c>
      <c r="H1135" s="966">
        <v>7919.56</v>
      </c>
      <c r="I1135" s="966">
        <v>16.149999999999999</v>
      </c>
      <c r="Q1135" s="967">
        <v>43763</v>
      </c>
      <c r="R1135" s="966">
        <v>127900</v>
      </c>
      <c r="T1135" s="969">
        <v>0</v>
      </c>
      <c r="U1135" s="966">
        <v>7919.56</v>
      </c>
      <c r="W1135" s="971" t="e">
        <f t="shared" si="20"/>
        <v>#DIV/0!</v>
      </c>
      <c r="Y1135" s="967">
        <v>43836</v>
      </c>
      <c r="Z1135" s="974">
        <f ca="1">H1085*Valuation_Senario!$L$372</f>
        <v>12238.752074509999</v>
      </c>
      <c r="AA1135" s="973">
        <v>13.76</v>
      </c>
      <c r="AM1135" s="967">
        <v>43763</v>
      </c>
      <c r="AN1135" s="974">
        <v>127900</v>
      </c>
    </row>
    <row r="1136" spans="1:40">
      <c r="A1136" s="966">
        <v>1129</v>
      </c>
      <c r="B1136" s="967">
        <v>43762</v>
      </c>
      <c r="C1136" s="966">
        <v>127500</v>
      </c>
      <c r="D1136" s="966">
        <v>0</v>
      </c>
      <c r="E1136" s="966">
        <v>0</v>
      </c>
      <c r="F1136" s="966">
        <v>63373.7</v>
      </c>
      <c r="G1136" s="966">
        <v>56448.844590000001</v>
      </c>
      <c r="H1136" s="966">
        <v>7919.56</v>
      </c>
      <c r="I1136" s="966">
        <v>16.100000000000001</v>
      </c>
      <c r="Q1136" s="967">
        <v>43762</v>
      </c>
      <c r="R1136" s="966">
        <v>127500</v>
      </c>
      <c r="T1136" s="969">
        <v>0</v>
      </c>
      <c r="U1136" s="966">
        <v>7919.56</v>
      </c>
      <c r="W1136" s="971" t="e">
        <f t="shared" si="20"/>
        <v>#DIV/0!</v>
      </c>
      <c r="Y1136" s="967">
        <v>43833</v>
      </c>
      <c r="Z1136" s="974">
        <f ca="1">H1086*Valuation_Senario!$L$372</f>
        <v>12238.752074509999</v>
      </c>
      <c r="AA1136" s="973">
        <v>13.83</v>
      </c>
      <c r="AM1136" s="967">
        <v>43762</v>
      </c>
      <c r="AN1136" s="974">
        <v>127500</v>
      </c>
    </row>
    <row r="1137" spans="1:40">
      <c r="A1137" s="966">
        <v>1130</v>
      </c>
      <c r="B1137" s="967">
        <v>43761</v>
      </c>
      <c r="C1137" s="966">
        <v>123200</v>
      </c>
      <c r="D1137" s="966">
        <v>0</v>
      </c>
      <c r="E1137" s="966">
        <v>0</v>
      </c>
      <c r="F1137" s="966">
        <v>61469.93</v>
      </c>
      <c r="G1137" s="966">
        <v>54545.079635200003</v>
      </c>
      <c r="H1137" s="966">
        <v>7919.56</v>
      </c>
      <c r="I1137" s="966">
        <v>15.56</v>
      </c>
      <c r="Q1137" s="967">
        <v>43761</v>
      </c>
      <c r="R1137" s="966">
        <v>123200</v>
      </c>
      <c r="T1137" s="969">
        <v>0</v>
      </c>
      <c r="U1137" s="966">
        <v>7919.56</v>
      </c>
      <c r="W1137" s="971" t="e">
        <f t="shared" si="20"/>
        <v>#DIV/0!</v>
      </c>
      <c r="Y1137" s="967">
        <v>43832</v>
      </c>
      <c r="Z1137" s="974">
        <f ca="1">H1087*Valuation_Senario!$L$372</f>
        <v>12238.752074509999</v>
      </c>
      <c r="AA1137" s="973">
        <v>14.04</v>
      </c>
      <c r="AM1137" s="967">
        <v>43761</v>
      </c>
      <c r="AN1137" s="974">
        <v>123200</v>
      </c>
    </row>
    <row r="1138" spans="1:40">
      <c r="A1138" s="966">
        <v>1131</v>
      </c>
      <c r="B1138" s="967">
        <v>43760</v>
      </c>
      <c r="C1138" s="966">
        <v>123100</v>
      </c>
      <c r="D1138" s="966">
        <v>0</v>
      </c>
      <c r="E1138" s="966">
        <v>0</v>
      </c>
      <c r="F1138" s="966">
        <v>61425.66</v>
      </c>
      <c r="G1138" s="966">
        <v>54500.806031599997</v>
      </c>
      <c r="H1138" s="966">
        <v>7919.56</v>
      </c>
      <c r="I1138" s="966">
        <v>15.54</v>
      </c>
      <c r="Q1138" s="967">
        <v>43760</v>
      </c>
      <c r="R1138" s="966">
        <v>123100</v>
      </c>
      <c r="T1138" s="969">
        <v>0</v>
      </c>
      <c r="U1138" s="966">
        <v>7919.56</v>
      </c>
      <c r="W1138" s="971" t="e">
        <f t="shared" si="20"/>
        <v>#DIV/0!</v>
      </c>
      <c r="Y1138" s="967">
        <v>43830</v>
      </c>
      <c r="Z1138" s="974">
        <f ca="1">H1088*Valuation_Senario!$L$372</f>
        <v>12238.752074509999</v>
      </c>
      <c r="AA1138" s="973">
        <v>13.68</v>
      </c>
      <c r="AM1138" s="967">
        <v>43760</v>
      </c>
      <c r="AN1138" s="974">
        <v>123100</v>
      </c>
    </row>
    <row r="1139" spans="1:40">
      <c r="A1139" s="966">
        <v>1132</v>
      </c>
      <c r="B1139" s="967">
        <v>43759</v>
      </c>
      <c r="C1139" s="966">
        <v>122900</v>
      </c>
      <c r="D1139" s="966">
        <v>0</v>
      </c>
      <c r="E1139" s="966">
        <v>0</v>
      </c>
      <c r="F1139" s="966">
        <v>61337.11</v>
      </c>
      <c r="G1139" s="966">
        <v>54412.2588244</v>
      </c>
      <c r="H1139" s="966">
        <v>7919.57</v>
      </c>
      <c r="I1139" s="966">
        <v>15.52</v>
      </c>
      <c r="Q1139" s="967">
        <v>43759</v>
      </c>
      <c r="R1139" s="966">
        <v>122900</v>
      </c>
      <c r="T1139" s="969">
        <v>0</v>
      </c>
      <c r="U1139" s="966">
        <v>7919.57</v>
      </c>
      <c r="W1139" s="971" t="e">
        <f t="shared" si="20"/>
        <v>#DIV/0!</v>
      </c>
      <c r="Y1139" s="967">
        <v>43829</v>
      </c>
      <c r="Z1139" s="974">
        <f ca="1">H1089*Valuation_Senario!$L$372</f>
        <v>12238.752074509999</v>
      </c>
      <c r="AA1139" s="973">
        <v>13.68</v>
      </c>
      <c r="AM1139" s="967">
        <v>43759</v>
      </c>
      <c r="AN1139" s="974">
        <v>122900</v>
      </c>
    </row>
    <row r="1140" spans="1:40">
      <c r="A1140" s="966">
        <v>1133</v>
      </c>
      <c r="B1140" s="967">
        <v>43756</v>
      </c>
      <c r="C1140" s="966">
        <v>122900</v>
      </c>
      <c r="D1140" s="966">
        <v>6.5750000000000002</v>
      </c>
      <c r="E1140" s="966">
        <v>6.5750000000000002</v>
      </c>
      <c r="F1140" s="966">
        <v>61337.11</v>
      </c>
      <c r="G1140" s="966">
        <v>54412.2588244</v>
      </c>
      <c r="H1140" s="966">
        <v>7919.57</v>
      </c>
      <c r="I1140" s="966">
        <v>15.52</v>
      </c>
      <c r="Q1140" s="967">
        <v>43756</v>
      </c>
      <c r="R1140" s="966">
        <v>122900</v>
      </c>
      <c r="T1140" s="969">
        <v>0</v>
      </c>
      <c r="U1140" s="966">
        <v>7919.57</v>
      </c>
      <c r="W1140" s="971" t="e">
        <f t="shared" si="20"/>
        <v>#DIV/0!</v>
      </c>
      <c r="Y1140" s="967">
        <v>43826</v>
      </c>
      <c r="Z1140" s="974">
        <f ca="1">H1090*Valuation_Senario!$L$372</f>
        <v>12238.752074509999</v>
      </c>
      <c r="AA1140" s="973">
        <v>13.62</v>
      </c>
      <c r="AM1140" s="967">
        <v>43756</v>
      </c>
      <c r="AN1140" s="974">
        <v>122900</v>
      </c>
    </row>
    <row r="1141" spans="1:40">
      <c r="A1141" s="966">
        <v>1134</v>
      </c>
      <c r="B1141" s="967">
        <v>43755</v>
      </c>
      <c r="C1141" s="966">
        <v>122900</v>
      </c>
      <c r="D1141" s="966">
        <v>0</v>
      </c>
      <c r="E1141" s="966">
        <v>0</v>
      </c>
      <c r="F1141" s="966">
        <v>61337.11</v>
      </c>
      <c r="G1141" s="966">
        <v>54412.2588244</v>
      </c>
      <c r="H1141" s="966">
        <v>7919.58</v>
      </c>
      <c r="I1141" s="966">
        <v>15.52</v>
      </c>
      <c r="Q1141" s="967">
        <v>43755</v>
      </c>
      <c r="R1141" s="966">
        <v>122900</v>
      </c>
      <c r="T1141" s="969">
        <v>0</v>
      </c>
      <c r="U1141" s="966">
        <v>7919.58</v>
      </c>
      <c r="W1141" s="971" t="e">
        <f t="shared" si="20"/>
        <v>#DIV/0!</v>
      </c>
      <c r="Y1141" s="967">
        <v>43825</v>
      </c>
      <c r="Z1141" s="974">
        <f ca="1">H1091*Valuation_Senario!$L$372</f>
        <v>12238.752074509999</v>
      </c>
      <c r="AA1141" s="973">
        <v>13.59</v>
      </c>
      <c r="AM1141" s="967">
        <v>43755</v>
      </c>
      <c r="AN1141" s="974">
        <v>122900</v>
      </c>
    </row>
    <row r="1142" spans="1:40">
      <c r="A1142" s="966">
        <v>1135</v>
      </c>
      <c r="B1142" s="967">
        <v>43754</v>
      </c>
      <c r="C1142" s="966">
        <v>125100</v>
      </c>
      <c r="D1142" s="966">
        <v>0</v>
      </c>
      <c r="E1142" s="966">
        <v>0</v>
      </c>
      <c r="F1142" s="966">
        <v>62311.13</v>
      </c>
      <c r="G1142" s="966">
        <v>55386.278103600001</v>
      </c>
      <c r="H1142" s="966">
        <v>7919.58</v>
      </c>
      <c r="I1142" s="966">
        <v>15.8</v>
      </c>
      <c r="Q1142" s="967">
        <v>43754</v>
      </c>
      <c r="R1142" s="966">
        <v>125100</v>
      </c>
      <c r="T1142" s="969">
        <v>0</v>
      </c>
      <c r="U1142" s="966">
        <v>7919.58</v>
      </c>
      <c r="W1142" s="971" t="e">
        <f t="shared" si="20"/>
        <v>#DIV/0!</v>
      </c>
      <c r="Y1142" s="967">
        <v>43824</v>
      </c>
      <c r="Z1142" s="974">
        <f ca="1">H1092*Valuation_Senario!$L$372</f>
        <v>12238.752074509999</v>
      </c>
      <c r="AA1142" s="973">
        <v>13.67</v>
      </c>
      <c r="AM1142" s="967">
        <v>43754</v>
      </c>
      <c r="AN1142" s="974">
        <v>125100</v>
      </c>
    </row>
    <row r="1143" spans="1:40">
      <c r="A1143" s="966">
        <v>1136</v>
      </c>
      <c r="B1143" s="967">
        <v>43753</v>
      </c>
      <c r="C1143" s="966">
        <v>125500</v>
      </c>
      <c r="D1143" s="966">
        <v>0</v>
      </c>
      <c r="E1143" s="966">
        <v>0</v>
      </c>
      <c r="F1143" s="966">
        <v>62488.22</v>
      </c>
      <c r="G1143" s="966">
        <v>55563.372517999996</v>
      </c>
      <c r="H1143" s="966">
        <v>7919.58</v>
      </c>
      <c r="I1143" s="966">
        <v>15.85</v>
      </c>
      <c r="Q1143" s="967">
        <v>43753</v>
      </c>
      <c r="R1143" s="966">
        <v>125500</v>
      </c>
      <c r="T1143" s="969">
        <v>0</v>
      </c>
      <c r="U1143" s="966">
        <v>7919.58</v>
      </c>
      <c r="W1143" s="971" t="e">
        <f t="shared" si="20"/>
        <v>#DIV/0!</v>
      </c>
      <c r="Y1143" s="967">
        <v>43823</v>
      </c>
      <c r="Z1143" s="974">
        <f ca="1">H1093*Valuation_Senario!$L$372</f>
        <v>12238.752074509999</v>
      </c>
      <c r="AA1143" s="973">
        <v>13.35</v>
      </c>
      <c r="AM1143" s="967">
        <v>43753</v>
      </c>
      <c r="AN1143" s="974">
        <v>125500</v>
      </c>
    </row>
    <row r="1144" spans="1:40">
      <c r="A1144" s="966">
        <v>1137</v>
      </c>
      <c r="B1144" s="967">
        <v>43752</v>
      </c>
      <c r="C1144" s="966">
        <v>124700</v>
      </c>
      <c r="D1144" s="966">
        <v>0</v>
      </c>
      <c r="E1144" s="966">
        <v>0</v>
      </c>
      <c r="F1144" s="966">
        <v>62134.03</v>
      </c>
      <c r="G1144" s="966">
        <v>55209.183689199999</v>
      </c>
      <c r="H1144" s="966">
        <v>7919.58</v>
      </c>
      <c r="I1144" s="966">
        <v>15.75</v>
      </c>
      <c r="Q1144" s="967">
        <v>43752</v>
      </c>
      <c r="R1144" s="966">
        <v>124700</v>
      </c>
      <c r="T1144" s="969">
        <v>0</v>
      </c>
      <c r="U1144" s="966">
        <v>7919.58</v>
      </c>
      <c r="W1144" s="971" t="e">
        <f t="shared" si="20"/>
        <v>#DIV/0!</v>
      </c>
      <c r="Y1144" s="967">
        <v>43822</v>
      </c>
      <c r="Z1144" s="974">
        <f ca="1">H1094*Valuation_Senario!$L$372</f>
        <v>12238.752074509999</v>
      </c>
      <c r="AA1144" s="973">
        <v>13.32</v>
      </c>
      <c r="AM1144" s="967">
        <v>43752</v>
      </c>
      <c r="AN1144" s="974">
        <v>124700</v>
      </c>
    </row>
    <row r="1145" spans="1:40">
      <c r="A1145" s="966">
        <v>1138</v>
      </c>
      <c r="B1145" s="967">
        <v>43749</v>
      </c>
      <c r="C1145" s="966">
        <v>123400</v>
      </c>
      <c r="D1145" s="966">
        <v>0</v>
      </c>
      <c r="E1145" s="966">
        <v>0</v>
      </c>
      <c r="F1145" s="966">
        <v>61558.48</v>
      </c>
      <c r="G1145" s="966">
        <v>54633.626842400001</v>
      </c>
      <c r="H1145" s="966">
        <v>7919.59</v>
      </c>
      <c r="I1145" s="966">
        <v>15.58</v>
      </c>
      <c r="Q1145" s="967">
        <v>43749</v>
      </c>
      <c r="R1145" s="966">
        <v>123400</v>
      </c>
      <c r="T1145" s="969">
        <v>0</v>
      </c>
      <c r="U1145" s="966">
        <v>7919.59</v>
      </c>
      <c r="W1145" s="971" t="e">
        <f t="shared" si="20"/>
        <v>#DIV/0!</v>
      </c>
      <c r="Y1145" s="967">
        <v>43819</v>
      </c>
      <c r="Z1145" s="974">
        <f ca="1">H1095*Valuation_Senario!$L$372</f>
        <v>12238.752074509999</v>
      </c>
      <c r="AA1145" s="973">
        <v>13.28</v>
      </c>
      <c r="AM1145" s="967">
        <v>43749</v>
      </c>
      <c r="AN1145" s="974">
        <v>123400</v>
      </c>
    </row>
    <row r="1146" spans="1:40">
      <c r="A1146" s="966">
        <v>1139</v>
      </c>
      <c r="B1146" s="967">
        <v>43748</v>
      </c>
      <c r="C1146" s="966">
        <v>123600</v>
      </c>
      <c r="D1146" s="966">
        <v>0</v>
      </c>
      <c r="E1146" s="966">
        <v>0</v>
      </c>
      <c r="F1146" s="966">
        <v>61647.02</v>
      </c>
      <c r="G1146" s="966">
        <v>54722.174049599998</v>
      </c>
      <c r="H1146" s="966">
        <v>7919.59</v>
      </c>
      <c r="I1146" s="966">
        <v>15.61</v>
      </c>
      <c r="Q1146" s="967">
        <v>43748</v>
      </c>
      <c r="R1146" s="966">
        <v>123600</v>
      </c>
      <c r="T1146" s="969">
        <v>0</v>
      </c>
      <c r="U1146" s="966">
        <v>7919.59</v>
      </c>
      <c r="W1146" s="971" t="e">
        <f t="shared" si="20"/>
        <v>#DIV/0!</v>
      </c>
      <c r="Y1146" s="967">
        <v>43818</v>
      </c>
      <c r="Z1146" s="974">
        <f ca="1">H1096*Valuation_Senario!$L$372</f>
        <v>12238.752074509999</v>
      </c>
      <c r="AA1146" s="973">
        <v>13.2</v>
      </c>
      <c r="AM1146" s="967">
        <v>43748</v>
      </c>
      <c r="AN1146" s="974">
        <v>123600</v>
      </c>
    </row>
    <row r="1147" spans="1:40">
      <c r="A1147" s="966">
        <v>1140</v>
      </c>
      <c r="B1147" s="967">
        <v>43747</v>
      </c>
      <c r="C1147" s="966">
        <v>123600</v>
      </c>
      <c r="D1147" s="966">
        <v>0.27148</v>
      </c>
      <c r="E1147" s="966">
        <v>0</v>
      </c>
      <c r="F1147" s="966">
        <v>61647.02</v>
      </c>
      <c r="G1147" s="966">
        <v>54722.174049599998</v>
      </c>
      <c r="H1147" s="966">
        <v>7919.6</v>
      </c>
      <c r="I1147" s="966">
        <v>15.61</v>
      </c>
      <c r="Q1147" s="967">
        <v>43747</v>
      </c>
      <c r="R1147" s="966">
        <v>123600</v>
      </c>
      <c r="T1147" s="969">
        <v>0.27148</v>
      </c>
      <c r="U1147" s="966">
        <v>7919.6</v>
      </c>
      <c r="W1147" s="971" t="e">
        <f t="shared" si="20"/>
        <v>#DIV/0!</v>
      </c>
      <c r="Y1147" s="967">
        <v>43817</v>
      </c>
      <c r="Z1147" s="974">
        <f ca="1">H1097*Valuation_Senario!$L$372</f>
        <v>12238.752074509999</v>
      </c>
      <c r="AA1147" s="973">
        <v>13.2</v>
      </c>
      <c r="AM1147" s="967">
        <v>43747</v>
      </c>
      <c r="AN1147" s="974">
        <v>123600</v>
      </c>
    </row>
    <row r="1148" spans="1:40">
      <c r="A1148" s="966">
        <v>1141</v>
      </c>
      <c r="B1148" s="967">
        <v>43746</v>
      </c>
      <c r="C1148" s="966">
        <v>123000</v>
      </c>
      <c r="D1148" s="966">
        <v>0</v>
      </c>
      <c r="E1148" s="966">
        <v>0</v>
      </c>
      <c r="F1148" s="966">
        <v>61381.38</v>
      </c>
      <c r="G1148" s="966">
        <v>54456.532427999999</v>
      </c>
      <c r="H1148" s="966">
        <v>7919.6</v>
      </c>
      <c r="I1148" s="966">
        <v>15.53</v>
      </c>
      <c r="Q1148" s="967">
        <v>43746</v>
      </c>
      <c r="R1148" s="966">
        <v>123000</v>
      </c>
      <c r="T1148" s="969">
        <v>0</v>
      </c>
      <c r="U1148" s="966">
        <v>7919.6</v>
      </c>
      <c r="W1148" s="971" t="e">
        <f t="shared" si="20"/>
        <v>#DIV/0!</v>
      </c>
      <c r="Y1148" s="967">
        <v>43816</v>
      </c>
      <c r="Z1148" s="974">
        <f ca="1">H1098*Valuation_Senario!$L$372</f>
        <v>12238.752074509999</v>
      </c>
      <c r="AA1148" s="973">
        <v>13.59</v>
      </c>
      <c r="AM1148" s="967">
        <v>43746</v>
      </c>
      <c r="AN1148" s="974">
        <v>123000</v>
      </c>
    </row>
    <row r="1149" spans="1:40">
      <c r="A1149" s="966">
        <v>1142</v>
      </c>
      <c r="B1149" s="967">
        <v>43745</v>
      </c>
      <c r="C1149" s="966">
        <v>121000</v>
      </c>
      <c r="D1149" s="966">
        <v>0</v>
      </c>
      <c r="E1149" s="966">
        <v>0</v>
      </c>
      <c r="F1149" s="966">
        <v>60495.91</v>
      </c>
      <c r="G1149" s="966">
        <v>53571.060356000002</v>
      </c>
      <c r="H1149" s="966">
        <v>7919.6</v>
      </c>
      <c r="I1149" s="966">
        <v>15.28</v>
      </c>
      <c r="Q1149" s="967">
        <v>43745</v>
      </c>
      <c r="R1149" s="966">
        <v>121000</v>
      </c>
      <c r="T1149" s="969">
        <v>0</v>
      </c>
      <c r="U1149" s="966">
        <v>7919.6</v>
      </c>
      <c r="W1149" s="971" t="e">
        <f t="shared" si="20"/>
        <v>#DIV/0!</v>
      </c>
      <c r="Y1149" s="967">
        <v>43815</v>
      </c>
      <c r="Z1149" s="974">
        <f ca="1">H1099*Valuation_Senario!$L$372</f>
        <v>12238.752074509999</v>
      </c>
      <c r="AA1149" s="973">
        <v>13.58</v>
      </c>
      <c r="AM1149" s="967">
        <v>43745</v>
      </c>
      <c r="AN1149" s="974">
        <v>121000</v>
      </c>
    </row>
    <row r="1150" spans="1:40">
      <c r="A1150" s="966">
        <v>1143</v>
      </c>
      <c r="B1150" s="967">
        <v>43742</v>
      </c>
      <c r="C1150" s="966">
        <v>123000</v>
      </c>
      <c r="D1150" s="966">
        <v>0</v>
      </c>
      <c r="E1150" s="966">
        <v>0.27376200000000001</v>
      </c>
      <c r="F1150" s="966">
        <v>61381.38</v>
      </c>
      <c r="G1150" s="966">
        <v>54456.532427999999</v>
      </c>
      <c r="H1150" s="966">
        <v>7919.61</v>
      </c>
      <c r="I1150" s="966">
        <v>15.53</v>
      </c>
      <c r="Q1150" s="967">
        <v>43742</v>
      </c>
      <c r="R1150" s="966">
        <v>123000</v>
      </c>
      <c r="T1150" s="969">
        <v>-0.27376200000000001</v>
      </c>
      <c r="U1150" s="966">
        <v>7919.61</v>
      </c>
      <c r="W1150" s="971" t="e">
        <f t="shared" si="20"/>
        <v>#DIV/0!</v>
      </c>
      <c r="Y1150" s="967">
        <v>43812</v>
      </c>
      <c r="Z1150" s="974">
        <f ca="1">H1100*Valuation_Senario!$L$372</f>
        <v>12238.752074509999</v>
      </c>
      <c r="AA1150" s="973">
        <v>13.56</v>
      </c>
      <c r="AM1150" s="967">
        <v>43742</v>
      </c>
      <c r="AN1150" s="974">
        <v>123000</v>
      </c>
    </row>
    <row r="1151" spans="1:40">
      <c r="A1151" s="966">
        <v>1144</v>
      </c>
      <c r="B1151" s="967">
        <v>43741</v>
      </c>
      <c r="C1151" s="966">
        <v>125100</v>
      </c>
      <c r="D1151" s="966">
        <v>0</v>
      </c>
      <c r="E1151" s="966">
        <v>0</v>
      </c>
      <c r="F1151" s="966">
        <v>62311.13</v>
      </c>
      <c r="G1151" s="966">
        <v>55386.278103600001</v>
      </c>
      <c r="H1151" s="966">
        <v>7919.61</v>
      </c>
      <c r="I1151" s="966">
        <v>15.8</v>
      </c>
      <c r="Q1151" s="967">
        <v>43741</v>
      </c>
      <c r="R1151" s="966">
        <v>125100</v>
      </c>
      <c r="T1151" s="969">
        <v>0</v>
      </c>
      <c r="U1151" s="966">
        <v>7919.61</v>
      </c>
      <c r="W1151" s="971" t="e">
        <f t="shared" si="20"/>
        <v>#DIV/0!</v>
      </c>
      <c r="Y1151" s="967">
        <v>43811</v>
      </c>
      <c r="Z1151" s="974">
        <f ca="1">H1101*Valuation_Senario!$L$372</f>
        <v>12238.752074509999</v>
      </c>
      <c r="AA1151" s="973">
        <v>13.61</v>
      </c>
      <c r="AM1151" s="967">
        <v>43741</v>
      </c>
      <c r="AN1151" s="974">
        <v>125100</v>
      </c>
    </row>
    <row r="1152" spans="1:40">
      <c r="A1152" s="966">
        <v>1145</v>
      </c>
      <c r="B1152" s="967">
        <v>43740</v>
      </c>
      <c r="C1152" s="966">
        <v>125200</v>
      </c>
      <c r="D1152" s="966">
        <v>9.7681120000000004</v>
      </c>
      <c r="E1152" s="966">
        <v>9.7681120000000004</v>
      </c>
      <c r="F1152" s="966">
        <v>62355.4</v>
      </c>
      <c r="G1152" s="966">
        <v>55430.5517072</v>
      </c>
      <c r="H1152" s="966">
        <v>7919.61</v>
      </c>
      <c r="I1152" s="966">
        <v>15.81</v>
      </c>
      <c r="Q1152" s="967">
        <v>43740</v>
      </c>
      <c r="R1152" s="966">
        <v>125200</v>
      </c>
      <c r="T1152" s="969">
        <v>0</v>
      </c>
      <c r="U1152" s="966">
        <v>7919.61</v>
      </c>
      <c r="W1152" s="971" t="e">
        <f t="shared" si="20"/>
        <v>#DIV/0!</v>
      </c>
      <c r="Y1152" s="967">
        <v>43810</v>
      </c>
      <c r="Z1152" s="974">
        <f ca="1">H1102*Valuation_Senario!$L$372</f>
        <v>12238.752074509999</v>
      </c>
      <c r="AA1152" s="973">
        <v>13.56</v>
      </c>
      <c r="AM1152" s="967">
        <v>43740</v>
      </c>
      <c r="AN1152" s="974">
        <v>125200</v>
      </c>
    </row>
    <row r="1153" spans="1:40">
      <c r="A1153" s="966">
        <v>1146</v>
      </c>
      <c r="B1153" s="967">
        <v>43739</v>
      </c>
      <c r="C1153" s="966">
        <v>127500</v>
      </c>
      <c r="D1153" s="966">
        <v>0</v>
      </c>
      <c r="E1153" s="966">
        <v>0</v>
      </c>
      <c r="F1153" s="966">
        <v>63373.7</v>
      </c>
      <c r="G1153" s="966">
        <v>56448.844590000001</v>
      </c>
      <c r="H1153" s="966">
        <v>7919.62</v>
      </c>
      <c r="I1153" s="966">
        <v>16.100000000000001</v>
      </c>
      <c r="Q1153" s="967">
        <v>43739</v>
      </c>
      <c r="R1153" s="966">
        <v>127500</v>
      </c>
      <c r="T1153" s="969">
        <v>0</v>
      </c>
      <c r="U1153" s="966">
        <v>7919.62</v>
      </c>
      <c r="W1153" s="971" t="e">
        <f t="shared" si="20"/>
        <v>#DIV/0!</v>
      </c>
      <c r="Y1153" s="967">
        <v>43809</v>
      </c>
      <c r="Z1153" s="974">
        <f ca="1">H1103*Valuation_Senario!$L$372</f>
        <v>12238.752074509999</v>
      </c>
      <c r="AA1153" s="973">
        <v>13.32</v>
      </c>
      <c r="AM1153" s="967">
        <v>43739</v>
      </c>
      <c r="AN1153" s="974">
        <v>127500</v>
      </c>
    </row>
    <row r="1154" spans="1:40">
      <c r="A1154" s="966">
        <v>1147</v>
      </c>
      <c r="B1154" s="967">
        <v>43738</v>
      </c>
      <c r="C1154" s="966">
        <v>126100</v>
      </c>
      <c r="D1154" s="966">
        <v>21.485907399999999</v>
      </c>
      <c r="E1154" s="966">
        <v>21.485907399999999</v>
      </c>
      <c r="F1154" s="966">
        <v>62753.86</v>
      </c>
      <c r="G1154" s="966">
        <v>55829.014139600004</v>
      </c>
      <c r="H1154" s="966">
        <v>7919.62</v>
      </c>
      <c r="I1154" s="966">
        <v>15.92</v>
      </c>
      <c r="Q1154" s="967">
        <v>43738</v>
      </c>
      <c r="R1154" s="966">
        <v>126100</v>
      </c>
      <c r="T1154" s="969">
        <v>0</v>
      </c>
      <c r="U1154" s="966">
        <v>7919.62</v>
      </c>
      <c r="W1154" s="971" t="e">
        <f t="shared" si="20"/>
        <v>#DIV/0!</v>
      </c>
      <c r="Y1154" s="967">
        <v>43808</v>
      </c>
      <c r="Z1154" s="974">
        <f ca="1">H1104*Valuation_Senario!$L$372</f>
        <v>12238.752074509999</v>
      </c>
      <c r="AA1154" s="973">
        <v>13.31</v>
      </c>
      <c r="AM1154" s="967">
        <v>43738</v>
      </c>
      <c r="AN1154" s="974">
        <v>126100</v>
      </c>
    </row>
    <row r="1155" spans="1:40">
      <c r="A1155" s="966">
        <v>1148</v>
      </c>
      <c r="B1155" s="967">
        <v>43735</v>
      </c>
      <c r="C1155" s="966">
        <v>128000</v>
      </c>
      <c r="D1155" s="966">
        <v>11.134600000000001</v>
      </c>
      <c r="E1155" s="966">
        <v>7.8319999999999999</v>
      </c>
      <c r="F1155" s="966">
        <v>63595.06</v>
      </c>
      <c r="G1155" s="966">
        <v>56670.212608000002</v>
      </c>
      <c r="H1155" s="966">
        <v>7919.63</v>
      </c>
      <c r="I1155" s="966">
        <v>16.16</v>
      </c>
      <c r="Q1155" s="967">
        <v>43735</v>
      </c>
      <c r="R1155" s="966">
        <v>128000</v>
      </c>
      <c r="T1155" s="969">
        <v>3.3026000000000009</v>
      </c>
      <c r="U1155" s="966">
        <v>7919.63</v>
      </c>
      <c r="W1155" s="971" t="e">
        <f t="shared" si="20"/>
        <v>#DIV/0!</v>
      </c>
      <c r="Y1155" s="967">
        <v>43805</v>
      </c>
      <c r="Z1155" s="974">
        <f ca="1">H1105*Valuation_Senario!$L$372</f>
        <v>12238.752074509999</v>
      </c>
      <c r="AA1155" s="973">
        <v>13.29</v>
      </c>
      <c r="AM1155" s="967">
        <v>43735</v>
      </c>
      <c r="AN1155" s="974">
        <v>128000</v>
      </c>
    </row>
    <row r="1156" spans="1:40">
      <c r="A1156" s="966">
        <v>1149</v>
      </c>
      <c r="B1156" s="967">
        <v>43734</v>
      </c>
      <c r="C1156" s="966">
        <v>126000</v>
      </c>
      <c r="D1156" s="966">
        <v>10.634008</v>
      </c>
      <c r="E1156" s="966">
        <v>10.634008</v>
      </c>
      <c r="F1156" s="966">
        <v>62709.59</v>
      </c>
      <c r="G1156" s="966">
        <v>55784.740535999998</v>
      </c>
      <c r="H1156" s="966">
        <v>7919.63</v>
      </c>
      <c r="I1156" s="966">
        <v>15.91</v>
      </c>
      <c r="Q1156" s="967">
        <v>43734</v>
      </c>
      <c r="R1156" s="966">
        <v>126000</v>
      </c>
      <c r="T1156" s="969">
        <v>0</v>
      </c>
      <c r="U1156" s="966">
        <v>7919.63</v>
      </c>
      <c r="W1156" s="971" t="e">
        <f t="shared" si="20"/>
        <v>#DIV/0!</v>
      </c>
      <c r="Y1156" s="967">
        <v>43804</v>
      </c>
      <c r="Z1156" s="974">
        <f ca="1">H1106*Valuation_Senario!$L$372</f>
        <v>12238.752074509999</v>
      </c>
      <c r="AA1156" s="973">
        <v>13.27</v>
      </c>
      <c r="AM1156" s="967">
        <v>43734</v>
      </c>
      <c r="AN1156" s="974">
        <v>126000</v>
      </c>
    </row>
    <row r="1157" spans="1:40">
      <c r="A1157" s="966">
        <v>1150</v>
      </c>
      <c r="B1157" s="967">
        <v>43733</v>
      </c>
      <c r="C1157" s="966">
        <v>125500</v>
      </c>
      <c r="D1157" s="966">
        <v>0</v>
      </c>
      <c r="E1157" s="966">
        <v>0</v>
      </c>
      <c r="F1157" s="966">
        <v>62488.22</v>
      </c>
      <c r="G1157" s="966">
        <v>55563.372517999996</v>
      </c>
      <c r="H1157" s="966">
        <v>7919.63</v>
      </c>
      <c r="I1157" s="966">
        <v>15.85</v>
      </c>
      <c r="Q1157" s="967">
        <v>43733</v>
      </c>
      <c r="R1157" s="966">
        <v>125500</v>
      </c>
      <c r="T1157" s="969">
        <v>0</v>
      </c>
      <c r="U1157" s="966">
        <v>7919.63</v>
      </c>
      <c r="W1157" s="971" t="e">
        <f t="shared" si="20"/>
        <v>#DIV/0!</v>
      </c>
      <c r="Y1157" s="967">
        <v>43803</v>
      </c>
      <c r="Z1157" s="974">
        <f ca="1">H1107*Valuation_Senario!$L$372</f>
        <v>12238.752074509999</v>
      </c>
      <c r="AA1157" s="973">
        <v>13.56</v>
      </c>
      <c r="AM1157" s="967">
        <v>43733</v>
      </c>
      <c r="AN1157" s="974">
        <v>125500</v>
      </c>
    </row>
    <row r="1158" spans="1:40">
      <c r="A1158" s="966">
        <v>1151</v>
      </c>
      <c r="B1158" s="967">
        <v>43732</v>
      </c>
      <c r="C1158" s="966">
        <v>122000</v>
      </c>
      <c r="D1158" s="966">
        <v>0</v>
      </c>
      <c r="E1158" s="966">
        <v>0</v>
      </c>
      <c r="F1158" s="966">
        <v>60938.65</v>
      </c>
      <c r="G1158" s="966">
        <v>54013.796391999997</v>
      </c>
      <c r="H1158" s="966">
        <v>7919.63</v>
      </c>
      <c r="I1158" s="966">
        <v>15.4</v>
      </c>
      <c r="Q1158" s="967">
        <v>43732</v>
      </c>
      <c r="R1158" s="966">
        <v>122000</v>
      </c>
      <c r="T1158" s="969">
        <v>0</v>
      </c>
      <c r="U1158" s="966">
        <v>7919.63</v>
      </c>
      <c r="W1158" s="971" t="e">
        <f t="shared" si="20"/>
        <v>#DIV/0!</v>
      </c>
      <c r="Y1158" s="967">
        <v>43802</v>
      </c>
      <c r="Z1158" s="974">
        <f ca="1">H1108*Valuation_Senario!$L$372</f>
        <v>12238.752074509999</v>
      </c>
      <c r="AA1158" s="973">
        <v>13.1</v>
      </c>
      <c r="AM1158" s="967">
        <v>43732</v>
      </c>
      <c r="AN1158" s="974">
        <v>122000</v>
      </c>
    </row>
    <row r="1159" spans="1:40">
      <c r="A1159" s="966">
        <v>1152</v>
      </c>
      <c r="B1159" s="967">
        <v>43731</v>
      </c>
      <c r="C1159" s="966">
        <v>124000</v>
      </c>
      <c r="D1159" s="966">
        <v>300.41286000000002</v>
      </c>
      <c r="E1159" s="966">
        <v>300.41286000000002</v>
      </c>
      <c r="F1159" s="966">
        <v>61647.02</v>
      </c>
      <c r="G1159" s="966">
        <v>54722.174049599998</v>
      </c>
      <c r="H1159" s="966">
        <v>7919.64</v>
      </c>
      <c r="I1159" s="966">
        <v>15.61</v>
      </c>
      <c r="Q1159" s="967">
        <v>43731</v>
      </c>
      <c r="R1159" s="966">
        <v>124000</v>
      </c>
      <c r="T1159" s="969">
        <v>0</v>
      </c>
      <c r="U1159" s="966">
        <v>7919.64</v>
      </c>
      <c r="W1159" s="971" t="e">
        <f t="shared" si="20"/>
        <v>#DIV/0!</v>
      </c>
      <c r="Y1159" s="967">
        <v>43801</v>
      </c>
      <c r="Z1159" s="974">
        <f ca="1">H1109*Valuation_Senario!$L$372</f>
        <v>12238.752074509999</v>
      </c>
      <c r="AA1159" s="973">
        <v>13.01</v>
      </c>
      <c r="AM1159" s="967">
        <v>43731</v>
      </c>
      <c r="AN1159" s="974">
        <v>124000</v>
      </c>
    </row>
    <row r="1160" spans="1:40">
      <c r="A1160" s="966">
        <v>1153</v>
      </c>
      <c r="B1160" s="967">
        <v>43728</v>
      </c>
      <c r="C1160" s="966">
        <v>126500</v>
      </c>
      <c r="D1160" s="966">
        <v>7.1408870000000002</v>
      </c>
      <c r="E1160" s="966">
        <v>7.1408870000000002</v>
      </c>
      <c r="F1160" s="966">
        <v>62930.96</v>
      </c>
      <c r="G1160" s="966">
        <v>56006.108553999999</v>
      </c>
      <c r="H1160" s="966">
        <v>7919.64</v>
      </c>
      <c r="I1160" s="966">
        <v>15.97</v>
      </c>
      <c r="Q1160" s="967">
        <v>43728</v>
      </c>
      <c r="R1160" s="966">
        <v>126500</v>
      </c>
      <c r="T1160" s="969">
        <v>0</v>
      </c>
      <c r="U1160" s="966">
        <v>7919.64</v>
      </c>
      <c r="W1160" s="971" t="e">
        <f t="shared" si="20"/>
        <v>#DIV/0!</v>
      </c>
      <c r="Y1160" s="967">
        <v>43798</v>
      </c>
      <c r="Z1160" s="974">
        <f ca="1">H1110*Valuation_Senario!$L$372</f>
        <v>12238.752074509999</v>
      </c>
      <c r="AA1160" s="973">
        <v>13.08</v>
      </c>
      <c r="AM1160" s="967">
        <v>43728</v>
      </c>
      <c r="AN1160" s="974">
        <v>126500</v>
      </c>
    </row>
    <row r="1161" spans="1:40">
      <c r="A1161" s="966">
        <v>1154</v>
      </c>
      <c r="B1161" s="967">
        <v>43727</v>
      </c>
      <c r="C1161" s="966">
        <v>125200</v>
      </c>
      <c r="D1161" s="966">
        <v>0</v>
      </c>
      <c r="E1161" s="966">
        <v>0</v>
      </c>
      <c r="F1161" s="966">
        <v>62355.4</v>
      </c>
      <c r="G1161" s="966">
        <v>55430.5517072</v>
      </c>
      <c r="H1161" s="966">
        <v>7919.65</v>
      </c>
      <c r="I1161" s="966">
        <v>15.81</v>
      </c>
      <c r="Q1161" s="967">
        <v>43727</v>
      </c>
      <c r="R1161" s="966">
        <v>125200</v>
      </c>
      <c r="T1161" s="969">
        <v>0</v>
      </c>
      <c r="U1161" s="966">
        <v>7919.65</v>
      </c>
      <c r="W1161" s="971" t="e">
        <f t="shared" ref="W1161:W1224" si="21">T1161/V1161</f>
        <v>#DIV/0!</v>
      </c>
      <c r="Y1161" s="967">
        <v>43797</v>
      </c>
      <c r="Z1161" s="974">
        <f ca="1">H1111*Valuation_Senario!$L$372</f>
        <v>12238.752074509999</v>
      </c>
      <c r="AA1161" s="973">
        <v>13.08</v>
      </c>
      <c r="AM1161" s="967">
        <v>43727</v>
      </c>
      <c r="AN1161" s="974">
        <v>125200</v>
      </c>
    </row>
    <row r="1162" spans="1:40">
      <c r="A1162" s="966">
        <v>1155</v>
      </c>
      <c r="B1162" s="967">
        <v>43726</v>
      </c>
      <c r="C1162" s="966">
        <v>122000</v>
      </c>
      <c r="D1162" s="966">
        <v>197.10820200000001</v>
      </c>
      <c r="E1162" s="966">
        <v>197.10820200000001</v>
      </c>
      <c r="F1162" s="966">
        <v>60938.65</v>
      </c>
      <c r="G1162" s="966">
        <v>54013.796391999997</v>
      </c>
      <c r="H1162" s="966">
        <v>7919.65</v>
      </c>
      <c r="I1162" s="966">
        <v>15.4</v>
      </c>
      <c r="Q1162" s="967">
        <v>43726</v>
      </c>
      <c r="R1162" s="966">
        <v>122000</v>
      </c>
      <c r="T1162" s="969">
        <v>0</v>
      </c>
      <c r="U1162" s="966">
        <v>7919.65</v>
      </c>
      <c r="W1162" s="971" t="e">
        <f t="shared" si="21"/>
        <v>#DIV/0!</v>
      </c>
      <c r="Y1162" s="967">
        <v>43796</v>
      </c>
      <c r="Z1162" s="974">
        <f ca="1">H1112*Valuation_Senario!$L$372</f>
        <v>12238.752074509999</v>
      </c>
      <c r="AA1162" s="973">
        <v>13.58</v>
      </c>
      <c r="AM1162" s="967">
        <v>43726</v>
      </c>
      <c r="AN1162" s="974">
        <v>122000</v>
      </c>
    </row>
    <row r="1163" spans="1:40">
      <c r="A1163" s="966">
        <v>1156</v>
      </c>
      <c r="B1163" s="967">
        <v>43725</v>
      </c>
      <c r="C1163" s="966">
        <v>123400</v>
      </c>
      <c r="D1163" s="966">
        <v>63.430429199999999</v>
      </c>
      <c r="E1163" s="966">
        <v>63.430429199999999</v>
      </c>
      <c r="F1163" s="966">
        <v>61552.31</v>
      </c>
      <c r="G1163" s="966">
        <v>54627.456842400003</v>
      </c>
      <c r="H1163" s="966">
        <v>7919.65</v>
      </c>
      <c r="I1163" s="966">
        <v>15.58</v>
      </c>
      <c r="Q1163" s="967">
        <v>43725</v>
      </c>
      <c r="R1163" s="966">
        <v>123400</v>
      </c>
      <c r="T1163" s="969">
        <v>0</v>
      </c>
      <c r="U1163" s="966">
        <v>7919.65</v>
      </c>
      <c r="W1163" s="971" t="e">
        <f t="shared" si="21"/>
        <v>#DIV/0!</v>
      </c>
      <c r="Y1163" s="967">
        <v>43795</v>
      </c>
      <c r="Z1163" s="974">
        <f ca="1">H1113*Valuation_Senario!$L$372</f>
        <v>12238.752074509999</v>
      </c>
      <c r="AA1163" s="973">
        <v>13.62</v>
      </c>
      <c r="AM1163" s="967">
        <v>43725</v>
      </c>
      <c r="AN1163" s="974">
        <v>123400</v>
      </c>
    </row>
    <row r="1164" spans="1:40">
      <c r="A1164" s="966">
        <v>1157</v>
      </c>
      <c r="B1164" s="967">
        <v>43724</v>
      </c>
      <c r="C1164" s="966">
        <v>123500</v>
      </c>
      <c r="D1164" s="966">
        <v>228.81800000000001</v>
      </c>
      <c r="E1164" s="966">
        <v>228.81800000000001</v>
      </c>
      <c r="F1164" s="966">
        <v>61596.58</v>
      </c>
      <c r="G1164" s="966">
        <v>54671.725445999997</v>
      </c>
      <c r="H1164" s="966">
        <v>7919.65</v>
      </c>
      <c r="I1164" s="966">
        <v>15.59</v>
      </c>
      <c r="Q1164" s="967">
        <v>43724</v>
      </c>
      <c r="R1164" s="966">
        <v>123500</v>
      </c>
      <c r="T1164" s="969">
        <v>0</v>
      </c>
      <c r="U1164" s="966">
        <v>7919.65</v>
      </c>
      <c r="W1164" s="971" t="e">
        <f t="shared" si="21"/>
        <v>#DIV/0!</v>
      </c>
      <c r="Y1164" s="967">
        <v>43794</v>
      </c>
      <c r="Z1164" s="974">
        <f ca="1">H1114*Valuation_Senario!$L$372</f>
        <v>12238.752074509999</v>
      </c>
      <c r="AA1164" s="973">
        <v>13.44</v>
      </c>
      <c r="AM1164" s="967">
        <v>43724</v>
      </c>
      <c r="AN1164" s="974">
        <v>123500</v>
      </c>
    </row>
    <row r="1165" spans="1:40">
      <c r="A1165" s="966">
        <v>1158</v>
      </c>
      <c r="B1165" s="967">
        <v>43721</v>
      </c>
      <c r="C1165" s="966">
        <v>122400</v>
      </c>
      <c r="D1165" s="966">
        <v>0</v>
      </c>
      <c r="E1165" s="966">
        <v>0</v>
      </c>
      <c r="F1165" s="966">
        <v>61109.62</v>
      </c>
      <c r="G1165" s="966">
        <v>54184.770806400003</v>
      </c>
      <c r="H1165" s="966">
        <v>7919.65</v>
      </c>
      <c r="I1165" s="966">
        <v>15.46</v>
      </c>
      <c r="Q1165" s="967">
        <v>43721</v>
      </c>
      <c r="R1165" s="966">
        <v>122400</v>
      </c>
      <c r="T1165" s="969">
        <v>0</v>
      </c>
      <c r="U1165" s="966">
        <v>7919.65</v>
      </c>
      <c r="W1165" s="971" t="e">
        <f t="shared" si="21"/>
        <v>#DIV/0!</v>
      </c>
      <c r="Y1165" s="967">
        <v>43791</v>
      </c>
      <c r="Z1165" s="974">
        <f ca="1">H1115*Valuation_Senario!$L$372</f>
        <v>12238.752074509999</v>
      </c>
      <c r="AA1165" s="973">
        <v>13.44</v>
      </c>
      <c r="AM1165" s="967">
        <v>43721</v>
      </c>
      <c r="AN1165" s="974">
        <v>122400</v>
      </c>
    </row>
    <row r="1166" spans="1:40">
      <c r="A1166" s="966">
        <v>1159</v>
      </c>
      <c r="B1166" s="967">
        <v>43720</v>
      </c>
      <c r="C1166" s="966">
        <v>116800</v>
      </c>
      <c r="D1166" s="966">
        <v>0</v>
      </c>
      <c r="E1166" s="966">
        <v>0</v>
      </c>
      <c r="F1166" s="966">
        <v>58630.58</v>
      </c>
      <c r="G1166" s="966">
        <v>51705.7290048</v>
      </c>
      <c r="H1166" s="966">
        <v>7919.65</v>
      </c>
      <c r="I1166" s="966">
        <v>14.75</v>
      </c>
      <c r="Q1166" s="967">
        <v>43720</v>
      </c>
      <c r="R1166" s="966">
        <v>116800</v>
      </c>
      <c r="T1166" s="969">
        <v>0</v>
      </c>
      <c r="U1166" s="966">
        <v>7919.65</v>
      </c>
      <c r="W1166" s="971" t="e">
        <f t="shared" si="21"/>
        <v>#DIV/0!</v>
      </c>
      <c r="Y1166" s="967">
        <v>43790</v>
      </c>
      <c r="Z1166" s="974">
        <f ca="1">H1116*Valuation_Senario!$L$372</f>
        <v>12238.752074509999</v>
      </c>
      <c r="AA1166" s="973">
        <v>13.62</v>
      </c>
      <c r="AM1166" s="967">
        <v>43720</v>
      </c>
      <c r="AN1166" s="974">
        <v>116800</v>
      </c>
    </row>
    <row r="1167" spans="1:40">
      <c r="A1167" s="966">
        <v>1160</v>
      </c>
      <c r="B1167" s="967">
        <v>43719</v>
      </c>
      <c r="C1167" s="966">
        <v>115100</v>
      </c>
      <c r="D1167" s="966">
        <v>0</v>
      </c>
      <c r="E1167" s="966">
        <v>0</v>
      </c>
      <c r="F1167" s="966">
        <v>57878.01</v>
      </c>
      <c r="G1167" s="966">
        <v>50953.162743599998</v>
      </c>
      <c r="H1167" s="966">
        <v>7919.65</v>
      </c>
      <c r="I1167" s="966">
        <v>14.53</v>
      </c>
      <c r="Q1167" s="967">
        <v>43719</v>
      </c>
      <c r="R1167" s="966">
        <v>115100</v>
      </c>
      <c r="T1167" s="969">
        <v>0</v>
      </c>
      <c r="U1167" s="966">
        <v>7919.65</v>
      </c>
      <c r="W1167" s="971" t="e">
        <f t="shared" si="21"/>
        <v>#DIV/0!</v>
      </c>
      <c r="Y1167" s="967">
        <v>43789</v>
      </c>
      <c r="Z1167" s="974">
        <f ca="1">H1117*Valuation_Senario!$L$372</f>
        <v>12238.752074509999</v>
      </c>
      <c r="AA1167" s="973">
        <v>14.05</v>
      </c>
      <c r="AM1167" s="967">
        <v>43719</v>
      </c>
      <c r="AN1167" s="974">
        <v>115100</v>
      </c>
    </row>
    <row r="1168" spans="1:40">
      <c r="A1168" s="966">
        <v>1161</v>
      </c>
      <c r="B1168" s="967">
        <v>43718</v>
      </c>
      <c r="C1168" s="966">
        <v>114900</v>
      </c>
      <c r="D1168" s="966">
        <v>0</v>
      </c>
      <c r="E1168" s="966">
        <v>0</v>
      </c>
      <c r="F1168" s="966">
        <v>57789.48</v>
      </c>
      <c r="G1168" s="966">
        <v>50864.625536400003</v>
      </c>
      <c r="H1168" s="966">
        <v>7919.65</v>
      </c>
      <c r="I1168" s="966">
        <v>14.51</v>
      </c>
      <c r="Q1168" s="967">
        <v>43718</v>
      </c>
      <c r="R1168" s="966">
        <v>114900</v>
      </c>
      <c r="T1168" s="969">
        <v>0</v>
      </c>
      <c r="U1168" s="966">
        <v>7919.65</v>
      </c>
      <c r="W1168" s="971" t="e">
        <f t="shared" si="21"/>
        <v>#DIV/0!</v>
      </c>
      <c r="Y1168" s="967">
        <v>43788</v>
      </c>
      <c r="Z1168" s="974">
        <f ca="1">H1118*Valuation_Senario!$L$372</f>
        <v>12238.752074509999</v>
      </c>
      <c r="AA1168" s="973">
        <v>14.28</v>
      </c>
      <c r="AM1168" s="967">
        <v>43718</v>
      </c>
      <c r="AN1168" s="974">
        <v>114900</v>
      </c>
    </row>
    <row r="1169" spans="1:40">
      <c r="A1169" s="966">
        <v>1162</v>
      </c>
      <c r="B1169" s="967">
        <v>43717</v>
      </c>
      <c r="C1169" s="966">
        <v>116100</v>
      </c>
      <c r="D1169" s="966">
        <v>0</v>
      </c>
      <c r="E1169" s="966">
        <v>0</v>
      </c>
      <c r="F1169" s="966">
        <v>58320.7</v>
      </c>
      <c r="G1169" s="966">
        <v>51395.848779599997</v>
      </c>
      <c r="H1169" s="966">
        <v>7919.65</v>
      </c>
      <c r="I1169" s="966">
        <v>14.66</v>
      </c>
      <c r="Q1169" s="967">
        <v>43717</v>
      </c>
      <c r="R1169" s="966">
        <v>116100</v>
      </c>
      <c r="T1169" s="969">
        <v>0</v>
      </c>
      <c r="U1169" s="966">
        <v>7919.65</v>
      </c>
      <c r="W1169" s="971" t="e">
        <f t="shared" si="21"/>
        <v>#DIV/0!</v>
      </c>
      <c r="Y1169" s="967">
        <v>43787</v>
      </c>
      <c r="Z1169" s="974">
        <f ca="1">H1119*Valuation_Senario!$L$372</f>
        <v>12238.752074509999</v>
      </c>
      <c r="AA1169" s="973">
        <v>14.13</v>
      </c>
      <c r="AM1169" s="967">
        <v>43717</v>
      </c>
      <c r="AN1169" s="974">
        <v>116100</v>
      </c>
    </row>
    <row r="1170" spans="1:40">
      <c r="A1170" s="966">
        <v>1163</v>
      </c>
      <c r="B1170" s="967">
        <v>43714</v>
      </c>
      <c r="C1170" s="966">
        <v>117000</v>
      </c>
      <c r="D1170" s="966">
        <v>0</v>
      </c>
      <c r="E1170" s="966">
        <v>0</v>
      </c>
      <c r="F1170" s="966">
        <v>58719.12</v>
      </c>
      <c r="G1170" s="966">
        <v>51794.266212000002</v>
      </c>
      <c r="H1170" s="966">
        <v>7919.65</v>
      </c>
      <c r="I1170" s="966">
        <v>14.77</v>
      </c>
      <c r="Q1170" s="967">
        <v>43714</v>
      </c>
      <c r="R1170" s="966">
        <v>117000</v>
      </c>
      <c r="T1170" s="969">
        <v>0</v>
      </c>
      <c r="U1170" s="966">
        <v>7919.65</v>
      </c>
      <c r="W1170" s="971" t="e">
        <f t="shared" si="21"/>
        <v>#DIV/0!</v>
      </c>
      <c r="Y1170" s="967">
        <v>43784</v>
      </c>
      <c r="Z1170" s="974">
        <f ca="1">H1120*Valuation_Senario!$L$372</f>
        <v>12238.752074509999</v>
      </c>
      <c r="AA1170" s="973">
        <v>14.22</v>
      </c>
      <c r="AM1170" s="967">
        <v>43714</v>
      </c>
      <c r="AN1170" s="974">
        <v>117000</v>
      </c>
    </row>
    <row r="1171" spans="1:40">
      <c r="A1171" s="966">
        <v>1164</v>
      </c>
      <c r="B1171" s="967">
        <v>43713</v>
      </c>
      <c r="C1171" s="966">
        <v>116200</v>
      </c>
      <c r="D1171" s="966">
        <v>0</v>
      </c>
      <c r="E1171" s="966">
        <v>0</v>
      </c>
      <c r="F1171" s="966">
        <v>58364.97</v>
      </c>
      <c r="G1171" s="966">
        <v>51440.117383199999</v>
      </c>
      <c r="H1171" s="966">
        <v>7919.65</v>
      </c>
      <c r="I1171" s="966">
        <v>14.67</v>
      </c>
      <c r="Q1171" s="967">
        <v>43713</v>
      </c>
      <c r="R1171" s="966">
        <v>116200</v>
      </c>
      <c r="T1171" s="969">
        <v>0</v>
      </c>
      <c r="U1171" s="966">
        <v>7919.65</v>
      </c>
      <c r="W1171" s="971" t="e">
        <f t="shared" si="21"/>
        <v>#DIV/0!</v>
      </c>
      <c r="Y1171" s="967">
        <v>43783</v>
      </c>
      <c r="Z1171" s="974">
        <f ca="1">H1121*Valuation_Senario!$L$372</f>
        <v>12237.474516919998</v>
      </c>
      <c r="AA1171" s="973">
        <v>14.02</v>
      </c>
      <c r="AM1171" s="967">
        <v>43713</v>
      </c>
      <c r="AN1171" s="974">
        <v>116200</v>
      </c>
    </row>
    <row r="1172" spans="1:40">
      <c r="A1172" s="966">
        <v>1165</v>
      </c>
      <c r="B1172" s="967">
        <v>43712</v>
      </c>
      <c r="C1172" s="966">
        <v>117900</v>
      </c>
      <c r="D1172" s="966">
        <v>0</v>
      </c>
      <c r="E1172" s="966">
        <v>0</v>
      </c>
      <c r="F1172" s="966">
        <v>59117.53</v>
      </c>
      <c r="G1172" s="966">
        <v>52192.6836444</v>
      </c>
      <c r="H1172" s="966">
        <v>7919.65</v>
      </c>
      <c r="I1172" s="966">
        <v>14.89</v>
      </c>
      <c r="Q1172" s="967">
        <v>43712</v>
      </c>
      <c r="R1172" s="966">
        <v>117900</v>
      </c>
      <c r="T1172" s="969">
        <v>0</v>
      </c>
      <c r="U1172" s="966">
        <v>7919.65</v>
      </c>
      <c r="W1172" s="971" t="e">
        <f t="shared" si="21"/>
        <v>#DIV/0!</v>
      </c>
      <c r="Y1172" s="967">
        <v>43782</v>
      </c>
      <c r="Z1172" s="974">
        <f ca="1">H1122*Valuation_Senario!$L$372</f>
        <v>12237.474516919998</v>
      </c>
      <c r="AA1172" s="973">
        <v>14.39</v>
      </c>
      <c r="AM1172" s="967">
        <v>43712</v>
      </c>
      <c r="AN1172" s="974">
        <v>117900</v>
      </c>
    </row>
    <row r="1173" spans="1:40">
      <c r="A1173" s="966">
        <v>1166</v>
      </c>
      <c r="B1173" s="967">
        <v>43711</v>
      </c>
      <c r="C1173" s="966">
        <v>117600</v>
      </c>
      <c r="D1173" s="966">
        <v>0</v>
      </c>
      <c r="E1173" s="966">
        <v>0</v>
      </c>
      <c r="F1173" s="966">
        <v>58984.73</v>
      </c>
      <c r="G1173" s="966">
        <v>52059.877833600003</v>
      </c>
      <c r="H1173" s="966">
        <v>7919.65</v>
      </c>
      <c r="I1173" s="966">
        <v>14.85</v>
      </c>
      <c r="Q1173" s="967">
        <v>43711</v>
      </c>
      <c r="R1173" s="966">
        <v>117600</v>
      </c>
      <c r="T1173" s="969">
        <v>0</v>
      </c>
      <c r="U1173" s="966">
        <v>7919.65</v>
      </c>
      <c r="W1173" s="971" t="e">
        <f t="shared" si="21"/>
        <v>#DIV/0!</v>
      </c>
      <c r="Y1173" s="967">
        <v>43781</v>
      </c>
      <c r="Z1173" s="974">
        <f ca="1">H1123*Valuation_Senario!$L$372</f>
        <v>12237.474516919998</v>
      </c>
      <c r="AA1173" s="973">
        <v>14.68</v>
      </c>
      <c r="AM1173" s="967">
        <v>43711</v>
      </c>
      <c r="AN1173" s="974">
        <v>117600</v>
      </c>
    </row>
    <row r="1174" spans="1:40">
      <c r="A1174" s="966">
        <v>1167</v>
      </c>
      <c r="B1174" s="967">
        <v>43707</v>
      </c>
      <c r="C1174" s="966">
        <v>116900</v>
      </c>
      <c r="D1174" s="966">
        <v>0</v>
      </c>
      <c r="E1174" s="966">
        <v>0</v>
      </c>
      <c r="F1174" s="966">
        <v>58674.85</v>
      </c>
      <c r="G1174" s="966">
        <v>51749.997608400001</v>
      </c>
      <c r="H1174" s="966">
        <v>7919.65</v>
      </c>
      <c r="I1174" s="966">
        <v>14.76</v>
      </c>
      <c r="Q1174" s="967">
        <v>43707</v>
      </c>
      <c r="R1174" s="966">
        <v>116900</v>
      </c>
      <c r="T1174" s="969">
        <v>0</v>
      </c>
      <c r="U1174" s="966">
        <v>7919.65</v>
      </c>
      <c r="W1174" s="971" t="e">
        <f t="shared" si="21"/>
        <v>#DIV/0!</v>
      </c>
      <c r="Y1174" s="967">
        <v>43780</v>
      </c>
      <c r="Z1174" s="974">
        <f ca="1">H1124*Valuation_Senario!$L$372</f>
        <v>12237.474516919998</v>
      </c>
      <c r="AA1174" s="973">
        <v>14.63</v>
      </c>
      <c r="AM1174" s="967">
        <v>43707</v>
      </c>
      <c r="AN1174" s="974">
        <v>116900</v>
      </c>
    </row>
    <row r="1175" spans="1:40">
      <c r="A1175" s="966">
        <v>1168</v>
      </c>
      <c r="B1175" s="967">
        <v>43706</v>
      </c>
      <c r="C1175" s="966">
        <v>115000</v>
      </c>
      <c r="D1175" s="966">
        <v>0</v>
      </c>
      <c r="E1175" s="966">
        <v>0</v>
      </c>
      <c r="F1175" s="966">
        <v>57833.74</v>
      </c>
      <c r="G1175" s="966">
        <v>50908.894139999997</v>
      </c>
      <c r="H1175" s="966">
        <v>7919.65</v>
      </c>
      <c r="I1175" s="966">
        <v>14.52</v>
      </c>
      <c r="Q1175" s="967">
        <v>43706</v>
      </c>
      <c r="R1175" s="966">
        <v>115000</v>
      </c>
      <c r="T1175" s="969">
        <v>0</v>
      </c>
      <c r="U1175" s="966">
        <v>7919.65</v>
      </c>
      <c r="W1175" s="971" t="e">
        <f t="shared" si="21"/>
        <v>#DIV/0!</v>
      </c>
      <c r="Y1175" s="967">
        <v>43777</v>
      </c>
      <c r="Z1175" s="974">
        <f ca="1">H1125*Valuation_Senario!$L$372</f>
        <v>12237.474516919998</v>
      </c>
      <c r="AA1175" s="973">
        <v>14.95</v>
      </c>
      <c r="AM1175" s="967">
        <v>43706</v>
      </c>
      <c r="AN1175" s="974">
        <v>115000</v>
      </c>
    </row>
    <row r="1176" spans="1:40">
      <c r="A1176" s="966">
        <v>1169</v>
      </c>
      <c r="B1176" s="967">
        <v>43705</v>
      </c>
      <c r="C1176" s="966">
        <v>113800</v>
      </c>
      <c r="D1176" s="966">
        <v>0</v>
      </c>
      <c r="E1176" s="966">
        <v>0</v>
      </c>
      <c r="F1176" s="966">
        <v>57302.52</v>
      </c>
      <c r="G1176" s="966">
        <v>50377.670896800002</v>
      </c>
      <c r="H1176" s="966">
        <v>7919.65</v>
      </c>
      <c r="I1176" s="966">
        <v>14.37</v>
      </c>
      <c r="Q1176" s="967">
        <v>43705</v>
      </c>
      <c r="R1176" s="966">
        <v>113800</v>
      </c>
      <c r="T1176" s="969">
        <v>0</v>
      </c>
      <c r="U1176" s="966">
        <v>7919.65</v>
      </c>
      <c r="W1176" s="971" t="e">
        <f t="shared" si="21"/>
        <v>#DIV/0!</v>
      </c>
      <c r="Y1176" s="967">
        <v>43776</v>
      </c>
      <c r="Z1176" s="974">
        <f ca="1">H1126*Valuation_Senario!$L$372</f>
        <v>12237.474516919998</v>
      </c>
      <c r="AA1176" s="973">
        <v>15.04</v>
      </c>
      <c r="AM1176" s="967">
        <v>43705</v>
      </c>
      <c r="AN1176" s="974">
        <v>113800</v>
      </c>
    </row>
    <row r="1177" spans="1:40">
      <c r="A1177" s="966">
        <v>1170</v>
      </c>
      <c r="B1177" s="967">
        <v>43704</v>
      </c>
      <c r="C1177" s="966">
        <v>114000</v>
      </c>
      <c r="D1177" s="966">
        <v>0</v>
      </c>
      <c r="E1177" s="966">
        <v>0</v>
      </c>
      <c r="F1177" s="966">
        <v>57391.06</v>
      </c>
      <c r="G1177" s="966">
        <v>50466.208103999998</v>
      </c>
      <c r="H1177" s="966">
        <v>7919.65</v>
      </c>
      <c r="I1177" s="966">
        <v>14.39</v>
      </c>
      <c r="Q1177" s="967">
        <v>43704</v>
      </c>
      <c r="R1177" s="966">
        <v>114000</v>
      </c>
      <c r="T1177" s="969">
        <v>0</v>
      </c>
      <c r="U1177" s="966">
        <v>7919.65</v>
      </c>
      <c r="W1177" s="971" t="e">
        <f t="shared" si="21"/>
        <v>#DIV/0!</v>
      </c>
      <c r="Y1177" s="967">
        <v>43775</v>
      </c>
      <c r="Z1177" s="974">
        <f ca="1">H1127*Valuation_Senario!$L$372</f>
        <v>12237.474516919998</v>
      </c>
      <c r="AA1177" s="973">
        <v>14.95</v>
      </c>
      <c r="AM1177" s="967">
        <v>43704</v>
      </c>
      <c r="AN1177" s="974">
        <v>114000</v>
      </c>
    </row>
    <row r="1178" spans="1:40">
      <c r="A1178" s="966">
        <v>1171</v>
      </c>
      <c r="B1178" s="967">
        <v>43703</v>
      </c>
      <c r="C1178" s="966">
        <v>116400</v>
      </c>
      <c r="D1178" s="966">
        <v>0</v>
      </c>
      <c r="E1178" s="966">
        <v>0</v>
      </c>
      <c r="F1178" s="966">
        <v>58453.51</v>
      </c>
      <c r="G1178" s="966">
        <v>51528.654590400001</v>
      </c>
      <c r="H1178" s="966">
        <v>7919.65</v>
      </c>
      <c r="I1178" s="966">
        <v>14.7</v>
      </c>
      <c r="Q1178" s="967">
        <v>43703</v>
      </c>
      <c r="R1178" s="966">
        <v>116400</v>
      </c>
      <c r="T1178" s="969">
        <v>0</v>
      </c>
      <c r="U1178" s="966">
        <v>7919.65</v>
      </c>
      <c r="W1178" s="971" t="e">
        <f t="shared" si="21"/>
        <v>#DIV/0!</v>
      </c>
      <c r="Y1178" s="967">
        <v>43774</v>
      </c>
      <c r="Z1178" s="974">
        <f ca="1">H1128*Valuation_Senario!$L$372</f>
        <v>12237.474516919998</v>
      </c>
      <c r="AA1178" s="973">
        <v>15.07</v>
      </c>
      <c r="AM1178" s="967">
        <v>43703</v>
      </c>
      <c r="AN1178" s="974">
        <v>116400</v>
      </c>
    </row>
    <row r="1179" spans="1:40">
      <c r="A1179" s="966">
        <v>1172</v>
      </c>
      <c r="B1179" s="967">
        <v>43700</v>
      </c>
      <c r="C1179" s="966">
        <v>116500</v>
      </c>
      <c r="D1179" s="966">
        <v>3.351162</v>
      </c>
      <c r="E1179" s="966">
        <v>3.351162</v>
      </c>
      <c r="F1179" s="966">
        <v>58497.77</v>
      </c>
      <c r="G1179" s="966">
        <v>51572.923194000003</v>
      </c>
      <c r="H1179" s="966">
        <v>7919.65</v>
      </c>
      <c r="I1179" s="966">
        <v>14.71</v>
      </c>
      <c r="Q1179" s="967">
        <v>43700</v>
      </c>
      <c r="R1179" s="966">
        <v>116500</v>
      </c>
      <c r="T1179" s="969">
        <v>0</v>
      </c>
      <c r="U1179" s="966">
        <v>7919.65</v>
      </c>
      <c r="W1179" s="971" t="e">
        <f t="shared" si="21"/>
        <v>#DIV/0!</v>
      </c>
      <c r="Y1179" s="967">
        <v>43773</v>
      </c>
      <c r="Z1179" s="974">
        <f ca="1">H1129*Valuation_Senario!$L$372</f>
        <v>12237.474516919998</v>
      </c>
      <c r="AA1179" s="973">
        <v>15.13</v>
      </c>
      <c r="AM1179" s="967">
        <v>43700</v>
      </c>
      <c r="AN1179" s="974">
        <v>116500</v>
      </c>
    </row>
    <row r="1180" spans="1:40">
      <c r="A1180" s="966">
        <v>1173</v>
      </c>
      <c r="B1180" s="967">
        <v>43699</v>
      </c>
      <c r="C1180" s="966">
        <v>117500</v>
      </c>
      <c r="D1180" s="966">
        <v>0</v>
      </c>
      <c r="E1180" s="966">
        <v>0</v>
      </c>
      <c r="F1180" s="966">
        <v>58940.46</v>
      </c>
      <c r="G1180" s="966">
        <v>52015.609230000002</v>
      </c>
      <c r="H1180" s="966">
        <v>7919.65</v>
      </c>
      <c r="I1180" s="966">
        <v>14.84</v>
      </c>
      <c r="Q1180" s="967">
        <v>43699</v>
      </c>
      <c r="R1180" s="966">
        <v>117500</v>
      </c>
      <c r="T1180" s="969">
        <v>0</v>
      </c>
      <c r="U1180" s="966">
        <v>7919.65</v>
      </c>
      <c r="W1180" s="971" t="e">
        <f t="shared" si="21"/>
        <v>#DIV/0!</v>
      </c>
      <c r="Y1180" s="967">
        <v>43770</v>
      </c>
      <c r="Z1180" s="974">
        <f ca="1">H1130*Valuation_Senario!$L$372</f>
        <v>12237.474516919998</v>
      </c>
      <c r="AA1180" s="973">
        <v>15.02</v>
      </c>
      <c r="AM1180" s="967">
        <v>43699</v>
      </c>
      <c r="AN1180" s="974">
        <v>117500</v>
      </c>
    </row>
    <row r="1181" spans="1:40">
      <c r="A1181" s="966">
        <v>1174</v>
      </c>
      <c r="B1181" s="967">
        <v>43698</v>
      </c>
      <c r="C1181" s="966">
        <v>120300</v>
      </c>
      <c r="D1181" s="966">
        <v>0</v>
      </c>
      <c r="E1181" s="966">
        <v>0</v>
      </c>
      <c r="F1181" s="966">
        <v>60179.98</v>
      </c>
      <c r="G1181" s="966">
        <v>53255.130130799997</v>
      </c>
      <c r="H1181" s="966">
        <v>7919.65</v>
      </c>
      <c r="I1181" s="966">
        <v>15.19</v>
      </c>
      <c r="Q1181" s="967">
        <v>43698</v>
      </c>
      <c r="R1181" s="966">
        <v>120300</v>
      </c>
      <c r="T1181" s="969">
        <v>0</v>
      </c>
      <c r="U1181" s="966">
        <v>7919.65</v>
      </c>
      <c r="W1181" s="971" t="e">
        <f t="shared" si="21"/>
        <v>#DIV/0!</v>
      </c>
      <c r="Y1181" s="967">
        <v>43769</v>
      </c>
      <c r="Z1181" s="974">
        <f ca="1">H1131*Valuation_Senario!$L$372</f>
        <v>12237.474516919998</v>
      </c>
      <c r="AA1181" s="973">
        <v>14.95</v>
      </c>
      <c r="AM1181" s="967">
        <v>43698</v>
      </c>
      <c r="AN1181" s="974">
        <v>120300</v>
      </c>
    </row>
    <row r="1182" spans="1:40">
      <c r="A1182" s="966">
        <v>1175</v>
      </c>
      <c r="B1182" s="967">
        <v>43697</v>
      </c>
      <c r="C1182" s="966">
        <v>120000</v>
      </c>
      <c r="D1182" s="966">
        <v>0</v>
      </c>
      <c r="E1182" s="966">
        <v>0</v>
      </c>
      <c r="F1182" s="966">
        <v>60047.17</v>
      </c>
      <c r="G1182" s="966">
        <v>53122.32432</v>
      </c>
      <c r="H1182" s="966">
        <v>7919.65</v>
      </c>
      <c r="I1182" s="966">
        <v>15.15</v>
      </c>
      <c r="Q1182" s="967">
        <v>43697</v>
      </c>
      <c r="R1182" s="966">
        <v>120000</v>
      </c>
      <c r="T1182" s="969">
        <v>0</v>
      </c>
      <c r="U1182" s="966">
        <v>7919.65</v>
      </c>
      <c r="W1182" s="971" t="e">
        <f t="shared" si="21"/>
        <v>#DIV/0!</v>
      </c>
      <c r="Y1182" s="967">
        <v>43768</v>
      </c>
      <c r="Z1182" s="974">
        <f ca="1">H1132*Valuation_Senario!$L$372</f>
        <v>12237.474516919998</v>
      </c>
      <c r="AA1182" s="973">
        <v>14.99</v>
      </c>
      <c r="AM1182" s="967">
        <v>43697</v>
      </c>
      <c r="AN1182" s="974">
        <v>120000</v>
      </c>
    </row>
    <row r="1183" spans="1:40">
      <c r="A1183" s="966">
        <v>1176</v>
      </c>
      <c r="B1183" s="967">
        <v>43696</v>
      </c>
      <c r="C1183" s="966">
        <v>117900</v>
      </c>
      <c r="D1183" s="966">
        <v>0</v>
      </c>
      <c r="E1183" s="966">
        <v>0</v>
      </c>
      <c r="F1183" s="966">
        <v>59117.53</v>
      </c>
      <c r="G1183" s="966">
        <v>52192.6836444</v>
      </c>
      <c r="H1183" s="966">
        <v>7919.65</v>
      </c>
      <c r="I1183" s="966">
        <v>14.89</v>
      </c>
      <c r="Q1183" s="967">
        <v>43696</v>
      </c>
      <c r="R1183" s="966">
        <v>117900</v>
      </c>
      <c r="T1183" s="969">
        <v>0</v>
      </c>
      <c r="U1183" s="966">
        <v>7919.65</v>
      </c>
      <c r="W1183" s="971" t="e">
        <f t="shared" si="21"/>
        <v>#DIV/0!</v>
      </c>
      <c r="Y1183" s="967">
        <v>43767</v>
      </c>
      <c r="Z1183" s="974">
        <f ca="1">H1133*Valuation_Senario!$L$372</f>
        <v>11629.518634349999</v>
      </c>
      <c r="AA1183" s="973">
        <v>16.04</v>
      </c>
      <c r="AM1183" s="967">
        <v>43696</v>
      </c>
      <c r="AN1183" s="974">
        <v>117900</v>
      </c>
    </row>
    <row r="1184" spans="1:40">
      <c r="A1184" s="966">
        <v>1177</v>
      </c>
      <c r="B1184" s="967">
        <v>43693</v>
      </c>
      <c r="C1184" s="966">
        <v>117300</v>
      </c>
      <c r="D1184" s="966">
        <v>0</v>
      </c>
      <c r="E1184" s="966">
        <v>0</v>
      </c>
      <c r="F1184" s="966">
        <v>58851.92</v>
      </c>
      <c r="G1184" s="966">
        <v>51927.072022799999</v>
      </c>
      <c r="H1184" s="966">
        <v>7919.65</v>
      </c>
      <c r="I1184" s="966">
        <v>14.81</v>
      </c>
      <c r="Q1184" s="967">
        <v>43693</v>
      </c>
      <c r="R1184" s="966">
        <v>117300</v>
      </c>
      <c r="T1184" s="969">
        <v>0</v>
      </c>
      <c r="U1184" s="966">
        <v>7919.65</v>
      </c>
      <c r="W1184" s="971" t="e">
        <f t="shared" si="21"/>
        <v>#DIV/0!</v>
      </c>
      <c r="Y1184" s="967">
        <v>43766</v>
      </c>
      <c r="Z1184" s="974">
        <f ca="1">H1134*Valuation_Senario!$L$372</f>
        <v>11629.518634349999</v>
      </c>
      <c r="AA1184" s="973">
        <v>16.11</v>
      </c>
      <c r="AM1184" s="967">
        <v>43693</v>
      </c>
      <c r="AN1184" s="974">
        <v>117300</v>
      </c>
    </row>
    <row r="1185" spans="1:40">
      <c r="A1185" s="966">
        <v>1178</v>
      </c>
      <c r="B1185" s="967">
        <v>43692</v>
      </c>
      <c r="C1185" s="966">
        <v>120000</v>
      </c>
      <c r="D1185" s="966">
        <v>6.36</v>
      </c>
      <c r="E1185" s="966">
        <v>6.36</v>
      </c>
      <c r="F1185" s="966">
        <v>60047.17</v>
      </c>
      <c r="G1185" s="966">
        <v>53122.32432</v>
      </c>
      <c r="H1185" s="966">
        <v>7919.65</v>
      </c>
      <c r="I1185" s="966">
        <v>15.15</v>
      </c>
      <c r="Q1185" s="967">
        <v>43692</v>
      </c>
      <c r="R1185" s="966">
        <v>120000</v>
      </c>
      <c r="T1185" s="969">
        <v>0</v>
      </c>
      <c r="U1185" s="966">
        <v>7919.65</v>
      </c>
      <c r="W1185" s="971" t="e">
        <f t="shared" si="21"/>
        <v>#DIV/0!</v>
      </c>
      <c r="Y1185" s="967">
        <v>43763</v>
      </c>
      <c r="Z1185" s="974">
        <f ca="1">H1135*Valuation_Senario!$L$372</f>
        <v>11629.533318919999</v>
      </c>
      <c r="AA1185" s="973">
        <v>16.149999999999999</v>
      </c>
      <c r="AM1185" s="967">
        <v>43692</v>
      </c>
      <c r="AN1185" s="974">
        <v>120000</v>
      </c>
    </row>
    <row r="1186" spans="1:40">
      <c r="A1186" s="966">
        <v>1179</v>
      </c>
      <c r="B1186" s="967">
        <v>43691</v>
      </c>
      <c r="C1186" s="966">
        <v>118900</v>
      </c>
      <c r="D1186" s="966">
        <v>3.8594620000000002</v>
      </c>
      <c r="E1186" s="966">
        <v>3.78</v>
      </c>
      <c r="F1186" s="966">
        <v>59560.22</v>
      </c>
      <c r="G1186" s="966">
        <v>52635.369680399999</v>
      </c>
      <c r="H1186" s="966">
        <v>7919.65</v>
      </c>
      <c r="I1186" s="966">
        <v>15.01</v>
      </c>
      <c r="Q1186" s="967">
        <v>43691</v>
      </c>
      <c r="R1186" s="966">
        <v>118900</v>
      </c>
      <c r="T1186" s="969">
        <v>7.9462000000000366E-2</v>
      </c>
      <c r="U1186" s="966">
        <v>7919.65</v>
      </c>
      <c r="W1186" s="971" t="e">
        <f t="shared" si="21"/>
        <v>#DIV/0!</v>
      </c>
      <c r="Y1186" s="967">
        <v>43762</v>
      </c>
      <c r="Z1186" s="974">
        <f ca="1">H1136*Valuation_Senario!$L$372</f>
        <v>11629.533318919999</v>
      </c>
      <c r="AA1186" s="973">
        <v>16.100000000000001</v>
      </c>
      <c r="AM1186" s="967">
        <v>43691</v>
      </c>
      <c r="AN1186" s="974">
        <v>118900</v>
      </c>
    </row>
    <row r="1187" spans="1:40">
      <c r="A1187" s="966">
        <v>1180</v>
      </c>
      <c r="B1187" s="967">
        <v>43690</v>
      </c>
      <c r="C1187" s="966">
        <v>117800</v>
      </c>
      <c r="D1187" s="966">
        <v>5.0039999999999996</v>
      </c>
      <c r="E1187" s="966">
        <v>5.0039999999999996</v>
      </c>
      <c r="F1187" s="966">
        <v>59073.27</v>
      </c>
      <c r="G1187" s="966">
        <v>52148.415040799999</v>
      </c>
      <c r="H1187" s="966">
        <v>7919.65</v>
      </c>
      <c r="I1187" s="966">
        <v>14.87</v>
      </c>
      <c r="Q1187" s="967">
        <v>43690</v>
      </c>
      <c r="R1187" s="966">
        <v>117800</v>
      </c>
      <c r="T1187" s="969">
        <v>0</v>
      </c>
      <c r="U1187" s="966">
        <v>7919.65</v>
      </c>
      <c r="W1187" s="971" t="e">
        <f t="shared" si="21"/>
        <v>#DIV/0!</v>
      </c>
      <c r="Y1187" s="967">
        <v>43761</v>
      </c>
      <c r="Z1187" s="974">
        <f ca="1">H1137*Valuation_Senario!$L$372</f>
        <v>11629.533318919999</v>
      </c>
      <c r="AA1187" s="973">
        <v>15.56</v>
      </c>
      <c r="AM1187" s="967">
        <v>43690</v>
      </c>
      <c r="AN1187" s="974">
        <v>117800</v>
      </c>
    </row>
    <row r="1188" spans="1:40">
      <c r="A1188" s="966">
        <v>1181</v>
      </c>
      <c r="B1188" s="967">
        <v>43689</v>
      </c>
      <c r="C1188" s="966">
        <v>117000</v>
      </c>
      <c r="D1188" s="966">
        <v>2.48</v>
      </c>
      <c r="E1188" s="966">
        <v>2.48</v>
      </c>
      <c r="F1188" s="966">
        <v>58719.12</v>
      </c>
      <c r="G1188" s="966">
        <v>51794.266212000002</v>
      </c>
      <c r="H1188" s="966">
        <v>7919.65</v>
      </c>
      <c r="I1188" s="966">
        <v>14.77</v>
      </c>
      <c r="Q1188" s="967">
        <v>43689</v>
      </c>
      <c r="R1188" s="966">
        <v>117000</v>
      </c>
      <c r="T1188" s="969">
        <v>0</v>
      </c>
      <c r="U1188" s="966">
        <v>7919.65</v>
      </c>
      <c r="W1188" s="971" t="e">
        <f t="shared" si="21"/>
        <v>#DIV/0!</v>
      </c>
      <c r="Y1188" s="967">
        <v>43760</v>
      </c>
      <c r="Z1188" s="974">
        <f ca="1">H1138*Valuation_Senario!$L$372</f>
        <v>11629.533318919999</v>
      </c>
      <c r="AA1188" s="973">
        <v>15.54</v>
      </c>
      <c r="AM1188" s="967">
        <v>43689</v>
      </c>
      <c r="AN1188" s="974">
        <v>117000</v>
      </c>
    </row>
    <row r="1189" spans="1:40">
      <c r="A1189" s="966">
        <v>1182</v>
      </c>
      <c r="B1189" s="967">
        <v>43686</v>
      </c>
      <c r="C1189" s="966">
        <v>115900</v>
      </c>
      <c r="D1189" s="966">
        <v>10.278689999999999</v>
      </c>
      <c r="E1189" s="966">
        <v>9.7486479999999993</v>
      </c>
      <c r="F1189" s="966">
        <v>58232.160000000003</v>
      </c>
      <c r="G1189" s="966">
        <v>51307.311572400002</v>
      </c>
      <c r="H1189" s="966">
        <v>7919.65</v>
      </c>
      <c r="I1189" s="966">
        <v>14.63</v>
      </c>
      <c r="Q1189" s="967">
        <v>43686</v>
      </c>
      <c r="R1189" s="966">
        <v>115900</v>
      </c>
      <c r="T1189" s="969">
        <v>0.5300419999999999</v>
      </c>
      <c r="U1189" s="966">
        <v>7919.65</v>
      </c>
      <c r="W1189" s="971" t="e">
        <f t="shared" si="21"/>
        <v>#DIV/0!</v>
      </c>
      <c r="Y1189" s="967">
        <v>43759</v>
      </c>
      <c r="Z1189" s="974">
        <f ca="1">H1139*Valuation_Senario!$L$372</f>
        <v>11629.548003489999</v>
      </c>
      <c r="AA1189" s="973">
        <v>15.52</v>
      </c>
      <c r="AM1189" s="967">
        <v>43686</v>
      </c>
      <c r="AN1189" s="974">
        <v>115900</v>
      </c>
    </row>
    <row r="1190" spans="1:40">
      <c r="A1190" s="966">
        <v>1183</v>
      </c>
      <c r="B1190" s="967">
        <v>43685</v>
      </c>
      <c r="C1190" s="966">
        <v>113000</v>
      </c>
      <c r="D1190" s="966">
        <v>289.78399999999999</v>
      </c>
      <c r="E1190" s="966">
        <v>289.78399999999999</v>
      </c>
      <c r="F1190" s="966">
        <v>56948.37</v>
      </c>
      <c r="G1190" s="966">
        <v>50023.522067999998</v>
      </c>
      <c r="H1190" s="966">
        <v>7919.65</v>
      </c>
      <c r="I1190" s="966">
        <v>14.27</v>
      </c>
      <c r="Q1190" s="967">
        <v>43685</v>
      </c>
      <c r="R1190" s="966">
        <v>113000</v>
      </c>
      <c r="T1190" s="969">
        <v>0</v>
      </c>
      <c r="U1190" s="966">
        <v>7919.65</v>
      </c>
      <c r="W1190" s="971" t="e">
        <f t="shared" si="21"/>
        <v>#DIV/0!</v>
      </c>
      <c r="Y1190" s="967">
        <v>43756</v>
      </c>
      <c r="Z1190" s="974">
        <f ca="1">H1140*Valuation_Senario!$L$372</f>
        <v>11629.548003489999</v>
      </c>
      <c r="AA1190" s="973">
        <v>15.52</v>
      </c>
      <c r="AM1190" s="967">
        <v>43685</v>
      </c>
      <c r="AN1190" s="974">
        <v>113000</v>
      </c>
    </row>
    <row r="1191" spans="1:40">
      <c r="A1191" s="966">
        <v>1184</v>
      </c>
      <c r="B1191" s="967">
        <v>43684</v>
      </c>
      <c r="C1191" s="966">
        <v>114000</v>
      </c>
      <c r="D1191" s="966">
        <v>8.2390000000000008</v>
      </c>
      <c r="E1191" s="966">
        <v>8.2390000000000008</v>
      </c>
      <c r="F1191" s="966">
        <v>57391.06</v>
      </c>
      <c r="G1191" s="966">
        <v>50466.208103999998</v>
      </c>
      <c r="H1191" s="966">
        <v>7919.65</v>
      </c>
      <c r="I1191" s="966">
        <v>14.39</v>
      </c>
      <c r="Q1191" s="967">
        <v>43684</v>
      </c>
      <c r="R1191" s="966">
        <v>114000</v>
      </c>
      <c r="T1191" s="969">
        <v>0</v>
      </c>
      <c r="U1191" s="966">
        <v>7919.65</v>
      </c>
      <c r="W1191" s="971" t="e">
        <f t="shared" si="21"/>
        <v>#DIV/0!</v>
      </c>
      <c r="Y1191" s="967">
        <v>43755</v>
      </c>
      <c r="Z1191" s="974">
        <f ca="1">H1141*Valuation_Senario!$L$372</f>
        <v>11629.562688059999</v>
      </c>
      <c r="AA1191" s="973">
        <v>15.52</v>
      </c>
      <c r="AM1191" s="967">
        <v>43684</v>
      </c>
      <c r="AN1191" s="974">
        <v>114000</v>
      </c>
    </row>
    <row r="1192" spans="1:40">
      <c r="A1192" s="966">
        <v>1185</v>
      </c>
      <c r="B1192" s="967">
        <v>43683</v>
      </c>
      <c r="C1192" s="966">
        <v>110000</v>
      </c>
      <c r="D1192" s="966">
        <v>2.3420000000000001</v>
      </c>
      <c r="E1192" s="966">
        <v>2.9936919999999998</v>
      </c>
      <c r="F1192" s="966">
        <v>55620.31</v>
      </c>
      <c r="G1192" s="966">
        <v>48695.463960000001</v>
      </c>
      <c r="H1192" s="966">
        <v>7919.65</v>
      </c>
      <c r="I1192" s="966">
        <v>13.89</v>
      </c>
      <c r="Q1192" s="967">
        <v>43683</v>
      </c>
      <c r="R1192" s="966">
        <v>110000</v>
      </c>
      <c r="T1192" s="969">
        <v>-0.65169199999999972</v>
      </c>
      <c r="U1192" s="966">
        <v>7919.65</v>
      </c>
      <c r="W1192" s="971" t="e">
        <f t="shared" si="21"/>
        <v>#DIV/0!</v>
      </c>
      <c r="Y1192" s="967">
        <v>43754</v>
      </c>
      <c r="Z1192" s="974">
        <f ca="1">H1142*Valuation_Senario!$L$372</f>
        <v>11629.562688059999</v>
      </c>
      <c r="AA1192" s="973">
        <v>15.8</v>
      </c>
      <c r="AM1192" s="967">
        <v>43683</v>
      </c>
      <c r="AN1192" s="974">
        <v>110000</v>
      </c>
    </row>
    <row r="1193" spans="1:40">
      <c r="A1193" s="966">
        <v>1186</v>
      </c>
      <c r="B1193" s="967">
        <v>43682</v>
      </c>
      <c r="C1193" s="966">
        <v>109500</v>
      </c>
      <c r="D1193" s="966">
        <v>4.62</v>
      </c>
      <c r="E1193" s="966">
        <v>4.62</v>
      </c>
      <c r="F1193" s="966">
        <v>55398.97</v>
      </c>
      <c r="G1193" s="966">
        <v>48474.120942000001</v>
      </c>
      <c r="H1193" s="966">
        <v>7919.65</v>
      </c>
      <c r="I1193" s="966">
        <v>13.83</v>
      </c>
      <c r="Q1193" s="967">
        <v>43682</v>
      </c>
      <c r="R1193" s="966">
        <v>109500</v>
      </c>
      <c r="T1193" s="969">
        <v>0</v>
      </c>
      <c r="U1193" s="966">
        <v>7919.65</v>
      </c>
      <c r="W1193" s="971" t="e">
        <f t="shared" si="21"/>
        <v>#DIV/0!</v>
      </c>
      <c r="Y1193" s="967">
        <v>43753</v>
      </c>
      <c r="Z1193" s="974">
        <f ca="1">H1143*Valuation_Senario!$L$372</f>
        <v>11629.562688059999</v>
      </c>
      <c r="AA1193" s="973">
        <v>15.85</v>
      </c>
      <c r="AM1193" s="967">
        <v>43682</v>
      </c>
      <c r="AN1193" s="974">
        <v>109500</v>
      </c>
    </row>
    <row r="1194" spans="1:40">
      <c r="A1194" s="966">
        <v>1187</v>
      </c>
      <c r="B1194" s="967">
        <v>43679</v>
      </c>
      <c r="C1194" s="966">
        <v>108000</v>
      </c>
      <c r="D1194" s="966">
        <v>0</v>
      </c>
      <c r="E1194" s="966">
        <v>0</v>
      </c>
      <c r="F1194" s="966">
        <v>54734.94</v>
      </c>
      <c r="G1194" s="966">
        <v>47810.091888000003</v>
      </c>
      <c r="H1194" s="966">
        <v>7919.65</v>
      </c>
      <c r="I1194" s="966">
        <v>13.64</v>
      </c>
      <c r="Q1194" s="967">
        <v>43679</v>
      </c>
      <c r="R1194" s="966">
        <v>108000</v>
      </c>
      <c r="T1194" s="969">
        <v>0</v>
      </c>
      <c r="U1194" s="966">
        <v>7919.65</v>
      </c>
      <c r="W1194" s="971" t="e">
        <f t="shared" si="21"/>
        <v>#DIV/0!</v>
      </c>
      <c r="Y1194" s="967">
        <v>43752</v>
      </c>
      <c r="Z1194" s="974">
        <f ca="1">H1144*Valuation_Senario!$L$372</f>
        <v>11629.562688059999</v>
      </c>
      <c r="AA1194" s="973">
        <v>15.75</v>
      </c>
      <c r="AM1194" s="967">
        <v>43679</v>
      </c>
      <c r="AN1194" s="974">
        <v>108000</v>
      </c>
    </row>
    <row r="1195" spans="1:40">
      <c r="A1195" s="966">
        <v>1188</v>
      </c>
      <c r="B1195" s="967">
        <v>43678</v>
      </c>
      <c r="C1195" s="966">
        <v>108500</v>
      </c>
      <c r="D1195" s="966">
        <v>0</v>
      </c>
      <c r="E1195" s="966">
        <v>0</v>
      </c>
      <c r="F1195" s="966">
        <v>54956.29</v>
      </c>
      <c r="G1195" s="966">
        <v>48031.434906000002</v>
      </c>
      <c r="H1195" s="966">
        <v>7919.65</v>
      </c>
      <c r="I1195" s="966">
        <v>13.7</v>
      </c>
      <c r="Q1195" s="967">
        <v>43678</v>
      </c>
      <c r="R1195" s="966">
        <v>108500</v>
      </c>
      <c r="T1195" s="969">
        <v>0</v>
      </c>
      <c r="U1195" s="966">
        <v>7919.65</v>
      </c>
      <c r="W1195" s="971" t="e">
        <f t="shared" si="21"/>
        <v>#DIV/0!</v>
      </c>
      <c r="Y1195" s="967">
        <v>43749</v>
      </c>
      <c r="Z1195" s="974">
        <f ca="1">H1145*Valuation_Senario!$L$372</f>
        <v>11629.577372629999</v>
      </c>
      <c r="AA1195" s="973">
        <v>15.58</v>
      </c>
      <c r="AM1195" s="967">
        <v>43678</v>
      </c>
      <c r="AN1195" s="974">
        <v>108500</v>
      </c>
    </row>
    <row r="1196" spans="1:40">
      <c r="A1196" s="966">
        <v>1189</v>
      </c>
      <c r="B1196" s="967">
        <v>43677</v>
      </c>
      <c r="C1196" s="966">
        <v>106800</v>
      </c>
      <c r="D1196" s="966">
        <v>0</v>
      </c>
      <c r="E1196" s="966">
        <v>0</v>
      </c>
      <c r="F1196" s="966">
        <v>54203.72</v>
      </c>
      <c r="G1196" s="966">
        <v>47278.868644800001</v>
      </c>
      <c r="H1196" s="966">
        <v>7919.65</v>
      </c>
      <c r="I1196" s="966">
        <v>13.49</v>
      </c>
      <c r="Q1196" s="967">
        <v>43677</v>
      </c>
      <c r="R1196" s="966">
        <v>106800</v>
      </c>
      <c r="T1196" s="969">
        <v>0</v>
      </c>
      <c r="U1196" s="966">
        <v>7919.65</v>
      </c>
      <c r="W1196" s="971" t="e">
        <f t="shared" si="21"/>
        <v>#DIV/0!</v>
      </c>
      <c r="Y1196" s="967">
        <v>43748</v>
      </c>
      <c r="Z1196" s="974">
        <f ca="1">H1146*Valuation_Senario!$L$372</f>
        <v>11629.577372629999</v>
      </c>
      <c r="AA1196" s="973">
        <v>15.61</v>
      </c>
      <c r="AM1196" s="967">
        <v>43677</v>
      </c>
      <c r="AN1196" s="974">
        <v>106800</v>
      </c>
    </row>
    <row r="1197" spans="1:40">
      <c r="A1197" s="966">
        <v>1190</v>
      </c>
      <c r="B1197" s="967">
        <v>43676</v>
      </c>
      <c r="C1197" s="966">
        <v>103700</v>
      </c>
      <c r="D1197" s="966">
        <v>0</v>
      </c>
      <c r="E1197" s="966">
        <v>0</v>
      </c>
      <c r="F1197" s="966">
        <v>52867.14</v>
      </c>
      <c r="G1197" s="966">
        <v>45906.541933200002</v>
      </c>
      <c r="H1197" s="966">
        <v>7178.66</v>
      </c>
      <c r="I1197" s="966">
        <v>14.45</v>
      </c>
      <c r="Q1197" s="967">
        <v>43676</v>
      </c>
      <c r="R1197" s="966">
        <v>103700</v>
      </c>
      <c r="T1197" s="969">
        <v>0</v>
      </c>
      <c r="U1197" s="966">
        <v>7178.66</v>
      </c>
      <c r="W1197" s="971" t="e">
        <f t="shared" si="21"/>
        <v>#DIV/0!</v>
      </c>
      <c r="Y1197" s="967">
        <v>43747</v>
      </c>
      <c r="Z1197" s="974">
        <f ca="1">H1147*Valuation_Senario!$L$372</f>
        <v>11629.5920572</v>
      </c>
      <c r="AA1197" s="973">
        <v>15.61</v>
      </c>
      <c r="AM1197" s="967">
        <v>43676</v>
      </c>
      <c r="AN1197" s="974">
        <v>103700</v>
      </c>
    </row>
    <row r="1198" spans="1:40">
      <c r="A1198" s="966">
        <v>1191</v>
      </c>
      <c r="B1198" s="967">
        <v>43675</v>
      </c>
      <c r="C1198" s="966">
        <v>106000</v>
      </c>
      <c r="D1198" s="966">
        <v>4.5640000000000001</v>
      </c>
      <c r="E1198" s="966">
        <v>4.5640000000000001</v>
      </c>
      <c r="F1198" s="966">
        <v>53895.93</v>
      </c>
      <c r="G1198" s="966">
        <v>46935.336882000003</v>
      </c>
      <c r="H1198" s="966">
        <v>7177</v>
      </c>
      <c r="I1198" s="966">
        <v>14.77</v>
      </c>
      <c r="Q1198" s="967">
        <v>43675</v>
      </c>
      <c r="R1198" s="966">
        <v>106000</v>
      </c>
      <c r="T1198" s="969">
        <v>0</v>
      </c>
      <c r="U1198" s="966">
        <v>7177</v>
      </c>
      <c r="W1198" s="971" t="e">
        <f t="shared" si="21"/>
        <v>#DIV/0!</v>
      </c>
      <c r="Y1198" s="967">
        <v>43746</v>
      </c>
      <c r="Z1198" s="974">
        <f ca="1">H1148*Valuation_Senario!$L$372</f>
        <v>11629.5920572</v>
      </c>
      <c r="AA1198" s="973">
        <v>15.53</v>
      </c>
      <c r="AM1198" s="967">
        <v>43675</v>
      </c>
      <c r="AN1198" s="974">
        <v>106000</v>
      </c>
    </row>
    <row r="1199" spans="1:40">
      <c r="A1199" s="966">
        <v>1192</v>
      </c>
      <c r="B1199" s="967">
        <v>43672</v>
      </c>
      <c r="C1199" s="966">
        <v>106700</v>
      </c>
      <c r="D1199" s="966">
        <v>0</v>
      </c>
      <c r="E1199" s="966">
        <v>0</v>
      </c>
      <c r="F1199" s="966">
        <v>54205.88</v>
      </c>
      <c r="G1199" s="966">
        <v>47245.287219899998</v>
      </c>
      <c r="H1199" s="966">
        <v>7177</v>
      </c>
      <c r="I1199" s="966">
        <v>14.87</v>
      </c>
      <c r="Q1199" s="967">
        <v>43672</v>
      </c>
      <c r="R1199" s="966">
        <v>106700</v>
      </c>
      <c r="T1199" s="969">
        <v>0</v>
      </c>
      <c r="U1199" s="966">
        <v>7177</v>
      </c>
      <c r="W1199" s="971" t="e">
        <f t="shared" si="21"/>
        <v>#DIV/0!</v>
      </c>
      <c r="Y1199" s="967">
        <v>43745</v>
      </c>
      <c r="Z1199" s="974">
        <f ca="1">H1149*Valuation_Senario!$L$372</f>
        <v>11629.5920572</v>
      </c>
      <c r="AA1199" s="973">
        <v>15.28</v>
      </c>
      <c r="AM1199" s="967">
        <v>43672</v>
      </c>
      <c r="AN1199" s="974">
        <v>106700</v>
      </c>
    </row>
    <row r="1200" spans="1:40">
      <c r="A1200" s="966">
        <v>1193</v>
      </c>
      <c r="B1200" s="967">
        <v>43671</v>
      </c>
      <c r="C1200" s="966">
        <v>107900</v>
      </c>
      <c r="D1200" s="966">
        <v>0</v>
      </c>
      <c r="E1200" s="966">
        <v>0</v>
      </c>
      <c r="F1200" s="966">
        <v>54737.22</v>
      </c>
      <c r="G1200" s="966">
        <v>47776.630656300003</v>
      </c>
      <c r="H1200" s="966">
        <v>7177</v>
      </c>
      <c r="I1200" s="966">
        <v>15.03</v>
      </c>
      <c r="Q1200" s="967">
        <v>43671</v>
      </c>
      <c r="R1200" s="966">
        <v>107900</v>
      </c>
      <c r="T1200" s="969">
        <v>0</v>
      </c>
      <c r="U1200" s="966">
        <v>7177</v>
      </c>
      <c r="W1200" s="971" t="e">
        <f t="shared" si="21"/>
        <v>#DIV/0!</v>
      </c>
      <c r="Y1200" s="967">
        <v>43742</v>
      </c>
      <c r="Z1200" s="974">
        <f ca="1">H1150*Valuation_Senario!$L$372</f>
        <v>11629.60674177</v>
      </c>
      <c r="AA1200" s="973">
        <v>15.53</v>
      </c>
      <c r="AM1200" s="967">
        <v>43671</v>
      </c>
      <c r="AN1200" s="974">
        <v>107900</v>
      </c>
    </row>
    <row r="1201" spans="1:40">
      <c r="A1201" s="966">
        <v>1194</v>
      </c>
      <c r="B1201" s="967">
        <v>43670</v>
      </c>
      <c r="C1201" s="966">
        <v>107400</v>
      </c>
      <c r="D1201" s="966">
        <v>0</v>
      </c>
      <c r="E1201" s="966">
        <v>0</v>
      </c>
      <c r="F1201" s="966">
        <v>54515.83</v>
      </c>
      <c r="G1201" s="966">
        <v>47555.237557799999</v>
      </c>
      <c r="H1201" s="966">
        <v>7177</v>
      </c>
      <c r="I1201" s="966">
        <v>14.96</v>
      </c>
      <c r="Q1201" s="967">
        <v>43670</v>
      </c>
      <c r="R1201" s="966">
        <v>107400</v>
      </c>
      <c r="T1201" s="969">
        <v>0</v>
      </c>
      <c r="U1201" s="966">
        <v>7177</v>
      </c>
      <c r="W1201" s="971" t="e">
        <f t="shared" si="21"/>
        <v>#DIV/0!</v>
      </c>
      <c r="Y1201" s="967">
        <v>43741</v>
      </c>
      <c r="Z1201" s="974">
        <f ca="1">H1151*Valuation_Senario!$L$372</f>
        <v>11629.60674177</v>
      </c>
      <c r="AA1201" s="973">
        <v>15.8</v>
      </c>
      <c r="AM1201" s="967">
        <v>43670</v>
      </c>
      <c r="AN1201" s="974">
        <v>107400</v>
      </c>
    </row>
    <row r="1202" spans="1:40">
      <c r="A1202" s="966">
        <v>1195</v>
      </c>
      <c r="B1202" s="967">
        <v>43669</v>
      </c>
      <c r="C1202" s="966">
        <v>108900</v>
      </c>
      <c r="D1202" s="966">
        <v>260.26605549999999</v>
      </c>
      <c r="E1202" s="966">
        <v>260.26605549999999</v>
      </c>
      <c r="F1202" s="966">
        <v>55180.01</v>
      </c>
      <c r="G1202" s="966">
        <v>48219.416853299997</v>
      </c>
      <c r="H1202" s="966">
        <v>7177</v>
      </c>
      <c r="I1202" s="966">
        <v>15.17</v>
      </c>
      <c r="Q1202" s="967">
        <v>43669</v>
      </c>
      <c r="R1202" s="966">
        <v>108900</v>
      </c>
      <c r="T1202" s="969">
        <v>0</v>
      </c>
      <c r="U1202" s="966">
        <v>7177</v>
      </c>
      <c r="W1202" s="971" t="e">
        <f t="shared" si="21"/>
        <v>#DIV/0!</v>
      </c>
      <c r="Y1202" s="967">
        <v>43740</v>
      </c>
      <c r="Z1202" s="974">
        <f ca="1">H1152*Valuation_Senario!$L$372</f>
        <v>11629.60674177</v>
      </c>
      <c r="AA1202" s="973">
        <v>15.81</v>
      </c>
      <c r="AM1202" s="967">
        <v>43669</v>
      </c>
      <c r="AN1202" s="974">
        <v>108900</v>
      </c>
    </row>
    <row r="1203" spans="1:40">
      <c r="A1203" s="966">
        <v>1196</v>
      </c>
      <c r="B1203" s="967">
        <v>43668</v>
      </c>
      <c r="C1203" s="966">
        <v>106500</v>
      </c>
      <c r="D1203" s="966">
        <v>0</v>
      </c>
      <c r="E1203" s="966">
        <v>0</v>
      </c>
      <c r="F1203" s="966">
        <v>54117.32</v>
      </c>
      <c r="G1203" s="966">
        <v>47156.7299805</v>
      </c>
      <c r="H1203" s="966">
        <v>7177</v>
      </c>
      <c r="I1203" s="966">
        <v>14.84</v>
      </c>
      <c r="Q1203" s="967">
        <v>43668</v>
      </c>
      <c r="R1203" s="966">
        <v>106500</v>
      </c>
      <c r="T1203" s="969">
        <v>0</v>
      </c>
      <c r="U1203" s="966">
        <v>7177</v>
      </c>
      <c r="W1203" s="971" t="e">
        <f t="shared" si="21"/>
        <v>#DIV/0!</v>
      </c>
      <c r="Y1203" s="967">
        <v>43739</v>
      </c>
      <c r="Z1203" s="974">
        <f ca="1">H1153*Valuation_Senario!$L$372</f>
        <v>11629.62142634</v>
      </c>
      <c r="AA1203" s="973">
        <v>16.100000000000001</v>
      </c>
      <c r="AM1203" s="967">
        <v>43668</v>
      </c>
      <c r="AN1203" s="974">
        <v>106500</v>
      </c>
    </row>
    <row r="1204" spans="1:40">
      <c r="A1204" s="966">
        <v>1197</v>
      </c>
      <c r="B1204" s="967">
        <v>43665</v>
      </c>
      <c r="C1204" s="966">
        <v>105900</v>
      </c>
      <c r="D1204" s="966">
        <v>148.12193500000001</v>
      </c>
      <c r="E1204" s="966">
        <v>148.12193500000001</v>
      </c>
      <c r="F1204" s="966">
        <v>53851.65</v>
      </c>
      <c r="G1204" s="966">
        <v>46891.058262300001</v>
      </c>
      <c r="H1204" s="966">
        <v>7177</v>
      </c>
      <c r="I1204" s="966">
        <v>14.76</v>
      </c>
      <c r="Q1204" s="967">
        <v>43665</v>
      </c>
      <c r="R1204" s="966">
        <v>105900</v>
      </c>
      <c r="T1204" s="969">
        <v>0</v>
      </c>
      <c r="U1204" s="966">
        <v>7177</v>
      </c>
      <c r="W1204" s="971" t="e">
        <f t="shared" si="21"/>
        <v>#DIV/0!</v>
      </c>
      <c r="Y1204" s="967">
        <v>43738</v>
      </c>
      <c r="Z1204" s="974">
        <f ca="1">H1154*Valuation_Senario!$L$372</f>
        <v>11629.62142634</v>
      </c>
      <c r="AA1204" s="973">
        <v>15.92</v>
      </c>
      <c r="AM1204" s="967">
        <v>43665</v>
      </c>
      <c r="AN1204" s="974">
        <v>105900</v>
      </c>
    </row>
    <row r="1205" spans="1:40">
      <c r="A1205" s="966">
        <v>1198</v>
      </c>
      <c r="B1205" s="967">
        <v>43664</v>
      </c>
      <c r="C1205" s="966">
        <v>103900</v>
      </c>
      <c r="D1205" s="966">
        <v>0</v>
      </c>
      <c r="E1205" s="966">
        <v>0</v>
      </c>
      <c r="F1205" s="966">
        <v>52966.080000000002</v>
      </c>
      <c r="G1205" s="966">
        <v>46005.485868299998</v>
      </c>
      <c r="H1205" s="966">
        <v>7177</v>
      </c>
      <c r="I1205" s="966">
        <v>14.48</v>
      </c>
      <c r="Q1205" s="967">
        <v>43664</v>
      </c>
      <c r="R1205" s="966">
        <v>103900</v>
      </c>
      <c r="T1205" s="969">
        <v>0</v>
      </c>
      <c r="U1205" s="966">
        <v>7177</v>
      </c>
      <c r="W1205" s="971" t="e">
        <f t="shared" si="21"/>
        <v>#DIV/0!</v>
      </c>
      <c r="Y1205" s="967">
        <v>43735</v>
      </c>
      <c r="Z1205" s="974">
        <f ca="1">H1155*Valuation_Senario!$L$372</f>
        <v>11629.63611091</v>
      </c>
      <c r="AA1205" s="973">
        <v>16.16</v>
      </c>
      <c r="AM1205" s="967">
        <v>43664</v>
      </c>
      <c r="AN1205" s="974">
        <v>103900</v>
      </c>
    </row>
    <row r="1206" spans="1:40">
      <c r="A1206" s="966">
        <v>1199</v>
      </c>
      <c r="B1206" s="967">
        <v>43663</v>
      </c>
      <c r="C1206" s="966">
        <v>101600</v>
      </c>
      <c r="D1206" s="966">
        <v>0</v>
      </c>
      <c r="E1206" s="966">
        <v>0</v>
      </c>
      <c r="F1206" s="966">
        <v>51947.67</v>
      </c>
      <c r="G1206" s="966">
        <v>44987.077615200003</v>
      </c>
      <c r="H1206" s="966">
        <v>7177</v>
      </c>
      <c r="I1206" s="966">
        <v>14.16</v>
      </c>
      <c r="Q1206" s="967">
        <v>43663</v>
      </c>
      <c r="R1206" s="966">
        <v>101600</v>
      </c>
      <c r="T1206" s="969">
        <v>0</v>
      </c>
      <c r="U1206" s="966">
        <v>7177</v>
      </c>
      <c r="W1206" s="971" t="e">
        <f t="shared" si="21"/>
        <v>#DIV/0!</v>
      </c>
      <c r="Y1206" s="967">
        <v>43734</v>
      </c>
      <c r="Z1206" s="974">
        <f ca="1">H1156*Valuation_Senario!$L$372</f>
        <v>11629.63611091</v>
      </c>
      <c r="AA1206" s="973">
        <v>15.91</v>
      </c>
      <c r="AM1206" s="967">
        <v>43663</v>
      </c>
      <c r="AN1206" s="974">
        <v>101600</v>
      </c>
    </row>
    <row r="1207" spans="1:40">
      <c r="A1207" s="966">
        <v>1200</v>
      </c>
      <c r="B1207" s="967">
        <v>43662</v>
      </c>
      <c r="C1207" s="966">
        <v>102200</v>
      </c>
      <c r="D1207" s="966">
        <v>0</v>
      </c>
      <c r="E1207" s="966">
        <v>0</v>
      </c>
      <c r="F1207" s="966">
        <v>52213.34</v>
      </c>
      <c r="G1207" s="966">
        <v>45252.749333400003</v>
      </c>
      <c r="H1207" s="966">
        <v>7177</v>
      </c>
      <c r="I1207" s="966">
        <v>14.24</v>
      </c>
      <c r="Q1207" s="967">
        <v>43662</v>
      </c>
      <c r="R1207" s="966">
        <v>102200</v>
      </c>
      <c r="T1207" s="969">
        <v>0</v>
      </c>
      <c r="U1207" s="966">
        <v>7177</v>
      </c>
      <c r="W1207" s="971" t="e">
        <f t="shared" si="21"/>
        <v>#DIV/0!</v>
      </c>
      <c r="Y1207" s="967">
        <v>43733</v>
      </c>
      <c r="Z1207" s="974">
        <f ca="1">H1157*Valuation_Senario!$L$372</f>
        <v>11629.63611091</v>
      </c>
      <c r="AA1207" s="973">
        <v>15.85</v>
      </c>
      <c r="AM1207" s="967">
        <v>43662</v>
      </c>
      <c r="AN1207" s="974">
        <v>102200</v>
      </c>
    </row>
    <row r="1208" spans="1:40">
      <c r="A1208" s="966">
        <v>1201</v>
      </c>
      <c r="B1208" s="967">
        <v>43661</v>
      </c>
      <c r="C1208" s="966">
        <v>101200</v>
      </c>
      <c r="D1208" s="966">
        <v>1.2844E-2</v>
      </c>
      <c r="E1208" s="966">
        <v>0</v>
      </c>
      <c r="F1208" s="966">
        <v>51770.559999999998</v>
      </c>
      <c r="G1208" s="966">
        <v>44809.963136400002</v>
      </c>
      <c r="H1208" s="966">
        <v>7177</v>
      </c>
      <c r="I1208" s="966">
        <v>14.1</v>
      </c>
      <c r="Q1208" s="967">
        <v>43661</v>
      </c>
      <c r="R1208" s="966">
        <v>101200</v>
      </c>
      <c r="T1208" s="969">
        <v>1.2844E-2</v>
      </c>
      <c r="U1208" s="966">
        <v>7177</v>
      </c>
      <c r="W1208" s="971" t="e">
        <f t="shared" si="21"/>
        <v>#DIV/0!</v>
      </c>
      <c r="Y1208" s="967">
        <v>43732</v>
      </c>
      <c r="Z1208" s="974">
        <f ca="1">H1158*Valuation_Senario!$L$372</f>
        <v>11629.63611091</v>
      </c>
      <c r="AA1208" s="973">
        <v>15.4</v>
      </c>
      <c r="AM1208" s="967">
        <v>43661</v>
      </c>
      <c r="AN1208" s="974">
        <v>101200</v>
      </c>
    </row>
    <row r="1209" spans="1:40">
      <c r="A1209" s="966">
        <v>1202</v>
      </c>
      <c r="B1209" s="967">
        <v>43658</v>
      </c>
      <c r="C1209" s="966">
        <v>98100</v>
      </c>
      <c r="D1209" s="966">
        <v>0</v>
      </c>
      <c r="E1209" s="966">
        <v>0</v>
      </c>
      <c r="F1209" s="966">
        <v>50397.919999999998</v>
      </c>
      <c r="G1209" s="966">
        <v>43437.325925700003</v>
      </c>
      <c r="H1209" s="966">
        <v>7177</v>
      </c>
      <c r="I1209" s="966">
        <v>13.67</v>
      </c>
      <c r="Q1209" s="967">
        <v>43658</v>
      </c>
      <c r="R1209" s="966">
        <v>98100</v>
      </c>
      <c r="T1209" s="969">
        <v>0</v>
      </c>
      <c r="U1209" s="966">
        <v>7177</v>
      </c>
      <c r="W1209" s="971" t="e">
        <f t="shared" si="21"/>
        <v>#DIV/0!</v>
      </c>
      <c r="Y1209" s="967">
        <v>43731</v>
      </c>
      <c r="Z1209" s="974">
        <f ca="1">H1159*Valuation_Senario!$L$372</f>
        <v>11629.65079548</v>
      </c>
      <c r="AA1209" s="973">
        <v>15.61</v>
      </c>
      <c r="AM1209" s="967">
        <v>43658</v>
      </c>
      <c r="AN1209" s="974">
        <v>98100</v>
      </c>
    </row>
    <row r="1210" spans="1:40">
      <c r="A1210" s="966">
        <v>1203</v>
      </c>
      <c r="B1210" s="967">
        <v>43657</v>
      </c>
      <c r="C1210" s="966">
        <v>98000</v>
      </c>
      <c r="D1210" s="966">
        <v>0</v>
      </c>
      <c r="E1210" s="966">
        <v>0</v>
      </c>
      <c r="F1210" s="966">
        <v>50353.64</v>
      </c>
      <c r="G1210" s="966">
        <v>43393.047306</v>
      </c>
      <c r="H1210" s="966">
        <v>7177</v>
      </c>
      <c r="I1210" s="966">
        <v>13.65</v>
      </c>
      <c r="Q1210" s="967">
        <v>43657</v>
      </c>
      <c r="R1210" s="966">
        <v>98000</v>
      </c>
      <c r="T1210" s="969">
        <v>0</v>
      </c>
      <c r="U1210" s="966">
        <v>7177</v>
      </c>
      <c r="W1210" s="971" t="e">
        <f t="shared" si="21"/>
        <v>#DIV/0!</v>
      </c>
      <c r="Y1210" s="967">
        <v>43728</v>
      </c>
      <c r="Z1210" s="974">
        <f ca="1">H1160*Valuation_Senario!$L$372</f>
        <v>11629.65079548</v>
      </c>
      <c r="AA1210" s="973">
        <v>15.97</v>
      </c>
      <c r="AM1210" s="967">
        <v>43657</v>
      </c>
      <c r="AN1210" s="974">
        <v>98000</v>
      </c>
    </row>
    <row r="1211" spans="1:40">
      <c r="A1211" s="966">
        <v>1204</v>
      </c>
      <c r="B1211" s="967">
        <v>43656</v>
      </c>
      <c r="C1211" s="966">
        <v>98400</v>
      </c>
      <c r="D1211" s="966">
        <v>0</v>
      </c>
      <c r="E1211" s="966">
        <v>1.2836999999999999E-2</v>
      </c>
      <c r="F1211" s="966">
        <v>50530.76</v>
      </c>
      <c r="G1211" s="966">
        <v>43570.161784800002</v>
      </c>
      <c r="H1211" s="966">
        <v>7177</v>
      </c>
      <c r="I1211" s="966">
        <v>13.71</v>
      </c>
      <c r="Q1211" s="967">
        <v>43656</v>
      </c>
      <c r="R1211" s="966">
        <v>98400</v>
      </c>
      <c r="T1211" s="969">
        <v>-1.2836999999999999E-2</v>
      </c>
      <c r="U1211" s="966">
        <v>7177</v>
      </c>
      <c r="W1211" s="971" t="e">
        <f t="shared" si="21"/>
        <v>#DIV/0!</v>
      </c>
      <c r="Y1211" s="967">
        <v>43727</v>
      </c>
      <c r="Z1211" s="974">
        <f ca="1">H1161*Valuation_Senario!$L$372</f>
        <v>11629.665480049998</v>
      </c>
      <c r="AA1211" s="973">
        <v>15.81</v>
      </c>
      <c r="AM1211" s="967">
        <v>43656</v>
      </c>
      <c r="AN1211" s="974">
        <v>98400</v>
      </c>
    </row>
    <row r="1212" spans="1:40">
      <c r="A1212" s="966">
        <v>1205</v>
      </c>
      <c r="B1212" s="967">
        <v>43655</v>
      </c>
      <c r="C1212" s="966">
        <v>97000</v>
      </c>
      <c r="D1212" s="966">
        <v>0</v>
      </c>
      <c r="E1212" s="966">
        <v>0</v>
      </c>
      <c r="F1212" s="966">
        <v>49910.85</v>
      </c>
      <c r="G1212" s="966">
        <v>42950.261108999999</v>
      </c>
      <c r="H1212" s="966">
        <v>7177</v>
      </c>
      <c r="I1212" s="966">
        <v>13.52</v>
      </c>
      <c r="Q1212" s="967">
        <v>43655</v>
      </c>
      <c r="R1212" s="966">
        <v>97000</v>
      </c>
      <c r="T1212" s="969">
        <v>0</v>
      </c>
      <c r="U1212" s="966">
        <v>7177</v>
      </c>
      <c r="W1212" s="971" t="e">
        <f t="shared" si="21"/>
        <v>#DIV/0!</v>
      </c>
      <c r="Y1212" s="967">
        <v>43726</v>
      </c>
      <c r="Z1212" s="974">
        <f ca="1">H1162*Valuation_Senario!$L$372</f>
        <v>11629.665480049998</v>
      </c>
      <c r="AA1212" s="973">
        <v>15.4</v>
      </c>
      <c r="AM1212" s="967">
        <v>43655</v>
      </c>
      <c r="AN1212" s="974">
        <v>97000</v>
      </c>
    </row>
    <row r="1213" spans="1:40">
      <c r="A1213" s="966">
        <v>1206</v>
      </c>
      <c r="B1213" s="967">
        <v>43654</v>
      </c>
      <c r="C1213" s="966">
        <v>94300</v>
      </c>
      <c r="D1213" s="966">
        <v>0</v>
      </c>
      <c r="E1213" s="966">
        <v>0</v>
      </c>
      <c r="F1213" s="966">
        <v>48715.33</v>
      </c>
      <c r="G1213" s="966">
        <v>41754.738377100002</v>
      </c>
      <c r="H1213" s="966">
        <v>7177</v>
      </c>
      <c r="I1213" s="966">
        <v>13.14</v>
      </c>
      <c r="Q1213" s="967">
        <v>43654</v>
      </c>
      <c r="R1213" s="966">
        <v>94300</v>
      </c>
      <c r="T1213" s="969">
        <v>0</v>
      </c>
      <c r="U1213" s="966">
        <v>7177</v>
      </c>
      <c r="W1213" s="971" t="e">
        <f t="shared" si="21"/>
        <v>#DIV/0!</v>
      </c>
      <c r="Y1213" s="967">
        <v>43725</v>
      </c>
      <c r="Z1213" s="974">
        <f ca="1">H1163*Valuation_Senario!$L$372</f>
        <v>11629.665480049998</v>
      </c>
      <c r="AA1213" s="973">
        <v>15.58</v>
      </c>
      <c r="AM1213" s="967">
        <v>43654</v>
      </c>
      <c r="AN1213" s="974">
        <v>94300</v>
      </c>
    </row>
    <row r="1214" spans="1:40">
      <c r="A1214" s="966">
        <v>1207</v>
      </c>
      <c r="B1214" s="967">
        <v>43651</v>
      </c>
      <c r="C1214" s="966">
        <v>95400</v>
      </c>
      <c r="D1214" s="966">
        <v>0</v>
      </c>
      <c r="E1214" s="966">
        <v>0</v>
      </c>
      <c r="F1214" s="966">
        <v>49202.400000000001</v>
      </c>
      <c r="G1214" s="966">
        <v>42241.803193799999</v>
      </c>
      <c r="H1214" s="966">
        <v>7177</v>
      </c>
      <c r="I1214" s="966">
        <v>13.29</v>
      </c>
      <c r="Q1214" s="967">
        <v>43651</v>
      </c>
      <c r="R1214" s="966">
        <v>95400</v>
      </c>
      <c r="T1214" s="969">
        <v>0</v>
      </c>
      <c r="U1214" s="966">
        <v>7177</v>
      </c>
      <c r="W1214" s="971" t="e">
        <f t="shared" si="21"/>
        <v>#DIV/0!</v>
      </c>
      <c r="Y1214" s="967">
        <v>43724</v>
      </c>
      <c r="Z1214" s="974">
        <f ca="1">H1164*Valuation_Senario!$L$372</f>
        <v>11629.665480049998</v>
      </c>
      <c r="AA1214" s="973">
        <v>15.59</v>
      </c>
      <c r="AM1214" s="967">
        <v>43651</v>
      </c>
      <c r="AN1214" s="974">
        <v>95400</v>
      </c>
    </row>
    <row r="1215" spans="1:40">
      <c r="A1215" s="966">
        <v>1208</v>
      </c>
      <c r="B1215" s="967">
        <v>43650</v>
      </c>
      <c r="C1215" s="966">
        <v>95500</v>
      </c>
      <c r="D1215" s="966">
        <v>0</v>
      </c>
      <c r="E1215" s="966">
        <v>0</v>
      </c>
      <c r="F1215" s="966">
        <v>49246.68</v>
      </c>
      <c r="G1215" s="966">
        <v>42286.081813500001</v>
      </c>
      <c r="H1215" s="966">
        <v>7177</v>
      </c>
      <c r="I1215" s="966">
        <v>13.31</v>
      </c>
      <c r="Q1215" s="967">
        <v>43650</v>
      </c>
      <c r="R1215" s="966">
        <v>95500</v>
      </c>
      <c r="T1215" s="969">
        <v>0</v>
      </c>
      <c r="U1215" s="966">
        <v>7177</v>
      </c>
      <c r="W1215" s="971" t="e">
        <f t="shared" si="21"/>
        <v>#DIV/0!</v>
      </c>
      <c r="Y1215" s="967">
        <v>43721</v>
      </c>
      <c r="Z1215" s="974">
        <f ca="1">H1165*Valuation_Senario!$L$372</f>
        <v>11629.665480049998</v>
      </c>
      <c r="AA1215" s="973">
        <v>15.46</v>
      </c>
      <c r="AM1215" s="967">
        <v>43650</v>
      </c>
      <c r="AN1215" s="974">
        <v>95500</v>
      </c>
    </row>
    <row r="1216" spans="1:40">
      <c r="A1216" s="966">
        <v>1209</v>
      </c>
      <c r="B1216" s="967">
        <v>43649</v>
      </c>
      <c r="C1216" s="966">
        <v>95600</v>
      </c>
      <c r="D1216" s="966">
        <v>0</v>
      </c>
      <c r="E1216" s="966">
        <v>0</v>
      </c>
      <c r="F1216" s="966">
        <v>49290.95</v>
      </c>
      <c r="G1216" s="966">
        <v>42330.360433200003</v>
      </c>
      <c r="H1216" s="966">
        <v>7177</v>
      </c>
      <c r="I1216" s="966">
        <v>13.32</v>
      </c>
      <c r="Q1216" s="967">
        <v>43649</v>
      </c>
      <c r="R1216" s="966">
        <v>95600</v>
      </c>
      <c r="T1216" s="969">
        <v>0</v>
      </c>
      <c r="U1216" s="966">
        <v>7177</v>
      </c>
      <c r="W1216" s="971" t="e">
        <f t="shared" si="21"/>
        <v>#DIV/0!</v>
      </c>
      <c r="Y1216" s="967">
        <v>43720</v>
      </c>
      <c r="Z1216" s="974">
        <f ca="1">H1166*Valuation_Senario!$L$372</f>
        <v>11629.665480049998</v>
      </c>
      <c r="AA1216" s="973">
        <v>14.75</v>
      </c>
      <c r="AM1216" s="967">
        <v>43649</v>
      </c>
      <c r="AN1216" s="974">
        <v>95600</v>
      </c>
    </row>
    <row r="1217" spans="1:40">
      <c r="A1217" s="966">
        <v>1210</v>
      </c>
      <c r="B1217" s="967">
        <v>43648</v>
      </c>
      <c r="C1217" s="966">
        <v>95500</v>
      </c>
      <c r="D1217" s="966">
        <v>0</v>
      </c>
      <c r="E1217" s="966">
        <v>0</v>
      </c>
      <c r="F1217" s="966">
        <v>49246.68</v>
      </c>
      <c r="G1217" s="966">
        <v>42286.081813500001</v>
      </c>
      <c r="H1217" s="966">
        <v>7177</v>
      </c>
      <c r="I1217" s="966">
        <v>13.31</v>
      </c>
      <c r="Q1217" s="967">
        <v>43648</v>
      </c>
      <c r="R1217" s="966">
        <v>95500</v>
      </c>
      <c r="T1217" s="969">
        <v>0</v>
      </c>
      <c r="U1217" s="966">
        <v>7177</v>
      </c>
      <c r="W1217" s="971" t="e">
        <f t="shared" si="21"/>
        <v>#DIV/0!</v>
      </c>
      <c r="Y1217" s="967">
        <v>43719</v>
      </c>
      <c r="Z1217" s="974">
        <f ca="1">H1167*Valuation_Senario!$L$372</f>
        <v>11629.665480049998</v>
      </c>
      <c r="AA1217" s="973">
        <v>14.53</v>
      </c>
      <c r="AM1217" s="967">
        <v>43648</v>
      </c>
      <c r="AN1217" s="974">
        <v>95500</v>
      </c>
    </row>
    <row r="1218" spans="1:40">
      <c r="A1218" s="966">
        <v>1211</v>
      </c>
      <c r="B1218" s="967">
        <v>43647</v>
      </c>
      <c r="C1218" s="966">
        <v>94700</v>
      </c>
      <c r="D1218" s="966">
        <v>0</v>
      </c>
      <c r="E1218" s="966">
        <v>0</v>
      </c>
      <c r="F1218" s="966">
        <v>48892.45</v>
      </c>
      <c r="G1218" s="966">
        <v>41931.852855899997</v>
      </c>
      <c r="H1218" s="966">
        <v>7177</v>
      </c>
      <c r="I1218" s="966">
        <v>13.19</v>
      </c>
      <c r="Q1218" s="967">
        <v>43647</v>
      </c>
      <c r="R1218" s="966">
        <v>94700</v>
      </c>
      <c r="T1218" s="969">
        <v>0</v>
      </c>
      <c r="U1218" s="966">
        <v>7177</v>
      </c>
      <c r="W1218" s="971" t="e">
        <f t="shared" si="21"/>
        <v>#DIV/0!</v>
      </c>
      <c r="Y1218" s="967">
        <v>43718</v>
      </c>
      <c r="Z1218" s="974">
        <f ca="1">H1168*Valuation_Senario!$L$372</f>
        <v>11629.665480049998</v>
      </c>
      <c r="AA1218" s="973">
        <v>14.51</v>
      </c>
      <c r="AM1218" s="967">
        <v>43647</v>
      </c>
      <c r="AN1218" s="974">
        <v>94700</v>
      </c>
    </row>
    <row r="1219" spans="1:40">
      <c r="A1219" s="966">
        <v>1212</v>
      </c>
      <c r="B1219" s="967">
        <v>43644</v>
      </c>
      <c r="C1219" s="966">
        <v>92800</v>
      </c>
      <c r="D1219" s="966">
        <v>1.0123200000000001</v>
      </c>
      <c r="E1219" s="966">
        <v>0</v>
      </c>
      <c r="F1219" s="966">
        <v>48051.15</v>
      </c>
      <c r="G1219" s="966">
        <v>41090.559081599997</v>
      </c>
      <c r="H1219" s="966">
        <v>7177</v>
      </c>
      <c r="I1219" s="966">
        <v>12.93</v>
      </c>
      <c r="Q1219" s="967">
        <v>43644</v>
      </c>
      <c r="R1219" s="966">
        <v>92800</v>
      </c>
      <c r="T1219" s="969">
        <v>1.0123200000000001</v>
      </c>
      <c r="U1219" s="966">
        <v>7177</v>
      </c>
      <c r="W1219" s="971" t="e">
        <f t="shared" si="21"/>
        <v>#DIV/0!</v>
      </c>
      <c r="Y1219" s="967">
        <v>43717</v>
      </c>
      <c r="Z1219" s="974">
        <f ca="1">H1169*Valuation_Senario!$L$372</f>
        <v>11629.665480049998</v>
      </c>
      <c r="AA1219" s="973">
        <v>14.66</v>
      </c>
      <c r="AM1219" s="967">
        <v>43644</v>
      </c>
      <c r="AN1219" s="974">
        <v>92800</v>
      </c>
    </row>
    <row r="1220" spans="1:40">
      <c r="A1220" s="966">
        <v>1213</v>
      </c>
      <c r="B1220" s="967">
        <v>43643</v>
      </c>
      <c r="C1220" s="966">
        <v>91000</v>
      </c>
      <c r="D1220" s="966">
        <v>0</v>
      </c>
      <c r="E1220" s="966">
        <v>0</v>
      </c>
      <c r="F1220" s="966">
        <v>47254.14</v>
      </c>
      <c r="G1220" s="966">
        <v>40293.543926999999</v>
      </c>
      <c r="H1220" s="966">
        <v>7177</v>
      </c>
      <c r="I1220" s="966">
        <v>12.68</v>
      </c>
      <c r="Q1220" s="967">
        <v>43643</v>
      </c>
      <c r="R1220" s="966">
        <v>91000</v>
      </c>
      <c r="T1220" s="969">
        <v>0</v>
      </c>
      <c r="U1220" s="966">
        <v>7177</v>
      </c>
      <c r="W1220" s="971" t="e">
        <f t="shared" si="21"/>
        <v>#DIV/0!</v>
      </c>
      <c r="Y1220" s="967">
        <v>43714</v>
      </c>
      <c r="Z1220" s="974">
        <f ca="1">H1170*Valuation_Senario!$L$372</f>
        <v>11629.665480049998</v>
      </c>
      <c r="AA1220" s="973">
        <v>14.77</v>
      </c>
      <c r="AM1220" s="967">
        <v>43643</v>
      </c>
      <c r="AN1220" s="974">
        <v>91000</v>
      </c>
    </row>
    <row r="1221" spans="1:40">
      <c r="A1221" s="966">
        <v>1214</v>
      </c>
      <c r="B1221" s="967">
        <v>43642</v>
      </c>
      <c r="C1221" s="966">
        <v>92800</v>
      </c>
      <c r="D1221" s="966">
        <v>0</v>
      </c>
      <c r="E1221" s="966">
        <v>0</v>
      </c>
      <c r="F1221" s="966">
        <v>48051.15</v>
      </c>
      <c r="G1221" s="966">
        <v>41090.559081599997</v>
      </c>
      <c r="H1221" s="966">
        <v>7177</v>
      </c>
      <c r="I1221" s="966">
        <v>12.93</v>
      </c>
      <c r="Q1221" s="967">
        <v>43642</v>
      </c>
      <c r="R1221" s="966">
        <v>92800</v>
      </c>
      <c r="T1221" s="969">
        <v>0</v>
      </c>
      <c r="U1221" s="966">
        <v>7177</v>
      </c>
      <c r="W1221" s="971" t="e">
        <f t="shared" si="21"/>
        <v>#DIV/0!</v>
      </c>
      <c r="Y1221" s="967">
        <v>43713</v>
      </c>
      <c r="Z1221" s="974">
        <f ca="1">H1171*Valuation_Senario!$L$372</f>
        <v>11629.665480049998</v>
      </c>
      <c r="AA1221" s="973">
        <v>14.67</v>
      </c>
      <c r="AM1221" s="967">
        <v>43642</v>
      </c>
      <c r="AN1221" s="974">
        <v>92800</v>
      </c>
    </row>
    <row r="1222" spans="1:40">
      <c r="A1222" s="966">
        <v>1215</v>
      </c>
      <c r="B1222" s="967">
        <v>43641</v>
      </c>
      <c r="C1222" s="966">
        <v>91800</v>
      </c>
      <c r="D1222" s="966">
        <v>0</v>
      </c>
      <c r="E1222" s="966">
        <v>1.0123</v>
      </c>
      <c r="F1222" s="966">
        <v>47608.37</v>
      </c>
      <c r="G1222" s="966">
        <v>40647.772884600003</v>
      </c>
      <c r="H1222" s="966">
        <v>7177</v>
      </c>
      <c r="I1222" s="966">
        <v>12.79</v>
      </c>
      <c r="Q1222" s="967">
        <v>43641</v>
      </c>
      <c r="R1222" s="966">
        <v>91800</v>
      </c>
      <c r="T1222" s="969">
        <v>-1.0123</v>
      </c>
      <c r="U1222" s="966">
        <v>7177</v>
      </c>
      <c r="W1222" s="971" t="e">
        <f t="shared" si="21"/>
        <v>#DIV/0!</v>
      </c>
      <c r="Y1222" s="967">
        <v>43712</v>
      </c>
      <c r="Z1222" s="974">
        <f ca="1">H1172*Valuation_Senario!$L$372</f>
        <v>11629.665480049998</v>
      </c>
      <c r="AA1222" s="973">
        <v>14.89</v>
      </c>
      <c r="AM1222" s="967">
        <v>43641</v>
      </c>
      <c r="AN1222" s="974">
        <v>91800</v>
      </c>
    </row>
    <row r="1223" spans="1:40">
      <c r="A1223" s="966">
        <v>1216</v>
      </c>
      <c r="B1223" s="967">
        <v>43640</v>
      </c>
      <c r="C1223" s="966">
        <v>91400</v>
      </c>
      <c r="D1223" s="966">
        <v>0</v>
      </c>
      <c r="E1223" s="966">
        <v>0</v>
      </c>
      <c r="F1223" s="966">
        <v>47431.25</v>
      </c>
      <c r="G1223" s="966">
        <v>40470.658405800001</v>
      </c>
      <c r="H1223" s="966">
        <v>7177</v>
      </c>
      <c r="I1223" s="966">
        <v>12.74</v>
      </c>
      <c r="Q1223" s="967">
        <v>43640</v>
      </c>
      <c r="R1223" s="966">
        <v>91400</v>
      </c>
      <c r="T1223" s="969">
        <v>0</v>
      </c>
      <c r="U1223" s="966">
        <v>7177</v>
      </c>
      <c r="W1223" s="971" t="e">
        <f t="shared" si="21"/>
        <v>#DIV/0!</v>
      </c>
      <c r="Y1223" s="967">
        <v>43711</v>
      </c>
      <c r="Z1223" s="974">
        <f ca="1">H1173*Valuation_Senario!$L$372</f>
        <v>11629.665480049998</v>
      </c>
      <c r="AA1223" s="973">
        <v>14.85</v>
      </c>
      <c r="AM1223" s="967">
        <v>43640</v>
      </c>
      <c r="AN1223" s="974">
        <v>91400</v>
      </c>
    </row>
    <row r="1224" spans="1:40">
      <c r="A1224" s="966">
        <v>1217</v>
      </c>
      <c r="B1224" s="967">
        <v>43637</v>
      </c>
      <c r="C1224" s="966">
        <v>91000</v>
      </c>
      <c r="D1224" s="966">
        <v>0</v>
      </c>
      <c r="E1224" s="966">
        <v>0</v>
      </c>
      <c r="F1224" s="966">
        <v>47254.14</v>
      </c>
      <c r="G1224" s="966">
        <v>40293.543926999999</v>
      </c>
      <c r="H1224" s="966">
        <v>7177</v>
      </c>
      <c r="I1224" s="966">
        <v>12.68</v>
      </c>
      <c r="Q1224" s="967">
        <v>43637</v>
      </c>
      <c r="R1224" s="966">
        <v>91000</v>
      </c>
      <c r="T1224" s="969">
        <v>0</v>
      </c>
      <c r="U1224" s="966">
        <v>7177</v>
      </c>
      <c r="W1224" s="971" t="e">
        <f t="shared" si="21"/>
        <v>#DIV/0!</v>
      </c>
      <c r="Y1224" s="967">
        <v>43707</v>
      </c>
      <c r="Z1224" s="974">
        <f ca="1">H1174*Valuation_Senario!$L$372</f>
        <v>11629.665480049998</v>
      </c>
      <c r="AA1224" s="973">
        <v>14.76</v>
      </c>
      <c r="AM1224" s="967">
        <v>43637</v>
      </c>
      <c r="AN1224" s="974">
        <v>91000</v>
      </c>
    </row>
    <row r="1225" spans="1:40">
      <c r="A1225" s="966">
        <v>1218</v>
      </c>
      <c r="B1225" s="967">
        <v>43636</v>
      </c>
      <c r="C1225" s="966">
        <v>90700</v>
      </c>
      <c r="D1225" s="966">
        <v>0</v>
      </c>
      <c r="E1225" s="966">
        <v>0</v>
      </c>
      <c r="F1225" s="966">
        <v>46191.45</v>
      </c>
      <c r="G1225" s="966">
        <v>39230.857054200002</v>
      </c>
      <c r="H1225" s="966">
        <v>7177</v>
      </c>
      <c r="I1225" s="966">
        <v>12.34</v>
      </c>
      <c r="Q1225" s="967">
        <v>43636</v>
      </c>
      <c r="R1225" s="966">
        <v>90700</v>
      </c>
      <c r="T1225" s="969">
        <v>0</v>
      </c>
      <c r="U1225" s="966">
        <v>7177</v>
      </c>
      <c r="W1225" s="971" t="e">
        <f t="shared" ref="W1225:W1288" si="22">T1225/V1225</f>
        <v>#DIV/0!</v>
      </c>
      <c r="Y1225" s="967">
        <v>43706</v>
      </c>
      <c r="Z1225" s="974">
        <f ca="1">H1175*Valuation_Senario!$L$372</f>
        <v>11629.665480049998</v>
      </c>
      <c r="AA1225" s="973">
        <v>14.52</v>
      </c>
      <c r="AM1225" s="967">
        <v>43636</v>
      </c>
      <c r="AN1225" s="974">
        <v>90700</v>
      </c>
    </row>
    <row r="1226" spans="1:40">
      <c r="A1226" s="966">
        <v>1219</v>
      </c>
      <c r="B1226" s="967">
        <v>43635</v>
      </c>
      <c r="C1226" s="966">
        <v>88600</v>
      </c>
      <c r="D1226" s="966">
        <v>0</v>
      </c>
      <c r="E1226" s="966">
        <v>0</v>
      </c>
      <c r="F1226" s="966">
        <v>46191.45</v>
      </c>
      <c r="G1226" s="966">
        <v>39230.857054200002</v>
      </c>
      <c r="H1226" s="966">
        <v>7177</v>
      </c>
      <c r="I1226" s="966">
        <v>12.34</v>
      </c>
      <c r="Q1226" s="967">
        <v>43635</v>
      </c>
      <c r="R1226" s="966">
        <v>88600</v>
      </c>
      <c r="T1226" s="969">
        <v>0</v>
      </c>
      <c r="U1226" s="966">
        <v>7177</v>
      </c>
      <c r="W1226" s="971" t="e">
        <f t="shared" si="22"/>
        <v>#DIV/0!</v>
      </c>
      <c r="Y1226" s="967">
        <v>43705</v>
      </c>
      <c r="Z1226" s="974">
        <f ca="1">H1176*Valuation_Senario!$L$372</f>
        <v>11629.665480049998</v>
      </c>
      <c r="AA1226" s="973">
        <v>14.37</v>
      </c>
      <c r="AM1226" s="967">
        <v>43635</v>
      </c>
      <c r="AN1226" s="974">
        <v>88600</v>
      </c>
    </row>
    <row r="1227" spans="1:40">
      <c r="A1227" s="966">
        <v>1220</v>
      </c>
      <c r="B1227" s="967">
        <v>43634</v>
      </c>
      <c r="C1227" s="966">
        <v>88300</v>
      </c>
      <c r="D1227" s="966">
        <v>0</v>
      </c>
      <c r="E1227" s="966">
        <v>0</v>
      </c>
      <c r="F1227" s="966">
        <v>46058.61</v>
      </c>
      <c r="G1227" s="966">
        <v>39098.021195100002</v>
      </c>
      <c r="H1227" s="966">
        <v>7177</v>
      </c>
      <c r="I1227" s="966">
        <v>12.3</v>
      </c>
      <c r="Q1227" s="967">
        <v>43634</v>
      </c>
      <c r="R1227" s="966">
        <v>88300</v>
      </c>
      <c r="T1227" s="969">
        <v>0</v>
      </c>
      <c r="U1227" s="966">
        <v>7177</v>
      </c>
      <c r="W1227" s="971" t="e">
        <f t="shared" si="22"/>
        <v>#DIV/0!</v>
      </c>
      <c r="Y1227" s="967">
        <v>43704</v>
      </c>
      <c r="Z1227" s="974">
        <f ca="1">H1177*Valuation_Senario!$L$372</f>
        <v>11629.665480049998</v>
      </c>
      <c r="AA1227" s="973">
        <v>14.39</v>
      </c>
      <c r="AM1227" s="967">
        <v>43634</v>
      </c>
      <c r="AN1227" s="974">
        <v>88300</v>
      </c>
    </row>
    <row r="1228" spans="1:40">
      <c r="A1228" s="966">
        <v>1221</v>
      </c>
      <c r="B1228" s="967">
        <v>43633</v>
      </c>
      <c r="C1228" s="966">
        <v>87800</v>
      </c>
      <c r="D1228" s="966">
        <v>79.284549100000007</v>
      </c>
      <c r="E1228" s="966">
        <v>79.284549100000007</v>
      </c>
      <c r="F1228" s="966">
        <v>45837.22</v>
      </c>
      <c r="G1228" s="966">
        <v>38876.628096599998</v>
      </c>
      <c r="H1228" s="966">
        <v>7177</v>
      </c>
      <c r="I1228" s="966">
        <v>12.23</v>
      </c>
      <c r="Q1228" s="967">
        <v>43633</v>
      </c>
      <c r="R1228" s="966">
        <v>87800</v>
      </c>
      <c r="T1228" s="969">
        <v>0</v>
      </c>
      <c r="U1228" s="966">
        <v>7177</v>
      </c>
      <c r="W1228" s="971" t="e">
        <f t="shared" si="22"/>
        <v>#DIV/0!</v>
      </c>
      <c r="Y1228" s="967">
        <v>43703</v>
      </c>
      <c r="Z1228" s="974">
        <f ca="1">H1178*Valuation_Senario!$L$372</f>
        <v>11629.665480049998</v>
      </c>
      <c r="AA1228" s="973">
        <v>14.7</v>
      </c>
      <c r="AM1228" s="967">
        <v>43633</v>
      </c>
      <c r="AN1228" s="974">
        <v>87800</v>
      </c>
    </row>
    <row r="1229" spans="1:40">
      <c r="A1229" s="966">
        <v>1222</v>
      </c>
      <c r="B1229" s="967">
        <v>43630</v>
      </c>
      <c r="C1229" s="966">
        <v>89100</v>
      </c>
      <c r="D1229" s="966">
        <v>0</v>
      </c>
      <c r="E1229" s="966">
        <v>0</v>
      </c>
      <c r="F1229" s="966">
        <v>46412.84</v>
      </c>
      <c r="G1229" s="966">
        <v>39452.250152699999</v>
      </c>
      <c r="H1229" s="966">
        <v>7177</v>
      </c>
      <c r="I1229" s="966">
        <v>12.41</v>
      </c>
      <c r="Q1229" s="967">
        <v>43630</v>
      </c>
      <c r="R1229" s="966">
        <v>89100</v>
      </c>
      <c r="T1229" s="969">
        <v>0</v>
      </c>
      <c r="U1229" s="966">
        <v>7177</v>
      </c>
      <c r="W1229" s="971" t="e">
        <f t="shared" si="22"/>
        <v>#DIV/0!</v>
      </c>
      <c r="Y1229" s="967">
        <v>43700</v>
      </c>
      <c r="Z1229" s="974">
        <f ca="1">H1179*Valuation_Senario!$L$372</f>
        <v>11629.665480049998</v>
      </c>
      <c r="AA1229" s="973">
        <v>14.71</v>
      </c>
      <c r="AM1229" s="967">
        <v>43630</v>
      </c>
      <c r="AN1229" s="974">
        <v>89100</v>
      </c>
    </row>
    <row r="1230" spans="1:40">
      <c r="A1230" s="966">
        <v>1223</v>
      </c>
      <c r="B1230" s="967">
        <v>43629</v>
      </c>
      <c r="C1230" s="966">
        <v>89400</v>
      </c>
      <c r="D1230" s="966">
        <v>0</v>
      </c>
      <c r="E1230" s="966">
        <v>0</v>
      </c>
      <c r="F1230" s="966">
        <v>46545.68</v>
      </c>
      <c r="G1230" s="966">
        <v>39585.086011799998</v>
      </c>
      <c r="H1230" s="966">
        <v>7177</v>
      </c>
      <c r="I1230" s="966">
        <v>12.46</v>
      </c>
      <c r="Q1230" s="967">
        <v>43629</v>
      </c>
      <c r="R1230" s="966">
        <v>89400</v>
      </c>
      <c r="T1230" s="969">
        <v>0</v>
      </c>
      <c r="U1230" s="966">
        <v>7177</v>
      </c>
      <c r="W1230" s="971" t="e">
        <f t="shared" si="22"/>
        <v>#DIV/0!</v>
      </c>
      <c r="Y1230" s="967">
        <v>43699</v>
      </c>
      <c r="Z1230" s="974">
        <f ca="1">H1180*Valuation_Senario!$L$372</f>
        <v>11629.665480049998</v>
      </c>
      <c r="AA1230" s="973">
        <v>14.84</v>
      </c>
      <c r="AM1230" s="967">
        <v>43629</v>
      </c>
      <c r="AN1230" s="974">
        <v>89400</v>
      </c>
    </row>
    <row r="1231" spans="1:40">
      <c r="A1231" s="966">
        <v>1224</v>
      </c>
      <c r="B1231" s="967">
        <v>43628</v>
      </c>
      <c r="C1231" s="966">
        <v>90700</v>
      </c>
      <c r="D1231" s="966">
        <v>0</v>
      </c>
      <c r="E1231" s="966">
        <v>0</v>
      </c>
      <c r="F1231" s="966">
        <v>47121.3</v>
      </c>
      <c r="G1231" s="966">
        <v>40160.708067899999</v>
      </c>
      <c r="H1231" s="966">
        <v>7177</v>
      </c>
      <c r="I1231" s="966">
        <v>12.64</v>
      </c>
      <c r="Q1231" s="967">
        <v>43628</v>
      </c>
      <c r="R1231" s="966">
        <v>90700</v>
      </c>
      <c r="T1231" s="969">
        <v>0</v>
      </c>
      <c r="U1231" s="966">
        <v>7177</v>
      </c>
      <c r="W1231" s="971" t="e">
        <f t="shared" si="22"/>
        <v>#DIV/0!</v>
      </c>
      <c r="Y1231" s="967">
        <v>43698</v>
      </c>
      <c r="Z1231" s="974">
        <f ca="1">H1181*Valuation_Senario!$L$372</f>
        <v>11629.665480049998</v>
      </c>
      <c r="AA1231" s="973">
        <v>15.19</v>
      </c>
      <c r="AM1231" s="967">
        <v>43628</v>
      </c>
      <c r="AN1231" s="974">
        <v>90700</v>
      </c>
    </row>
    <row r="1232" spans="1:40">
      <c r="A1232" s="966">
        <v>1225</v>
      </c>
      <c r="B1232" s="967">
        <v>43627</v>
      </c>
      <c r="C1232" s="966">
        <v>89600</v>
      </c>
      <c r="D1232" s="966">
        <v>0</v>
      </c>
      <c r="E1232" s="966">
        <v>0</v>
      </c>
      <c r="F1232" s="966">
        <v>46634.239999999998</v>
      </c>
      <c r="G1232" s="966">
        <v>39673.643251200003</v>
      </c>
      <c r="H1232" s="966">
        <v>7177</v>
      </c>
      <c r="I1232" s="966">
        <v>12.48</v>
      </c>
      <c r="Q1232" s="967">
        <v>43627</v>
      </c>
      <c r="R1232" s="966">
        <v>89600</v>
      </c>
      <c r="T1232" s="969">
        <v>0</v>
      </c>
      <c r="U1232" s="966">
        <v>7177</v>
      </c>
      <c r="W1232" s="971" t="e">
        <f t="shared" si="22"/>
        <v>#DIV/0!</v>
      </c>
      <c r="Y1232" s="967">
        <v>43697</v>
      </c>
      <c r="Z1232" s="974">
        <f ca="1">H1182*Valuation_Senario!$L$372</f>
        <v>11629.665480049998</v>
      </c>
      <c r="AA1232" s="973">
        <v>15.15</v>
      </c>
      <c r="AM1232" s="967">
        <v>43627</v>
      </c>
      <c r="AN1232" s="974">
        <v>89600</v>
      </c>
    </row>
    <row r="1233" spans="1:40">
      <c r="A1233" s="966">
        <v>1226</v>
      </c>
      <c r="B1233" s="967">
        <v>43626</v>
      </c>
      <c r="C1233" s="966">
        <v>88600</v>
      </c>
      <c r="D1233" s="966">
        <v>8.2121391999999993</v>
      </c>
      <c r="E1233" s="966">
        <v>8.2121391999999993</v>
      </c>
      <c r="F1233" s="966">
        <v>46191.45</v>
      </c>
      <c r="G1233" s="966">
        <v>39230.857054200002</v>
      </c>
      <c r="H1233" s="966">
        <v>7177</v>
      </c>
      <c r="I1233" s="966">
        <v>12.34</v>
      </c>
      <c r="Q1233" s="967">
        <v>43626</v>
      </c>
      <c r="R1233" s="966">
        <v>88600</v>
      </c>
      <c r="T1233" s="969">
        <v>0</v>
      </c>
      <c r="U1233" s="966">
        <v>7177</v>
      </c>
      <c r="W1233" s="971" t="e">
        <f t="shared" si="22"/>
        <v>#DIV/0!</v>
      </c>
      <c r="Y1233" s="967">
        <v>43696</v>
      </c>
      <c r="Z1233" s="974">
        <f ca="1">H1183*Valuation_Senario!$L$372</f>
        <v>11629.665480049998</v>
      </c>
      <c r="AA1233" s="973">
        <v>14.89</v>
      </c>
      <c r="AM1233" s="967">
        <v>43626</v>
      </c>
      <c r="AN1233" s="974">
        <v>88600</v>
      </c>
    </row>
    <row r="1234" spans="1:40">
      <c r="A1234" s="966">
        <v>1227</v>
      </c>
      <c r="B1234" s="967">
        <v>43623</v>
      </c>
      <c r="C1234" s="966">
        <v>88300</v>
      </c>
      <c r="D1234" s="966">
        <v>79.796049999999994</v>
      </c>
      <c r="E1234" s="966">
        <v>79.796049999999994</v>
      </c>
      <c r="F1234" s="966">
        <v>46058.61</v>
      </c>
      <c r="G1234" s="966">
        <v>39098.021195100002</v>
      </c>
      <c r="H1234" s="966">
        <v>7177</v>
      </c>
      <c r="I1234" s="966">
        <v>12.3</v>
      </c>
      <c r="Q1234" s="967">
        <v>43623</v>
      </c>
      <c r="R1234" s="966">
        <v>88300</v>
      </c>
      <c r="T1234" s="969">
        <v>0</v>
      </c>
      <c r="U1234" s="966">
        <v>7177</v>
      </c>
      <c r="W1234" s="971" t="e">
        <f t="shared" si="22"/>
        <v>#DIV/0!</v>
      </c>
      <c r="Y1234" s="967">
        <v>43693</v>
      </c>
      <c r="Z1234" s="974">
        <f ca="1">H1184*Valuation_Senario!$L$372</f>
        <v>11629.665480049998</v>
      </c>
      <c r="AA1234" s="973">
        <v>14.81</v>
      </c>
      <c r="AM1234" s="967">
        <v>43623</v>
      </c>
      <c r="AN1234" s="974">
        <v>88300</v>
      </c>
    </row>
    <row r="1235" spans="1:40">
      <c r="A1235" s="966">
        <v>1228</v>
      </c>
      <c r="B1235" s="967">
        <v>43622</v>
      </c>
      <c r="C1235" s="966">
        <v>86500</v>
      </c>
      <c r="D1235" s="966">
        <v>0</v>
      </c>
      <c r="E1235" s="966">
        <v>0</v>
      </c>
      <c r="F1235" s="966">
        <v>45261.599999999999</v>
      </c>
      <c r="G1235" s="966">
        <v>38301.006040499997</v>
      </c>
      <c r="H1235" s="966">
        <v>7177</v>
      </c>
      <c r="I1235" s="966">
        <v>12.05</v>
      </c>
      <c r="Q1235" s="967">
        <v>43622</v>
      </c>
      <c r="R1235" s="966">
        <v>86500</v>
      </c>
      <c r="T1235" s="969">
        <v>0</v>
      </c>
      <c r="U1235" s="966">
        <v>7177</v>
      </c>
      <c r="W1235" s="971" t="e">
        <f t="shared" si="22"/>
        <v>#DIV/0!</v>
      </c>
      <c r="Y1235" s="967">
        <v>43692</v>
      </c>
      <c r="Z1235" s="974">
        <f ca="1">H1185*Valuation_Senario!$L$372</f>
        <v>11629.665480049998</v>
      </c>
      <c r="AA1235" s="973">
        <v>15.15</v>
      </c>
      <c r="AM1235" s="967">
        <v>43622</v>
      </c>
      <c r="AN1235" s="974">
        <v>86500</v>
      </c>
    </row>
    <row r="1236" spans="1:40">
      <c r="A1236" s="966">
        <v>1229</v>
      </c>
      <c r="B1236" s="967">
        <v>43621</v>
      </c>
      <c r="C1236" s="966">
        <v>86600</v>
      </c>
      <c r="D1236" s="966">
        <v>0</v>
      </c>
      <c r="E1236" s="966">
        <v>0</v>
      </c>
      <c r="F1236" s="966">
        <v>45305.88</v>
      </c>
      <c r="G1236" s="966">
        <v>38345.284660199999</v>
      </c>
      <c r="H1236" s="966">
        <v>7177</v>
      </c>
      <c r="I1236" s="966">
        <v>12.07</v>
      </c>
      <c r="Q1236" s="967">
        <v>43621</v>
      </c>
      <c r="R1236" s="966">
        <v>86600</v>
      </c>
      <c r="T1236" s="969">
        <v>0</v>
      </c>
      <c r="U1236" s="966">
        <v>7177</v>
      </c>
      <c r="W1236" s="971" t="e">
        <f t="shared" si="22"/>
        <v>#DIV/0!</v>
      </c>
      <c r="Y1236" s="967">
        <v>43691</v>
      </c>
      <c r="Z1236" s="974">
        <f ca="1">H1186*Valuation_Senario!$L$372</f>
        <v>11629.665480049998</v>
      </c>
      <c r="AA1236" s="973">
        <v>15.01</v>
      </c>
      <c r="AM1236" s="967">
        <v>43621</v>
      </c>
      <c r="AN1236" s="974">
        <v>86600</v>
      </c>
    </row>
    <row r="1237" spans="1:40">
      <c r="A1237" s="966">
        <v>1230</v>
      </c>
      <c r="B1237" s="967">
        <v>43620</v>
      </c>
      <c r="C1237" s="966">
        <v>86000</v>
      </c>
      <c r="D1237" s="966">
        <v>0</v>
      </c>
      <c r="E1237" s="966">
        <v>0</v>
      </c>
      <c r="F1237" s="966">
        <v>45040.21</v>
      </c>
      <c r="G1237" s="966">
        <v>38079.612942</v>
      </c>
      <c r="H1237" s="966">
        <v>7177</v>
      </c>
      <c r="I1237" s="966">
        <v>11.98</v>
      </c>
      <c r="Q1237" s="967">
        <v>43620</v>
      </c>
      <c r="R1237" s="966">
        <v>86000</v>
      </c>
      <c r="T1237" s="969">
        <v>0</v>
      </c>
      <c r="U1237" s="966">
        <v>7177</v>
      </c>
      <c r="W1237" s="971" t="e">
        <f t="shared" si="22"/>
        <v>#DIV/0!</v>
      </c>
      <c r="Y1237" s="967">
        <v>43690</v>
      </c>
      <c r="Z1237" s="974">
        <f ca="1">H1187*Valuation_Senario!$L$372</f>
        <v>11629.665480049998</v>
      </c>
      <c r="AA1237" s="973">
        <v>14.87</v>
      </c>
      <c r="AM1237" s="967">
        <v>43620</v>
      </c>
      <c r="AN1237" s="974">
        <v>86000</v>
      </c>
    </row>
    <row r="1238" spans="1:40">
      <c r="A1238" s="966">
        <v>1231</v>
      </c>
      <c r="B1238" s="967">
        <v>43619</v>
      </c>
      <c r="C1238" s="966">
        <v>85000</v>
      </c>
      <c r="D1238" s="966">
        <v>0</v>
      </c>
      <c r="E1238" s="966">
        <v>0</v>
      </c>
      <c r="F1238" s="966">
        <v>44597.42</v>
      </c>
      <c r="G1238" s="966">
        <v>37636.826744999998</v>
      </c>
      <c r="H1238" s="966">
        <v>7177</v>
      </c>
      <c r="I1238" s="966">
        <v>11.84</v>
      </c>
      <c r="Q1238" s="967">
        <v>43619</v>
      </c>
      <c r="R1238" s="966">
        <v>85000</v>
      </c>
      <c r="T1238" s="969">
        <v>0</v>
      </c>
      <c r="U1238" s="966">
        <v>7177</v>
      </c>
      <c r="W1238" s="971" t="e">
        <f t="shared" si="22"/>
        <v>#DIV/0!</v>
      </c>
      <c r="Y1238" s="967">
        <v>43689</v>
      </c>
      <c r="Z1238" s="974">
        <f ca="1">H1188*Valuation_Senario!$L$372</f>
        <v>11629.665480049998</v>
      </c>
      <c r="AA1238" s="973">
        <v>14.77</v>
      </c>
      <c r="AM1238" s="967">
        <v>43619</v>
      </c>
      <c r="AN1238" s="974">
        <v>85000</v>
      </c>
    </row>
    <row r="1239" spans="1:40">
      <c r="A1239" s="966">
        <v>1232</v>
      </c>
      <c r="B1239" s="967">
        <v>43616</v>
      </c>
      <c r="C1239" s="966">
        <v>86100</v>
      </c>
      <c r="D1239" s="966">
        <v>0</v>
      </c>
      <c r="E1239" s="966">
        <v>0</v>
      </c>
      <c r="F1239" s="966">
        <v>45084.480000000003</v>
      </c>
      <c r="G1239" s="966">
        <v>38123.891561700002</v>
      </c>
      <c r="H1239" s="966">
        <v>7177</v>
      </c>
      <c r="I1239" s="966">
        <v>12</v>
      </c>
      <c r="Q1239" s="967">
        <v>43616</v>
      </c>
      <c r="R1239" s="966">
        <v>86100</v>
      </c>
      <c r="T1239" s="969">
        <v>0</v>
      </c>
      <c r="U1239" s="966">
        <v>7177</v>
      </c>
      <c r="W1239" s="971" t="e">
        <f t="shared" si="22"/>
        <v>#DIV/0!</v>
      </c>
      <c r="Y1239" s="967">
        <v>43686</v>
      </c>
      <c r="Z1239" s="974">
        <f ca="1">H1189*Valuation_Senario!$L$372</f>
        <v>11629.665480049998</v>
      </c>
      <c r="AA1239" s="973">
        <v>14.63</v>
      </c>
      <c r="AM1239" s="967">
        <v>43616</v>
      </c>
      <c r="AN1239" s="974">
        <v>86100</v>
      </c>
    </row>
    <row r="1240" spans="1:40">
      <c r="A1240" s="966">
        <v>1233</v>
      </c>
      <c r="B1240" s="967">
        <v>43615</v>
      </c>
      <c r="C1240" s="966">
        <v>87600</v>
      </c>
      <c r="D1240" s="966">
        <v>0</v>
      </c>
      <c r="E1240" s="966">
        <v>0</v>
      </c>
      <c r="F1240" s="966">
        <v>45748.66</v>
      </c>
      <c r="G1240" s="966">
        <v>38788.0708572</v>
      </c>
      <c r="H1240" s="966">
        <v>7177</v>
      </c>
      <c r="I1240" s="966">
        <v>12.21</v>
      </c>
      <c r="Q1240" s="967">
        <v>43615</v>
      </c>
      <c r="R1240" s="966">
        <v>87600</v>
      </c>
      <c r="T1240" s="969">
        <v>0</v>
      </c>
      <c r="U1240" s="966">
        <v>7177</v>
      </c>
      <c r="W1240" s="971" t="e">
        <f t="shared" si="22"/>
        <v>#DIV/0!</v>
      </c>
      <c r="Y1240" s="967">
        <v>43685</v>
      </c>
      <c r="Z1240" s="974">
        <f ca="1">H1190*Valuation_Senario!$L$372</f>
        <v>11629.665480049998</v>
      </c>
      <c r="AA1240" s="973">
        <v>14.27</v>
      </c>
      <c r="AM1240" s="967">
        <v>43615</v>
      </c>
      <c r="AN1240" s="974">
        <v>87600</v>
      </c>
    </row>
    <row r="1241" spans="1:40">
      <c r="A1241" s="966">
        <v>1234</v>
      </c>
      <c r="B1241" s="967">
        <v>43614</v>
      </c>
      <c r="C1241" s="966">
        <v>87500</v>
      </c>
      <c r="D1241" s="966">
        <v>0</v>
      </c>
      <c r="E1241" s="966">
        <v>0</v>
      </c>
      <c r="F1241" s="966">
        <v>45704.39</v>
      </c>
      <c r="G1241" s="966">
        <v>38743.792237499998</v>
      </c>
      <c r="H1241" s="966">
        <v>7177</v>
      </c>
      <c r="I1241" s="966">
        <v>12.19</v>
      </c>
      <c r="Q1241" s="967">
        <v>43614</v>
      </c>
      <c r="R1241" s="966">
        <v>87500</v>
      </c>
      <c r="T1241" s="969">
        <v>0</v>
      </c>
      <c r="U1241" s="966">
        <v>7177</v>
      </c>
      <c r="W1241" s="971" t="e">
        <f t="shared" si="22"/>
        <v>#DIV/0!</v>
      </c>
      <c r="Y1241" s="967">
        <v>43684</v>
      </c>
      <c r="Z1241" s="974">
        <f ca="1">H1191*Valuation_Senario!$L$372</f>
        <v>11629.665480049998</v>
      </c>
      <c r="AA1241" s="973">
        <v>14.39</v>
      </c>
      <c r="AM1241" s="967">
        <v>43614</v>
      </c>
      <c r="AN1241" s="974">
        <v>87500</v>
      </c>
    </row>
    <row r="1242" spans="1:40">
      <c r="A1242" s="966">
        <v>1235</v>
      </c>
      <c r="B1242" s="967">
        <v>43613</v>
      </c>
      <c r="C1242" s="966">
        <v>88200</v>
      </c>
      <c r="D1242" s="966">
        <v>0</v>
      </c>
      <c r="E1242" s="966">
        <v>0</v>
      </c>
      <c r="F1242" s="966">
        <v>46014.34</v>
      </c>
      <c r="G1242" s="966">
        <v>39053.7425754</v>
      </c>
      <c r="H1242" s="966">
        <v>7177</v>
      </c>
      <c r="I1242" s="966">
        <v>12.29</v>
      </c>
      <c r="Q1242" s="967">
        <v>43613</v>
      </c>
      <c r="R1242" s="966">
        <v>88200</v>
      </c>
      <c r="T1242" s="969">
        <v>0</v>
      </c>
      <c r="U1242" s="966">
        <v>7177</v>
      </c>
      <c r="W1242" s="971" t="e">
        <f t="shared" si="22"/>
        <v>#DIV/0!</v>
      </c>
      <c r="Y1242" s="967">
        <v>43683</v>
      </c>
      <c r="Z1242" s="974">
        <f ca="1">H1192*Valuation_Senario!$L$372</f>
        <v>11629.665480049998</v>
      </c>
      <c r="AA1242" s="973">
        <v>13.89</v>
      </c>
      <c r="AM1242" s="967">
        <v>43613</v>
      </c>
      <c r="AN1242" s="974">
        <v>88200</v>
      </c>
    </row>
    <row r="1243" spans="1:40">
      <c r="A1243" s="966">
        <v>1236</v>
      </c>
      <c r="B1243" s="967">
        <v>43612</v>
      </c>
      <c r="C1243" s="966">
        <v>87700</v>
      </c>
      <c r="D1243" s="966">
        <v>0</v>
      </c>
      <c r="E1243" s="966">
        <v>0</v>
      </c>
      <c r="F1243" s="966">
        <v>45792.94</v>
      </c>
      <c r="G1243" s="966">
        <v>38832.349476900003</v>
      </c>
      <c r="H1243" s="966">
        <v>7177</v>
      </c>
      <c r="I1243" s="966">
        <v>12.22</v>
      </c>
      <c r="Q1243" s="967">
        <v>43612</v>
      </c>
      <c r="R1243" s="966">
        <v>87700</v>
      </c>
      <c r="T1243" s="969">
        <v>0</v>
      </c>
      <c r="U1243" s="966">
        <v>7177</v>
      </c>
      <c r="W1243" s="971" t="e">
        <f t="shared" si="22"/>
        <v>#DIV/0!</v>
      </c>
      <c r="Y1243" s="967">
        <v>43682</v>
      </c>
      <c r="Z1243" s="974">
        <f ca="1">H1193*Valuation_Senario!$L$372</f>
        <v>11629.665480049998</v>
      </c>
      <c r="AA1243" s="973">
        <v>13.83</v>
      </c>
      <c r="AM1243" s="967">
        <v>43612</v>
      </c>
      <c r="AN1243" s="974">
        <v>87700</v>
      </c>
    </row>
    <row r="1244" spans="1:40">
      <c r="A1244" s="966">
        <v>1237</v>
      </c>
      <c r="B1244" s="967">
        <v>43609</v>
      </c>
      <c r="C1244" s="966">
        <v>88700</v>
      </c>
      <c r="D1244" s="966">
        <v>0</v>
      </c>
      <c r="E1244" s="966">
        <v>0</v>
      </c>
      <c r="F1244" s="966">
        <v>46235.73</v>
      </c>
      <c r="G1244" s="966">
        <v>39275.135673899997</v>
      </c>
      <c r="H1244" s="966">
        <v>7177</v>
      </c>
      <c r="I1244" s="966">
        <v>12.36</v>
      </c>
      <c r="Q1244" s="967">
        <v>43609</v>
      </c>
      <c r="R1244" s="966">
        <v>88700</v>
      </c>
      <c r="T1244" s="969">
        <v>0</v>
      </c>
      <c r="U1244" s="966">
        <v>7177</v>
      </c>
      <c r="W1244" s="971" t="e">
        <f t="shared" si="22"/>
        <v>#DIV/0!</v>
      </c>
      <c r="Y1244" s="967">
        <v>43679</v>
      </c>
      <c r="Z1244" s="974">
        <f ca="1">H1194*Valuation_Senario!$L$372</f>
        <v>11629.665480049998</v>
      </c>
      <c r="AA1244" s="973">
        <v>13.64</v>
      </c>
      <c r="AM1244" s="967">
        <v>43609</v>
      </c>
      <c r="AN1244" s="974">
        <v>88700</v>
      </c>
    </row>
    <row r="1245" spans="1:40">
      <c r="A1245" s="966">
        <v>1238</v>
      </c>
      <c r="B1245" s="967">
        <v>43608</v>
      </c>
      <c r="C1245" s="966">
        <v>87600</v>
      </c>
      <c r="D1245" s="966">
        <v>0</v>
      </c>
      <c r="E1245" s="966">
        <v>0</v>
      </c>
      <c r="F1245" s="966">
        <v>45748.66</v>
      </c>
      <c r="G1245" s="966">
        <v>38788.0708572</v>
      </c>
      <c r="H1245" s="966">
        <v>7177</v>
      </c>
      <c r="I1245" s="966">
        <v>12.21</v>
      </c>
      <c r="Q1245" s="967">
        <v>43608</v>
      </c>
      <c r="R1245" s="966">
        <v>87600</v>
      </c>
      <c r="T1245" s="969">
        <v>0</v>
      </c>
      <c r="U1245" s="966">
        <v>7177</v>
      </c>
      <c r="W1245" s="971" t="e">
        <f t="shared" si="22"/>
        <v>#DIV/0!</v>
      </c>
      <c r="Y1245" s="967">
        <v>43678</v>
      </c>
      <c r="Z1245" s="974">
        <f ca="1">H1195*Valuation_Senario!$L$372</f>
        <v>11629.665480049998</v>
      </c>
      <c r="AA1245" s="973">
        <v>13.7</v>
      </c>
      <c r="AM1245" s="967">
        <v>43608</v>
      </c>
      <c r="AN1245" s="974">
        <v>87600</v>
      </c>
    </row>
    <row r="1246" spans="1:40">
      <c r="A1246" s="966">
        <v>1239</v>
      </c>
      <c r="B1246" s="967">
        <v>43607</v>
      </c>
      <c r="C1246" s="966">
        <v>88500</v>
      </c>
      <c r="D1246" s="966">
        <v>0</v>
      </c>
      <c r="E1246" s="966">
        <v>0</v>
      </c>
      <c r="F1246" s="966">
        <v>46160.69</v>
      </c>
      <c r="G1246" s="966">
        <v>39200.100261</v>
      </c>
      <c r="H1246" s="966">
        <v>7174.48</v>
      </c>
      <c r="I1246" s="966">
        <v>12.34</v>
      </c>
      <c r="Q1246" s="967">
        <v>43607</v>
      </c>
      <c r="R1246" s="966">
        <v>88500</v>
      </c>
      <c r="T1246" s="969">
        <v>0</v>
      </c>
      <c r="U1246" s="966">
        <v>7174.48</v>
      </c>
      <c r="W1246" s="971" t="e">
        <f t="shared" si="22"/>
        <v>#DIV/0!</v>
      </c>
      <c r="Y1246" s="967">
        <v>43677</v>
      </c>
      <c r="Z1246" s="974">
        <f ca="1">H1196*Valuation_Senario!$L$372</f>
        <v>11629.665480049998</v>
      </c>
      <c r="AA1246" s="973">
        <v>13.49</v>
      </c>
      <c r="AM1246" s="967">
        <v>43607</v>
      </c>
      <c r="AN1246" s="974">
        <v>88500</v>
      </c>
    </row>
    <row r="1247" spans="1:40">
      <c r="A1247" s="966">
        <v>1240</v>
      </c>
      <c r="B1247" s="967">
        <v>43606</v>
      </c>
      <c r="C1247" s="966">
        <v>88200</v>
      </c>
      <c r="D1247" s="966">
        <v>0</v>
      </c>
      <c r="E1247" s="966">
        <v>0</v>
      </c>
      <c r="F1247" s="966">
        <v>46027.81</v>
      </c>
      <c r="G1247" s="966">
        <v>39067.218565199997</v>
      </c>
      <c r="H1247" s="966">
        <v>7174.48</v>
      </c>
      <c r="I1247" s="966">
        <v>12.29</v>
      </c>
      <c r="Q1247" s="967">
        <v>43606</v>
      </c>
      <c r="R1247" s="966">
        <v>88200</v>
      </c>
      <c r="T1247" s="969">
        <v>0</v>
      </c>
      <c r="U1247" s="966">
        <v>7174.48</v>
      </c>
      <c r="W1247" s="971" t="e">
        <f t="shared" si="22"/>
        <v>#DIV/0!</v>
      </c>
      <c r="Y1247" s="967">
        <v>43676</v>
      </c>
      <c r="Z1247" s="974">
        <f ca="1">H1197*Valuation_Senario!$L$372</f>
        <v>10541.553527619999</v>
      </c>
      <c r="AA1247" s="973">
        <v>14.45</v>
      </c>
      <c r="AM1247" s="967">
        <v>43606</v>
      </c>
      <c r="AN1247" s="974">
        <v>88200</v>
      </c>
    </row>
    <row r="1248" spans="1:40">
      <c r="A1248" s="966">
        <v>1241</v>
      </c>
      <c r="B1248" s="967">
        <v>43605</v>
      </c>
      <c r="C1248" s="966">
        <v>88300</v>
      </c>
      <c r="D1248" s="966">
        <v>0</v>
      </c>
      <c r="E1248" s="966">
        <v>0</v>
      </c>
      <c r="F1248" s="966">
        <v>46072.11</v>
      </c>
      <c r="G1248" s="966">
        <v>39111.512463799998</v>
      </c>
      <c r="H1248" s="966">
        <v>7174.48</v>
      </c>
      <c r="I1248" s="966">
        <v>12.31</v>
      </c>
      <c r="Q1248" s="967">
        <v>43605</v>
      </c>
      <c r="R1248" s="966">
        <v>88300</v>
      </c>
      <c r="T1248" s="969">
        <v>0</v>
      </c>
      <c r="U1248" s="966">
        <v>7174.48</v>
      </c>
      <c r="W1248" s="971" t="e">
        <f t="shared" si="22"/>
        <v>#DIV/0!</v>
      </c>
      <c r="Y1248" s="967">
        <v>43675</v>
      </c>
      <c r="Z1248" s="974">
        <f ca="1">H1198*Valuation_Senario!$L$372</f>
        <v>10539.115888999999</v>
      </c>
      <c r="AA1248" s="973">
        <v>14.77</v>
      </c>
      <c r="AM1248" s="967">
        <v>43605</v>
      </c>
      <c r="AN1248" s="974">
        <v>88300</v>
      </c>
    </row>
    <row r="1249" spans="1:40">
      <c r="A1249" s="966">
        <v>1242</v>
      </c>
      <c r="B1249" s="967">
        <v>43602</v>
      </c>
      <c r="C1249" s="966">
        <v>86500</v>
      </c>
      <c r="D1249" s="966">
        <v>0</v>
      </c>
      <c r="E1249" s="966">
        <v>0</v>
      </c>
      <c r="F1249" s="966">
        <v>45274.82</v>
      </c>
      <c r="G1249" s="966">
        <v>38314.222288999998</v>
      </c>
      <c r="H1249" s="966">
        <v>7174.48</v>
      </c>
      <c r="I1249" s="966">
        <v>12.06</v>
      </c>
      <c r="Q1249" s="967">
        <v>43602</v>
      </c>
      <c r="R1249" s="966">
        <v>86500</v>
      </c>
      <c r="T1249" s="969">
        <v>0</v>
      </c>
      <c r="U1249" s="966">
        <v>7174.48</v>
      </c>
      <c r="W1249" s="971" t="e">
        <f t="shared" si="22"/>
        <v>#DIV/0!</v>
      </c>
      <c r="Y1249" s="967">
        <v>43672</v>
      </c>
      <c r="Z1249" s="974">
        <f ca="1">H1199*Valuation_Senario!$L$372</f>
        <v>10539.115888999999</v>
      </c>
      <c r="AA1249" s="973">
        <v>14.87</v>
      </c>
      <c r="AM1249" s="967">
        <v>43602</v>
      </c>
      <c r="AN1249" s="974">
        <v>86500</v>
      </c>
    </row>
    <row r="1250" spans="1:40">
      <c r="A1250" s="966">
        <v>1243</v>
      </c>
      <c r="B1250" s="967">
        <v>43601</v>
      </c>
      <c r="C1250" s="966">
        <v>86000</v>
      </c>
      <c r="D1250" s="966">
        <v>0</v>
      </c>
      <c r="E1250" s="966">
        <v>0</v>
      </c>
      <c r="F1250" s="966">
        <v>45053.35</v>
      </c>
      <c r="G1250" s="966">
        <v>38092.752796000001</v>
      </c>
      <c r="H1250" s="966">
        <v>7174.48</v>
      </c>
      <c r="I1250" s="966">
        <v>11.99</v>
      </c>
      <c r="Q1250" s="967">
        <v>43601</v>
      </c>
      <c r="R1250" s="966">
        <v>86000</v>
      </c>
      <c r="T1250" s="969">
        <v>0</v>
      </c>
      <c r="U1250" s="966">
        <v>7174.48</v>
      </c>
      <c r="W1250" s="971" t="e">
        <f t="shared" si="22"/>
        <v>#DIV/0!</v>
      </c>
      <c r="Y1250" s="967">
        <v>43671</v>
      </c>
      <c r="Z1250" s="974">
        <f ca="1">H1200*Valuation_Senario!$L$372</f>
        <v>10539.115888999999</v>
      </c>
      <c r="AA1250" s="973">
        <v>15.03</v>
      </c>
      <c r="AM1250" s="967">
        <v>43601</v>
      </c>
      <c r="AN1250" s="974">
        <v>86000</v>
      </c>
    </row>
    <row r="1251" spans="1:40">
      <c r="A1251" s="966">
        <v>1244</v>
      </c>
      <c r="B1251" s="967">
        <v>43600</v>
      </c>
      <c r="C1251" s="966">
        <v>87000</v>
      </c>
      <c r="D1251" s="966">
        <v>8.61E-4</v>
      </c>
      <c r="E1251" s="966">
        <v>0</v>
      </c>
      <c r="F1251" s="966">
        <v>45496.29</v>
      </c>
      <c r="G1251" s="966">
        <v>38535.691782000002</v>
      </c>
      <c r="H1251" s="966">
        <v>7174.48</v>
      </c>
      <c r="I1251" s="966">
        <v>12.13</v>
      </c>
      <c r="Q1251" s="967">
        <v>43600</v>
      </c>
      <c r="R1251" s="966">
        <v>87000</v>
      </c>
      <c r="T1251" s="969">
        <v>8.61E-4</v>
      </c>
      <c r="U1251" s="966">
        <v>7174.48</v>
      </c>
      <c r="W1251" s="971" t="e">
        <f t="shared" si="22"/>
        <v>#DIV/0!</v>
      </c>
      <c r="Y1251" s="967">
        <v>43670</v>
      </c>
      <c r="Z1251" s="974">
        <f ca="1">H1201*Valuation_Senario!$L$372</f>
        <v>10539.115888999999</v>
      </c>
      <c r="AA1251" s="973">
        <v>14.96</v>
      </c>
      <c r="AM1251" s="967">
        <v>43600</v>
      </c>
      <c r="AN1251" s="974">
        <v>87000</v>
      </c>
    </row>
    <row r="1252" spans="1:40">
      <c r="A1252" s="966">
        <v>1245</v>
      </c>
      <c r="B1252" s="967">
        <v>43599</v>
      </c>
      <c r="C1252" s="966">
        <v>85500</v>
      </c>
      <c r="D1252" s="966">
        <v>0</v>
      </c>
      <c r="E1252" s="966">
        <v>0</v>
      </c>
      <c r="F1252" s="966">
        <v>44831.88</v>
      </c>
      <c r="G1252" s="966">
        <v>37871.283302999997</v>
      </c>
      <c r="H1252" s="966">
        <v>7174.48</v>
      </c>
      <c r="I1252" s="966">
        <v>11.92</v>
      </c>
      <c r="Q1252" s="967">
        <v>43599</v>
      </c>
      <c r="R1252" s="966">
        <v>85500</v>
      </c>
      <c r="T1252" s="969">
        <v>0</v>
      </c>
      <c r="U1252" s="966">
        <v>7174.48</v>
      </c>
      <c r="W1252" s="971" t="e">
        <f t="shared" si="22"/>
        <v>#DIV/0!</v>
      </c>
      <c r="Y1252" s="967">
        <v>43669</v>
      </c>
      <c r="Z1252" s="974">
        <f ca="1">H1202*Valuation_Senario!$L$372</f>
        <v>10539.115888999999</v>
      </c>
      <c r="AA1252" s="973">
        <v>15.17</v>
      </c>
      <c r="AM1252" s="967">
        <v>43599</v>
      </c>
      <c r="AN1252" s="974">
        <v>85500</v>
      </c>
    </row>
    <row r="1253" spans="1:40">
      <c r="A1253" s="966">
        <v>1246</v>
      </c>
      <c r="B1253" s="967">
        <v>43598</v>
      </c>
      <c r="C1253" s="966">
        <v>85200</v>
      </c>
      <c r="D1253" s="966">
        <v>0</v>
      </c>
      <c r="E1253" s="966">
        <v>0</v>
      </c>
      <c r="F1253" s="966">
        <v>44699</v>
      </c>
      <c r="G1253" s="966">
        <v>37738.401607200001</v>
      </c>
      <c r="H1253" s="966">
        <v>7174.48</v>
      </c>
      <c r="I1253" s="966">
        <v>11.88</v>
      </c>
      <c r="Q1253" s="967">
        <v>43598</v>
      </c>
      <c r="R1253" s="966">
        <v>85200</v>
      </c>
      <c r="T1253" s="969">
        <v>0</v>
      </c>
      <c r="U1253" s="966">
        <v>7174.48</v>
      </c>
      <c r="W1253" s="971" t="e">
        <f t="shared" si="22"/>
        <v>#DIV/0!</v>
      </c>
      <c r="Y1253" s="967">
        <v>43668</v>
      </c>
      <c r="Z1253" s="974">
        <f ca="1">H1203*Valuation_Senario!$L$372</f>
        <v>10539.115888999999</v>
      </c>
      <c r="AA1253" s="973">
        <v>14.84</v>
      </c>
      <c r="AM1253" s="967">
        <v>43598</v>
      </c>
      <c r="AN1253" s="974">
        <v>85200</v>
      </c>
    </row>
    <row r="1254" spans="1:40">
      <c r="A1254" s="966">
        <v>1247</v>
      </c>
      <c r="B1254" s="967">
        <v>43595</v>
      </c>
      <c r="C1254" s="966">
        <v>85000</v>
      </c>
      <c r="D1254" s="966">
        <v>0</v>
      </c>
      <c r="E1254" s="966">
        <v>0</v>
      </c>
      <c r="F1254" s="966">
        <v>44610.41</v>
      </c>
      <c r="G1254" s="966">
        <v>37649.81381</v>
      </c>
      <c r="H1254" s="966">
        <v>7174.48</v>
      </c>
      <c r="I1254" s="966">
        <v>11.85</v>
      </c>
      <c r="Q1254" s="967">
        <v>43595</v>
      </c>
      <c r="R1254" s="966">
        <v>85000</v>
      </c>
      <c r="T1254" s="969">
        <v>0</v>
      </c>
      <c r="U1254" s="966">
        <v>7174.48</v>
      </c>
      <c r="W1254" s="971" t="e">
        <f t="shared" si="22"/>
        <v>#DIV/0!</v>
      </c>
      <c r="Y1254" s="967">
        <v>43665</v>
      </c>
      <c r="Z1254" s="974">
        <f ca="1">H1204*Valuation_Senario!$L$372</f>
        <v>10539.115888999999</v>
      </c>
      <c r="AA1254" s="973">
        <v>14.76</v>
      </c>
      <c r="AM1254" s="967">
        <v>43595</v>
      </c>
      <c r="AN1254" s="974">
        <v>85000</v>
      </c>
    </row>
    <row r="1255" spans="1:40">
      <c r="A1255" s="966">
        <v>1248</v>
      </c>
      <c r="B1255" s="967">
        <v>43594</v>
      </c>
      <c r="C1255" s="966">
        <v>84100</v>
      </c>
      <c r="D1255" s="966">
        <v>0</v>
      </c>
      <c r="E1255" s="966">
        <v>0</v>
      </c>
      <c r="F1255" s="966">
        <v>44211.76</v>
      </c>
      <c r="G1255" s="966">
        <v>37251.168722599999</v>
      </c>
      <c r="H1255" s="966">
        <v>7174.48</v>
      </c>
      <c r="I1255" s="966">
        <v>11.72</v>
      </c>
      <c r="Q1255" s="967">
        <v>43594</v>
      </c>
      <c r="R1255" s="966">
        <v>84100</v>
      </c>
      <c r="T1255" s="969">
        <v>0</v>
      </c>
      <c r="U1255" s="966">
        <v>7174.48</v>
      </c>
      <c r="W1255" s="971" t="e">
        <f t="shared" si="22"/>
        <v>#DIV/0!</v>
      </c>
      <c r="Y1255" s="967">
        <v>43664</v>
      </c>
      <c r="Z1255" s="974">
        <f ca="1">H1205*Valuation_Senario!$L$372</f>
        <v>10539.115888999999</v>
      </c>
      <c r="AA1255" s="973">
        <v>14.48</v>
      </c>
      <c r="AM1255" s="967">
        <v>43594</v>
      </c>
      <c r="AN1255" s="974">
        <v>84100</v>
      </c>
    </row>
    <row r="1256" spans="1:40">
      <c r="A1256" s="966">
        <v>1249</v>
      </c>
      <c r="B1256" s="967">
        <v>43593</v>
      </c>
      <c r="C1256" s="966">
        <v>83500</v>
      </c>
      <c r="D1256" s="966">
        <v>0</v>
      </c>
      <c r="E1256" s="966">
        <v>0</v>
      </c>
      <c r="F1256" s="966">
        <v>43946</v>
      </c>
      <c r="G1256" s="966">
        <v>36985.405331000002</v>
      </c>
      <c r="H1256" s="966">
        <v>7174.48</v>
      </c>
      <c r="I1256" s="966">
        <v>11.64</v>
      </c>
      <c r="Q1256" s="967">
        <v>43593</v>
      </c>
      <c r="R1256" s="966">
        <v>83500</v>
      </c>
      <c r="T1256" s="969">
        <v>0</v>
      </c>
      <c r="U1256" s="966">
        <v>7174.48</v>
      </c>
      <c r="W1256" s="971" t="e">
        <f t="shared" si="22"/>
        <v>#DIV/0!</v>
      </c>
      <c r="Y1256" s="967">
        <v>43663</v>
      </c>
      <c r="Z1256" s="974">
        <f ca="1">H1206*Valuation_Senario!$L$372</f>
        <v>10539.115888999999</v>
      </c>
      <c r="AA1256" s="973">
        <v>14.16</v>
      </c>
      <c r="AM1256" s="967">
        <v>43593</v>
      </c>
      <c r="AN1256" s="974">
        <v>83500</v>
      </c>
    </row>
    <row r="1257" spans="1:40">
      <c r="A1257" s="966">
        <v>1250</v>
      </c>
      <c r="B1257" s="967">
        <v>43592</v>
      </c>
      <c r="C1257" s="966">
        <v>83900</v>
      </c>
      <c r="D1257" s="966">
        <v>0</v>
      </c>
      <c r="E1257" s="966">
        <v>0</v>
      </c>
      <c r="F1257" s="966">
        <v>44123.17</v>
      </c>
      <c r="G1257" s="966">
        <v>37162.580925399998</v>
      </c>
      <c r="H1257" s="966">
        <v>7174.48</v>
      </c>
      <c r="I1257" s="966">
        <v>11.69</v>
      </c>
      <c r="Q1257" s="967">
        <v>43592</v>
      </c>
      <c r="R1257" s="966">
        <v>83900</v>
      </c>
      <c r="T1257" s="969">
        <v>0</v>
      </c>
      <c r="U1257" s="966">
        <v>7174.48</v>
      </c>
      <c r="W1257" s="971" t="e">
        <f t="shared" si="22"/>
        <v>#DIV/0!</v>
      </c>
      <c r="Y1257" s="967">
        <v>43662</v>
      </c>
      <c r="Z1257" s="974">
        <f ca="1">H1207*Valuation_Senario!$L$372</f>
        <v>10539.115888999999</v>
      </c>
      <c r="AA1257" s="973">
        <v>14.24</v>
      </c>
      <c r="AM1257" s="967">
        <v>43592</v>
      </c>
      <c r="AN1257" s="974">
        <v>83900</v>
      </c>
    </row>
    <row r="1258" spans="1:40">
      <c r="A1258" s="966">
        <v>1251</v>
      </c>
      <c r="B1258" s="967">
        <v>43591</v>
      </c>
      <c r="C1258" s="966">
        <v>83800</v>
      </c>
      <c r="D1258" s="966">
        <v>0</v>
      </c>
      <c r="E1258" s="966">
        <v>0</v>
      </c>
      <c r="F1258" s="966">
        <v>44078.879999999997</v>
      </c>
      <c r="G1258" s="966">
        <v>37118.287026799997</v>
      </c>
      <c r="H1258" s="966">
        <v>7174.48</v>
      </c>
      <c r="I1258" s="966">
        <v>11.68</v>
      </c>
      <c r="Q1258" s="967">
        <v>43591</v>
      </c>
      <c r="R1258" s="966">
        <v>83800</v>
      </c>
      <c r="T1258" s="969">
        <v>0</v>
      </c>
      <c r="U1258" s="966">
        <v>7174.48</v>
      </c>
      <c r="W1258" s="971" t="e">
        <f t="shared" si="22"/>
        <v>#DIV/0!</v>
      </c>
      <c r="Y1258" s="967">
        <v>43661</v>
      </c>
      <c r="Z1258" s="974">
        <f ca="1">H1208*Valuation_Senario!$L$372</f>
        <v>10539.115888999999</v>
      </c>
      <c r="AA1258" s="973">
        <v>14.1</v>
      </c>
      <c r="AM1258" s="967">
        <v>43591</v>
      </c>
      <c r="AN1258" s="974">
        <v>83800</v>
      </c>
    </row>
    <row r="1259" spans="1:40">
      <c r="A1259" s="966">
        <v>1252</v>
      </c>
      <c r="B1259" s="967">
        <v>43588</v>
      </c>
      <c r="C1259" s="966">
        <v>85900</v>
      </c>
      <c r="D1259" s="966">
        <v>0</v>
      </c>
      <c r="E1259" s="966">
        <v>0</v>
      </c>
      <c r="F1259" s="966">
        <v>45009.05</v>
      </c>
      <c r="G1259" s="966">
        <v>38048.4588974</v>
      </c>
      <c r="H1259" s="966">
        <v>7174.48</v>
      </c>
      <c r="I1259" s="966">
        <v>11.97</v>
      </c>
      <c r="Q1259" s="967">
        <v>43588</v>
      </c>
      <c r="R1259" s="966">
        <v>85900</v>
      </c>
      <c r="T1259" s="969">
        <v>0</v>
      </c>
      <c r="U1259" s="966">
        <v>7174.48</v>
      </c>
      <c r="W1259" s="971" t="e">
        <f t="shared" si="22"/>
        <v>#DIV/0!</v>
      </c>
      <c r="Y1259" s="967">
        <v>43658</v>
      </c>
      <c r="Z1259" s="974">
        <f ca="1">H1209*Valuation_Senario!$L$372</f>
        <v>10539.115888999999</v>
      </c>
      <c r="AA1259" s="973">
        <v>13.67</v>
      </c>
      <c r="AM1259" s="967">
        <v>43588</v>
      </c>
      <c r="AN1259" s="974">
        <v>85900</v>
      </c>
    </row>
    <row r="1260" spans="1:40">
      <c r="A1260" s="966">
        <v>1253</v>
      </c>
      <c r="B1260" s="967">
        <v>43587</v>
      </c>
      <c r="C1260" s="966">
        <v>86000</v>
      </c>
      <c r="D1260" s="966">
        <v>0</v>
      </c>
      <c r="E1260" s="966">
        <v>0</v>
      </c>
      <c r="F1260" s="966">
        <v>45053.35</v>
      </c>
      <c r="G1260" s="966">
        <v>38092.752796000001</v>
      </c>
      <c r="H1260" s="966">
        <v>7174.48</v>
      </c>
      <c r="I1260" s="966">
        <v>11.99</v>
      </c>
      <c r="Q1260" s="967">
        <v>43587</v>
      </c>
      <c r="R1260" s="966">
        <v>86000</v>
      </c>
      <c r="T1260" s="969">
        <v>0</v>
      </c>
      <c r="U1260" s="966">
        <v>7174.48</v>
      </c>
      <c r="W1260" s="971" t="e">
        <f t="shared" si="22"/>
        <v>#DIV/0!</v>
      </c>
      <c r="Y1260" s="967">
        <v>43657</v>
      </c>
      <c r="Z1260" s="974">
        <f ca="1">H1210*Valuation_Senario!$L$372</f>
        <v>10539.115888999999</v>
      </c>
      <c r="AA1260" s="973">
        <v>13.65</v>
      </c>
      <c r="AM1260" s="967">
        <v>43587</v>
      </c>
      <c r="AN1260" s="974">
        <v>86000</v>
      </c>
    </row>
    <row r="1261" spans="1:40">
      <c r="A1261" s="966">
        <v>1254</v>
      </c>
      <c r="B1261" s="967">
        <v>43581</v>
      </c>
      <c r="C1261" s="966">
        <v>84900</v>
      </c>
      <c r="D1261" s="966">
        <v>0</v>
      </c>
      <c r="E1261" s="966">
        <v>0</v>
      </c>
      <c r="F1261" s="966">
        <v>41217.620000000003</v>
      </c>
      <c r="G1261" s="966">
        <v>37605.519911399999</v>
      </c>
      <c r="H1261" s="966">
        <v>6490.98</v>
      </c>
      <c r="I1261" s="966">
        <v>13.08</v>
      </c>
      <c r="Q1261" s="967">
        <v>43581</v>
      </c>
      <c r="R1261" s="966">
        <v>84900</v>
      </c>
      <c r="T1261" s="969">
        <v>0</v>
      </c>
      <c r="U1261" s="966">
        <v>6490.98</v>
      </c>
      <c r="W1261" s="971" t="e">
        <f t="shared" si="22"/>
        <v>#DIV/0!</v>
      </c>
      <c r="Y1261" s="967">
        <v>43656</v>
      </c>
      <c r="Z1261" s="974">
        <f ca="1">H1211*Valuation_Senario!$L$372</f>
        <v>10539.115888999999</v>
      </c>
      <c r="AA1261" s="973">
        <v>13.71</v>
      </c>
      <c r="AM1261" s="967">
        <v>43581</v>
      </c>
      <c r="AN1261" s="974">
        <v>84900</v>
      </c>
    </row>
    <row r="1262" spans="1:40">
      <c r="A1262" s="966">
        <v>1255</v>
      </c>
      <c r="B1262" s="967">
        <v>43580</v>
      </c>
      <c r="C1262" s="966">
        <v>83500</v>
      </c>
      <c r="D1262" s="966">
        <v>0</v>
      </c>
      <c r="E1262" s="966">
        <v>0</v>
      </c>
      <c r="F1262" s="966">
        <v>40597.5</v>
      </c>
      <c r="G1262" s="966">
        <v>36985.405331000002</v>
      </c>
      <c r="H1262" s="966">
        <v>6490.98</v>
      </c>
      <c r="I1262" s="966">
        <v>12.86</v>
      </c>
      <c r="Q1262" s="967">
        <v>43580</v>
      </c>
      <c r="R1262" s="966">
        <v>83500</v>
      </c>
      <c r="T1262" s="969">
        <v>0</v>
      </c>
      <c r="U1262" s="966">
        <v>6490.98</v>
      </c>
      <c r="W1262" s="971" t="e">
        <f t="shared" si="22"/>
        <v>#DIV/0!</v>
      </c>
      <c r="Y1262" s="967">
        <v>43655</v>
      </c>
      <c r="Z1262" s="974">
        <f ca="1">H1212*Valuation_Senario!$L$372</f>
        <v>10539.115888999999</v>
      </c>
      <c r="AA1262" s="973">
        <v>13.52</v>
      </c>
      <c r="AM1262" s="967">
        <v>43580</v>
      </c>
      <c r="AN1262" s="974">
        <v>83500</v>
      </c>
    </row>
    <row r="1263" spans="1:40">
      <c r="A1263" s="966">
        <v>1256</v>
      </c>
      <c r="B1263" s="967">
        <v>43579</v>
      </c>
      <c r="C1263" s="966">
        <v>83000</v>
      </c>
      <c r="D1263" s="966">
        <v>0</v>
      </c>
      <c r="E1263" s="966">
        <v>0</v>
      </c>
      <c r="F1263" s="966">
        <v>40376.03</v>
      </c>
      <c r="G1263" s="966">
        <v>36763.935837999998</v>
      </c>
      <c r="H1263" s="966">
        <v>6490.98</v>
      </c>
      <c r="I1263" s="966">
        <v>12.79</v>
      </c>
      <c r="Q1263" s="967">
        <v>43579</v>
      </c>
      <c r="R1263" s="966">
        <v>83000</v>
      </c>
      <c r="T1263" s="969">
        <v>0</v>
      </c>
      <c r="U1263" s="966">
        <v>6490.98</v>
      </c>
      <c r="W1263" s="971" t="e">
        <f t="shared" si="22"/>
        <v>#DIV/0!</v>
      </c>
      <c r="Y1263" s="967">
        <v>43654</v>
      </c>
      <c r="Z1263" s="974">
        <f ca="1">H1213*Valuation_Senario!$L$372</f>
        <v>10539.115888999999</v>
      </c>
      <c r="AA1263" s="973">
        <v>13.14</v>
      </c>
      <c r="AM1263" s="967">
        <v>43579</v>
      </c>
      <c r="AN1263" s="974">
        <v>83000</v>
      </c>
    </row>
    <row r="1264" spans="1:40">
      <c r="A1264" s="966">
        <v>1257</v>
      </c>
      <c r="B1264" s="967">
        <v>43578</v>
      </c>
      <c r="C1264" s="966">
        <v>82800</v>
      </c>
      <c r="D1264" s="966">
        <v>0</v>
      </c>
      <c r="E1264" s="966">
        <v>0</v>
      </c>
      <c r="F1264" s="966">
        <v>40287.440000000002</v>
      </c>
      <c r="G1264" s="966">
        <v>36675.348040800003</v>
      </c>
      <c r="H1264" s="966">
        <v>6490.98</v>
      </c>
      <c r="I1264" s="966">
        <v>12.76</v>
      </c>
      <c r="Q1264" s="967">
        <v>43578</v>
      </c>
      <c r="R1264" s="966">
        <v>82800</v>
      </c>
      <c r="T1264" s="969">
        <v>0</v>
      </c>
      <c r="U1264" s="966">
        <v>6490.98</v>
      </c>
      <c r="W1264" s="971" t="e">
        <f t="shared" si="22"/>
        <v>#DIV/0!</v>
      </c>
      <c r="Y1264" s="967">
        <v>43651</v>
      </c>
      <c r="Z1264" s="974">
        <f ca="1">H1214*Valuation_Senario!$L$372</f>
        <v>10539.115888999999</v>
      </c>
      <c r="AA1264" s="973">
        <v>13.29</v>
      </c>
      <c r="AM1264" s="967">
        <v>43578</v>
      </c>
      <c r="AN1264" s="974">
        <v>82800</v>
      </c>
    </row>
    <row r="1265" spans="1:40">
      <c r="A1265" s="966">
        <v>1258</v>
      </c>
      <c r="B1265" s="967">
        <v>43577</v>
      </c>
      <c r="C1265" s="966">
        <v>83000</v>
      </c>
      <c r="D1265" s="966">
        <v>1.2613019999999999</v>
      </c>
      <c r="E1265" s="966">
        <v>0</v>
      </c>
      <c r="F1265" s="966">
        <v>40376.03</v>
      </c>
      <c r="G1265" s="966">
        <v>36763.935837999998</v>
      </c>
      <c r="H1265" s="966">
        <v>6490.98</v>
      </c>
      <c r="I1265" s="966">
        <v>12.79</v>
      </c>
      <c r="Q1265" s="967">
        <v>43577</v>
      </c>
      <c r="R1265" s="966">
        <v>83000</v>
      </c>
      <c r="T1265" s="969">
        <v>1.2613019999999999</v>
      </c>
      <c r="U1265" s="966">
        <v>6490.98</v>
      </c>
      <c r="W1265" s="971" t="e">
        <f t="shared" si="22"/>
        <v>#DIV/0!</v>
      </c>
      <c r="Y1265" s="967">
        <v>43650</v>
      </c>
      <c r="Z1265" s="974">
        <f ca="1">H1215*Valuation_Senario!$L$372</f>
        <v>10539.115888999999</v>
      </c>
      <c r="AA1265" s="973">
        <v>13.31</v>
      </c>
      <c r="AM1265" s="967">
        <v>43577</v>
      </c>
      <c r="AN1265" s="974">
        <v>83000</v>
      </c>
    </row>
    <row r="1266" spans="1:40">
      <c r="A1266" s="966">
        <v>1259</v>
      </c>
      <c r="B1266" s="967">
        <v>43574</v>
      </c>
      <c r="C1266" s="966">
        <v>82200</v>
      </c>
      <c r="D1266" s="966">
        <v>0</v>
      </c>
      <c r="E1266" s="966">
        <v>0</v>
      </c>
      <c r="F1266" s="966">
        <v>40021.68</v>
      </c>
      <c r="G1266" s="966">
        <v>36409.584649199998</v>
      </c>
      <c r="H1266" s="966">
        <v>6490.98</v>
      </c>
      <c r="I1266" s="966">
        <v>12.66</v>
      </c>
      <c r="Q1266" s="967">
        <v>43574</v>
      </c>
      <c r="R1266" s="966">
        <v>82200</v>
      </c>
      <c r="T1266" s="969">
        <v>0</v>
      </c>
      <c r="U1266" s="966">
        <v>6490.98</v>
      </c>
      <c r="W1266" s="971" t="e">
        <f t="shared" si="22"/>
        <v>#DIV/0!</v>
      </c>
      <c r="Y1266" s="967">
        <v>43649</v>
      </c>
      <c r="Z1266" s="974">
        <f ca="1">H1216*Valuation_Senario!$L$372</f>
        <v>10539.115888999999</v>
      </c>
      <c r="AA1266" s="973">
        <v>13.32</v>
      </c>
      <c r="AM1266" s="967">
        <v>43574</v>
      </c>
      <c r="AN1266" s="974">
        <v>82200</v>
      </c>
    </row>
    <row r="1267" spans="1:40">
      <c r="A1267" s="966">
        <v>1260</v>
      </c>
      <c r="B1267" s="967">
        <v>43573</v>
      </c>
      <c r="C1267" s="966">
        <v>81400</v>
      </c>
      <c r="D1267" s="966">
        <v>0</v>
      </c>
      <c r="E1267" s="966">
        <v>0</v>
      </c>
      <c r="F1267" s="966">
        <v>39667.33</v>
      </c>
      <c r="G1267" s="966">
        <v>36055.233460399999</v>
      </c>
      <c r="H1267" s="966">
        <v>6691.18</v>
      </c>
      <c r="I1267" s="966">
        <v>12.17</v>
      </c>
      <c r="Q1267" s="967">
        <v>43573</v>
      </c>
      <c r="R1267" s="966">
        <v>81400</v>
      </c>
      <c r="T1267" s="969">
        <v>0</v>
      </c>
      <c r="U1267" s="966">
        <v>6691.18</v>
      </c>
      <c r="W1267" s="971" t="e">
        <f t="shared" si="22"/>
        <v>#DIV/0!</v>
      </c>
      <c r="Y1267" s="967">
        <v>43648</v>
      </c>
      <c r="Z1267" s="974">
        <f ca="1">H1217*Valuation_Senario!$L$372</f>
        <v>10539.115888999999</v>
      </c>
      <c r="AA1267" s="973">
        <v>13.31</v>
      </c>
      <c r="AM1267" s="967">
        <v>43573</v>
      </c>
      <c r="AN1267" s="974">
        <v>81400</v>
      </c>
    </row>
    <row r="1268" spans="1:40">
      <c r="A1268" s="966">
        <v>1261</v>
      </c>
      <c r="B1268" s="967">
        <v>43572</v>
      </c>
      <c r="C1268" s="966">
        <v>81800</v>
      </c>
      <c r="D1268" s="966">
        <v>0</v>
      </c>
      <c r="E1268" s="966">
        <v>1.2479309999999999</v>
      </c>
      <c r="F1268" s="966">
        <v>39844.5</v>
      </c>
      <c r="G1268" s="966">
        <v>36232.409054800002</v>
      </c>
      <c r="H1268" s="966">
        <v>6691.18</v>
      </c>
      <c r="I1268" s="966">
        <v>12.23</v>
      </c>
      <c r="Q1268" s="967">
        <v>43572</v>
      </c>
      <c r="R1268" s="966">
        <v>81800</v>
      </c>
      <c r="T1268" s="969">
        <v>-1.2479309999999999</v>
      </c>
      <c r="U1268" s="966">
        <v>6691.18</v>
      </c>
      <c r="W1268" s="971" t="e">
        <f t="shared" si="22"/>
        <v>#DIV/0!</v>
      </c>
      <c r="Y1268" s="967">
        <v>43647</v>
      </c>
      <c r="Z1268" s="974">
        <f ca="1">H1218*Valuation_Senario!$L$372</f>
        <v>10539.115888999999</v>
      </c>
      <c r="AA1268" s="973">
        <v>13.19</v>
      </c>
      <c r="AM1268" s="967">
        <v>43572</v>
      </c>
      <c r="AN1268" s="974">
        <v>81800</v>
      </c>
    </row>
    <row r="1269" spans="1:40">
      <c r="A1269" s="966">
        <v>1262</v>
      </c>
      <c r="B1269" s="967">
        <v>43571</v>
      </c>
      <c r="C1269" s="966">
        <v>81700</v>
      </c>
      <c r="D1269" s="966">
        <v>0</v>
      </c>
      <c r="E1269" s="966">
        <v>0</v>
      </c>
      <c r="F1269" s="966">
        <v>39800.21</v>
      </c>
      <c r="G1269" s="966">
        <v>36188.115156200001</v>
      </c>
      <c r="H1269" s="966">
        <v>6691.18</v>
      </c>
      <c r="I1269" s="966">
        <v>12.21</v>
      </c>
      <c r="Q1269" s="967">
        <v>43571</v>
      </c>
      <c r="R1269" s="966">
        <v>81700</v>
      </c>
      <c r="T1269" s="969">
        <v>0</v>
      </c>
      <c r="U1269" s="966">
        <v>6691.18</v>
      </c>
      <c r="W1269" s="971" t="e">
        <f t="shared" si="22"/>
        <v>#DIV/0!</v>
      </c>
      <c r="Y1269" s="967">
        <v>43644</v>
      </c>
      <c r="Z1269" s="974">
        <f ca="1">H1219*Valuation_Senario!$L$372</f>
        <v>10539.115888999999</v>
      </c>
      <c r="AA1269" s="973">
        <v>12.93</v>
      </c>
      <c r="AM1269" s="967">
        <v>43571</v>
      </c>
      <c r="AN1269" s="974">
        <v>81700</v>
      </c>
    </row>
    <row r="1270" spans="1:40">
      <c r="A1270" s="966">
        <v>1263</v>
      </c>
      <c r="B1270" s="967">
        <v>43567</v>
      </c>
      <c r="C1270" s="966">
        <v>82500</v>
      </c>
      <c r="D1270" s="966">
        <v>0</v>
      </c>
      <c r="E1270" s="966">
        <v>0</v>
      </c>
      <c r="F1270" s="966">
        <v>40154.559999999998</v>
      </c>
      <c r="G1270" s="966">
        <v>36542.466345000001</v>
      </c>
      <c r="H1270" s="966">
        <v>6691.18</v>
      </c>
      <c r="I1270" s="966">
        <v>12.33</v>
      </c>
      <c r="Q1270" s="967">
        <v>43567</v>
      </c>
      <c r="R1270" s="966">
        <v>82500</v>
      </c>
      <c r="T1270" s="969">
        <v>0</v>
      </c>
      <c r="U1270" s="966">
        <v>6691.18</v>
      </c>
      <c r="W1270" s="971" t="e">
        <f t="shared" si="22"/>
        <v>#DIV/0!</v>
      </c>
      <c r="Y1270" s="967">
        <v>43643</v>
      </c>
      <c r="Z1270" s="974">
        <f ca="1">H1220*Valuation_Senario!$L$372</f>
        <v>10539.115888999999</v>
      </c>
      <c r="AA1270" s="973">
        <v>12.68</v>
      </c>
      <c r="AM1270" s="967">
        <v>43567</v>
      </c>
      <c r="AN1270" s="974">
        <v>82500</v>
      </c>
    </row>
    <row r="1271" spans="1:40">
      <c r="A1271" s="966">
        <v>1264</v>
      </c>
      <c r="B1271" s="967">
        <v>43566</v>
      </c>
      <c r="C1271" s="966">
        <v>82500</v>
      </c>
      <c r="D1271" s="966">
        <v>0</v>
      </c>
      <c r="E1271" s="966">
        <v>0</v>
      </c>
      <c r="F1271" s="966">
        <v>40154.559999999998</v>
      </c>
      <c r="G1271" s="966">
        <v>36542.466345000001</v>
      </c>
      <c r="H1271" s="966">
        <v>6691.18</v>
      </c>
      <c r="I1271" s="966">
        <v>12.33</v>
      </c>
      <c r="Q1271" s="967">
        <v>43566</v>
      </c>
      <c r="R1271" s="966">
        <v>82500</v>
      </c>
      <c r="T1271" s="969">
        <v>0</v>
      </c>
      <c r="U1271" s="966">
        <v>6691.18</v>
      </c>
      <c r="W1271" s="971" t="e">
        <f t="shared" si="22"/>
        <v>#DIV/0!</v>
      </c>
      <c r="Y1271" s="967">
        <v>43642</v>
      </c>
      <c r="Z1271" s="974">
        <f ca="1">H1221*Valuation_Senario!$L$372</f>
        <v>10539.115888999999</v>
      </c>
      <c r="AA1271" s="973">
        <v>12.93</v>
      </c>
      <c r="AM1271" s="967">
        <v>43566</v>
      </c>
      <c r="AN1271" s="974">
        <v>82500</v>
      </c>
    </row>
    <row r="1272" spans="1:40">
      <c r="A1272" s="966">
        <v>1265</v>
      </c>
      <c r="B1272" s="967">
        <v>43565</v>
      </c>
      <c r="C1272" s="966">
        <v>82800</v>
      </c>
      <c r="D1272" s="966">
        <v>0</v>
      </c>
      <c r="E1272" s="966">
        <v>0</v>
      </c>
      <c r="F1272" s="966">
        <v>40287.440000000002</v>
      </c>
      <c r="G1272" s="966">
        <v>36675.348040800003</v>
      </c>
      <c r="H1272" s="966">
        <v>6691.18</v>
      </c>
      <c r="I1272" s="966">
        <v>12.37</v>
      </c>
      <c r="Q1272" s="967">
        <v>43565</v>
      </c>
      <c r="R1272" s="966">
        <v>82800</v>
      </c>
      <c r="T1272" s="969">
        <v>0</v>
      </c>
      <c r="U1272" s="966">
        <v>6691.18</v>
      </c>
      <c r="W1272" s="971" t="e">
        <f t="shared" si="22"/>
        <v>#DIV/0!</v>
      </c>
      <c r="Y1272" s="967">
        <v>43641</v>
      </c>
      <c r="Z1272" s="974">
        <f ca="1">H1222*Valuation_Senario!$L$372</f>
        <v>10539.115888999999</v>
      </c>
      <c r="AA1272" s="973">
        <v>12.79</v>
      </c>
      <c r="AM1272" s="967">
        <v>43565</v>
      </c>
      <c r="AN1272" s="974">
        <v>82800</v>
      </c>
    </row>
    <row r="1273" spans="1:40">
      <c r="A1273" s="966">
        <v>1266</v>
      </c>
      <c r="B1273" s="967">
        <v>43564</v>
      </c>
      <c r="C1273" s="966">
        <v>83700</v>
      </c>
      <c r="D1273" s="966">
        <v>0</v>
      </c>
      <c r="E1273" s="966">
        <v>0</v>
      </c>
      <c r="F1273" s="966">
        <v>40686.089999999997</v>
      </c>
      <c r="G1273" s="966">
        <v>37073.993128200003</v>
      </c>
      <c r="H1273" s="966">
        <v>6691.18</v>
      </c>
      <c r="I1273" s="966">
        <v>12.51</v>
      </c>
      <c r="Q1273" s="967">
        <v>43564</v>
      </c>
      <c r="R1273" s="966">
        <v>83700</v>
      </c>
      <c r="T1273" s="969">
        <v>0</v>
      </c>
      <c r="U1273" s="966">
        <v>6691.18</v>
      </c>
      <c r="W1273" s="971" t="e">
        <f t="shared" si="22"/>
        <v>#DIV/0!</v>
      </c>
      <c r="Y1273" s="967">
        <v>43640</v>
      </c>
      <c r="Z1273" s="974">
        <f ca="1">H1223*Valuation_Senario!$L$372</f>
        <v>10539.115888999999</v>
      </c>
      <c r="AA1273" s="973">
        <v>12.74</v>
      </c>
      <c r="AM1273" s="967">
        <v>43564</v>
      </c>
      <c r="AN1273" s="974">
        <v>83700</v>
      </c>
    </row>
    <row r="1274" spans="1:40">
      <c r="A1274" s="966">
        <v>1267</v>
      </c>
      <c r="B1274" s="967">
        <v>43563</v>
      </c>
      <c r="C1274" s="966">
        <v>84000</v>
      </c>
      <c r="D1274" s="966">
        <v>0</v>
      </c>
      <c r="E1274" s="966">
        <v>0</v>
      </c>
      <c r="F1274" s="966">
        <v>40818.97</v>
      </c>
      <c r="G1274" s="966">
        <v>37206.874823999999</v>
      </c>
      <c r="H1274" s="966">
        <v>6691.18</v>
      </c>
      <c r="I1274" s="966">
        <v>12.55</v>
      </c>
      <c r="Q1274" s="967">
        <v>43563</v>
      </c>
      <c r="R1274" s="966">
        <v>84000</v>
      </c>
      <c r="T1274" s="969">
        <v>0</v>
      </c>
      <c r="U1274" s="966">
        <v>6691.18</v>
      </c>
      <c r="W1274" s="971" t="e">
        <f t="shared" si="22"/>
        <v>#DIV/0!</v>
      </c>
      <c r="Y1274" s="967">
        <v>43637</v>
      </c>
      <c r="Z1274" s="974">
        <f ca="1">H1224*Valuation_Senario!$L$372</f>
        <v>10539.115888999999</v>
      </c>
      <c r="AA1274" s="973">
        <v>12.68</v>
      </c>
      <c r="AM1274" s="967">
        <v>43563</v>
      </c>
      <c r="AN1274" s="974">
        <v>84000</v>
      </c>
    </row>
    <row r="1275" spans="1:40">
      <c r="A1275" s="966">
        <v>1268</v>
      </c>
      <c r="B1275" s="967">
        <v>43560</v>
      </c>
      <c r="C1275" s="966">
        <v>84100</v>
      </c>
      <c r="D1275" s="966">
        <v>0</v>
      </c>
      <c r="E1275" s="966">
        <v>0</v>
      </c>
      <c r="F1275" s="966">
        <v>40863.26</v>
      </c>
      <c r="G1275" s="966">
        <v>37251.168722599999</v>
      </c>
      <c r="H1275" s="966">
        <v>6691.18</v>
      </c>
      <c r="I1275" s="966">
        <v>12.57</v>
      </c>
      <c r="Q1275" s="967">
        <v>43560</v>
      </c>
      <c r="R1275" s="966">
        <v>84100</v>
      </c>
      <c r="T1275" s="969">
        <v>0</v>
      </c>
      <c r="U1275" s="966">
        <v>6691.18</v>
      </c>
      <c r="W1275" s="971" t="e">
        <f t="shared" si="22"/>
        <v>#DIV/0!</v>
      </c>
      <c r="Y1275" s="967">
        <v>43636</v>
      </c>
      <c r="Z1275" s="974">
        <f ca="1">H1225*Valuation_Senario!$L$372</f>
        <v>10539.115888999999</v>
      </c>
      <c r="AA1275" s="973">
        <v>12.34</v>
      </c>
      <c r="AM1275" s="967">
        <v>43560</v>
      </c>
      <c r="AN1275" s="974">
        <v>84100</v>
      </c>
    </row>
    <row r="1276" spans="1:40">
      <c r="A1276" s="966">
        <v>1269</v>
      </c>
      <c r="B1276" s="967">
        <v>43559</v>
      </c>
      <c r="C1276" s="966">
        <v>83500</v>
      </c>
      <c r="D1276" s="966">
        <v>0</v>
      </c>
      <c r="E1276" s="966">
        <v>0</v>
      </c>
      <c r="F1276" s="966">
        <v>40597.5</v>
      </c>
      <c r="G1276" s="966">
        <v>36985.405331000002</v>
      </c>
      <c r="H1276" s="966">
        <v>6691.18</v>
      </c>
      <c r="I1276" s="966">
        <v>12.48</v>
      </c>
      <c r="Q1276" s="967">
        <v>43559</v>
      </c>
      <c r="R1276" s="966">
        <v>83500</v>
      </c>
      <c r="T1276" s="969">
        <v>0</v>
      </c>
      <c r="U1276" s="966">
        <v>6691.18</v>
      </c>
      <c r="W1276" s="971" t="e">
        <f t="shared" si="22"/>
        <v>#DIV/0!</v>
      </c>
      <c r="Y1276" s="967">
        <v>43635</v>
      </c>
      <c r="Z1276" s="974">
        <f ca="1">H1226*Valuation_Senario!$L$372</f>
        <v>10539.115888999999</v>
      </c>
      <c r="AA1276" s="973">
        <v>12.34</v>
      </c>
      <c r="AM1276" s="967">
        <v>43559</v>
      </c>
      <c r="AN1276" s="974">
        <v>83500</v>
      </c>
    </row>
    <row r="1277" spans="1:40">
      <c r="A1277" s="966">
        <v>1270</v>
      </c>
      <c r="B1277" s="967">
        <v>43558</v>
      </c>
      <c r="C1277" s="966">
        <v>83800</v>
      </c>
      <c r="D1277" s="966">
        <v>0</v>
      </c>
      <c r="E1277" s="966">
        <v>0</v>
      </c>
      <c r="F1277" s="966">
        <v>40730.379999999997</v>
      </c>
      <c r="G1277" s="966">
        <v>37118.287026799997</v>
      </c>
      <c r="H1277" s="966">
        <v>6691.18</v>
      </c>
      <c r="I1277" s="966">
        <v>12.52</v>
      </c>
      <c r="Q1277" s="967">
        <v>43558</v>
      </c>
      <c r="R1277" s="966">
        <v>83800</v>
      </c>
      <c r="T1277" s="969">
        <v>0</v>
      </c>
      <c r="U1277" s="966">
        <v>6691.18</v>
      </c>
      <c r="W1277" s="971" t="e">
        <f t="shared" si="22"/>
        <v>#DIV/0!</v>
      </c>
      <c r="Y1277" s="967">
        <v>43634</v>
      </c>
      <c r="Z1277" s="974">
        <f ca="1">H1227*Valuation_Senario!$L$372</f>
        <v>10539.115888999999</v>
      </c>
      <c r="AA1277" s="973">
        <v>12.3</v>
      </c>
      <c r="AM1277" s="967">
        <v>43558</v>
      </c>
      <c r="AN1277" s="974">
        <v>83800</v>
      </c>
    </row>
    <row r="1278" spans="1:40">
      <c r="A1278" s="966">
        <v>1271</v>
      </c>
      <c r="B1278" s="967">
        <v>43557</v>
      </c>
      <c r="C1278" s="966">
        <v>84100</v>
      </c>
      <c r="D1278" s="966">
        <v>0</v>
      </c>
      <c r="E1278" s="966">
        <v>0</v>
      </c>
      <c r="F1278" s="966">
        <v>40863.26</v>
      </c>
      <c r="G1278" s="966">
        <v>37251.168722599999</v>
      </c>
      <c r="H1278" s="966">
        <v>6691.18</v>
      </c>
      <c r="I1278" s="966">
        <v>12.57</v>
      </c>
      <c r="Q1278" s="967">
        <v>43557</v>
      </c>
      <c r="R1278" s="966">
        <v>84100</v>
      </c>
      <c r="T1278" s="969">
        <v>0</v>
      </c>
      <c r="U1278" s="966">
        <v>6691.18</v>
      </c>
      <c r="W1278" s="971" t="e">
        <f t="shared" si="22"/>
        <v>#DIV/0!</v>
      </c>
      <c r="Y1278" s="967">
        <v>43633</v>
      </c>
      <c r="Z1278" s="974">
        <f ca="1">H1228*Valuation_Senario!$L$372</f>
        <v>10539.115888999999</v>
      </c>
      <c r="AA1278" s="973">
        <v>12.23</v>
      </c>
      <c r="AM1278" s="967">
        <v>43557</v>
      </c>
      <c r="AN1278" s="974">
        <v>84100</v>
      </c>
    </row>
    <row r="1279" spans="1:40">
      <c r="A1279" s="966">
        <v>1272</v>
      </c>
      <c r="B1279" s="967">
        <v>43556</v>
      </c>
      <c r="C1279" s="966">
        <v>84100</v>
      </c>
      <c r="D1279" s="966">
        <v>0</v>
      </c>
      <c r="E1279" s="966">
        <v>0</v>
      </c>
      <c r="F1279" s="966">
        <v>40863.26</v>
      </c>
      <c r="G1279" s="966">
        <v>37251.168722599999</v>
      </c>
      <c r="H1279" s="966">
        <v>6691.18</v>
      </c>
      <c r="I1279" s="966">
        <v>12.57</v>
      </c>
      <c r="Q1279" s="967">
        <v>43556</v>
      </c>
      <c r="R1279" s="966">
        <v>84100</v>
      </c>
      <c r="T1279" s="969">
        <v>0</v>
      </c>
      <c r="U1279" s="966">
        <v>6691.18</v>
      </c>
      <c r="W1279" s="971" t="e">
        <f t="shared" si="22"/>
        <v>#DIV/0!</v>
      </c>
      <c r="Y1279" s="967">
        <v>43630</v>
      </c>
      <c r="Z1279" s="974">
        <f ca="1">H1229*Valuation_Senario!$L$372</f>
        <v>10539.115888999999</v>
      </c>
      <c r="AA1279" s="973">
        <v>12.41</v>
      </c>
      <c r="AM1279" s="967">
        <v>43556</v>
      </c>
      <c r="AN1279" s="974">
        <v>84100</v>
      </c>
    </row>
    <row r="1280" spans="1:40">
      <c r="A1280" s="966">
        <v>1273</v>
      </c>
      <c r="B1280" s="967">
        <v>43553</v>
      </c>
      <c r="C1280" s="966">
        <v>84800</v>
      </c>
      <c r="D1280" s="966">
        <v>0</v>
      </c>
      <c r="E1280" s="966">
        <v>0</v>
      </c>
      <c r="F1280" s="966">
        <v>41173.32</v>
      </c>
      <c r="G1280" s="966">
        <v>37561.226012799998</v>
      </c>
      <c r="H1280" s="966">
        <v>6691.18</v>
      </c>
      <c r="I1280" s="966">
        <v>12.67</v>
      </c>
      <c r="Q1280" s="967">
        <v>43553</v>
      </c>
      <c r="R1280" s="966">
        <v>84800</v>
      </c>
      <c r="T1280" s="969">
        <v>0</v>
      </c>
      <c r="U1280" s="966">
        <v>6691.18</v>
      </c>
      <c r="W1280" s="971" t="e">
        <f t="shared" si="22"/>
        <v>#DIV/0!</v>
      </c>
      <c r="Y1280" s="967">
        <v>43629</v>
      </c>
      <c r="Z1280" s="974">
        <f ca="1">H1230*Valuation_Senario!$L$372</f>
        <v>10539.115888999999</v>
      </c>
      <c r="AA1280" s="973">
        <v>12.46</v>
      </c>
      <c r="AM1280" s="967">
        <v>43553</v>
      </c>
      <c r="AN1280" s="974">
        <v>84800</v>
      </c>
    </row>
    <row r="1281" spans="1:40">
      <c r="A1281" s="966">
        <v>1274</v>
      </c>
      <c r="B1281" s="967">
        <v>43552</v>
      </c>
      <c r="C1281" s="966">
        <v>84400</v>
      </c>
      <c r="D1281" s="966">
        <v>0.90330500000000002</v>
      </c>
      <c r="E1281" s="966">
        <v>0</v>
      </c>
      <c r="F1281" s="966">
        <v>40996.15</v>
      </c>
      <c r="G1281" s="966">
        <v>37384.050418400002</v>
      </c>
      <c r="H1281" s="966">
        <v>6691.18</v>
      </c>
      <c r="I1281" s="966">
        <v>12.61</v>
      </c>
      <c r="Q1281" s="967">
        <v>43552</v>
      </c>
      <c r="R1281" s="966">
        <v>84400</v>
      </c>
      <c r="T1281" s="969">
        <v>0.90330500000000002</v>
      </c>
      <c r="U1281" s="966">
        <v>6691.18</v>
      </c>
      <c r="W1281" s="971" t="e">
        <f t="shared" si="22"/>
        <v>#DIV/0!</v>
      </c>
      <c r="Y1281" s="967">
        <v>43628</v>
      </c>
      <c r="Z1281" s="974">
        <f ca="1">H1231*Valuation_Senario!$L$372</f>
        <v>10539.115888999999</v>
      </c>
      <c r="AA1281" s="973">
        <v>12.64</v>
      </c>
      <c r="AM1281" s="967">
        <v>43552</v>
      </c>
      <c r="AN1281" s="974">
        <v>84400</v>
      </c>
    </row>
    <row r="1282" spans="1:40">
      <c r="A1282" s="966">
        <v>1275</v>
      </c>
      <c r="B1282" s="967">
        <v>43551</v>
      </c>
      <c r="C1282" s="966">
        <v>84400</v>
      </c>
      <c r="D1282" s="966">
        <v>0</v>
      </c>
      <c r="E1282" s="966">
        <v>0</v>
      </c>
      <c r="F1282" s="966">
        <v>40996.15</v>
      </c>
      <c r="G1282" s="966">
        <v>37384.050418400002</v>
      </c>
      <c r="H1282" s="966">
        <v>6691.18</v>
      </c>
      <c r="I1282" s="966">
        <v>12.61</v>
      </c>
      <c r="Q1282" s="967">
        <v>43551</v>
      </c>
      <c r="R1282" s="966">
        <v>84400</v>
      </c>
      <c r="T1282" s="969">
        <v>0</v>
      </c>
      <c r="U1282" s="966">
        <v>6691.18</v>
      </c>
      <c r="W1282" s="971" t="e">
        <f t="shared" si="22"/>
        <v>#DIV/0!</v>
      </c>
      <c r="Y1282" s="967">
        <v>43627</v>
      </c>
      <c r="Z1282" s="974">
        <f ca="1">H1232*Valuation_Senario!$L$372</f>
        <v>10539.115888999999</v>
      </c>
      <c r="AA1282" s="973">
        <v>12.48</v>
      </c>
      <c r="AM1282" s="967">
        <v>43551</v>
      </c>
      <c r="AN1282" s="974">
        <v>84400</v>
      </c>
    </row>
    <row r="1283" spans="1:40">
      <c r="A1283" s="966">
        <v>1276</v>
      </c>
      <c r="B1283" s="967">
        <v>43550</v>
      </c>
      <c r="C1283" s="966">
        <v>84100</v>
      </c>
      <c r="D1283" s="966">
        <v>0</v>
      </c>
      <c r="E1283" s="966">
        <v>0</v>
      </c>
      <c r="F1283" s="966">
        <v>40879.07</v>
      </c>
      <c r="G1283" s="966">
        <v>37266.971701299997</v>
      </c>
      <c r="H1283" s="966">
        <v>6688.26</v>
      </c>
      <c r="I1283" s="966">
        <v>12.57</v>
      </c>
      <c r="Q1283" s="967">
        <v>43550</v>
      </c>
      <c r="R1283" s="966">
        <v>84100</v>
      </c>
      <c r="T1283" s="969">
        <v>0</v>
      </c>
      <c r="U1283" s="966">
        <v>6688.26</v>
      </c>
      <c r="W1283" s="971" t="e">
        <f t="shared" si="22"/>
        <v>#DIV/0!</v>
      </c>
      <c r="Y1283" s="967">
        <v>43626</v>
      </c>
      <c r="Z1283" s="974">
        <f ca="1">H1233*Valuation_Senario!$L$372</f>
        <v>10539.115888999999</v>
      </c>
      <c r="AA1283" s="973">
        <v>12.34</v>
      </c>
      <c r="AM1283" s="967">
        <v>43550</v>
      </c>
      <c r="AN1283" s="974">
        <v>84100</v>
      </c>
    </row>
    <row r="1284" spans="1:40">
      <c r="A1284" s="966">
        <v>1277</v>
      </c>
      <c r="B1284" s="967">
        <v>43549</v>
      </c>
      <c r="C1284" s="966">
        <v>83800</v>
      </c>
      <c r="D1284" s="966">
        <v>0</v>
      </c>
      <c r="E1284" s="966">
        <v>0.91647100000000004</v>
      </c>
      <c r="F1284" s="966">
        <v>40746.129999999997</v>
      </c>
      <c r="G1284" s="966">
        <v>37134.033633400002</v>
      </c>
      <c r="H1284" s="966">
        <v>6688.26</v>
      </c>
      <c r="I1284" s="966">
        <v>12.53</v>
      </c>
      <c r="Q1284" s="967">
        <v>43549</v>
      </c>
      <c r="R1284" s="966">
        <v>83800</v>
      </c>
      <c r="T1284" s="969">
        <v>-0.91647100000000004</v>
      </c>
      <c r="U1284" s="966">
        <v>6688.26</v>
      </c>
      <c r="W1284" s="971" t="e">
        <f t="shared" si="22"/>
        <v>#DIV/0!</v>
      </c>
      <c r="Y1284" s="967">
        <v>43623</v>
      </c>
      <c r="Z1284" s="974">
        <f ca="1">H1234*Valuation_Senario!$L$372</f>
        <v>10539.115888999999</v>
      </c>
      <c r="AA1284" s="973">
        <v>12.3</v>
      </c>
      <c r="AM1284" s="967">
        <v>43549</v>
      </c>
      <c r="AN1284" s="974">
        <v>83800</v>
      </c>
    </row>
    <row r="1285" spans="1:40">
      <c r="A1285" s="966">
        <v>1278</v>
      </c>
      <c r="B1285" s="967">
        <v>43546</v>
      </c>
      <c r="C1285" s="966">
        <v>87200</v>
      </c>
      <c r="D1285" s="966">
        <v>17.939398000000001</v>
      </c>
      <c r="E1285" s="966">
        <v>17.794363000000001</v>
      </c>
      <c r="F1285" s="966">
        <v>42252.76</v>
      </c>
      <c r="G1285" s="966">
        <v>38640.6650696</v>
      </c>
      <c r="H1285" s="966">
        <v>6688.26</v>
      </c>
      <c r="I1285" s="966">
        <v>13.04</v>
      </c>
      <c r="Q1285" s="967">
        <v>43546</v>
      </c>
      <c r="R1285" s="966">
        <v>87200</v>
      </c>
      <c r="T1285" s="969">
        <v>0.14503500000000003</v>
      </c>
      <c r="U1285" s="966">
        <v>6688.26</v>
      </c>
      <c r="W1285" s="971" t="e">
        <f t="shared" si="22"/>
        <v>#DIV/0!</v>
      </c>
      <c r="Y1285" s="967">
        <v>43622</v>
      </c>
      <c r="Z1285" s="974">
        <f ca="1">H1235*Valuation_Senario!$L$372</f>
        <v>10539.115888999999</v>
      </c>
      <c r="AA1285" s="973">
        <v>12.05</v>
      </c>
      <c r="AM1285" s="967">
        <v>43546</v>
      </c>
      <c r="AN1285" s="974">
        <v>87200</v>
      </c>
    </row>
    <row r="1286" spans="1:40">
      <c r="A1286" s="966">
        <v>1279</v>
      </c>
      <c r="B1286" s="967">
        <v>43545</v>
      </c>
      <c r="C1286" s="966">
        <v>87900</v>
      </c>
      <c r="D1286" s="966">
        <v>0</v>
      </c>
      <c r="E1286" s="966">
        <v>0</v>
      </c>
      <c r="F1286" s="966">
        <v>42562.95</v>
      </c>
      <c r="G1286" s="966">
        <v>38950.853894699998</v>
      </c>
      <c r="H1286" s="966">
        <v>6688.26</v>
      </c>
      <c r="I1286" s="966">
        <v>13.14</v>
      </c>
      <c r="Q1286" s="967">
        <v>43545</v>
      </c>
      <c r="R1286" s="966">
        <v>87900</v>
      </c>
      <c r="T1286" s="969">
        <v>0</v>
      </c>
      <c r="U1286" s="966">
        <v>6688.26</v>
      </c>
      <c r="W1286" s="971" t="e">
        <f t="shared" si="22"/>
        <v>#DIV/0!</v>
      </c>
      <c r="Y1286" s="967">
        <v>43621</v>
      </c>
      <c r="Z1286" s="974">
        <f ca="1">H1236*Valuation_Senario!$L$372</f>
        <v>10539.115888999999</v>
      </c>
      <c r="AA1286" s="973">
        <v>12.07</v>
      </c>
      <c r="AM1286" s="967">
        <v>43545</v>
      </c>
      <c r="AN1286" s="974">
        <v>87900</v>
      </c>
    </row>
    <row r="1287" spans="1:40">
      <c r="A1287" s="966">
        <v>1280</v>
      </c>
      <c r="B1287" s="967">
        <v>43544</v>
      </c>
      <c r="C1287" s="966">
        <v>88500</v>
      </c>
      <c r="D1287" s="966">
        <v>0</v>
      </c>
      <c r="E1287" s="966">
        <v>0</v>
      </c>
      <c r="F1287" s="966">
        <v>42828.83</v>
      </c>
      <c r="G1287" s="966">
        <v>39216.730030500003</v>
      </c>
      <c r="H1287" s="966">
        <v>6688.26</v>
      </c>
      <c r="I1287" s="966">
        <v>13.23</v>
      </c>
      <c r="Q1287" s="967">
        <v>43544</v>
      </c>
      <c r="R1287" s="966">
        <v>88500</v>
      </c>
      <c r="T1287" s="969">
        <v>0</v>
      </c>
      <c r="U1287" s="966">
        <v>6688.26</v>
      </c>
      <c r="W1287" s="971" t="e">
        <f t="shared" si="22"/>
        <v>#DIV/0!</v>
      </c>
      <c r="Y1287" s="967">
        <v>43620</v>
      </c>
      <c r="Z1287" s="974">
        <f ca="1">H1237*Valuation_Senario!$L$372</f>
        <v>10539.115888999999</v>
      </c>
      <c r="AA1287" s="973">
        <v>11.98</v>
      </c>
      <c r="AM1287" s="967">
        <v>43544</v>
      </c>
      <c r="AN1287" s="974">
        <v>88500</v>
      </c>
    </row>
    <row r="1288" spans="1:40">
      <c r="A1288" s="966">
        <v>1281</v>
      </c>
      <c r="B1288" s="967">
        <v>43543</v>
      </c>
      <c r="C1288" s="966">
        <v>89100</v>
      </c>
      <c r="D1288" s="966">
        <v>0</v>
      </c>
      <c r="E1288" s="966">
        <v>0.147345</v>
      </c>
      <c r="F1288" s="966">
        <v>43094.7</v>
      </c>
      <c r="G1288" s="966">
        <v>39482.6061663</v>
      </c>
      <c r="H1288" s="966">
        <v>6688.26</v>
      </c>
      <c r="I1288" s="966">
        <v>13.32</v>
      </c>
      <c r="Q1288" s="967">
        <v>43543</v>
      </c>
      <c r="R1288" s="966">
        <v>89100</v>
      </c>
      <c r="T1288" s="969">
        <v>-0.147345</v>
      </c>
      <c r="U1288" s="966">
        <v>6688.26</v>
      </c>
      <c r="W1288" s="971" t="e">
        <f t="shared" si="22"/>
        <v>#DIV/0!</v>
      </c>
      <c r="Y1288" s="967">
        <v>43619</v>
      </c>
      <c r="Z1288" s="974">
        <f ca="1">H1238*Valuation_Senario!$L$372</f>
        <v>10539.115888999999</v>
      </c>
      <c r="AA1288" s="973">
        <v>11.84</v>
      </c>
      <c r="AM1288" s="967">
        <v>43543</v>
      </c>
      <c r="AN1288" s="974">
        <v>89100</v>
      </c>
    </row>
    <row r="1289" spans="1:40">
      <c r="A1289" s="966">
        <v>1282</v>
      </c>
      <c r="B1289" s="967">
        <v>43542</v>
      </c>
      <c r="C1289" s="966">
        <v>89200</v>
      </c>
      <c r="D1289" s="966">
        <v>0</v>
      </c>
      <c r="E1289" s="966">
        <v>0</v>
      </c>
      <c r="F1289" s="966">
        <v>43139.01</v>
      </c>
      <c r="G1289" s="966">
        <v>39526.918855600001</v>
      </c>
      <c r="H1289" s="966">
        <v>6688.26</v>
      </c>
      <c r="I1289" s="966">
        <v>13.34</v>
      </c>
      <c r="Q1289" s="967">
        <v>43542</v>
      </c>
      <c r="R1289" s="966">
        <v>89200</v>
      </c>
      <c r="T1289" s="969">
        <v>0</v>
      </c>
      <c r="U1289" s="966">
        <v>6688.26</v>
      </c>
      <c r="W1289" s="971" t="e">
        <f t="shared" ref="W1289:W1352" si="23">T1289/V1289</f>
        <v>#DIV/0!</v>
      </c>
      <c r="Y1289" s="967">
        <v>43616</v>
      </c>
      <c r="Z1289" s="974">
        <f ca="1">H1239*Valuation_Senario!$L$372</f>
        <v>10539.115888999999</v>
      </c>
      <c r="AA1289" s="973">
        <v>12</v>
      </c>
      <c r="AM1289" s="967">
        <v>43542</v>
      </c>
      <c r="AN1289" s="974">
        <v>89200</v>
      </c>
    </row>
    <row r="1290" spans="1:40">
      <c r="A1290" s="966">
        <v>1283</v>
      </c>
      <c r="B1290" s="967">
        <v>43539</v>
      </c>
      <c r="C1290" s="966">
        <v>88600</v>
      </c>
      <c r="D1290" s="966">
        <v>0</v>
      </c>
      <c r="E1290" s="966">
        <v>0</v>
      </c>
      <c r="F1290" s="966">
        <v>42873.14</v>
      </c>
      <c r="G1290" s="966">
        <v>39261.042719800003</v>
      </c>
      <c r="H1290" s="966">
        <v>6688.26</v>
      </c>
      <c r="I1290" s="966">
        <v>13.25</v>
      </c>
      <c r="Q1290" s="967">
        <v>43539</v>
      </c>
      <c r="R1290" s="966">
        <v>88600</v>
      </c>
      <c r="T1290" s="969">
        <v>0</v>
      </c>
      <c r="U1290" s="966">
        <v>6688.26</v>
      </c>
      <c r="W1290" s="971" t="e">
        <f t="shared" si="23"/>
        <v>#DIV/0!</v>
      </c>
      <c r="Y1290" s="967">
        <v>43615</v>
      </c>
      <c r="Z1290" s="974">
        <f ca="1">H1240*Valuation_Senario!$L$372</f>
        <v>10539.115888999999</v>
      </c>
      <c r="AA1290" s="973">
        <v>12.21</v>
      </c>
      <c r="AM1290" s="967">
        <v>43539</v>
      </c>
      <c r="AN1290" s="974">
        <v>88600</v>
      </c>
    </row>
    <row r="1291" spans="1:40">
      <c r="A1291" s="966">
        <v>1284</v>
      </c>
      <c r="B1291" s="967">
        <v>43538</v>
      </c>
      <c r="C1291" s="966">
        <v>88600</v>
      </c>
      <c r="D1291" s="966">
        <v>0</v>
      </c>
      <c r="E1291" s="966">
        <v>0</v>
      </c>
      <c r="F1291" s="966">
        <v>42873.14</v>
      </c>
      <c r="G1291" s="966">
        <v>39261.042719800003</v>
      </c>
      <c r="H1291" s="966">
        <v>6688.26</v>
      </c>
      <c r="I1291" s="966">
        <v>13.25</v>
      </c>
      <c r="Q1291" s="967">
        <v>43538</v>
      </c>
      <c r="R1291" s="966">
        <v>88600</v>
      </c>
      <c r="T1291" s="969">
        <v>0</v>
      </c>
      <c r="U1291" s="966">
        <v>6688.26</v>
      </c>
      <c r="W1291" s="971" t="e">
        <f t="shared" si="23"/>
        <v>#DIV/0!</v>
      </c>
      <c r="Y1291" s="967">
        <v>43614</v>
      </c>
      <c r="Z1291" s="974">
        <f ca="1">H1241*Valuation_Senario!$L$372</f>
        <v>10539.115888999999</v>
      </c>
      <c r="AA1291" s="973">
        <v>12.19</v>
      </c>
      <c r="AM1291" s="967">
        <v>43538</v>
      </c>
      <c r="AN1291" s="974">
        <v>88600</v>
      </c>
    </row>
    <row r="1292" spans="1:40">
      <c r="A1292" s="966">
        <v>1285</v>
      </c>
      <c r="B1292" s="967">
        <v>43537</v>
      </c>
      <c r="C1292" s="966">
        <v>89400</v>
      </c>
      <c r="D1292" s="966">
        <v>0</v>
      </c>
      <c r="E1292" s="966">
        <v>0</v>
      </c>
      <c r="F1292" s="966">
        <v>43227.64</v>
      </c>
      <c r="G1292" s="966">
        <v>39615.544234200002</v>
      </c>
      <c r="H1292" s="966">
        <v>6688.26</v>
      </c>
      <c r="I1292" s="966">
        <v>13.37</v>
      </c>
      <c r="Q1292" s="967">
        <v>43537</v>
      </c>
      <c r="R1292" s="966">
        <v>89400</v>
      </c>
      <c r="T1292" s="969">
        <v>0</v>
      </c>
      <c r="U1292" s="966">
        <v>6688.26</v>
      </c>
      <c r="W1292" s="971" t="e">
        <f t="shared" si="23"/>
        <v>#DIV/0!</v>
      </c>
      <c r="Y1292" s="967">
        <v>43613</v>
      </c>
      <c r="Z1292" s="974">
        <f ca="1">H1242*Valuation_Senario!$L$372</f>
        <v>10539.115888999999</v>
      </c>
      <c r="AA1292" s="973">
        <v>12.29</v>
      </c>
      <c r="AM1292" s="967">
        <v>43537</v>
      </c>
      <c r="AN1292" s="974">
        <v>89400</v>
      </c>
    </row>
    <row r="1293" spans="1:40">
      <c r="A1293" s="966">
        <v>1286</v>
      </c>
      <c r="B1293" s="967">
        <v>43536</v>
      </c>
      <c r="C1293" s="966">
        <v>88500</v>
      </c>
      <c r="D1293" s="966">
        <v>0</v>
      </c>
      <c r="E1293" s="966">
        <v>0</v>
      </c>
      <c r="F1293" s="966">
        <v>42828.83</v>
      </c>
      <c r="G1293" s="966">
        <v>39216.730030500003</v>
      </c>
      <c r="H1293" s="966">
        <v>6688.26</v>
      </c>
      <c r="I1293" s="966">
        <v>13.23</v>
      </c>
      <c r="Q1293" s="967">
        <v>43536</v>
      </c>
      <c r="R1293" s="966">
        <v>88500</v>
      </c>
      <c r="T1293" s="969">
        <v>0</v>
      </c>
      <c r="U1293" s="966">
        <v>6688.26</v>
      </c>
      <c r="W1293" s="971" t="e">
        <f t="shared" si="23"/>
        <v>#DIV/0!</v>
      </c>
      <c r="Y1293" s="967">
        <v>43612</v>
      </c>
      <c r="Z1293" s="974">
        <f ca="1">H1243*Valuation_Senario!$L$372</f>
        <v>10539.115888999999</v>
      </c>
      <c r="AA1293" s="973">
        <v>12.22</v>
      </c>
      <c r="AM1293" s="967">
        <v>43536</v>
      </c>
      <c r="AN1293" s="974">
        <v>88500</v>
      </c>
    </row>
    <row r="1294" spans="1:40">
      <c r="A1294" s="966">
        <v>1287</v>
      </c>
      <c r="B1294" s="967">
        <v>43535</v>
      </c>
      <c r="C1294" s="966">
        <v>87400</v>
      </c>
      <c r="D1294" s="966">
        <v>0</v>
      </c>
      <c r="E1294" s="966">
        <v>0</v>
      </c>
      <c r="F1294" s="966">
        <v>42341.39</v>
      </c>
      <c r="G1294" s="966">
        <v>38729.290448200001</v>
      </c>
      <c r="H1294" s="966">
        <v>6688.26</v>
      </c>
      <c r="I1294" s="966">
        <v>13.07</v>
      </c>
      <c r="Q1294" s="967">
        <v>43535</v>
      </c>
      <c r="R1294" s="966">
        <v>87400</v>
      </c>
      <c r="T1294" s="969">
        <v>0</v>
      </c>
      <c r="U1294" s="966">
        <v>6688.26</v>
      </c>
      <c r="W1294" s="971" t="e">
        <f t="shared" si="23"/>
        <v>#DIV/0!</v>
      </c>
      <c r="Y1294" s="967">
        <v>43609</v>
      </c>
      <c r="Z1294" s="974">
        <f ca="1">H1244*Valuation_Senario!$L$372</f>
        <v>10539.115888999999</v>
      </c>
      <c r="AA1294" s="973">
        <v>12.36</v>
      </c>
      <c r="AM1294" s="967">
        <v>43535</v>
      </c>
      <c r="AN1294" s="974">
        <v>87400</v>
      </c>
    </row>
    <row r="1295" spans="1:40">
      <c r="A1295" s="966">
        <v>1288</v>
      </c>
      <c r="B1295" s="967">
        <v>43532</v>
      </c>
      <c r="C1295" s="966">
        <v>86600</v>
      </c>
      <c r="D1295" s="966">
        <v>7.636539</v>
      </c>
      <c r="E1295" s="966">
        <v>7.636539</v>
      </c>
      <c r="F1295" s="966">
        <v>41986.879999999997</v>
      </c>
      <c r="G1295" s="966">
        <v>38374.788933800002</v>
      </c>
      <c r="H1295" s="966">
        <v>6688.26</v>
      </c>
      <c r="I1295" s="966">
        <v>12.95</v>
      </c>
      <c r="Q1295" s="967">
        <v>43532</v>
      </c>
      <c r="R1295" s="966">
        <v>86600</v>
      </c>
      <c r="T1295" s="969">
        <v>0</v>
      </c>
      <c r="U1295" s="966">
        <v>6688.26</v>
      </c>
      <c r="W1295" s="971" t="e">
        <f t="shared" si="23"/>
        <v>#DIV/0!</v>
      </c>
      <c r="Y1295" s="967">
        <v>43608</v>
      </c>
      <c r="Z1295" s="974">
        <f ca="1">H1245*Valuation_Senario!$L$372</f>
        <v>10539.115888999999</v>
      </c>
      <c r="AA1295" s="973">
        <v>12.21</v>
      </c>
      <c r="AM1295" s="967">
        <v>43532</v>
      </c>
      <c r="AN1295" s="974">
        <v>86600</v>
      </c>
    </row>
    <row r="1296" spans="1:40">
      <c r="A1296" s="966">
        <v>1289</v>
      </c>
      <c r="B1296" s="967">
        <v>43531</v>
      </c>
      <c r="C1296" s="966">
        <v>87700</v>
      </c>
      <c r="D1296" s="966">
        <v>0</v>
      </c>
      <c r="E1296" s="966">
        <v>0</v>
      </c>
      <c r="F1296" s="966">
        <v>42474.32</v>
      </c>
      <c r="G1296" s="966">
        <v>38862.228516100004</v>
      </c>
      <c r="H1296" s="966">
        <v>6688.26</v>
      </c>
      <c r="I1296" s="966">
        <v>13.11</v>
      </c>
      <c r="Q1296" s="967">
        <v>43531</v>
      </c>
      <c r="R1296" s="966">
        <v>87700</v>
      </c>
      <c r="T1296" s="969">
        <v>0</v>
      </c>
      <c r="U1296" s="966">
        <v>6688.26</v>
      </c>
      <c r="W1296" s="971" t="e">
        <f t="shared" si="23"/>
        <v>#DIV/0!</v>
      </c>
      <c r="Y1296" s="967">
        <v>43607</v>
      </c>
      <c r="Z1296" s="974">
        <f ca="1">H1246*Valuation_Senario!$L$372</f>
        <v>10535.415377359999</v>
      </c>
      <c r="AA1296" s="973">
        <v>12.34</v>
      </c>
      <c r="AM1296" s="967">
        <v>43531</v>
      </c>
      <c r="AN1296" s="974">
        <v>87700</v>
      </c>
    </row>
    <row r="1297" spans="1:40">
      <c r="A1297" s="966">
        <v>1290</v>
      </c>
      <c r="B1297" s="967">
        <v>43530</v>
      </c>
      <c r="C1297" s="966">
        <v>88100</v>
      </c>
      <c r="D1297" s="966">
        <v>0</v>
      </c>
      <c r="E1297" s="966">
        <v>0</v>
      </c>
      <c r="F1297" s="966">
        <v>42651.57</v>
      </c>
      <c r="G1297" s="966">
        <v>39039.479273299999</v>
      </c>
      <c r="H1297" s="966">
        <v>6688.26</v>
      </c>
      <c r="I1297" s="966">
        <v>13.17</v>
      </c>
      <c r="Q1297" s="967">
        <v>43530</v>
      </c>
      <c r="R1297" s="966">
        <v>88100</v>
      </c>
      <c r="T1297" s="969">
        <v>0</v>
      </c>
      <c r="U1297" s="966">
        <v>6688.26</v>
      </c>
      <c r="W1297" s="971" t="e">
        <f t="shared" si="23"/>
        <v>#DIV/0!</v>
      </c>
      <c r="Y1297" s="967">
        <v>43606</v>
      </c>
      <c r="Z1297" s="974">
        <f ca="1">H1247*Valuation_Senario!$L$372</f>
        <v>10535.415377359999</v>
      </c>
      <c r="AA1297" s="973">
        <v>12.29</v>
      </c>
      <c r="AM1297" s="967">
        <v>43530</v>
      </c>
      <c r="AN1297" s="974">
        <v>88100</v>
      </c>
    </row>
    <row r="1298" spans="1:40">
      <c r="A1298" s="966">
        <v>1291</v>
      </c>
      <c r="B1298" s="967">
        <v>43529</v>
      </c>
      <c r="C1298" s="966">
        <v>87800</v>
      </c>
      <c r="D1298" s="966">
        <v>0</v>
      </c>
      <c r="E1298" s="966">
        <v>0</v>
      </c>
      <c r="F1298" s="966">
        <v>42518.64</v>
      </c>
      <c r="G1298" s="966">
        <v>38906.541205399997</v>
      </c>
      <c r="H1298" s="966">
        <v>6688.26</v>
      </c>
      <c r="I1298" s="966">
        <v>13.13</v>
      </c>
      <c r="Q1298" s="967">
        <v>43529</v>
      </c>
      <c r="R1298" s="966">
        <v>87800</v>
      </c>
      <c r="T1298" s="969">
        <v>0</v>
      </c>
      <c r="U1298" s="966">
        <v>6688.26</v>
      </c>
      <c r="W1298" s="971" t="e">
        <f t="shared" si="23"/>
        <v>#DIV/0!</v>
      </c>
      <c r="Y1298" s="967">
        <v>43605</v>
      </c>
      <c r="Z1298" s="974">
        <f ca="1">H1248*Valuation_Senario!$L$372</f>
        <v>10535.415377359999</v>
      </c>
      <c r="AA1298" s="973">
        <v>12.31</v>
      </c>
      <c r="AM1298" s="967">
        <v>43529</v>
      </c>
      <c r="AN1298" s="974">
        <v>87800</v>
      </c>
    </row>
    <row r="1299" spans="1:40">
      <c r="A1299" s="966">
        <v>1292</v>
      </c>
      <c r="B1299" s="967">
        <v>43528</v>
      </c>
      <c r="C1299" s="966">
        <v>89000</v>
      </c>
      <c r="D1299" s="966">
        <v>0</v>
      </c>
      <c r="E1299" s="966">
        <v>0</v>
      </c>
      <c r="F1299" s="966">
        <v>43050.39</v>
      </c>
      <c r="G1299" s="966">
        <v>39438.293476999999</v>
      </c>
      <c r="H1299" s="966">
        <v>6688.26</v>
      </c>
      <c r="I1299" s="966">
        <v>13.31</v>
      </c>
      <c r="Q1299" s="967">
        <v>43528</v>
      </c>
      <c r="R1299" s="966">
        <v>89000</v>
      </c>
      <c r="T1299" s="969">
        <v>0</v>
      </c>
      <c r="U1299" s="966">
        <v>6688.26</v>
      </c>
      <c r="W1299" s="971" t="e">
        <f t="shared" si="23"/>
        <v>#DIV/0!</v>
      </c>
      <c r="Y1299" s="967">
        <v>43602</v>
      </c>
      <c r="Z1299" s="974">
        <f ca="1">H1249*Valuation_Senario!$L$372</f>
        <v>10535.415377359999</v>
      </c>
      <c r="AA1299" s="973">
        <v>12.06</v>
      </c>
      <c r="AM1299" s="967">
        <v>43528</v>
      </c>
      <c r="AN1299" s="974">
        <v>89000</v>
      </c>
    </row>
    <row r="1300" spans="1:40">
      <c r="A1300" s="966">
        <v>1293</v>
      </c>
      <c r="B1300" s="967">
        <v>43525</v>
      </c>
      <c r="C1300" s="966">
        <v>87500</v>
      </c>
      <c r="D1300" s="966">
        <v>0</v>
      </c>
      <c r="E1300" s="966">
        <v>0</v>
      </c>
      <c r="F1300" s="966">
        <v>42385.7</v>
      </c>
      <c r="G1300" s="966">
        <v>38773.603137500002</v>
      </c>
      <c r="H1300" s="966">
        <v>6688.26</v>
      </c>
      <c r="I1300" s="966">
        <v>13.08</v>
      </c>
      <c r="Q1300" s="967">
        <v>43525</v>
      </c>
      <c r="R1300" s="966">
        <v>87500</v>
      </c>
      <c r="T1300" s="969">
        <v>0</v>
      </c>
      <c r="U1300" s="966">
        <v>6688.26</v>
      </c>
      <c r="W1300" s="971" t="e">
        <f t="shared" si="23"/>
        <v>#DIV/0!</v>
      </c>
      <c r="Y1300" s="967">
        <v>43601</v>
      </c>
      <c r="Z1300" s="974">
        <f ca="1">H1250*Valuation_Senario!$L$372</f>
        <v>10535.415377359999</v>
      </c>
      <c r="AA1300" s="973">
        <v>11.99</v>
      </c>
      <c r="AM1300" s="967">
        <v>43525</v>
      </c>
      <c r="AN1300" s="974">
        <v>87500</v>
      </c>
    </row>
    <row r="1301" spans="1:40">
      <c r="A1301" s="966">
        <v>1294</v>
      </c>
      <c r="B1301" s="967">
        <v>43524</v>
      </c>
      <c r="C1301" s="966">
        <v>86800</v>
      </c>
      <c r="D1301" s="966">
        <v>0</v>
      </c>
      <c r="E1301" s="966">
        <v>0</v>
      </c>
      <c r="F1301" s="966">
        <v>42075.51</v>
      </c>
      <c r="G1301" s="966">
        <v>38463.414312399997</v>
      </c>
      <c r="H1301" s="966">
        <v>6688.26</v>
      </c>
      <c r="I1301" s="966">
        <v>12.98</v>
      </c>
      <c r="Q1301" s="967">
        <v>43524</v>
      </c>
      <c r="R1301" s="966">
        <v>86800</v>
      </c>
      <c r="T1301" s="969">
        <v>0</v>
      </c>
      <c r="U1301" s="966">
        <v>6688.26</v>
      </c>
      <c r="W1301" s="971" t="e">
        <f t="shared" si="23"/>
        <v>#DIV/0!</v>
      </c>
      <c r="Y1301" s="967">
        <v>43600</v>
      </c>
      <c r="Z1301" s="974">
        <f ca="1">H1251*Valuation_Senario!$L$372</f>
        <v>10535.415377359999</v>
      </c>
      <c r="AA1301" s="973">
        <v>12.13</v>
      </c>
      <c r="AM1301" s="967">
        <v>43524</v>
      </c>
      <c r="AN1301" s="974">
        <v>86800</v>
      </c>
    </row>
    <row r="1302" spans="1:40">
      <c r="A1302" s="966">
        <v>1295</v>
      </c>
      <c r="B1302" s="967">
        <v>43523</v>
      </c>
      <c r="C1302" s="966">
        <v>88200</v>
      </c>
      <c r="D1302" s="966">
        <v>0</v>
      </c>
      <c r="E1302" s="966">
        <v>0</v>
      </c>
      <c r="F1302" s="966">
        <v>42695.89</v>
      </c>
      <c r="G1302" s="966">
        <v>39083.7919626</v>
      </c>
      <c r="H1302" s="966">
        <v>6688.26</v>
      </c>
      <c r="I1302" s="966">
        <v>13.19</v>
      </c>
      <c r="Q1302" s="967">
        <v>43523</v>
      </c>
      <c r="R1302" s="966">
        <v>88200</v>
      </c>
      <c r="T1302" s="969">
        <v>0</v>
      </c>
      <c r="U1302" s="966">
        <v>6688.26</v>
      </c>
      <c r="W1302" s="971" t="e">
        <f t="shared" si="23"/>
        <v>#DIV/0!</v>
      </c>
      <c r="Y1302" s="967">
        <v>43599</v>
      </c>
      <c r="Z1302" s="974">
        <f ca="1">H1252*Valuation_Senario!$L$372</f>
        <v>10535.415377359999</v>
      </c>
      <c r="AA1302" s="973">
        <v>11.92</v>
      </c>
      <c r="AM1302" s="967">
        <v>43523</v>
      </c>
      <c r="AN1302" s="974">
        <v>88200</v>
      </c>
    </row>
    <row r="1303" spans="1:40">
      <c r="A1303" s="966">
        <v>1296</v>
      </c>
      <c r="B1303" s="967">
        <v>43522</v>
      </c>
      <c r="C1303" s="966">
        <v>88500</v>
      </c>
      <c r="D1303" s="966">
        <v>0</v>
      </c>
      <c r="E1303" s="966">
        <v>0</v>
      </c>
      <c r="F1303" s="966">
        <v>42828.83</v>
      </c>
      <c r="G1303" s="966">
        <v>39216.730030500003</v>
      </c>
      <c r="H1303" s="966">
        <v>6688.26</v>
      </c>
      <c r="I1303" s="966">
        <v>13.23</v>
      </c>
      <c r="Q1303" s="967">
        <v>43522</v>
      </c>
      <c r="R1303" s="966">
        <v>88500</v>
      </c>
      <c r="T1303" s="969">
        <v>0</v>
      </c>
      <c r="U1303" s="966">
        <v>6688.26</v>
      </c>
      <c r="W1303" s="971" t="e">
        <f t="shared" si="23"/>
        <v>#DIV/0!</v>
      </c>
      <c r="Y1303" s="967">
        <v>43598</v>
      </c>
      <c r="Z1303" s="974">
        <f ca="1">H1253*Valuation_Senario!$L$372</f>
        <v>10535.415377359999</v>
      </c>
      <c r="AA1303" s="973">
        <v>11.88</v>
      </c>
      <c r="AM1303" s="967">
        <v>43522</v>
      </c>
      <c r="AN1303" s="974">
        <v>88500</v>
      </c>
    </row>
    <row r="1304" spans="1:40">
      <c r="A1304" s="966">
        <v>1297</v>
      </c>
      <c r="B1304" s="967">
        <v>43521</v>
      </c>
      <c r="C1304" s="966">
        <v>89600</v>
      </c>
      <c r="D1304" s="966">
        <v>0</v>
      </c>
      <c r="E1304" s="966">
        <v>0</v>
      </c>
      <c r="F1304" s="966">
        <v>43316.27</v>
      </c>
      <c r="G1304" s="966">
        <v>39704.169612799997</v>
      </c>
      <c r="H1304" s="966">
        <v>6688.26</v>
      </c>
      <c r="I1304" s="966">
        <v>13.4</v>
      </c>
      <c r="Q1304" s="967">
        <v>43521</v>
      </c>
      <c r="R1304" s="966">
        <v>89600</v>
      </c>
      <c r="T1304" s="969">
        <v>0</v>
      </c>
      <c r="U1304" s="966">
        <v>6688.26</v>
      </c>
      <c r="W1304" s="971" t="e">
        <f t="shared" si="23"/>
        <v>#DIV/0!</v>
      </c>
      <c r="Y1304" s="967">
        <v>43595</v>
      </c>
      <c r="Z1304" s="974">
        <f ca="1">H1254*Valuation_Senario!$L$372</f>
        <v>10535.415377359999</v>
      </c>
      <c r="AA1304" s="973">
        <v>11.85</v>
      </c>
      <c r="AM1304" s="967">
        <v>43521</v>
      </c>
      <c r="AN1304" s="974">
        <v>89600</v>
      </c>
    </row>
    <row r="1305" spans="1:40">
      <c r="A1305" s="966">
        <v>1298</v>
      </c>
      <c r="B1305" s="967">
        <v>43518</v>
      </c>
      <c r="C1305" s="966">
        <v>89000</v>
      </c>
      <c r="D1305" s="966">
        <v>4.8235E-2</v>
      </c>
      <c r="E1305" s="966">
        <v>0</v>
      </c>
      <c r="F1305" s="966">
        <v>43050.39</v>
      </c>
      <c r="G1305" s="966">
        <v>39438.293476999999</v>
      </c>
      <c r="H1305" s="966">
        <v>6688.26</v>
      </c>
      <c r="I1305" s="966">
        <v>13.31</v>
      </c>
      <c r="Q1305" s="967">
        <v>43518</v>
      </c>
      <c r="R1305" s="966">
        <v>89000</v>
      </c>
      <c r="T1305" s="969">
        <v>4.8235E-2</v>
      </c>
      <c r="U1305" s="966">
        <v>6688.26</v>
      </c>
      <c r="W1305" s="971" t="e">
        <f t="shared" si="23"/>
        <v>#DIV/0!</v>
      </c>
      <c r="Y1305" s="967">
        <v>43594</v>
      </c>
      <c r="Z1305" s="974">
        <f ca="1">H1255*Valuation_Senario!$L$372</f>
        <v>10535.415377359999</v>
      </c>
      <c r="AA1305" s="973">
        <v>11.72</v>
      </c>
      <c r="AM1305" s="967">
        <v>43518</v>
      </c>
      <c r="AN1305" s="974">
        <v>89000</v>
      </c>
    </row>
    <row r="1306" spans="1:40">
      <c r="A1306" s="966">
        <v>1299</v>
      </c>
      <c r="B1306" s="967">
        <v>43517</v>
      </c>
      <c r="C1306" s="966">
        <v>87900</v>
      </c>
      <c r="D1306" s="966">
        <v>0</v>
      </c>
      <c r="E1306" s="966">
        <v>0</v>
      </c>
      <c r="F1306" s="966">
        <v>42562.95</v>
      </c>
      <c r="G1306" s="966">
        <v>38950.853894699998</v>
      </c>
      <c r="H1306" s="966">
        <v>6688.26</v>
      </c>
      <c r="I1306" s="966">
        <v>13.14</v>
      </c>
      <c r="Q1306" s="967">
        <v>43517</v>
      </c>
      <c r="R1306" s="966">
        <v>87900</v>
      </c>
      <c r="T1306" s="969">
        <v>0</v>
      </c>
      <c r="U1306" s="966">
        <v>6688.26</v>
      </c>
      <c r="W1306" s="971" t="e">
        <f t="shared" si="23"/>
        <v>#DIV/0!</v>
      </c>
      <c r="Y1306" s="967">
        <v>43593</v>
      </c>
      <c r="Z1306" s="974">
        <f ca="1">H1256*Valuation_Senario!$L$372</f>
        <v>10535.415377359999</v>
      </c>
      <c r="AA1306" s="973">
        <v>11.64</v>
      </c>
      <c r="AM1306" s="967">
        <v>43517</v>
      </c>
      <c r="AN1306" s="974">
        <v>87900</v>
      </c>
    </row>
    <row r="1307" spans="1:40">
      <c r="A1307" s="966">
        <v>1300</v>
      </c>
      <c r="B1307" s="967">
        <v>43516</v>
      </c>
      <c r="C1307" s="966">
        <v>87100</v>
      </c>
      <c r="D1307" s="966">
        <v>0</v>
      </c>
      <c r="E1307" s="966">
        <v>0</v>
      </c>
      <c r="F1307" s="966">
        <v>42208.45</v>
      </c>
      <c r="G1307" s="966">
        <v>38596.352380299999</v>
      </c>
      <c r="H1307" s="966">
        <v>6688.26</v>
      </c>
      <c r="I1307" s="966">
        <v>13.02</v>
      </c>
      <c r="Q1307" s="967">
        <v>43516</v>
      </c>
      <c r="R1307" s="966">
        <v>87100</v>
      </c>
      <c r="T1307" s="969">
        <v>0</v>
      </c>
      <c r="U1307" s="966">
        <v>6688.26</v>
      </c>
      <c r="W1307" s="971" t="e">
        <f t="shared" si="23"/>
        <v>#DIV/0!</v>
      </c>
      <c r="Y1307" s="967">
        <v>43592</v>
      </c>
      <c r="Z1307" s="974">
        <f ca="1">H1257*Valuation_Senario!$L$372</f>
        <v>10535.415377359999</v>
      </c>
      <c r="AA1307" s="973">
        <v>11.69</v>
      </c>
      <c r="AM1307" s="967">
        <v>43516</v>
      </c>
      <c r="AN1307" s="974">
        <v>87100</v>
      </c>
    </row>
    <row r="1308" spans="1:40">
      <c r="A1308" s="966">
        <v>1301</v>
      </c>
      <c r="B1308" s="967">
        <v>43515</v>
      </c>
      <c r="C1308" s="966">
        <v>87000</v>
      </c>
      <c r="D1308" s="966">
        <v>0</v>
      </c>
      <c r="E1308" s="966">
        <v>4.7574999999999999E-2</v>
      </c>
      <c r="F1308" s="966">
        <v>42164.14</v>
      </c>
      <c r="G1308" s="966">
        <v>38552.039690999998</v>
      </c>
      <c r="H1308" s="966">
        <v>6688.26</v>
      </c>
      <c r="I1308" s="966">
        <v>13.01</v>
      </c>
      <c r="Q1308" s="967">
        <v>43515</v>
      </c>
      <c r="R1308" s="966">
        <v>87000</v>
      </c>
      <c r="T1308" s="969">
        <v>-4.7574999999999999E-2</v>
      </c>
      <c r="U1308" s="966">
        <v>6688.26</v>
      </c>
      <c r="W1308" s="971" t="e">
        <f t="shared" si="23"/>
        <v>#DIV/0!</v>
      </c>
      <c r="Y1308" s="967">
        <v>43591</v>
      </c>
      <c r="Z1308" s="974">
        <f ca="1">H1258*Valuation_Senario!$L$372</f>
        <v>10535.415377359999</v>
      </c>
      <c r="AA1308" s="973">
        <v>11.68</v>
      </c>
      <c r="AM1308" s="967">
        <v>43515</v>
      </c>
      <c r="AN1308" s="974">
        <v>87000</v>
      </c>
    </row>
    <row r="1309" spans="1:40">
      <c r="A1309" s="966">
        <v>1302</v>
      </c>
      <c r="B1309" s="967">
        <v>43514</v>
      </c>
      <c r="C1309" s="966">
        <v>86100</v>
      </c>
      <c r="D1309" s="966">
        <v>0</v>
      </c>
      <c r="E1309" s="966">
        <v>0</v>
      </c>
      <c r="F1309" s="966">
        <v>41765.32</v>
      </c>
      <c r="G1309" s="966">
        <v>38153.225487299998</v>
      </c>
      <c r="H1309" s="966">
        <v>6688.26</v>
      </c>
      <c r="I1309" s="966">
        <v>12.87</v>
      </c>
      <c r="Q1309" s="967">
        <v>43514</v>
      </c>
      <c r="R1309" s="966">
        <v>86100</v>
      </c>
      <c r="T1309" s="969">
        <v>0</v>
      </c>
      <c r="U1309" s="966">
        <v>6688.26</v>
      </c>
      <c r="W1309" s="971" t="e">
        <f t="shared" si="23"/>
        <v>#DIV/0!</v>
      </c>
      <c r="Y1309" s="967">
        <v>43588</v>
      </c>
      <c r="Z1309" s="974">
        <f ca="1">H1259*Valuation_Senario!$L$372</f>
        <v>10535.415377359999</v>
      </c>
      <c r="AA1309" s="973">
        <v>11.97</v>
      </c>
      <c r="AM1309" s="967">
        <v>43514</v>
      </c>
      <c r="AN1309" s="974">
        <v>86100</v>
      </c>
    </row>
    <row r="1310" spans="1:40">
      <c r="A1310" s="966">
        <v>1303</v>
      </c>
      <c r="B1310" s="967">
        <v>43511</v>
      </c>
      <c r="C1310" s="966">
        <v>86100</v>
      </c>
      <c r="D1310" s="966">
        <v>0</v>
      </c>
      <c r="E1310" s="966">
        <v>0</v>
      </c>
      <c r="F1310" s="966">
        <v>41765.32</v>
      </c>
      <c r="G1310" s="966">
        <v>38153.225487299998</v>
      </c>
      <c r="H1310" s="966">
        <v>6688.26</v>
      </c>
      <c r="I1310" s="966">
        <v>12.87</v>
      </c>
      <c r="Q1310" s="967">
        <v>43511</v>
      </c>
      <c r="R1310" s="966">
        <v>86100</v>
      </c>
      <c r="T1310" s="969">
        <v>0</v>
      </c>
      <c r="U1310" s="966">
        <v>6688.26</v>
      </c>
      <c r="W1310" s="971" t="e">
        <f t="shared" si="23"/>
        <v>#DIV/0!</v>
      </c>
      <c r="Y1310" s="967">
        <v>43587</v>
      </c>
      <c r="Z1310" s="974">
        <f ca="1">H1260*Valuation_Senario!$L$372</f>
        <v>10535.415377359999</v>
      </c>
      <c r="AA1310" s="973">
        <v>11.99</v>
      </c>
      <c r="AM1310" s="967">
        <v>43511</v>
      </c>
      <c r="AN1310" s="974">
        <v>86100</v>
      </c>
    </row>
    <row r="1311" spans="1:40">
      <c r="A1311" s="966">
        <v>1304</v>
      </c>
      <c r="B1311" s="967">
        <v>43510</v>
      </c>
      <c r="C1311" s="966">
        <v>85700</v>
      </c>
      <c r="D1311" s="966">
        <v>0</v>
      </c>
      <c r="E1311" s="966">
        <v>0</v>
      </c>
      <c r="F1311" s="966">
        <v>41588.07</v>
      </c>
      <c r="G1311" s="966">
        <v>37975.974730100002</v>
      </c>
      <c r="H1311" s="966">
        <v>6688.26</v>
      </c>
      <c r="I1311" s="966">
        <v>12.81</v>
      </c>
      <c r="Q1311" s="967">
        <v>43510</v>
      </c>
      <c r="R1311" s="966">
        <v>85700</v>
      </c>
      <c r="T1311" s="969">
        <v>0</v>
      </c>
      <c r="U1311" s="966">
        <v>6688.26</v>
      </c>
      <c r="W1311" s="971" t="e">
        <f t="shared" si="23"/>
        <v>#DIV/0!</v>
      </c>
      <c r="Y1311" s="967">
        <v>43581</v>
      </c>
      <c r="Z1311" s="974">
        <f ca="1">H1261*Valuation_Senario!$L$372</f>
        <v>9531.7250178599988</v>
      </c>
      <c r="AA1311" s="973">
        <v>13.08</v>
      </c>
      <c r="AM1311" s="967">
        <v>43510</v>
      </c>
      <c r="AN1311" s="974">
        <v>85700</v>
      </c>
    </row>
    <row r="1312" spans="1:40">
      <c r="A1312" s="966">
        <v>1305</v>
      </c>
      <c r="B1312" s="967">
        <v>43509</v>
      </c>
      <c r="C1312" s="966">
        <v>86200</v>
      </c>
      <c r="D1312" s="966">
        <v>0</v>
      </c>
      <c r="E1312" s="966">
        <v>0</v>
      </c>
      <c r="F1312" s="966">
        <v>41809.629999999997</v>
      </c>
      <c r="G1312" s="966">
        <v>38197.538176599999</v>
      </c>
      <c r="H1312" s="966">
        <v>6688.26</v>
      </c>
      <c r="I1312" s="966">
        <v>12.89</v>
      </c>
      <c r="Q1312" s="967">
        <v>43509</v>
      </c>
      <c r="R1312" s="966">
        <v>86200</v>
      </c>
      <c r="T1312" s="969">
        <v>0</v>
      </c>
      <c r="U1312" s="966">
        <v>6688.26</v>
      </c>
      <c r="W1312" s="971" t="e">
        <f t="shared" si="23"/>
        <v>#DIV/0!</v>
      </c>
      <c r="Y1312" s="967">
        <v>43580</v>
      </c>
      <c r="Z1312" s="974">
        <f ca="1">H1262*Valuation_Senario!$L$372</f>
        <v>9531.7250178599988</v>
      </c>
      <c r="AA1312" s="973">
        <v>12.86</v>
      </c>
      <c r="AM1312" s="967">
        <v>43509</v>
      </c>
      <c r="AN1312" s="974">
        <v>86200</v>
      </c>
    </row>
    <row r="1313" spans="1:40">
      <c r="A1313" s="966">
        <v>1306</v>
      </c>
      <c r="B1313" s="967">
        <v>43508</v>
      </c>
      <c r="C1313" s="966">
        <v>84600</v>
      </c>
      <c r="D1313" s="966">
        <v>0</v>
      </c>
      <c r="E1313" s="966">
        <v>0</v>
      </c>
      <c r="F1313" s="966">
        <v>41100.629999999997</v>
      </c>
      <c r="G1313" s="966">
        <v>37488.535147800001</v>
      </c>
      <c r="H1313" s="966">
        <v>6688.26</v>
      </c>
      <c r="I1313" s="966">
        <v>12.65</v>
      </c>
      <c r="Q1313" s="967">
        <v>43508</v>
      </c>
      <c r="R1313" s="966">
        <v>84600</v>
      </c>
      <c r="T1313" s="969">
        <v>0</v>
      </c>
      <c r="U1313" s="966">
        <v>6688.26</v>
      </c>
      <c r="W1313" s="971" t="e">
        <f t="shared" si="23"/>
        <v>#DIV/0!</v>
      </c>
      <c r="Y1313" s="967">
        <v>43579</v>
      </c>
      <c r="Z1313" s="974">
        <f ca="1">H1263*Valuation_Senario!$L$372</f>
        <v>9531.7250178599988</v>
      </c>
      <c r="AA1313" s="973">
        <v>12.79</v>
      </c>
      <c r="AM1313" s="967">
        <v>43508</v>
      </c>
      <c r="AN1313" s="974">
        <v>84600</v>
      </c>
    </row>
    <row r="1314" spans="1:40">
      <c r="A1314" s="966">
        <v>1307</v>
      </c>
      <c r="B1314" s="967">
        <v>43507</v>
      </c>
      <c r="C1314" s="966">
        <v>84600</v>
      </c>
      <c r="D1314" s="966">
        <v>0</v>
      </c>
      <c r="E1314" s="966">
        <v>0</v>
      </c>
      <c r="F1314" s="966">
        <v>41100.629999999997</v>
      </c>
      <c r="G1314" s="966">
        <v>37488.535147800001</v>
      </c>
      <c r="H1314" s="966">
        <v>6688.26</v>
      </c>
      <c r="I1314" s="966">
        <v>12.65</v>
      </c>
      <c r="Q1314" s="967">
        <v>43507</v>
      </c>
      <c r="R1314" s="966">
        <v>84600</v>
      </c>
      <c r="T1314" s="969">
        <v>0</v>
      </c>
      <c r="U1314" s="966">
        <v>6688.26</v>
      </c>
      <c r="W1314" s="971" t="e">
        <f t="shared" si="23"/>
        <v>#DIV/0!</v>
      </c>
      <c r="Y1314" s="967">
        <v>43578</v>
      </c>
      <c r="Z1314" s="974">
        <f ca="1">H1264*Valuation_Senario!$L$372</f>
        <v>9531.7250178599988</v>
      </c>
      <c r="AA1314" s="973">
        <v>12.76</v>
      </c>
      <c r="AM1314" s="967">
        <v>43507</v>
      </c>
      <c r="AN1314" s="974">
        <v>84600</v>
      </c>
    </row>
    <row r="1315" spans="1:40">
      <c r="A1315" s="966">
        <v>1308</v>
      </c>
      <c r="B1315" s="967">
        <v>43497</v>
      </c>
      <c r="C1315" s="966">
        <v>83000</v>
      </c>
      <c r="D1315" s="966">
        <v>0</v>
      </c>
      <c r="E1315" s="966">
        <v>0</v>
      </c>
      <c r="F1315" s="966">
        <v>40391.629999999997</v>
      </c>
      <c r="G1315" s="966">
        <v>36779.532119000003</v>
      </c>
      <c r="H1315" s="966">
        <v>6688.26</v>
      </c>
      <c r="I1315" s="966">
        <v>12.41</v>
      </c>
      <c r="Q1315" s="967">
        <v>43497</v>
      </c>
      <c r="R1315" s="966">
        <v>83000</v>
      </c>
      <c r="T1315" s="969">
        <v>0</v>
      </c>
      <c r="U1315" s="966">
        <v>6688.26</v>
      </c>
      <c r="W1315" s="971" t="e">
        <f t="shared" si="23"/>
        <v>#DIV/0!</v>
      </c>
      <c r="Y1315" s="967">
        <v>43577</v>
      </c>
      <c r="Z1315" s="974">
        <f ca="1">H1265*Valuation_Senario!$L$372</f>
        <v>9531.7250178599988</v>
      </c>
      <c r="AA1315" s="973">
        <v>12.79</v>
      </c>
      <c r="AM1315" s="967">
        <v>43497</v>
      </c>
      <c r="AN1315" s="974">
        <v>83000</v>
      </c>
    </row>
    <row r="1316" spans="1:40">
      <c r="A1316" s="966">
        <v>1309</v>
      </c>
      <c r="B1316" s="967">
        <v>43496</v>
      </c>
      <c r="C1316" s="966">
        <v>83000</v>
      </c>
      <c r="D1316" s="966">
        <v>0</v>
      </c>
      <c r="E1316" s="966">
        <v>0</v>
      </c>
      <c r="F1316" s="966">
        <v>40391.629999999997</v>
      </c>
      <c r="G1316" s="966">
        <v>36779.532119000003</v>
      </c>
      <c r="H1316" s="966">
        <v>6688.26</v>
      </c>
      <c r="I1316" s="966">
        <v>12.41</v>
      </c>
      <c r="Q1316" s="967">
        <v>43496</v>
      </c>
      <c r="R1316" s="966">
        <v>83000</v>
      </c>
      <c r="T1316" s="969">
        <v>0</v>
      </c>
      <c r="U1316" s="966">
        <v>6688.26</v>
      </c>
      <c r="W1316" s="971" t="e">
        <f t="shared" si="23"/>
        <v>#DIV/0!</v>
      </c>
      <c r="Y1316" s="967">
        <v>43574</v>
      </c>
      <c r="Z1316" s="974">
        <f ca="1">H1266*Valuation_Senario!$L$372</f>
        <v>9531.7250178599988</v>
      </c>
      <c r="AA1316" s="973">
        <v>12.66</v>
      </c>
      <c r="AM1316" s="967">
        <v>43496</v>
      </c>
      <c r="AN1316" s="974">
        <v>83000</v>
      </c>
    </row>
    <row r="1317" spans="1:40">
      <c r="A1317" s="966">
        <v>1310</v>
      </c>
      <c r="B1317" s="967">
        <v>43495</v>
      </c>
      <c r="C1317" s="966">
        <v>83600</v>
      </c>
      <c r="D1317" s="966">
        <v>153.55199999999999</v>
      </c>
      <c r="E1317" s="966">
        <v>153.55199999999999</v>
      </c>
      <c r="F1317" s="966">
        <v>40657.5</v>
      </c>
      <c r="G1317" s="966">
        <v>37045.408254800001</v>
      </c>
      <c r="H1317" s="966">
        <v>6446.61</v>
      </c>
      <c r="I1317" s="966">
        <v>12.97</v>
      </c>
      <c r="Q1317" s="967">
        <v>43495</v>
      </c>
      <c r="R1317" s="966">
        <v>83600</v>
      </c>
      <c r="T1317" s="969">
        <v>0</v>
      </c>
      <c r="U1317" s="966">
        <v>6446.61</v>
      </c>
      <c r="W1317" s="971" t="e">
        <f t="shared" si="23"/>
        <v>#DIV/0!</v>
      </c>
      <c r="Y1317" s="967">
        <v>43573</v>
      </c>
      <c r="Z1317" s="974">
        <f ca="1">H1267*Valuation_Senario!$L$372</f>
        <v>9825.7101092600005</v>
      </c>
      <c r="AA1317" s="973">
        <v>12.17</v>
      </c>
      <c r="AM1317" s="967">
        <v>43495</v>
      </c>
      <c r="AN1317" s="974">
        <v>83600</v>
      </c>
    </row>
    <row r="1318" spans="1:40">
      <c r="A1318" s="966">
        <v>1311</v>
      </c>
      <c r="B1318" s="967">
        <v>43494</v>
      </c>
      <c r="C1318" s="966">
        <v>85500</v>
      </c>
      <c r="D1318" s="966">
        <v>0</v>
      </c>
      <c r="E1318" s="966">
        <v>0</v>
      </c>
      <c r="F1318" s="966">
        <v>41499.440000000002</v>
      </c>
      <c r="G1318" s="966">
        <v>37887.349351500001</v>
      </c>
      <c r="H1318" s="966">
        <v>6447.14</v>
      </c>
      <c r="I1318" s="966">
        <v>13.26</v>
      </c>
      <c r="Q1318" s="967">
        <v>43494</v>
      </c>
      <c r="R1318" s="966">
        <v>85500</v>
      </c>
      <c r="T1318" s="969">
        <v>0</v>
      </c>
      <c r="U1318" s="966">
        <v>6447.14</v>
      </c>
      <c r="W1318" s="971" t="e">
        <f t="shared" si="23"/>
        <v>#DIV/0!</v>
      </c>
      <c r="Y1318" s="967">
        <v>43572</v>
      </c>
      <c r="Z1318" s="974">
        <f ca="1">H1268*Valuation_Senario!$L$372</f>
        <v>9825.7101092600005</v>
      </c>
      <c r="AA1318" s="973">
        <v>12.23</v>
      </c>
      <c r="AM1318" s="967">
        <v>43494</v>
      </c>
      <c r="AN1318" s="974">
        <v>85500</v>
      </c>
    </row>
    <row r="1319" spans="1:40">
      <c r="A1319" s="966">
        <v>1312</v>
      </c>
      <c r="B1319" s="967">
        <v>43493</v>
      </c>
      <c r="C1319" s="966">
        <v>83600</v>
      </c>
      <c r="D1319" s="966">
        <v>0</v>
      </c>
      <c r="E1319" s="966">
        <v>0</v>
      </c>
      <c r="F1319" s="966">
        <v>40657.5</v>
      </c>
      <c r="G1319" s="966">
        <v>37045.408254800001</v>
      </c>
      <c r="H1319" s="966">
        <v>6447.67</v>
      </c>
      <c r="I1319" s="966">
        <v>12.97</v>
      </c>
      <c r="Q1319" s="967">
        <v>43493</v>
      </c>
      <c r="R1319" s="966">
        <v>83600</v>
      </c>
      <c r="T1319" s="969">
        <v>0</v>
      </c>
      <c r="U1319" s="966">
        <v>6447.67</v>
      </c>
      <c r="W1319" s="971" t="e">
        <f t="shared" si="23"/>
        <v>#DIV/0!</v>
      </c>
      <c r="Y1319" s="967">
        <v>43571</v>
      </c>
      <c r="Z1319" s="974">
        <f ca="1">H1269*Valuation_Senario!$L$372</f>
        <v>9825.7101092600005</v>
      </c>
      <c r="AA1319" s="973">
        <v>12.21</v>
      </c>
      <c r="AM1319" s="967">
        <v>43493</v>
      </c>
      <c r="AN1319" s="974">
        <v>83600</v>
      </c>
    </row>
    <row r="1320" spans="1:40">
      <c r="A1320" s="966">
        <v>1313</v>
      </c>
      <c r="B1320" s="967">
        <v>43490</v>
      </c>
      <c r="C1320" s="966">
        <v>83200</v>
      </c>
      <c r="D1320" s="966">
        <v>0</v>
      </c>
      <c r="E1320" s="966">
        <v>0</v>
      </c>
      <c r="F1320" s="966">
        <v>40475.14</v>
      </c>
      <c r="G1320" s="966">
        <v>36868.157497599997</v>
      </c>
      <c r="H1320" s="966">
        <v>6449.27</v>
      </c>
      <c r="I1320" s="966">
        <v>12.9</v>
      </c>
      <c r="Q1320" s="967">
        <v>43490</v>
      </c>
      <c r="R1320" s="966">
        <v>83200</v>
      </c>
      <c r="T1320" s="969">
        <v>0</v>
      </c>
      <c r="U1320" s="966">
        <v>6449.27</v>
      </c>
      <c r="W1320" s="971" t="e">
        <f t="shared" si="23"/>
        <v>#DIV/0!</v>
      </c>
      <c r="Y1320" s="967">
        <v>43567</v>
      </c>
      <c r="Z1320" s="974">
        <f ca="1">H1270*Valuation_Senario!$L$372</f>
        <v>9825.7101092600005</v>
      </c>
      <c r="AA1320" s="973">
        <v>12.33</v>
      </c>
      <c r="AM1320" s="967">
        <v>43490</v>
      </c>
      <c r="AN1320" s="974">
        <v>83200</v>
      </c>
    </row>
    <row r="1321" spans="1:40">
      <c r="A1321" s="966">
        <v>1314</v>
      </c>
      <c r="B1321" s="967">
        <v>43489</v>
      </c>
      <c r="C1321" s="966">
        <v>83600</v>
      </c>
      <c r="D1321" s="966">
        <v>0</v>
      </c>
      <c r="E1321" s="966">
        <v>0</v>
      </c>
      <c r="F1321" s="966">
        <v>40652.39</v>
      </c>
      <c r="G1321" s="966">
        <v>37045.408254800001</v>
      </c>
      <c r="H1321" s="966">
        <v>6449.8</v>
      </c>
      <c r="I1321" s="966">
        <v>12.96</v>
      </c>
      <c r="Q1321" s="967">
        <v>43489</v>
      </c>
      <c r="R1321" s="966">
        <v>83600</v>
      </c>
      <c r="T1321" s="969">
        <v>0</v>
      </c>
      <c r="U1321" s="966">
        <v>6449.8</v>
      </c>
      <c r="W1321" s="971" t="e">
        <f t="shared" si="23"/>
        <v>#DIV/0!</v>
      </c>
      <c r="Y1321" s="967">
        <v>43566</v>
      </c>
      <c r="Z1321" s="974">
        <f ca="1">H1271*Valuation_Senario!$L$372</f>
        <v>9825.7101092600005</v>
      </c>
      <c r="AA1321" s="973">
        <v>12.33</v>
      </c>
      <c r="AM1321" s="967">
        <v>43489</v>
      </c>
      <c r="AN1321" s="974">
        <v>83600</v>
      </c>
    </row>
    <row r="1322" spans="1:40">
      <c r="A1322" s="966">
        <v>1315</v>
      </c>
      <c r="B1322" s="967">
        <v>43488</v>
      </c>
      <c r="C1322" s="966">
        <v>83600</v>
      </c>
      <c r="D1322" s="966">
        <v>0</v>
      </c>
      <c r="E1322" s="966">
        <v>0</v>
      </c>
      <c r="F1322" s="966">
        <v>40652.39</v>
      </c>
      <c r="G1322" s="966">
        <v>37045.408254800001</v>
      </c>
      <c r="H1322" s="966">
        <v>6450.34</v>
      </c>
      <c r="I1322" s="966">
        <v>12.96</v>
      </c>
      <c r="Q1322" s="967">
        <v>43488</v>
      </c>
      <c r="R1322" s="966">
        <v>83600</v>
      </c>
      <c r="T1322" s="969">
        <v>0</v>
      </c>
      <c r="U1322" s="966">
        <v>6450.34</v>
      </c>
      <c r="W1322" s="971" t="e">
        <f t="shared" si="23"/>
        <v>#DIV/0!</v>
      </c>
      <c r="Y1322" s="967">
        <v>43565</v>
      </c>
      <c r="Z1322" s="974">
        <f ca="1">H1272*Valuation_Senario!$L$372</f>
        <v>9825.7101092600005</v>
      </c>
      <c r="AA1322" s="973">
        <v>12.37</v>
      </c>
      <c r="AM1322" s="967">
        <v>43488</v>
      </c>
      <c r="AN1322" s="974">
        <v>83600</v>
      </c>
    </row>
    <row r="1323" spans="1:40">
      <c r="A1323" s="966">
        <v>1316</v>
      </c>
      <c r="B1323" s="967">
        <v>43487</v>
      </c>
      <c r="C1323" s="966">
        <v>83800</v>
      </c>
      <c r="D1323" s="966">
        <v>0</v>
      </c>
      <c r="E1323" s="966">
        <v>0</v>
      </c>
      <c r="F1323" s="966">
        <v>40741.01</v>
      </c>
      <c r="G1323" s="966">
        <v>37134.033633400002</v>
      </c>
      <c r="H1323" s="966">
        <v>6450.87</v>
      </c>
      <c r="I1323" s="966">
        <v>12.99</v>
      </c>
      <c r="Q1323" s="967">
        <v>43487</v>
      </c>
      <c r="R1323" s="966">
        <v>83800</v>
      </c>
      <c r="T1323" s="969">
        <v>0</v>
      </c>
      <c r="U1323" s="966">
        <v>6450.87</v>
      </c>
      <c r="W1323" s="971" t="e">
        <f t="shared" si="23"/>
        <v>#DIV/0!</v>
      </c>
      <c r="Y1323" s="967">
        <v>43564</v>
      </c>
      <c r="Z1323" s="974">
        <f ca="1">H1273*Valuation_Senario!$L$372</f>
        <v>9825.7101092600005</v>
      </c>
      <c r="AA1323" s="973">
        <v>12.51</v>
      </c>
      <c r="AM1323" s="967">
        <v>43487</v>
      </c>
      <c r="AN1323" s="974">
        <v>83800</v>
      </c>
    </row>
    <row r="1324" spans="1:40">
      <c r="A1324" s="966">
        <v>1317</v>
      </c>
      <c r="B1324" s="967">
        <v>43486</v>
      </c>
      <c r="C1324" s="966">
        <v>83700</v>
      </c>
      <c r="D1324" s="966">
        <v>8.4400000000000002E-4</v>
      </c>
      <c r="E1324" s="966">
        <v>0</v>
      </c>
      <c r="F1324" s="966">
        <v>40696.699999999997</v>
      </c>
      <c r="G1324" s="966">
        <v>37089.720944100001</v>
      </c>
      <c r="H1324" s="966">
        <v>6451.4</v>
      </c>
      <c r="I1324" s="966">
        <v>12.97</v>
      </c>
      <c r="Q1324" s="967">
        <v>43486</v>
      </c>
      <c r="R1324" s="966">
        <v>83700</v>
      </c>
      <c r="T1324" s="969">
        <v>8.4400000000000002E-4</v>
      </c>
      <c r="U1324" s="966">
        <v>6451.4</v>
      </c>
      <c r="W1324" s="971" t="e">
        <f t="shared" si="23"/>
        <v>#DIV/0!</v>
      </c>
      <c r="Y1324" s="967">
        <v>43563</v>
      </c>
      <c r="Z1324" s="974">
        <f ca="1">H1274*Valuation_Senario!$L$372</f>
        <v>9825.7101092600005</v>
      </c>
      <c r="AA1324" s="973">
        <v>12.55</v>
      </c>
      <c r="AM1324" s="967">
        <v>43486</v>
      </c>
      <c r="AN1324" s="974">
        <v>83700</v>
      </c>
    </row>
    <row r="1325" spans="1:40">
      <c r="A1325" s="966">
        <v>1318</v>
      </c>
      <c r="B1325" s="967">
        <v>43483</v>
      </c>
      <c r="C1325" s="966">
        <v>84400</v>
      </c>
      <c r="D1325" s="966">
        <v>0</v>
      </c>
      <c r="E1325" s="966">
        <v>0</v>
      </c>
      <c r="F1325" s="966">
        <v>41006.89</v>
      </c>
      <c r="G1325" s="966">
        <v>37399.9097692</v>
      </c>
      <c r="H1325" s="966">
        <v>6453.01</v>
      </c>
      <c r="I1325" s="966">
        <v>13.08</v>
      </c>
      <c r="Q1325" s="967">
        <v>43483</v>
      </c>
      <c r="R1325" s="966">
        <v>84400</v>
      </c>
      <c r="T1325" s="969">
        <v>0</v>
      </c>
      <c r="U1325" s="966">
        <v>6453.01</v>
      </c>
      <c r="W1325" s="971" t="e">
        <f t="shared" si="23"/>
        <v>#DIV/0!</v>
      </c>
      <c r="Y1325" s="967">
        <v>43560</v>
      </c>
      <c r="Z1325" s="974">
        <f ca="1">H1275*Valuation_Senario!$L$372</f>
        <v>9825.7101092600005</v>
      </c>
      <c r="AA1325" s="973">
        <v>12.57</v>
      </c>
      <c r="AM1325" s="967">
        <v>43483</v>
      </c>
      <c r="AN1325" s="974">
        <v>84400</v>
      </c>
    </row>
    <row r="1326" spans="1:40">
      <c r="A1326" s="966">
        <v>1319</v>
      </c>
      <c r="B1326" s="967">
        <v>43482</v>
      </c>
      <c r="C1326" s="966">
        <v>85300</v>
      </c>
      <c r="D1326" s="966">
        <v>0</v>
      </c>
      <c r="E1326" s="966">
        <v>0</v>
      </c>
      <c r="F1326" s="966">
        <v>41405.699999999997</v>
      </c>
      <c r="G1326" s="966">
        <v>37798.723972899999</v>
      </c>
      <c r="H1326" s="966">
        <v>6453.54</v>
      </c>
      <c r="I1326" s="966">
        <v>13.22</v>
      </c>
      <c r="Q1326" s="967">
        <v>43482</v>
      </c>
      <c r="R1326" s="966">
        <v>85300</v>
      </c>
      <c r="T1326" s="969">
        <v>0</v>
      </c>
      <c r="U1326" s="966">
        <v>6453.54</v>
      </c>
      <c r="W1326" s="971" t="e">
        <f t="shared" si="23"/>
        <v>#DIV/0!</v>
      </c>
      <c r="Y1326" s="967">
        <v>43559</v>
      </c>
      <c r="Z1326" s="974">
        <f ca="1">H1276*Valuation_Senario!$L$372</f>
        <v>9825.7101092600005</v>
      </c>
      <c r="AA1326" s="973">
        <v>12.48</v>
      </c>
      <c r="AM1326" s="967">
        <v>43482</v>
      </c>
      <c r="AN1326" s="974">
        <v>85300</v>
      </c>
    </row>
    <row r="1327" spans="1:40">
      <c r="A1327" s="966">
        <v>1320</v>
      </c>
      <c r="B1327" s="967">
        <v>43481</v>
      </c>
      <c r="C1327" s="966">
        <v>85300</v>
      </c>
      <c r="D1327" s="966">
        <v>566.70831999999996</v>
      </c>
      <c r="E1327" s="966">
        <v>8.5800000000000004E-4</v>
      </c>
      <c r="F1327" s="966">
        <v>41405.699999999997</v>
      </c>
      <c r="G1327" s="966">
        <v>37798.723972899999</v>
      </c>
      <c r="H1327" s="966">
        <v>6454.07</v>
      </c>
      <c r="I1327" s="966">
        <v>13.22</v>
      </c>
      <c r="Q1327" s="967">
        <v>43481</v>
      </c>
      <c r="R1327" s="966">
        <v>85300</v>
      </c>
      <c r="T1327" s="969">
        <v>566.70746199999996</v>
      </c>
      <c r="U1327" s="966">
        <v>6454.07</v>
      </c>
      <c r="W1327" s="971" t="e">
        <f t="shared" si="23"/>
        <v>#DIV/0!</v>
      </c>
      <c r="Y1327" s="967">
        <v>43558</v>
      </c>
      <c r="Z1327" s="974">
        <f ca="1">H1277*Valuation_Senario!$L$372</f>
        <v>9825.7101092600005</v>
      </c>
      <c r="AA1327" s="973">
        <v>12.52</v>
      </c>
      <c r="AM1327" s="967">
        <v>43481</v>
      </c>
      <c r="AN1327" s="974">
        <v>85300</v>
      </c>
    </row>
    <row r="1328" spans="1:40">
      <c r="A1328" s="966">
        <v>1321</v>
      </c>
      <c r="B1328" s="967">
        <v>43480</v>
      </c>
      <c r="C1328" s="966">
        <v>85700</v>
      </c>
      <c r="D1328" s="966">
        <v>0</v>
      </c>
      <c r="E1328" s="966">
        <v>0</v>
      </c>
      <c r="F1328" s="966">
        <v>41582.949999999997</v>
      </c>
      <c r="G1328" s="966">
        <v>37975.974730100002</v>
      </c>
      <c r="H1328" s="966">
        <v>6454.61</v>
      </c>
      <c r="I1328" s="966">
        <v>13.28</v>
      </c>
      <c r="Q1328" s="967">
        <v>43480</v>
      </c>
      <c r="R1328" s="966">
        <v>85700</v>
      </c>
      <c r="T1328" s="969">
        <v>0</v>
      </c>
      <c r="U1328" s="966">
        <v>6454.61</v>
      </c>
      <c r="W1328" s="971" t="e">
        <f t="shared" si="23"/>
        <v>#DIV/0!</v>
      </c>
      <c r="Y1328" s="967">
        <v>43557</v>
      </c>
      <c r="Z1328" s="974">
        <f ca="1">H1278*Valuation_Senario!$L$372</f>
        <v>9825.7101092600005</v>
      </c>
      <c r="AA1328" s="973">
        <v>12.57</v>
      </c>
      <c r="AM1328" s="967">
        <v>43480</v>
      </c>
      <c r="AN1328" s="974">
        <v>85700</v>
      </c>
    </row>
    <row r="1329" spans="1:40">
      <c r="A1329" s="966">
        <v>1322</v>
      </c>
      <c r="B1329" s="967">
        <v>43479</v>
      </c>
      <c r="C1329" s="966">
        <v>85000</v>
      </c>
      <c r="D1329" s="966">
        <v>0</v>
      </c>
      <c r="E1329" s="966">
        <v>0</v>
      </c>
      <c r="F1329" s="966">
        <v>41272.76</v>
      </c>
      <c r="G1329" s="966">
        <v>37665.785904999997</v>
      </c>
      <c r="H1329" s="966">
        <v>6455.14</v>
      </c>
      <c r="I1329" s="966">
        <v>13.17</v>
      </c>
      <c r="Q1329" s="967">
        <v>43479</v>
      </c>
      <c r="R1329" s="966">
        <v>85000</v>
      </c>
      <c r="T1329" s="969">
        <v>0</v>
      </c>
      <c r="U1329" s="966">
        <v>6455.14</v>
      </c>
      <c r="W1329" s="971" t="e">
        <f t="shared" si="23"/>
        <v>#DIV/0!</v>
      </c>
      <c r="Y1329" s="967">
        <v>43556</v>
      </c>
      <c r="Z1329" s="974">
        <f ca="1">H1279*Valuation_Senario!$L$372</f>
        <v>9825.7101092600005</v>
      </c>
      <c r="AA1329" s="973">
        <v>12.57</v>
      </c>
      <c r="AM1329" s="967">
        <v>43479</v>
      </c>
      <c r="AN1329" s="974">
        <v>85000</v>
      </c>
    </row>
    <row r="1330" spans="1:40">
      <c r="A1330" s="966">
        <v>1323</v>
      </c>
      <c r="B1330" s="967">
        <v>43476</v>
      </c>
      <c r="C1330" s="966">
        <v>85000</v>
      </c>
      <c r="D1330" s="966">
        <v>0</v>
      </c>
      <c r="E1330" s="966">
        <v>0</v>
      </c>
      <c r="F1330" s="966">
        <v>41272.76</v>
      </c>
      <c r="G1330" s="966">
        <v>37665.785904999997</v>
      </c>
      <c r="H1330" s="966">
        <v>6456.74</v>
      </c>
      <c r="I1330" s="966">
        <v>13.16</v>
      </c>
      <c r="Q1330" s="967">
        <v>43476</v>
      </c>
      <c r="R1330" s="966">
        <v>85000</v>
      </c>
      <c r="T1330" s="969">
        <v>0</v>
      </c>
      <c r="U1330" s="966">
        <v>6456.74</v>
      </c>
      <c r="W1330" s="971" t="e">
        <f t="shared" si="23"/>
        <v>#DIV/0!</v>
      </c>
      <c r="Y1330" s="967">
        <v>43553</v>
      </c>
      <c r="Z1330" s="974">
        <f ca="1">H1280*Valuation_Senario!$L$372</f>
        <v>9825.7101092600005</v>
      </c>
      <c r="AA1330" s="973">
        <v>12.67</v>
      </c>
      <c r="AM1330" s="967">
        <v>43476</v>
      </c>
      <c r="AN1330" s="974">
        <v>85000</v>
      </c>
    </row>
    <row r="1331" spans="1:40">
      <c r="A1331" s="966">
        <v>1324</v>
      </c>
      <c r="B1331" s="967">
        <v>43475</v>
      </c>
      <c r="C1331" s="966">
        <v>86000</v>
      </c>
      <c r="D1331" s="966">
        <v>0</v>
      </c>
      <c r="E1331" s="966">
        <v>0</v>
      </c>
      <c r="F1331" s="966">
        <v>41715.89</v>
      </c>
      <c r="G1331" s="966">
        <v>38108.912797999998</v>
      </c>
      <c r="H1331" s="966">
        <v>6457.28</v>
      </c>
      <c r="I1331" s="966">
        <v>13.32</v>
      </c>
      <c r="Q1331" s="967">
        <v>43475</v>
      </c>
      <c r="R1331" s="966">
        <v>86000</v>
      </c>
      <c r="T1331" s="969">
        <v>0</v>
      </c>
      <c r="U1331" s="966">
        <v>6457.28</v>
      </c>
      <c r="W1331" s="971" t="e">
        <f t="shared" si="23"/>
        <v>#DIV/0!</v>
      </c>
      <c r="Y1331" s="967">
        <v>43552</v>
      </c>
      <c r="Z1331" s="974">
        <f ca="1">H1281*Valuation_Senario!$L$372</f>
        <v>9825.7101092600005</v>
      </c>
      <c r="AA1331" s="973">
        <v>12.61</v>
      </c>
      <c r="AM1331" s="967">
        <v>43475</v>
      </c>
      <c r="AN1331" s="974">
        <v>86000</v>
      </c>
    </row>
    <row r="1332" spans="1:40">
      <c r="A1332" s="966">
        <v>1325</v>
      </c>
      <c r="B1332" s="967">
        <v>43474</v>
      </c>
      <c r="C1332" s="966">
        <v>85400</v>
      </c>
      <c r="D1332" s="966">
        <v>0</v>
      </c>
      <c r="E1332" s="966">
        <v>0</v>
      </c>
      <c r="F1332" s="966">
        <v>41450.019999999997</v>
      </c>
      <c r="G1332" s="966">
        <v>37843.0366622</v>
      </c>
      <c r="H1332" s="966">
        <v>6457.81</v>
      </c>
      <c r="I1332" s="966">
        <v>13.22</v>
      </c>
      <c r="Q1332" s="967">
        <v>43474</v>
      </c>
      <c r="R1332" s="966">
        <v>85400</v>
      </c>
      <c r="T1332" s="969">
        <v>0</v>
      </c>
      <c r="U1332" s="966">
        <v>6457.81</v>
      </c>
      <c r="W1332" s="971" t="e">
        <f t="shared" si="23"/>
        <v>#DIV/0!</v>
      </c>
      <c r="Y1332" s="967">
        <v>43551</v>
      </c>
      <c r="Z1332" s="974">
        <f ca="1">H1282*Valuation_Senario!$L$372</f>
        <v>9825.7101092600005</v>
      </c>
      <c r="AA1332" s="973">
        <v>12.61</v>
      </c>
      <c r="AM1332" s="967">
        <v>43474</v>
      </c>
      <c r="AN1332" s="974">
        <v>85400</v>
      </c>
    </row>
    <row r="1333" spans="1:40">
      <c r="A1333" s="966">
        <v>1326</v>
      </c>
      <c r="B1333" s="967">
        <v>43473</v>
      </c>
      <c r="C1333" s="966">
        <v>84000</v>
      </c>
      <c r="D1333" s="966">
        <v>0</v>
      </c>
      <c r="E1333" s="966">
        <v>0</v>
      </c>
      <c r="F1333" s="966">
        <v>40829.64</v>
      </c>
      <c r="G1333" s="966">
        <v>37222.659011999996</v>
      </c>
      <c r="H1333" s="966">
        <v>6458.35</v>
      </c>
      <c r="I1333" s="966">
        <v>13.01</v>
      </c>
      <c r="Q1333" s="967">
        <v>43473</v>
      </c>
      <c r="R1333" s="966">
        <v>84000</v>
      </c>
      <c r="T1333" s="969">
        <v>0</v>
      </c>
      <c r="U1333" s="966">
        <v>6458.35</v>
      </c>
      <c r="W1333" s="971" t="e">
        <f t="shared" si="23"/>
        <v>#DIV/0!</v>
      </c>
      <c r="Y1333" s="967">
        <v>43550</v>
      </c>
      <c r="Z1333" s="974">
        <f ca="1">H1283*Valuation_Senario!$L$372</f>
        <v>9821.4222148199988</v>
      </c>
      <c r="AA1333" s="973">
        <v>12.57</v>
      </c>
      <c r="AM1333" s="967">
        <v>43473</v>
      </c>
      <c r="AN1333" s="974">
        <v>84000</v>
      </c>
    </row>
    <row r="1334" spans="1:40">
      <c r="A1334" s="966">
        <v>1327</v>
      </c>
      <c r="B1334" s="967">
        <v>43472</v>
      </c>
      <c r="C1334" s="966">
        <v>85000</v>
      </c>
      <c r="D1334" s="966">
        <v>0</v>
      </c>
      <c r="E1334" s="966">
        <v>0</v>
      </c>
      <c r="F1334" s="966">
        <v>41272.76</v>
      </c>
      <c r="G1334" s="966">
        <v>37665.785904999997</v>
      </c>
      <c r="H1334" s="966">
        <v>6458.88</v>
      </c>
      <c r="I1334" s="966">
        <v>13.16</v>
      </c>
      <c r="Q1334" s="967">
        <v>43472</v>
      </c>
      <c r="R1334" s="966">
        <v>85000</v>
      </c>
      <c r="T1334" s="969">
        <v>0</v>
      </c>
      <c r="U1334" s="966">
        <v>6458.88</v>
      </c>
      <c r="W1334" s="971" t="e">
        <f t="shared" si="23"/>
        <v>#DIV/0!</v>
      </c>
      <c r="Y1334" s="967">
        <v>43549</v>
      </c>
      <c r="Z1334" s="974">
        <f ca="1">H1284*Valuation_Senario!$L$372</f>
        <v>9821.4222148199988</v>
      </c>
      <c r="AA1334" s="973">
        <v>12.53</v>
      </c>
      <c r="AM1334" s="967">
        <v>43472</v>
      </c>
      <c r="AN1334" s="974">
        <v>85000</v>
      </c>
    </row>
    <row r="1335" spans="1:40">
      <c r="A1335" s="966">
        <v>1328</v>
      </c>
      <c r="B1335" s="967">
        <v>43469</v>
      </c>
      <c r="C1335" s="966">
        <v>83600</v>
      </c>
      <c r="D1335" s="966">
        <v>0</v>
      </c>
      <c r="E1335" s="966">
        <v>0.83</v>
      </c>
      <c r="F1335" s="966">
        <v>40652.39</v>
      </c>
      <c r="G1335" s="966">
        <v>37045.408254800001</v>
      </c>
      <c r="H1335" s="966">
        <v>6460.49</v>
      </c>
      <c r="I1335" s="966">
        <v>12.94</v>
      </c>
      <c r="Q1335" s="967">
        <v>43469</v>
      </c>
      <c r="R1335" s="966">
        <v>83600</v>
      </c>
      <c r="T1335" s="969">
        <v>-0.83</v>
      </c>
      <c r="U1335" s="966">
        <v>6460.49</v>
      </c>
      <c r="W1335" s="971" t="e">
        <f t="shared" si="23"/>
        <v>#DIV/0!</v>
      </c>
      <c r="Y1335" s="967">
        <v>43546</v>
      </c>
      <c r="Z1335" s="974">
        <f ca="1">H1285*Valuation_Senario!$L$372</f>
        <v>9821.4222148199988</v>
      </c>
      <c r="AA1335" s="973">
        <v>13.04</v>
      </c>
      <c r="AM1335" s="967">
        <v>43469</v>
      </c>
      <c r="AN1335" s="974">
        <v>83600</v>
      </c>
    </row>
    <row r="1336" spans="1:40">
      <c r="A1336" s="966">
        <v>1329</v>
      </c>
      <c r="B1336" s="967">
        <v>43468</v>
      </c>
      <c r="C1336" s="966">
        <v>83000</v>
      </c>
      <c r="D1336" s="966">
        <v>0</v>
      </c>
      <c r="E1336" s="966">
        <v>0</v>
      </c>
      <c r="F1336" s="966">
        <v>40386.51</v>
      </c>
      <c r="G1336" s="966">
        <v>36779.532119000003</v>
      </c>
      <c r="H1336" s="966">
        <v>6461.02</v>
      </c>
      <c r="I1336" s="966">
        <v>12.85</v>
      </c>
      <c r="Q1336" s="967">
        <v>43468</v>
      </c>
      <c r="R1336" s="966">
        <v>83000</v>
      </c>
      <c r="T1336" s="969">
        <v>0</v>
      </c>
      <c r="U1336" s="966">
        <v>6461.02</v>
      </c>
      <c r="W1336" s="971" t="e">
        <f t="shared" si="23"/>
        <v>#DIV/0!</v>
      </c>
      <c r="Y1336" s="967">
        <v>43545</v>
      </c>
      <c r="Z1336" s="974">
        <f ca="1">H1286*Valuation_Senario!$L$372</f>
        <v>9821.4222148199988</v>
      </c>
      <c r="AA1336" s="973">
        <v>13.14</v>
      </c>
      <c r="AM1336" s="967">
        <v>43468</v>
      </c>
      <c r="AN1336" s="974">
        <v>83000</v>
      </c>
    </row>
    <row r="1337" spans="1:40">
      <c r="A1337" s="966">
        <v>1330</v>
      </c>
      <c r="B1337" s="967">
        <v>43467</v>
      </c>
      <c r="C1337" s="966">
        <v>85500</v>
      </c>
      <c r="D1337" s="966">
        <v>0</v>
      </c>
      <c r="E1337" s="966">
        <v>0</v>
      </c>
      <c r="F1337" s="966">
        <v>40405.949999999997</v>
      </c>
      <c r="G1337" s="966">
        <v>36798.976160999999</v>
      </c>
      <c r="H1337" s="966">
        <v>6464.23</v>
      </c>
      <c r="I1337" s="966">
        <v>13.23</v>
      </c>
      <c r="Q1337" s="967">
        <v>43467</v>
      </c>
      <c r="R1337" s="966">
        <v>85500</v>
      </c>
      <c r="T1337" s="969">
        <v>0</v>
      </c>
      <c r="U1337" s="966">
        <v>6464.23</v>
      </c>
      <c r="W1337" s="971" t="e">
        <f t="shared" si="23"/>
        <v>#DIV/0!</v>
      </c>
      <c r="Y1337" s="967">
        <v>43544</v>
      </c>
      <c r="Z1337" s="974">
        <f ca="1">H1287*Valuation_Senario!$L$372</f>
        <v>9821.4222148199988</v>
      </c>
      <c r="AA1337" s="973">
        <v>13.23</v>
      </c>
      <c r="AM1337" s="967">
        <v>43467</v>
      </c>
      <c r="AN1337" s="974">
        <v>85500</v>
      </c>
    </row>
    <row r="1338" spans="1:40">
      <c r="A1338" s="966">
        <v>1331</v>
      </c>
      <c r="B1338" s="967">
        <v>43462</v>
      </c>
      <c r="C1338" s="966">
        <v>87000</v>
      </c>
      <c r="D1338" s="966">
        <v>8.1524520000000003</v>
      </c>
      <c r="E1338" s="966">
        <v>8.1524520000000003</v>
      </c>
      <c r="F1338" s="966">
        <v>41051.550000000003</v>
      </c>
      <c r="G1338" s="966">
        <v>37444.572233999999</v>
      </c>
      <c r="H1338" s="966">
        <v>6464.23</v>
      </c>
      <c r="I1338" s="966">
        <v>13.46</v>
      </c>
      <c r="Q1338" s="967">
        <v>43462</v>
      </c>
      <c r="R1338" s="966">
        <v>87000</v>
      </c>
      <c r="T1338" s="969">
        <v>0</v>
      </c>
      <c r="U1338" s="966">
        <v>6464.23</v>
      </c>
      <c r="W1338" s="971" t="e">
        <f t="shared" si="23"/>
        <v>#DIV/0!</v>
      </c>
      <c r="Y1338" s="967">
        <v>43543</v>
      </c>
      <c r="Z1338" s="974">
        <f ca="1">H1288*Valuation_Senario!$L$372</f>
        <v>9821.4222148199988</v>
      </c>
      <c r="AA1338" s="973">
        <v>13.32</v>
      </c>
      <c r="AM1338" s="967">
        <v>43462</v>
      </c>
      <c r="AN1338" s="974">
        <v>87000</v>
      </c>
    </row>
    <row r="1339" spans="1:40">
      <c r="A1339" s="966">
        <v>1332</v>
      </c>
      <c r="B1339" s="967">
        <v>43461</v>
      </c>
      <c r="C1339" s="966">
        <v>86400</v>
      </c>
      <c r="D1339" s="966">
        <v>0</v>
      </c>
      <c r="E1339" s="966">
        <v>0</v>
      </c>
      <c r="F1339" s="966">
        <v>40793.31</v>
      </c>
      <c r="G1339" s="966">
        <v>37186.333804800001</v>
      </c>
      <c r="H1339" s="966">
        <v>6464.23</v>
      </c>
      <c r="I1339" s="966">
        <v>13.37</v>
      </c>
      <c r="Q1339" s="967">
        <v>43461</v>
      </c>
      <c r="R1339" s="966">
        <v>86400</v>
      </c>
      <c r="T1339" s="969">
        <v>0</v>
      </c>
      <c r="U1339" s="966">
        <v>6464.23</v>
      </c>
      <c r="W1339" s="971" t="e">
        <f t="shared" si="23"/>
        <v>#DIV/0!</v>
      </c>
      <c r="Y1339" s="967">
        <v>43542</v>
      </c>
      <c r="Z1339" s="974">
        <f ca="1">H1289*Valuation_Senario!$L$372</f>
        <v>9821.4222148199988</v>
      </c>
      <c r="AA1339" s="973">
        <v>13.34</v>
      </c>
      <c r="AM1339" s="967">
        <v>43461</v>
      </c>
      <c r="AN1339" s="974">
        <v>86400</v>
      </c>
    </row>
    <row r="1340" spans="1:40">
      <c r="A1340" s="966">
        <v>1333</v>
      </c>
      <c r="B1340" s="967">
        <v>43460</v>
      </c>
      <c r="C1340" s="966">
        <v>85400</v>
      </c>
      <c r="D1340" s="966">
        <v>0</v>
      </c>
      <c r="E1340" s="966">
        <v>0</v>
      </c>
      <c r="F1340" s="966">
        <v>40362.910000000003</v>
      </c>
      <c r="G1340" s="966">
        <v>36755.936422799998</v>
      </c>
      <c r="H1340" s="966">
        <v>6464.23</v>
      </c>
      <c r="I1340" s="966">
        <v>13.21</v>
      </c>
      <c r="Q1340" s="967">
        <v>43460</v>
      </c>
      <c r="R1340" s="966">
        <v>85400</v>
      </c>
      <c r="T1340" s="969">
        <v>0</v>
      </c>
      <c r="U1340" s="966">
        <v>6464.23</v>
      </c>
      <c r="W1340" s="971" t="e">
        <f t="shared" si="23"/>
        <v>#DIV/0!</v>
      </c>
      <c r="Y1340" s="967">
        <v>43539</v>
      </c>
      <c r="Z1340" s="974">
        <f ca="1">H1290*Valuation_Senario!$L$372</f>
        <v>9821.4222148199988</v>
      </c>
      <c r="AA1340" s="973">
        <v>13.25</v>
      </c>
      <c r="AM1340" s="967">
        <v>43460</v>
      </c>
      <c r="AN1340" s="974">
        <v>85400</v>
      </c>
    </row>
    <row r="1341" spans="1:40">
      <c r="A1341" s="966">
        <v>1334</v>
      </c>
      <c r="B1341" s="967">
        <v>43459</v>
      </c>
      <c r="C1341" s="966">
        <v>85400</v>
      </c>
      <c r="D1341" s="966">
        <v>0</v>
      </c>
      <c r="E1341" s="966">
        <v>0</v>
      </c>
      <c r="F1341" s="966">
        <v>40362.910000000003</v>
      </c>
      <c r="G1341" s="966">
        <v>36755.936422799998</v>
      </c>
      <c r="H1341" s="966">
        <v>6464.23</v>
      </c>
      <c r="I1341" s="966">
        <v>13.21</v>
      </c>
      <c r="Q1341" s="967">
        <v>43459</v>
      </c>
      <c r="R1341" s="966">
        <v>85400</v>
      </c>
      <c r="T1341" s="969">
        <v>0</v>
      </c>
      <c r="U1341" s="966">
        <v>6464.23</v>
      </c>
      <c r="W1341" s="971" t="e">
        <f t="shared" si="23"/>
        <v>#DIV/0!</v>
      </c>
      <c r="Y1341" s="967">
        <v>43538</v>
      </c>
      <c r="Z1341" s="974">
        <f ca="1">H1291*Valuation_Senario!$L$372</f>
        <v>9821.4222148199988</v>
      </c>
      <c r="AA1341" s="973">
        <v>13.25</v>
      </c>
      <c r="AM1341" s="967">
        <v>43459</v>
      </c>
      <c r="AN1341" s="974">
        <v>85400</v>
      </c>
    </row>
    <row r="1342" spans="1:40">
      <c r="A1342" s="966">
        <v>1335</v>
      </c>
      <c r="B1342" s="967">
        <v>43458</v>
      </c>
      <c r="C1342" s="966">
        <v>86500</v>
      </c>
      <c r="D1342" s="966">
        <v>0</v>
      </c>
      <c r="E1342" s="966">
        <v>0</v>
      </c>
      <c r="F1342" s="966">
        <v>40836.35</v>
      </c>
      <c r="G1342" s="966">
        <v>37229.373543000002</v>
      </c>
      <c r="H1342" s="966">
        <v>6464.23</v>
      </c>
      <c r="I1342" s="966">
        <v>13.38</v>
      </c>
      <c r="Q1342" s="967">
        <v>43458</v>
      </c>
      <c r="R1342" s="966">
        <v>86500</v>
      </c>
      <c r="T1342" s="969">
        <v>0</v>
      </c>
      <c r="U1342" s="966">
        <v>6464.23</v>
      </c>
      <c r="W1342" s="971" t="e">
        <f t="shared" si="23"/>
        <v>#DIV/0!</v>
      </c>
      <c r="Y1342" s="967">
        <v>43537</v>
      </c>
      <c r="Z1342" s="974">
        <f ca="1">H1292*Valuation_Senario!$L$372</f>
        <v>9821.4222148199988</v>
      </c>
      <c r="AA1342" s="973">
        <v>13.37</v>
      </c>
      <c r="AM1342" s="967">
        <v>43458</v>
      </c>
      <c r="AN1342" s="974">
        <v>86500</v>
      </c>
    </row>
    <row r="1343" spans="1:40">
      <c r="A1343" s="966">
        <v>1336</v>
      </c>
      <c r="B1343" s="967">
        <v>43455</v>
      </c>
      <c r="C1343" s="966">
        <v>87000</v>
      </c>
      <c r="D1343" s="966">
        <v>0</v>
      </c>
      <c r="E1343" s="966">
        <v>0</v>
      </c>
      <c r="F1343" s="966">
        <v>41051.550000000003</v>
      </c>
      <c r="G1343" s="966">
        <v>37444.572233999999</v>
      </c>
      <c r="H1343" s="966">
        <v>6464.23</v>
      </c>
      <c r="I1343" s="966">
        <v>13.46</v>
      </c>
      <c r="Q1343" s="967">
        <v>43455</v>
      </c>
      <c r="R1343" s="966">
        <v>87000</v>
      </c>
      <c r="T1343" s="969">
        <v>0</v>
      </c>
      <c r="U1343" s="966">
        <v>6464.23</v>
      </c>
      <c r="W1343" s="971" t="e">
        <f t="shared" si="23"/>
        <v>#DIV/0!</v>
      </c>
      <c r="Y1343" s="967">
        <v>43536</v>
      </c>
      <c r="Z1343" s="974">
        <f ca="1">H1293*Valuation_Senario!$L$372</f>
        <v>9821.4222148199988</v>
      </c>
      <c r="AA1343" s="973">
        <v>13.23</v>
      </c>
      <c r="AM1343" s="967">
        <v>43455</v>
      </c>
      <c r="AN1343" s="974">
        <v>87000</v>
      </c>
    </row>
    <row r="1344" spans="1:40">
      <c r="A1344" s="966">
        <v>1337</v>
      </c>
      <c r="B1344" s="967">
        <v>43454</v>
      </c>
      <c r="C1344" s="966">
        <v>85500</v>
      </c>
      <c r="D1344" s="966">
        <v>0</v>
      </c>
      <c r="E1344" s="966">
        <v>1.6999999999999999E-3</v>
      </c>
      <c r="F1344" s="966">
        <v>40405.949999999997</v>
      </c>
      <c r="G1344" s="966">
        <v>36798.976160999999</v>
      </c>
      <c r="H1344" s="966">
        <v>6464.23</v>
      </c>
      <c r="I1344" s="966">
        <v>13.23</v>
      </c>
      <c r="Q1344" s="967">
        <v>43454</v>
      </c>
      <c r="R1344" s="966">
        <v>85500</v>
      </c>
      <c r="T1344" s="969">
        <v>-1.6999999999999999E-3</v>
      </c>
      <c r="U1344" s="966">
        <v>6464.23</v>
      </c>
      <c r="W1344" s="971" t="e">
        <f t="shared" si="23"/>
        <v>#DIV/0!</v>
      </c>
      <c r="Y1344" s="967">
        <v>43535</v>
      </c>
      <c r="Z1344" s="974">
        <f ca="1">H1294*Valuation_Senario!$L$372</f>
        <v>9821.4222148199988</v>
      </c>
      <c r="AA1344" s="973">
        <v>13.07</v>
      </c>
      <c r="AM1344" s="967">
        <v>43454</v>
      </c>
      <c r="AN1344" s="974">
        <v>85500</v>
      </c>
    </row>
    <row r="1345" spans="1:40">
      <c r="A1345" s="966">
        <v>1338</v>
      </c>
      <c r="B1345" s="967">
        <v>43453</v>
      </c>
      <c r="C1345" s="966">
        <v>85800</v>
      </c>
      <c r="D1345" s="966">
        <v>0</v>
      </c>
      <c r="E1345" s="966">
        <v>0</v>
      </c>
      <c r="F1345" s="966">
        <v>40535.07</v>
      </c>
      <c r="G1345" s="966">
        <v>36928.095375600002</v>
      </c>
      <c r="H1345" s="966">
        <v>6464.23</v>
      </c>
      <c r="I1345" s="966">
        <v>13.27</v>
      </c>
      <c r="Q1345" s="967">
        <v>43453</v>
      </c>
      <c r="R1345" s="966">
        <v>85800</v>
      </c>
      <c r="T1345" s="969">
        <v>0</v>
      </c>
      <c r="U1345" s="966">
        <v>6464.23</v>
      </c>
      <c r="W1345" s="971" t="e">
        <f t="shared" si="23"/>
        <v>#DIV/0!</v>
      </c>
      <c r="Y1345" s="967">
        <v>43532</v>
      </c>
      <c r="Z1345" s="974">
        <f ca="1">H1295*Valuation_Senario!$L$372</f>
        <v>9821.4222148199988</v>
      </c>
      <c r="AA1345" s="973">
        <v>12.95</v>
      </c>
      <c r="AM1345" s="967">
        <v>43453</v>
      </c>
      <c r="AN1345" s="974">
        <v>85800</v>
      </c>
    </row>
    <row r="1346" spans="1:40">
      <c r="A1346" s="966">
        <v>1339</v>
      </c>
      <c r="B1346" s="967">
        <v>43452</v>
      </c>
      <c r="C1346" s="966">
        <v>85300</v>
      </c>
      <c r="D1346" s="966">
        <v>0</v>
      </c>
      <c r="E1346" s="966">
        <v>0</v>
      </c>
      <c r="F1346" s="966">
        <v>40319.879999999997</v>
      </c>
      <c r="G1346" s="966">
        <v>36712.896684599997</v>
      </c>
      <c r="H1346" s="966">
        <v>6464.23</v>
      </c>
      <c r="I1346" s="966">
        <v>13.2</v>
      </c>
      <c r="Q1346" s="967">
        <v>43452</v>
      </c>
      <c r="R1346" s="966">
        <v>85300</v>
      </c>
      <c r="T1346" s="969">
        <v>0</v>
      </c>
      <c r="U1346" s="966">
        <v>6464.23</v>
      </c>
      <c r="W1346" s="971" t="e">
        <f t="shared" si="23"/>
        <v>#DIV/0!</v>
      </c>
      <c r="Y1346" s="967">
        <v>43531</v>
      </c>
      <c r="Z1346" s="974">
        <f ca="1">H1296*Valuation_Senario!$L$372</f>
        <v>9821.4222148199988</v>
      </c>
      <c r="AA1346" s="973">
        <v>13.11</v>
      </c>
      <c r="AM1346" s="967">
        <v>43452</v>
      </c>
      <c r="AN1346" s="974">
        <v>85300</v>
      </c>
    </row>
    <row r="1347" spans="1:40">
      <c r="A1347" s="966">
        <v>1340</v>
      </c>
      <c r="B1347" s="967">
        <v>43451</v>
      </c>
      <c r="C1347" s="966">
        <v>85000</v>
      </c>
      <c r="D1347" s="966">
        <v>18.491679999999999</v>
      </c>
      <c r="E1347" s="966">
        <v>18.492550000000001</v>
      </c>
      <c r="F1347" s="966">
        <v>40190.76</v>
      </c>
      <c r="G1347" s="966">
        <v>36583.777470000001</v>
      </c>
      <c r="H1347" s="966">
        <v>6464.23</v>
      </c>
      <c r="I1347" s="966">
        <v>13.15</v>
      </c>
      <c r="Q1347" s="967">
        <v>43451</v>
      </c>
      <c r="R1347" s="966">
        <v>85000</v>
      </c>
      <c r="T1347" s="969">
        <v>-8.7000000000259092E-4</v>
      </c>
      <c r="U1347" s="966">
        <v>6464.23</v>
      </c>
      <c r="W1347" s="971" t="e">
        <f t="shared" si="23"/>
        <v>#DIV/0!</v>
      </c>
      <c r="Y1347" s="967">
        <v>43530</v>
      </c>
      <c r="Z1347" s="974">
        <f ca="1">H1297*Valuation_Senario!$L$372</f>
        <v>9821.4222148199988</v>
      </c>
      <c r="AA1347" s="973">
        <v>13.17</v>
      </c>
      <c r="AM1347" s="967">
        <v>43451</v>
      </c>
      <c r="AN1347" s="974">
        <v>85000</v>
      </c>
    </row>
    <row r="1348" spans="1:40">
      <c r="A1348" s="966">
        <v>1341</v>
      </c>
      <c r="B1348" s="967">
        <v>43448</v>
      </c>
      <c r="C1348" s="966">
        <v>87900</v>
      </c>
      <c r="D1348" s="966">
        <v>0</v>
      </c>
      <c r="E1348" s="966">
        <v>0</v>
      </c>
      <c r="F1348" s="966">
        <v>41438.910000000003</v>
      </c>
      <c r="G1348" s="966">
        <v>37831.929877800001</v>
      </c>
      <c r="H1348" s="966">
        <v>6464.23</v>
      </c>
      <c r="I1348" s="966">
        <v>13.6</v>
      </c>
      <c r="Q1348" s="967">
        <v>43448</v>
      </c>
      <c r="R1348" s="966">
        <v>87900</v>
      </c>
      <c r="T1348" s="969">
        <v>0</v>
      </c>
      <c r="U1348" s="966">
        <v>6464.23</v>
      </c>
      <c r="W1348" s="971" t="e">
        <f t="shared" si="23"/>
        <v>#DIV/0!</v>
      </c>
      <c r="Y1348" s="967">
        <v>43529</v>
      </c>
      <c r="Z1348" s="974">
        <f ca="1">H1298*Valuation_Senario!$L$372</f>
        <v>9821.4222148199988</v>
      </c>
      <c r="AA1348" s="973">
        <v>13.13</v>
      </c>
      <c r="AM1348" s="967">
        <v>43448</v>
      </c>
      <c r="AN1348" s="974">
        <v>87900</v>
      </c>
    </row>
    <row r="1349" spans="1:40">
      <c r="A1349" s="966">
        <v>1342</v>
      </c>
      <c r="B1349" s="967">
        <v>43447</v>
      </c>
      <c r="C1349" s="966">
        <v>89000</v>
      </c>
      <c r="D1349" s="966">
        <v>1.9139999999999999</v>
      </c>
      <c r="E1349" s="966">
        <v>1.9139999999999999</v>
      </c>
      <c r="F1349" s="966">
        <v>41912.35</v>
      </c>
      <c r="G1349" s="966">
        <v>38305.366997999998</v>
      </c>
      <c r="H1349" s="966">
        <v>6464.23</v>
      </c>
      <c r="I1349" s="966">
        <v>13.77</v>
      </c>
      <c r="Q1349" s="967">
        <v>43447</v>
      </c>
      <c r="R1349" s="966">
        <v>89000</v>
      </c>
      <c r="T1349" s="969">
        <v>0</v>
      </c>
      <c r="U1349" s="966">
        <v>6464.23</v>
      </c>
      <c r="W1349" s="971" t="e">
        <f t="shared" si="23"/>
        <v>#DIV/0!</v>
      </c>
      <c r="Y1349" s="967">
        <v>43528</v>
      </c>
      <c r="Z1349" s="974">
        <f ca="1">H1299*Valuation_Senario!$L$372</f>
        <v>9821.4222148199988</v>
      </c>
      <c r="AA1349" s="973">
        <v>13.31</v>
      </c>
      <c r="AM1349" s="967">
        <v>43447</v>
      </c>
      <c r="AN1349" s="974">
        <v>89000</v>
      </c>
    </row>
    <row r="1350" spans="1:40">
      <c r="A1350" s="966">
        <v>1343</v>
      </c>
      <c r="B1350" s="967">
        <v>43446</v>
      </c>
      <c r="C1350" s="966">
        <v>89500</v>
      </c>
      <c r="D1350" s="966">
        <v>0</v>
      </c>
      <c r="E1350" s="966">
        <v>0</v>
      </c>
      <c r="F1350" s="966">
        <v>42127.54</v>
      </c>
      <c r="G1350" s="966">
        <v>38520.565689000003</v>
      </c>
      <c r="H1350" s="966">
        <v>6464.23</v>
      </c>
      <c r="I1350" s="966">
        <v>13.85</v>
      </c>
      <c r="Q1350" s="967">
        <v>43446</v>
      </c>
      <c r="R1350" s="966">
        <v>89500</v>
      </c>
      <c r="T1350" s="969">
        <v>0</v>
      </c>
      <c r="U1350" s="966">
        <v>6464.23</v>
      </c>
      <c r="W1350" s="971" t="e">
        <f t="shared" si="23"/>
        <v>#DIV/0!</v>
      </c>
      <c r="Y1350" s="967">
        <v>43525</v>
      </c>
      <c r="Z1350" s="974">
        <f ca="1">H1300*Valuation_Senario!$L$372</f>
        <v>9821.4222148199988</v>
      </c>
      <c r="AA1350" s="973">
        <v>13.08</v>
      </c>
      <c r="AM1350" s="967">
        <v>43446</v>
      </c>
      <c r="AN1350" s="974">
        <v>89500</v>
      </c>
    </row>
    <row r="1351" spans="1:40">
      <c r="A1351" s="966">
        <v>1344</v>
      </c>
      <c r="B1351" s="967">
        <v>43445</v>
      </c>
      <c r="C1351" s="966">
        <v>87800</v>
      </c>
      <c r="D1351" s="966">
        <v>0</v>
      </c>
      <c r="E1351" s="966">
        <v>0</v>
      </c>
      <c r="F1351" s="966">
        <v>41395.870000000003</v>
      </c>
      <c r="G1351" s="966">
        <v>37788.8901396</v>
      </c>
      <c r="H1351" s="966">
        <v>6464.23</v>
      </c>
      <c r="I1351" s="966">
        <v>13.58</v>
      </c>
      <c r="Q1351" s="967">
        <v>43445</v>
      </c>
      <c r="R1351" s="966">
        <v>87800</v>
      </c>
      <c r="T1351" s="969">
        <v>0</v>
      </c>
      <c r="U1351" s="966">
        <v>6464.23</v>
      </c>
      <c r="W1351" s="971" t="e">
        <f t="shared" si="23"/>
        <v>#DIV/0!</v>
      </c>
      <c r="Y1351" s="967">
        <v>43524</v>
      </c>
      <c r="Z1351" s="974">
        <f ca="1">H1301*Valuation_Senario!$L$372</f>
        <v>9821.4222148199988</v>
      </c>
      <c r="AA1351" s="973">
        <v>12.98</v>
      </c>
      <c r="AM1351" s="967">
        <v>43445</v>
      </c>
      <c r="AN1351" s="974">
        <v>87800</v>
      </c>
    </row>
    <row r="1352" spans="1:40">
      <c r="A1352" s="966">
        <v>1345</v>
      </c>
      <c r="B1352" s="967">
        <v>43444</v>
      </c>
      <c r="C1352" s="966">
        <v>88000</v>
      </c>
      <c r="D1352" s="966">
        <v>0</v>
      </c>
      <c r="E1352" s="966">
        <v>0</v>
      </c>
      <c r="F1352" s="966">
        <v>41481.949999999997</v>
      </c>
      <c r="G1352" s="966">
        <v>37874.969616000002</v>
      </c>
      <c r="H1352" s="966">
        <v>6464.23</v>
      </c>
      <c r="I1352" s="966">
        <v>13.61</v>
      </c>
      <c r="Q1352" s="967">
        <v>43444</v>
      </c>
      <c r="R1352" s="966">
        <v>88000</v>
      </c>
      <c r="T1352" s="969">
        <v>0</v>
      </c>
      <c r="U1352" s="966">
        <v>6464.23</v>
      </c>
      <c r="W1352" s="971" t="e">
        <f t="shared" si="23"/>
        <v>#DIV/0!</v>
      </c>
      <c r="Y1352" s="967">
        <v>43523</v>
      </c>
      <c r="Z1352" s="974">
        <f ca="1">H1302*Valuation_Senario!$L$372</f>
        <v>9821.4222148199988</v>
      </c>
      <c r="AA1352" s="973">
        <v>13.19</v>
      </c>
      <c r="AM1352" s="967">
        <v>43444</v>
      </c>
      <c r="AN1352" s="974">
        <v>88000</v>
      </c>
    </row>
    <row r="1353" spans="1:40">
      <c r="A1353" s="966">
        <v>1346</v>
      </c>
      <c r="B1353" s="967">
        <v>43441</v>
      </c>
      <c r="C1353" s="966">
        <v>88600</v>
      </c>
      <c r="D1353" s="966">
        <v>0</v>
      </c>
      <c r="E1353" s="966">
        <v>0.198987</v>
      </c>
      <c r="F1353" s="966">
        <v>41740.19</v>
      </c>
      <c r="G1353" s="966">
        <v>38133.208045200001</v>
      </c>
      <c r="H1353" s="966">
        <v>6464.23</v>
      </c>
      <c r="I1353" s="966">
        <v>13.71</v>
      </c>
      <c r="Q1353" s="967">
        <v>43441</v>
      </c>
      <c r="R1353" s="966">
        <v>88600</v>
      </c>
      <c r="T1353" s="969">
        <v>-0.198987</v>
      </c>
      <c r="U1353" s="966">
        <v>6464.23</v>
      </c>
      <c r="W1353" s="971" t="e">
        <f t="shared" ref="W1353:W1416" si="24">T1353/V1353</f>
        <v>#DIV/0!</v>
      </c>
      <c r="Y1353" s="967">
        <v>43522</v>
      </c>
      <c r="Z1353" s="974">
        <f ca="1">H1303*Valuation_Senario!$L$372</f>
        <v>9821.4222148199988</v>
      </c>
      <c r="AA1353" s="973">
        <v>13.23</v>
      </c>
      <c r="AM1353" s="967">
        <v>43441</v>
      </c>
      <c r="AN1353" s="974">
        <v>88600</v>
      </c>
    </row>
    <row r="1354" spans="1:40">
      <c r="A1354" s="966">
        <v>1347</v>
      </c>
      <c r="B1354" s="967">
        <v>43440</v>
      </c>
      <c r="C1354" s="966">
        <v>87900</v>
      </c>
      <c r="D1354" s="966">
        <v>0</v>
      </c>
      <c r="E1354" s="966">
        <v>0</v>
      </c>
      <c r="F1354" s="966">
        <v>41438.910000000003</v>
      </c>
      <c r="G1354" s="966">
        <v>37831.929877800001</v>
      </c>
      <c r="H1354" s="966">
        <v>6464.23</v>
      </c>
      <c r="I1354" s="966">
        <v>13.6</v>
      </c>
      <c r="Q1354" s="967">
        <v>43440</v>
      </c>
      <c r="R1354" s="966">
        <v>87900</v>
      </c>
      <c r="T1354" s="969">
        <v>0</v>
      </c>
      <c r="U1354" s="966">
        <v>6464.23</v>
      </c>
      <c r="W1354" s="971" t="e">
        <f t="shared" si="24"/>
        <v>#DIV/0!</v>
      </c>
      <c r="Y1354" s="967">
        <v>43521</v>
      </c>
      <c r="Z1354" s="974">
        <f ca="1">H1304*Valuation_Senario!$L$372</f>
        <v>9821.4222148199988</v>
      </c>
      <c r="AA1354" s="973">
        <v>13.4</v>
      </c>
      <c r="AM1354" s="967">
        <v>43440</v>
      </c>
      <c r="AN1354" s="974">
        <v>87900</v>
      </c>
    </row>
    <row r="1355" spans="1:40">
      <c r="A1355" s="966">
        <v>1348</v>
      </c>
      <c r="B1355" s="967">
        <v>43439</v>
      </c>
      <c r="C1355" s="966">
        <v>88800</v>
      </c>
      <c r="D1355" s="966">
        <v>0</v>
      </c>
      <c r="E1355" s="966">
        <v>0</v>
      </c>
      <c r="F1355" s="966">
        <v>41826.269999999997</v>
      </c>
      <c r="G1355" s="966">
        <v>38219.287521600003</v>
      </c>
      <c r="H1355" s="966">
        <v>6464.23</v>
      </c>
      <c r="I1355" s="966">
        <v>13.74</v>
      </c>
      <c r="Q1355" s="967">
        <v>43439</v>
      </c>
      <c r="R1355" s="966">
        <v>88800</v>
      </c>
      <c r="T1355" s="969">
        <v>0</v>
      </c>
      <c r="U1355" s="966">
        <v>6464.23</v>
      </c>
      <c r="W1355" s="971" t="e">
        <f t="shared" si="24"/>
        <v>#DIV/0!</v>
      </c>
      <c r="Y1355" s="967">
        <v>43518</v>
      </c>
      <c r="Z1355" s="974">
        <f ca="1">H1305*Valuation_Senario!$L$372</f>
        <v>9821.4222148199988</v>
      </c>
      <c r="AA1355" s="973">
        <v>13.31</v>
      </c>
      <c r="AM1355" s="967">
        <v>43439</v>
      </c>
      <c r="AN1355" s="974">
        <v>88800</v>
      </c>
    </row>
    <row r="1356" spans="1:40">
      <c r="A1356" s="966">
        <v>1349</v>
      </c>
      <c r="B1356" s="967">
        <v>43438</v>
      </c>
      <c r="C1356" s="966">
        <v>88000</v>
      </c>
      <c r="D1356" s="966">
        <v>0</v>
      </c>
      <c r="E1356" s="966">
        <v>0</v>
      </c>
      <c r="F1356" s="966">
        <v>41481.949999999997</v>
      </c>
      <c r="G1356" s="966">
        <v>37874.969616000002</v>
      </c>
      <c r="H1356" s="966">
        <v>6464.23</v>
      </c>
      <c r="I1356" s="966">
        <v>13.61</v>
      </c>
      <c r="Q1356" s="967">
        <v>43438</v>
      </c>
      <c r="R1356" s="966">
        <v>88000</v>
      </c>
      <c r="T1356" s="969">
        <v>0</v>
      </c>
      <c r="U1356" s="966">
        <v>6464.23</v>
      </c>
      <c r="W1356" s="971" t="e">
        <f t="shared" si="24"/>
        <v>#DIV/0!</v>
      </c>
      <c r="Y1356" s="967">
        <v>43517</v>
      </c>
      <c r="Z1356" s="974">
        <f ca="1">H1306*Valuation_Senario!$L$372</f>
        <v>9821.4222148199988</v>
      </c>
      <c r="AA1356" s="973">
        <v>13.14</v>
      </c>
      <c r="AM1356" s="967">
        <v>43438</v>
      </c>
      <c r="AN1356" s="974">
        <v>88000</v>
      </c>
    </row>
    <row r="1357" spans="1:40">
      <c r="A1357" s="966">
        <v>1350</v>
      </c>
      <c r="B1357" s="967">
        <v>43437</v>
      </c>
      <c r="C1357" s="966">
        <v>88000</v>
      </c>
      <c r="D1357" s="966">
        <v>0</v>
      </c>
      <c r="E1357" s="966">
        <v>0</v>
      </c>
      <c r="F1357" s="966">
        <v>41481.949999999997</v>
      </c>
      <c r="G1357" s="966">
        <v>37874.969616000002</v>
      </c>
      <c r="H1357" s="966">
        <v>6464.23</v>
      </c>
      <c r="I1357" s="966">
        <v>13.61</v>
      </c>
      <c r="Q1357" s="967">
        <v>43437</v>
      </c>
      <c r="R1357" s="966">
        <v>88000</v>
      </c>
      <c r="T1357" s="969">
        <v>0</v>
      </c>
      <c r="U1357" s="966">
        <v>6464.23</v>
      </c>
      <c r="W1357" s="971" t="e">
        <f t="shared" si="24"/>
        <v>#DIV/0!</v>
      </c>
      <c r="Y1357" s="967">
        <v>43516</v>
      </c>
      <c r="Z1357" s="974">
        <f ca="1">H1307*Valuation_Senario!$L$372</f>
        <v>9821.4222148199988</v>
      </c>
      <c r="AA1357" s="973">
        <v>13.02</v>
      </c>
      <c r="AM1357" s="967">
        <v>43437</v>
      </c>
      <c r="AN1357" s="974">
        <v>88000</v>
      </c>
    </row>
    <row r="1358" spans="1:40">
      <c r="A1358" s="966">
        <v>1351</v>
      </c>
      <c r="B1358" s="967">
        <v>43434</v>
      </c>
      <c r="C1358" s="966">
        <v>84500</v>
      </c>
      <c r="D1358" s="966">
        <v>0</v>
      </c>
      <c r="E1358" s="966">
        <v>0</v>
      </c>
      <c r="F1358" s="966">
        <v>39975.56</v>
      </c>
      <c r="G1358" s="966">
        <v>36368.578779000003</v>
      </c>
      <c r="H1358" s="966">
        <v>6464.23</v>
      </c>
      <c r="I1358" s="966">
        <v>13.07</v>
      </c>
      <c r="Q1358" s="967">
        <v>43434</v>
      </c>
      <c r="R1358" s="966">
        <v>84500</v>
      </c>
      <c r="T1358" s="969">
        <v>0</v>
      </c>
      <c r="U1358" s="966">
        <v>6464.23</v>
      </c>
      <c r="W1358" s="971" t="e">
        <f t="shared" si="24"/>
        <v>#DIV/0!</v>
      </c>
      <c r="Y1358" s="967">
        <v>43515</v>
      </c>
      <c r="Z1358" s="974">
        <f ca="1">H1308*Valuation_Senario!$L$372</f>
        <v>9821.4222148199988</v>
      </c>
      <c r="AA1358" s="973">
        <v>13.01</v>
      </c>
      <c r="AM1358" s="967">
        <v>43434</v>
      </c>
      <c r="AN1358" s="974">
        <v>84500</v>
      </c>
    </row>
    <row r="1359" spans="1:40">
      <c r="A1359" s="966">
        <v>1352</v>
      </c>
      <c r="B1359" s="967">
        <v>43433</v>
      </c>
      <c r="C1359" s="966">
        <v>85000</v>
      </c>
      <c r="D1359" s="966">
        <v>0</v>
      </c>
      <c r="E1359" s="966">
        <v>0</v>
      </c>
      <c r="F1359" s="966">
        <v>40190.76</v>
      </c>
      <c r="G1359" s="966">
        <v>36583.777470000001</v>
      </c>
      <c r="H1359" s="966">
        <v>6464.23</v>
      </c>
      <c r="I1359" s="966">
        <v>13.15</v>
      </c>
      <c r="Q1359" s="967">
        <v>43433</v>
      </c>
      <c r="R1359" s="966">
        <v>85000</v>
      </c>
      <c r="T1359" s="969">
        <v>0</v>
      </c>
      <c r="U1359" s="966">
        <v>6464.23</v>
      </c>
      <c r="W1359" s="971" t="e">
        <f t="shared" si="24"/>
        <v>#DIV/0!</v>
      </c>
      <c r="Y1359" s="967">
        <v>43514</v>
      </c>
      <c r="Z1359" s="974">
        <f ca="1">H1309*Valuation_Senario!$L$372</f>
        <v>9821.4222148199988</v>
      </c>
      <c r="AA1359" s="973">
        <v>12.87</v>
      </c>
      <c r="AM1359" s="967">
        <v>43433</v>
      </c>
      <c r="AN1359" s="974">
        <v>85000</v>
      </c>
    </row>
    <row r="1360" spans="1:40">
      <c r="A1360" s="966">
        <v>1353</v>
      </c>
      <c r="B1360" s="967">
        <v>43432</v>
      </c>
      <c r="C1360" s="966">
        <v>84600</v>
      </c>
      <c r="D1360" s="966">
        <v>10.110891000000001</v>
      </c>
      <c r="E1360" s="966">
        <v>10.110891000000001</v>
      </c>
      <c r="F1360" s="966">
        <v>40018.6</v>
      </c>
      <c r="G1360" s="966">
        <v>36411.618517199997</v>
      </c>
      <c r="H1360" s="966">
        <v>6464.23</v>
      </c>
      <c r="I1360" s="966">
        <v>13.09</v>
      </c>
      <c r="Q1360" s="967">
        <v>43432</v>
      </c>
      <c r="R1360" s="966">
        <v>84600</v>
      </c>
      <c r="T1360" s="969">
        <v>0</v>
      </c>
      <c r="U1360" s="966">
        <v>6464.23</v>
      </c>
      <c r="W1360" s="971" t="e">
        <f t="shared" si="24"/>
        <v>#DIV/0!</v>
      </c>
      <c r="Y1360" s="967">
        <v>43511</v>
      </c>
      <c r="Z1360" s="974">
        <f ca="1">H1310*Valuation_Senario!$L$372</f>
        <v>9821.4222148199988</v>
      </c>
      <c r="AA1360" s="973">
        <v>12.87</v>
      </c>
      <c r="AM1360" s="967">
        <v>43432</v>
      </c>
      <c r="AN1360" s="974">
        <v>84600</v>
      </c>
    </row>
    <row r="1361" spans="1:40">
      <c r="A1361" s="966">
        <v>1354</v>
      </c>
      <c r="B1361" s="967">
        <v>43431</v>
      </c>
      <c r="C1361" s="966">
        <v>84400</v>
      </c>
      <c r="D1361" s="966">
        <v>3.2724000000000002</v>
      </c>
      <c r="E1361" s="966">
        <v>3.2724000000000002</v>
      </c>
      <c r="F1361" s="966">
        <v>39933.69</v>
      </c>
      <c r="G1361" s="966">
        <v>36326.707643200003</v>
      </c>
      <c r="H1361" s="966">
        <v>6464.02</v>
      </c>
      <c r="I1361" s="966">
        <v>13.06</v>
      </c>
      <c r="Q1361" s="967">
        <v>43431</v>
      </c>
      <c r="R1361" s="966">
        <v>84400</v>
      </c>
      <c r="T1361" s="969">
        <v>0</v>
      </c>
      <c r="U1361" s="966">
        <v>6464.02</v>
      </c>
      <c r="W1361" s="971" t="e">
        <f t="shared" si="24"/>
        <v>#DIV/0!</v>
      </c>
      <c r="Y1361" s="967">
        <v>43510</v>
      </c>
      <c r="Z1361" s="974">
        <f ca="1">H1311*Valuation_Senario!$L$372</f>
        <v>9821.4222148199988</v>
      </c>
      <c r="AA1361" s="973">
        <v>12.81</v>
      </c>
      <c r="AM1361" s="967">
        <v>43431</v>
      </c>
      <c r="AN1361" s="974">
        <v>84400</v>
      </c>
    </row>
    <row r="1362" spans="1:40">
      <c r="A1362" s="966">
        <v>1355</v>
      </c>
      <c r="B1362" s="967">
        <v>43430</v>
      </c>
      <c r="C1362" s="966">
        <v>85000</v>
      </c>
      <c r="D1362" s="966">
        <v>0</v>
      </c>
      <c r="E1362" s="966">
        <v>0</v>
      </c>
      <c r="F1362" s="966">
        <v>40191.93</v>
      </c>
      <c r="G1362" s="966">
        <v>36584.954380000003</v>
      </c>
      <c r="H1362" s="966">
        <v>6464.02</v>
      </c>
      <c r="I1362" s="966">
        <v>13.15</v>
      </c>
      <c r="Q1362" s="967">
        <v>43430</v>
      </c>
      <c r="R1362" s="966">
        <v>85000</v>
      </c>
      <c r="T1362" s="969">
        <v>0</v>
      </c>
      <c r="U1362" s="966">
        <v>6464.02</v>
      </c>
      <c r="W1362" s="971" t="e">
        <f t="shared" si="24"/>
        <v>#DIV/0!</v>
      </c>
      <c r="Y1362" s="967">
        <v>43509</v>
      </c>
      <c r="Z1362" s="974">
        <f ca="1">H1312*Valuation_Senario!$L$372</f>
        <v>9821.4222148199988</v>
      </c>
      <c r="AA1362" s="973">
        <v>12.89</v>
      </c>
      <c r="AM1362" s="967">
        <v>43430</v>
      </c>
      <c r="AN1362" s="974">
        <v>85000</v>
      </c>
    </row>
    <row r="1363" spans="1:40">
      <c r="A1363" s="966">
        <v>1356</v>
      </c>
      <c r="B1363" s="967">
        <v>43427</v>
      </c>
      <c r="C1363" s="966">
        <v>84000</v>
      </c>
      <c r="D1363" s="966">
        <v>0</v>
      </c>
      <c r="E1363" s="966">
        <v>0</v>
      </c>
      <c r="F1363" s="966">
        <v>39761.519999999997</v>
      </c>
      <c r="G1363" s="966">
        <v>36154.543151999998</v>
      </c>
      <c r="H1363" s="966">
        <v>6464.02</v>
      </c>
      <c r="I1363" s="966">
        <v>13</v>
      </c>
      <c r="Q1363" s="967">
        <v>43427</v>
      </c>
      <c r="R1363" s="966">
        <v>84000</v>
      </c>
      <c r="T1363" s="969">
        <v>0</v>
      </c>
      <c r="U1363" s="966">
        <v>6464.02</v>
      </c>
      <c r="W1363" s="971" t="e">
        <f t="shared" si="24"/>
        <v>#DIV/0!</v>
      </c>
      <c r="Y1363" s="967">
        <v>43508</v>
      </c>
      <c r="Z1363" s="974">
        <f ca="1">H1313*Valuation_Senario!$L$372</f>
        <v>9821.4222148199988</v>
      </c>
      <c r="AA1363" s="973">
        <v>12.65</v>
      </c>
      <c r="AM1363" s="967">
        <v>43427</v>
      </c>
      <c r="AN1363" s="974">
        <v>84000</v>
      </c>
    </row>
    <row r="1364" spans="1:40">
      <c r="A1364" s="966">
        <v>1357</v>
      </c>
      <c r="B1364" s="967">
        <v>43426</v>
      </c>
      <c r="C1364" s="966">
        <v>85800</v>
      </c>
      <c r="D1364" s="966">
        <v>0.68640000000000001</v>
      </c>
      <c r="E1364" s="966">
        <v>0</v>
      </c>
      <c r="F1364" s="966">
        <v>40536.26</v>
      </c>
      <c r="G1364" s="966">
        <v>36929.283362399998</v>
      </c>
      <c r="H1364" s="966">
        <v>6464.02</v>
      </c>
      <c r="I1364" s="966">
        <v>13.27</v>
      </c>
      <c r="Q1364" s="967">
        <v>43426</v>
      </c>
      <c r="R1364" s="966">
        <v>85800</v>
      </c>
      <c r="T1364" s="969">
        <v>0.68640000000000001</v>
      </c>
      <c r="U1364" s="966">
        <v>6464.02</v>
      </c>
      <c r="W1364" s="971" t="e">
        <f t="shared" si="24"/>
        <v>#DIV/0!</v>
      </c>
      <c r="Y1364" s="967">
        <v>43507</v>
      </c>
      <c r="Z1364" s="974">
        <f ca="1">H1314*Valuation_Senario!$L$372</f>
        <v>9821.4222148199988</v>
      </c>
      <c r="AA1364" s="973">
        <v>12.65</v>
      </c>
      <c r="AM1364" s="967">
        <v>43426</v>
      </c>
      <c r="AN1364" s="974">
        <v>85800</v>
      </c>
    </row>
    <row r="1365" spans="1:40">
      <c r="A1365" s="966">
        <v>1358</v>
      </c>
      <c r="B1365" s="967">
        <v>43425</v>
      </c>
      <c r="C1365" s="966">
        <v>84800</v>
      </c>
      <c r="D1365" s="966">
        <v>0</v>
      </c>
      <c r="E1365" s="966">
        <v>0</v>
      </c>
      <c r="F1365" s="966">
        <v>40105.85</v>
      </c>
      <c r="G1365" s="966">
        <v>36498.872134400001</v>
      </c>
      <c r="H1365" s="966">
        <v>6464.02</v>
      </c>
      <c r="I1365" s="966">
        <v>13.12</v>
      </c>
      <c r="Q1365" s="967">
        <v>43425</v>
      </c>
      <c r="R1365" s="966">
        <v>84800</v>
      </c>
      <c r="T1365" s="969">
        <v>0</v>
      </c>
      <c r="U1365" s="966">
        <v>6464.02</v>
      </c>
      <c r="W1365" s="971" t="e">
        <f t="shared" si="24"/>
        <v>#DIV/0!</v>
      </c>
      <c r="Y1365" s="967">
        <v>43497</v>
      </c>
      <c r="Z1365" s="974">
        <f ca="1">H1315*Valuation_Senario!$L$372</f>
        <v>9821.4222148199988</v>
      </c>
      <c r="AA1365" s="973">
        <v>12.41</v>
      </c>
      <c r="AM1365" s="967">
        <v>43425</v>
      </c>
      <c r="AN1365" s="974">
        <v>84800</v>
      </c>
    </row>
    <row r="1366" spans="1:40">
      <c r="A1366" s="966">
        <v>1359</v>
      </c>
      <c r="B1366" s="967">
        <v>43424</v>
      </c>
      <c r="C1366" s="966">
        <v>84300</v>
      </c>
      <c r="D1366" s="966">
        <v>0</v>
      </c>
      <c r="E1366" s="966">
        <v>0</v>
      </c>
      <c r="F1366" s="966">
        <v>39890.65</v>
      </c>
      <c r="G1366" s="966">
        <v>36283.666520400002</v>
      </c>
      <c r="H1366" s="966">
        <v>6464.02</v>
      </c>
      <c r="I1366" s="966">
        <v>13.04</v>
      </c>
      <c r="Q1366" s="967">
        <v>43424</v>
      </c>
      <c r="R1366" s="966">
        <v>84300</v>
      </c>
      <c r="T1366" s="969">
        <v>0</v>
      </c>
      <c r="U1366" s="966">
        <v>6464.02</v>
      </c>
      <c r="W1366" s="971" t="e">
        <f t="shared" si="24"/>
        <v>#DIV/0!</v>
      </c>
      <c r="Y1366" s="967">
        <v>43496</v>
      </c>
      <c r="Z1366" s="974">
        <f ca="1">H1316*Valuation_Senario!$L$372</f>
        <v>9821.4222148199988</v>
      </c>
      <c r="AA1366" s="973">
        <v>12.41</v>
      </c>
      <c r="AM1366" s="967">
        <v>43424</v>
      </c>
      <c r="AN1366" s="974">
        <v>84300</v>
      </c>
    </row>
    <row r="1367" spans="1:40">
      <c r="A1367" s="966">
        <v>1360</v>
      </c>
      <c r="B1367" s="967">
        <v>43423</v>
      </c>
      <c r="C1367" s="966">
        <v>84700</v>
      </c>
      <c r="D1367" s="966">
        <v>0</v>
      </c>
      <c r="E1367" s="966">
        <v>0.65759999999999996</v>
      </c>
      <c r="F1367" s="966">
        <v>40062.81</v>
      </c>
      <c r="G1367" s="966">
        <v>36455.831011599999</v>
      </c>
      <c r="H1367" s="966">
        <v>6464.02</v>
      </c>
      <c r="I1367" s="966">
        <v>13.1</v>
      </c>
      <c r="Q1367" s="967">
        <v>43423</v>
      </c>
      <c r="R1367" s="966">
        <v>84700</v>
      </c>
      <c r="T1367" s="969">
        <v>-0.65759999999999996</v>
      </c>
      <c r="U1367" s="966">
        <v>6464.02</v>
      </c>
      <c r="W1367" s="971" t="e">
        <f t="shared" si="24"/>
        <v>#DIV/0!</v>
      </c>
      <c r="Y1367" s="967">
        <v>43495</v>
      </c>
      <c r="Z1367" s="974">
        <f ca="1">H1317*Valuation_Senario!$L$372</f>
        <v>9466.5695807699994</v>
      </c>
      <c r="AA1367" s="973">
        <v>12.97</v>
      </c>
      <c r="AM1367" s="967">
        <v>43423</v>
      </c>
      <c r="AN1367" s="974">
        <v>84700</v>
      </c>
    </row>
    <row r="1368" spans="1:40">
      <c r="A1368" s="966">
        <v>1361</v>
      </c>
      <c r="B1368" s="967">
        <v>43420</v>
      </c>
      <c r="C1368" s="966">
        <v>107200</v>
      </c>
      <c r="D1368" s="966">
        <v>2.16E-3</v>
      </c>
      <c r="E1368" s="966">
        <v>0</v>
      </c>
      <c r="F1368" s="966">
        <v>38211.160000000003</v>
      </c>
      <c r="G1368" s="966">
        <v>34604.185299199999</v>
      </c>
      <c r="H1368" s="966">
        <v>8643.52</v>
      </c>
      <c r="I1368" s="966">
        <v>12.4</v>
      </c>
      <c r="Q1368" s="967">
        <v>43420</v>
      </c>
      <c r="R1368" s="966">
        <v>107200</v>
      </c>
      <c r="T1368" s="969">
        <v>2.16E-3</v>
      </c>
      <c r="U1368" s="966">
        <v>8643.52</v>
      </c>
      <c r="W1368" s="971" t="e">
        <f t="shared" si="24"/>
        <v>#DIV/0!</v>
      </c>
      <c r="Y1368" s="967">
        <v>43494</v>
      </c>
      <c r="Z1368" s="974">
        <f ca="1">H1318*Valuation_Senario!$L$372</f>
        <v>9467.3478629799993</v>
      </c>
      <c r="AA1368" s="973">
        <v>13.26</v>
      </c>
      <c r="AM1368" s="967">
        <v>43420</v>
      </c>
      <c r="AN1368" s="974">
        <v>107200</v>
      </c>
    </row>
    <row r="1369" spans="1:40">
      <c r="A1369" s="966">
        <v>1362</v>
      </c>
      <c r="B1369" s="967">
        <v>43419</v>
      </c>
      <c r="C1369" s="966">
        <v>107000</v>
      </c>
      <c r="D1369" s="966">
        <v>0</v>
      </c>
      <c r="E1369" s="966">
        <v>0</v>
      </c>
      <c r="F1369" s="966">
        <v>38146.6</v>
      </c>
      <c r="G1369" s="966">
        <v>34539.625251999998</v>
      </c>
      <c r="H1369" s="966">
        <v>8643.52</v>
      </c>
      <c r="I1369" s="966">
        <v>12.38</v>
      </c>
      <c r="Q1369" s="967">
        <v>43419</v>
      </c>
      <c r="R1369" s="966">
        <v>107000</v>
      </c>
      <c r="T1369" s="969">
        <v>0</v>
      </c>
      <c r="U1369" s="966">
        <v>8643.52</v>
      </c>
      <c r="W1369" s="971" t="e">
        <f t="shared" si="24"/>
        <v>#DIV/0!</v>
      </c>
      <c r="Y1369" s="967">
        <v>43493</v>
      </c>
      <c r="Z1369" s="974">
        <f ca="1">H1319*Valuation_Senario!$L$372</f>
        <v>9468.1261451899991</v>
      </c>
      <c r="AA1369" s="973">
        <v>12.97</v>
      </c>
      <c r="AM1369" s="967">
        <v>43419</v>
      </c>
      <c r="AN1369" s="974">
        <v>107000</v>
      </c>
    </row>
    <row r="1370" spans="1:40">
      <c r="A1370" s="966">
        <v>1363</v>
      </c>
      <c r="B1370" s="967">
        <v>43418</v>
      </c>
      <c r="C1370" s="966">
        <v>107300</v>
      </c>
      <c r="D1370" s="966">
        <v>1.0790000000000001E-3</v>
      </c>
      <c r="E1370" s="966">
        <v>0</v>
      </c>
      <c r="F1370" s="966">
        <v>38243.440000000002</v>
      </c>
      <c r="G1370" s="966">
        <v>34636.465322800002</v>
      </c>
      <c r="H1370" s="966">
        <v>8643.52</v>
      </c>
      <c r="I1370" s="966">
        <v>12.41</v>
      </c>
      <c r="Q1370" s="967">
        <v>43418</v>
      </c>
      <c r="R1370" s="966">
        <v>107300</v>
      </c>
      <c r="T1370" s="969">
        <v>1.0790000000000001E-3</v>
      </c>
      <c r="U1370" s="966">
        <v>8643.52</v>
      </c>
      <c r="W1370" s="971" t="e">
        <f t="shared" si="24"/>
        <v>#DIV/0!</v>
      </c>
      <c r="Y1370" s="967">
        <v>43490</v>
      </c>
      <c r="Z1370" s="974">
        <f ca="1">H1320*Valuation_Senario!$L$372</f>
        <v>9470.4756763900004</v>
      </c>
      <c r="AA1370" s="973">
        <v>12.9</v>
      </c>
      <c r="AM1370" s="967">
        <v>43418</v>
      </c>
      <c r="AN1370" s="974">
        <v>107300</v>
      </c>
    </row>
    <row r="1371" spans="1:40">
      <c r="A1371" s="966">
        <v>1364</v>
      </c>
      <c r="B1371" s="967">
        <v>43417</v>
      </c>
      <c r="C1371" s="966">
        <v>107700</v>
      </c>
      <c r="D1371" s="966">
        <v>0</v>
      </c>
      <c r="E1371" s="966">
        <v>2.1580000000000002E-3</v>
      </c>
      <c r="F1371" s="966">
        <v>38469.4</v>
      </c>
      <c r="G1371" s="966">
        <v>34862.425488000001</v>
      </c>
      <c r="H1371" s="966">
        <v>8643.52</v>
      </c>
      <c r="I1371" s="966">
        <v>12.49</v>
      </c>
      <c r="Q1371" s="967">
        <v>43417</v>
      </c>
      <c r="R1371" s="966">
        <v>107700</v>
      </c>
      <c r="T1371" s="969">
        <v>-2.1580000000000002E-3</v>
      </c>
      <c r="U1371" s="966">
        <v>8643.52</v>
      </c>
      <c r="W1371" s="971" t="e">
        <f t="shared" si="24"/>
        <v>#DIV/0!</v>
      </c>
      <c r="Y1371" s="967">
        <v>43489</v>
      </c>
      <c r="Z1371" s="974">
        <f ca="1">H1321*Valuation_Senario!$L$372</f>
        <v>9471.2539586000003</v>
      </c>
      <c r="AA1371" s="973">
        <v>12.96</v>
      </c>
      <c r="AM1371" s="967">
        <v>43417</v>
      </c>
      <c r="AN1371" s="974">
        <v>107700</v>
      </c>
    </row>
    <row r="1372" spans="1:40">
      <c r="A1372" s="966">
        <v>1365</v>
      </c>
      <c r="B1372" s="967">
        <v>43416</v>
      </c>
      <c r="C1372" s="966">
        <v>110000</v>
      </c>
      <c r="D1372" s="966">
        <v>0</v>
      </c>
      <c r="E1372" s="966">
        <v>0</v>
      </c>
      <c r="F1372" s="966">
        <v>39118.61</v>
      </c>
      <c r="G1372" s="966">
        <v>35511.627359999999</v>
      </c>
      <c r="H1372" s="966">
        <v>8642.6299999999992</v>
      </c>
      <c r="I1372" s="966">
        <v>12.73</v>
      </c>
      <c r="Q1372" s="967">
        <v>43416</v>
      </c>
      <c r="R1372" s="966">
        <v>110000</v>
      </c>
      <c r="T1372" s="969">
        <v>0</v>
      </c>
      <c r="U1372" s="966">
        <v>8642.6299999999992</v>
      </c>
      <c r="W1372" s="971" t="e">
        <f t="shared" si="24"/>
        <v>#DIV/0!</v>
      </c>
      <c r="Y1372" s="967">
        <v>43488</v>
      </c>
      <c r="Z1372" s="974">
        <f ca="1">H1322*Valuation_Senario!$L$372</f>
        <v>9472.0469253800002</v>
      </c>
      <c r="AA1372" s="973">
        <v>12.96</v>
      </c>
      <c r="AM1372" s="967">
        <v>43416</v>
      </c>
      <c r="AN1372" s="974">
        <v>110000</v>
      </c>
    </row>
    <row r="1373" spans="1:40">
      <c r="A1373" s="966">
        <v>1366</v>
      </c>
      <c r="B1373" s="967">
        <v>43413</v>
      </c>
      <c r="C1373" s="966">
        <v>106000</v>
      </c>
      <c r="D1373" s="966">
        <v>0</v>
      </c>
      <c r="E1373" s="966">
        <v>1.096E-3</v>
      </c>
      <c r="F1373" s="966">
        <v>37827.269999999997</v>
      </c>
      <c r="G1373" s="966">
        <v>34220.295456</v>
      </c>
      <c r="H1373" s="966">
        <v>8642.6299999999992</v>
      </c>
      <c r="I1373" s="966">
        <v>12.26</v>
      </c>
      <c r="Q1373" s="967">
        <v>43413</v>
      </c>
      <c r="R1373" s="966">
        <v>106000</v>
      </c>
      <c r="T1373" s="969">
        <v>-1.096E-3</v>
      </c>
      <c r="U1373" s="966">
        <v>8642.6299999999992</v>
      </c>
      <c r="W1373" s="971" t="e">
        <f t="shared" si="24"/>
        <v>#DIV/0!</v>
      </c>
      <c r="Y1373" s="967">
        <v>43487</v>
      </c>
      <c r="Z1373" s="974">
        <f ca="1">H1323*Valuation_Senario!$L$372</f>
        <v>9472.82520759</v>
      </c>
      <c r="AA1373" s="973">
        <v>12.99</v>
      </c>
      <c r="AM1373" s="967">
        <v>43413</v>
      </c>
      <c r="AN1373" s="974">
        <v>106000</v>
      </c>
    </row>
    <row r="1374" spans="1:40">
      <c r="A1374" s="966">
        <v>1367</v>
      </c>
      <c r="B1374" s="967">
        <v>43412</v>
      </c>
      <c r="C1374" s="966">
        <v>110000</v>
      </c>
      <c r="D1374" s="966">
        <v>0</v>
      </c>
      <c r="E1374" s="966">
        <v>0</v>
      </c>
      <c r="F1374" s="966">
        <v>39118.61</v>
      </c>
      <c r="G1374" s="966">
        <v>35511.627359999999</v>
      </c>
      <c r="H1374" s="966">
        <v>8642.6299999999992</v>
      </c>
      <c r="I1374" s="966">
        <v>12.73</v>
      </c>
      <c r="Q1374" s="967">
        <v>43412</v>
      </c>
      <c r="R1374" s="966">
        <v>110000</v>
      </c>
      <c r="T1374" s="969">
        <v>0</v>
      </c>
      <c r="U1374" s="966">
        <v>8642.6299999999992</v>
      </c>
      <c r="W1374" s="971" t="e">
        <f t="shared" si="24"/>
        <v>#DIV/0!</v>
      </c>
      <c r="Y1374" s="967">
        <v>43486</v>
      </c>
      <c r="Z1374" s="974">
        <f ca="1">H1324*Valuation_Senario!$L$372</f>
        <v>9473.603489799998</v>
      </c>
      <c r="AA1374" s="973">
        <v>12.97</v>
      </c>
      <c r="AM1374" s="967">
        <v>43412</v>
      </c>
      <c r="AN1374" s="974">
        <v>110000</v>
      </c>
    </row>
    <row r="1375" spans="1:40">
      <c r="A1375" s="966">
        <v>1368</v>
      </c>
      <c r="B1375" s="967">
        <v>43411</v>
      </c>
      <c r="C1375" s="966">
        <v>112000</v>
      </c>
      <c r="D1375" s="966">
        <v>0</v>
      </c>
      <c r="E1375" s="966">
        <v>0</v>
      </c>
      <c r="F1375" s="966">
        <v>39764.269999999997</v>
      </c>
      <c r="G1375" s="966">
        <v>36157.293312000002</v>
      </c>
      <c r="H1375" s="966">
        <v>8642.6299999999992</v>
      </c>
      <c r="I1375" s="966">
        <v>12.96</v>
      </c>
      <c r="Q1375" s="967">
        <v>43411</v>
      </c>
      <c r="R1375" s="966">
        <v>112000</v>
      </c>
      <c r="T1375" s="969">
        <v>0</v>
      </c>
      <c r="U1375" s="966">
        <v>8642.6299999999992</v>
      </c>
      <c r="W1375" s="971" t="e">
        <f t="shared" si="24"/>
        <v>#DIV/0!</v>
      </c>
      <c r="Y1375" s="967">
        <v>43483</v>
      </c>
      <c r="Z1375" s="974">
        <f ca="1">H1325*Valuation_Senario!$L$372</f>
        <v>9475.9677055699995</v>
      </c>
      <c r="AA1375" s="973">
        <v>13.08</v>
      </c>
      <c r="AM1375" s="967">
        <v>43411</v>
      </c>
      <c r="AN1375" s="974">
        <v>112000</v>
      </c>
    </row>
    <row r="1376" spans="1:40">
      <c r="A1376" s="966">
        <v>1369</v>
      </c>
      <c r="B1376" s="967">
        <v>43410</v>
      </c>
      <c r="C1376" s="966">
        <v>111400</v>
      </c>
      <c r="D1376" s="966">
        <v>0</v>
      </c>
      <c r="E1376" s="966">
        <v>0</v>
      </c>
      <c r="F1376" s="966">
        <v>39570.57</v>
      </c>
      <c r="G1376" s="966">
        <v>35963.5935264</v>
      </c>
      <c r="H1376" s="966">
        <v>8642.6299999999992</v>
      </c>
      <c r="I1376" s="966">
        <v>12.89</v>
      </c>
      <c r="Q1376" s="967">
        <v>43410</v>
      </c>
      <c r="R1376" s="966">
        <v>111400</v>
      </c>
      <c r="T1376" s="969">
        <v>0</v>
      </c>
      <c r="U1376" s="966">
        <v>8642.6299999999992</v>
      </c>
      <c r="W1376" s="971" t="e">
        <f t="shared" si="24"/>
        <v>#DIV/0!</v>
      </c>
      <c r="Y1376" s="967">
        <v>43482</v>
      </c>
      <c r="Z1376" s="974">
        <f ca="1">H1326*Valuation_Senario!$L$372</f>
        <v>9476.7459877799993</v>
      </c>
      <c r="AA1376" s="973">
        <v>13.22</v>
      </c>
      <c r="AM1376" s="967">
        <v>43410</v>
      </c>
      <c r="AN1376" s="974">
        <v>111400</v>
      </c>
    </row>
    <row r="1377" spans="1:40">
      <c r="A1377" s="966">
        <v>1370</v>
      </c>
      <c r="B1377" s="967">
        <v>43409</v>
      </c>
      <c r="C1377" s="966">
        <v>111400</v>
      </c>
      <c r="D1377" s="966">
        <v>0</v>
      </c>
      <c r="E1377" s="966">
        <v>0</v>
      </c>
      <c r="F1377" s="966">
        <v>39570.57</v>
      </c>
      <c r="G1377" s="966">
        <v>35963.5935264</v>
      </c>
      <c r="H1377" s="966">
        <v>8642.6299999999992</v>
      </c>
      <c r="I1377" s="966">
        <v>12.89</v>
      </c>
      <c r="Q1377" s="967">
        <v>43409</v>
      </c>
      <c r="R1377" s="966">
        <v>111400</v>
      </c>
      <c r="T1377" s="969">
        <v>0</v>
      </c>
      <c r="U1377" s="966">
        <v>8642.6299999999992</v>
      </c>
      <c r="W1377" s="971" t="e">
        <f t="shared" si="24"/>
        <v>#DIV/0!</v>
      </c>
      <c r="Y1377" s="967">
        <v>43481</v>
      </c>
      <c r="Z1377" s="974">
        <f ca="1">H1327*Valuation_Senario!$L$372</f>
        <v>9477.5242699899991</v>
      </c>
      <c r="AA1377" s="973">
        <v>13.22</v>
      </c>
      <c r="AM1377" s="967">
        <v>43409</v>
      </c>
      <c r="AN1377" s="974">
        <v>111400</v>
      </c>
    </row>
    <row r="1378" spans="1:40">
      <c r="A1378" s="966">
        <v>1371</v>
      </c>
      <c r="B1378" s="967">
        <v>43406</v>
      </c>
      <c r="C1378" s="966">
        <v>112500</v>
      </c>
      <c r="D1378" s="966">
        <v>0</v>
      </c>
      <c r="E1378" s="966">
        <v>0</v>
      </c>
      <c r="F1378" s="966">
        <v>39925.69</v>
      </c>
      <c r="G1378" s="966">
        <v>36318.709799999997</v>
      </c>
      <c r="H1378" s="966">
        <v>8642.6299999999992</v>
      </c>
      <c r="I1378" s="966">
        <v>13.02</v>
      </c>
      <c r="Q1378" s="967">
        <v>43406</v>
      </c>
      <c r="R1378" s="966">
        <v>112500</v>
      </c>
      <c r="T1378" s="969">
        <v>0</v>
      </c>
      <c r="U1378" s="966">
        <v>8642.6299999999992</v>
      </c>
      <c r="W1378" s="971" t="e">
        <f t="shared" si="24"/>
        <v>#DIV/0!</v>
      </c>
      <c r="Y1378" s="967">
        <v>43480</v>
      </c>
      <c r="Z1378" s="974">
        <f ca="1">H1328*Valuation_Senario!$L$372</f>
        <v>9478.317236769999</v>
      </c>
      <c r="AA1378" s="973">
        <v>13.28</v>
      </c>
      <c r="AM1378" s="967">
        <v>43406</v>
      </c>
      <c r="AN1378" s="974">
        <v>112500</v>
      </c>
    </row>
    <row r="1379" spans="1:40">
      <c r="A1379" s="966">
        <v>1372</v>
      </c>
      <c r="B1379" s="967">
        <v>43405</v>
      </c>
      <c r="C1379" s="966">
        <v>110500</v>
      </c>
      <c r="D1379" s="966">
        <v>0</v>
      </c>
      <c r="E1379" s="966">
        <v>0</v>
      </c>
      <c r="F1379" s="966">
        <v>39280.019999999997</v>
      </c>
      <c r="G1379" s="966">
        <v>35673.043848000001</v>
      </c>
      <c r="H1379" s="966">
        <v>8642.6299999999992</v>
      </c>
      <c r="I1379" s="966">
        <v>12.79</v>
      </c>
      <c r="Q1379" s="967">
        <v>43405</v>
      </c>
      <c r="R1379" s="966">
        <v>110500</v>
      </c>
      <c r="T1379" s="969">
        <v>0</v>
      </c>
      <c r="U1379" s="966">
        <v>8642.6299999999992</v>
      </c>
      <c r="W1379" s="971" t="e">
        <f t="shared" si="24"/>
        <v>#DIV/0!</v>
      </c>
      <c r="Y1379" s="967">
        <v>43479</v>
      </c>
      <c r="Z1379" s="974">
        <f ca="1">H1329*Valuation_Senario!$L$372</f>
        <v>9479.0955189800006</v>
      </c>
      <c r="AA1379" s="973">
        <v>13.17</v>
      </c>
      <c r="AM1379" s="967">
        <v>43405</v>
      </c>
      <c r="AN1379" s="974">
        <v>110500</v>
      </c>
    </row>
    <row r="1380" spans="1:40">
      <c r="A1380" s="966">
        <v>1373</v>
      </c>
      <c r="B1380" s="967">
        <v>43404</v>
      </c>
      <c r="C1380" s="966">
        <v>112800</v>
      </c>
      <c r="D1380" s="966">
        <v>0</v>
      </c>
      <c r="E1380" s="966">
        <v>0</v>
      </c>
      <c r="F1380" s="966">
        <v>40022.54</v>
      </c>
      <c r="G1380" s="966">
        <v>36415.559692800001</v>
      </c>
      <c r="H1380" s="966">
        <v>8642.6299999999992</v>
      </c>
      <c r="I1380" s="966">
        <v>13.05</v>
      </c>
      <c r="Q1380" s="967">
        <v>43404</v>
      </c>
      <c r="R1380" s="966">
        <v>112800</v>
      </c>
      <c r="T1380" s="969">
        <v>0</v>
      </c>
      <c r="U1380" s="966">
        <v>8642.6299999999992</v>
      </c>
      <c r="W1380" s="971" t="e">
        <f t="shared" si="24"/>
        <v>#DIV/0!</v>
      </c>
      <c r="Y1380" s="967">
        <v>43476</v>
      </c>
      <c r="Z1380" s="974">
        <f ca="1">H1330*Valuation_Senario!$L$372</f>
        <v>9481.4450501799984</v>
      </c>
      <c r="AA1380" s="973">
        <v>13.16</v>
      </c>
      <c r="AM1380" s="967">
        <v>43404</v>
      </c>
      <c r="AN1380" s="974">
        <v>112800</v>
      </c>
    </row>
    <row r="1381" spans="1:40">
      <c r="A1381" s="966">
        <v>1374</v>
      </c>
      <c r="B1381" s="967">
        <v>43403</v>
      </c>
      <c r="C1381" s="966">
        <v>107100</v>
      </c>
      <c r="D1381" s="966">
        <v>0.105</v>
      </c>
      <c r="E1381" s="966">
        <v>0</v>
      </c>
      <c r="F1381" s="966">
        <v>39753.81</v>
      </c>
      <c r="G1381" s="966">
        <v>34575.411729599997</v>
      </c>
      <c r="H1381" s="966">
        <v>8488.14</v>
      </c>
      <c r="I1381" s="966">
        <v>12.62</v>
      </c>
      <c r="Q1381" s="967">
        <v>43403</v>
      </c>
      <c r="R1381" s="966">
        <v>107100</v>
      </c>
      <c r="T1381" s="969">
        <v>0.105</v>
      </c>
      <c r="U1381" s="966">
        <v>8488.14</v>
      </c>
      <c r="W1381" s="971" t="e">
        <f t="shared" si="24"/>
        <v>#DIV/0!</v>
      </c>
      <c r="Y1381" s="967">
        <v>43475</v>
      </c>
      <c r="Z1381" s="974">
        <f ca="1">H1331*Valuation_Senario!$L$372</f>
        <v>9482.2380169599983</v>
      </c>
      <c r="AA1381" s="973">
        <v>13.32</v>
      </c>
      <c r="AM1381" s="967">
        <v>43403</v>
      </c>
      <c r="AN1381" s="974">
        <v>107100</v>
      </c>
    </row>
    <row r="1382" spans="1:40">
      <c r="A1382" s="966">
        <v>1375</v>
      </c>
      <c r="B1382" s="967">
        <v>43402</v>
      </c>
      <c r="C1382" s="966">
        <v>104700</v>
      </c>
      <c r="D1382" s="966">
        <v>0</v>
      </c>
      <c r="E1382" s="966">
        <v>0</v>
      </c>
      <c r="F1382" s="966">
        <v>38979.01</v>
      </c>
      <c r="G1382" s="966">
        <v>33800.612587199998</v>
      </c>
      <c r="H1382" s="966">
        <v>8488.14</v>
      </c>
      <c r="I1382" s="966">
        <v>12.33</v>
      </c>
      <c r="Q1382" s="967">
        <v>43402</v>
      </c>
      <c r="R1382" s="966">
        <v>104700</v>
      </c>
      <c r="T1382" s="969">
        <v>0</v>
      </c>
      <c r="U1382" s="966">
        <v>8488.14</v>
      </c>
      <c r="W1382" s="971" t="e">
        <f t="shared" si="24"/>
        <v>#DIV/0!</v>
      </c>
      <c r="Y1382" s="967">
        <v>43474</v>
      </c>
      <c r="Z1382" s="974">
        <f ca="1">H1332*Valuation_Senario!$L$372</f>
        <v>9483.0162991699999</v>
      </c>
      <c r="AA1382" s="973">
        <v>13.22</v>
      </c>
      <c r="AM1382" s="967">
        <v>43402</v>
      </c>
      <c r="AN1382" s="974">
        <v>104700</v>
      </c>
    </row>
    <row r="1383" spans="1:40">
      <c r="A1383" s="966">
        <v>1376</v>
      </c>
      <c r="B1383" s="967">
        <v>43399</v>
      </c>
      <c r="C1383" s="966">
        <v>108000</v>
      </c>
      <c r="D1383" s="966">
        <v>0</v>
      </c>
      <c r="E1383" s="966">
        <v>0</v>
      </c>
      <c r="F1383" s="966">
        <v>40044.36</v>
      </c>
      <c r="G1383" s="966">
        <v>34865.961408000003</v>
      </c>
      <c r="H1383" s="966">
        <v>8488.14</v>
      </c>
      <c r="I1383" s="966">
        <v>12.72</v>
      </c>
      <c r="Q1383" s="967">
        <v>43399</v>
      </c>
      <c r="R1383" s="966">
        <v>108000</v>
      </c>
      <c r="T1383" s="969">
        <v>0</v>
      </c>
      <c r="U1383" s="966">
        <v>8488.14</v>
      </c>
      <c r="W1383" s="971" t="e">
        <f t="shared" si="24"/>
        <v>#DIV/0!</v>
      </c>
      <c r="Y1383" s="967">
        <v>43473</v>
      </c>
      <c r="Z1383" s="974">
        <f ca="1">H1333*Valuation_Senario!$L$372</f>
        <v>9483.8092659499998</v>
      </c>
      <c r="AA1383" s="973">
        <v>13.01</v>
      </c>
      <c r="AM1383" s="967">
        <v>43399</v>
      </c>
      <c r="AN1383" s="974">
        <v>108000</v>
      </c>
    </row>
    <row r="1384" spans="1:40">
      <c r="A1384" s="966">
        <v>1377</v>
      </c>
      <c r="B1384" s="967">
        <v>43398</v>
      </c>
      <c r="C1384" s="966">
        <v>113000</v>
      </c>
      <c r="D1384" s="966">
        <v>0</v>
      </c>
      <c r="E1384" s="966">
        <v>0.1128</v>
      </c>
      <c r="F1384" s="966">
        <v>41658.53</v>
      </c>
      <c r="G1384" s="966">
        <v>36480.126287999999</v>
      </c>
      <c r="H1384" s="966">
        <v>8488.14</v>
      </c>
      <c r="I1384" s="966">
        <v>13.31</v>
      </c>
      <c r="Q1384" s="967">
        <v>43398</v>
      </c>
      <c r="R1384" s="966">
        <v>113000</v>
      </c>
      <c r="T1384" s="969">
        <v>-0.1128</v>
      </c>
      <c r="U1384" s="966">
        <v>8488.14</v>
      </c>
      <c r="W1384" s="971" t="e">
        <f t="shared" si="24"/>
        <v>#DIV/0!</v>
      </c>
      <c r="Y1384" s="967">
        <v>43472</v>
      </c>
      <c r="Z1384" s="974">
        <f ca="1">H1334*Valuation_Senario!$L$372</f>
        <v>9484.5875481599996</v>
      </c>
      <c r="AA1384" s="973">
        <v>13.16</v>
      </c>
      <c r="AM1384" s="967">
        <v>43398</v>
      </c>
      <c r="AN1384" s="974">
        <v>113000</v>
      </c>
    </row>
    <row r="1385" spans="1:40">
      <c r="A1385" s="966">
        <v>1378</v>
      </c>
      <c r="B1385" s="967">
        <v>43397</v>
      </c>
      <c r="C1385" s="966">
        <v>116500</v>
      </c>
      <c r="D1385" s="966">
        <v>0</v>
      </c>
      <c r="E1385" s="966">
        <v>0</v>
      </c>
      <c r="F1385" s="966">
        <v>42788.44</v>
      </c>
      <c r="G1385" s="966">
        <v>37610.041704000003</v>
      </c>
      <c r="H1385" s="966">
        <v>8488.14</v>
      </c>
      <c r="I1385" s="966">
        <v>13.73</v>
      </c>
      <c r="Q1385" s="967">
        <v>43397</v>
      </c>
      <c r="R1385" s="966">
        <v>116500</v>
      </c>
      <c r="T1385" s="969">
        <v>0</v>
      </c>
      <c r="U1385" s="966">
        <v>8488.14</v>
      </c>
      <c r="W1385" s="971" t="e">
        <f t="shared" si="24"/>
        <v>#DIV/0!</v>
      </c>
      <c r="Y1385" s="967">
        <v>43469</v>
      </c>
      <c r="Z1385" s="974">
        <f ca="1">H1335*Valuation_Senario!$L$372</f>
        <v>9486.9517639299993</v>
      </c>
      <c r="AA1385" s="973">
        <v>12.94</v>
      </c>
      <c r="AM1385" s="967">
        <v>43397</v>
      </c>
      <c r="AN1385" s="974">
        <v>116500</v>
      </c>
    </row>
    <row r="1386" spans="1:40">
      <c r="A1386" s="966">
        <v>1379</v>
      </c>
      <c r="B1386" s="967">
        <v>43396</v>
      </c>
      <c r="C1386" s="966">
        <v>119500</v>
      </c>
      <c r="D1386" s="966">
        <v>0</v>
      </c>
      <c r="E1386" s="966">
        <v>0</v>
      </c>
      <c r="F1386" s="966">
        <v>43760.61</v>
      </c>
      <c r="G1386" s="966">
        <v>38582.214659500001</v>
      </c>
      <c r="H1386" s="966">
        <v>8487.31</v>
      </c>
      <c r="I1386" s="966">
        <v>14.08</v>
      </c>
      <c r="Q1386" s="967">
        <v>43396</v>
      </c>
      <c r="R1386" s="966">
        <v>119500</v>
      </c>
      <c r="T1386" s="969">
        <v>0</v>
      </c>
      <c r="U1386" s="966">
        <v>8487.31</v>
      </c>
      <c r="W1386" s="971" t="e">
        <f t="shared" si="24"/>
        <v>#DIV/0!</v>
      </c>
      <c r="Y1386" s="967">
        <v>43468</v>
      </c>
      <c r="Z1386" s="974">
        <f ca="1">H1336*Valuation_Senario!$L$372</f>
        <v>9487.7300461399991</v>
      </c>
      <c r="AA1386" s="973">
        <v>12.85</v>
      </c>
      <c r="AM1386" s="967">
        <v>43396</v>
      </c>
      <c r="AN1386" s="974">
        <v>119500</v>
      </c>
    </row>
    <row r="1387" spans="1:40">
      <c r="A1387" s="966">
        <v>1380</v>
      </c>
      <c r="B1387" s="967">
        <v>43395</v>
      </c>
      <c r="C1387" s="966">
        <v>124700</v>
      </c>
      <c r="D1387" s="966">
        <v>0</v>
      </c>
      <c r="E1387" s="966">
        <v>0</v>
      </c>
      <c r="F1387" s="966">
        <v>45439.5</v>
      </c>
      <c r="G1387" s="966">
        <v>40261.106008700001</v>
      </c>
      <c r="H1387" s="966">
        <v>8487.31</v>
      </c>
      <c r="I1387" s="966">
        <v>14.69</v>
      </c>
      <c r="Q1387" s="967">
        <v>43395</v>
      </c>
      <c r="R1387" s="966">
        <v>124700</v>
      </c>
      <c r="T1387" s="969">
        <v>0</v>
      </c>
      <c r="U1387" s="966">
        <v>8487.31</v>
      </c>
      <c r="W1387" s="971" t="e">
        <f t="shared" si="24"/>
        <v>#DIV/0!</v>
      </c>
      <c r="Y1387" s="967">
        <v>43467</v>
      </c>
      <c r="Z1387" s="974">
        <f ca="1">H1337*Valuation_Senario!$L$372</f>
        <v>9492.4437931099983</v>
      </c>
      <c r="AA1387" s="973">
        <v>13.23</v>
      </c>
      <c r="AM1387" s="967">
        <v>43395</v>
      </c>
      <c r="AN1387" s="974">
        <v>124700</v>
      </c>
    </row>
    <row r="1388" spans="1:40">
      <c r="A1388" s="966">
        <v>1381</v>
      </c>
      <c r="B1388" s="967">
        <v>43392</v>
      </c>
      <c r="C1388" s="966">
        <v>125100</v>
      </c>
      <c r="D1388" s="966">
        <v>0</v>
      </c>
      <c r="E1388" s="966">
        <v>0</v>
      </c>
      <c r="F1388" s="966">
        <v>45568.65</v>
      </c>
      <c r="G1388" s="966">
        <v>40390.251497099998</v>
      </c>
      <c r="H1388" s="966">
        <v>8487.31</v>
      </c>
      <c r="I1388" s="966">
        <v>14.74</v>
      </c>
      <c r="Q1388" s="967">
        <v>43392</v>
      </c>
      <c r="R1388" s="966">
        <v>125100</v>
      </c>
      <c r="T1388" s="969">
        <v>0</v>
      </c>
      <c r="U1388" s="966">
        <v>8487.31</v>
      </c>
      <c r="W1388" s="971" t="e">
        <f t="shared" si="24"/>
        <v>#DIV/0!</v>
      </c>
      <c r="Y1388" s="967">
        <v>43462</v>
      </c>
      <c r="Z1388" s="974">
        <f ca="1">H1338*Valuation_Senario!$L$372</f>
        <v>9492.4437931099983</v>
      </c>
      <c r="AA1388" s="973">
        <v>13.46</v>
      </c>
      <c r="AM1388" s="967">
        <v>43392</v>
      </c>
      <c r="AN1388" s="974">
        <v>125100</v>
      </c>
    </row>
    <row r="1389" spans="1:40">
      <c r="A1389" s="966">
        <v>1382</v>
      </c>
      <c r="B1389" s="967">
        <v>43391</v>
      </c>
      <c r="C1389" s="966">
        <v>126500</v>
      </c>
      <c r="D1389" s="966">
        <v>4.1070000000000002</v>
      </c>
      <c r="E1389" s="966">
        <v>4.1070000000000002</v>
      </c>
      <c r="F1389" s="966">
        <v>46020.66</v>
      </c>
      <c r="G1389" s="966">
        <v>40842.260706499997</v>
      </c>
      <c r="H1389" s="966">
        <v>8487.31</v>
      </c>
      <c r="I1389" s="966">
        <v>14.9</v>
      </c>
      <c r="Q1389" s="967">
        <v>43391</v>
      </c>
      <c r="R1389" s="966">
        <v>126500</v>
      </c>
      <c r="T1389" s="969">
        <v>0</v>
      </c>
      <c r="U1389" s="966">
        <v>8487.31</v>
      </c>
      <c r="W1389" s="971" t="e">
        <f t="shared" si="24"/>
        <v>#DIV/0!</v>
      </c>
      <c r="Y1389" s="967">
        <v>43461</v>
      </c>
      <c r="Z1389" s="974">
        <f ca="1">H1339*Valuation_Senario!$L$372</f>
        <v>9492.4437931099983</v>
      </c>
      <c r="AA1389" s="973">
        <v>13.37</v>
      </c>
      <c r="AM1389" s="967">
        <v>43391</v>
      </c>
      <c r="AN1389" s="974">
        <v>126500</v>
      </c>
    </row>
    <row r="1390" spans="1:40">
      <c r="A1390" s="966">
        <v>1383</v>
      </c>
      <c r="B1390" s="967">
        <v>43390</v>
      </c>
      <c r="C1390" s="966">
        <v>128000</v>
      </c>
      <c r="D1390" s="966">
        <v>4.0890000000000004</v>
      </c>
      <c r="E1390" s="966">
        <v>0</v>
      </c>
      <c r="F1390" s="966">
        <v>46504.959999999999</v>
      </c>
      <c r="G1390" s="966">
        <v>41326.556288</v>
      </c>
      <c r="H1390" s="966">
        <v>8487.31</v>
      </c>
      <c r="I1390" s="966">
        <v>15.08</v>
      </c>
      <c r="Q1390" s="967">
        <v>43390</v>
      </c>
      <c r="R1390" s="966">
        <v>128000</v>
      </c>
      <c r="T1390" s="969">
        <v>4.0890000000000004</v>
      </c>
      <c r="U1390" s="966">
        <v>8487.31</v>
      </c>
      <c r="W1390" s="971" t="e">
        <f t="shared" si="24"/>
        <v>#DIV/0!</v>
      </c>
      <c r="Y1390" s="967">
        <v>43460</v>
      </c>
      <c r="Z1390" s="974">
        <f ca="1">H1340*Valuation_Senario!$L$372</f>
        <v>9492.4437931099983</v>
      </c>
      <c r="AA1390" s="973">
        <v>13.21</v>
      </c>
      <c r="AM1390" s="967">
        <v>43390</v>
      </c>
      <c r="AN1390" s="974">
        <v>128000</v>
      </c>
    </row>
    <row r="1391" spans="1:40">
      <c r="A1391" s="966">
        <v>1384</v>
      </c>
      <c r="B1391" s="967">
        <v>43389</v>
      </c>
      <c r="C1391" s="966">
        <v>127400</v>
      </c>
      <c r="D1391" s="966">
        <v>0.95250000000000001</v>
      </c>
      <c r="E1391" s="966">
        <v>0</v>
      </c>
      <c r="F1391" s="966">
        <v>46311.24</v>
      </c>
      <c r="G1391" s="966">
        <v>41132.838055400003</v>
      </c>
      <c r="H1391" s="966">
        <v>8487.31</v>
      </c>
      <c r="I1391" s="966">
        <v>15.01</v>
      </c>
      <c r="Q1391" s="967">
        <v>43389</v>
      </c>
      <c r="R1391" s="966">
        <v>127400</v>
      </c>
      <c r="T1391" s="969">
        <v>0.95250000000000001</v>
      </c>
      <c r="U1391" s="966">
        <v>8487.31</v>
      </c>
      <c r="W1391" s="971" t="e">
        <f t="shared" si="24"/>
        <v>#DIV/0!</v>
      </c>
      <c r="Y1391" s="967">
        <v>43459</v>
      </c>
      <c r="Z1391" s="974">
        <f ca="1">H1341*Valuation_Senario!$L$372</f>
        <v>9492.4437931099983</v>
      </c>
      <c r="AA1391" s="973">
        <v>13.21</v>
      </c>
      <c r="AM1391" s="967">
        <v>43389</v>
      </c>
      <c r="AN1391" s="974">
        <v>127400</v>
      </c>
    </row>
    <row r="1392" spans="1:40">
      <c r="A1392" s="966">
        <v>1385</v>
      </c>
      <c r="B1392" s="967">
        <v>43388</v>
      </c>
      <c r="C1392" s="966">
        <v>125500</v>
      </c>
      <c r="D1392" s="966">
        <v>2.7280000000000002</v>
      </c>
      <c r="E1392" s="966">
        <v>2.7280000000000002</v>
      </c>
      <c r="F1392" s="966">
        <v>45697.8</v>
      </c>
      <c r="G1392" s="966">
        <v>40519.396985500003</v>
      </c>
      <c r="H1392" s="966">
        <v>8487.31</v>
      </c>
      <c r="I1392" s="966">
        <v>14.79</v>
      </c>
      <c r="Q1392" s="967">
        <v>43388</v>
      </c>
      <c r="R1392" s="966">
        <v>125500</v>
      </c>
      <c r="T1392" s="969">
        <v>0</v>
      </c>
      <c r="U1392" s="966">
        <v>8487.31</v>
      </c>
      <c r="W1392" s="971" t="e">
        <f t="shared" si="24"/>
        <v>#DIV/0!</v>
      </c>
      <c r="Y1392" s="967">
        <v>43458</v>
      </c>
      <c r="Z1392" s="974">
        <f ca="1">H1342*Valuation_Senario!$L$372</f>
        <v>9492.4437931099983</v>
      </c>
      <c r="AA1392" s="973">
        <v>13.38</v>
      </c>
      <c r="AM1392" s="967">
        <v>43388</v>
      </c>
      <c r="AN1392" s="974">
        <v>125500</v>
      </c>
    </row>
    <row r="1393" spans="1:40">
      <c r="A1393" s="966">
        <v>1386</v>
      </c>
      <c r="B1393" s="967">
        <v>43385</v>
      </c>
      <c r="C1393" s="966">
        <v>127500</v>
      </c>
      <c r="D1393" s="966">
        <v>0</v>
      </c>
      <c r="E1393" s="966">
        <v>3.996</v>
      </c>
      <c r="F1393" s="966">
        <v>46343.519999999997</v>
      </c>
      <c r="G1393" s="966">
        <v>41165.124427499999</v>
      </c>
      <c r="H1393" s="966">
        <v>8487.31</v>
      </c>
      <c r="I1393" s="966">
        <v>15.02</v>
      </c>
      <c r="Q1393" s="967">
        <v>43385</v>
      </c>
      <c r="R1393" s="966">
        <v>127500</v>
      </c>
      <c r="T1393" s="969">
        <v>-3.996</v>
      </c>
      <c r="U1393" s="966">
        <v>8487.31</v>
      </c>
      <c r="W1393" s="971" t="e">
        <f t="shared" si="24"/>
        <v>#DIV/0!</v>
      </c>
      <c r="Y1393" s="967">
        <v>43455</v>
      </c>
      <c r="Z1393" s="974">
        <f ca="1">H1343*Valuation_Senario!$L$372</f>
        <v>9492.4437931099983</v>
      </c>
      <c r="AA1393" s="973">
        <v>13.46</v>
      </c>
      <c r="AM1393" s="967">
        <v>43385</v>
      </c>
      <c r="AN1393" s="974">
        <v>127500</v>
      </c>
    </row>
    <row r="1394" spans="1:40">
      <c r="A1394" s="966">
        <v>1387</v>
      </c>
      <c r="B1394" s="967">
        <v>43384</v>
      </c>
      <c r="C1394" s="966">
        <v>124500</v>
      </c>
      <c r="D1394" s="966">
        <v>0</v>
      </c>
      <c r="E1394" s="966">
        <v>0.96466700000000005</v>
      </c>
      <c r="F1394" s="966">
        <v>45374.93</v>
      </c>
      <c r="G1394" s="966">
        <v>40196.533264500002</v>
      </c>
      <c r="H1394" s="966">
        <v>8487.31</v>
      </c>
      <c r="I1394" s="966">
        <v>14.67</v>
      </c>
      <c r="Q1394" s="967">
        <v>43384</v>
      </c>
      <c r="R1394" s="966">
        <v>124500</v>
      </c>
      <c r="T1394" s="969">
        <v>-0.96466700000000005</v>
      </c>
      <c r="U1394" s="966">
        <v>8487.31</v>
      </c>
      <c r="W1394" s="971" t="e">
        <f t="shared" si="24"/>
        <v>#DIV/0!</v>
      </c>
      <c r="Y1394" s="967">
        <v>43454</v>
      </c>
      <c r="Z1394" s="974">
        <f ca="1">H1344*Valuation_Senario!$L$372</f>
        <v>9492.4437931099983</v>
      </c>
      <c r="AA1394" s="973">
        <v>13.23</v>
      </c>
      <c r="AM1394" s="967">
        <v>43384</v>
      </c>
      <c r="AN1394" s="974">
        <v>124500</v>
      </c>
    </row>
    <row r="1395" spans="1:40">
      <c r="A1395" s="966">
        <v>1388</v>
      </c>
      <c r="B1395" s="967">
        <v>43383</v>
      </c>
      <c r="C1395" s="966">
        <v>131000</v>
      </c>
      <c r="D1395" s="966">
        <v>0</v>
      </c>
      <c r="E1395" s="966">
        <v>0</v>
      </c>
      <c r="F1395" s="966">
        <v>47473.55</v>
      </c>
      <c r="G1395" s="966">
        <v>42295.147450999997</v>
      </c>
      <c r="H1395" s="966">
        <v>8487.31</v>
      </c>
      <c r="I1395" s="966">
        <v>15.43</v>
      </c>
      <c r="Q1395" s="967">
        <v>43383</v>
      </c>
      <c r="R1395" s="966">
        <v>131000</v>
      </c>
      <c r="T1395" s="969">
        <v>0</v>
      </c>
      <c r="U1395" s="966">
        <v>8487.31</v>
      </c>
      <c r="W1395" s="971" t="e">
        <f t="shared" si="24"/>
        <v>#DIV/0!</v>
      </c>
      <c r="Y1395" s="967">
        <v>43453</v>
      </c>
      <c r="Z1395" s="974">
        <f ca="1">H1345*Valuation_Senario!$L$372</f>
        <v>9492.4437931099983</v>
      </c>
      <c r="AA1395" s="973">
        <v>13.27</v>
      </c>
      <c r="AM1395" s="967">
        <v>43383</v>
      </c>
      <c r="AN1395" s="974">
        <v>131000</v>
      </c>
    </row>
    <row r="1396" spans="1:40">
      <c r="A1396" s="966">
        <v>1389</v>
      </c>
      <c r="B1396" s="967">
        <v>43382</v>
      </c>
      <c r="C1396" s="966">
        <v>129500</v>
      </c>
      <c r="D1396" s="966">
        <v>0</v>
      </c>
      <c r="E1396" s="966">
        <v>0</v>
      </c>
      <c r="F1396" s="966">
        <v>46989.25</v>
      </c>
      <c r="G1396" s="966">
        <v>41810.851869500002</v>
      </c>
      <c r="H1396" s="966">
        <v>8487.31</v>
      </c>
      <c r="I1396" s="966">
        <v>15.26</v>
      </c>
      <c r="Q1396" s="967">
        <v>43382</v>
      </c>
      <c r="R1396" s="966">
        <v>129500</v>
      </c>
      <c r="T1396" s="969">
        <v>0</v>
      </c>
      <c r="U1396" s="966">
        <v>8487.31</v>
      </c>
      <c r="W1396" s="971" t="e">
        <f t="shared" si="24"/>
        <v>#DIV/0!</v>
      </c>
      <c r="Y1396" s="967">
        <v>43452</v>
      </c>
      <c r="Z1396" s="974">
        <f ca="1">H1346*Valuation_Senario!$L$372</f>
        <v>9492.4437931099983</v>
      </c>
      <c r="AA1396" s="973">
        <v>13.2</v>
      </c>
      <c r="AM1396" s="967">
        <v>43382</v>
      </c>
      <c r="AN1396" s="974">
        <v>129500</v>
      </c>
    </row>
    <row r="1397" spans="1:40">
      <c r="A1397" s="966">
        <v>1390</v>
      </c>
      <c r="B1397" s="967">
        <v>43381</v>
      </c>
      <c r="C1397" s="966">
        <v>128000</v>
      </c>
      <c r="D1397" s="966">
        <v>0</v>
      </c>
      <c r="E1397" s="966">
        <v>0</v>
      </c>
      <c r="F1397" s="966">
        <v>46504.959999999999</v>
      </c>
      <c r="G1397" s="966">
        <v>41326.556288</v>
      </c>
      <c r="H1397" s="966">
        <v>8487.31</v>
      </c>
      <c r="I1397" s="966">
        <v>15.08</v>
      </c>
      <c r="Q1397" s="967">
        <v>43381</v>
      </c>
      <c r="R1397" s="966">
        <v>128000</v>
      </c>
      <c r="T1397" s="969">
        <v>0</v>
      </c>
      <c r="U1397" s="966">
        <v>8487.31</v>
      </c>
      <c r="W1397" s="971" t="e">
        <f t="shared" si="24"/>
        <v>#DIV/0!</v>
      </c>
      <c r="Y1397" s="967">
        <v>43451</v>
      </c>
      <c r="Z1397" s="974">
        <f ca="1">H1347*Valuation_Senario!$L$372</f>
        <v>9492.4437931099983</v>
      </c>
      <c r="AA1397" s="973">
        <v>13.15</v>
      </c>
      <c r="AM1397" s="967">
        <v>43381</v>
      </c>
      <c r="AN1397" s="974">
        <v>128000</v>
      </c>
    </row>
    <row r="1398" spans="1:40">
      <c r="A1398" s="966">
        <v>1391</v>
      </c>
      <c r="B1398" s="967">
        <v>43378</v>
      </c>
      <c r="C1398" s="966">
        <v>126500</v>
      </c>
      <c r="D1398" s="966">
        <v>0.64500000000000002</v>
      </c>
      <c r="E1398" s="966">
        <v>0</v>
      </c>
      <c r="F1398" s="966">
        <v>46020.66</v>
      </c>
      <c r="G1398" s="966">
        <v>40842.260706499997</v>
      </c>
      <c r="H1398" s="966">
        <v>8487.31</v>
      </c>
      <c r="I1398" s="966">
        <v>14.9</v>
      </c>
      <c r="Q1398" s="967">
        <v>43378</v>
      </c>
      <c r="R1398" s="966">
        <v>126500</v>
      </c>
      <c r="T1398" s="969">
        <v>0.64500000000000002</v>
      </c>
      <c r="U1398" s="966">
        <v>8487.31</v>
      </c>
      <c r="W1398" s="971" t="e">
        <f t="shared" si="24"/>
        <v>#DIV/0!</v>
      </c>
      <c r="Y1398" s="967">
        <v>43448</v>
      </c>
      <c r="Z1398" s="974">
        <f ca="1">H1348*Valuation_Senario!$L$372</f>
        <v>9492.4437931099983</v>
      </c>
      <c r="AA1398" s="973">
        <v>13.6</v>
      </c>
      <c r="AM1398" s="967">
        <v>43378</v>
      </c>
      <c r="AN1398" s="974">
        <v>126500</v>
      </c>
    </row>
    <row r="1399" spans="1:40">
      <c r="A1399" s="966">
        <v>1392</v>
      </c>
      <c r="B1399" s="967">
        <v>43377</v>
      </c>
      <c r="C1399" s="966">
        <v>128900</v>
      </c>
      <c r="D1399" s="966">
        <v>0</v>
      </c>
      <c r="E1399" s="966">
        <v>0</v>
      </c>
      <c r="F1399" s="966">
        <v>46795.53</v>
      </c>
      <c r="G1399" s="966">
        <v>41617.133636899998</v>
      </c>
      <c r="H1399" s="966">
        <v>8487.31</v>
      </c>
      <c r="I1399" s="966">
        <v>15.19</v>
      </c>
      <c r="Q1399" s="967">
        <v>43377</v>
      </c>
      <c r="R1399" s="966">
        <v>128900</v>
      </c>
      <c r="T1399" s="969">
        <v>0</v>
      </c>
      <c r="U1399" s="966">
        <v>8487.31</v>
      </c>
      <c r="W1399" s="971" t="e">
        <f t="shared" si="24"/>
        <v>#DIV/0!</v>
      </c>
      <c r="Y1399" s="967">
        <v>43447</v>
      </c>
      <c r="Z1399" s="974">
        <f ca="1">H1349*Valuation_Senario!$L$372</f>
        <v>9492.4437931099983</v>
      </c>
      <c r="AA1399" s="973">
        <v>13.77</v>
      </c>
      <c r="AM1399" s="967">
        <v>43377</v>
      </c>
      <c r="AN1399" s="974">
        <v>128900</v>
      </c>
    </row>
    <row r="1400" spans="1:40">
      <c r="A1400" s="966">
        <v>1393</v>
      </c>
      <c r="B1400" s="967">
        <v>43376</v>
      </c>
      <c r="C1400" s="966">
        <v>128100</v>
      </c>
      <c r="D1400" s="966">
        <v>0</v>
      </c>
      <c r="E1400" s="966">
        <v>0</v>
      </c>
      <c r="F1400" s="966">
        <v>46537.24</v>
      </c>
      <c r="G1400" s="966">
        <v>41358.842660100003</v>
      </c>
      <c r="H1400" s="966">
        <v>8487.31</v>
      </c>
      <c r="I1400" s="966">
        <v>15.09</v>
      </c>
      <c r="Q1400" s="967">
        <v>43376</v>
      </c>
      <c r="R1400" s="966">
        <v>128100</v>
      </c>
      <c r="T1400" s="969">
        <v>0</v>
      </c>
      <c r="U1400" s="966">
        <v>8487.31</v>
      </c>
      <c r="W1400" s="971" t="e">
        <f t="shared" si="24"/>
        <v>#DIV/0!</v>
      </c>
      <c r="Y1400" s="967">
        <v>43446</v>
      </c>
      <c r="Z1400" s="974">
        <f ca="1">H1350*Valuation_Senario!$L$372</f>
        <v>9492.4437931099983</v>
      </c>
      <c r="AA1400" s="973">
        <v>13.85</v>
      </c>
      <c r="AM1400" s="967">
        <v>43376</v>
      </c>
      <c r="AN1400" s="974">
        <v>128100</v>
      </c>
    </row>
    <row r="1401" spans="1:40">
      <c r="A1401" s="966">
        <v>1394</v>
      </c>
      <c r="B1401" s="967">
        <v>43375</v>
      </c>
      <c r="C1401" s="966">
        <v>127000</v>
      </c>
      <c r="D1401" s="966">
        <v>0</v>
      </c>
      <c r="E1401" s="966">
        <v>0.63835799999999998</v>
      </c>
      <c r="F1401" s="966">
        <v>46182.09</v>
      </c>
      <c r="G1401" s="966">
        <v>41003.692566999998</v>
      </c>
      <c r="H1401" s="966">
        <v>8487.31</v>
      </c>
      <c r="I1401" s="966">
        <v>14.96</v>
      </c>
      <c r="Q1401" s="967">
        <v>43375</v>
      </c>
      <c r="R1401" s="966">
        <v>127000</v>
      </c>
      <c r="T1401" s="969">
        <v>-0.63835799999999998</v>
      </c>
      <c r="U1401" s="966">
        <v>8487.31</v>
      </c>
      <c r="W1401" s="971" t="e">
        <f t="shared" si="24"/>
        <v>#DIV/0!</v>
      </c>
      <c r="Y1401" s="967">
        <v>43445</v>
      </c>
      <c r="Z1401" s="974">
        <f ca="1">H1351*Valuation_Senario!$L$372</f>
        <v>9492.4437931099983</v>
      </c>
      <c r="AA1401" s="973">
        <v>13.58</v>
      </c>
      <c r="AM1401" s="967">
        <v>43375</v>
      </c>
      <c r="AN1401" s="974">
        <v>127000</v>
      </c>
    </row>
    <row r="1402" spans="1:40">
      <c r="A1402" s="966">
        <v>1395</v>
      </c>
      <c r="B1402" s="967">
        <v>43374</v>
      </c>
      <c r="C1402" s="966">
        <v>127000</v>
      </c>
      <c r="D1402" s="966">
        <v>0</v>
      </c>
      <c r="E1402" s="966">
        <v>0</v>
      </c>
      <c r="F1402" s="966">
        <v>46182.09</v>
      </c>
      <c r="G1402" s="966">
        <v>41003.692566999998</v>
      </c>
      <c r="H1402" s="966">
        <v>8487.31</v>
      </c>
      <c r="I1402" s="966">
        <v>14.96</v>
      </c>
      <c r="Q1402" s="967">
        <v>43374</v>
      </c>
      <c r="R1402" s="966">
        <v>127000</v>
      </c>
      <c r="T1402" s="969">
        <v>0</v>
      </c>
      <c r="U1402" s="966">
        <v>8487.31</v>
      </c>
      <c r="W1402" s="971" t="e">
        <f t="shared" si="24"/>
        <v>#DIV/0!</v>
      </c>
      <c r="Y1402" s="967">
        <v>43444</v>
      </c>
      <c r="Z1402" s="974">
        <f ca="1">H1352*Valuation_Senario!$L$372</f>
        <v>9492.4437931099983</v>
      </c>
      <c r="AA1402" s="973">
        <v>13.61</v>
      </c>
      <c r="AM1402" s="967">
        <v>43374</v>
      </c>
      <c r="AN1402" s="974">
        <v>127000</v>
      </c>
    </row>
    <row r="1403" spans="1:40">
      <c r="A1403" s="966">
        <v>1396</v>
      </c>
      <c r="B1403" s="967">
        <v>43371</v>
      </c>
      <c r="C1403" s="966">
        <v>127200</v>
      </c>
      <c r="D1403" s="966">
        <v>0</v>
      </c>
      <c r="E1403" s="966">
        <v>0</v>
      </c>
      <c r="F1403" s="966">
        <v>46246.66</v>
      </c>
      <c r="G1403" s="966">
        <v>41068.265311199997</v>
      </c>
      <c r="H1403" s="966">
        <v>8487.31</v>
      </c>
      <c r="I1403" s="966">
        <v>14.99</v>
      </c>
      <c r="Q1403" s="967">
        <v>43371</v>
      </c>
      <c r="R1403" s="966">
        <v>127200</v>
      </c>
      <c r="T1403" s="969">
        <v>0</v>
      </c>
      <c r="U1403" s="966">
        <v>8487.31</v>
      </c>
      <c r="W1403" s="971" t="e">
        <f t="shared" si="24"/>
        <v>#DIV/0!</v>
      </c>
      <c r="Y1403" s="967">
        <v>43441</v>
      </c>
      <c r="Z1403" s="974">
        <f ca="1">H1353*Valuation_Senario!$L$372</f>
        <v>9492.4437931099983</v>
      </c>
      <c r="AA1403" s="973">
        <v>13.71</v>
      </c>
      <c r="AM1403" s="967">
        <v>43371</v>
      </c>
      <c r="AN1403" s="974">
        <v>127200</v>
      </c>
    </row>
    <row r="1404" spans="1:40">
      <c r="A1404" s="966">
        <v>1397</v>
      </c>
      <c r="B1404" s="967">
        <v>43370</v>
      </c>
      <c r="C1404" s="966">
        <v>128000</v>
      </c>
      <c r="D1404" s="966">
        <v>5.6154000000000002</v>
      </c>
      <c r="E1404" s="966">
        <v>5.6154000000000002</v>
      </c>
      <c r="F1404" s="966">
        <v>46504.959999999999</v>
      </c>
      <c r="G1404" s="966">
        <v>41326.556288</v>
      </c>
      <c r="H1404" s="966">
        <v>8487.31</v>
      </c>
      <c r="I1404" s="966">
        <v>15.08</v>
      </c>
      <c r="Q1404" s="967">
        <v>43370</v>
      </c>
      <c r="R1404" s="966">
        <v>128000</v>
      </c>
      <c r="T1404" s="969">
        <v>0</v>
      </c>
      <c r="U1404" s="966">
        <v>8487.31</v>
      </c>
      <c r="W1404" s="971" t="e">
        <f t="shared" si="24"/>
        <v>#DIV/0!</v>
      </c>
      <c r="Y1404" s="967">
        <v>43440</v>
      </c>
      <c r="Z1404" s="974">
        <f ca="1">H1354*Valuation_Senario!$L$372</f>
        <v>9492.4437931099983</v>
      </c>
      <c r="AA1404" s="973">
        <v>13.6</v>
      </c>
      <c r="AM1404" s="967">
        <v>43370</v>
      </c>
      <c r="AN1404" s="974">
        <v>128000</v>
      </c>
    </row>
    <row r="1405" spans="1:40">
      <c r="A1405" s="966">
        <v>1398</v>
      </c>
      <c r="B1405" s="967">
        <v>43369</v>
      </c>
      <c r="C1405" s="966">
        <v>125000</v>
      </c>
      <c r="D1405" s="966">
        <v>0</v>
      </c>
      <c r="E1405" s="966">
        <v>0</v>
      </c>
      <c r="F1405" s="966">
        <v>45536.36</v>
      </c>
      <c r="G1405" s="966">
        <v>40357.965125000002</v>
      </c>
      <c r="H1405" s="966">
        <v>8487.31</v>
      </c>
      <c r="I1405" s="966">
        <v>14.73</v>
      </c>
      <c r="Q1405" s="967">
        <v>43369</v>
      </c>
      <c r="R1405" s="966">
        <v>125000</v>
      </c>
      <c r="T1405" s="969">
        <v>0</v>
      </c>
      <c r="U1405" s="966">
        <v>8487.31</v>
      </c>
      <c r="W1405" s="971" t="e">
        <f t="shared" si="24"/>
        <v>#DIV/0!</v>
      </c>
      <c r="Y1405" s="967">
        <v>43439</v>
      </c>
      <c r="Z1405" s="974">
        <f ca="1">H1355*Valuation_Senario!$L$372</f>
        <v>9492.4437931099983</v>
      </c>
      <c r="AA1405" s="973">
        <v>13.74</v>
      </c>
      <c r="AM1405" s="967">
        <v>43369</v>
      </c>
      <c r="AN1405" s="974">
        <v>125000</v>
      </c>
    </row>
    <row r="1406" spans="1:40">
      <c r="A1406" s="966">
        <v>1399</v>
      </c>
      <c r="B1406" s="967">
        <v>43368</v>
      </c>
      <c r="C1406" s="966">
        <v>126300</v>
      </c>
      <c r="D1406" s="966">
        <v>0</v>
      </c>
      <c r="E1406" s="966">
        <v>0</v>
      </c>
      <c r="F1406" s="966">
        <v>45956.09</v>
      </c>
      <c r="G1406" s="966">
        <v>40777.687962299999</v>
      </c>
      <c r="H1406" s="966">
        <v>8487.31</v>
      </c>
      <c r="I1406" s="966">
        <v>14.88</v>
      </c>
      <c r="Q1406" s="967">
        <v>43368</v>
      </c>
      <c r="R1406" s="966">
        <v>126300</v>
      </c>
      <c r="T1406" s="969">
        <v>0</v>
      </c>
      <c r="U1406" s="966">
        <v>8487.31</v>
      </c>
      <c r="W1406" s="971" t="e">
        <f t="shared" si="24"/>
        <v>#DIV/0!</v>
      </c>
      <c r="Y1406" s="967">
        <v>43438</v>
      </c>
      <c r="Z1406" s="974">
        <f ca="1">H1356*Valuation_Senario!$L$372</f>
        <v>9492.4437931099983</v>
      </c>
      <c r="AA1406" s="973">
        <v>13.61</v>
      </c>
      <c r="AM1406" s="967">
        <v>43368</v>
      </c>
      <c r="AN1406" s="974">
        <v>126300</v>
      </c>
    </row>
    <row r="1407" spans="1:40">
      <c r="A1407" s="966">
        <v>1400</v>
      </c>
      <c r="B1407" s="967">
        <v>43367</v>
      </c>
      <c r="C1407" s="966">
        <v>126700</v>
      </c>
      <c r="D1407" s="966">
        <v>0</v>
      </c>
      <c r="E1407" s="966">
        <v>0</v>
      </c>
      <c r="F1407" s="966">
        <v>46085.23</v>
      </c>
      <c r="G1407" s="966">
        <v>40906.833450700004</v>
      </c>
      <c r="H1407" s="966">
        <v>8487.31</v>
      </c>
      <c r="I1407" s="966">
        <v>14.93</v>
      </c>
      <c r="Q1407" s="967">
        <v>43367</v>
      </c>
      <c r="R1407" s="966">
        <v>126700</v>
      </c>
      <c r="T1407" s="969">
        <v>0</v>
      </c>
      <c r="U1407" s="966">
        <v>8487.31</v>
      </c>
      <c r="W1407" s="971" t="e">
        <f t="shared" si="24"/>
        <v>#DIV/0!</v>
      </c>
      <c r="Y1407" s="967">
        <v>43437</v>
      </c>
      <c r="Z1407" s="974">
        <f ca="1">H1357*Valuation_Senario!$L$372</f>
        <v>9492.4437931099983</v>
      </c>
      <c r="AA1407" s="973">
        <v>13.61</v>
      </c>
      <c r="AM1407" s="967">
        <v>43367</v>
      </c>
      <c r="AN1407" s="974">
        <v>126700</v>
      </c>
    </row>
    <row r="1408" spans="1:40">
      <c r="A1408" s="966">
        <v>1401</v>
      </c>
      <c r="B1408" s="967">
        <v>43364</v>
      </c>
      <c r="C1408" s="966">
        <v>126000</v>
      </c>
      <c r="D1408" s="966">
        <v>0</v>
      </c>
      <c r="E1408" s="966">
        <v>0</v>
      </c>
      <c r="F1408" s="966">
        <v>45859.23</v>
      </c>
      <c r="G1408" s="966">
        <v>40680.828845999997</v>
      </c>
      <c r="H1408" s="966">
        <v>8487.31</v>
      </c>
      <c r="I1408" s="966">
        <v>14.85</v>
      </c>
      <c r="Q1408" s="967">
        <v>43364</v>
      </c>
      <c r="R1408" s="966">
        <v>126000</v>
      </c>
      <c r="T1408" s="969">
        <v>0</v>
      </c>
      <c r="U1408" s="966">
        <v>8487.31</v>
      </c>
      <c r="W1408" s="971" t="e">
        <f t="shared" si="24"/>
        <v>#DIV/0!</v>
      </c>
      <c r="Y1408" s="967">
        <v>43434</v>
      </c>
      <c r="Z1408" s="974">
        <f ca="1">H1358*Valuation_Senario!$L$372</f>
        <v>9492.4437931099983</v>
      </c>
      <c r="AA1408" s="973">
        <v>13.07</v>
      </c>
      <c r="AM1408" s="967">
        <v>43364</v>
      </c>
      <c r="AN1408" s="974">
        <v>126000</v>
      </c>
    </row>
    <row r="1409" spans="1:40">
      <c r="A1409" s="966">
        <v>1402</v>
      </c>
      <c r="B1409" s="967">
        <v>43363</v>
      </c>
      <c r="C1409" s="966">
        <v>121500</v>
      </c>
      <c r="D1409" s="966">
        <v>0</v>
      </c>
      <c r="E1409" s="966">
        <v>0</v>
      </c>
      <c r="F1409" s="966">
        <v>44406.34</v>
      </c>
      <c r="G1409" s="966">
        <v>39227.942101499997</v>
      </c>
      <c r="H1409" s="966">
        <v>8487.31</v>
      </c>
      <c r="I1409" s="966">
        <v>14.32</v>
      </c>
      <c r="Q1409" s="967">
        <v>43363</v>
      </c>
      <c r="R1409" s="966">
        <v>121500</v>
      </c>
      <c r="T1409" s="969">
        <v>0</v>
      </c>
      <c r="U1409" s="966">
        <v>8487.31</v>
      </c>
      <c r="W1409" s="971" t="e">
        <f t="shared" si="24"/>
        <v>#DIV/0!</v>
      </c>
      <c r="Y1409" s="967">
        <v>43433</v>
      </c>
      <c r="Z1409" s="974">
        <f ca="1">H1359*Valuation_Senario!$L$372</f>
        <v>9492.4437931099983</v>
      </c>
      <c r="AA1409" s="973">
        <v>13.15</v>
      </c>
      <c r="AM1409" s="967">
        <v>43363</v>
      </c>
      <c r="AN1409" s="974">
        <v>121500</v>
      </c>
    </row>
    <row r="1410" spans="1:40">
      <c r="A1410" s="966">
        <v>1403</v>
      </c>
      <c r="B1410" s="967">
        <v>43362</v>
      </c>
      <c r="C1410" s="966">
        <v>121900</v>
      </c>
      <c r="D1410" s="966">
        <v>0</v>
      </c>
      <c r="E1410" s="966">
        <v>0</v>
      </c>
      <c r="F1410" s="966">
        <v>44535.49</v>
      </c>
      <c r="G1410" s="966">
        <v>39357.087589900002</v>
      </c>
      <c r="H1410" s="966">
        <v>8487.31</v>
      </c>
      <c r="I1410" s="966">
        <v>14.36</v>
      </c>
      <c r="Q1410" s="967">
        <v>43362</v>
      </c>
      <c r="R1410" s="966">
        <v>121900</v>
      </c>
      <c r="T1410" s="969">
        <v>0</v>
      </c>
      <c r="U1410" s="966">
        <v>8487.31</v>
      </c>
      <c r="W1410" s="971" t="e">
        <f t="shared" si="24"/>
        <v>#DIV/0!</v>
      </c>
      <c r="Y1410" s="967">
        <v>43432</v>
      </c>
      <c r="Z1410" s="974">
        <f ca="1">H1360*Valuation_Senario!$L$372</f>
        <v>9492.4437931099983</v>
      </c>
      <c r="AA1410" s="973">
        <v>13.09</v>
      </c>
      <c r="AM1410" s="967">
        <v>43362</v>
      </c>
      <c r="AN1410" s="974">
        <v>121900</v>
      </c>
    </row>
    <row r="1411" spans="1:40">
      <c r="A1411" s="966">
        <v>1404</v>
      </c>
      <c r="B1411" s="967">
        <v>43361</v>
      </c>
      <c r="C1411" s="966">
        <v>122000</v>
      </c>
      <c r="D1411" s="966">
        <v>0</v>
      </c>
      <c r="E1411" s="966">
        <v>0</v>
      </c>
      <c r="F1411" s="966">
        <v>44567.77</v>
      </c>
      <c r="G1411" s="966">
        <v>39389.373961999998</v>
      </c>
      <c r="H1411" s="966">
        <v>8487.31</v>
      </c>
      <c r="I1411" s="966">
        <v>14.37</v>
      </c>
      <c r="Q1411" s="967">
        <v>43361</v>
      </c>
      <c r="R1411" s="966">
        <v>122000</v>
      </c>
      <c r="T1411" s="969">
        <v>0</v>
      </c>
      <c r="U1411" s="966">
        <v>8487.31</v>
      </c>
      <c r="W1411" s="971" t="e">
        <f t="shared" si="24"/>
        <v>#DIV/0!</v>
      </c>
      <c r="Y1411" s="967">
        <v>43431</v>
      </c>
      <c r="Z1411" s="974">
        <f ca="1">H1361*Valuation_Senario!$L$372</f>
        <v>9492.1354171399998</v>
      </c>
      <c r="AA1411" s="973">
        <v>13.06</v>
      </c>
      <c r="AM1411" s="967">
        <v>43361</v>
      </c>
      <c r="AN1411" s="974">
        <v>122000</v>
      </c>
    </row>
    <row r="1412" spans="1:40">
      <c r="A1412" s="966">
        <v>1405</v>
      </c>
      <c r="B1412" s="967">
        <v>43360</v>
      </c>
      <c r="C1412" s="966">
        <v>120500</v>
      </c>
      <c r="D1412" s="966">
        <v>0</v>
      </c>
      <c r="E1412" s="966">
        <v>0</v>
      </c>
      <c r="F1412" s="966">
        <v>44083.48</v>
      </c>
      <c r="G1412" s="966">
        <v>38905.078380500003</v>
      </c>
      <c r="H1412" s="966">
        <v>8487.31</v>
      </c>
      <c r="I1412" s="966">
        <v>14.2</v>
      </c>
      <c r="Q1412" s="967">
        <v>43360</v>
      </c>
      <c r="R1412" s="966">
        <v>120500</v>
      </c>
      <c r="T1412" s="969">
        <v>0</v>
      </c>
      <c r="U1412" s="966">
        <v>8487.31</v>
      </c>
      <c r="W1412" s="971" t="e">
        <f t="shared" si="24"/>
        <v>#DIV/0!</v>
      </c>
      <c r="Y1412" s="967">
        <v>43430</v>
      </c>
      <c r="Z1412" s="974">
        <f ca="1">H1362*Valuation_Senario!$L$372</f>
        <v>9492.1354171399998</v>
      </c>
      <c r="AA1412" s="973">
        <v>13.15</v>
      </c>
      <c r="AM1412" s="967">
        <v>43360</v>
      </c>
      <c r="AN1412" s="974">
        <v>120500</v>
      </c>
    </row>
    <row r="1413" spans="1:40">
      <c r="A1413" s="966">
        <v>1406</v>
      </c>
      <c r="B1413" s="967">
        <v>43357</v>
      </c>
      <c r="C1413" s="966">
        <v>122000</v>
      </c>
      <c r="D1413" s="966">
        <v>0</v>
      </c>
      <c r="E1413" s="966">
        <v>0</v>
      </c>
      <c r="F1413" s="966">
        <v>44567.77</v>
      </c>
      <c r="G1413" s="966">
        <v>39389.373961999998</v>
      </c>
      <c r="H1413" s="966">
        <v>8487.31</v>
      </c>
      <c r="I1413" s="966">
        <v>14.37</v>
      </c>
      <c r="Q1413" s="967">
        <v>43357</v>
      </c>
      <c r="R1413" s="966">
        <v>122000</v>
      </c>
      <c r="T1413" s="969">
        <v>0</v>
      </c>
      <c r="U1413" s="966">
        <v>8487.31</v>
      </c>
      <c r="W1413" s="971" t="e">
        <f t="shared" si="24"/>
        <v>#DIV/0!</v>
      </c>
      <c r="Y1413" s="967">
        <v>43427</v>
      </c>
      <c r="Z1413" s="974">
        <f ca="1">H1363*Valuation_Senario!$L$372</f>
        <v>9492.1354171399998</v>
      </c>
      <c r="AA1413" s="973">
        <v>13</v>
      </c>
      <c r="AM1413" s="967">
        <v>43357</v>
      </c>
      <c r="AN1413" s="974">
        <v>122000</v>
      </c>
    </row>
    <row r="1414" spans="1:40">
      <c r="A1414" s="966">
        <v>1407</v>
      </c>
      <c r="B1414" s="967">
        <v>43356</v>
      </c>
      <c r="C1414" s="966">
        <v>121500</v>
      </c>
      <c r="D1414" s="966">
        <v>0</v>
      </c>
      <c r="E1414" s="966">
        <v>0</v>
      </c>
      <c r="F1414" s="966">
        <v>44406.34</v>
      </c>
      <c r="G1414" s="966">
        <v>39227.942101499997</v>
      </c>
      <c r="H1414" s="966">
        <v>8487.31</v>
      </c>
      <c r="I1414" s="966">
        <v>14.32</v>
      </c>
      <c r="Q1414" s="967">
        <v>43356</v>
      </c>
      <c r="R1414" s="966">
        <v>121500</v>
      </c>
      <c r="T1414" s="969">
        <v>0</v>
      </c>
      <c r="U1414" s="966">
        <v>8487.31</v>
      </c>
      <c r="W1414" s="971" t="e">
        <f t="shared" si="24"/>
        <v>#DIV/0!</v>
      </c>
      <c r="Y1414" s="967">
        <v>43426</v>
      </c>
      <c r="Z1414" s="974">
        <f ca="1">H1364*Valuation_Senario!$L$372</f>
        <v>9492.1354171399998</v>
      </c>
      <c r="AA1414" s="973">
        <v>13.27</v>
      </c>
      <c r="AM1414" s="967">
        <v>43356</v>
      </c>
      <c r="AN1414" s="974">
        <v>121500</v>
      </c>
    </row>
    <row r="1415" spans="1:40">
      <c r="A1415" s="966">
        <v>1408</v>
      </c>
      <c r="B1415" s="967">
        <v>43355</v>
      </c>
      <c r="C1415" s="966">
        <v>120900</v>
      </c>
      <c r="D1415" s="966">
        <v>0</v>
      </c>
      <c r="E1415" s="966">
        <v>0</v>
      </c>
      <c r="F1415" s="966">
        <v>44212.62</v>
      </c>
      <c r="G1415" s="966">
        <v>39034.223868900001</v>
      </c>
      <c r="H1415" s="966">
        <v>8487.31</v>
      </c>
      <c r="I1415" s="966">
        <v>14.24</v>
      </c>
      <c r="Q1415" s="967">
        <v>43355</v>
      </c>
      <c r="R1415" s="966">
        <v>120900</v>
      </c>
      <c r="T1415" s="969">
        <v>0</v>
      </c>
      <c r="U1415" s="966">
        <v>8487.31</v>
      </c>
      <c r="W1415" s="971" t="e">
        <f t="shared" si="24"/>
        <v>#DIV/0!</v>
      </c>
      <c r="Y1415" s="967">
        <v>43425</v>
      </c>
      <c r="Z1415" s="974">
        <f ca="1">H1365*Valuation_Senario!$L$372</f>
        <v>9492.1354171399998</v>
      </c>
      <c r="AA1415" s="973">
        <v>13.12</v>
      </c>
      <c r="AM1415" s="967">
        <v>43355</v>
      </c>
      <c r="AN1415" s="974">
        <v>120900</v>
      </c>
    </row>
    <row r="1416" spans="1:40">
      <c r="A1416" s="966">
        <v>1409</v>
      </c>
      <c r="B1416" s="967">
        <v>43354</v>
      </c>
      <c r="C1416" s="966">
        <v>120500</v>
      </c>
      <c r="D1416" s="966">
        <v>0.14183999999999999</v>
      </c>
      <c r="E1416" s="966">
        <v>0</v>
      </c>
      <c r="F1416" s="966">
        <v>44083.48</v>
      </c>
      <c r="G1416" s="966">
        <v>38905.078380500003</v>
      </c>
      <c r="H1416" s="966">
        <v>8487.31</v>
      </c>
      <c r="I1416" s="966">
        <v>14.2</v>
      </c>
      <c r="Q1416" s="967">
        <v>43354</v>
      </c>
      <c r="R1416" s="966">
        <v>120500</v>
      </c>
      <c r="T1416" s="969">
        <v>0.14183999999999999</v>
      </c>
      <c r="U1416" s="966">
        <v>8487.31</v>
      </c>
      <c r="W1416" s="971" t="e">
        <f t="shared" si="24"/>
        <v>#DIV/0!</v>
      </c>
      <c r="Y1416" s="967">
        <v>43424</v>
      </c>
      <c r="Z1416" s="974">
        <f ca="1">H1366*Valuation_Senario!$L$372</f>
        <v>9492.1354171399998</v>
      </c>
      <c r="AA1416" s="973">
        <v>13.04</v>
      </c>
      <c r="AM1416" s="967">
        <v>43354</v>
      </c>
      <c r="AN1416" s="974">
        <v>120500</v>
      </c>
    </row>
    <row r="1417" spans="1:40">
      <c r="A1417" s="966">
        <v>1410</v>
      </c>
      <c r="B1417" s="967">
        <v>43353</v>
      </c>
      <c r="C1417" s="966">
        <v>117400</v>
      </c>
      <c r="D1417" s="966">
        <v>0</v>
      </c>
      <c r="E1417" s="966">
        <v>0</v>
      </c>
      <c r="F1417" s="966">
        <v>43082.6</v>
      </c>
      <c r="G1417" s="966">
        <v>37904.200845400002</v>
      </c>
      <c r="H1417" s="966">
        <v>8487.31</v>
      </c>
      <c r="I1417" s="966">
        <v>13.83</v>
      </c>
      <c r="Q1417" s="967">
        <v>43353</v>
      </c>
      <c r="R1417" s="966">
        <v>117400</v>
      </c>
      <c r="T1417" s="969">
        <v>0</v>
      </c>
      <c r="U1417" s="966">
        <v>8487.31</v>
      </c>
      <c r="W1417" s="971" t="e">
        <f t="shared" ref="W1417:W1480" si="25">T1417/V1417</f>
        <v>#DIV/0!</v>
      </c>
      <c r="Y1417" s="967">
        <v>43423</v>
      </c>
      <c r="Z1417" s="974">
        <f ca="1">H1367*Valuation_Senario!$L$372</f>
        <v>9492.1354171399998</v>
      </c>
      <c r="AA1417" s="973">
        <v>13.1</v>
      </c>
      <c r="AM1417" s="967">
        <v>43353</v>
      </c>
      <c r="AN1417" s="974">
        <v>117400</v>
      </c>
    </row>
    <row r="1418" spans="1:40">
      <c r="A1418" s="966">
        <v>1411</v>
      </c>
      <c r="B1418" s="967">
        <v>43350</v>
      </c>
      <c r="C1418" s="966">
        <v>117300</v>
      </c>
      <c r="D1418" s="966">
        <v>0</v>
      </c>
      <c r="E1418" s="966">
        <v>0</v>
      </c>
      <c r="F1418" s="966">
        <v>43050.31</v>
      </c>
      <c r="G1418" s="966">
        <v>37871.914473299999</v>
      </c>
      <c r="H1418" s="966">
        <v>8487.31</v>
      </c>
      <c r="I1418" s="966">
        <v>13.82</v>
      </c>
      <c r="Q1418" s="967">
        <v>43350</v>
      </c>
      <c r="R1418" s="966">
        <v>117300</v>
      </c>
      <c r="T1418" s="969">
        <v>0</v>
      </c>
      <c r="U1418" s="966">
        <v>8487.31</v>
      </c>
      <c r="W1418" s="971" t="e">
        <f t="shared" si="25"/>
        <v>#DIV/0!</v>
      </c>
      <c r="Y1418" s="967">
        <v>43420</v>
      </c>
      <c r="Z1418" s="974">
        <f ca="1">H1368*Valuation_Senario!$L$372</f>
        <v>12692.63744864</v>
      </c>
      <c r="AA1418" s="973">
        <v>12.4</v>
      </c>
      <c r="AM1418" s="967">
        <v>43350</v>
      </c>
      <c r="AN1418" s="974">
        <v>117300</v>
      </c>
    </row>
    <row r="1419" spans="1:40">
      <c r="A1419" s="966">
        <v>1412</v>
      </c>
      <c r="B1419" s="967">
        <v>43349</v>
      </c>
      <c r="C1419" s="966">
        <v>116400</v>
      </c>
      <c r="D1419" s="966">
        <v>0</v>
      </c>
      <c r="E1419" s="966">
        <v>0.14063999999999999</v>
      </c>
      <c r="F1419" s="966">
        <v>42759.74</v>
      </c>
      <c r="G1419" s="966">
        <v>37581.337124400001</v>
      </c>
      <c r="H1419" s="966">
        <v>8487.31</v>
      </c>
      <c r="I1419" s="966">
        <v>13.71</v>
      </c>
      <c r="Q1419" s="967">
        <v>43349</v>
      </c>
      <c r="R1419" s="966">
        <v>116400</v>
      </c>
      <c r="T1419" s="969">
        <v>-0.14063999999999999</v>
      </c>
      <c r="U1419" s="966">
        <v>8487.31</v>
      </c>
      <c r="W1419" s="971" t="e">
        <f t="shared" si="25"/>
        <v>#DIV/0!</v>
      </c>
      <c r="Y1419" s="967">
        <v>43419</v>
      </c>
      <c r="Z1419" s="974">
        <f ca="1">H1369*Valuation_Senario!$L$372</f>
        <v>12692.63744864</v>
      </c>
      <c r="AA1419" s="973">
        <v>12.38</v>
      </c>
      <c r="AM1419" s="967">
        <v>43349</v>
      </c>
      <c r="AN1419" s="974">
        <v>116400</v>
      </c>
    </row>
    <row r="1420" spans="1:40">
      <c r="A1420" s="966">
        <v>1413</v>
      </c>
      <c r="B1420" s="967">
        <v>43348</v>
      </c>
      <c r="C1420" s="966">
        <v>116300</v>
      </c>
      <c r="D1420" s="966">
        <v>6.4338119999999996</v>
      </c>
      <c r="E1420" s="966">
        <v>6.4338119999999996</v>
      </c>
      <c r="F1420" s="966">
        <v>42727.45</v>
      </c>
      <c r="G1420" s="966">
        <v>37549.050752299998</v>
      </c>
      <c r="H1420" s="966">
        <v>8487.31</v>
      </c>
      <c r="I1420" s="966">
        <v>13.7</v>
      </c>
      <c r="Q1420" s="967">
        <v>43348</v>
      </c>
      <c r="R1420" s="966">
        <v>116300</v>
      </c>
      <c r="T1420" s="969">
        <v>0</v>
      </c>
      <c r="U1420" s="966">
        <v>8487.31</v>
      </c>
      <c r="W1420" s="971" t="e">
        <f t="shared" si="25"/>
        <v>#DIV/0!</v>
      </c>
      <c r="Y1420" s="967">
        <v>43418</v>
      </c>
      <c r="Z1420" s="974">
        <f ca="1">H1370*Valuation_Senario!$L$372</f>
        <v>12692.63744864</v>
      </c>
      <c r="AA1420" s="973">
        <v>12.41</v>
      </c>
      <c r="AM1420" s="967">
        <v>43348</v>
      </c>
      <c r="AN1420" s="974">
        <v>116300</v>
      </c>
    </row>
    <row r="1421" spans="1:40">
      <c r="A1421" s="966">
        <v>1414</v>
      </c>
      <c r="B1421" s="967">
        <v>43347</v>
      </c>
      <c r="C1421" s="966">
        <v>118400</v>
      </c>
      <c r="D1421" s="966">
        <v>0</v>
      </c>
      <c r="E1421" s="966">
        <v>0</v>
      </c>
      <c r="F1421" s="966">
        <v>43405.46</v>
      </c>
      <c r="G1421" s="966">
        <v>38227.064566399997</v>
      </c>
      <c r="H1421" s="966">
        <v>8487.31</v>
      </c>
      <c r="I1421" s="966">
        <v>13.95</v>
      </c>
      <c r="Q1421" s="967">
        <v>43347</v>
      </c>
      <c r="R1421" s="966">
        <v>118400</v>
      </c>
      <c r="T1421" s="969">
        <v>0</v>
      </c>
      <c r="U1421" s="966">
        <v>8487.31</v>
      </c>
      <c r="W1421" s="971" t="e">
        <f t="shared" si="25"/>
        <v>#DIV/0!</v>
      </c>
      <c r="Y1421" s="967">
        <v>43417</v>
      </c>
      <c r="Z1421" s="974">
        <f ca="1">H1371*Valuation_Senario!$L$372</f>
        <v>12692.63744864</v>
      </c>
      <c r="AA1421" s="973">
        <v>12.49</v>
      </c>
      <c r="AM1421" s="967">
        <v>43347</v>
      </c>
      <c r="AN1421" s="974">
        <v>118400</v>
      </c>
    </row>
    <row r="1422" spans="1:40">
      <c r="A1422" s="966">
        <v>1415</v>
      </c>
      <c r="B1422" s="967">
        <v>43343</v>
      </c>
      <c r="C1422" s="966">
        <v>120000</v>
      </c>
      <c r="D1422" s="966">
        <v>0.35996699999999998</v>
      </c>
      <c r="E1422" s="966">
        <v>0</v>
      </c>
      <c r="F1422" s="966">
        <v>43922.05</v>
      </c>
      <c r="G1422" s="966">
        <v>38743.646520000002</v>
      </c>
      <c r="H1422" s="966">
        <v>8487.31</v>
      </c>
      <c r="I1422" s="966">
        <v>14.14</v>
      </c>
      <c r="Q1422" s="967">
        <v>43343</v>
      </c>
      <c r="R1422" s="966">
        <v>120000</v>
      </c>
      <c r="T1422" s="969">
        <v>0.35996699999999998</v>
      </c>
      <c r="U1422" s="966">
        <v>8487.31</v>
      </c>
      <c r="W1422" s="971" t="e">
        <f t="shared" si="25"/>
        <v>#DIV/0!</v>
      </c>
      <c r="Y1422" s="967">
        <v>43416</v>
      </c>
      <c r="Z1422" s="974">
        <f ca="1">H1372*Valuation_Senario!$L$372</f>
        <v>12691.330521909998</v>
      </c>
      <c r="AA1422" s="973">
        <v>12.73</v>
      </c>
      <c r="AM1422" s="967">
        <v>43343</v>
      </c>
      <c r="AN1422" s="974">
        <v>120000</v>
      </c>
    </row>
    <row r="1423" spans="1:40">
      <c r="A1423" s="966">
        <v>1416</v>
      </c>
      <c r="B1423" s="967">
        <v>43342</v>
      </c>
      <c r="C1423" s="966">
        <v>123000</v>
      </c>
      <c r="D1423" s="966">
        <v>0</v>
      </c>
      <c r="E1423" s="966">
        <v>0</v>
      </c>
      <c r="F1423" s="966">
        <v>44890.64</v>
      </c>
      <c r="G1423" s="966">
        <v>39712.237682999999</v>
      </c>
      <c r="H1423" s="966">
        <v>8487.31</v>
      </c>
      <c r="I1423" s="966">
        <v>14.49</v>
      </c>
      <c r="Q1423" s="967">
        <v>43342</v>
      </c>
      <c r="R1423" s="966">
        <v>123000</v>
      </c>
      <c r="T1423" s="969">
        <v>0</v>
      </c>
      <c r="U1423" s="966">
        <v>8487.31</v>
      </c>
      <c r="W1423" s="971" t="e">
        <f t="shared" si="25"/>
        <v>#DIV/0!</v>
      </c>
      <c r="Y1423" s="967">
        <v>43413</v>
      </c>
      <c r="Z1423" s="974">
        <f ca="1">H1373*Valuation_Senario!$L$372</f>
        <v>12691.330521909998</v>
      </c>
      <c r="AA1423" s="973">
        <v>12.26</v>
      </c>
      <c r="AM1423" s="967">
        <v>43342</v>
      </c>
      <c r="AN1423" s="974">
        <v>123000</v>
      </c>
    </row>
    <row r="1424" spans="1:40">
      <c r="A1424" s="966">
        <v>1417</v>
      </c>
      <c r="B1424" s="967">
        <v>43341</v>
      </c>
      <c r="C1424" s="966">
        <v>122300</v>
      </c>
      <c r="D1424" s="966">
        <v>0</v>
      </c>
      <c r="E1424" s="966">
        <v>0</v>
      </c>
      <c r="F1424" s="966">
        <v>44664.63</v>
      </c>
      <c r="G1424" s="966">
        <v>39486.2330783</v>
      </c>
      <c r="H1424" s="966">
        <v>8487.31</v>
      </c>
      <c r="I1424" s="966">
        <v>14.41</v>
      </c>
      <c r="Q1424" s="967">
        <v>43341</v>
      </c>
      <c r="R1424" s="966">
        <v>122300</v>
      </c>
      <c r="T1424" s="969">
        <v>0</v>
      </c>
      <c r="U1424" s="966">
        <v>8487.31</v>
      </c>
      <c r="W1424" s="971" t="e">
        <f t="shared" si="25"/>
        <v>#DIV/0!</v>
      </c>
      <c r="Y1424" s="967">
        <v>43412</v>
      </c>
      <c r="Z1424" s="974">
        <f ca="1">H1374*Valuation_Senario!$L$372</f>
        <v>12691.330521909998</v>
      </c>
      <c r="AA1424" s="973">
        <v>12.73</v>
      </c>
      <c r="AM1424" s="967">
        <v>43341</v>
      </c>
      <c r="AN1424" s="974">
        <v>122300</v>
      </c>
    </row>
    <row r="1425" spans="1:40">
      <c r="A1425" s="966">
        <v>1418</v>
      </c>
      <c r="B1425" s="967">
        <v>43340</v>
      </c>
      <c r="C1425" s="966">
        <v>123000</v>
      </c>
      <c r="D1425" s="966">
        <v>0</v>
      </c>
      <c r="E1425" s="966">
        <v>0.360792</v>
      </c>
      <c r="F1425" s="966">
        <v>44890.64</v>
      </c>
      <c r="G1425" s="966">
        <v>39712.237682999999</v>
      </c>
      <c r="H1425" s="966">
        <v>8487.31</v>
      </c>
      <c r="I1425" s="966">
        <v>14.49</v>
      </c>
      <c r="Q1425" s="967">
        <v>43340</v>
      </c>
      <c r="R1425" s="966">
        <v>123000</v>
      </c>
      <c r="T1425" s="969">
        <v>-0.360792</v>
      </c>
      <c r="U1425" s="966">
        <v>8487.31</v>
      </c>
      <c r="W1425" s="971" t="e">
        <f t="shared" si="25"/>
        <v>#DIV/0!</v>
      </c>
      <c r="Y1425" s="967">
        <v>43411</v>
      </c>
      <c r="Z1425" s="974">
        <f ca="1">H1375*Valuation_Senario!$L$372</f>
        <v>12691.330521909998</v>
      </c>
      <c r="AA1425" s="973">
        <v>12.96</v>
      </c>
      <c r="AM1425" s="967">
        <v>43340</v>
      </c>
      <c r="AN1425" s="974">
        <v>123000</v>
      </c>
    </row>
    <row r="1426" spans="1:40">
      <c r="A1426" s="966">
        <v>1419</v>
      </c>
      <c r="B1426" s="967">
        <v>43339</v>
      </c>
      <c r="C1426" s="966">
        <v>123400</v>
      </c>
      <c r="D1426" s="966">
        <v>2.58</v>
      </c>
      <c r="E1426" s="966">
        <v>2.58</v>
      </c>
      <c r="F1426" s="966">
        <v>45019.78</v>
      </c>
      <c r="G1426" s="966">
        <v>39841.383171399997</v>
      </c>
      <c r="H1426" s="966">
        <v>8487.31</v>
      </c>
      <c r="I1426" s="966">
        <v>14.54</v>
      </c>
      <c r="Q1426" s="967">
        <v>43339</v>
      </c>
      <c r="R1426" s="966">
        <v>123400</v>
      </c>
      <c r="T1426" s="969">
        <v>0</v>
      </c>
      <c r="U1426" s="966">
        <v>8487.31</v>
      </c>
      <c r="W1426" s="971" t="e">
        <f t="shared" si="25"/>
        <v>#DIV/0!</v>
      </c>
      <c r="Y1426" s="967">
        <v>43410</v>
      </c>
      <c r="Z1426" s="974">
        <f ca="1">H1376*Valuation_Senario!$L$372</f>
        <v>12691.330521909998</v>
      </c>
      <c r="AA1426" s="973">
        <v>12.89</v>
      </c>
      <c r="AM1426" s="967">
        <v>43339</v>
      </c>
      <c r="AN1426" s="974">
        <v>123400</v>
      </c>
    </row>
    <row r="1427" spans="1:40">
      <c r="A1427" s="966">
        <v>1420</v>
      </c>
      <c r="B1427" s="967">
        <v>43336</v>
      </c>
      <c r="C1427" s="966">
        <v>121000</v>
      </c>
      <c r="D1427" s="966">
        <v>3.87</v>
      </c>
      <c r="E1427" s="966">
        <v>3.87</v>
      </c>
      <c r="F1427" s="966">
        <v>44244.91</v>
      </c>
      <c r="G1427" s="966">
        <v>39066.510241000004</v>
      </c>
      <c r="H1427" s="966">
        <v>8487.31</v>
      </c>
      <c r="I1427" s="966">
        <v>14.26</v>
      </c>
      <c r="Q1427" s="967">
        <v>43336</v>
      </c>
      <c r="R1427" s="966">
        <v>121000</v>
      </c>
      <c r="T1427" s="969">
        <v>0</v>
      </c>
      <c r="U1427" s="966">
        <v>8487.31</v>
      </c>
      <c r="W1427" s="971" t="e">
        <f t="shared" si="25"/>
        <v>#DIV/0!</v>
      </c>
      <c r="Y1427" s="967">
        <v>43409</v>
      </c>
      <c r="Z1427" s="974">
        <f ca="1">H1377*Valuation_Senario!$L$372</f>
        <v>12691.330521909998</v>
      </c>
      <c r="AA1427" s="973">
        <v>12.89</v>
      </c>
      <c r="AM1427" s="967">
        <v>43336</v>
      </c>
      <c r="AN1427" s="974">
        <v>121000</v>
      </c>
    </row>
    <row r="1428" spans="1:40">
      <c r="A1428" s="966">
        <v>1421</v>
      </c>
      <c r="B1428" s="967">
        <v>43335</v>
      </c>
      <c r="C1428" s="966">
        <v>121900</v>
      </c>
      <c r="D1428" s="966">
        <v>5.5945999999999998</v>
      </c>
      <c r="E1428" s="966">
        <v>5.5945999999999998</v>
      </c>
      <c r="F1428" s="966">
        <v>44535.49</v>
      </c>
      <c r="G1428" s="966">
        <v>39357.087589900002</v>
      </c>
      <c r="H1428" s="966">
        <v>8487.31</v>
      </c>
      <c r="I1428" s="966">
        <v>14.36</v>
      </c>
      <c r="Q1428" s="967">
        <v>43335</v>
      </c>
      <c r="R1428" s="966">
        <v>121900</v>
      </c>
      <c r="T1428" s="969">
        <v>0</v>
      </c>
      <c r="U1428" s="966">
        <v>8487.31</v>
      </c>
      <c r="W1428" s="971" t="e">
        <f t="shared" si="25"/>
        <v>#DIV/0!</v>
      </c>
      <c r="Y1428" s="967">
        <v>43406</v>
      </c>
      <c r="Z1428" s="974">
        <f ca="1">H1378*Valuation_Senario!$L$372</f>
        <v>12691.330521909998</v>
      </c>
      <c r="AA1428" s="973">
        <v>13.02</v>
      </c>
      <c r="AM1428" s="967">
        <v>43335</v>
      </c>
      <c r="AN1428" s="974">
        <v>121900</v>
      </c>
    </row>
    <row r="1429" spans="1:40">
      <c r="A1429" s="966">
        <v>1422</v>
      </c>
      <c r="B1429" s="967">
        <v>43334</v>
      </c>
      <c r="C1429" s="966">
        <v>121700</v>
      </c>
      <c r="D1429" s="966">
        <v>0</v>
      </c>
      <c r="E1429" s="966">
        <v>0</v>
      </c>
      <c r="F1429" s="966">
        <v>44470.91</v>
      </c>
      <c r="G1429" s="966">
        <v>39292.514845700003</v>
      </c>
      <c r="H1429" s="966">
        <v>8487.31</v>
      </c>
      <c r="I1429" s="966">
        <v>14.34</v>
      </c>
      <c r="Q1429" s="967">
        <v>43334</v>
      </c>
      <c r="R1429" s="966">
        <v>121700</v>
      </c>
      <c r="T1429" s="969">
        <v>0</v>
      </c>
      <c r="U1429" s="966">
        <v>8487.31</v>
      </c>
      <c r="W1429" s="971" t="e">
        <f t="shared" si="25"/>
        <v>#DIV/0!</v>
      </c>
      <c r="Y1429" s="967">
        <v>43405</v>
      </c>
      <c r="Z1429" s="974">
        <f ca="1">H1379*Valuation_Senario!$L$372</f>
        <v>12691.330521909998</v>
      </c>
      <c r="AA1429" s="973">
        <v>12.79</v>
      </c>
      <c r="AM1429" s="967">
        <v>43334</v>
      </c>
      <c r="AN1429" s="974">
        <v>121700</v>
      </c>
    </row>
    <row r="1430" spans="1:40">
      <c r="A1430" s="966">
        <v>1423</v>
      </c>
      <c r="B1430" s="967">
        <v>43333</v>
      </c>
      <c r="C1430" s="966">
        <v>122000</v>
      </c>
      <c r="D1430" s="966">
        <v>6.4</v>
      </c>
      <c r="E1430" s="966">
        <v>6.4</v>
      </c>
      <c r="F1430" s="966">
        <v>44567.77</v>
      </c>
      <c r="G1430" s="966">
        <v>39389.373961999998</v>
      </c>
      <c r="H1430" s="966">
        <v>8487.31</v>
      </c>
      <c r="I1430" s="966">
        <v>14.37</v>
      </c>
      <c r="Q1430" s="967">
        <v>43333</v>
      </c>
      <c r="R1430" s="966">
        <v>122000</v>
      </c>
      <c r="T1430" s="969">
        <v>0</v>
      </c>
      <c r="U1430" s="966">
        <v>8487.31</v>
      </c>
      <c r="W1430" s="971" t="e">
        <f t="shared" si="25"/>
        <v>#DIV/0!</v>
      </c>
      <c r="Y1430" s="967">
        <v>43404</v>
      </c>
      <c r="Z1430" s="974">
        <f ca="1">H1380*Valuation_Senario!$L$372</f>
        <v>12691.330521909998</v>
      </c>
      <c r="AA1430" s="973">
        <v>13.05</v>
      </c>
      <c r="AM1430" s="967">
        <v>43333</v>
      </c>
      <c r="AN1430" s="974">
        <v>122000</v>
      </c>
    </row>
    <row r="1431" spans="1:40">
      <c r="A1431" s="966">
        <v>1424</v>
      </c>
      <c r="B1431" s="967">
        <v>43332</v>
      </c>
      <c r="C1431" s="966">
        <v>121000</v>
      </c>
      <c r="D1431" s="966">
        <v>2.5259999999999998</v>
      </c>
      <c r="E1431" s="966">
        <v>2.5259999999999998</v>
      </c>
      <c r="F1431" s="966">
        <v>44244.91</v>
      </c>
      <c r="G1431" s="966">
        <v>39066.510241000004</v>
      </c>
      <c r="H1431" s="966">
        <v>8487.31</v>
      </c>
      <c r="I1431" s="966">
        <v>14.26</v>
      </c>
      <c r="Q1431" s="967">
        <v>43332</v>
      </c>
      <c r="R1431" s="966">
        <v>121000</v>
      </c>
      <c r="T1431" s="969">
        <v>0</v>
      </c>
      <c r="U1431" s="966">
        <v>8487.31</v>
      </c>
      <c r="W1431" s="971" t="e">
        <f t="shared" si="25"/>
        <v>#DIV/0!</v>
      </c>
      <c r="Y1431" s="967">
        <v>43403</v>
      </c>
      <c r="Z1431" s="974">
        <f ca="1">H1381*Valuation_Senario!$L$372</f>
        <v>12464.468599979999</v>
      </c>
      <c r="AA1431" s="973">
        <v>12.62</v>
      </c>
      <c r="AM1431" s="967">
        <v>43332</v>
      </c>
      <c r="AN1431" s="974">
        <v>121000</v>
      </c>
    </row>
    <row r="1432" spans="1:40">
      <c r="A1432" s="966">
        <v>1425</v>
      </c>
      <c r="B1432" s="967">
        <v>43329</v>
      </c>
      <c r="C1432" s="966">
        <v>118100</v>
      </c>
      <c r="D1432" s="966">
        <v>0</v>
      </c>
      <c r="E1432" s="966">
        <v>0</v>
      </c>
      <c r="F1432" s="966">
        <v>43308.6</v>
      </c>
      <c r="G1432" s="966">
        <v>38130.205450100002</v>
      </c>
      <c r="H1432" s="966">
        <v>8487.31</v>
      </c>
      <c r="I1432" s="966">
        <v>13.91</v>
      </c>
      <c r="Q1432" s="967">
        <v>43329</v>
      </c>
      <c r="R1432" s="966">
        <v>118100</v>
      </c>
      <c r="T1432" s="969">
        <v>0</v>
      </c>
      <c r="U1432" s="966">
        <v>8487.31</v>
      </c>
      <c r="W1432" s="971" t="e">
        <f t="shared" si="25"/>
        <v>#DIV/0!</v>
      </c>
      <c r="Y1432" s="967">
        <v>43402</v>
      </c>
      <c r="Z1432" s="974">
        <f ca="1">H1382*Valuation_Senario!$L$372</f>
        <v>12464.468599979999</v>
      </c>
      <c r="AA1432" s="973">
        <v>12.33</v>
      </c>
      <c r="AM1432" s="967">
        <v>43329</v>
      </c>
      <c r="AN1432" s="974">
        <v>118100</v>
      </c>
    </row>
    <row r="1433" spans="1:40">
      <c r="A1433" s="966">
        <v>1426</v>
      </c>
      <c r="B1433" s="967">
        <v>43328</v>
      </c>
      <c r="C1433" s="966">
        <v>118900</v>
      </c>
      <c r="D1433" s="966">
        <v>0</v>
      </c>
      <c r="E1433" s="966">
        <v>0</v>
      </c>
      <c r="F1433" s="966">
        <v>43566.9</v>
      </c>
      <c r="G1433" s="966">
        <v>38388.496426899997</v>
      </c>
      <c r="H1433" s="966">
        <v>8487.31</v>
      </c>
      <c r="I1433" s="966">
        <v>14.01</v>
      </c>
      <c r="Q1433" s="967">
        <v>43328</v>
      </c>
      <c r="R1433" s="966">
        <v>118900</v>
      </c>
      <c r="T1433" s="969">
        <v>0</v>
      </c>
      <c r="U1433" s="966">
        <v>8487.31</v>
      </c>
      <c r="W1433" s="971" t="e">
        <f t="shared" si="25"/>
        <v>#DIV/0!</v>
      </c>
      <c r="Y1433" s="967">
        <v>43399</v>
      </c>
      <c r="Z1433" s="974">
        <f ca="1">H1383*Valuation_Senario!$L$372</f>
        <v>12464.468599979999</v>
      </c>
      <c r="AA1433" s="973">
        <v>12.72</v>
      </c>
      <c r="AM1433" s="967">
        <v>43328</v>
      </c>
      <c r="AN1433" s="974">
        <v>118900</v>
      </c>
    </row>
    <row r="1434" spans="1:40">
      <c r="A1434" s="966">
        <v>1427</v>
      </c>
      <c r="B1434" s="967">
        <v>43327</v>
      </c>
      <c r="C1434" s="966">
        <v>116000</v>
      </c>
      <c r="D1434" s="966">
        <v>0</v>
      </c>
      <c r="E1434" s="966">
        <v>0</v>
      </c>
      <c r="F1434" s="966">
        <v>42630.59</v>
      </c>
      <c r="G1434" s="966">
        <v>37452.191636000003</v>
      </c>
      <c r="H1434" s="966">
        <v>8487.31</v>
      </c>
      <c r="I1434" s="966">
        <v>13.67</v>
      </c>
      <c r="Q1434" s="967">
        <v>43327</v>
      </c>
      <c r="R1434" s="966">
        <v>116000</v>
      </c>
      <c r="T1434" s="969">
        <v>0</v>
      </c>
      <c r="U1434" s="966">
        <v>8487.31</v>
      </c>
      <c r="W1434" s="971" t="e">
        <f t="shared" si="25"/>
        <v>#DIV/0!</v>
      </c>
      <c r="Y1434" s="967">
        <v>43398</v>
      </c>
      <c r="Z1434" s="974">
        <f ca="1">H1384*Valuation_Senario!$L$372</f>
        <v>12464.468599979999</v>
      </c>
      <c r="AA1434" s="973">
        <v>13.31</v>
      </c>
      <c r="AM1434" s="967">
        <v>43327</v>
      </c>
      <c r="AN1434" s="974">
        <v>116000</v>
      </c>
    </row>
    <row r="1435" spans="1:40">
      <c r="A1435" s="966">
        <v>1428</v>
      </c>
      <c r="B1435" s="967">
        <v>43326</v>
      </c>
      <c r="C1435" s="966">
        <v>117700</v>
      </c>
      <c r="D1435" s="966">
        <v>0</v>
      </c>
      <c r="E1435" s="966">
        <v>0</v>
      </c>
      <c r="F1435" s="966">
        <v>48853.69</v>
      </c>
      <c r="G1435" s="966">
        <v>39296.923735215001</v>
      </c>
      <c r="H1435" s="966">
        <v>6653.74</v>
      </c>
      <c r="I1435" s="966">
        <v>13.04</v>
      </c>
      <c r="Q1435" s="967">
        <v>43326</v>
      </c>
      <c r="R1435" s="966">
        <v>117700</v>
      </c>
      <c r="T1435" s="969">
        <v>0</v>
      </c>
      <c r="U1435" s="966">
        <v>6653.74</v>
      </c>
      <c r="W1435" s="971" t="e">
        <f t="shared" si="25"/>
        <v>#DIV/0!</v>
      </c>
      <c r="Y1435" s="967">
        <v>43397</v>
      </c>
      <c r="Z1435" s="974">
        <f ca="1">H1385*Valuation_Senario!$L$372</f>
        <v>12464.468599979999</v>
      </c>
      <c r="AA1435" s="973">
        <v>13.73</v>
      </c>
      <c r="AM1435" s="967">
        <v>43326</v>
      </c>
      <c r="AN1435" s="974">
        <v>117700</v>
      </c>
    </row>
    <row r="1436" spans="1:40">
      <c r="A1436" s="966">
        <v>1429</v>
      </c>
      <c r="B1436" s="967">
        <v>43325</v>
      </c>
      <c r="C1436" s="966">
        <v>114200</v>
      </c>
      <c r="D1436" s="966">
        <v>0</v>
      </c>
      <c r="E1436" s="966">
        <v>0</v>
      </c>
      <c r="F1436" s="966">
        <v>42049.440000000002</v>
      </c>
      <c r="G1436" s="966">
        <v>36871.036938199999</v>
      </c>
      <c r="H1436" s="966">
        <v>8487.31</v>
      </c>
      <c r="I1436" s="966">
        <v>13.46</v>
      </c>
      <c r="Q1436" s="967">
        <v>43325</v>
      </c>
      <c r="R1436" s="966">
        <v>114200</v>
      </c>
      <c r="T1436" s="969">
        <v>0</v>
      </c>
      <c r="U1436" s="966">
        <v>8487.31</v>
      </c>
      <c r="W1436" s="971" t="e">
        <f t="shared" si="25"/>
        <v>#DIV/0!</v>
      </c>
      <c r="Y1436" s="967">
        <v>43396</v>
      </c>
      <c r="Z1436" s="974">
        <f ca="1">H1386*Valuation_Senario!$L$372</f>
        <v>12463.249780669998</v>
      </c>
      <c r="AA1436" s="973">
        <v>14.08</v>
      </c>
      <c r="AM1436" s="967">
        <v>43325</v>
      </c>
      <c r="AN1436" s="974">
        <v>114200</v>
      </c>
    </row>
    <row r="1437" spans="1:40">
      <c r="A1437" s="966">
        <v>1430</v>
      </c>
      <c r="B1437" s="967">
        <v>43322</v>
      </c>
      <c r="C1437" s="966">
        <v>115400</v>
      </c>
      <c r="D1437" s="966">
        <v>0</v>
      </c>
      <c r="E1437" s="966">
        <v>0</v>
      </c>
      <c r="F1437" s="966">
        <v>42436.87</v>
      </c>
      <c r="G1437" s="966">
        <v>37258.473403399999</v>
      </c>
      <c r="H1437" s="966">
        <v>8487.31</v>
      </c>
      <c r="I1437" s="966">
        <v>13.6</v>
      </c>
      <c r="Q1437" s="967">
        <v>43322</v>
      </c>
      <c r="R1437" s="966">
        <v>115400</v>
      </c>
      <c r="T1437" s="969">
        <v>0</v>
      </c>
      <c r="U1437" s="966">
        <v>8487.31</v>
      </c>
      <c r="W1437" s="971" t="e">
        <f t="shared" si="25"/>
        <v>#DIV/0!</v>
      </c>
      <c r="Y1437" s="967">
        <v>43395</v>
      </c>
      <c r="Z1437" s="974">
        <f ca="1">H1387*Valuation_Senario!$L$372</f>
        <v>12463.249780669998</v>
      </c>
      <c r="AA1437" s="973">
        <v>14.69</v>
      </c>
      <c r="AM1437" s="967">
        <v>43322</v>
      </c>
      <c r="AN1437" s="974">
        <v>115400</v>
      </c>
    </row>
    <row r="1438" spans="1:40">
      <c r="A1438" s="966">
        <v>1431</v>
      </c>
      <c r="B1438" s="967">
        <v>43321</v>
      </c>
      <c r="C1438" s="966">
        <v>114400</v>
      </c>
      <c r="D1438" s="966">
        <v>0</v>
      </c>
      <c r="E1438" s="966">
        <v>0</v>
      </c>
      <c r="F1438" s="966">
        <v>42114.01</v>
      </c>
      <c r="G1438" s="966">
        <v>36935.609682399998</v>
      </c>
      <c r="H1438" s="966">
        <v>8487.31</v>
      </c>
      <c r="I1438" s="966">
        <v>13.48</v>
      </c>
      <c r="Q1438" s="967">
        <v>43321</v>
      </c>
      <c r="R1438" s="966">
        <v>114400</v>
      </c>
      <c r="T1438" s="969">
        <v>0</v>
      </c>
      <c r="U1438" s="966">
        <v>8487.31</v>
      </c>
      <c r="W1438" s="971" t="e">
        <f t="shared" si="25"/>
        <v>#DIV/0!</v>
      </c>
      <c r="Y1438" s="967">
        <v>43392</v>
      </c>
      <c r="Z1438" s="974">
        <f ca="1">H1388*Valuation_Senario!$L$372</f>
        <v>12463.249780669998</v>
      </c>
      <c r="AA1438" s="973">
        <v>14.74</v>
      </c>
      <c r="AM1438" s="967">
        <v>43321</v>
      </c>
      <c r="AN1438" s="974">
        <v>114400</v>
      </c>
    </row>
    <row r="1439" spans="1:40">
      <c r="A1439" s="966">
        <v>1432</v>
      </c>
      <c r="B1439" s="967">
        <v>43320</v>
      </c>
      <c r="C1439" s="966">
        <v>113900</v>
      </c>
      <c r="D1439" s="966">
        <v>0</v>
      </c>
      <c r="E1439" s="966">
        <v>0</v>
      </c>
      <c r="F1439" s="966">
        <v>41952.58</v>
      </c>
      <c r="G1439" s="966">
        <v>36774.177821899997</v>
      </c>
      <c r="H1439" s="966">
        <v>8487.31</v>
      </c>
      <c r="I1439" s="966">
        <v>13.42</v>
      </c>
      <c r="Q1439" s="967">
        <v>43320</v>
      </c>
      <c r="R1439" s="966">
        <v>113900</v>
      </c>
      <c r="T1439" s="969">
        <v>0</v>
      </c>
      <c r="U1439" s="966">
        <v>8487.31</v>
      </c>
      <c r="W1439" s="971" t="e">
        <f t="shared" si="25"/>
        <v>#DIV/0!</v>
      </c>
      <c r="Y1439" s="967">
        <v>43391</v>
      </c>
      <c r="Z1439" s="974">
        <f ca="1">H1389*Valuation_Senario!$L$372</f>
        <v>12463.249780669998</v>
      </c>
      <c r="AA1439" s="973">
        <v>14.9</v>
      </c>
      <c r="AM1439" s="967">
        <v>43320</v>
      </c>
      <c r="AN1439" s="974">
        <v>113900</v>
      </c>
    </row>
    <row r="1440" spans="1:40">
      <c r="A1440" s="966">
        <v>1433</v>
      </c>
      <c r="B1440" s="967">
        <v>43319</v>
      </c>
      <c r="C1440" s="966">
        <v>111000</v>
      </c>
      <c r="D1440" s="966">
        <v>0</v>
      </c>
      <c r="E1440" s="966">
        <v>0</v>
      </c>
      <c r="F1440" s="966">
        <v>41016.269999999997</v>
      </c>
      <c r="G1440" s="966">
        <v>35837.873031000003</v>
      </c>
      <c r="H1440" s="966">
        <v>8487.31</v>
      </c>
      <c r="I1440" s="966">
        <v>13.08</v>
      </c>
      <c r="Q1440" s="967">
        <v>43319</v>
      </c>
      <c r="R1440" s="966">
        <v>111000</v>
      </c>
      <c r="T1440" s="969">
        <v>0</v>
      </c>
      <c r="U1440" s="966">
        <v>8487.31</v>
      </c>
      <c r="W1440" s="971" t="e">
        <f t="shared" si="25"/>
        <v>#DIV/0!</v>
      </c>
      <c r="Y1440" s="967">
        <v>43390</v>
      </c>
      <c r="Z1440" s="974">
        <f ca="1">H1390*Valuation_Senario!$L$372</f>
        <v>12463.249780669998</v>
      </c>
      <c r="AA1440" s="973">
        <v>15.08</v>
      </c>
      <c r="AM1440" s="967">
        <v>43319</v>
      </c>
      <c r="AN1440" s="974">
        <v>111000</v>
      </c>
    </row>
    <row r="1441" spans="1:40">
      <c r="A1441" s="966">
        <v>1434</v>
      </c>
      <c r="B1441" s="967">
        <v>43318</v>
      </c>
      <c r="C1441" s="966">
        <v>111000</v>
      </c>
      <c r="D1441" s="966">
        <v>12.03</v>
      </c>
      <c r="E1441" s="966">
        <v>12.03</v>
      </c>
      <c r="F1441" s="966">
        <v>41016.269999999997</v>
      </c>
      <c r="G1441" s="966">
        <v>35837.873031000003</v>
      </c>
      <c r="H1441" s="966">
        <v>8487.31</v>
      </c>
      <c r="I1441" s="966">
        <v>13.08</v>
      </c>
      <c r="Q1441" s="967">
        <v>43318</v>
      </c>
      <c r="R1441" s="966">
        <v>111000</v>
      </c>
      <c r="T1441" s="969">
        <v>0</v>
      </c>
      <c r="U1441" s="966">
        <v>8487.31</v>
      </c>
      <c r="W1441" s="971" t="e">
        <f t="shared" si="25"/>
        <v>#DIV/0!</v>
      </c>
      <c r="Y1441" s="967">
        <v>43389</v>
      </c>
      <c r="Z1441" s="974">
        <f ca="1">H1391*Valuation_Senario!$L$372</f>
        <v>12463.249780669998</v>
      </c>
      <c r="AA1441" s="973">
        <v>15.01</v>
      </c>
      <c r="AM1441" s="967">
        <v>43318</v>
      </c>
      <c r="AN1441" s="974">
        <v>111000</v>
      </c>
    </row>
    <row r="1442" spans="1:40">
      <c r="A1442" s="966">
        <v>1435</v>
      </c>
      <c r="B1442" s="967">
        <v>43315</v>
      </c>
      <c r="C1442" s="966">
        <v>112500</v>
      </c>
      <c r="D1442" s="966">
        <v>0</v>
      </c>
      <c r="E1442" s="966">
        <v>0</v>
      </c>
      <c r="F1442" s="966">
        <v>41503.589999999997</v>
      </c>
      <c r="G1442" s="966">
        <v>36325.192049999998</v>
      </c>
      <c r="H1442" s="966">
        <v>8486.59</v>
      </c>
      <c r="I1442" s="966">
        <v>13.26</v>
      </c>
      <c r="Q1442" s="967">
        <v>43315</v>
      </c>
      <c r="R1442" s="966">
        <v>112500</v>
      </c>
      <c r="T1442" s="969">
        <v>0</v>
      </c>
      <c r="U1442" s="966">
        <v>8486.59</v>
      </c>
      <c r="W1442" s="971" t="e">
        <f t="shared" si="25"/>
        <v>#DIV/0!</v>
      </c>
      <c r="Y1442" s="967">
        <v>43388</v>
      </c>
      <c r="Z1442" s="974">
        <f ca="1">H1392*Valuation_Senario!$L$372</f>
        <v>12463.249780669998</v>
      </c>
      <c r="AA1442" s="973">
        <v>14.79</v>
      </c>
      <c r="AM1442" s="967">
        <v>43315</v>
      </c>
      <c r="AN1442" s="974">
        <v>112500</v>
      </c>
    </row>
    <row r="1443" spans="1:40">
      <c r="A1443" s="966">
        <v>1436</v>
      </c>
      <c r="B1443" s="967">
        <v>43314</v>
      </c>
      <c r="C1443" s="966">
        <v>113800</v>
      </c>
      <c r="D1443" s="966">
        <v>0</v>
      </c>
      <c r="E1443" s="966">
        <v>0</v>
      </c>
      <c r="F1443" s="966">
        <v>41923.35</v>
      </c>
      <c r="G1443" s="966">
        <v>36744.949824800002</v>
      </c>
      <c r="H1443" s="966">
        <v>8486.59</v>
      </c>
      <c r="I1443" s="966">
        <v>13.41</v>
      </c>
      <c r="Q1443" s="967">
        <v>43314</v>
      </c>
      <c r="R1443" s="966">
        <v>113800</v>
      </c>
      <c r="T1443" s="969">
        <v>0</v>
      </c>
      <c r="U1443" s="966">
        <v>8486.59</v>
      </c>
      <c r="W1443" s="971" t="e">
        <f t="shared" si="25"/>
        <v>#DIV/0!</v>
      </c>
      <c r="Y1443" s="967">
        <v>43385</v>
      </c>
      <c r="Z1443" s="974">
        <f ca="1">H1393*Valuation_Senario!$L$372</f>
        <v>12463.249780669998</v>
      </c>
      <c r="AA1443" s="973">
        <v>15.02</v>
      </c>
      <c r="AM1443" s="967">
        <v>43314</v>
      </c>
      <c r="AN1443" s="974">
        <v>113800</v>
      </c>
    </row>
    <row r="1444" spans="1:40">
      <c r="A1444" s="966">
        <v>1437</v>
      </c>
      <c r="B1444" s="967">
        <v>43313</v>
      </c>
      <c r="C1444" s="966">
        <v>113600</v>
      </c>
      <c r="D1444" s="966">
        <v>2.8776959999999998</v>
      </c>
      <c r="E1444" s="966">
        <v>2.8776959999999998</v>
      </c>
      <c r="F1444" s="966">
        <v>41858.769999999997</v>
      </c>
      <c r="G1444" s="966">
        <v>36680.371705600002</v>
      </c>
      <c r="H1444" s="966">
        <v>8486.59</v>
      </c>
      <c r="I1444" s="966">
        <v>13.39</v>
      </c>
      <c r="Q1444" s="967">
        <v>43313</v>
      </c>
      <c r="R1444" s="966">
        <v>113600</v>
      </c>
      <c r="T1444" s="969">
        <v>0</v>
      </c>
      <c r="U1444" s="966">
        <v>8486.59</v>
      </c>
      <c r="W1444" s="971" t="e">
        <f t="shared" si="25"/>
        <v>#DIV/0!</v>
      </c>
      <c r="Y1444" s="967">
        <v>43384</v>
      </c>
      <c r="Z1444" s="974">
        <f ca="1">H1394*Valuation_Senario!$L$372</f>
        <v>12463.249780669998</v>
      </c>
      <c r="AA1444" s="973">
        <v>14.67</v>
      </c>
      <c r="AM1444" s="967">
        <v>43313</v>
      </c>
      <c r="AN1444" s="974">
        <v>113600</v>
      </c>
    </row>
    <row r="1445" spans="1:40">
      <c r="A1445" s="966">
        <v>1438</v>
      </c>
      <c r="B1445" s="967">
        <v>43312</v>
      </c>
      <c r="C1445" s="966">
        <v>116800</v>
      </c>
      <c r="D1445" s="966">
        <v>9.3200000000000005E-2</v>
      </c>
      <c r="E1445" s="966">
        <v>0</v>
      </c>
      <c r="F1445" s="966">
        <v>42892.02</v>
      </c>
      <c r="G1445" s="966">
        <v>37713.621612800001</v>
      </c>
      <c r="H1445" s="966">
        <v>8486.59</v>
      </c>
      <c r="I1445" s="966">
        <v>13.76</v>
      </c>
      <c r="Q1445" s="967">
        <v>43312</v>
      </c>
      <c r="R1445" s="966">
        <v>116800</v>
      </c>
      <c r="T1445" s="969">
        <v>9.3200000000000005E-2</v>
      </c>
      <c r="U1445" s="966">
        <v>8486.59</v>
      </c>
      <c r="W1445" s="971" t="e">
        <f t="shared" si="25"/>
        <v>#DIV/0!</v>
      </c>
      <c r="Y1445" s="967">
        <v>43383</v>
      </c>
      <c r="Z1445" s="974">
        <f ca="1">H1395*Valuation_Senario!$L$372</f>
        <v>12463.249780669998</v>
      </c>
      <c r="AA1445" s="973">
        <v>15.43</v>
      </c>
      <c r="AM1445" s="967">
        <v>43312</v>
      </c>
      <c r="AN1445" s="974">
        <v>116800</v>
      </c>
    </row>
    <row r="1446" spans="1:40">
      <c r="A1446" s="966">
        <v>1439</v>
      </c>
      <c r="B1446" s="967">
        <v>43311</v>
      </c>
      <c r="C1446" s="966">
        <v>116000</v>
      </c>
      <c r="D1446" s="966">
        <v>4.62</v>
      </c>
      <c r="E1446" s="966">
        <v>4.62</v>
      </c>
      <c r="F1446" s="966">
        <v>43366.54</v>
      </c>
      <c r="G1446" s="966">
        <v>37455.309136000003</v>
      </c>
      <c r="H1446" s="966">
        <v>7882.68</v>
      </c>
      <c r="I1446" s="966">
        <v>14.72</v>
      </c>
      <c r="Q1446" s="967">
        <v>43311</v>
      </c>
      <c r="R1446" s="966">
        <v>116000</v>
      </c>
      <c r="T1446" s="969">
        <v>0</v>
      </c>
      <c r="U1446" s="966">
        <v>7882.68</v>
      </c>
      <c r="W1446" s="971" t="e">
        <f t="shared" si="25"/>
        <v>#DIV/0!</v>
      </c>
      <c r="Y1446" s="967">
        <v>43382</v>
      </c>
      <c r="Z1446" s="974">
        <f ca="1">H1396*Valuation_Senario!$L$372</f>
        <v>12463.249780669998</v>
      </c>
      <c r="AA1446" s="973">
        <v>15.26</v>
      </c>
      <c r="AM1446" s="967">
        <v>43311</v>
      </c>
      <c r="AN1446" s="974">
        <v>116000</v>
      </c>
    </row>
    <row r="1447" spans="1:40">
      <c r="A1447" s="966">
        <v>1440</v>
      </c>
      <c r="B1447" s="967">
        <v>43308</v>
      </c>
      <c r="C1447" s="966">
        <v>113800</v>
      </c>
      <c r="D1447" s="966">
        <v>0</v>
      </c>
      <c r="E1447" s="966">
        <v>0</v>
      </c>
      <c r="F1447" s="966">
        <v>42656.18</v>
      </c>
      <c r="G1447" s="966">
        <v>36744.949824800002</v>
      </c>
      <c r="H1447" s="966">
        <v>7882.68</v>
      </c>
      <c r="I1447" s="966">
        <v>14.44</v>
      </c>
      <c r="Q1447" s="967">
        <v>43308</v>
      </c>
      <c r="R1447" s="966">
        <v>113800</v>
      </c>
      <c r="T1447" s="969">
        <v>0</v>
      </c>
      <c r="U1447" s="966">
        <v>7882.68</v>
      </c>
      <c r="W1447" s="971" t="e">
        <f t="shared" si="25"/>
        <v>#DIV/0!</v>
      </c>
      <c r="Y1447" s="967">
        <v>43381</v>
      </c>
      <c r="Z1447" s="974">
        <f ca="1">H1397*Valuation_Senario!$L$372</f>
        <v>12463.249780669998</v>
      </c>
      <c r="AA1447" s="973">
        <v>15.08</v>
      </c>
      <c r="AM1447" s="967">
        <v>43308</v>
      </c>
      <c r="AN1447" s="974">
        <v>113800</v>
      </c>
    </row>
    <row r="1448" spans="1:40">
      <c r="A1448" s="966">
        <v>1441</v>
      </c>
      <c r="B1448" s="967">
        <v>43307</v>
      </c>
      <c r="C1448" s="966">
        <v>110000</v>
      </c>
      <c r="D1448" s="966">
        <v>0</v>
      </c>
      <c r="E1448" s="966">
        <v>8.8400000000000006E-2</v>
      </c>
      <c r="F1448" s="966">
        <v>41429.199999999997</v>
      </c>
      <c r="G1448" s="966">
        <v>35517.965559999997</v>
      </c>
      <c r="H1448" s="966">
        <v>7882.68</v>
      </c>
      <c r="I1448" s="966">
        <v>13.95</v>
      </c>
      <c r="Q1448" s="967">
        <v>43307</v>
      </c>
      <c r="R1448" s="966">
        <v>110000</v>
      </c>
      <c r="T1448" s="969">
        <v>-8.8400000000000006E-2</v>
      </c>
      <c r="U1448" s="966">
        <v>7882.68</v>
      </c>
      <c r="W1448" s="971" t="e">
        <f t="shared" si="25"/>
        <v>#DIV/0!</v>
      </c>
      <c r="Y1448" s="967">
        <v>43378</v>
      </c>
      <c r="Z1448" s="974">
        <f ca="1">H1398*Valuation_Senario!$L$372</f>
        <v>12463.249780669998</v>
      </c>
      <c r="AA1448" s="973">
        <v>14.9</v>
      </c>
      <c r="AM1448" s="967">
        <v>43307</v>
      </c>
      <c r="AN1448" s="974">
        <v>110000</v>
      </c>
    </row>
    <row r="1449" spans="1:40">
      <c r="A1449" s="966">
        <v>1442</v>
      </c>
      <c r="B1449" s="967">
        <v>43306</v>
      </c>
      <c r="C1449" s="966">
        <v>110500</v>
      </c>
      <c r="D1449" s="966">
        <v>11.539199999999999</v>
      </c>
      <c r="E1449" s="966">
        <v>11.539199999999999</v>
      </c>
      <c r="F1449" s="966">
        <v>41590.639999999999</v>
      </c>
      <c r="G1449" s="966">
        <v>35679.410858000003</v>
      </c>
      <c r="H1449" s="966">
        <v>7882.68</v>
      </c>
      <c r="I1449" s="966">
        <v>14.02</v>
      </c>
      <c r="Q1449" s="967">
        <v>43306</v>
      </c>
      <c r="R1449" s="966">
        <v>110500</v>
      </c>
      <c r="T1449" s="969">
        <v>0</v>
      </c>
      <c r="U1449" s="966">
        <v>7882.68</v>
      </c>
      <c r="W1449" s="971" t="e">
        <f t="shared" si="25"/>
        <v>#DIV/0!</v>
      </c>
      <c r="Y1449" s="967">
        <v>43377</v>
      </c>
      <c r="Z1449" s="974">
        <f ca="1">H1399*Valuation_Senario!$L$372</f>
        <v>12463.249780669998</v>
      </c>
      <c r="AA1449" s="973">
        <v>15.19</v>
      </c>
      <c r="AM1449" s="967">
        <v>43306</v>
      </c>
      <c r="AN1449" s="974">
        <v>110500</v>
      </c>
    </row>
    <row r="1450" spans="1:40">
      <c r="A1450" s="966">
        <v>1443</v>
      </c>
      <c r="B1450" s="967">
        <v>43305</v>
      </c>
      <c r="C1450" s="966">
        <v>112400</v>
      </c>
      <c r="D1450" s="966">
        <v>0</v>
      </c>
      <c r="E1450" s="966">
        <v>0</v>
      </c>
      <c r="F1450" s="966">
        <v>42204.14</v>
      </c>
      <c r="G1450" s="966">
        <v>36292.902990399998</v>
      </c>
      <c r="H1450" s="966">
        <v>7882.68</v>
      </c>
      <c r="I1450" s="966">
        <v>14.26</v>
      </c>
      <c r="Q1450" s="967">
        <v>43305</v>
      </c>
      <c r="R1450" s="966">
        <v>112400</v>
      </c>
      <c r="T1450" s="969">
        <v>0</v>
      </c>
      <c r="U1450" s="966">
        <v>7882.68</v>
      </c>
      <c r="W1450" s="971" t="e">
        <f t="shared" si="25"/>
        <v>#DIV/0!</v>
      </c>
      <c r="Y1450" s="967">
        <v>43376</v>
      </c>
      <c r="Z1450" s="974">
        <f ca="1">H1400*Valuation_Senario!$L$372</f>
        <v>12463.249780669998</v>
      </c>
      <c r="AA1450" s="973">
        <v>15.09</v>
      </c>
      <c r="AM1450" s="967">
        <v>43305</v>
      </c>
      <c r="AN1450" s="974">
        <v>112400</v>
      </c>
    </row>
    <row r="1451" spans="1:40">
      <c r="A1451" s="966">
        <v>1444</v>
      </c>
      <c r="B1451" s="967">
        <v>43304</v>
      </c>
      <c r="C1451" s="966">
        <v>113900</v>
      </c>
      <c r="D1451" s="966">
        <v>0</v>
      </c>
      <c r="E1451" s="966">
        <v>0</v>
      </c>
      <c r="F1451" s="966">
        <v>42688.47</v>
      </c>
      <c r="G1451" s="966">
        <v>36777.238884400002</v>
      </c>
      <c r="H1451" s="966">
        <v>7882.68</v>
      </c>
      <c r="I1451" s="966">
        <v>14.45</v>
      </c>
      <c r="Q1451" s="967">
        <v>43304</v>
      </c>
      <c r="R1451" s="966">
        <v>113900</v>
      </c>
      <c r="T1451" s="969">
        <v>0</v>
      </c>
      <c r="U1451" s="966">
        <v>7882.68</v>
      </c>
      <c r="W1451" s="971" t="e">
        <f t="shared" si="25"/>
        <v>#DIV/0!</v>
      </c>
      <c r="Y1451" s="967">
        <v>43375</v>
      </c>
      <c r="Z1451" s="974">
        <f ca="1">H1401*Valuation_Senario!$L$372</f>
        <v>12463.249780669998</v>
      </c>
      <c r="AA1451" s="973">
        <v>14.96</v>
      </c>
      <c r="AM1451" s="967">
        <v>43304</v>
      </c>
      <c r="AN1451" s="974">
        <v>113900</v>
      </c>
    </row>
    <row r="1452" spans="1:40">
      <c r="A1452" s="966">
        <v>1445</v>
      </c>
      <c r="B1452" s="967">
        <v>43301</v>
      </c>
      <c r="C1452" s="966">
        <v>113500</v>
      </c>
      <c r="D1452" s="966">
        <v>0</v>
      </c>
      <c r="E1452" s="966">
        <v>0</v>
      </c>
      <c r="F1452" s="966">
        <v>42559.32</v>
      </c>
      <c r="G1452" s="966">
        <v>36648.082646000003</v>
      </c>
      <c r="H1452" s="966">
        <v>7882.68</v>
      </c>
      <c r="I1452" s="966">
        <v>14.4</v>
      </c>
      <c r="Q1452" s="967">
        <v>43301</v>
      </c>
      <c r="R1452" s="966">
        <v>113500</v>
      </c>
      <c r="T1452" s="969">
        <v>0</v>
      </c>
      <c r="U1452" s="966">
        <v>7882.68</v>
      </c>
      <c r="W1452" s="971" t="e">
        <f t="shared" si="25"/>
        <v>#DIV/0!</v>
      </c>
      <c r="Y1452" s="967">
        <v>43374</v>
      </c>
      <c r="Z1452" s="974">
        <f ca="1">H1402*Valuation_Senario!$L$372</f>
        <v>12463.249780669998</v>
      </c>
      <c r="AA1452" s="973">
        <v>14.96</v>
      </c>
      <c r="AM1452" s="967">
        <v>43301</v>
      </c>
      <c r="AN1452" s="974">
        <v>113500</v>
      </c>
    </row>
    <row r="1453" spans="1:40">
      <c r="A1453" s="966">
        <v>1446</v>
      </c>
      <c r="B1453" s="967">
        <v>43300</v>
      </c>
      <c r="C1453" s="966">
        <v>115300</v>
      </c>
      <c r="D1453" s="966">
        <v>0</v>
      </c>
      <c r="E1453" s="966">
        <v>0</v>
      </c>
      <c r="F1453" s="966">
        <v>43140.52</v>
      </c>
      <c r="G1453" s="966">
        <v>37229.285718799998</v>
      </c>
      <c r="H1453" s="966">
        <v>7882.68</v>
      </c>
      <c r="I1453" s="966">
        <v>14.63</v>
      </c>
      <c r="Q1453" s="967">
        <v>43300</v>
      </c>
      <c r="R1453" s="966">
        <v>115300</v>
      </c>
      <c r="T1453" s="969">
        <v>0</v>
      </c>
      <c r="U1453" s="966">
        <v>7882.68</v>
      </c>
      <c r="W1453" s="971" t="e">
        <f t="shared" si="25"/>
        <v>#DIV/0!</v>
      </c>
      <c r="Y1453" s="967">
        <v>43371</v>
      </c>
      <c r="Z1453" s="974">
        <f ca="1">H1403*Valuation_Senario!$L$372</f>
        <v>12463.249780669998</v>
      </c>
      <c r="AA1453" s="973">
        <v>14.99</v>
      </c>
      <c r="AM1453" s="967">
        <v>43300</v>
      </c>
      <c r="AN1453" s="974">
        <v>115300</v>
      </c>
    </row>
    <row r="1454" spans="1:40">
      <c r="A1454" s="966">
        <v>1447</v>
      </c>
      <c r="B1454" s="967">
        <v>43299</v>
      </c>
      <c r="C1454" s="966">
        <v>113000</v>
      </c>
      <c r="D1454" s="966">
        <v>0</v>
      </c>
      <c r="E1454" s="966">
        <v>0</v>
      </c>
      <c r="F1454" s="966">
        <v>42397.87</v>
      </c>
      <c r="G1454" s="966">
        <v>36486.637347999997</v>
      </c>
      <c r="H1454" s="966">
        <v>7882.68</v>
      </c>
      <c r="I1454" s="966">
        <v>14.34</v>
      </c>
      <c r="Q1454" s="967">
        <v>43299</v>
      </c>
      <c r="R1454" s="966">
        <v>113000</v>
      </c>
      <c r="T1454" s="969">
        <v>0</v>
      </c>
      <c r="U1454" s="966">
        <v>7882.68</v>
      </c>
      <c r="W1454" s="971" t="e">
        <f t="shared" si="25"/>
        <v>#DIV/0!</v>
      </c>
      <c r="Y1454" s="967">
        <v>43370</v>
      </c>
      <c r="Z1454" s="974">
        <f ca="1">H1404*Valuation_Senario!$L$372</f>
        <v>12463.249780669998</v>
      </c>
      <c r="AA1454" s="973">
        <v>15.08</v>
      </c>
      <c r="AM1454" s="967">
        <v>43299</v>
      </c>
      <c r="AN1454" s="974">
        <v>113000</v>
      </c>
    </row>
    <row r="1455" spans="1:40">
      <c r="A1455" s="966">
        <v>1448</v>
      </c>
      <c r="B1455" s="967">
        <v>43298</v>
      </c>
      <c r="C1455" s="966">
        <v>112000</v>
      </c>
      <c r="D1455" s="966">
        <v>0</v>
      </c>
      <c r="E1455" s="966">
        <v>0</v>
      </c>
      <c r="F1455" s="966">
        <v>42074.98</v>
      </c>
      <c r="G1455" s="966">
        <v>36163.746751999999</v>
      </c>
      <c r="H1455" s="966">
        <v>7882.68</v>
      </c>
      <c r="I1455" s="966">
        <v>14.21</v>
      </c>
      <c r="Q1455" s="967">
        <v>43298</v>
      </c>
      <c r="R1455" s="966">
        <v>112000</v>
      </c>
      <c r="T1455" s="969">
        <v>0</v>
      </c>
      <c r="U1455" s="966">
        <v>7882.68</v>
      </c>
      <c r="W1455" s="971" t="e">
        <f t="shared" si="25"/>
        <v>#DIV/0!</v>
      </c>
      <c r="Y1455" s="967">
        <v>43369</v>
      </c>
      <c r="Z1455" s="974">
        <f ca="1">H1405*Valuation_Senario!$L$372</f>
        <v>12463.249780669998</v>
      </c>
      <c r="AA1455" s="973">
        <v>14.73</v>
      </c>
      <c r="AM1455" s="967">
        <v>43298</v>
      </c>
      <c r="AN1455" s="974">
        <v>112000</v>
      </c>
    </row>
    <row r="1456" spans="1:40">
      <c r="A1456" s="966">
        <v>1449</v>
      </c>
      <c r="B1456" s="967">
        <v>43297</v>
      </c>
      <c r="C1456" s="966">
        <v>107200</v>
      </c>
      <c r="D1456" s="966">
        <v>0</v>
      </c>
      <c r="E1456" s="966">
        <v>0</v>
      </c>
      <c r="F1456" s="966">
        <v>40525.1</v>
      </c>
      <c r="G1456" s="966">
        <v>34613.871891199997</v>
      </c>
      <c r="H1456" s="966">
        <v>7882.68</v>
      </c>
      <c r="I1456" s="966">
        <v>13.6</v>
      </c>
      <c r="Q1456" s="967">
        <v>43297</v>
      </c>
      <c r="R1456" s="966">
        <v>107200</v>
      </c>
      <c r="T1456" s="969">
        <v>0</v>
      </c>
      <c r="U1456" s="966">
        <v>7882.68</v>
      </c>
      <c r="W1456" s="971" t="e">
        <f t="shared" si="25"/>
        <v>#DIV/0!</v>
      </c>
      <c r="Y1456" s="967">
        <v>43368</v>
      </c>
      <c r="Z1456" s="974">
        <f ca="1">H1406*Valuation_Senario!$L$372</f>
        <v>12463.249780669998</v>
      </c>
      <c r="AA1456" s="973">
        <v>14.88</v>
      </c>
      <c r="AM1456" s="967">
        <v>43297</v>
      </c>
      <c r="AN1456" s="974">
        <v>107200</v>
      </c>
    </row>
    <row r="1457" spans="1:40">
      <c r="A1457" s="966">
        <v>1450</v>
      </c>
      <c r="B1457" s="967">
        <v>43294</v>
      </c>
      <c r="C1457" s="966">
        <v>105000</v>
      </c>
      <c r="D1457" s="966">
        <v>0</v>
      </c>
      <c r="E1457" s="966">
        <v>0</v>
      </c>
      <c r="F1457" s="966">
        <v>39814.75</v>
      </c>
      <c r="G1457" s="966">
        <v>33903.512580000002</v>
      </c>
      <c r="H1457" s="966">
        <v>7882.68</v>
      </c>
      <c r="I1457" s="966">
        <v>13.32</v>
      </c>
      <c r="Q1457" s="967">
        <v>43294</v>
      </c>
      <c r="R1457" s="966">
        <v>105000</v>
      </c>
      <c r="T1457" s="969">
        <v>0</v>
      </c>
      <c r="U1457" s="966">
        <v>7882.68</v>
      </c>
      <c r="W1457" s="971" t="e">
        <f t="shared" si="25"/>
        <v>#DIV/0!</v>
      </c>
      <c r="Y1457" s="967">
        <v>43367</v>
      </c>
      <c r="Z1457" s="974">
        <f ca="1">H1407*Valuation_Senario!$L$372</f>
        <v>12463.249780669998</v>
      </c>
      <c r="AA1457" s="973">
        <v>14.93</v>
      </c>
      <c r="AM1457" s="967">
        <v>43294</v>
      </c>
      <c r="AN1457" s="974">
        <v>105000</v>
      </c>
    </row>
    <row r="1458" spans="1:40">
      <c r="A1458" s="966">
        <v>1451</v>
      </c>
      <c r="B1458" s="967">
        <v>43293</v>
      </c>
      <c r="C1458" s="966">
        <v>102000</v>
      </c>
      <c r="D1458" s="966">
        <v>0</v>
      </c>
      <c r="E1458" s="966">
        <v>0</v>
      </c>
      <c r="F1458" s="966">
        <v>38846.07</v>
      </c>
      <c r="G1458" s="966">
        <v>32934.840792000003</v>
      </c>
      <c r="H1458" s="966">
        <v>7882.68</v>
      </c>
      <c r="I1458" s="966">
        <v>12.94</v>
      </c>
      <c r="Q1458" s="967">
        <v>43293</v>
      </c>
      <c r="R1458" s="966">
        <v>102000</v>
      </c>
      <c r="T1458" s="969">
        <v>0</v>
      </c>
      <c r="U1458" s="966">
        <v>7882.68</v>
      </c>
      <c r="W1458" s="971" t="e">
        <f t="shared" si="25"/>
        <v>#DIV/0!</v>
      </c>
      <c r="Y1458" s="967">
        <v>43364</v>
      </c>
      <c r="Z1458" s="974">
        <f ca="1">H1408*Valuation_Senario!$L$372</f>
        <v>12463.249780669998</v>
      </c>
      <c r="AA1458" s="973">
        <v>14.85</v>
      </c>
      <c r="AM1458" s="967">
        <v>43293</v>
      </c>
      <c r="AN1458" s="974">
        <v>102000</v>
      </c>
    </row>
    <row r="1459" spans="1:40">
      <c r="A1459" s="966">
        <v>1452</v>
      </c>
      <c r="B1459" s="967">
        <v>43292</v>
      </c>
      <c r="C1459" s="966">
        <v>101000</v>
      </c>
      <c r="D1459" s="966">
        <v>0</v>
      </c>
      <c r="E1459" s="966">
        <v>0</v>
      </c>
      <c r="F1459" s="966">
        <v>38523.18</v>
      </c>
      <c r="G1459" s="966">
        <v>32611.950196000002</v>
      </c>
      <c r="H1459" s="966">
        <v>7882.68</v>
      </c>
      <c r="I1459" s="966">
        <v>12.81</v>
      </c>
      <c r="Q1459" s="967">
        <v>43292</v>
      </c>
      <c r="R1459" s="966">
        <v>101000</v>
      </c>
      <c r="T1459" s="969">
        <v>0</v>
      </c>
      <c r="U1459" s="966">
        <v>7882.68</v>
      </c>
      <c r="W1459" s="971" t="e">
        <f t="shared" si="25"/>
        <v>#DIV/0!</v>
      </c>
      <c r="Y1459" s="967">
        <v>43363</v>
      </c>
      <c r="Z1459" s="974">
        <f ca="1">H1409*Valuation_Senario!$L$372</f>
        <v>12463.249780669998</v>
      </c>
      <c r="AA1459" s="973">
        <v>14.32</v>
      </c>
      <c r="AM1459" s="967">
        <v>43292</v>
      </c>
      <c r="AN1459" s="974">
        <v>101000</v>
      </c>
    </row>
    <row r="1460" spans="1:40">
      <c r="A1460" s="966">
        <v>1453</v>
      </c>
      <c r="B1460" s="967">
        <v>43291</v>
      </c>
      <c r="C1460" s="966">
        <v>104900</v>
      </c>
      <c r="D1460" s="966">
        <v>0</v>
      </c>
      <c r="E1460" s="966">
        <v>0</v>
      </c>
      <c r="F1460" s="966">
        <v>39782.46</v>
      </c>
      <c r="G1460" s="966">
        <v>33871.223520400003</v>
      </c>
      <c r="H1460" s="966">
        <v>7882.68</v>
      </c>
      <c r="I1460" s="966">
        <v>13.31</v>
      </c>
      <c r="Q1460" s="967">
        <v>43291</v>
      </c>
      <c r="R1460" s="966">
        <v>104900</v>
      </c>
      <c r="T1460" s="969">
        <v>0</v>
      </c>
      <c r="U1460" s="966">
        <v>7882.68</v>
      </c>
      <c r="W1460" s="971" t="e">
        <f t="shared" si="25"/>
        <v>#DIV/0!</v>
      </c>
      <c r="Y1460" s="967">
        <v>43362</v>
      </c>
      <c r="Z1460" s="974">
        <f ca="1">H1410*Valuation_Senario!$L$372</f>
        <v>12463.249780669998</v>
      </c>
      <c r="AA1460" s="973">
        <v>14.36</v>
      </c>
      <c r="AM1460" s="967">
        <v>43291</v>
      </c>
      <c r="AN1460" s="974">
        <v>104900</v>
      </c>
    </row>
    <row r="1461" spans="1:40">
      <c r="A1461" s="966">
        <v>1454</v>
      </c>
      <c r="B1461" s="967">
        <v>43290</v>
      </c>
      <c r="C1461" s="966">
        <v>105000</v>
      </c>
      <c r="D1461" s="966">
        <v>0</v>
      </c>
      <c r="E1461" s="966">
        <v>0</v>
      </c>
      <c r="F1461" s="966">
        <v>39814.75</v>
      </c>
      <c r="G1461" s="966">
        <v>33903.512580000002</v>
      </c>
      <c r="H1461" s="966">
        <v>7882.68</v>
      </c>
      <c r="I1461" s="966">
        <v>13.32</v>
      </c>
      <c r="Q1461" s="967">
        <v>43290</v>
      </c>
      <c r="R1461" s="966">
        <v>105000</v>
      </c>
      <c r="T1461" s="969">
        <v>0</v>
      </c>
      <c r="U1461" s="966">
        <v>7882.68</v>
      </c>
      <c r="W1461" s="971" t="e">
        <f t="shared" si="25"/>
        <v>#DIV/0!</v>
      </c>
      <c r="Y1461" s="967">
        <v>43361</v>
      </c>
      <c r="Z1461" s="974">
        <f ca="1">H1411*Valuation_Senario!$L$372</f>
        <v>12463.249780669998</v>
      </c>
      <c r="AA1461" s="973">
        <v>14.37</v>
      </c>
      <c r="AM1461" s="967">
        <v>43290</v>
      </c>
      <c r="AN1461" s="974">
        <v>105000</v>
      </c>
    </row>
    <row r="1462" spans="1:40">
      <c r="A1462" s="966">
        <v>1455</v>
      </c>
      <c r="B1462" s="967">
        <v>43287</v>
      </c>
      <c r="C1462" s="966">
        <v>106500</v>
      </c>
      <c r="D1462" s="966">
        <v>0</v>
      </c>
      <c r="E1462" s="966">
        <v>0</v>
      </c>
      <c r="F1462" s="966">
        <v>40299.08</v>
      </c>
      <c r="G1462" s="966">
        <v>34387.848473999999</v>
      </c>
      <c r="H1462" s="966">
        <v>7882.68</v>
      </c>
      <c r="I1462" s="966">
        <v>13.51</v>
      </c>
      <c r="Q1462" s="967">
        <v>43287</v>
      </c>
      <c r="R1462" s="966">
        <v>106500</v>
      </c>
      <c r="T1462" s="969">
        <v>0</v>
      </c>
      <c r="U1462" s="966">
        <v>7882.68</v>
      </c>
      <c r="W1462" s="971" t="e">
        <f t="shared" si="25"/>
        <v>#DIV/0!</v>
      </c>
      <c r="Y1462" s="967">
        <v>43360</v>
      </c>
      <c r="Z1462" s="974">
        <f ca="1">H1412*Valuation_Senario!$L$372</f>
        <v>12463.249780669998</v>
      </c>
      <c r="AA1462" s="973">
        <v>14.2</v>
      </c>
      <c r="AM1462" s="967">
        <v>43287</v>
      </c>
      <c r="AN1462" s="974">
        <v>106500</v>
      </c>
    </row>
    <row r="1463" spans="1:40">
      <c r="A1463" s="966">
        <v>1456</v>
      </c>
      <c r="B1463" s="967">
        <v>43286</v>
      </c>
      <c r="C1463" s="966">
        <v>101700</v>
      </c>
      <c r="D1463" s="966">
        <v>0</v>
      </c>
      <c r="E1463" s="966">
        <v>0</v>
      </c>
      <c r="F1463" s="966">
        <v>38749.21</v>
      </c>
      <c r="G1463" s="966">
        <v>32837.973613200003</v>
      </c>
      <c r="H1463" s="966">
        <v>7882.68</v>
      </c>
      <c r="I1463" s="966">
        <v>12.9</v>
      </c>
      <c r="Q1463" s="967">
        <v>43286</v>
      </c>
      <c r="R1463" s="966">
        <v>101700</v>
      </c>
      <c r="T1463" s="969">
        <v>0</v>
      </c>
      <c r="U1463" s="966">
        <v>7882.68</v>
      </c>
      <c r="W1463" s="971" t="e">
        <f t="shared" si="25"/>
        <v>#DIV/0!</v>
      </c>
      <c r="Y1463" s="967">
        <v>43357</v>
      </c>
      <c r="Z1463" s="974">
        <f ca="1">H1413*Valuation_Senario!$L$372</f>
        <v>12463.249780669998</v>
      </c>
      <c r="AA1463" s="973">
        <v>14.37</v>
      </c>
      <c r="AM1463" s="967">
        <v>43286</v>
      </c>
      <c r="AN1463" s="974">
        <v>101700</v>
      </c>
    </row>
    <row r="1464" spans="1:40">
      <c r="A1464" s="966">
        <v>1457</v>
      </c>
      <c r="B1464" s="967">
        <v>43285</v>
      </c>
      <c r="C1464" s="966">
        <v>104500</v>
      </c>
      <c r="D1464" s="966">
        <v>1.4048400000000001</v>
      </c>
      <c r="E1464" s="966">
        <v>0</v>
      </c>
      <c r="F1464" s="966">
        <v>39653.300000000003</v>
      </c>
      <c r="G1464" s="966">
        <v>33742.067282000004</v>
      </c>
      <c r="H1464" s="966">
        <v>7882.68</v>
      </c>
      <c r="I1464" s="966">
        <v>13.26</v>
      </c>
      <c r="Q1464" s="967">
        <v>43285</v>
      </c>
      <c r="R1464" s="966">
        <v>104500</v>
      </c>
      <c r="T1464" s="969">
        <v>1.4048400000000001</v>
      </c>
      <c r="U1464" s="966">
        <v>7882.68</v>
      </c>
      <c r="W1464" s="971" t="e">
        <f t="shared" si="25"/>
        <v>#DIV/0!</v>
      </c>
      <c r="Y1464" s="967">
        <v>43356</v>
      </c>
      <c r="Z1464" s="974">
        <f ca="1">H1414*Valuation_Senario!$L$372</f>
        <v>12463.249780669998</v>
      </c>
      <c r="AA1464" s="973">
        <v>14.32</v>
      </c>
      <c r="AM1464" s="967">
        <v>43285</v>
      </c>
      <c r="AN1464" s="974">
        <v>104500</v>
      </c>
    </row>
    <row r="1465" spans="1:40">
      <c r="A1465" s="966">
        <v>1458</v>
      </c>
      <c r="B1465" s="967">
        <v>43284</v>
      </c>
      <c r="C1465" s="966">
        <v>100100</v>
      </c>
      <c r="D1465" s="966">
        <v>7.7792000000000003</v>
      </c>
      <c r="E1465" s="966">
        <v>7.7792000000000003</v>
      </c>
      <c r="F1465" s="966">
        <v>38232.58</v>
      </c>
      <c r="G1465" s="966">
        <v>32321.3486596</v>
      </c>
      <c r="H1465" s="966">
        <v>7882.68</v>
      </c>
      <c r="I1465" s="966">
        <v>12.7</v>
      </c>
      <c r="Q1465" s="967">
        <v>43284</v>
      </c>
      <c r="R1465" s="966">
        <v>100100</v>
      </c>
      <c r="T1465" s="969">
        <v>0</v>
      </c>
      <c r="U1465" s="966">
        <v>7882.68</v>
      </c>
      <c r="W1465" s="971" t="e">
        <f t="shared" si="25"/>
        <v>#DIV/0!</v>
      </c>
      <c r="Y1465" s="967">
        <v>43355</v>
      </c>
      <c r="Z1465" s="974">
        <f ca="1">H1415*Valuation_Senario!$L$372</f>
        <v>12463.249780669998</v>
      </c>
      <c r="AA1465" s="973">
        <v>14.24</v>
      </c>
      <c r="AM1465" s="967">
        <v>43284</v>
      </c>
      <c r="AN1465" s="974">
        <v>100100</v>
      </c>
    </row>
    <row r="1466" spans="1:40">
      <c r="A1466" s="966">
        <v>1459</v>
      </c>
      <c r="B1466" s="967">
        <v>43283</v>
      </c>
      <c r="C1466" s="966">
        <v>107000</v>
      </c>
      <c r="D1466" s="966">
        <v>0</v>
      </c>
      <c r="E1466" s="966">
        <v>0</v>
      </c>
      <c r="F1466" s="966">
        <v>40460.53</v>
      </c>
      <c r="G1466" s="966">
        <v>34549.293771999997</v>
      </c>
      <c r="H1466" s="966">
        <v>7882.68</v>
      </c>
      <c r="I1466" s="966">
        <v>13.57</v>
      </c>
      <c r="Q1466" s="967">
        <v>43283</v>
      </c>
      <c r="R1466" s="966">
        <v>107000</v>
      </c>
      <c r="T1466" s="969">
        <v>0</v>
      </c>
      <c r="U1466" s="966">
        <v>7882.68</v>
      </c>
      <c r="W1466" s="971" t="e">
        <f t="shared" si="25"/>
        <v>#DIV/0!</v>
      </c>
      <c r="Y1466" s="967">
        <v>43354</v>
      </c>
      <c r="Z1466" s="974">
        <f ca="1">H1416*Valuation_Senario!$L$372</f>
        <v>12463.249780669998</v>
      </c>
      <c r="AA1466" s="973">
        <v>14.2</v>
      </c>
      <c r="AM1466" s="967">
        <v>43283</v>
      </c>
      <c r="AN1466" s="974">
        <v>107000</v>
      </c>
    </row>
    <row r="1467" spans="1:40">
      <c r="A1467" s="966">
        <v>1460</v>
      </c>
      <c r="B1467" s="967">
        <v>43280</v>
      </c>
      <c r="C1467" s="966">
        <v>114000</v>
      </c>
      <c r="D1467" s="966">
        <v>0</v>
      </c>
      <c r="E1467" s="966">
        <v>1.5808930000000001</v>
      </c>
      <c r="F1467" s="966">
        <v>42720.76</v>
      </c>
      <c r="G1467" s="966">
        <v>36809.527944000001</v>
      </c>
      <c r="H1467" s="966">
        <v>7882.68</v>
      </c>
      <c r="I1467" s="966">
        <v>14.46</v>
      </c>
      <c r="Q1467" s="967">
        <v>43280</v>
      </c>
      <c r="R1467" s="966">
        <v>114000</v>
      </c>
      <c r="T1467" s="969">
        <v>-1.5808930000000001</v>
      </c>
      <c r="U1467" s="966">
        <v>7882.68</v>
      </c>
      <c r="W1467" s="971" t="e">
        <f t="shared" si="25"/>
        <v>#DIV/0!</v>
      </c>
      <c r="Y1467" s="967">
        <v>43353</v>
      </c>
      <c r="Z1467" s="974">
        <f ca="1">H1417*Valuation_Senario!$L$372</f>
        <v>12463.249780669998</v>
      </c>
      <c r="AA1467" s="973">
        <v>13.83</v>
      </c>
      <c r="AM1467" s="967">
        <v>43280</v>
      </c>
      <c r="AN1467" s="974">
        <v>114000</v>
      </c>
    </row>
    <row r="1468" spans="1:40">
      <c r="A1468" s="966">
        <v>1461</v>
      </c>
      <c r="B1468" s="967">
        <v>43279</v>
      </c>
      <c r="C1468" s="966">
        <v>114700</v>
      </c>
      <c r="D1468" s="966">
        <v>0</v>
      </c>
      <c r="E1468" s="966">
        <v>0</v>
      </c>
      <c r="F1468" s="966">
        <v>42946.78</v>
      </c>
      <c r="G1468" s="966">
        <v>37035.5513612</v>
      </c>
      <c r="H1468" s="966">
        <v>7882.68</v>
      </c>
      <c r="I1468" s="966">
        <v>14.55</v>
      </c>
      <c r="Q1468" s="967">
        <v>43279</v>
      </c>
      <c r="R1468" s="966">
        <v>114700</v>
      </c>
      <c r="T1468" s="969">
        <v>0</v>
      </c>
      <c r="U1468" s="966">
        <v>7882.68</v>
      </c>
      <c r="W1468" s="971" t="e">
        <f t="shared" si="25"/>
        <v>#DIV/0!</v>
      </c>
      <c r="Y1468" s="967">
        <v>43350</v>
      </c>
      <c r="Z1468" s="974">
        <f ca="1">H1418*Valuation_Senario!$L$372</f>
        <v>12463.249780669998</v>
      </c>
      <c r="AA1468" s="973">
        <v>13.82</v>
      </c>
      <c r="AM1468" s="967">
        <v>43279</v>
      </c>
      <c r="AN1468" s="974">
        <v>114700</v>
      </c>
    </row>
    <row r="1469" spans="1:40">
      <c r="A1469" s="966">
        <v>1462</v>
      </c>
      <c r="B1469" s="967">
        <v>43278</v>
      </c>
      <c r="C1469" s="966">
        <v>118000</v>
      </c>
      <c r="D1469" s="966">
        <v>0</v>
      </c>
      <c r="E1469" s="966">
        <v>0</v>
      </c>
      <c r="F1469" s="966">
        <v>44012.32</v>
      </c>
      <c r="G1469" s="966">
        <v>38101.090327999998</v>
      </c>
      <c r="H1469" s="966">
        <v>7882.68</v>
      </c>
      <c r="I1469" s="966">
        <v>14.97</v>
      </c>
      <c r="Q1469" s="967">
        <v>43278</v>
      </c>
      <c r="R1469" s="966">
        <v>118000</v>
      </c>
      <c r="T1469" s="969">
        <v>0</v>
      </c>
      <c r="U1469" s="966">
        <v>7882.68</v>
      </c>
      <c r="W1469" s="971" t="e">
        <f t="shared" si="25"/>
        <v>#DIV/0!</v>
      </c>
      <c r="Y1469" s="967">
        <v>43349</v>
      </c>
      <c r="Z1469" s="974">
        <f ca="1">H1419*Valuation_Senario!$L$372</f>
        <v>12463.249780669998</v>
      </c>
      <c r="AA1469" s="973">
        <v>13.71</v>
      </c>
      <c r="AM1469" s="967">
        <v>43278</v>
      </c>
      <c r="AN1469" s="974">
        <v>118000</v>
      </c>
    </row>
    <row r="1470" spans="1:40">
      <c r="A1470" s="966">
        <v>1463</v>
      </c>
      <c r="B1470" s="967">
        <v>43277</v>
      </c>
      <c r="C1470" s="966">
        <v>120000</v>
      </c>
      <c r="D1470" s="966">
        <v>0</v>
      </c>
      <c r="E1470" s="966">
        <v>0</v>
      </c>
      <c r="F1470" s="966">
        <v>44658.1</v>
      </c>
      <c r="G1470" s="966">
        <v>38746.871520000001</v>
      </c>
      <c r="H1470" s="966">
        <v>7882.68</v>
      </c>
      <c r="I1470" s="966">
        <v>15.22</v>
      </c>
      <c r="Q1470" s="967">
        <v>43277</v>
      </c>
      <c r="R1470" s="966">
        <v>120000</v>
      </c>
      <c r="T1470" s="969">
        <v>0</v>
      </c>
      <c r="U1470" s="966">
        <v>7882.68</v>
      </c>
      <c r="W1470" s="971" t="e">
        <f t="shared" si="25"/>
        <v>#DIV/0!</v>
      </c>
      <c r="Y1470" s="967">
        <v>43348</v>
      </c>
      <c r="Z1470" s="974">
        <f ca="1">H1420*Valuation_Senario!$L$372</f>
        <v>12463.249780669998</v>
      </c>
      <c r="AA1470" s="973">
        <v>13.7</v>
      </c>
      <c r="AM1470" s="967">
        <v>43277</v>
      </c>
      <c r="AN1470" s="974">
        <v>120000</v>
      </c>
    </row>
    <row r="1471" spans="1:40">
      <c r="A1471" s="966">
        <v>1464</v>
      </c>
      <c r="B1471" s="967">
        <v>43276</v>
      </c>
      <c r="C1471" s="966">
        <v>120900</v>
      </c>
      <c r="D1471" s="966">
        <v>0</v>
      </c>
      <c r="E1471" s="966">
        <v>0</v>
      </c>
      <c r="F1471" s="966">
        <v>44948.71</v>
      </c>
      <c r="G1471" s="966">
        <v>39037.473056399998</v>
      </c>
      <c r="H1471" s="966">
        <v>7882.68</v>
      </c>
      <c r="I1471" s="966">
        <v>15.34</v>
      </c>
      <c r="Q1471" s="967">
        <v>43276</v>
      </c>
      <c r="R1471" s="966">
        <v>120900</v>
      </c>
      <c r="T1471" s="969">
        <v>0</v>
      </c>
      <c r="U1471" s="966">
        <v>7882.68</v>
      </c>
      <c r="W1471" s="971" t="e">
        <f t="shared" si="25"/>
        <v>#DIV/0!</v>
      </c>
      <c r="Y1471" s="967">
        <v>43347</v>
      </c>
      <c r="Z1471" s="974">
        <f ca="1">H1421*Valuation_Senario!$L$372</f>
        <v>12463.249780669998</v>
      </c>
      <c r="AA1471" s="973">
        <v>13.95</v>
      </c>
      <c r="AM1471" s="967">
        <v>43276</v>
      </c>
      <c r="AN1471" s="974">
        <v>120900</v>
      </c>
    </row>
    <row r="1472" spans="1:40">
      <c r="A1472" s="966">
        <v>1465</v>
      </c>
      <c r="B1472" s="967">
        <v>43273</v>
      </c>
      <c r="C1472" s="966">
        <v>116900</v>
      </c>
      <c r="D1472" s="966">
        <v>0</v>
      </c>
      <c r="E1472" s="966">
        <v>0</v>
      </c>
      <c r="F1472" s="966">
        <v>43657.14</v>
      </c>
      <c r="G1472" s="966">
        <v>37745.910672400001</v>
      </c>
      <c r="H1472" s="966">
        <v>7882.68</v>
      </c>
      <c r="I1472" s="966">
        <v>14.83</v>
      </c>
      <c r="Q1472" s="967">
        <v>43273</v>
      </c>
      <c r="R1472" s="966">
        <v>116900</v>
      </c>
      <c r="T1472" s="969">
        <v>0</v>
      </c>
      <c r="U1472" s="966">
        <v>7882.68</v>
      </c>
      <c r="W1472" s="971" t="e">
        <f t="shared" si="25"/>
        <v>#DIV/0!</v>
      </c>
      <c r="Y1472" s="967">
        <v>43343</v>
      </c>
      <c r="Z1472" s="974">
        <f ca="1">H1422*Valuation_Senario!$L$372</f>
        <v>12463.249780669998</v>
      </c>
      <c r="AA1472" s="973">
        <v>14.14</v>
      </c>
      <c r="AM1472" s="967">
        <v>43273</v>
      </c>
      <c r="AN1472" s="974">
        <v>116900</v>
      </c>
    </row>
    <row r="1473" spans="1:40">
      <c r="A1473" s="966">
        <v>1466</v>
      </c>
      <c r="B1473" s="967">
        <v>43272</v>
      </c>
      <c r="C1473" s="966">
        <v>114000</v>
      </c>
      <c r="D1473" s="966">
        <v>0</v>
      </c>
      <c r="E1473" s="966">
        <v>0</v>
      </c>
      <c r="F1473" s="966">
        <v>42720.76</v>
      </c>
      <c r="G1473" s="966">
        <v>36809.527944000001</v>
      </c>
      <c r="H1473" s="966">
        <v>7882.68</v>
      </c>
      <c r="I1473" s="966">
        <v>14.46</v>
      </c>
      <c r="Q1473" s="967">
        <v>43272</v>
      </c>
      <c r="R1473" s="966">
        <v>114000</v>
      </c>
      <c r="T1473" s="969">
        <v>0</v>
      </c>
      <c r="U1473" s="966">
        <v>7882.68</v>
      </c>
      <c r="W1473" s="971" t="e">
        <f t="shared" si="25"/>
        <v>#DIV/0!</v>
      </c>
      <c r="Y1473" s="967">
        <v>43342</v>
      </c>
      <c r="Z1473" s="974">
        <f ca="1">H1423*Valuation_Senario!$L$372</f>
        <v>12463.249780669998</v>
      </c>
      <c r="AA1473" s="973">
        <v>14.49</v>
      </c>
      <c r="AM1473" s="967">
        <v>43272</v>
      </c>
      <c r="AN1473" s="974">
        <v>114000</v>
      </c>
    </row>
    <row r="1474" spans="1:40">
      <c r="A1474" s="966">
        <v>1467</v>
      </c>
      <c r="B1474" s="967">
        <v>43271</v>
      </c>
      <c r="C1474" s="966">
        <v>115800</v>
      </c>
      <c r="D1474" s="966">
        <v>0</v>
      </c>
      <c r="E1474" s="966">
        <v>0</v>
      </c>
      <c r="F1474" s="966">
        <v>43301.96</v>
      </c>
      <c r="G1474" s="966">
        <v>37390.731016799997</v>
      </c>
      <c r="H1474" s="966">
        <v>7882.68</v>
      </c>
      <c r="I1474" s="966">
        <v>14.69</v>
      </c>
      <c r="Q1474" s="967">
        <v>43271</v>
      </c>
      <c r="R1474" s="966">
        <v>115800</v>
      </c>
      <c r="T1474" s="969">
        <v>0</v>
      </c>
      <c r="U1474" s="966">
        <v>7882.68</v>
      </c>
      <c r="W1474" s="971" t="e">
        <f t="shared" si="25"/>
        <v>#DIV/0!</v>
      </c>
      <c r="Y1474" s="967">
        <v>43341</v>
      </c>
      <c r="Z1474" s="974">
        <f ca="1">H1424*Valuation_Senario!$L$372</f>
        <v>12463.249780669998</v>
      </c>
      <c r="AA1474" s="973">
        <v>14.41</v>
      </c>
      <c r="AM1474" s="967">
        <v>43271</v>
      </c>
      <c r="AN1474" s="974">
        <v>115800</v>
      </c>
    </row>
    <row r="1475" spans="1:40">
      <c r="A1475" s="966">
        <v>1468</v>
      </c>
      <c r="B1475" s="967">
        <v>43270</v>
      </c>
      <c r="C1475" s="966">
        <v>115000</v>
      </c>
      <c r="D1475" s="966">
        <v>0</v>
      </c>
      <c r="E1475" s="966">
        <v>0</v>
      </c>
      <c r="F1475" s="966">
        <v>43043.65</v>
      </c>
      <c r="G1475" s="966">
        <v>37132.418539999999</v>
      </c>
      <c r="H1475" s="966">
        <v>7882.68</v>
      </c>
      <c r="I1475" s="966">
        <v>14.59</v>
      </c>
      <c r="Q1475" s="967">
        <v>43270</v>
      </c>
      <c r="R1475" s="966">
        <v>115000</v>
      </c>
      <c r="T1475" s="969">
        <v>0</v>
      </c>
      <c r="U1475" s="966">
        <v>7882.68</v>
      </c>
      <c r="W1475" s="971" t="e">
        <f t="shared" si="25"/>
        <v>#DIV/0!</v>
      </c>
      <c r="Y1475" s="967">
        <v>43340</v>
      </c>
      <c r="Z1475" s="974">
        <f ca="1">H1425*Valuation_Senario!$L$372</f>
        <v>12463.249780669998</v>
      </c>
      <c r="AA1475" s="973">
        <v>14.49</v>
      </c>
      <c r="AM1475" s="967">
        <v>43270</v>
      </c>
      <c r="AN1475" s="974">
        <v>115000</v>
      </c>
    </row>
    <row r="1476" spans="1:40">
      <c r="A1476" s="966">
        <v>1469</v>
      </c>
      <c r="B1476" s="967">
        <v>43269</v>
      </c>
      <c r="C1476" s="966">
        <v>118000</v>
      </c>
      <c r="D1476" s="966">
        <v>0</v>
      </c>
      <c r="E1476" s="966">
        <v>0</v>
      </c>
      <c r="F1476" s="966">
        <v>44012.32</v>
      </c>
      <c r="G1476" s="966">
        <v>38101.090327999998</v>
      </c>
      <c r="H1476" s="966">
        <v>7882.68</v>
      </c>
      <c r="I1476" s="966">
        <v>14.97</v>
      </c>
      <c r="Q1476" s="967">
        <v>43269</v>
      </c>
      <c r="R1476" s="966">
        <v>118000</v>
      </c>
      <c r="T1476" s="969">
        <v>0</v>
      </c>
      <c r="U1476" s="966">
        <v>7882.68</v>
      </c>
      <c r="W1476" s="971" t="e">
        <f t="shared" si="25"/>
        <v>#DIV/0!</v>
      </c>
      <c r="Y1476" s="967">
        <v>43339</v>
      </c>
      <c r="Z1476" s="974">
        <f ca="1">H1426*Valuation_Senario!$L$372</f>
        <v>12463.249780669998</v>
      </c>
      <c r="AA1476" s="973">
        <v>14.54</v>
      </c>
      <c r="AM1476" s="967">
        <v>43269</v>
      </c>
      <c r="AN1476" s="974">
        <v>118000</v>
      </c>
    </row>
    <row r="1477" spans="1:40">
      <c r="A1477" s="966">
        <v>1470</v>
      </c>
      <c r="B1477" s="967">
        <v>43266</v>
      </c>
      <c r="C1477" s="966">
        <v>123800</v>
      </c>
      <c r="D1477" s="966">
        <v>0</v>
      </c>
      <c r="E1477" s="966">
        <v>0</v>
      </c>
      <c r="F1477" s="966">
        <v>45885.09</v>
      </c>
      <c r="G1477" s="966">
        <v>39973.855784799998</v>
      </c>
      <c r="H1477" s="966">
        <v>7882.68</v>
      </c>
      <c r="I1477" s="966">
        <v>15.71</v>
      </c>
      <c r="Q1477" s="967">
        <v>43266</v>
      </c>
      <c r="R1477" s="966">
        <v>123800</v>
      </c>
      <c r="T1477" s="969">
        <v>0</v>
      </c>
      <c r="U1477" s="966">
        <v>7882.68</v>
      </c>
      <c r="W1477" s="971" t="e">
        <f t="shared" si="25"/>
        <v>#DIV/0!</v>
      </c>
      <c r="Y1477" s="967">
        <v>43336</v>
      </c>
      <c r="Z1477" s="974">
        <f ca="1">H1427*Valuation_Senario!$L$372</f>
        <v>12463.249780669998</v>
      </c>
      <c r="AA1477" s="973">
        <v>14.26</v>
      </c>
      <c r="AM1477" s="967">
        <v>43266</v>
      </c>
      <c r="AN1477" s="974">
        <v>123800</v>
      </c>
    </row>
    <row r="1478" spans="1:40">
      <c r="A1478" s="966">
        <v>1471</v>
      </c>
      <c r="B1478" s="967">
        <v>43265</v>
      </c>
      <c r="C1478" s="966">
        <v>123000</v>
      </c>
      <c r="D1478" s="966">
        <v>0</v>
      </c>
      <c r="E1478" s="966">
        <v>0</v>
      </c>
      <c r="F1478" s="966">
        <v>45626.78</v>
      </c>
      <c r="G1478" s="966">
        <v>39715.543308</v>
      </c>
      <c r="H1478" s="966">
        <v>7882.68</v>
      </c>
      <c r="I1478" s="966">
        <v>15.6</v>
      </c>
      <c r="Q1478" s="967">
        <v>43265</v>
      </c>
      <c r="R1478" s="966">
        <v>123000</v>
      </c>
      <c r="T1478" s="969">
        <v>0</v>
      </c>
      <c r="U1478" s="966">
        <v>7882.68</v>
      </c>
      <c r="W1478" s="971" t="e">
        <f t="shared" si="25"/>
        <v>#DIV/0!</v>
      </c>
      <c r="Y1478" s="967">
        <v>43335</v>
      </c>
      <c r="Z1478" s="974">
        <f ca="1">H1428*Valuation_Senario!$L$372</f>
        <v>12463.249780669998</v>
      </c>
      <c r="AA1478" s="973">
        <v>14.36</v>
      </c>
      <c r="AM1478" s="967">
        <v>43265</v>
      </c>
      <c r="AN1478" s="974">
        <v>123000</v>
      </c>
    </row>
    <row r="1479" spans="1:40">
      <c r="A1479" s="966">
        <v>1472</v>
      </c>
      <c r="B1479" s="967">
        <v>43264</v>
      </c>
      <c r="C1479" s="966">
        <v>122600</v>
      </c>
      <c r="D1479" s="966">
        <v>0</v>
      </c>
      <c r="E1479" s="966">
        <v>0</v>
      </c>
      <c r="F1479" s="966">
        <v>45497.62</v>
      </c>
      <c r="G1479" s="966">
        <v>39586.387069600001</v>
      </c>
      <c r="H1479" s="966">
        <v>7882.68</v>
      </c>
      <c r="I1479" s="966">
        <v>15.55</v>
      </c>
      <c r="Q1479" s="967">
        <v>43264</v>
      </c>
      <c r="R1479" s="966">
        <v>122600</v>
      </c>
      <c r="T1479" s="969">
        <v>0</v>
      </c>
      <c r="U1479" s="966">
        <v>7882.68</v>
      </c>
      <c r="W1479" s="971" t="e">
        <f t="shared" si="25"/>
        <v>#DIV/0!</v>
      </c>
      <c r="Y1479" s="967">
        <v>43334</v>
      </c>
      <c r="Z1479" s="974">
        <f ca="1">H1429*Valuation_Senario!$L$372</f>
        <v>12463.249780669998</v>
      </c>
      <c r="AA1479" s="973">
        <v>14.34</v>
      </c>
      <c r="AM1479" s="967">
        <v>43264</v>
      </c>
      <c r="AN1479" s="974">
        <v>122600</v>
      </c>
    </row>
    <row r="1480" spans="1:40">
      <c r="A1480" s="966">
        <v>1473</v>
      </c>
      <c r="B1480" s="967">
        <v>43263</v>
      </c>
      <c r="C1480" s="966">
        <v>120100</v>
      </c>
      <c r="D1480" s="966">
        <v>0</v>
      </c>
      <c r="E1480" s="966">
        <v>0</v>
      </c>
      <c r="F1480" s="966">
        <v>44690.39</v>
      </c>
      <c r="G1480" s="966">
        <v>38779.1605796</v>
      </c>
      <c r="H1480" s="966">
        <v>7882.68</v>
      </c>
      <c r="I1480" s="966">
        <v>15.24</v>
      </c>
      <c r="Q1480" s="967">
        <v>43263</v>
      </c>
      <c r="R1480" s="966">
        <v>120100</v>
      </c>
      <c r="T1480" s="969">
        <v>0</v>
      </c>
      <c r="U1480" s="966">
        <v>7882.68</v>
      </c>
      <c r="W1480" s="971" t="e">
        <f t="shared" si="25"/>
        <v>#DIV/0!</v>
      </c>
      <c r="Y1480" s="967">
        <v>43333</v>
      </c>
      <c r="Z1480" s="974">
        <f ca="1">H1430*Valuation_Senario!$L$372</f>
        <v>12463.249780669998</v>
      </c>
      <c r="AA1480" s="973">
        <v>14.37</v>
      </c>
      <c r="AM1480" s="967">
        <v>43263</v>
      </c>
      <c r="AN1480" s="974">
        <v>120100</v>
      </c>
    </row>
    <row r="1481" spans="1:40">
      <c r="A1481" s="966">
        <v>1474</v>
      </c>
      <c r="B1481" s="967">
        <v>43262</v>
      </c>
      <c r="C1481" s="966">
        <v>122700</v>
      </c>
      <c r="D1481" s="966">
        <v>4.0629999999999999E-2</v>
      </c>
      <c r="E1481" s="966">
        <v>0</v>
      </c>
      <c r="F1481" s="966">
        <v>45529.91</v>
      </c>
      <c r="G1481" s="966">
        <v>39618.676129200001</v>
      </c>
      <c r="H1481" s="966">
        <v>7882.68</v>
      </c>
      <c r="I1481" s="966">
        <v>15.57</v>
      </c>
      <c r="Q1481" s="967">
        <v>43262</v>
      </c>
      <c r="R1481" s="966">
        <v>122700</v>
      </c>
      <c r="T1481" s="969">
        <v>4.0629999999999999E-2</v>
      </c>
      <c r="U1481" s="966">
        <v>7882.68</v>
      </c>
      <c r="W1481" s="971" t="e">
        <f t="shared" ref="W1481:W1544" si="26">T1481/V1481</f>
        <v>#DIV/0!</v>
      </c>
      <c r="Y1481" s="967">
        <v>43332</v>
      </c>
      <c r="Z1481" s="974">
        <f ca="1">H1431*Valuation_Senario!$L$372</f>
        <v>12463.249780669998</v>
      </c>
      <c r="AA1481" s="973">
        <v>14.26</v>
      </c>
      <c r="AM1481" s="967">
        <v>43262</v>
      </c>
      <c r="AN1481" s="974">
        <v>122700</v>
      </c>
    </row>
    <row r="1482" spans="1:40">
      <c r="A1482" s="966">
        <v>1475</v>
      </c>
      <c r="B1482" s="967">
        <v>43259</v>
      </c>
      <c r="C1482" s="966">
        <v>121000</v>
      </c>
      <c r="D1482" s="966">
        <v>0</v>
      </c>
      <c r="E1482" s="966">
        <v>0</v>
      </c>
      <c r="F1482" s="966">
        <v>44980.99</v>
      </c>
      <c r="G1482" s="966">
        <v>39069.762115999998</v>
      </c>
      <c r="H1482" s="966">
        <v>7882.68</v>
      </c>
      <c r="I1482" s="966">
        <v>15.35</v>
      </c>
      <c r="Q1482" s="967">
        <v>43259</v>
      </c>
      <c r="R1482" s="966">
        <v>121000</v>
      </c>
      <c r="T1482" s="969">
        <v>0</v>
      </c>
      <c r="U1482" s="966">
        <v>7882.68</v>
      </c>
      <c r="W1482" s="971" t="e">
        <f t="shared" si="26"/>
        <v>#DIV/0!</v>
      </c>
      <c r="Y1482" s="967">
        <v>43329</v>
      </c>
      <c r="Z1482" s="974">
        <f ca="1">H1432*Valuation_Senario!$L$372</f>
        <v>12463.249780669998</v>
      </c>
      <c r="AA1482" s="973">
        <v>13.91</v>
      </c>
      <c r="AM1482" s="967">
        <v>43259</v>
      </c>
      <c r="AN1482" s="974">
        <v>121000</v>
      </c>
    </row>
    <row r="1483" spans="1:40">
      <c r="A1483" s="966">
        <v>1476</v>
      </c>
      <c r="B1483" s="967">
        <v>43258</v>
      </c>
      <c r="C1483" s="966">
        <v>116400</v>
      </c>
      <c r="D1483" s="966">
        <v>0</v>
      </c>
      <c r="E1483" s="966">
        <v>0</v>
      </c>
      <c r="F1483" s="966">
        <v>43495.7</v>
      </c>
      <c r="G1483" s="966">
        <v>37584.465374400002</v>
      </c>
      <c r="H1483" s="966">
        <v>7882.68</v>
      </c>
      <c r="I1483" s="966">
        <v>14.77</v>
      </c>
      <c r="Q1483" s="967">
        <v>43258</v>
      </c>
      <c r="R1483" s="966">
        <v>116400</v>
      </c>
      <c r="T1483" s="969">
        <v>0</v>
      </c>
      <c r="U1483" s="966">
        <v>7882.68</v>
      </c>
      <c r="W1483" s="971" t="e">
        <f t="shared" si="26"/>
        <v>#DIV/0!</v>
      </c>
      <c r="Y1483" s="967">
        <v>43328</v>
      </c>
      <c r="Z1483" s="974">
        <f ca="1">H1433*Valuation_Senario!$L$372</f>
        <v>12463.249780669998</v>
      </c>
      <c r="AA1483" s="973">
        <v>14.01</v>
      </c>
      <c r="AM1483" s="967">
        <v>43258</v>
      </c>
      <c r="AN1483" s="974">
        <v>116400</v>
      </c>
    </row>
    <row r="1484" spans="1:40">
      <c r="A1484" s="966">
        <v>1477</v>
      </c>
      <c r="B1484" s="967">
        <v>43257</v>
      </c>
      <c r="C1484" s="966">
        <v>118500</v>
      </c>
      <c r="D1484" s="966">
        <v>0</v>
      </c>
      <c r="E1484" s="966">
        <v>3.9980000000000002E-2</v>
      </c>
      <c r="F1484" s="966">
        <v>44173.77</v>
      </c>
      <c r="G1484" s="966">
        <v>38262.535625999997</v>
      </c>
      <c r="H1484" s="966">
        <v>7882.68</v>
      </c>
      <c r="I1484" s="966">
        <v>15.03</v>
      </c>
      <c r="Q1484" s="967">
        <v>43257</v>
      </c>
      <c r="R1484" s="966">
        <v>118500</v>
      </c>
      <c r="T1484" s="969">
        <v>-3.9980000000000002E-2</v>
      </c>
      <c r="U1484" s="966">
        <v>7882.68</v>
      </c>
      <c r="W1484" s="971" t="e">
        <f t="shared" si="26"/>
        <v>#DIV/0!</v>
      </c>
      <c r="Y1484" s="967">
        <v>43327</v>
      </c>
      <c r="Z1484" s="974">
        <f ca="1">H1434*Valuation_Senario!$L$372</f>
        <v>12463.249780669998</v>
      </c>
      <c r="AA1484" s="973">
        <v>13.67</v>
      </c>
      <c r="AM1484" s="967">
        <v>43257</v>
      </c>
      <c r="AN1484" s="974">
        <v>118500</v>
      </c>
    </row>
    <row r="1485" spans="1:40">
      <c r="A1485" s="966">
        <v>1478</v>
      </c>
      <c r="B1485" s="967">
        <v>43256</v>
      </c>
      <c r="C1485" s="966">
        <v>110900</v>
      </c>
      <c r="D1485" s="966">
        <v>0</v>
      </c>
      <c r="E1485" s="966">
        <v>0</v>
      </c>
      <c r="F1485" s="966">
        <v>41719.800000000003</v>
      </c>
      <c r="G1485" s="966">
        <v>35808.567096400002</v>
      </c>
      <c r="H1485" s="966">
        <v>7882.68</v>
      </c>
      <c r="I1485" s="966">
        <v>14.07</v>
      </c>
      <c r="Q1485" s="967">
        <v>43256</v>
      </c>
      <c r="R1485" s="966">
        <v>110900</v>
      </c>
      <c r="T1485" s="969">
        <v>0</v>
      </c>
      <c r="U1485" s="966">
        <v>7882.68</v>
      </c>
      <c r="W1485" s="971" t="e">
        <f t="shared" si="26"/>
        <v>#DIV/0!</v>
      </c>
      <c r="Y1485" s="967">
        <v>43326</v>
      </c>
      <c r="Z1485" s="974">
        <f ca="1">H1435*Valuation_Senario!$L$372</f>
        <v>9770.7310791799991</v>
      </c>
      <c r="AA1485" s="973">
        <v>13.04</v>
      </c>
      <c r="AM1485" s="967">
        <v>43256</v>
      </c>
      <c r="AN1485" s="974">
        <v>110900</v>
      </c>
    </row>
    <row r="1486" spans="1:40">
      <c r="A1486" s="966">
        <v>1479</v>
      </c>
      <c r="B1486" s="967">
        <v>43255</v>
      </c>
      <c r="C1486" s="966">
        <v>109000</v>
      </c>
      <c r="D1486" s="966">
        <v>0</v>
      </c>
      <c r="E1486" s="966">
        <v>0</v>
      </c>
      <c r="F1486" s="966">
        <v>41106.31</v>
      </c>
      <c r="G1486" s="966">
        <v>35195.074963999999</v>
      </c>
      <c r="H1486" s="966">
        <v>7882.68</v>
      </c>
      <c r="I1486" s="966">
        <v>13.83</v>
      </c>
      <c r="Q1486" s="967">
        <v>43255</v>
      </c>
      <c r="R1486" s="966">
        <v>109000</v>
      </c>
      <c r="T1486" s="969">
        <v>0</v>
      </c>
      <c r="U1486" s="966">
        <v>7882.68</v>
      </c>
      <c r="W1486" s="971" t="e">
        <f t="shared" si="26"/>
        <v>#DIV/0!</v>
      </c>
      <c r="Y1486" s="967">
        <v>43325</v>
      </c>
      <c r="Z1486" s="974">
        <f ca="1">H1436*Valuation_Senario!$L$372</f>
        <v>12463.249780669998</v>
      </c>
      <c r="AA1486" s="973">
        <v>13.46</v>
      </c>
      <c r="AM1486" s="967">
        <v>43255</v>
      </c>
      <c r="AN1486" s="974">
        <v>109000</v>
      </c>
    </row>
    <row r="1487" spans="1:40">
      <c r="A1487" s="966">
        <v>1480</v>
      </c>
      <c r="B1487" s="967">
        <v>43252</v>
      </c>
      <c r="C1487" s="966">
        <v>109000</v>
      </c>
      <c r="D1487" s="966">
        <v>0</v>
      </c>
      <c r="E1487" s="966">
        <v>0</v>
      </c>
      <c r="F1487" s="966">
        <v>41106.31</v>
      </c>
      <c r="G1487" s="966">
        <v>35195.074963999999</v>
      </c>
      <c r="H1487" s="966">
        <v>7882.68</v>
      </c>
      <c r="I1487" s="966">
        <v>13.83</v>
      </c>
      <c r="Q1487" s="967">
        <v>43252</v>
      </c>
      <c r="R1487" s="966">
        <v>109000</v>
      </c>
      <c r="T1487" s="969">
        <v>0</v>
      </c>
      <c r="U1487" s="966">
        <v>7882.68</v>
      </c>
      <c r="W1487" s="971" t="e">
        <f t="shared" si="26"/>
        <v>#DIV/0!</v>
      </c>
      <c r="Y1487" s="967">
        <v>43322</v>
      </c>
      <c r="Z1487" s="974">
        <f ca="1">H1437*Valuation_Senario!$L$372</f>
        <v>12463.249780669998</v>
      </c>
      <c r="AA1487" s="973">
        <v>13.6</v>
      </c>
      <c r="AM1487" s="967">
        <v>43252</v>
      </c>
      <c r="AN1487" s="974">
        <v>109000</v>
      </c>
    </row>
    <row r="1488" spans="1:40">
      <c r="A1488" s="966">
        <v>1481</v>
      </c>
      <c r="B1488" s="967">
        <v>43251</v>
      </c>
      <c r="C1488" s="966">
        <v>106200</v>
      </c>
      <c r="D1488" s="966">
        <v>0</v>
      </c>
      <c r="E1488" s="966">
        <v>0</v>
      </c>
      <c r="F1488" s="966">
        <v>40202.21</v>
      </c>
      <c r="G1488" s="966">
        <v>34290.981295199999</v>
      </c>
      <c r="H1488" s="966">
        <v>7882.68</v>
      </c>
      <c r="I1488" s="966">
        <v>13.47</v>
      </c>
      <c r="Q1488" s="967">
        <v>43251</v>
      </c>
      <c r="R1488" s="966">
        <v>106200</v>
      </c>
      <c r="T1488" s="969">
        <v>0</v>
      </c>
      <c r="U1488" s="966">
        <v>7882.68</v>
      </c>
      <c r="W1488" s="971" t="e">
        <f t="shared" si="26"/>
        <v>#DIV/0!</v>
      </c>
      <c r="Y1488" s="967">
        <v>43321</v>
      </c>
      <c r="Z1488" s="974">
        <f ca="1">H1438*Valuation_Senario!$L$372</f>
        <v>12463.249780669998</v>
      </c>
      <c r="AA1488" s="973">
        <v>13.48</v>
      </c>
      <c r="AM1488" s="967">
        <v>43251</v>
      </c>
      <c r="AN1488" s="974">
        <v>106200</v>
      </c>
    </row>
    <row r="1489" spans="1:40">
      <c r="A1489" s="966">
        <v>1482</v>
      </c>
      <c r="B1489" s="967">
        <v>43250</v>
      </c>
      <c r="C1489" s="966">
        <v>103000</v>
      </c>
      <c r="D1489" s="966">
        <v>0</v>
      </c>
      <c r="E1489" s="966">
        <v>0</v>
      </c>
      <c r="F1489" s="966">
        <v>39168.959999999999</v>
      </c>
      <c r="G1489" s="966">
        <v>33257.731388</v>
      </c>
      <c r="H1489" s="966">
        <v>7882.68</v>
      </c>
      <c r="I1489" s="966">
        <v>13.07</v>
      </c>
      <c r="Q1489" s="967">
        <v>43250</v>
      </c>
      <c r="R1489" s="966">
        <v>103000</v>
      </c>
      <c r="T1489" s="969">
        <v>0</v>
      </c>
      <c r="U1489" s="966">
        <v>7882.68</v>
      </c>
      <c r="W1489" s="971" t="e">
        <f t="shared" si="26"/>
        <v>#DIV/0!</v>
      </c>
      <c r="Y1489" s="967">
        <v>43320</v>
      </c>
      <c r="Z1489" s="974">
        <f ca="1">H1439*Valuation_Senario!$L$372</f>
        <v>12463.249780669998</v>
      </c>
      <c r="AA1489" s="973">
        <v>13.42</v>
      </c>
      <c r="AM1489" s="967">
        <v>43250</v>
      </c>
      <c r="AN1489" s="974">
        <v>103000</v>
      </c>
    </row>
    <row r="1490" spans="1:40">
      <c r="A1490" s="966">
        <v>1483</v>
      </c>
      <c r="B1490" s="967">
        <v>43249</v>
      </c>
      <c r="C1490" s="966">
        <v>105000</v>
      </c>
      <c r="D1490" s="966">
        <v>0</v>
      </c>
      <c r="E1490" s="966">
        <v>0</v>
      </c>
      <c r="F1490" s="966">
        <v>39814.75</v>
      </c>
      <c r="G1490" s="966">
        <v>33903.512580000002</v>
      </c>
      <c r="H1490" s="966">
        <v>7882.68</v>
      </c>
      <c r="I1490" s="966">
        <v>13.32</v>
      </c>
      <c r="Q1490" s="967">
        <v>43249</v>
      </c>
      <c r="R1490" s="966">
        <v>105000</v>
      </c>
      <c r="T1490" s="969">
        <v>0</v>
      </c>
      <c r="U1490" s="966">
        <v>7882.68</v>
      </c>
      <c r="W1490" s="971" t="e">
        <f t="shared" si="26"/>
        <v>#DIV/0!</v>
      </c>
      <c r="Y1490" s="967">
        <v>43319</v>
      </c>
      <c r="Z1490" s="974">
        <f ca="1">H1440*Valuation_Senario!$L$372</f>
        <v>12463.249780669998</v>
      </c>
      <c r="AA1490" s="973">
        <v>13.08</v>
      </c>
      <c r="AM1490" s="967">
        <v>43249</v>
      </c>
      <c r="AN1490" s="974">
        <v>105000</v>
      </c>
    </row>
    <row r="1491" spans="1:40">
      <c r="A1491" s="966">
        <v>1484</v>
      </c>
      <c r="B1491" s="967">
        <v>43248</v>
      </c>
      <c r="C1491" s="966">
        <v>102300</v>
      </c>
      <c r="D1491" s="966">
        <v>0</v>
      </c>
      <c r="E1491" s="966">
        <v>0</v>
      </c>
      <c r="F1491" s="966">
        <v>38942.94</v>
      </c>
      <c r="G1491" s="966">
        <v>33031.707970800002</v>
      </c>
      <c r="H1491" s="966">
        <v>7882.68</v>
      </c>
      <c r="I1491" s="966">
        <v>12.98</v>
      </c>
      <c r="Q1491" s="967">
        <v>43248</v>
      </c>
      <c r="R1491" s="966">
        <v>102300</v>
      </c>
      <c r="T1491" s="969">
        <v>0</v>
      </c>
      <c r="U1491" s="966">
        <v>7882.68</v>
      </c>
      <c r="W1491" s="971" t="e">
        <f t="shared" si="26"/>
        <v>#DIV/0!</v>
      </c>
      <c r="Y1491" s="967">
        <v>43318</v>
      </c>
      <c r="Z1491" s="974">
        <f ca="1">H1441*Valuation_Senario!$L$372</f>
        <v>12463.249780669998</v>
      </c>
      <c r="AA1491" s="973">
        <v>13.08</v>
      </c>
      <c r="AM1491" s="967">
        <v>43248</v>
      </c>
      <c r="AN1491" s="974">
        <v>102300</v>
      </c>
    </row>
    <row r="1492" spans="1:40">
      <c r="A1492" s="966">
        <v>1485</v>
      </c>
      <c r="B1492" s="967">
        <v>43245</v>
      </c>
      <c r="C1492" s="966">
        <v>110000</v>
      </c>
      <c r="D1492" s="966">
        <v>0</v>
      </c>
      <c r="E1492" s="966">
        <v>0</v>
      </c>
      <c r="F1492" s="966">
        <v>41429.199999999997</v>
      </c>
      <c r="G1492" s="966">
        <v>35517.965559999997</v>
      </c>
      <c r="H1492" s="966">
        <v>7882.68</v>
      </c>
      <c r="I1492" s="966">
        <v>13.95</v>
      </c>
      <c r="Q1492" s="967">
        <v>43245</v>
      </c>
      <c r="R1492" s="966">
        <v>110000</v>
      </c>
      <c r="T1492" s="969">
        <v>0</v>
      </c>
      <c r="U1492" s="966">
        <v>7882.68</v>
      </c>
      <c r="W1492" s="971" t="e">
        <f t="shared" si="26"/>
        <v>#DIV/0!</v>
      </c>
      <c r="Y1492" s="967">
        <v>43315</v>
      </c>
      <c r="Z1492" s="974">
        <f ca="1">H1442*Valuation_Senario!$L$372</f>
        <v>12462.192491629999</v>
      </c>
      <c r="AA1492" s="973">
        <v>13.26</v>
      </c>
      <c r="AM1492" s="967">
        <v>43245</v>
      </c>
      <c r="AN1492" s="974">
        <v>110000</v>
      </c>
    </row>
    <row r="1493" spans="1:40">
      <c r="A1493" s="966">
        <v>1486</v>
      </c>
      <c r="B1493" s="967">
        <v>43244</v>
      </c>
      <c r="C1493" s="966">
        <v>113700</v>
      </c>
      <c r="D1493" s="966">
        <v>0</v>
      </c>
      <c r="E1493" s="966">
        <v>0</v>
      </c>
      <c r="F1493" s="966">
        <v>42623.89</v>
      </c>
      <c r="G1493" s="966">
        <v>36712.660765200002</v>
      </c>
      <c r="H1493" s="966">
        <v>7882.68</v>
      </c>
      <c r="I1493" s="966">
        <v>14.42</v>
      </c>
      <c r="Q1493" s="967">
        <v>43244</v>
      </c>
      <c r="R1493" s="966">
        <v>113700</v>
      </c>
      <c r="T1493" s="969">
        <v>0</v>
      </c>
      <c r="U1493" s="966">
        <v>7882.68</v>
      </c>
      <c r="W1493" s="971" t="e">
        <f t="shared" si="26"/>
        <v>#DIV/0!</v>
      </c>
      <c r="Y1493" s="967">
        <v>43314</v>
      </c>
      <c r="Z1493" s="974">
        <f ca="1">H1443*Valuation_Senario!$L$372</f>
        <v>12462.192491629999</v>
      </c>
      <c r="AA1493" s="973">
        <v>13.41</v>
      </c>
      <c r="AM1493" s="967">
        <v>43244</v>
      </c>
      <c r="AN1493" s="974">
        <v>113700</v>
      </c>
    </row>
    <row r="1494" spans="1:40">
      <c r="A1494" s="966">
        <v>1487</v>
      </c>
      <c r="B1494" s="967">
        <v>43243</v>
      </c>
      <c r="C1494" s="966">
        <v>113000</v>
      </c>
      <c r="D1494" s="966">
        <v>9.8100000000000007E-2</v>
      </c>
      <c r="E1494" s="966">
        <v>0</v>
      </c>
      <c r="F1494" s="966">
        <v>42397.87</v>
      </c>
      <c r="G1494" s="966">
        <v>36486.637347999997</v>
      </c>
      <c r="H1494" s="966">
        <v>7882.68</v>
      </c>
      <c r="I1494" s="966">
        <v>14.34</v>
      </c>
      <c r="Q1494" s="967">
        <v>43243</v>
      </c>
      <c r="R1494" s="966">
        <v>113000</v>
      </c>
      <c r="T1494" s="969">
        <v>9.8100000000000007E-2</v>
      </c>
      <c r="U1494" s="966">
        <v>7882.68</v>
      </c>
      <c r="W1494" s="971" t="e">
        <f t="shared" si="26"/>
        <v>#DIV/0!</v>
      </c>
      <c r="Y1494" s="967">
        <v>43313</v>
      </c>
      <c r="Z1494" s="974">
        <f ca="1">H1444*Valuation_Senario!$L$372</f>
        <v>12462.192491629999</v>
      </c>
      <c r="AA1494" s="973">
        <v>13.39</v>
      </c>
      <c r="AM1494" s="967">
        <v>43243</v>
      </c>
      <c r="AN1494" s="974">
        <v>113000</v>
      </c>
    </row>
    <row r="1495" spans="1:40">
      <c r="A1495" s="966">
        <v>1488</v>
      </c>
      <c r="B1495" s="967">
        <v>43242</v>
      </c>
      <c r="C1495" s="966">
        <v>109000</v>
      </c>
      <c r="D1495" s="966">
        <v>0</v>
      </c>
      <c r="E1495" s="966">
        <v>0</v>
      </c>
      <c r="F1495" s="966">
        <v>41106.31</v>
      </c>
      <c r="G1495" s="966">
        <v>35195.074963999999</v>
      </c>
      <c r="H1495" s="966">
        <v>7882.68</v>
      </c>
      <c r="I1495" s="966">
        <v>13.83</v>
      </c>
      <c r="Q1495" s="967">
        <v>43242</v>
      </c>
      <c r="R1495" s="966">
        <v>109000</v>
      </c>
      <c r="T1495" s="969">
        <v>0</v>
      </c>
      <c r="U1495" s="966">
        <v>7882.68</v>
      </c>
      <c r="W1495" s="971" t="e">
        <f t="shared" si="26"/>
        <v>#DIV/0!</v>
      </c>
      <c r="Y1495" s="967">
        <v>43312</v>
      </c>
      <c r="Z1495" s="974">
        <f ca="1">H1445*Valuation_Senario!$L$372</f>
        <v>12462.192491629999</v>
      </c>
      <c r="AA1495" s="973">
        <v>13.76</v>
      </c>
      <c r="AM1495" s="967">
        <v>43242</v>
      </c>
      <c r="AN1495" s="974">
        <v>109000</v>
      </c>
    </row>
    <row r="1496" spans="1:40">
      <c r="A1496" s="966">
        <v>1489</v>
      </c>
      <c r="B1496" s="967">
        <v>43241</v>
      </c>
      <c r="C1496" s="966">
        <v>110300</v>
      </c>
      <c r="D1496" s="966">
        <v>0</v>
      </c>
      <c r="E1496" s="966">
        <v>0</v>
      </c>
      <c r="F1496" s="966">
        <v>41526.07</v>
      </c>
      <c r="G1496" s="966">
        <v>35614.832738800003</v>
      </c>
      <c r="H1496" s="966">
        <v>7882.68</v>
      </c>
      <c r="I1496" s="966">
        <v>13.99</v>
      </c>
      <c r="Q1496" s="967">
        <v>43241</v>
      </c>
      <c r="R1496" s="966">
        <v>110300</v>
      </c>
      <c r="T1496" s="969">
        <v>0</v>
      </c>
      <c r="U1496" s="966">
        <v>7882.68</v>
      </c>
      <c r="W1496" s="971" t="e">
        <f t="shared" si="26"/>
        <v>#DIV/0!</v>
      </c>
      <c r="Y1496" s="967">
        <v>43311</v>
      </c>
      <c r="Z1496" s="974">
        <f ca="1">H1446*Valuation_Senario!$L$372</f>
        <v>11575.37662476</v>
      </c>
      <c r="AA1496" s="973">
        <v>14.72</v>
      </c>
      <c r="AM1496" s="967">
        <v>43241</v>
      </c>
      <c r="AN1496" s="974">
        <v>110300</v>
      </c>
    </row>
    <row r="1497" spans="1:40">
      <c r="A1497" s="966">
        <v>1490</v>
      </c>
      <c r="B1497" s="967">
        <v>43238</v>
      </c>
      <c r="C1497" s="966">
        <v>106000</v>
      </c>
      <c r="D1497" s="966">
        <v>0</v>
      </c>
      <c r="E1497" s="966">
        <v>9.2700000000000005E-2</v>
      </c>
      <c r="F1497" s="966">
        <v>40137.64</v>
      </c>
      <c r="G1497" s="966">
        <v>34226.403176</v>
      </c>
      <c r="H1497" s="966">
        <v>7882.68</v>
      </c>
      <c r="I1497" s="966">
        <v>13.45</v>
      </c>
      <c r="Q1497" s="967">
        <v>43238</v>
      </c>
      <c r="R1497" s="966">
        <v>106000</v>
      </c>
      <c r="T1497" s="969">
        <v>-9.2700000000000005E-2</v>
      </c>
      <c r="U1497" s="966">
        <v>7882.68</v>
      </c>
      <c r="W1497" s="971" t="e">
        <f t="shared" si="26"/>
        <v>#DIV/0!</v>
      </c>
      <c r="Y1497" s="967">
        <v>43308</v>
      </c>
      <c r="Z1497" s="974">
        <f ca="1">H1447*Valuation_Senario!$L$372</f>
        <v>11575.37662476</v>
      </c>
      <c r="AA1497" s="973">
        <v>14.44</v>
      </c>
      <c r="AM1497" s="967">
        <v>43238</v>
      </c>
      <c r="AN1497" s="974">
        <v>106000</v>
      </c>
    </row>
    <row r="1498" spans="1:40">
      <c r="A1498" s="966">
        <v>1491</v>
      </c>
      <c r="B1498" s="967">
        <v>43237</v>
      </c>
      <c r="C1498" s="966">
        <v>103200</v>
      </c>
      <c r="D1498" s="966">
        <v>0</v>
      </c>
      <c r="E1498" s="966">
        <v>0</v>
      </c>
      <c r="F1498" s="966">
        <v>39233.54</v>
      </c>
      <c r="G1498" s="966">
        <v>33322.3095072</v>
      </c>
      <c r="H1498" s="966">
        <v>7882.68</v>
      </c>
      <c r="I1498" s="966">
        <v>13.09</v>
      </c>
      <c r="Q1498" s="967">
        <v>43237</v>
      </c>
      <c r="R1498" s="966">
        <v>103200</v>
      </c>
      <c r="T1498" s="969">
        <v>0</v>
      </c>
      <c r="U1498" s="966">
        <v>7882.68</v>
      </c>
      <c r="W1498" s="971" t="e">
        <f t="shared" si="26"/>
        <v>#DIV/0!</v>
      </c>
      <c r="Y1498" s="967">
        <v>43307</v>
      </c>
      <c r="Z1498" s="974">
        <f ca="1">H1448*Valuation_Senario!$L$372</f>
        <v>11575.37662476</v>
      </c>
      <c r="AA1498" s="973">
        <v>13.95</v>
      </c>
      <c r="AM1498" s="967">
        <v>43237</v>
      </c>
      <c r="AN1498" s="974">
        <v>103200</v>
      </c>
    </row>
    <row r="1499" spans="1:40">
      <c r="A1499" s="966">
        <v>1492</v>
      </c>
      <c r="B1499" s="967">
        <v>43236</v>
      </c>
      <c r="C1499" s="966">
        <v>105000</v>
      </c>
      <c r="D1499" s="966">
        <v>0</v>
      </c>
      <c r="E1499" s="966">
        <v>0</v>
      </c>
      <c r="F1499" s="966">
        <v>39814.75</v>
      </c>
      <c r="G1499" s="966">
        <v>33903.512580000002</v>
      </c>
      <c r="H1499" s="966">
        <v>7882.68</v>
      </c>
      <c r="I1499" s="966">
        <v>13.32</v>
      </c>
      <c r="Q1499" s="967">
        <v>43236</v>
      </c>
      <c r="R1499" s="966">
        <v>105000</v>
      </c>
      <c r="T1499" s="969">
        <v>0</v>
      </c>
      <c r="U1499" s="966">
        <v>7882.68</v>
      </c>
      <c r="W1499" s="971" t="e">
        <f t="shared" si="26"/>
        <v>#DIV/0!</v>
      </c>
      <c r="Y1499" s="967">
        <v>43306</v>
      </c>
      <c r="Z1499" s="974">
        <f ca="1">H1449*Valuation_Senario!$L$372</f>
        <v>11575.37662476</v>
      </c>
      <c r="AA1499" s="973">
        <v>14.02</v>
      </c>
      <c r="AM1499" s="967">
        <v>43236</v>
      </c>
      <c r="AN1499" s="974">
        <v>105000</v>
      </c>
    </row>
    <row r="1500" spans="1:40">
      <c r="A1500" s="966">
        <v>1493</v>
      </c>
      <c r="B1500" s="967">
        <v>43235</v>
      </c>
      <c r="C1500" s="966">
        <v>106800</v>
      </c>
      <c r="D1500" s="966">
        <v>0</v>
      </c>
      <c r="E1500" s="966">
        <v>0</v>
      </c>
      <c r="F1500" s="966">
        <v>40395.949999999997</v>
      </c>
      <c r="G1500" s="966">
        <v>34484.715652799998</v>
      </c>
      <c r="H1500" s="966">
        <v>7882.68</v>
      </c>
      <c r="I1500" s="966">
        <v>13.55</v>
      </c>
      <c r="Q1500" s="967">
        <v>43235</v>
      </c>
      <c r="R1500" s="966">
        <v>106800</v>
      </c>
      <c r="T1500" s="969">
        <v>0</v>
      </c>
      <c r="U1500" s="966">
        <v>7882.68</v>
      </c>
      <c r="W1500" s="971" t="e">
        <f t="shared" si="26"/>
        <v>#DIV/0!</v>
      </c>
      <c r="Y1500" s="967">
        <v>43305</v>
      </c>
      <c r="Z1500" s="974">
        <f ca="1">H1450*Valuation_Senario!$L$372</f>
        <v>11575.37662476</v>
      </c>
      <c r="AA1500" s="973">
        <v>14.26</v>
      </c>
      <c r="AM1500" s="967">
        <v>43235</v>
      </c>
      <c r="AN1500" s="974">
        <v>106800</v>
      </c>
    </row>
    <row r="1501" spans="1:40">
      <c r="A1501" s="966">
        <v>1494</v>
      </c>
      <c r="B1501" s="967">
        <v>43234</v>
      </c>
      <c r="C1501" s="966">
        <v>105000</v>
      </c>
      <c r="D1501" s="966">
        <v>0</v>
      </c>
      <c r="E1501" s="966">
        <v>0</v>
      </c>
      <c r="F1501" s="966">
        <v>39814.75</v>
      </c>
      <c r="G1501" s="966">
        <v>33903.512580000002</v>
      </c>
      <c r="H1501" s="966">
        <v>7882.68</v>
      </c>
      <c r="I1501" s="966">
        <v>13.32</v>
      </c>
      <c r="Q1501" s="967">
        <v>43234</v>
      </c>
      <c r="R1501" s="966">
        <v>105000</v>
      </c>
      <c r="T1501" s="969">
        <v>0</v>
      </c>
      <c r="U1501" s="966">
        <v>7882.68</v>
      </c>
      <c r="W1501" s="971" t="e">
        <f t="shared" si="26"/>
        <v>#DIV/0!</v>
      </c>
      <c r="Y1501" s="967">
        <v>43304</v>
      </c>
      <c r="Z1501" s="974">
        <f ca="1">H1451*Valuation_Senario!$L$372</f>
        <v>11575.37662476</v>
      </c>
      <c r="AA1501" s="973">
        <v>14.45</v>
      </c>
      <c r="AM1501" s="967">
        <v>43234</v>
      </c>
      <c r="AN1501" s="974">
        <v>105000</v>
      </c>
    </row>
    <row r="1502" spans="1:40">
      <c r="A1502" s="966">
        <v>1495</v>
      </c>
      <c r="B1502" s="967">
        <v>43231</v>
      </c>
      <c r="C1502" s="966">
        <v>103000</v>
      </c>
      <c r="D1502" s="966">
        <v>4.5592699999999997</v>
      </c>
      <c r="E1502" s="966">
        <v>4.5592699999999997</v>
      </c>
      <c r="F1502" s="966">
        <v>39168.959999999999</v>
      </c>
      <c r="G1502" s="966">
        <v>33257.731388</v>
      </c>
      <c r="H1502" s="966">
        <v>7882.68</v>
      </c>
      <c r="I1502" s="966">
        <v>13.07</v>
      </c>
      <c r="Q1502" s="967">
        <v>43231</v>
      </c>
      <c r="R1502" s="966">
        <v>103000</v>
      </c>
      <c r="T1502" s="969">
        <v>0</v>
      </c>
      <c r="U1502" s="966">
        <v>7882.68</v>
      </c>
      <c r="W1502" s="971" t="e">
        <f t="shared" si="26"/>
        <v>#DIV/0!</v>
      </c>
      <c r="Y1502" s="967">
        <v>43301</v>
      </c>
      <c r="Z1502" s="974">
        <f ca="1">H1452*Valuation_Senario!$L$372</f>
        <v>11575.37662476</v>
      </c>
      <c r="AA1502" s="973">
        <v>14.4</v>
      </c>
      <c r="AM1502" s="967">
        <v>43231</v>
      </c>
      <c r="AN1502" s="974">
        <v>103000</v>
      </c>
    </row>
    <row r="1503" spans="1:40">
      <c r="A1503" s="966">
        <v>1496</v>
      </c>
      <c r="B1503" s="967">
        <v>43230</v>
      </c>
      <c r="C1503" s="966">
        <v>100000</v>
      </c>
      <c r="D1503" s="966">
        <v>0</v>
      </c>
      <c r="E1503" s="966">
        <v>0</v>
      </c>
      <c r="F1503" s="966">
        <v>38200.29</v>
      </c>
      <c r="G1503" s="966">
        <v>32289.059600000001</v>
      </c>
      <c r="H1503" s="966">
        <v>7882.68</v>
      </c>
      <c r="I1503" s="966">
        <v>12.69</v>
      </c>
      <c r="Q1503" s="967">
        <v>43230</v>
      </c>
      <c r="R1503" s="966">
        <v>100000</v>
      </c>
      <c r="T1503" s="969">
        <v>0</v>
      </c>
      <c r="U1503" s="966">
        <v>7882.68</v>
      </c>
      <c r="W1503" s="971" t="e">
        <f t="shared" si="26"/>
        <v>#DIV/0!</v>
      </c>
      <c r="Y1503" s="967">
        <v>43300</v>
      </c>
      <c r="Z1503" s="974">
        <f ca="1">H1453*Valuation_Senario!$L$372</f>
        <v>11575.37662476</v>
      </c>
      <c r="AA1503" s="973">
        <v>14.63</v>
      </c>
      <c r="AM1503" s="967">
        <v>43230</v>
      </c>
      <c r="AN1503" s="974">
        <v>100000</v>
      </c>
    </row>
    <row r="1504" spans="1:40">
      <c r="A1504" s="966">
        <v>1497</v>
      </c>
      <c r="B1504" s="967">
        <v>43229</v>
      </c>
      <c r="C1504" s="966">
        <v>105900</v>
      </c>
      <c r="D1504" s="966">
        <v>0</v>
      </c>
      <c r="E1504" s="966">
        <v>0</v>
      </c>
      <c r="F1504" s="966">
        <v>40105.35</v>
      </c>
      <c r="G1504" s="966">
        <v>34194.1141164</v>
      </c>
      <c r="H1504" s="966">
        <v>7882.68</v>
      </c>
      <c r="I1504" s="966">
        <v>13.43</v>
      </c>
      <c r="Q1504" s="967">
        <v>43229</v>
      </c>
      <c r="R1504" s="966">
        <v>105900</v>
      </c>
      <c r="T1504" s="969">
        <v>0</v>
      </c>
      <c r="U1504" s="966">
        <v>7882.68</v>
      </c>
      <c r="W1504" s="971" t="e">
        <f t="shared" si="26"/>
        <v>#DIV/0!</v>
      </c>
      <c r="Y1504" s="967">
        <v>43299</v>
      </c>
      <c r="Z1504" s="974">
        <f ca="1">H1454*Valuation_Senario!$L$372</f>
        <v>11575.37662476</v>
      </c>
      <c r="AA1504" s="973">
        <v>14.34</v>
      </c>
      <c r="AM1504" s="967">
        <v>43229</v>
      </c>
      <c r="AN1504" s="974">
        <v>105900</v>
      </c>
    </row>
    <row r="1505" spans="1:40">
      <c r="A1505" s="966">
        <v>1498</v>
      </c>
      <c r="B1505" s="967">
        <v>43228</v>
      </c>
      <c r="C1505" s="966">
        <v>105600</v>
      </c>
      <c r="D1505" s="966">
        <v>0</v>
      </c>
      <c r="E1505" s="966">
        <v>0</v>
      </c>
      <c r="F1505" s="966">
        <v>40008.480000000003</v>
      </c>
      <c r="G1505" s="966">
        <v>34097.246937600001</v>
      </c>
      <c r="H1505" s="966">
        <v>7882.68</v>
      </c>
      <c r="I1505" s="966">
        <v>13.4</v>
      </c>
      <c r="Q1505" s="967">
        <v>43228</v>
      </c>
      <c r="R1505" s="966">
        <v>105600</v>
      </c>
      <c r="T1505" s="969">
        <v>0</v>
      </c>
      <c r="U1505" s="966">
        <v>7882.68</v>
      </c>
      <c r="W1505" s="971" t="e">
        <f t="shared" si="26"/>
        <v>#DIV/0!</v>
      </c>
      <c r="Y1505" s="967">
        <v>43298</v>
      </c>
      <c r="Z1505" s="974">
        <f ca="1">H1455*Valuation_Senario!$L$372</f>
        <v>11575.37662476</v>
      </c>
      <c r="AA1505" s="973">
        <v>14.21</v>
      </c>
      <c r="AM1505" s="967">
        <v>43228</v>
      </c>
      <c r="AN1505" s="974">
        <v>105600</v>
      </c>
    </row>
    <row r="1506" spans="1:40">
      <c r="A1506" s="966">
        <v>1499</v>
      </c>
      <c r="B1506" s="967">
        <v>43227</v>
      </c>
      <c r="C1506" s="966">
        <v>108000</v>
      </c>
      <c r="D1506" s="966">
        <v>0</v>
      </c>
      <c r="E1506" s="966">
        <v>0</v>
      </c>
      <c r="F1506" s="966">
        <v>40783.42</v>
      </c>
      <c r="G1506" s="966">
        <v>34872.184368000002</v>
      </c>
      <c r="H1506" s="966">
        <v>7882.68</v>
      </c>
      <c r="I1506" s="966">
        <v>13.7</v>
      </c>
      <c r="Q1506" s="967">
        <v>43227</v>
      </c>
      <c r="R1506" s="966">
        <v>108000</v>
      </c>
      <c r="T1506" s="969">
        <v>0</v>
      </c>
      <c r="U1506" s="966">
        <v>7882.68</v>
      </c>
      <c r="W1506" s="971" t="e">
        <f t="shared" si="26"/>
        <v>#DIV/0!</v>
      </c>
      <c r="Y1506" s="967">
        <v>43297</v>
      </c>
      <c r="Z1506" s="974">
        <f ca="1">H1456*Valuation_Senario!$L$372</f>
        <v>11575.37662476</v>
      </c>
      <c r="AA1506" s="973">
        <v>13.6</v>
      </c>
      <c r="AM1506" s="967">
        <v>43227</v>
      </c>
      <c r="AN1506" s="974">
        <v>108000</v>
      </c>
    </row>
    <row r="1507" spans="1:40">
      <c r="A1507" s="966">
        <v>1500</v>
      </c>
      <c r="B1507" s="967">
        <v>43224</v>
      </c>
      <c r="C1507" s="966">
        <v>101500</v>
      </c>
      <c r="D1507" s="966">
        <v>0</v>
      </c>
      <c r="E1507" s="966">
        <v>0</v>
      </c>
      <c r="F1507" s="966">
        <v>38684.629999999997</v>
      </c>
      <c r="G1507" s="966">
        <v>32773.395493999997</v>
      </c>
      <c r="H1507" s="966">
        <v>7882.68</v>
      </c>
      <c r="I1507" s="966">
        <v>12.88</v>
      </c>
      <c r="Q1507" s="967">
        <v>43224</v>
      </c>
      <c r="R1507" s="966">
        <v>101500</v>
      </c>
      <c r="T1507" s="969">
        <v>0</v>
      </c>
      <c r="U1507" s="966">
        <v>7882.68</v>
      </c>
      <c r="W1507" s="971" t="e">
        <f t="shared" si="26"/>
        <v>#DIV/0!</v>
      </c>
      <c r="Y1507" s="967">
        <v>43294</v>
      </c>
      <c r="Z1507" s="974">
        <f ca="1">H1457*Valuation_Senario!$L$372</f>
        <v>11575.37662476</v>
      </c>
      <c r="AA1507" s="973">
        <v>13.32</v>
      </c>
      <c r="AM1507" s="967">
        <v>43224</v>
      </c>
      <c r="AN1507" s="974">
        <v>101500</v>
      </c>
    </row>
    <row r="1508" spans="1:40">
      <c r="A1508" s="966">
        <v>1501</v>
      </c>
      <c r="B1508" s="967">
        <v>43223</v>
      </c>
      <c r="C1508" s="966">
        <v>101600</v>
      </c>
      <c r="D1508" s="966">
        <v>0</v>
      </c>
      <c r="E1508" s="966">
        <v>0</v>
      </c>
      <c r="F1508" s="966">
        <v>38716.92</v>
      </c>
      <c r="G1508" s="966">
        <v>32805.684553599996</v>
      </c>
      <c r="H1508" s="966">
        <v>7882.68</v>
      </c>
      <c r="I1508" s="966">
        <v>12.89</v>
      </c>
      <c r="Q1508" s="967">
        <v>43223</v>
      </c>
      <c r="R1508" s="966">
        <v>101600</v>
      </c>
      <c r="T1508" s="969">
        <v>0</v>
      </c>
      <c r="U1508" s="966">
        <v>7882.68</v>
      </c>
      <c r="W1508" s="971" t="e">
        <f t="shared" si="26"/>
        <v>#DIV/0!</v>
      </c>
      <c r="Y1508" s="967">
        <v>43293</v>
      </c>
      <c r="Z1508" s="974">
        <f ca="1">H1458*Valuation_Senario!$L$372</f>
        <v>11575.37662476</v>
      </c>
      <c r="AA1508" s="973">
        <v>12.94</v>
      </c>
      <c r="AM1508" s="967">
        <v>43223</v>
      </c>
      <c r="AN1508" s="974">
        <v>101600</v>
      </c>
    </row>
    <row r="1509" spans="1:40">
      <c r="A1509" s="966">
        <v>1502</v>
      </c>
      <c r="B1509" s="967">
        <v>43222</v>
      </c>
      <c r="C1509" s="966">
        <v>101500</v>
      </c>
      <c r="D1509" s="966">
        <v>8.5185279999999999</v>
      </c>
      <c r="E1509" s="966">
        <v>8.5185279999999999</v>
      </c>
      <c r="F1509" s="966">
        <v>33801.5</v>
      </c>
      <c r="G1509" s="966">
        <v>32773.395493999997</v>
      </c>
      <c r="H1509" s="966">
        <v>6958.23</v>
      </c>
      <c r="I1509" s="966">
        <v>14.59</v>
      </c>
      <c r="Q1509" s="967">
        <v>43222</v>
      </c>
      <c r="R1509" s="966">
        <v>101500</v>
      </c>
      <c r="T1509" s="969">
        <v>0</v>
      </c>
      <c r="U1509" s="966">
        <v>6958.23</v>
      </c>
      <c r="W1509" s="971" t="e">
        <f t="shared" si="26"/>
        <v>#DIV/0!</v>
      </c>
      <c r="Y1509" s="967">
        <v>43292</v>
      </c>
      <c r="Z1509" s="974">
        <f ca="1">H1459*Valuation_Senario!$L$372</f>
        <v>11575.37662476</v>
      </c>
      <c r="AA1509" s="973">
        <v>12.81</v>
      </c>
      <c r="AM1509" s="967">
        <v>43222</v>
      </c>
      <c r="AN1509" s="974">
        <v>101500</v>
      </c>
    </row>
    <row r="1510" spans="1:40">
      <c r="A1510" s="966">
        <v>1503</v>
      </c>
      <c r="B1510" s="967">
        <v>43217</v>
      </c>
      <c r="C1510" s="966">
        <v>102000</v>
      </c>
      <c r="D1510" s="966">
        <v>0</v>
      </c>
      <c r="E1510" s="966">
        <v>0</v>
      </c>
      <c r="F1510" s="966">
        <v>33962.94</v>
      </c>
      <c r="G1510" s="966">
        <v>32934.840792000003</v>
      </c>
      <c r="H1510" s="966">
        <v>6958.23</v>
      </c>
      <c r="I1510" s="966">
        <v>14.66</v>
      </c>
      <c r="Q1510" s="967">
        <v>43217</v>
      </c>
      <c r="R1510" s="966">
        <v>102000</v>
      </c>
      <c r="T1510" s="969">
        <v>0</v>
      </c>
      <c r="U1510" s="966">
        <v>6958.23</v>
      </c>
      <c r="W1510" s="971" t="e">
        <f t="shared" si="26"/>
        <v>#DIV/0!</v>
      </c>
      <c r="Y1510" s="967">
        <v>43291</v>
      </c>
      <c r="Z1510" s="974">
        <f ca="1">H1460*Valuation_Senario!$L$372</f>
        <v>11575.37662476</v>
      </c>
      <c r="AA1510" s="973">
        <v>13.31</v>
      </c>
      <c r="AM1510" s="967">
        <v>43217</v>
      </c>
      <c r="AN1510" s="974">
        <v>102000</v>
      </c>
    </row>
    <row r="1511" spans="1:40">
      <c r="A1511" s="966">
        <v>1504</v>
      </c>
      <c r="B1511" s="967">
        <v>43216</v>
      </c>
      <c r="C1511" s="966">
        <v>100800</v>
      </c>
      <c r="D1511" s="966">
        <v>0.83767000000000003</v>
      </c>
      <c r="E1511" s="966">
        <v>0</v>
      </c>
      <c r="F1511" s="966">
        <v>33575.480000000003</v>
      </c>
      <c r="G1511" s="966">
        <v>32547.372076799998</v>
      </c>
      <c r="H1511" s="966">
        <v>6958.23</v>
      </c>
      <c r="I1511" s="966">
        <v>14.49</v>
      </c>
      <c r="Q1511" s="967">
        <v>43216</v>
      </c>
      <c r="R1511" s="966">
        <v>100800</v>
      </c>
      <c r="T1511" s="969">
        <v>0.83767000000000003</v>
      </c>
      <c r="U1511" s="966">
        <v>6958.23</v>
      </c>
      <c r="W1511" s="971" t="e">
        <f t="shared" si="26"/>
        <v>#DIV/0!</v>
      </c>
      <c r="Y1511" s="967">
        <v>43290</v>
      </c>
      <c r="Z1511" s="974">
        <f ca="1">H1461*Valuation_Senario!$L$372</f>
        <v>11575.37662476</v>
      </c>
      <c r="AA1511" s="973">
        <v>13.32</v>
      </c>
      <c r="AM1511" s="967">
        <v>43216</v>
      </c>
      <c r="AN1511" s="974">
        <v>100800</v>
      </c>
    </row>
    <row r="1512" spans="1:40">
      <c r="A1512" s="966">
        <v>1505</v>
      </c>
      <c r="B1512" s="967">
        <v>43214</v>
      </c>
      <c r="C1512" s="966">
        <v>105700</v>
      </c>
      <c r="D1512" s="966">
        <v>0</v>
      </c>
      <c r="E1512" s="966">
        <v>0</v>
      </c>
      <c r="F1512" s="966">
        <v>35157.64</v>
      </c>
      <c r="G1512" s="966">
        <v>34129.535997200001</v>
      </c>
      <c r="H1512" s="966">
        <v>6958.23</v>
      </c>
      <c r="I1512" s="966">
        <v>15.19</v>
      </c>
      <c r="Q1512" s="967">
        <v>43214</v>
      </c>
      <c r="R1512" s="966">
        <v>105700</v>
      </c>
      <c r="T1512" s="969">
        <v>0</v>
      </c>
      <c r="U1512" s="966">
        <v>6958.23</v>
      </c>
      <c r="W1512" s="971" t="e">
        <f t="shared" si="26"/>
        <v>#DIV/0!</v>
      </c>
      <c r="Y1512" s="967">
        <v>43287</v>
      </c>
      <c r="Z1512" s="974">
        <f ca="1">H1462*Valuation_Senario!$L$372</f>
        <v>11575.37662476</v>
      </c>
      <c r="AA1512" s="973">
        <v>13.51</v>
      </c>
      <c r="AM1512" s="967">
        <v>43214</v>
      </c>
      <c r="AN1512" s="974">
        <v>105700</v>
      </c>
    </row>
    <row r="1513" spans="1:40">
      <c r="A1513" s="966">
        <v>1506</v>
      </c>
      <c r="B1513" s="967">
        <v>43213</v>
      </c>
      <c r="C1513" s="966">
        <v>107000</v>
      </c>
      <c r="D1513" s="966">
        <v>0</v>
      </c>
      <c r="E1513" s="966">
        <v>0</v>
      </c>
      <c r="F1513" s="966">
        <v>35577.4</v>
      </c>
      <c r="G1513" s="966">
        <v>34549.293771999997</v>
      </c>
      <c r="H1513" s="966">
        <v>6958.23</v>
      </c>
      <c r="I1513" s="966">
        <v>15.38</v>
      </c>
      <c r="Q1513" s="967">
        <v>43213</v>
      </c>
      <c r="R1513" s="966">
        <v>107000</v>
      </c>
      <c r="T1513" s="969">
        <v>0</v>
      </c>
      <c r="U1513" s="966">
        <v>6958.23</v>
      </c>
      <c r="W1513" s="971" t="e">
        <f t="shared" si="26"/>
        <v>#DIV/0!</v>
      </c>
      <c r="Y1513" s="967">
        <v>43286</v>
      </c>
      <c r="Z1513" s="974">
        <f ca="1">H1463*Valuation_Senario!$L$372</f>
        <v>11575.37662476</v>
      </c>
      <c r="AA1513" s="973">
        <v>12.9</v>
      </c>
      <c r="AM1513" s="967">
        <v>43213</v>
      </c>
      <c r="AN1513" s="974">
        <v>107000</v>
      </c>
    </row>
    <row r="1514" spans="1:40">
      <c r="A1514" s="966">
        <v>1507</v>
      </c>
      <c r="B1514" s="967">
        <v>43210</v>
      </c>
      <c r="C1514" s="966">
        <v>102100</v>
      </c>
      <c r="D1514" s="966">
        <v>0</v>
      </c>
      <c r="E1514" s="966">
        <v>0.79003000000000001</v>
      </c>
      <c r="F1514" s="966">
        <v>33995.230000000003</v>
      </c>
      <c r="G1514" s="966">
        <v>32967.129851600002</v>
      </c>
      <c r="H1514" s="966">
        <v>7126.38</v>
      </c>
      <c r="I1514" s="966">
        <v>14.33</v>
      </c>
      <c r="Q1514" s="967">
        <v>43210</v>
      </c>
      <c r="R1514" s="966">
        <v>102100</v>
      </c>
      <c r="T1514" s="969">
        <v>-0.79003000000000001</v>
      </c>
      <c r="U1514" s="966">
        <v>7126.38</v>
      </c>
      <c r="W1514" s="971" t="e">
        <f t="shared" si="26"/>
        <v>#DIV/0!</v>
      </c>
      <c r="Y1514" s="967">
        <v>43285</v>
      </c>
      <c r="Z1514" s="974">
        <f ca="1">H1464*Valuation_Senario!$L$372</f>
        <v>11575.37662476</v>
      </c>
      <c r="AA1514" s="973">
        <v>13.26</v>
      </c>
      <c r="AM1514" s="967">
        <v>43210</v>
      </c>
      <c r="AN1514" s="974">
        <v>102100</v>
      </c>
    </row>
    <row r="1515" spans="1:40">
      <c r="A1515" s="966">
        <v>1508</v>
      </c>
      <c r="B1515" s="967">
        <v>43209</v>
      </c>
      <c r="C1515" s="966">
        <v>98000</v>
      </c>
      <c r="D1515" s="966">
        <v>0</v>
      </c>
      <c r="E1515" s="966">
        <v>0</v>
      </c>
      <c r="F1515" s="966">
        <v>32671.38</v>
      </c>
      <c r="G1515" s="966">
        <v>31643.278407999998</v>
      </c>
      <c r="H1515" s="966">
        <v>7126.78</v>
      </c>
      <c r="I1515" s="966">
        <v>13.75</v>
      </c>
      <c r="Q1515" s="967">
        <v>43209</v>
      </c>
      <c r="R1515" s="966">
        <v>98000</v>
      </c>
      <c r="T1515" s="969">
        <v>0</v>
      </c>
      <c r="U1515" s="966">
        <v>7126.78</v>
      </c>
      <c r="W1515" s="971" t="e">
        <f t="shared" si="26"/>
        <v>#DIV/0!</v>
      </c>
      <c r="Y1515" s="967">
        <v>43284</v>
      </c>
      <c r="Z1515" s="974">
        <f ca="1">H1465*Valuation_Senario!$L$372</f>
        <v>11575.37662476</v>
      </c>
      <c r="AA1515" s="973">
        <v>12.7</v>
      </c>
      <c r="AM1515" s="967">
        <v>43209</v>
      </c>
      <c r="AN1515" s="974">
        <v>98000</v>
      </c>
    </row>
    <row r="1516" spans="1:40">
      <c r="A1516" s="966">
        <v>1509</v>
      </c>
      <c r="B1516" s="967">
        <v>43208</v>
      </c>
      <c r="C1516" s="966">
        <v>103000</v>
      </c>
      <c r="D1516" s="966">
        <v>0</v>
      </c>
      <c r="E1516" s="966">
        <v>0</v>
      </c>
      <c r="F1516" s="966">
        <v>34285.83</v>
      </c>
      <c r="G1516" s="966">
        <v>33257.731388</v>
      </c>
      <c r="H1516" s="966">
        <v>7127.17</v>
      </c>
      <c r="I1516" s="966">
        <v>14.45</v>
      </c>
      <c r="Q1516" s="967">
        <v>43208</v>
      </c>
      <c r="R1516" s="966">
        <v>103000</v>
      </c>
      <c r="T1516" s="969">
        <v>0</v>
      </c>
      <c r="U1516" s="966">
        <v>7127.17</v>
      </c>
      <c r="W1516" s="971" t="e">
        <f t="shared" si="26"/>
        <v>#DIV/0!</v>
      </c>
      <c r="Y1516" s="967">
        <v>43283</v>
      </c>
      <c r="Z1516" s="974">
        <f ca="1">H1466*Valuation_Senario!$L$372</f>
        <v>11575.37662476</v>
      </c>
      <c r="AA1516" s="973">
        <v>13.57</v>
      </c>
      <c r="AM1516" s="967">
        <v>43208</v>
      </c>
      <c r="AN1516" s="974">
        <v>103000</v>
      </c>
    </row>
    <row r="1517" spans="1:40">
      <c r="A1517" s="966">
        <v>1510</v>
      </c>
      <c r="B1517" s="967">
        <v>43207</v>
      </c>
      <c r="C1517" s="966">
        <v>105200</v>
      </c>
      <c r="D1517" s="966">
        <v>0</v>
      </c>
      <c r="E1517" s="966">
        <v>0</v>
      </c>
      <c r="F1517" s="966">
        <v>34996.19</v>
      </c>
      <c r="G1517" s="966">
        <v>33968.090699200002</v>
      </c>
      <c r="H1517" s="966">
        <v>7127.57</v>
      </c>
      <c r="I1517" s="966">
        <v>14.76</v>
      </c>
      <c r="Q1517" s="967">
        <v>43207</v>
      </c>
      <c r="R1517" s="966">
        <v>105200</v>
      </c>
      <c r="T1517" s="969">
        <v>0</v>
      </c>
      <c r="U1517" s="966">
        <v>7127.57</v>
      </c>
      <c r="W1517" s="971" t="e">
        <f t="shared" si="26"/>
        <v>#DIV/0!</v>
      </c>
      <c r="Y1517" s="967">
        <v>43280</v>
      </c>
      <c r="Z1517" s="974">
        <f ca="1">H1467*Valuation_Senario!$L$372</f>
        <v>11575.37662476</v>
      </c>
      <c r="AA1517" s="973">
        <v>14.46</v>
      </c>
      <c r="AM1517" s="967">
        <v>43207</v>
      </c>
      <c r="AN1517" s="974">
        <v>105200</v>
      </c>
    </row>
    <row r="1518" spans="1:40">
      <c r="A1518" s="966">
        <v>1511</v>
      </c>
      <c r="B1518" s="967">
        <v>43206</v>
      </c>
      <c r="C1518" s="966">
        <v>106000</v>
      </c>
      <c r="D1518" s="966">
        <v>0</v>
      </c>
      <c r="E1518" s="966">
        <v>0</v>
      </c>
      <c r="F1518" s="966">
        <v>35254.51</v>
      </c>
      <c r="G1518" s="966">
        <v>34226.403176</v>
      </c>
      <c r="H1518" s="966">
        <v>7127.96</v>
      </c>
      <c r="I1518" s="966">
        <v>14.87</v>
      </c>
      <c r="Q1518" s="967">
        <v>43206</v>
      </c>
      <c r="R1518" s="966">
        <v>106000</v>
      </c>
      <c r="T1518" s="969">
        <v>0</v>
      </c>
      <c r="U1518" s="966">
        <v>7127.96</v>
      </c>
      <c r="W1518" s="971" t="e">
        <f t="shared" si="26"/>
        <v>#DIV/0!</v>
      </c>
      <c r="Y1518" s="967">
        <v>43279</v>
      </c>
      <c r="Z1518" s="974">
        <f ca="1">H1468*Valuation_Senario!$L$372</f>
        <v>11575.37662476</v>
      </c>
      <c r="AA1518" s="973">
        <v>14.55</v>
      </c>
      <c r="AM1518" s="967">
        <v>43206</v>
      </c>
      <c r="AN1518" s="974">
        <v>106000</v>
      </c>
    </row>
    <row r="1519" spans="1:40">
      <c r="A1519" s="966">
        <v>1512</v>
      </c>
      <c r="B1519" s="967">
        <v>43203</v>
      </c>
      <c r="C1519" s="966">
        <v>105400</v>
      </c>
      <c r="D1519" s="966">
        <v>4.1999999999999997E-3</v>
      </c>
      <c r="E1519" s="966">
        <v>0</v>
      </c>
      <c r="F1519" s="966">
        <v>35060.769999999997</v>
      </c>
      <c r="G1519" s="966">
        <v>34032.668818400001</v>
      </c>
      <c r="H1519" s="966">
        <v>7129.15</v>
      </c>
      <c r="I1519" s="966">
        <v>14.78</v>
      </c>
      <c r="Q1519" s="967">
        <v>43203</v>
      </c>
      <c r="R1519" s="966">
        <v>105400</v>
      </c>
      <c r="T1519" s="969">
        <v>4.1999999999999997E-3</v>
      </c>
      <c r="U1519" s="966">
        <v>7129.15</v>
      </c>
      <c r="W1519" s="971" t="e">
        <f t="shared" si="26"/>
        <v>#DIV/0!</v>
      </c>
      <c r="Y1519" s="967">
        <v>43278</v>
      </c>
      <c r="Z1519" s="974">
        <f ca="1">H1469*Valuation_Senario!$L$372</f>
        <v>11575.37662476</v>
      </c>
      <c r="AA1519" s="973">
        <v>14.97</v>
      </c>
      <c r="AM1519" s="967">
        <v>43203</v>
      </c>
      <c r="AN1519" s="974">
        <v>105400</v>
      </c>
    </row>
    <row r="1520" spans="1:40">
      <c r="A1520" s="966">
        <v>1513</v>
      </c>
      <c r="B1520" s="967">
        <v>43202</v>
      </c>
      <c r="C1520" s="966">
        <v>103500</v>
      </c>
      <c r="D1520" s="966">
        <v>0</v>
      </c>
      <c r="E1520" s="966">
        <v>0</v>
      </c>
      <c r="F1520" s="966">
        <v>34447.279999999999</v>
      </c>
      <c r="G1520" s="966">
        <v>33419.176685999999</v>
      </c>
      <c r="H1520" s="966">
        <v>7129.54</v>
      </c>
      <c r="I1520" s="966">
        <v>14.52</v>
      </c>
      <c r="Q1520" s="967">
        <v>43202</v>
      </c>
      <c r="R1520" s="966">
        <v>103500</v>
      </c>
      <c r="T1520" s="969">
        <v>0</v>
      </c>
      <c r="U1520" s="966">
        <v>7129.54</v>
      </c>
      <c r="W1520" s="971" t="e">
        <f t="shared" si="26"/>
        <v>#DIV/0!</v>
      </c>
      <c r="Y1520" s="967">
        <v>43277</v>
      </c>
      <c r="Z1520" s="974">
        <f ca="1">H1470*Valuation_Senario!$L$372</f>
        <v>11575.37662476</v>
      </c>
      <c r="AA1520" s="973">
        <v>15.22</v>
      </c>
      <c r="AM1520" s="967">
        <v>43202</v>
      </c>
      <c r="AN1520" s="974">
        <v>103500</v>
      </c>
    </row>
    <row r="1521" spans="1:40">
      <c r="A1521" s="966">
        <v>1514</v>
      </c>
      <c r="B1521" s="967">
        <v>43201</v>
      </c>
      <c r="C1521" s="966">
        <v>99800</v>
      </c>
      <c r="D1521" s="966">
        <v>0</v>
      </c>
      <c r="E1521" s="966">
        <v>0</v>
      </c>
      <c r="F1521" s="966">
        <v>33252.58</v>
      </c>
      <c r="G1521" s="966">
        <v>32224.481480800001</v>
      </c>
      <c r="H1521" s="966">
        <v>7129.94</v>
      </c>
      <c r="I1521" s="966">
        <v>14</v>
      </c>
      <c r="Q1521" s="967">
        <v>43201</v>
      </c>
      <c r="R1521" s="966">
        <v>99800</v>
      </c>
      <c r="T1521" s="969">
        <v>0</v>
      </c>
      <c r="U1521" s="966">
        <v>7129.94</v>
      </c>
      <c r="W1521" s="971" t="e">
        <f t="shared" si="26"/>
        <v>#DIV/0!</v>
      </c>
      <c r="Y1521" s="967">
        <v>43276</v>
      </c>
      <c r="Z1521" s="974">
        <f ca="1">H1471*Valuation_Senario!$L$372</f>
        <v>11575.37662476</v>
      </c>
      <c r="AA1521" s="973">
        <v>15.34</v>
      </c>
      <c r="AM1521" s="967">
        <v>43201</v>
      </c>
      <c r="AN1521" s="974">
        <v>99800</v>
      </c>
    </row>
    <row r="1522" spans="1:40">
      <c r="A1522" s="966">
        <v>1515</v>
      </c>
      <c r="B1522" s="967">
        <v>43200</v>
      </c>
      <c r="C1522" s="966">
        <v>101000</v>
      </c>
      <c r="D1522" s="966">
        <v>0</v>
      </c>
      <c r="E1522" s="966">
        <v>4.1359999999999999E-3</v>
      </c>
      <c r="F1522" s="966">
        <v>33640.050000000003</v>
      </c>
      <c r="G1522" s="966">
        <v>32611.950196000002</v>
      </c>
      <c r="H1522" s="966">
        <v>7130.34</v>
      </c>
      <c r="I1522" s="966">
        <v>14.16</v>
      </c>
      <c r="Q1522" s="967">
        <v>43200</v>
      </c>
      <c r="R1522" s="966">
        <v>101000</v>
      </c>
      <c r="T1522" s="969">
        <v>-4.1359999999999999E-3</v>
      </c>
      <c r="U1522" s="966">
        <v>7130.34</v>
      </c>
      <c r="W1522" s="971" t="e">
        <f t="shared" si="26"/>
        <v>#DIV/0!</v>
      </c>
      <c r="Y1522" s="967">
        <v>43273</v>
      </c>
      <c r="Z1522" s="974">
        <f ca="1">H1472*Valuation_Senario!$L$372</f>
        <v>11575.37662476</v>
      </c>
      <c r="AA1522" s="973">
        <v>14.83</v>
      </c>
      <c r="AM1522" s="967">
        <v>43200</v>
      </c>
      <c r="AN1522" s="974">
        <v>101000</v>
      </c>
    </row>
    <row r="1523" spans="1:40">
      <c r="A1523" s="966">
        <v>1516</v>
      </c>
      <c r="B1523" s="967">
        <v>43199</v>
      </c>
      <c r="C1523" s="966">
        <v>103400</v>
      </c>
      <c r="D1523" s="966">
        <v>0</v>
      </c>
      <c r="E1523" s="966">
        <v>0</v>
      </c>
      <c r="F1523" s="966">
        <v>34414.99</v>
      </c>
      <c r="G1523" s="966">
        <v>33386.887626399999</v>
      </c>
      <c r="H1523" s="966">
        <v>7130.73</v>
      </c>
      <c r="I1523" s="966">
        <v>14.5</v>
      </c>
      <c r="Q1523" s="967">
        <v>43199</v>
      </c>
      <c r="R1523" s="966">
        <v>103400</v>
      </c>
      <c r="T1523" s="969">
        <v>0</v>
      </c>
      <c r="U1523" s="966">
        <v>7130.73</v>
      </c>
      <c r="W1523" s="971" t="e">
        <f t="shared" si="26"/>
        <v>#DIV/0!</v>
      </c>
      <c r="Y1523" s="967">
        <v>43272</v>
      </c>
      <c r="Z1523" s="974">
        <f ca="1">H1473*Valuation_Senario!$L$372</f>
        <v>11575.37662476</v>
      </c>
      <c r="AA1523" s="973">
        <v>14.46</v>
      </c>
      <c r="AM1523" s="967">
        <v>43199</v>
      </c>
      <c r="AN1523" s="974">
        <v>103400</v>
      </c>
    </row>
    <row r="1524" spans="1:40">
      <c r="A1524" s="966">
        <v>1517</v>
      </c>
      <c r="B1524" s="967">
        <v>43196</v>
      </c>
      <c r="C1524" s="966">
        <v>105300</v>
      </c>
      <c r="D1524" s="966">
        <v>0</v>
      </c>
      <c r="E1524" s="966">
        <v>0</v>
      </c>
      <c r="F1524" s="966">
        <v>35028.480000000003</v>
      </c>
      <c r="G1524" s="966">
        <v>34000.379758800002</v>
      </c>
      <c r="H1524" s="966">
        <v>7131.92</v>
      </c>
      <c r="I1524" s="966">
        <v>14.76</v>
      </c>
      <c r="Q1524" s="967">
        <v>43196</v>
      </c>
      <c r="R1524" s="966">
        <v>105300</v>
      </c>
      <c r="T1524" s="969">
        <v>0</v>
      </c>
      <c r="U1524" s="966">
        <v>7131.92</v>
      </c>
      <c r="W1524" s="971" t="e">
        <f t="shared" si="26"/>
        <v>#DIV/0!</v>
      </c>
      <c r="Y1524" s="967">
        <v>43271</v>
      </c>
      <c r="Z1524" s="974">
        <f ca="1">H1474*Valuation_Senario!$L$372</f>
        <v>11575.37662476</v>
      </c>
      <c r="AA1524" s="973">
        <v>14.69</v>
      </c>
      <c r="AM1524" s="967">
        <v>43196</v>
      </c>
      <c r="AN1524" s="974">
        <v>105300</v>
      </c>
    </row>
    <row r="1525" spans="1:40">
      <c r="A1525" s="966">
        <v>1518</v>
      </c>
      <c r="B1525" s="967">
        <v>43195</v>
      </c>
      <c r="C1525" s="966">
        <v>105400</v>
      </c>
      <c r="D1525" s="966">
        <v>0</v>
      </c>
      <c r="E1525" s="966">
        <v>0</v>
      </c>
      <c r="F1525" s="966">
        <v>35060.769999999997</v>
      </c>
      <c r="G1525" s="966">
        <v>34032.668818400001</v>
      </c>
      <c r="H1525" s="966">
        <v>7132.31</v>
      </c>
      <c r="I1525" s="966">
        <v>14.78</v>
      </c>
      <c r="Q1525" s="967">
        <v>43195</v>
      </c>
      <c r="R1525" s="966">
        <v>105400</v>
      </c>
      <c r="T1525" s="969">
        <v>0</v>
      </c>
      <c r="U1525" s="966">
        <v>7132.31</v>
      </c>
      <c r="W1525" s="971" t="e">
        <f t="shared" si="26"/>
        <v>#DIV/0!</v>
      </c>
      <c r="Y1525" s="967">
        <v>43270</v>
      </c>
      <c r="Z1525" s="974">
        <f ca="1">H1475*Valuation_Senario!$L$372</f>
        <v>11575.37662476</v>
      </c>
      <c r="AA1525" s="973">
        <v>14.59</v>
      </c>
      <c r="AM1525" s="967">
        <v>43195</v>
      </c>
      <c r="AN1525" s="974">
        <v>105400</v>
      </c>
    </row>
    <row r="1526" spans="1:40">
      <c r="A1526" s="966">
        <v>1519</v>
      </c>
      <c r="B1526" s="967">
        <v>43194</v>
      </c>
      <c r="C1526" s="966">
        <v>104900</v>
      </c>
      <c r="D1526" s="966">
        <v>0</v>
      </c>
      <c r="E1526" s="966">
        <v>0</v>
      </c>
      <c r="F1526" s="966">
        <v>34899.33</v>
      </c>
      <c r="G1526" s="966">
        <v>33871.223520400003</v>
      </c>
      <c r="H1526" s="966">
        <v>7132.71</v>
      </c>
      <c r="I1526" s="966">
        <v>14.71</v>
      </c>
      <c r="Q1526" s="967">
        <v>43194</v>
      </c>
      <c r="R1526" s="966">
        <v>104900</v>
      </c>
      <c r="T1526" s="969">
        <v>0</v>
      </c>
      <c r="U1526" s="966">
        <v>7132.71</v>
      </c>
      <c r="W1526" s="971" t="e">
        <f t="shared" si="26"/>
        <v>#DIV/0!</v>
      </c>
      <c r="Y1526" s="967">
        <v>43269</v>
      </c>
      <c r="Z1526" s="974">
        <f ca="1">H1476*Valuation_Senario!$L$372</f>
        <v>11575.37662476</v>
      </c>
      <c r="AA1526" s="973">
        <v>14.97</v>
      </c>
      <c r="AM1526" s="967">
        <v>43194</v>
      </c>
      <c r="AN1526" s="974">
        <v>104900</v>
      </c>
    </row>
    <row r="1527" spans="1:40">
      <c r="A1527" s="966">
        <v>1520</v>
      </c>
      <c r="B1527" s="967">
        <v>43193</v>
      </c>
      <c r="C1527" s="966">
        <v>103000</v>
      </c>
      <c r="D1527" s="966">
        <v>0</v>
      </c>
      <c r="E1527" s="966">
        <v>0</v>
      </c>
      <c r="F1527" s="966">
        <v>34285.83</v>
      </c>
      <c r="G1527" s="966">
        <v>33257.731388</v>
      </c>
      <c r="H1527" s="966">
        <v>7133.11</v>
      </c>
      <c r="I1527" s="966">
        <v>14.44</v>
      </c>
      <c r="Q1527" s="967">
        <v>43193</v>
      </c>
      <c r="R1527" s="966">
        <v>103000</v>
      </c>
      <c r="T1527" s="969">
        <v>0</v>
      </c>
      <c r="U1527" s="966">
        <v>7133.11</v>
      </c>
      <c r="W1527" s="971" t="e">
        <f t="shared" si="26"/>
        <v>#DIV/0!</v>
      </c>
      <c r="Y1527" s="967">
        <v>43266</v>
      </c>
      <c r="Z1527" s="974">
        <f ca="1">H1477*Valuation_Senario!$L$372</f>
        <v>11575.37662476</v>
      </c>
      <c r="AA1527" s="973">
        <v>15.71</v>
      </c>
      <c r="AM1527" s="967">
        <v>43193</v>
      </c>
      <c r="AN1527" s="974">
        <v>103000</v>
      </c>
    </row>
    <row r="1528" spans="1:40">
      <c r="A1528" s="966">
        <v>1521</v>
      </c>
      <c r="B1528" s="967">
        <v>43192</v>
      </c>
      <c r="C1528" s="966">
        <v>110100</v>
      </c>
      <c r="D1528" s="966">
        <v>0</v>
      </c>
      <c r="E1528" s="966">
        <v>0</v>
      </c>
      <c r="F1528" s="966">
        <v>36583.29</v>
      </c>
      <c r="G1528" s="966">
        <v>35555.183246100001</v>
      </c>
      <c r="H1528" s="966">
        <v>7132.47</v>
      </c>
      <c r="I1528" s="966">
        <v>15.44</v>
      </c>
      <c r="Q1528" s="967">
        <v>43192</v>
      </c>
      <c r="R1528" s="966">
        <v>110100</v>
      </c>
      <c r="T1528" s="969">
        <v>0</v>
      </c>
      <c r="U1528" s="966">
        <v>7132.47</v>
      </c>
      <c r="W1528" s="971" t="e">
        <f t="shared" si="26"/>
        <v>#DIV/0!</v>
      </c>
      <c r="Y1528" s="967">
        <v>43265</v>
      </c>
      <c r="Z1528" s="974">
        <f ca="1">H1478*Valuation_Senario!$L$372</f>
        <v>11575.37662476</v>
      </c>
      <c r="AA1528" s="973">
        <v>15.6</v>
      </c>
      <c r="AM1528" s="967">
        <v>43192</v>
      </c>
      <c r="AN1528" s="974">
        <v>110100</v>
      </c>
    </row>
    <row r="1529" spans="1:40">
      <c r="A1529" s="966">
        <v>1522</v>
      </c>
      <c r="B1529" s="967">
        <v>43189</v>
      </c>
      <c r="C1529" s="966">
        <v>112800</v>
      </c>
      <c r="D1529" s="966">
        <v>0</v>
      </c>
      <c r="E1529" s="966">
        <v>0</v>
      </c>
      <c r="F1529" s="966">
        <v>37455.21</v>
      </c>
      <c r="G1529" s="966">
        <v>36427.108720800003</v>
      </c>
      <c r="H1529" s="966">
        <v>7133.66</v>
      </c>
      <c r="I1529" s="966">
        <v>15.81</v>
      </c>
      <c r="Q1529" s="967">
        <v>43189</v>
      </c>
      <c r="R1529" s="966">
        <v>112800</v>
      </c>
      <c r="T1529" s="969">
        <v>0</v>
      </c>
      <c r="U1529" s="966">
        <v>7133.66</v>
      </c>
      <c r="W1529" s="971" t="e">
        <f t="shared" si="26"/>
        <v>#DIV/0!</v>
      </c>
      <c r="Y1529" s="967">
        <v>43264</v>
      </c>
      <c r="Z1529" s="974">
        <f ca="1">H1479*Valuation_Senario!$L$372</f>
        <v>11575.37662476</v>
      </c>
      <c r="AA1529" s="973">
        <v>15.55</v>
      </c>
      <c r="AM1529" s="967">
        <v>43189</v>
      </c>
      <c r="AN1529" s="974">
        <v>112800</v>
      </c>
    </row>
    <row r="1530" spans="1:40">
      <c r="A1530" s="966">
        <v>1523</v>
      </c>
      <c r="B1530" s="967">
        <v>43188</v>
      </c>
      <c r="C1530" s="966">
        <v>113100</v>
      </c>
      <c r="D1530" s="966">
        <v>0</v>
      </c>
      <c r="E1530" s="966">
        <v>0</v>
      </c>
      <c r="F1530" s="966">
        <v>37552.089999999997</v>
      </c>
      <c r="G1530" s="966">
        <v>36523.989329099997</v>
      </c>
      <c r="H1530" s="966">
        <v>7134.05</v>
      </c>
      <c r="I1530" s="966">
        <v>15.85</v>
      </c>
      <c r="Q1530" s="967">
        <v>43188</v>
      </c>
      <c r="R1530" s="966">
        <v>113100</v>
      </c>
      <c r="T1530" s="969">
        <v>0</v>
      </c>
      <c r="U1530" s="966">
        <v>7134.05</v>
      </c>
      <c r="W1530" s="971" t="e">
        <f t="shared" si="26"/>
        <v>#DIV/0!</v>
      </c>
      <c r="Y1530" s="967">
        <v>43263</v>
      </c>
      <c r="Z1530" s="974">
        <f ca="1">H1480*Valuation_Senario!$L$372</f>
        <v>11575.37662476</v>
      </c>
      <c r="AA1530" s="973">
        <v>15.24</v>
      </c>
      <c r="AM1530" s="967">
        <v>43188</v>
      </c>
      <c r="AN1530" s="974">
        <v>113100</v>
      </c>
    </row>
    <row r="1531" spans="1:40">
      <c r="A1531" s="966">
        <v>1524</v>
      </c>
      <c r="B1531" s="967">
        <v>43187</v>
      </c>
      <c r="C1531" s="966">
        <v>113200</v>
      </c>
      <c r="D1531" s="966">
        <v>0</v>
      </c>
      <c r="E1531" s="966">
        <v>0</v>
      </c>
      <c r="F1531" s="966">
        <v>37584.39</v>
      </c>
      <c r="G1531" s="966">
        <v>36556.282865200003</v>
      </c>
      <c r="H1531" s="966">
        <v>7134.45</v>
      </c>
      <c r="I1531" s="966">
        <v>15.87</v>
      </c>
      <c r="Q1531" s="967">
        <v>43187</v>
      </c>
      <c r="R1531" s="966">
        <v>113200</v>
      </c>
      <c r="T1531" s="969">
        <v>0</v>
      </c>
      <c r="U1531" s="966">
        <v>7134.45</v>
      </c>
      <c r="W1531" s="971" t="e">
        <f t="shared" si="26"/>
        <v>#DIV/0!</v>
      </c>
      <c r="Y1531" s="967">
        <v>43262</v>
      </c>
      <c r="Z1531" s="974">
        <f ca="1">H1481*Valuation_Senario!$L$372</f>
        <v>11575.37662476</v>
      </c>
      <c r="AA1531" s="973">
        <v>15.57</v>
      </c>
      <c r="AM1531" s="967">
        <v>43187</v>
      </c>
      <c r="AN1531" s="974">
        <v>113200</v>
      </c>
    </row>
    <row r="1532" spans="1:40">
      <c r="A1532" s="966">
        <v>1525</v>
      </c>
      <c r="B1532" s="967">
        <v>43186</v>
      </c>
      <c r="C1532" s="966">
        <v>114000</v>
      </c>
      <c r="D1532" s="966">
        <v>0</v>
      </c>
      <c r="E1532" s="966">
        <v>0</v>
      </c>
      <c r="F1532" s="966">
        <v>37842.730000000003</v>
      </c>
      <c r="G1532" s="966">
        <v>36814.631154000002</v>
      </c>
      <c r="H1532" s="966">
        <v>7134.85</v>
      </c>
      <c r="I1532" s="966">
        <v>15.98</v>
      </c>
      <c r="Q1532" s="967">
        <v>43186</v>
      </c>
      <c r="R1532" s="966">
        <v>114000</v>
      </c>
      <c r="T1532" s="969">
        <v>0</v>
      </c>
      <c r="U1532" s="966">
        <v>7134.85</v>
      </c>
      <c r="W1532" s="971" t="e">
        <f t="shared" si="26"/>
        <v>#DIV/0!</v>
      </c>
      <c r="Y1532" s="967">
        <v>43259</v>
      </c>
      <c r="Z1532" s="974">
        <f ca="1">H1482*Valuation_Senario!$L$372</f>
        <v>11575.37662476</v>
      </c>
      <c r="AA1532" s="973">
        <v>15.35</v>
      </c>
      <c r="AM1532" s="967">
        <v>43186</v>
      </c>
      <c r="AN1532" s="974">
        <v>114000</v>
      </c>
    </row>
    <row r="1533" spans="1:40">
      <c r="A1533" s="966">
        <v>1526</v>
      </c>
      <c r="B1533" s="967">
        <v>43185</v>
      </c>
      <c r="C1533" s="966">
        <v>115000</v>
      </c>
      <c r="D1533" s="966">
        <v>0</v>
      </c>
      <c r="E1533" s="966">
        <v>0</v>
      </c>
      <c r="F1533" s="966">
        <v>38165.67</v>
      </c>
      <c r="G1533" s="966">
        <v>37137.566514999999</v>
      </c>
      <c r="H1533" s="966">
        <v>7135.24</v>
      </c>
      <c r="I1533" s="966">
        <v>16.12</v>
      </c>
      <c r="Q1533" s="967">
        <v>43185</v>
      </c>
      <c r="R1533" s="966">
        <v>115000</v>
      </c>
      <c r="T1533" s="969">
        <v>0</v>
      </c>
      <c r="U1533" s="966">
        <v>7135.24</v>
      </c>
      <c r="W1533" s="971" t="e">
        <f t="shared" si="26"/>
        <v>#DIV/0!</v>
      </c>
      <c r="Y1533" s="967">
        <v>43258</v>
      </c>
      <c r="Z1533" s="974">
        <f ca="1">H1483*Valuation_Senario!$L$372</f>
        <v>11575.37662476</v>
      </c>
      <c r="AA1533" s="973">
        <v>14.77</v>
      </c>
      <c r="AM1533" s="967">
        <v>43185</v>
      </c>
      <c r="AN1533" s="974">
        <v>115000</v>
      </c>
    </row>
    <row r="1534" spans="1:40">
      <c r="A1534" s="966">
        <v>1527</v>
      </c>
      <c r="B1534" s="967">
        <v>43182</v>
      </c>
      <c r="C1534" s="966">
        <v>116200</v>
      </c>
      <c r="D1534" s="966">
        <v>0</v>
      </c>
      <c r="E1534" s="966">
        <v>0</v>
      </c>
      <c r="F1534" s="966">
        <v>38553.19</v>
      </c>
      <c r="G1534" s="966">
        <v>37525.088948199998</v>
      </c>
      <c r="H1534" s="966">
        <v>7136.43</v>
      </c>
      <c r="I1534" s="966">
        <v>16.28</v>
      </c>
      <c r="Q1534" s="967">
        <v>43182</v>
      </c>
      <c r="R1534" s="966">
        <v>116200</v>
      </c>
      <c r="T1534" s="969">
        <v>0</v>
      </c>
      <c r="U1534" s="966">
        <v>7136.43</v>
      </c>
      <c r="W1534" s="971" t="e">
        <f t="shared" si="26"/>
        <v>#DIV/0!</v>
      </c>
      <c r="Y1534" s="967">
        <v>43257</v>
      </c>
      <c r="Z1534" s="974">
        <f ca="1">H1484*Valuation_Senario!$L$372</f>
        <v>11575.37662476</v>
      </c>
      <c r="AA1534" s="973">
        <v>15.03</v>
      </c>
      <c r="AM1534" s="967">
        <v>43182</v>
      </c>
      <c r="AN1534" s="974">
        <v>116200</v>
      </c>
    </row>
    <row r="1535" spans="1:40">
      <c r="A1535" s="966">
        <v>1528</v>
      </c>
      <c r="B1535" s="967">
        <v>43181</v>
      </c>
      <c r="C1535" s="966">
        <v>118100</v>
      </c>
      <c r="D1535" s="966">
        <v>0</v>
      </c>
      <c r="E1535" s="966">
        <v>0</v>
      </c>
      <c r="F1535" s="966">
        <v>39166.769999999997</v>
      </c>
      <c r="G1535" s="966">
        <v>38138.6661341</v>
      </c>
      <c r="H1535" s="966">
        <v>7136.83</v>
      </c>
      <c r="I1535" s="966">
        <v>16.55</v>
      </c>
      <c r="Q1535" s="967">
        <v>43181</v>
      </c>
      <c r="R1535" s="966">
        <v>118100</v>
      </c>
      <c r="T1535" s="969">
        <v>0</v>
      </c>
      <c r="U1535" s="966">
        <v>7136.83</v>
      </c>
      <c r="W1535" s="971" t="e">
        <f t="shared" si="26"/>
        <v>#DIV/0!</v>
      </c>
      <c r="Y1535" s="967">
        <v>43256</v>
      </c>
      <c r="Z1535" s="974">
        <f ca="1">H1485*Valuation_Senario!$L$372</f>
        <v>11575.37662476</v>
      </c>
      <c r="AA1535" s="973">
        <v>14.07</v>
      </c>
      <c r="AM1535" s="967">
        <v>43181</v>
      </c>
      <c r="AN1535" s="974">
        <v>118100</v>
      </c>
    </row>
    <row r="1536" spans="1:40">
      <c r="A1536" s="966">
        <v>1529</v>
      </c>
      <c r="B1536" s="967">
        <v>43180</v>
      </c>
      <c r="C1536" s="966">
        <v>120000</v>
      </c>
      <c r="D1536" s="966">
        <v>0</v>
      </c>
      <c r="E1536" s="966">
        <v>0</v>
      </c>
      <c r="F1536" s="966">
        <v>39780.35</v>
      </c>
      <c r="G1536" s="966">
        <v>38752.243320000001</v>
      </c>
      <c r="H1536" s="966">
        <v>7137.23</v>
      </c>
      <c r="I1536" s="966">
        <v>16.809999999999999</v>
      </c>
      <c r="Q1536" s="967">
        <v>43180</v>
      </c>
      <c r="R1536" s="966">
        <v>120000</v>
      </c>
      <c r="T1536" s="969">
        <v>0</v>
      </c>
      <c r="U1536" s="966">
        <v>7137.23</v>
      </c>
      <c r="W1536" s="971" t="e">
        <f t="shared" si="26"/>
        <v>#DIV/0!</v>
      </c>
      <c r="Y1536" s="967">
        <v>43255</v>
      </c>
      <c r="Z1536" s="974">
        <f ca="1">H1486*Valuation_Senario!$L$372</f>
        <v>11575.37662476</v>
      </c>
      <c r="AA1536" s="973">
        <v>13.83</v>
      </c>
      <c r="AM1536" s="967">
        <v>43180</v>
      </c>
      <c r="AN1536" s="974">
        <v>120000</v>
      </c>
    </row>
    <row r="1537" spans="1:40">
      <c r="A1537" s="966">
        <v>1530</v>
      </c>
      <c r="B1537" s="967">
        <v>43179</v>
      </c>
      <c r="C1537" s="966">
        <v>120000</v>
      </c>
      <c r="D1537" s="966">
        <v>0</v>
      </c>
      <c r="E1537" s="966">
        <v>0</v>
      </c>
      <c r="F1537" s="966">
        <v>39780.35</v>
      </c>
      <c r="G1537" s="966">
        <v>38752.243320000001</v>
      </c>
      <c r="H1537" s="966">
        <v>7137.62</v>
      </c>
      <c r="I1537" s="966">
        <v>16.809999999999999</v>
      </c>
      <c r="Q1537" s="967">
        <v>43179</v>
      </c>
      <c r="R1537" s="966">
        <v>120000</v>
      </c>
      <c r="T1537" s="969">
        <v>0</v>
      </c>
      <c r="U1537" s="966">
        <v>7137.62</v>
      </c>
      <c r="W1537" s="971" t="e">
        <f t="shared" si="26"/>
        <v>#DIV/0!</v>
      </c>
      <c r="Y1537" s="967">
        <v>43252</v>
      </c>
      <c r="Z1537" s="974">
        <f ca="1">H1487*Valuation_Senario!$L$372</f>
        <v>11575.37662476</v>
      </c>
      <c r="AA1537" s="973">
        <v>13.83</v>
      </c>
      <c r="AM1537" s="967">
        <v>43179</v>
      </c>
      <c r="AN1537" s="974">
        <v>120000</v>
      </c>
    </row>
    <row r="1538" spans="1:40">
      <c r="A1538" s="966">
        <v>1531</v>
      </c>
      <c r="B1538" s="967">
        <v>43178</v>
      </c>
      <c r="C1538" s="966">
        <v>117000</v>
      </c>
      <c r="D1538" s="966">
        <v>0</v>
      </c>
      <c r="E1538" s="966">
        <v>0</v>
      </c>
      <c r="F1538" s="966">
        <v>38811.54</v>
      </c>
      <c r="G1538" s="966">
        <v>37783.437236999998</v>
      </c>
      <c r="H1538" s="966">
        <v>7138.02</v>
      </c>
      <c r="I1538" s="966">
        <v>16.39</v>
      </c>
      <c r="Q1538" s="967">
        <v>43178</v>
      </c>
      <c r="R1538" s="966">
        <v>117000</v>
      </c>
      <c r="T1538" s="969">
        <v>0</v>
      </c>
      <c r="U1538" s="966">
        <v>7138.02</v>
      </c>
      <c r="W1538" s="971" t="e">
        <f t="shared" si="26"/>
        <v>#DIV/0!</v>
      </c>
      <c r="Y1538" s="967">
        <v>43251</v>
      </c>
      <c r="Z1538" s="974">
        <f ca="1">H1488*Valuation_Senario!$L$372</f>
        <v>11575.37662476</v>
      </c>
      <c r="AA1538" s="973">
        <v>13.47</v>
      </c>
      <c r="AM1538" s="967">
        <v>43178</v>
      </c>
      <c r="AN1538" s="974">
        <v>117000</v>
      </c>
    </row>
    <row r="1539" spans="1:40">
      <c r="A1539" s="966">
        <v>1532</v>
      </c>
      <c r="B1539" s="967">
        <v>43175</v>
      </c>
      <c r="C1539" s="966">
        <v>113400</v>
      </c>
      <c r="D1539" s="966">
        <v>0</v>
      </c>
      <c r="E1539" s="966">
        <v>0</v>
      </c>
      <c r="F1539" s="966">
        <v>37648.97</v>
      </c>
      <c r="G1539" s="966">
        <v>36620.869937399999</v>
      </c>
      <c r="H1539" s="966">
        <v>7139.21</v>
      </c>
      <c r="I1539" s="966">
        <v>15.88</v>
      </c>
      <c r="Q1539" s="967">
        <v>43175</v>
      </c>
      <c r="R1539" s="966">
        <v>113400</v>
      </c>
      <c r="T1539" s="969">
        <v>0</v>
      </c>
      <c r="U1539" s="966">
        <v>7139.21</v>
      </c>
      <c r="W1539" s="971" t="e">
        <f t="shared" si="26"/>
        <v>#DIV/0!</v>
      </c>
      <c r="Y1539" s="967">
        <v>43250</v>
      </c>
      <c r="Z1539" s="974">
        <f ca="1">H1489*Valuation_Senario!$L$372</f>
        <v>11575.37662476</v>
      </c>
      <c r="AA1539" s="973">
        <v>13.07</v>
      </c>
      <c r="AM1539" s="967">
        <v>43175</v>
      </c>
      <c r="AN1539" s="974">
        <v>113400</v>
      </c>
    </row>
    <row r="1540" spans="1:40">
      <c r="A1540" s="966">
        <v>1533</v>
      </c>
      <c r="B1540" s="967">
        <v>43174</v>
      </c>
      <c r="C1540" s="966">
        <v>113500</v>
      </c>
      <c r="D1540" s="966">
        <v>2.46</v>
      </c>
      <c r="E1540" s="966">
        <v>2.46</v>
      </c>
      <c r="F1540" s="966">
        <v>37681.269999999997</v>
      </c>
      <c r="G1540" s="966">
        <v>36653.163473499997</v>
      </c>
      <c r="H1540" s="966">
        <v>7139.61</v>
      </c>
      <c r="I1540" s="966">
        <v>15.9</v>
      </c>
      <c r="Q1540" s="967">
        <v>43174</v>
      </c>
      <c r="R1540" s="966">
        <v>113500</v>
      </c>
      <c r="T1540" s="969">
        <v>0</v>
      </c>
      <c r="U1540" s="966">
        <v>7139.61</v>
      </c>
      <c r="W1540" s="971" t="e">
        <f t="shared" si="26"/>
        <v>#DIV/0!</v>
      </c>
      <c r="Y1540" s="967">
        <v>43249</v>
      </c>
      <c r="Z1540" s="974">
        <f ca="1">H1490*Valuation_Senario!$L$372</f>
        <v>11575.37662476</v>
      </c>
      <c r="AA1540" s="973">
        <v>13.32</v>
      </c>
      <c r="AM1540" s="967">
        <v>43174</v>
      </c>
      <c r="AN1540" s="974">
        <v>113500</v>
      </c>
    </row>
    <row r="1541" spans="1:40">
      <c r="A1541" s="966">
        <v>1534</v>
      </c>
      <c r="B1541" s="967">
        <v>43173</v>
      </c>
      <c r="C1541" s="966">
        <v>115000</v>
      </c>
      <c r="D1541" s="966">
        <v>0.60840000000000005</v>
      </c>
      <c r="E1541" s="966">
        <v>0</v>
      </c>
      <c r="F1541" s="966">
        <v>38165.67</v>
      </c>
      <c r="G1541" s="966">
        <v>37137.566514999999</v>
      </c>
      <c r="H1541" s="966">
        <v>7140</v>
      </c>
      <c r="I1541" s="966">
        <v>16.11</v>
      </c>
      <c r="Q1541" s="967">
        <v>43173</v>
      </c>
      <c r="R1541" s="966">
        <v>115000</v>
      </c>
      <c r="T1541" s="969">
        <v>0.60840000000000005</v>
      </c>
      <c r="U1541" s="966">
        <v>7140</v>
      </c>
      <c r="W1541" s="971" t="e">
        <f t="shared" si="26"/>
        <v>#DIV/0!</v>
      </c>
      <c r="Y1541" s="967">
        <v>43248</v>
      </c>
      <c r="Z1541" s="974">
        <f ca="1">H1491*Valuation_Senario!$L$372</f>
        <v>11575.37662476</v>
      </c>
      <c r="AA1541" s="973">
        <v>12.98</v>
      </c>
      <c r="AM1541" s="967">
        <v>43173</v>
      </c>
      <c r="AN1541" s="974">
        <v>115000</v>
      </c>
    </row>
    <row r="1542" spans="1:40">
      <c r="A1542" s="966">
        <v>1535</v>
      </c>
      <c r="B1542" s="967">
        <v>43172</v>
      </c>
      <c r="C1542" s="966">
        <v>116000</v>
      </c>
      <c r="D1542" s="966">
        <v>0</v>
      </c>
      <c r="E1542" s="966">
        <v>0</v>
      </c>
      <c r="F1542" s="966">
        <v>38488.61</v>
      </c>
      <c r="G1542" s="966">
        <v>37460.501876000002</v>
      </c>
      <c r="H1542" s="966">
        <v>7140.4</v>
      </c>
      <c r="I1542" s="966">
        <v>16.25</v>
      </c>
      <c r="Q1542" s="967">
        <v>43172</v>
      </c>
      <c r="R1542" s="966">
        <v>116000</v>
      </c>
      <c r="T1542" s="969">
        <v>0</v>
      </c>
      <c r="U1542" s="966">
        <v>7140.4</v>
      </c>
      <c r="W1542" s="971" t="e">
        <f t="shared" si="26"/>
        <v>#DIV/0!</v>
      </c>
      <c r="Y1542" s="967">
        <v>43245</v>
      </c>
      <c r="Z1542" s="974">
        <f ca="1">H1492*Valuation_Senario!$L$372</f>
        <v>11575.37662476</v>
      </c>
      <c r="AA1542" s="973">
        <v>13.95</v>
      </c>
      <c r="AM1542" s="967">
        <v>43172</v>
      </c>
      <c r="AN1542" s="974">
        <v>116000</v>
      </c>
    </row>
    <row r="1543" spans="1:40">
      <c r="A1543" s="966">
        <v>1536</v>
      </c>
      <c r="B1543" s="967">
        <v>43171</v>
      </c>
      <c r="C1543" s="966">
        <v>117000</v>
      </c>
      <c r="D1543" s="966">
        <v>0</v>
      </c>
      <c r="E1543" s="966">
        <v>0</v>
      </c>
      <c r="F1543" s="966">
        <v>38811.54</v>
      </c>
      <c r="G1543" s="966">
        <v>37783.437236999998</v>
      </c>
      <c r="H1543" s="966">
        <v>7140.8</v>
      </c>
      <c r="I1543" s="966">
        <v>16.38</v>
      </c>
      <c r="Q1543" s="967">
        <v>43171</v>
      </c>
      <c r="R1543" s="966">
        <v>117000</v>
      </c>
      <c r="T1543" s="969">
        <v>0</v>
      </c>
      <c r="U1543" s="966">
        <v>7140.8</v>
      </c>
      <c r="W1543" s="971" t="e">
        <f t="shared" si="26"/>
        <v>#DIV/0!</v>
      </c>
      <c r="Y1543" s="967">
        <v>43244</v>
      </c>
      <c r="Z1543" s="974">
        <f ca="1">H1493*Valuation_Senario!$L$372</f>
        <v>11575.37662476</v>
      </c>
      <c r="AA1543" s="973">
        <v>14.42</v>
      </c>
      <c r="AM1543" s="967">
        <v>43171</v>
      </c>
      <c r="AN1543" s="974">
        <v>117000</v>
      </c>
    </row>
    <row r="1544" spans="1:40">
      <c r="A1544" s="966">
        <v>1537</v>
      </c>
      <c r="B1544" s="967">
        <v>43168</v>
      </c>
      <c r="C1544" s="966">
        <v>116100</v>
      </c>
      <c r="D1544" s="966">
        <v>2.471848</v>
      </c>
      <c r="E1544" s="966">
        <v>3.074878</v>
      </c>
      <c r="F1544" s="966">
        <v>38520.9</v>
      </c>
      <c r="G1544" s="966">
        <v>37492.7954121</v>
      </c>
      <c r="H1544" s="966">
        <v>7141.99</v>
      </c>
      <c r="I1544" s="966">
        <v>16.260000000000002</v>
      </c>
      <c r="Q1544" s="967">
        <v>43168</v>
      </c>
      <c r="R1544" s="966">
        <v>116100</v>
      </c>
      <c r="T1544" s="969">
        <v>-0.60302999999999995</v>
      </c>
      <c r="U1544" s="966">
        <v>7141.99</v>
      </c>
      <c r="W1544" s="971" t="e">
        <f t="shared" si="26"/>
        <v>#DIV/0!</v>
      </c>
      <c r="Y1544" s="967">
        <v>43243</v>
      </c>
      <c r="Z1544" s="974">
        <f ca="1">H1494*Valuation_Senario!$L$372</f>
        <v>11575.37662476</v>
      </c>
      <c r="AA1544" s="973">
        <v>14.34</v>
      </c>
      <c r="AM1544" s="967">
        <v>43168</v>
      </c>
      <c r="AN1544" s="974">
        <v>116100</v>
      </c>
    </row>
    <row r="1545" spans="1:40">
      <c r="A1545" s="966">
        <v>1538</v>
      </c>
      <c r="B1545" s="967">
        <v>43167</v>
      </c>
      <c r="C1545" s="966">
        <v>115100</v>
      </c>
      <c r="D1545" s="966">
        <v>0</v>
      </c>
      <c r="E1545" s="966">
        <v>0</v>
      </c>
      <c r="F1545" s="966">
        <v>38197.96</v>
      </c>
      <c r="G1545" s="966">
        <v>37169.860051099997</v>
      </c>
      <c r="H1545" s="966">
        <v>7142.38</v>
      </c>
      <c r="I1545" s="966">
        <v>16.12</v>
      </c>
      <c r="Q1545" s="967">
        <v>43167</v>
      </c>
      <c r="R1545" s="966">
        <v>115100</v>
      </c>
      <c r="T1545" s="969">
        <v>0</v>
      </c>
      <c r="U1545" s="966">
        <v>7142.38</v>
      </c>
      <c r="W1545" s="971" t="e">
        <f t="shared" ref="W1545:W1608" si="27">T1545/V1545</f>
        <v>#DIV/0!</v>
      </c>
      <c r="Y1545" s="967">
        <v>43242</v>
      </c>
      <c r="Z1545" s="974">
        <f ca="1">H1495*Valuation_Senario!$L$372</f>
        <v>11575.37662476</v>
      </c>
      <c r="AA1545" s="973">
        <v>13.83</v>
      </c>
      <c r="AM1545" s="967">
        <v>43167</v>
      </c>
      <c r="AN1545" s="974">
        <v>115100</v>
      </c>
    </row>
    <row r="1546" spans="1:40">
      <c r="A1546" s="966">
        <v>1539</v>
      </c>
      <c r="B1546" s="967">
        <v>43166</v>
      </c>
      <c r="C1546" s="966">
        <v>114100</v>
      </c>
      <c r="D1546" s="966">
        <v>42.5456</v>
      </c>
      <c r="E1546" s="966">
        <v>42.533999999999999</v>
      </c>
      <c r="F1546" s="966">
        <v>37875.03</v>
      </c>
      <c r="G1546" s="966">
        <v>36846.924690100001</v>
      </c>
      <c r="H1546" s="966">
        <v>7142.78</v>
      </c>
      <c r="I1546" s="966">
        <v>15.97</v>
      </c>
      <c r="Q1546" s="967">
        <v>43166</v>
      </c>
      <c r="R1546" s="966">
        <v>114100</v>
      </c>
      <c r="T1546" s="969">
        <v>1.1600000000001387E-2</v>
      </c>
      <c r="U1546" s="966">
        <v>7142.78</v>
      </c>
      <c r="W1546" s="971" t="e">
        <f t="shared" si="27"/>
        <v>#DIV/0!</v>
      </c>
      <c r="Y1546" s="967">
        <v>43241</v>
      </c>
      <c r="Z1546" s="974">
        <f ca="1">H1496*Valuation_Senario!$L$372</f>
        <v>11575.37662476</v>
      </c>
      <c r="AA1546" s="973">
        <v>13.99</v>
      </c>
      <c r="AM1546" s="967">
        <v>43166</v>
      </c>
      <c r="AN1546" s="974">
        <v>114100</v>
      </c>
    </row>
    <row r="1547" spans="1:40">
      <c r="A1547" s="966">
        <v>1540</v>
      </c>
      <c r="B1547" s="967">
        <v>43165</v>
      </c>
      <c r="C1547" s="966">
        <v>117000</v>
      </c>
      <c r="D1547" s="966">
        <v>0</v>
      </c>
      <c r="E1547" s="966">
        <v>0</v>
      </c>
      <c r="F1547" s="966">
        <v>38811.54</v>
      </c>
      <c r="G1547" s="966">
        <v>37783.437236999998</v>
      </c>
      <c r="H1547" s="966">
        <v>7143.18</v>
      </c>
      <c r="I1547" s="966">
        <v>16.38</v>
      </c>
      <c r="Q1547" s="967">
        <v>43165</v>
      </c>
      <c r="R1547" s="966">
        <v>117000</v>
      </c>
      <c r="T1547" s="969">
        <v>0</v>
      </c>
      <c r="U1547" s="966">
        <v>7143.18</v>
      </c>
      <c r="W1547" s="971" t="e">
        <f t="shared" si="27"/>
        <v>#DIV/0!</v>
      </c>
      <c r="Y1547" s="967">
        <v>43238</v>
      </c>
      <c r="Z1547" s="974">
        <f ca="1">H1497*Valuation_Senario!$L$372</f>
        <v>11575.37662476</v>
      </c>
      <c r="AA1547" s="973">
        <v>13.45</v>
      </c>
      <c r="AM1547" s="967">
        <v>43165</v>
      </c>
      <c r="AN1547" s="974">
        <v>117000</v>
      </c>
    </row>
    <row r="1548" spans="1:40">
      <c r="A1548" s="966">
        <v>1541</v>
      </c>
      <c r="B1548" s="967">
        <v>43164</v>
      </c>
      <c r="C1548" s="966">
        <v>119500</v>
      </c>
      <c r="D1548" s="966">
        <v>0</v>
      </c>
      <c r="E1548" s="966">
        <v>0</v>
      </c>
      <c r="F1548" s="966">
        <v>39618.879999999997</v>
      </c>
      <c r="G1548" s="966">
        <v>38590.775639500003</v>
      </c>
      <c r="H1548" s="966">
        <v>7143.58</v>
      </c>
      <c r="I1548" s="966">
        <v>16.73</v>
      </c>
      <c r="Q1548" s="967">
        <v>43164</v>
      </c>
      <c r="R1548" s="966">
        <v>119500</v>
      </c>
      <c r="T1548" s="969">
        <v>0</v>
      </c>
      <c r="U1548" s="966">
        <v>7143.58</v>
      </c>
      <c r="W1548" s="971" t="e">
        <f t="shared" si="27"/>
        <v>#DIV/0!</v>
      </c>
      <c r="Y1548" s="967">
        <v>43237</v>
      </c>
      <c r="Z1548" s="974">
        <f ca="1">H1498*Valuation_Senario!$L$372</f>
        <v>11575.37662476</v>
      </c>
      <c r="AA1548" s="973">
        <v>13.09</v>
      </c>
      <c r="AM1548" s="967">
        <v>43164</v>
      </c>
      <c r="AN1548" s="974">
        <v>119500</v>
      </c>
    </row>
    <row r="1549" spans="1:40">
      <c r="A1549" s="966">
        <v>1542</v>
      </c>
      <c r="B1549" s="967">
        <v>43161</v>
      </c>
      <c r="C1549" s="966">
        <v>121500</v>
      </c>
      <c r="D1549" s="966">
        <v>0</v>
      </c>
      <c r="E1549" s="966">
        <v>1.206E-2</v>
      </c>
      <c r="F1549" s="966">
        <v>40264.75</v>
      </c>
      <c r="G1549" s="966">
        <v>39236.646361500003</v>
      </c>
      <c r="H1549" s="966">
        <v>7144.77</v>
      </c>
      <c r="I1549" s="966">
        <v>17.010000000000002</v>
      </c>
      <c r="Q1549" s="967">
        <v>43161</v>
      </c>
      <c r="R1549" s="966">
        <v>121500</v>
      </c>
      <c r="T1549" s="969">
        <v>-1.206E-2</v>
      </c>
      <c r="U1549" s="966">
        <v>7144.77</v>
      </c>
      <c r="W1549" s="971" t="e">
        <f t="shared" si="27"/>
        <v>#DIV/0!</v>
      </c>
      <c r="Y1549" s="967">
        <v>43236</v>
      </c>
      <c r="Z1549" s="974">
        <f ca="1">H1499*Valuation_Senario!$L$372</f>
        <v>11575.37662476</v>
      </c>
      <c r="AA1549" s="973">
        <v>13.32</v>
      </c>
      <c r="AM1549" s="967">
        <v>43161</v>
      </c>
      <c r="AN1549" s="974">
        <v>121500</v>
      </c>
    </row>
    <row r="1550" spans="1:40">
      <c r="A1550" s="966">
        <v>1543</v>
      </c>
      <c r="B1550" s="967">
        <v>43160</v>
      </c>
      <c r="C1550" s="966">
        <v>122500</v>
      </c>
      <c r="D1550" s="966">
        <v>0</v>
      </c>
      <c r="E1550" s="966">
        <v>0</v>
      </c>
      <c r="F1550" s="966">
        <v>40587.68</v>
      </c>
      <c r="G1550" s="966">
        <v>39559.581722499999</v>
      </c>
      <c r="H1550" s="966">
        <v>7145.16</v>
      </c>
      <c r="I1550" s="966">
        <v>17.14</v>
      </c>
      <c r="Q1550" s="967">
        <v>43160</v>
      </c>
      <c r="R1550" s="966">
        <v>122500</v>
      </c>
      <c r="T1550" s="969">
        <v>0</v>
      </c>
      <c r="U1550" s="966">
        <v>7145.16</v>
      </c>
      <c r="W1550" s="971" t="e">
        <f t="shared" si="27"/>
        <v>#DIV/0!</v>
      </c>
      <c r="Y1550" s="967">
        <v>43235</v>
      </c>
      <c r="Z1550" s="974">
        <f ca="1">H1500*Valuation_Senario!$L$372</f>
        <v>11575.37662476</v>
      </c>
      <c r="AA1550" s="973">
        <v>13.55</v>
      </c>
      <c r="AM1550" s="967">
        <v>43160</v>
      </c>
      <c r="AN1550" s="974">
        <v>122500</v>
      </c>
    </row>
    <row r="1551" spans="1:40">
      <c r="A1551" s="966">
        <v>1544</v>
      </c>
      <c r="B1551" s="967">
        <v>43159</v>
      </c>
      <c r="C1551" s="966">
        <v>124000</v>
      </c>
      <c r="D1551" s="966">
        <v>2.5000000000000001E-3</v>
      </c>
      <c r="E1551" s="966">
        <v>0</v>
      </c>
      <c r="F1551" s="966">
        <v>41072.089999999997</v>
      </c>
      <c r="G1551" s="966">
        <v>40043.984764000001</v>
      </c>
      <c r="H1551" s="966">
        <v>7145.56</v>
      </c>
      <c r="I1551" s="966">
        <v>17.350000000000001</v>
      </c>
      <c r="Q1551" s="967">
        <v>43159</v>
      </c>
      <c r="R1551" s="966">
        <v>124000</v>
      </c>
      <c r="T1551" s="969">
        <v>2.5000000000000001E-3</v>
      </c>
      <c r="U1551" s="966">
        <v>7145.56</v>
      </c>
      <c r="W1551" s="971" t="e">
        <f t="shared" si="27"/>
        <v>#DIV/0!</v>
      </c>
      <c r="Y1551" s="967">
        <v>43234</v>
      </c>
      <c r="Z1551" s="974">
        <f ca="1">H1501*Valuation_Senario!$L$372</f>
        <v>11575.37662476</v>
      </c>
      <c r="AA1551" s="973">
        <v>13.32</v>
      </c>
      <c r="AM1551" s="967">
        <v>43159</v>
      </c>
      <c r="AN1551" s="974">
        <v>124000</v>
      </c>
    </row>
    <row r="1552" spans="1:40">
      <c r="A1552" s="966">
        <v>1545</v>
      </c>
      <c r="B1552" s="967">
        <v>43158</v>
      </c>
      <c r="C1552" s="966">
        <v>126000</v>
      </c>
      <c r="D1552" s="966">
        <v>40.761000000000003</v>
      </c>
      <c r="E1552" s="966">
        <v>40.761000000000003</v>
      </c>
      <c r="F1552" s="966">
        <v>41717.96</v>
      </c>
      <c r="G1552" s="966">
        <v>40689.855486</v>
      </c>
      <c r="H1552" s="966">
        <v>7145.96</v>
      </c>
      <c r="I1552" s="966">
        <v>17.63</v>
      </c>
      <c r="Q1552" s="967">
        <v>43158</v>
      </c>
      <c r="R1552" s="966">
        <v>126000</v>
      </c>
      <c r="T1552" s="969">
        <v>0</v>
      </c>
      <c r="U1552" s="966">
        <v>7145.96</v>
      </c>
      <c r="W1552" s="971" t="e">
        <f t="shared" si="27"/>
        <v>#DIV/0!</v>
      </c>
      <c r="Y1552" s="967">
        <v>43231</v>
      </c>
      <c r="Z1552" s="974">
        <f ca="1">H1502*Valuation_Senario!$L$372</f>
        <v>11575.37662476</v>
      </c>
      <c r="AA1552" s="973">
        <v>13.07</v>
      </c>
      <c r="AM1552" s="967">
        <v>43158</v>
      </c>
      <c r="AN1552" s="974">
        <v>126000</v>
      </c>
    </row>
    <row r="1553" spans="1:40">
      <c r="A1553" s="966">
        <v>1546</v>
      </c>
      <c r="B1553" s="967">
        <v>43157</v>
      </c>
      <c r="C1553" s="966">
        <v>121000</v>
      </c>
      <c r="D1553" s="966">
        <v>0</v>
      </c>
      <c r="E1553" s="966">
        <v>0</v>
      </c>
      <c r="F1553" s="966">
        <v>40103.279999999999</v>
      </c>
      <c r="G1553" s="966">
        <v>39075.178680999998</v>
      </c>
      <c r="H1553" s="966">
        <v>7146.36</v>
      </c>
      <c r="I1553" s="966">
        <v>16.93</v>
      </c>
      <c r="Q1553" s="967">
        <v>43157</v>
      </c>
      <c r="R1553" s="966">
        <v>121000</v>
      </c>
      <c r="T1553" s="969">
        <v>0</v>
      </c>
      <c r="U1553" s="966">
        <v>7146.36</v>
      </c>
      <c r="W1553" s="971" t="e">
        <f t="shared" si="27"/>
        <v>#DIV/0!</v>
      </c>
      <c r="Y1553" s="967">
        <v>43230</v>
      </c>
      <c r="Z1553" s="974">
        <f ca="1">H1503*Valuation_Senario!$L$372</f>
        <v>11575.37662476</v>
      </c>
      <c r="AA1553" s="973">
        <v>12.69</v>
      </c>
      <c r="AM1553" s="967">
        <v>43157</v>
      </c>
      <c r="AN1553" s="974">
        <v>121000</v>
      </c>
    </row>
    <row r="1554" spans="1:40">
      <c r="A1554" s="966">
        <v>1547</v>
      </c>
      <c r="B1554" s="967">
        <v>43154</v>
      </c>
      <c r="C1554" s="966">
        <v>119800</v>
      </c>
      <c r="D1554" s="966">
        <v>0.1195</v>
      </c>
      <c r="E1554" s="966">
        <v>2.392E-3</v>
      </c>
      <c r="F1554" s="966">
        <v>39715.760000000002</v>
      </c>
      <c r="G1554" s="966">
        <v>38687.656247799998</v>
      </c>
      <c r="H1554" s="966">
        <v>7147.55</v>
      </c>
      <c r="I1554" s="966">
        <v>16.760000000000002</v>
      </c>
      <c r="Q1554" s="967">
        <v>43154</v>
      </c>
      <c r="R1554" s="966">
        <v>119800</v>
      </c>
      <c r="T1554" s="969">
        <v>0.11710799999999999</v>
      </c>
      <c r="U1554" s="966">
        <v>7147.55</v>
      </c>
      <c r="W1554" s="971" t="e">
        <f t="shared" si="27"/>
        <v>#DIV/0!</v>
      </c>
      <c r="Y1554" s="967">
        <v>43229</v>
      </c>
      <c r="Z1554" s="974">
        <f ca="1">H1504*Valuation_Senario!$L$372</f>
        <v>11575.37662476</v>
      </c>
      <c r="AA1554" s="973">
        <v>13.43</v>
      </c>
      <c r="AM1554" s="967">
        <v>43154</v>
      </c>
      <c r="AN1554" s="974">
        <v>119800</v>
      </c>
    </row>
    <row r="1555" spans="1:40">
      <c r="A1555" s="966">
        <v>1548</v>
      </c>
      <c r="B1555" s="967">
        <v>43153</v>
      </c>
      <c r="C1555" s="966">
        <v>119000</v>
      </c>
      <c r="D1555" s="966">
        <v>0</v>
      </c>
      <c r="E1555" s="966">
        <v>0</v>
      </c>
      <c r="F1555" s="966">
        <v>39457.410000000003</v>
      </c>
      <c r="G1555" s="966">
        <v>38429.307958999998</v>
      </c>
      <c r="H1555" s="966">
        <v>7147.95</v>
      </c>
      <c r="I1555" s="966">
        <v>16.649999999999999</v>
      </c>
      <c r="Q1555" s="967">
        <v>43153</v>
      </c>
      <c r="R1555" s="966">
        <v>119000</v>
      </c>
      <c r="T1555" s="969">
        <v>0</v>
      </c>
      <c r="U1555" s="966">
        <v>7147.95</v>
      </c>
      <c r="W1555" s="971" t="e">
        <f t="shared" si="27"/>
        <v>#DIV/0!</v>
      </c>
      <c r="Y1555" s="967">
        <v>43228</v>
      </c>
      <c r="Z1555" s="974">
        <f ca="1">H1505*Valuation_Senario!$L$372</f>
        <v>11575.37662476</v>
      </c>
      <c r="AA1555" s="973">
        <v>13.4</v>
      </c>
      <c r="AM1555" s="967">
        <v>43153</v>
      </c>
      <c r="AN1555" s="974">
        <v>119000</v>
      </c>
    </row>
    <row r="1556" spans="1:40">
      <c r="A1556" s="966">
        <v>1549</v>
      </c>
      <c r="B1556" s="967">
        <v>43152</v>
      </c>
      <c r="C1556" s="966">
        <v>123000</v>
      </c>
      <c r="D1556" s="966">
        <v>0</v>
      </c>
      <c r="E1556" s="966">
        <v>0</v>
      </c>
      <c r="F1556" s="966">
        <v>40749.15</v>
      </c>
      <c r="G1556" s="966">
        <v>39721.049402999997</v>
      </c>
      <c r="H1556" s="966">
        <v>7148.35</v>
      </c>
      <c r="I1556" s="966">
        <v>17.21</v>
      </c>
      <c r="Q1556" s="967">
        <v>43152</v>
      </c>
      <c r="R1556" s="966">
        <v>123000</v>
      </c>
      <c r="T1556" s="969">
        <v>0</v>
      </c>
      <c r="U1556" s="966">
        <v>7148.35</v>
      </c>
      <c r="W1556" s="971" t="e">
        <f t="shared" si="27"/>
        <v>#DIV/0!</v>
      </c>
      <c r="Y1556" s="967">
        <v>43227</v>
      </c>
      <c r="Z1556" s="974">
        <f ca="1">H1506*Valuation_Senario!$L$372</f>
        <v>11575.37662476</v>
      </c>
      <c r="AA1556" s="973">
        <v>13.7</v>
      </c>
      <c r="AM1556" s="967">
        <v>43152</v>
      </c>
      <c r="AN1556" s="974">
        <v>123000</v>
      </c>
    </row>
    <row r="1557" spans="1:40">
      <c r="A1557" s="966">
        <v>1550</v>
      </c>
      <c r="B1557" s="967">
        <v>43144</v>
      </c>
      <c r="C1557" s="966">
        <v>120000</v>
      </c>
      <c r="D1557" s="966">
        <v>0</v>
      </c>
      <c r="E1557" s="966">
        <v>0.11799999999999999</v>
      </c>
      <c r="F1557" s="966">
        <v>39780.35</v>
      </c>
      <c r="G1557" s="966">
        <v>38752.243320000001</v>
      </c>
      <c r="H1557" s="966">
        <v>7151.53</v>
      </c>
      <c r="I1557" s="966">
        <v>16.78</v>
      </c>
      <c r="Q1557" s="967">
        <v>43144</v>
      </c>
      <c r="R1557" s="966">
        <v>120000</v>
      </c>
      <c r="T1557" s="969">
        <v>-0.11799999999999999</v>
      </c>
      <c r="U1557" s="966">
        <v>7151.53</v>
      </c>
      <c r="W1557" s="971" t="e">
        <f t="shared" si="27"/>
        <v>#DIV/0!</v>
      </c>
      <c r="Y1557" s="967">
        <v>43224</v>
      </c>
      <c r="Z1557" s="974">
        <f ca="1">H1507*Valuation_Senario!$L$372</f>
        <v>11575.37662476</v>
      </c>
      <c r="AA1557" s="973">
        <v>12.88</v>
      </c>
      <c r="AM1557" s="967">
        <v>43144</v>
      </c>
      <c r="AN1557" s="974">
        <v>120000</v>
      </c>
    </row>
    <row r="1558" spans="1:40">
      <c r="A1558" s="966">
        <v>1551</v>
      </c>
      <c r="B1558" s="967">
        <v>43143</v>
      </c>
      <c r="C1558" s="966">
        <v>113900</v>
      </c>
      <c r="D1558" s="966">
        <v>0</v>
      </c>
      <c r="E1558" s="966">
        <v>0</v>
      </c>
      <c r="F1558" s="966">
        <v>37810.44</v>
      </c>
      <c r="G1558" s="966">
        <v>36782.337617899997</v>
      </c>
      <c r="H1558" s="966">
        <v>7151.93</v>
      </c>
      <c r="I1558" s="966">
        <v>15.93</v>
      </c>
      <c r="Q1558" s="967">
        <v>43143</v>
      </c>
      <c r="R1558" s="966">
        <v>113900</v>
      </c>
      <c r="T1558" s="969">
        <v>0</v>
      </c>
      <c r="U1558" s="966">
        <v>7151.93</v>
      </c>
      <c r="W1558" s="971" t="e">
        <f t="shared" si="27"/>
        <v>#DIV/0!</v>
      </c>
      <c r="Y1558" s="967">
        <v>43223</v>
      </c>
      <c r="Z1558" s="974">
        <f ca="1">H1508*Valuation_Senario!$L$372</f>
        <v>11575.37662476</v>
      </c>
      <c r="AA1558" s="973">
        <v>12.89</v>
      </c>
      <c r="AM1558" s="967">
        <v>43143</v>
      </c>
      <c r="AN1558" s="974">
        <v>113900</v>
      </c>
    </row>
    <row r="1559" spans="1:40">
      <c r="A1559" s="966">
        <v>1552</v>
      </c>
      <c r="B1559" s="967">
        <v>43140</v>
      </c>
      <c r="C1559" s="966">
        <v>112000</v>
      </c>
      <c r="D1559" s="966">
        <v>0.3105</v>
      </c>
      <c r="E1559" s="966">
        <v>0</v>
      </c>
      <c r="F1559" s="966">
        <v>37196.86</v>
      </c>
      <c r="G1559" s="966">
        <v>36168.760432000003</v>
      </c>
      <c r="H1559" s="966">
        <v>7153.12</v>
      </c>
      <c r="I1559" s="966">
        <v>15.66</v>
      </c>
      <c r="Q1559" s="967">
        <v>43140</v>
      </c>
      <c r="R1559" s="966">
        <v>112000</v>
      </c>
      <c r="T1559" s="969">
        <v>0.3105</v>
      </c>
      <c r="U1559" s="966">
        <v>7153.12</v>
      </c>
      <c r="W1559" s="971" t="e">
        <f t="shared" si="27"/>
        <v>#DIV/0!</v>
      </c>
      <c r="Y1559" s="967">
        <v>43222</v>
      </c>
      <c r="Z1559" s="974">
        <f ca="1">H1509*Valuation_Senario!$L$372</f>
        <v>10217.861551109998</v>
      </c>
      <c r="AA1559" s="973">
        <v>14.59</v>
      </c>
      <c r="AM1559" s="967">
        <v>43140</v>
      </c>
      <c r="AN1559" s="974">
        <v>112000</v>
      </c>
    </row>
    <row r="1560" spans="1:40">
      <c r="A1560" s="966">
        <v>1553</v>
      </c>
      <c r="B1560" s="967">
        <v>43139</v>
      </c>
      <c r="C1560" s="966">
        <v>118700</v>
      </c>
      <c r="D1560" s="966">
        <v>0</v>
      </c>
      <c r="E1560" s="966">
        <v>0</v>
      </c>
      <c r="F1560" s="966">
        <v>39360.53</v>
      </c>
      <c r="G1560" s="966">
        <v>38332.427350700003</v>
      </c>
      <c r="H1560" s="966">
        <v>7153.52</v>
      </c>
      <c r="I1560" s="966">
        <v>16.59</v>
      </c>
      <c r="Q1560" s="967">
        <v>43139</v>
      </c>
      <c r="R1560" s="966">
        <v>118700</v>
      </c>
      <c r="T1560" s="969">
        <v>0</v>
      </c>
      <c r="U1560" s="966">
        <v>7153.52</v>
      </c>
      <c r="W1560" s="971" t="e">
        <f t="shared" si="27"/>
        <v>#DIV/0!</v>
      </c>
      <c r="Y1560" s="967">
        <v>43217</v>
      </c>
      <c r="Z1560" s="974">
        <f ca="1">H1510*Valuation_Senario!$L$372</f>
        <v>10217.861551109998</v>
      </c>
      <c r="AA1560" s="973">
        <v>14.66</v>
      </c>
      <c r="AM1560" s="967">
        <v>43139</v>
      </c>
      <c r="AN1560" s="974">
        <v>118700</v>
      </c>
    </row>
    <row r="1561" spans="1:40">
      <c r="A1561" s="966">
        <v>1554</v>
      </c>
      <c r="B1561" s="967">
        <v>43138</v>
      </c>
      <c r="C1561" s="966">
        <v>120500</v>
      </c>
      <c r="D1561" s="966">
        <v>0</v>
      </c>
      <c r="E1561" s="966">
        <v>0</v>
      </c>
      <c r="F1561" s="966">
        <v>39941.81</v>
      </c>
      <c r="G1561" s="966">
        <v>38913.711000499999</v>
      </c>
      <c r="H1561" s="966">
        <v>7153.92</v>
      </c>
      <c r="I1561" s="966">
        <v>16.84</v>
      </c>
      <c r="Q1561" s="967">
        <v>43138</v>
      </c>
      <c r="R1561" s="966">
        <v>120500</v>
      </c>
      <c r="T1561" s="969">
        <v>0</v>
      </c>
      <c r="U1561" s="966">
        <v>7153.92</v>
      </c>
      <c r="W1561" s="971" t="e">
        <f t="shared" si="27"/>
        <v>#DIV/0!</v>
      </c>
      <c r="Y1561" s="967">
        <v>43216</v>
      </c>
      <c r="Z1561" s="974">
        <f ca="1">H1511*Valuation_Senario!$L$372</f>
        <v>10217.861551109998</v>
      </c>
      <c r="AA1561" s="973">
        <v>14.49</v>
      </c>
      <c r="AM1561" s="967">
        <v>43138</v>
      </c>
      <c r="AN1561" s="974">
        <v>120500</v>
      </c>
    </row>
    <row r="1562" spans="1:40">
      <c r="A1562" s="966">
        <v>1555</v>
      </c>
      <c r="B1562" s="967">
        <v>43137</v>
      </c>
      <c r="C1562" s="966">
        <v>119000</v>
      </c>
      <c r="D1562" s="966">
        <v>9.6000000000000002E-2</v>
      </c>
      <c r="E1562" s="966">
        <v>0.31860899999999998</v>
      </c>
      <c r="F1562" s="966">
        <v>39457.410000000003</v>
      </c>
      <c r="G1562" s="966">
        <v>38429.307958999998</v>
      </c>
      <c r="H1562" s="966">
        <v>7154.32</v>
      </c>
      <c r="I1562" s="966">
        <v>16.63</v>
      </c>
      <c r="Q1562" s="967">
        <v>43137</v>
      </c>
      <c r="R1562" s="966">
        <v>119000</v>
      </c>
      <c r="T1562" s="969">
        <v>-0.22260899999999997</v>
      </c>
      <c r="U1562" s="966">
        <v>7154.32</v>
      </c>
      <c r="W1562" s="971" t="e">
        <f t="shared" si="27"/>
        <v>#DIV/0!</v>
      </c>
      <c r="Y1562" s="967">
        <v>43214</v>
      </c>
      <c r="Z1562" s="974">
        <f ca="1">H1512*Valuation_Senario!$L$372</f>
        <v>10217.861551109998</v>
      </c>
      <c r="AA1562" s="973">
        <v>15.19</v>
      </c>
      <c r="AM1562" s="967">
        <v>43137</v>
      </c>
      <c r="AN1562" s="974">
        <v>119000</v>
      </c>
    </row>
    <row r="1563" spans="1:40">
      <c r="A1563" s="966">
        <v>1556</v>
      </c>
      <c r="B1563" s="967">
        <v>43136</v>
      </c>
      <c r="C1563" s="966">
        <v>123500</v>
      </c>
      <c r="D1563" s="966">
        <v>0</v>
      </c>
      <c r="E1563" s="966">
        <v>0</v>
      </c>
      <c r="F1563" s="966">
        <v>40910.620000000003</v>
      </c>
      <c r="G1563" s="966">
        <v>39882.517083500003</v>
      </c>
      <c r="H1563" s="966">
        <v>7154.72</v>
      </c>
      <c r="I1563" s="966">
        <v>17.260000000000002</v>
      </c>
      <c r="Q1563" s="967">
        <v>43136</v>
      </c>
      <c r="R1563" s="966">
        <v>123500</v>
      </c>
      <c r="T1563" s="969">
        <v>0</v>
      </c>
      <c r="U1563" s="966">
        <v>7154.72</v>
      </c>
      <c r="W1563" s="971" t="e">
        <f t="shared" si="27"/>
        <v>#DIV/0!</v>
      </c>
      <c r="Y1563" s="967">
        <v>43213</v>
      </c>
      <c r="Z1563" s="974">
        <f ca="1">H1513*Valuation_Senario!$L$372</f>
        <v>10217.861551109998</v>
      </c>
      <c r="AA1563" s="973">
        <v>15.38</v>
      </c>
      <c r="AM1563" s="967">
        <v>43136</v>
      </c>
      <c r="AN1563" s="974">
        <v>123500</v>
      </c>
    </row>
    <row r="1564" spans="1:40">
      <c r="A1564" s="966">
        <v>1557</v>
      </c>
      <c r="B1564" s="967">
        <v>43133</v>
      </c>
      <c r="C1564" s="966">
        <v>126600</v>
      </c>
      <c r="D1564" s="966">
        <v>146.08673099999999</v>
      </c>
      <c r="E1564" s="966">
        <v>0</v>
      </c>
      <c r="F1564" s="966">
        <v>41911.72</v>
      </c>
      <c r="G1564" s="966">
        <v>40883.616702599997</v>
      </c>
      <c r="H1564" s="966">
        <v>7155.91</v>
      </c>
      <c r="I1564" s="966">
        <v>17.690000000000001</v>
      </c>
      <c r="Q1564" s="967">
        <v>43133</v>
      </c>
      <c r="R1564" s="966">
        <v>126600</v>
      </c>
      <c r="T1564" s="969">
        <v>146.08673099999999</v>
      </c>
      <c r="U1564" s="966">
        <v>7155.91</v>
      </c>
      <c r="W1564" s="971" t="e">
        <f t="shared" si="27"/>
        <v>#DIV/0!</v>
      </c>
      <c r="Y1564" s="967">
        <v>43210</v>
      </c>
      <c r="Z1564" s="974">
        <f ca="1">H1514*Valuation_Senario!$L$372</f>
        <v>10464.782595659999</v>
      </c>
      <c r="AA1564" s="973">
        <v>14.33</v>
      </c>
      <c r="AM1564" s="967">
        <v>43133</v>
      </c>
      <c r="AN1564" s="974">
        <v>126600</v>
      </c>
    </row>
    <row r="1565" spans="1:40">
      <c r="A1565" s="966">
        <v>1558</v>
      </c>
      <c r="B1565" s="967">
        <v>43132</v>
      </c>
      <c r="C1565" s="966">
        <v>134200</v>
      </c>
      <c r="D1565" s="966">
        <v>0</v>
      </c>
      <c r="E1565" s="966">
        <v>9.8971000000000003E-2</v>
      </c>
      <c r="F1565" s="966">
        <v>44366.03</v>
      </c>
      <c r="G1565" s="966">
        <v>43337.925446200003</v>
      </c>
      <c r="H1565" s="966">
        <v>7156.31</v>
      </c>
      <c r="I1565" s="966">
        <v>18.75</v>
      </c>
      <c r="Q1565" s="967">
        <v>43132</v>
      </c>
      <c r="R1565" s="966">
        <v>134200</v>
      </c>
      <c r="T1565" s="969">
        <v>-9.8971000000000003E-2</v>
      </c>
      <c r="U1565" s="966">
        <v>7156.31</v>
      </c>
      <c r="W1565" s="971" t="e">
        <f t="shared" si="27"/>
        <v>#DIV/0!</v>
      </c>
      <c r="Y1565" s="967">
        <v>43209</v>
      </c>
      <c r="Z1565" s="974">
        <f ca="1">H1515*Valuation_Senario!$L$372</f>
        <v>10465.369978459999</v>
      </c>
      <c r="AA1565" s="973">
        <v>13.75</v>
      </c>
      <c r="AM1565" s="967">
        <v>43132</v>
      </c>
      <c r="AN1565" s="974">
        <v>134200</v>
      </c>
    </row>
    <row r="1566" spans="1:40">
      <c r="A1566" s="966">
        <v>1559</v>
      </c>
      <c r="B1566" s="967">
        <v>43131</v>
      </c>
      <c r="C1566" s="966">
        <v>125500</v>
      </c>
      <c r="D1566" s="966">
        <v>0</v>
      </c>
      <c r="E1566" s="966">
        <v>0</v>
      </c>
      <c r="F1566" s="966">
        <v>41556.49</v>
      </c>
      <c r="G1566" s="966">
        <v>40528.387805500002</v>
      </c>
      <c r="H1566" s="966">
        <v>6468.48</v>
      </c>
      <c r="I1566" s="966">
        <v>19.399999999999999</v>
      </c>
      <c r="Q1566" s="967">
        <v>43131</v>
      </c>
      <c r="R1566" s="966">
        <v>125500</v>
      </c>
      <c r="T1566" s="969">
        <v>0</v>
      </c>
      <c r="U1566" s="966">
        <v>6468.48</v>
      </c>
      <c r="W1566" s="971" t="e">
        <f t="shared" si="27"/>
        <v>#DIV/0!</v>
      </c>
      <c r="Y1566" s="967">
        <v>43208</v>
      </c>
      <c r="Z1566" s="974">
        <f ca="1">H1516*Valuation_Senario!$L$372</f>
        <v>10465.94267669</v>
      </c>
      <c r="AA1566" s="973">
        <v>14.45</v>
      </c>
      <c r="AM1566" s="967">
        <v>43131</v>
      </c>
      <c r="AN1566" s="974">
        <v>125500</v>
      </c>
    </row>
    <row r="1567" spans="1:40">
      <c r="A1567" s="966">
        <v>1560</v>
      </c>
      <c r="B1567" s="967">
        <v>43130</v>
      </c>
      <c r="C1567" s="966">
        <v>125900</v>
      </c>
      <c r="D1567" s="966">
        <v>0</v>
      </c>
      <c r="E1567" s="966">
        <v>0</v>
      </c>
      <c r="F1567" s="966">
        <v>41685.67</v>
      </c>
      <c r="G1567" s="966">
        <v>40657.561949900002</v>
      </c>
      <c r="H1567" s="966">
        <v>6469.38</v>
      </c>
      <c r="I1567" s="966">
        <v>19.46</v>
      </c>
      <c r="Q1567" s="967">
        <v>43130</v>
      </c>
      <c r="R1567" s="966">
        <v>125900</v>
      </c>
      <c r="T1567" s="969">
        <v>0</v>
      </c>
      <c r="U1567" s="966">
        <v>6469.38</v>
      </c>
      <c r="W1567" s="971" t="e">
        <f t="shared" si="27"/>
        <v>#DIV/0!</v>
      </c>
      <c r="Y1567" s="967">
        <v>43207</v>
      </c>
      <c r="Z1567" s="974">
        <f ca="1">H1517*Valuation_Senario!$L$372</f>
        <v>10466.530059489998</v>
      </c>
      <c r="AA1567" s="973">
        <v>14.76</v>
      </c>
      <c r="AM1567" s="967">
        <v>43130</v>
      </c>
      <c r="AN1567" s="974">
        <v>125900</v>
      </c>
    </row>
    <row r="1568" spans="1:40">
      <c r="A1568" s="966">
        <v>1561</v>
      </c>
      <c r="B1568" s="967">
        <v>43129</v>
      </c>
      <c r="C1568" s="966">
        <v>123800</v>
      </c>
      <c r="D1568" s="966">
        <v>0</v>
      </c>
      <c r="E1568" s="966">
        <v>0</v>
      </c>
      <c r="F1568" s="966">
        <v>41007.5</v>
      </c>
      <c r="G1568" s="966">
        <v>39979.397691799997</v>
      </c>
      <c r="H1568" s="966">
        <v>6470.29</v>
      </c>
      <c r="I1568" s="966">
        <v>19.13</v>
      </c>
      <c r="Q1568" s="967">
        <v>43129</v>
      </c>
      <c r="R1568" s="966">
        <v>123800</v>
      </c>
      <c r="T1568" s="969">
        <v>0</v>
      </c>
      <c r="U1568" s="966">
        <v>6470.29</v>
      </c>
      <c r="W1568" s="971" t="e">
        <f t="shared" si="27"/>
        <v>#DIV/0!</v>
      </c>
      <c r="Y1568" s="967">
        <v>43206</v>
      </c>
      <c r="Z1568" s="974">
        <f ca="1">H1518*Valuation_Senario!$L$372</f>
        <v>10467.10275772</v>
      </c>
      <c r="AA1568" s="973">
        <v>14.87</v>
      </c>
      <c r="AM1568" s="967">
        <v>43129</v>
      </c>
      <c r="AN1568" s="974">
        <v>123800</v>
      </c>
    </row>
    <row r="1569" spans="1:40">
      <c r="A1569" s="966">
        <v>1562</v>
      </c>
      <c r="B1569" s="967">
        <v>43126</v>
      </c>
      <c r="C1569" s="966">
        <v>127200</v>
      </c>
      <c r="D1569" s="966">
        <v>0</v>
      </c>
      <c r="E1569" s="966">
        <v>0</v>
      </c>
      <c r="F1569" s="966">
        <v>42105.48</v>
      </c>
      <c r="G1569" s="966">
        <v>41077.3779192</v>
      </c>
      <c r="H1569" s="966">
        <v>6472.99</v>
      </c>
      <c r="I1569" s="966">
        <v>19.649999999999999</v>
      </c>
      <c r="Q1569" s="967">
        <v>43126</v>
      </c>
      <c r="R1569" s="966">
        <v>127200</v>
      </c>
      <c r="T1569" s="969">
        <v>0</v>
      </c>
      <c r="U1569" s="966">
        <v>6472.99</v>
      </c>
      <c r="W1569" s="971" t="e">
        <f t="shared" si="27"/>
        <v>#DIV/0!</v>
      </c>
      <c r="Y1569" s="967">
        <v>43203</v>
      </c>
      <c r="Z1569" s="974">
        <f ca="1">H1519*Valuation_Senario!$L$372</f>
        <v>10468.850221549999</v>
      </c>
      <c r="AA1569" s="973">
        <v>14.78</v>
      </c>
      <c r="AM1569" s="967">
        <v>43126</v>
      </c>
      <c r="AN1569" s="974">
        <v>127200</v>
      </c>
    </row>
    <row r="1570" spans="1:40">
      <c r="A1570" s="966">
        <v>1563</v>
      </c>
      <c r="B1570" s="967">
        <v>43125</v>
      </c>
      <c r="C1570" s="966">
        <v>129000</v>
      </c>
      <c r="D1570" s="966">
        <v>0</v>
      </c>
      <c r="E1570" s="966">
        <v>0</v>
      </c>
      <c r="F1570" s="966">
        <v>42686.76</v>
      </c>
      <c r="G1570" s="966">
        <v>41658.661569000004</v>
      </c>
      <c r="H1570" s="966">
        <v>6473.89</v>
      </c>
      <c r="I1570" s="966">
        <v>19.93</v>
      </c>
      <c r="Q1570" s="967">
        <v>43125</v>
      </c>
      <c r="R1570" s="966">
        <v>129000</v>
      </c>
      <c r="T1570" s="969">
        <v>0</v>
      </c>
      <c r="U1570" s="966">
        <v>6473.89</v>
      </c>
      <c r="W1570" s="971" t="e">
        <f t="shared" si="27"/>
        <v>#DIV/0!</v>
      </c>
      <c r="Y1570" s="967">
        <v>43202</v>
      </c>
      <c r="Z1570" s="974">
        <f ca="1">H1520*Valuation_Senario!$L$372</f>
        <v>10469.42291978</v>
      </c>
      <c r="AA1570" s="973">
        <v>14.52</v>
      </c>
      <c r="AM1570" s="967">
        <v>43125</v>
      </c>
      <c r="AN1570" s="974">
        <v>129000</v>
      </c>
    </row>
    <row r="1571" spans="1:40">
      <c r="A1571" s="966">
        <v>1564</v>
      </c>
      <c r="B1571" s="967">
        <v>43124</v>
      </c>
      <c r="C1571" s="966">
        <v>128500</v>
      </c>
      <c r="D1571" s="966">
        <v>0</v>
      </c>
      <c r="E1571" s="966">
        <v>0</v>
      </c>
      <c r="F1571" s="966">
        <v>42525.3</v>
      </c>
      <c r="G1571" s="966">
        <v>41497.193888499998</v>
      </c>
      <c r="H1571" s="966">
        <v>6474.79</v>
      </c>
      <c r="I1571" s="966">
        <v>19.850000000000001</v>
      </c>
      <c r="Q1571" s="967">
        <v>43124</v>
      </c>
      <c r="R1571" s="966">
        <v>128500</v>
      </c>
      <c r="T1571" s="969">
        <v>0</v>
      </c>
      <c r="U1571" s="966">
        <v>6474.79</v>
      </c>
      <c r="W1571" s="971" t="e">
        <f t="shared" si="27"/>
        <v>#DIV/0!</v>
      </c>
      <c r="Y1571" s="967">
        <v>43201</v>
      </c>
      <c r="Z1571" s="974">
        <f ca="1">H1521*Valuation_Senario!$L$372</f>
        <v>10470.010302579998</v>
      </c>
      <c r="AA1571" s="973">
        <v>14</v>
      </c>
      <c r="AM1571" s="967">
        <v>43124</v>
      </c>
      <c r="AN1571" s="974">
        <v>128500</v>
      </c>
    </row>
    <row r="1572" spans="1:40">
      <c r="A1572" s="966">
        <v>1565</v>
      </c>
      <c r="B1572" s="967">
        <v>43123</v>
      </c>
      <c r="C1572" s="966">
        <v>128500</v>
      </c>
      <c r="D1572" s="966">
        <v>0</v>
      </c>
      <c r="E1572" s="966">
        <v>0</v>
      </c>
      <c r="F1572" s="966">
        <v>42525.3</v>
      </c>
      <c r="G1572" s="966">
        <v>41497.193888499998</v>
      </c>
      <c r="H1572" s="966">
        <v>6475.69</v>
      </c>
      <c r="I1572" s="966">
        <v>19.84</v>
      </c>
      <c r="Q1572" s="967">
        <v>43123</v>
      </c>
      <c r="R1572" s="966">
        <v>128500</v>
      </c>
      <c r="T1572" s="969">
        <v>0</v>
      </c>
      <c r="U1572" s="966">
        <v>6475.69</v>
      </c>
      <c r="W1572" s="971" t="e">
        <f t="shared" si="27"/>
        <v>#DIV/0!</v>
      </c>
      <c r="Y1572" s="967">
        <v>43200</v>
      </c>
      <c r="Z1572" s="974">
        <f ca="1">H1522*Valuation_Senario!$L$372</f>
        <v>10470.59768538</v>
      </c>
      <c r="AA1572" s="973">
        <v>14.16</v>
      </c>
      <c r="AM1572" s="967">
        <v>43123</v>
      </c>
      <c r="AN1572" s="974">
        <v>128500</v>
      </c>
    </row>
    <row r="1573" spans="1:40">
      <c r="A1573" s="966">
        <v>1566</v>
      </c>
      <c r="B1573" s="967">
        <v>43122</v>
      </c>
      <c r="C1573" s="966">
        <v>128500</v>
      </c>
      <c r="D1573" s="966">
        <v>0</v>
      </c>
      <c r="E1573" s="966">
        <v>0</v>
      </c>
      <c r="F1573" s="966">
        <v>42525.3</v>
      </c>
      <c r="G1573" s="966">
        <v>41497.193888499998</v>
      </c>
      <c r="H1573" s="966">
        <v>6476.59</v>
      </c>
      <c r="I1573" s="966">
        <v>19.84</v>
      </c>
      <c r="Q1573" s="967">
        <v>43122</v>
      </c>
      <c r="R1573" s="966">
        <v>128500</v>
      </c>
      <c r="T1573" s="969">
        <v>0</v>
      </c>
      <c r="U1573" s="966">
        <v>6476.59</v>
      </c>
      <c r="W1573" s="971" t="e">
        <f t="shared" si="27"/>
        <v>#DIV/0!</v>
      </c>
      <c r="Y1573" s="967">
        <v>43199</v>
      </c>
      <c r="Z1573" s="974">
        <f ca="1">H1523*Valuation_Senario!$L$372</f>
        <v>10471.170383609999</v>
      </c>
      <c r="AA1573" s="973">
        <v>14.5</v>
      </c>
      <c r="AM1573" s="967">
        <v>43122</v>
      </c>
      <c r="AN1573" s="974">
        <v>128500</v>
      </c>
    </row>
    <row r="1574" spans="1:40">
      <c r="A1574" s="966">
        <v>1567</v>
      </c>
      <c r="B1574" s="967">
        <v>43119</v>
      </c>
      <c r="C1574" s="966">
        <v>127500</v>
      </c>
      <c r="D1574" s="966">
        <v>0</v>
      </c>
      <c r="E1574" s="966">
        <v>0</v>
      </c>
      <c r="F1574" s="966">
        <v>41414.269999999997</v>
      </c>
      <c r="G1574" s="966">
        <v>40386.1703175</v>
      </c>
      <c r="H1574" s="966">
        <v>6480.75</v>
      </c>
      <c r="I1574" s="966">
        <v>19.670000000000002</v>
      </c>
      <c r="Q1574" s="967">
        <v>43119</v>
      </c>
      <c r="R1574" s="966">
        <v>127500</v>
      </c>
      <c r="T1574" s="969">
        <v>0</v>
      </c>
      <c r="U1574" s="966">
        <v>6480.75</v>
      </c>
      <c r="W1574" s="971" t="e">
        <f t="shared" si="27"/>
        <v>#DIV/0!</v>
      </c>
      <c r="Y1574" s="967">
        <v>43196</v>
      </c>
      <c r="Z1574" s="974">
        <f ca="1">H1524*Valuation_Senario!$L$372</f>
        <v>10472.91784744</v>
      </c>
      <c r="AA1574" s="973">
        <v>14.76</v>
      </c>
      <c r="AM1574" s="967">
        <v>43119</v>
      </c>
      <c r="AN1574" s="974">
        <v>127500</v>
      </c>
    </row>
    <row r="1575" spans="1:40">
      <c r="A1575" s="966">
        <v>1568</v>
      </c>
      <c r="B1575" s="967">
        <v>43118</v>
      </c>
      <c r="C1575" s="966">
        <v>129500</v>
      </c>
      <c r="D1575" s="966">
        <v>1.2750000000000001E-3</v>
      </c>
      <c r="E1575" s="966">
        <v>0</v>
      </c>
      <c r="F1575" s="966">
        <v>42047.78</v>
      </c>
      <c r="G1575" s="966">
        <v>41019.6788715</v>
      </c>
      <c r="H1575" s="966">
        <v>6481.29</v>
      </c>
      <c r="I1575" s="966">
        <v>19.98</v>
      </c>
      <c r="Q1575" s="967">
        <v>43118</v>
      </c>
      <c r="R1575" s="966">
        <v>129500</v>
      </c>
      <c r="T1575" s="969">
        <v>1.2750000000000001E-3</v>
      </c>
      <c r="U1575" s="966">
        <v>6481.29</v>
      </c>
      <c r="W1575" s="971" t="e">
        <f t="shared" si="27"/>
        <v>#DIV/0!</v>
      </c>
      <c r="Y1575" s="967">
        <v>43195</v>
      </c>
      <c r="Z1575" s="974">
        <f ca="1">H1525*Valuation_Senario!$L$372</f>
        <v>10473.49054567</v>
      </c>
      <c r="AA1575" s="973">
        <v>14.78</v>
      </c>
      <c r="AM1575" s="967">
        <v>43118</v>
      </c>
      <c r="AN1575" s="974">
        <v>129500</v>
      </c>
    </row>
    <row r="1576" spans="1:40">
      <c r="A1576" s="966">
        <v>1569</v>
      </c>
      <c r="B1576" s="967">
        <v>43117</v>
      </c>
      <c r="C1576" s="966">
        <v>128000</v>
      </c>
      <c r="D1576" s="966">
        <v>0</v>
      </c>
      <c r="E1576" s="966">
        <v>0</v>
      </c>
      <c r="F1576" s="966">
        <v>41572.65</v>
      </c>
      <c r="G1576" s="966">
        <v>40544.547456</v>
      </c>
      <c r="H1576" s="966">
        <v>6481.83</v>
      </c>
      <c r="I1576" s="966">
        <v>19.75</v>
      </c>
      <c r="Q1576" s="967">
        <v>43117</v>
      </c>
      <c r="R1576" s="966">
        <v>128000</v>
      </c>
      <c r="T1576" s="969">
        <v>0</v>
      </c>
      <c r="U1576" s="966">
        <v>6481.83</v>
      </c>
      <c r="W1576" s="971" t="e">
        <f t="shared" si="27"/>
        <v>#DIV/0!</v>
      </c>
      <c r="Y1576" s="967">
        <v>43194</v>
      </c>
      <c r="Z1576" s="974">
        <f ca="1">H1526*Valuation_Senario!$L$372</f>
        <v>10474.07792847</v>
      </c>
      <c r="AA1576" s="973">
        <v>14.71</v>
      </c>
      <c r="AM1576" s="967">
        <v>43117</v>
      </c>
      <c r="AN1576" s="974">
        <v>128000</v>
      </c>
    </row>
    <row r="1577" spans="1:40">
      <c r="A1577" s="966">
        <v>1570</v>
      </c>
      <c r="B1577" s="967">
        <v>43116</v>
      </c>
      <c r="C1577" s="966">
        <v>130900</v>
      </c>
      <c r="D1577" s="966">
        <v>0</v>
      </c>
      <c r="E1577" s="966">
        <v>0</v>
      </c>
      <c r="F1577" s="966">
        <v>42491.24</v>
      </c>
      <c r="G1577" s="966">
        <v>41463.1348593</v>
      </c>
      <c r="H1577" s="966">
        <v>6482.37</v>
      </c>
      <c r="I1577" s="966">
        <v>20.190000000000001</v>
      </c>
      <c r="Q1577" s="967">
        <v>43116</v>
      </c>
      <c r="R1577" s="966">
        <v>130900</v>
      </c>
      <c r="T1577" s="969">
        <v>0</v>
      </c>
      <c r="U1577" s="966">
        <v>6482.37</v>
      </c>
      <c r="W1577" s="971" t="e">
        <f t="shared" si="27"/>
        <v>#DIV/0!</v>
      </c>
      <c r="Y1577" s="967">
        <v>43193</v>
      </c>
      <c r="Z1577" s="974">
        <f ca="1">H1527*Valuation_Senario!$L$372</f>
        <v>10474.665311269999</v>
      </c>
      <c r="AA1577" s="973">
        <v>14.44</v>
      </c>
      <c r="AM1577" s="967">
        <v>43116</v>
      </c>
      <c r="AN1577" s="974">
        <v>130900</v>
      </c>
    </row>
    <row r="1578" spans="1:40">
      <c r="A1578" s="966">
        <v>1571</v>
      </c>
      <c r="B1578" s="967">
        <v>43115</v>
      </c>
      <c r="C1578" s="966">
        <v>130500</v>
      </c>
      <c r="D1578" s="966">
        <v>0</v>
      </c>
      <c r="E1578" s="966">
        <v>1.3029999999999999E-3</v>
      </c>
      <c r="F1578" s="966">
        <v>42364.54</v>
      </c>
      <c r="G1578" s="966">
        <v>41336.4331485</v>
      </c>
      <c r="H1578" s="966">
        <v>6482.92</v>
      </c>
      <c r="I1578" s="966">
        <v>20.13</v>
      </c>
      <c r="Q1578" s="967">
        <v>43115</v>
      </c>
      <c r="R1578" s="966">
        <v>130500</v>
      </c>
      <c r="T1578" s="969">
        <v>-1.3029999999999999E-3</v>
      </c>
      <c r="U1578" s="966">
        <v>6482.92</v>
      </c>
      <c r="W1578" s="971" t="e">
        <f t="shared" si="27"/>
        <v>#DIV/0!</v>
      </c>
      <c r="Y1578" s="967">
        <v>43192</v>
      </c>
      <c r="Z1578" s="974">
        <f ca="1">H1528*Valuation_Senario!$L$372</f>
        <v>10473.72549879</v>
      </c>
      <c r="AA1578" s="973">
        <v>15.44</v>
      </c>
      <c r="AM1578" s="967">
        <v>43115</v>
      </c>
      <c r="AN1578" s="974">
        <v>130500</v>
      </c>
    </row>
    <row r="1579" spans="1:40">
      <c r="A1579" s="966">
        <v>1572</v>
      </c>
      <c r="B1579" s="967">
        <v>43112</v>
      </c>
      <c r="C1579" s="966">
        <v>130200</v>
      </c>
      <c r="D1579" s="966">
        <v>0</v>
      </c>
      <c r="E1579" s="966">
        <v>0</v>
      </c>
      <c r="F1579" s="966">
        <v>42269.51</v>
      </c>
      <c r="G1579" s="966">
        <v>41241.4068654</v>
      </c>
      <c r="H1579" s="966">
        <v>6484.54</v>
      </c>
      <c r="I1579" s="966">
        <v>20.079999999999998</v>
      </c>
      <c r="Q1579" s="967">
        <v>43112</v>
      </c>
      <c r="R1579" s="966">
        <v>130200</v>
      </c>
      <c r="T1579" s="969">
        <v>0</v>
      </c>
      <c r="U1579" s="966">
        <v>6484.54</v>
      </c>
      <c r="W1579" s="971" t="e">
        <f t="shared" si="27"/>
        <v>#DIV/0!</v>
      </c>
      <c r="Y1579" s="967">
        <v>43189</v>
      </c>
      <c r="Z1579" s="974">
        <f ca="1">H1529*Valuation_Senario!$L$372</f>
        <v>10475.472962619999</v>
      </c>
      <c r="AA1579" s="973">
        <v>15.81</v>
      </c>
      <c r="AM1579" s="967">
        <v>43112</v>
      </c>
      <c r="AN1579" s="974">
        <v>130200</v>
      </c>
    </row>
    <row r="1580" spans="1:40">
      <c r="A1580" s="966">
        <v>1573</v>
      </c>
      <c r="B1580" s="967">
        <v>43111</v>
      </c>
      <c r="C1580" s="966">
        <v>131900</v>
      </c>
      <c r="D1580" s="966">
        <v>0.13413</v>
      </c>
      <c r="E1580" s="966">
        <v>0</v>
      </c>
      <c r="F1580" s="966">
        <v>42807.99</v>
      </c>
      <c r="G1580" s="966">
        <v>41779.8891363</v>
      </c>
      <c r="H1580" s="966">
        <v>6485.08</v>
      </c>
      <c r="I1580" s="966">
        <v>20.34</v>
      </c>
      <c r="Q1580" s="967">
        <v>43111</v>
      </c>
      <c r="R1580" s="966">
        <v>131900</v>
      </c>
      <c r="T1580" s="969">
        <v>0.13413</v>
      </c>
      <c r="U1580" s="966">
        <v>6485.08</v>
      </c>
      <c r="W1580" s="971" t="e">
        <f t="shared" si="27"/>
        <v>#DIV/0!</v>
      </c>
      <c r="Y1580" s="967">
        <v>43188</v>
      </c>
      <c r="Z1580" s="974">
        <f ca="1">H1530*Valuation_Senario!$L$372</f>
        <v>10476.045660849999</v>
      </c>
      <c r="AA1580" s="973">
        <v>15.85</v>
      </c>
      <c r="AM1580" s="967">
        <v>43111</v>
      </c>
      <c r="AN1580" s="974">
        <v>131900</v>
      </c>
    </row>
    <row r="1581" spans="1:40">
      <c r="A1581" s="966">
        <v>1574</v>
      </c>
      <c r="B1581" s="967">
        <v>43110</v>
      </c>
      <c r="C1581" s="966">
        <v>132700</v>
      </c>
      <c r="D1581" s="966">
        <v>0</v>
      </c>
      <c r="E1581" s="966">
        <v>0</v>
      </c>
      <c r="F1581" s="966">
        <v>43061.4</v>
      </c>
      <c r="G1581" s="966">
        <v>42033.2925579</v>
      </c>
      <c r="H1581" s="966">
        <v>6485.62</v>
      </c>
      <c r="I1581" s="966">
        <v>20.46</v>
      </c>
      <c r="Q1581" s="967">
        <v>43110</v>
      </c>
      <c r="R1581" s="966">
        <v>132700</v>
      </c>
      <c r="T1581" s="969">
        <v>0</v>
      </c>
      <c r="U1581" s="966">
        <v>6485.62</v>
      </c>
      <c r="W1581" s="971" t="e">
        <f t="shared" si="27"/>
        <v>#DIV/0!</v>
      </c>
      <c r="Y1581" s="967">
        <v>43187</v>
      </c>
      <c r="Z1581" s="974">
        <f ca="1">H1531*Valuation_Senario!$L$372</f>
        <v>10476.633043649999</v>
      </c>
      <c r="AA1581" s="973">
        <v>15.87</v>
      </c>
      <c r="AM1581" s="967">
        <v>43110</v>
      </c>
      <c r="AN1581" s="974">
        <v>132700</v>
      </c>
    </row>
    <row r="1582" spans="1:40">
      <c r="A1582" s="966">
        <v>1575</v>
      </c>
      <c r="B1582" s="967">
        <v>43109</v>
      </c>
      <c r="C1582" s="966">
        <v>131500</v>
      </c>
      <c r="D1582" s="966">
        <v>0</v>
      </c>
      <c r="E1582" s="966">
        <v>0</v>
      </c>
      <c r="F1582" s="966">
        <v>42681.29</v>
      </c>
      <c r="G1582" s="966">
        <v>41653.1874255</v>
      </c>
      <c r="H1582" s="966">
        <v>6486.16</v>
      </c>
      <c r="I1582" s="966">
        <v>20.27</v>
      </c>
      <c r="Q1582" s="967">
        <v>43109</v>
      </c>
      <c r="R1582" s="966">
        <v>131500</v>
      </c>
      <c r="T1582" s="969">
        <v>0</v>
      </c>
      <c r="U1582" s="966">
        <v>6486.16</v>
      </c>
      <c r="W1582" s="971" t="e">
        <f t="shared" si="27"/>
        <v>#DIV/0!</v>
      </c>
      <c r="Y1582" s="967">
        <v>43186</v>
      </c>
      <c r="Z1582" s="974">
        <f ca="1">H1532*Valuation_Senario!$L$372</f>
        <v>10477.22042645</v>
      </c>
      <c r="AA1582" s="973">
        <v>15.98</v>
      </c>
      <c r="AM1582" s="967">
        <v>43109</v>
      </c>
      <c r="AN1582" s="974">
        <v>131500</v>
      </c>
    </row>
    <row r="1583" spans="1:40">
      <c r="A1583" s="966">
        <v>1576</v>
      </c>
      <c r="B1583" s="967">
        <v>43108</v>
      </c>
      <c r="C1583" s="966">
        <v>131300</v>
      </c>
      <c r="D1583" s="966">
        <v>0</v>
      </c>
      <c r="E1583" s="966">
        <v>0.13413</v>
      </c>
      <c r="F1583" s="966">
        <v>42617.94</v>
      </c>
      <c r="G1583" s="966">
        <v>41589.8365701</v>
      </c>
      <c r="H1583" s="966">
        <v>6486.71</v>
      </c>
      <c r="I1583" s="966">
        <v>20.239999999999998</v>
      </c>
      <c r="Q1583" s="967">
        <v>43108</v>
      </c>
      <c r="R1583" s="966">
        <v>131300</v>
      </c>
      <c r="T1583" s="969">
        <v>-0.13413</v>
      </c>
      <c r="U1583" s="966">
        <v>6486.71</v>
      </c>
      <c r="W1583" s="971" t="e">
        <f t="shared" si="27"/>
        <v>#DIV/0!</v>
      </c>
      <c r="Y1583" s="967">
        <v>43185</v>
      </c>
      <c r="Z1583" s="974">
        <f ca="1">H1533*Valuation_Senario!$L$372</f>
        <v>10477.793124679998</v>
      </c>
      <c r="AA1583" s="973">
        <v>16.12</v>
      </c>
      <c r="AM1583" s="967">
        <v>43108</v>
      </c>
      <c r="AN1583" s="974">
        <v>131300</v>
      </c>
    </row>
    <row r="1584" spans="1:40">
      <c r="A1584" s="966">
        <v>1577</v>
      </c>
      <c r="B1584" s="967">
        <v>43105</v>
      </c>
      <c r="C1584" s="966">
        <v>133400</v>
      </c>
      <c r="D1584" s="966">
        <v>0</v>
      </c>
      <c r="E1584" s="966">
        <v>0</v>
      </c>
      <c r="F1584" s="966">
        <v>43283.12</v>
      </c>
      <c r="G1584" s="966">
        <v>42255.0205518</v>
      </c>
      <c r="H1584" s="966">
        <v>6488.33</v>
      </c>
      <c r="I1584" s="966">
        <v>20.56</v>
      </c>
      <c r="Q1584" s="967">
        <v>43105</v>
      </c>
      <c r="R1584" s="966">
        <v>133400</v>
      </c>
      <c r="T1584" s="969">
        <v>0</v>
      </c>
      <c r="U1584" s="966">
        <v>6488.33</v>
      </c>
      <c r="W1584" s="971" t="e">
        <f t="shared" si="27"/>
        <v>#DIV/0!</v>
      </c>
      <c r="Y1584" s="967">
        <v>43182</v>
      </c>
      <c r="Z1584" s="974">
        <f ca="1">H1534*Valuation_Senario!$L$372</f>
        <v>10479.540588509999</v>
      </c>
      <c r="AA1584" s="973">
        <v>16.28</v>
      </c>
      <c r="AM1584" s="967">
        <v>43105</v>
      </c>
      <c r="AN1584" s="974">
        <v>133400</v>
      </c>
    </row>
    <row r="1585" spans="1:40">
      <c r="A1585" s="966">
        <v>1578</v>
      </c>
      <c r="B1585" s="967">
        <v>43104</v>
      </c>
      <c r="C1585" s="966">
        <v>134900</v>
      </c>
      <c r="D1585" s="966">
        <v>0</v>
      </c>
      <c r="E1585" s="966">
        <v>0</v>
      </c>
      <c r="F1585" s="966">
        <v>43758.26</v>
      </c>
      <c r="G1585" s="966">
        <v>42730.1519673</v>
      </c>
      <c r="H1585" s="966">
        <v>6488.87</v>
      </c>
      <c r="I1585" s="966">
        <v>20.79</v>
      </c>
      <c r="Q1585" s="967">
        <v>43104</v>
      </c>
      <c r="R1585" s="966">
        <v>134900</v>
      </c>
      <c r="T1585" s="969">
        <v>0</v>
      </c>
      <c r="U1585" s="966">
        <v>6488.87</v>
      </c>
      <c r="W1585" s="971" t="e">
        <f t="shared" si="27"/>
        <v>#DIV/0!</v>
      </c>
      <c r="Y1585" s="967">
        <v>43181</v>
      </c>
      <c r="Z1585" s="974">
        <f ca="1">H1535*Valuation_Senario!$L$372</f>
        <v>10480.127971309999</v>
      </c>
      <c r="AA1585" s="973">
        <v>16.55</v>
      </c>
      <c r="AM1585" s="967">
        <v>43104</v>
      </c>
      <c r="AN1585" s="974">
        <v>134900</v>
      </c>
    </row>
    <row r="1586" spans="1:40">
      <c r="A1586" s="966">
        <v>1579</v>
      </c>
      <c r="B1586" s="967">
        <v>43103</v>
      </c>
      <c r="C1586" s="966">
        <v>134600</v>
      </c>
      <c r="D1586" s="966">
        <v>0</v>
      </c>
      <c r="E1586" s="966">
        <v>0</v>
      </c>
      <c r="F1586" s="966">
        <v>43663.23</v>
      </c>
      <c r="G1586" s="966">
        <v>42635.1256842</v>
      </c>
      <c r="H1586" s="966">
        <v>6489.42</v>
      </c>
      <c r="I1586" s="966">
        <v>20.74</v>
      </c>
      <c r="Q1586" s="967">
        <v>43103</v>
      </c>
      <c r="R1586" s="966">
        <v>134600</v>
      </c>
      <c r="T1586" s="969">
        <v>0</v>
      </c>
      <c r="U1586" s="966">
        <v>6489.42</v>
      </c>
      <c r="W1586" s="971" t="e">
        <f t="shared" si="27"/>
        <v>#DIV/0!</v>
      </c>
      <c r="Y1586" s="967">
        <v>43180</v>
      </c>
      <c r="Z1586" s="974">
        <f ca="1">H1536*Valuation_Senario!$L$372</f>
        <v>10480.715354109998</v>
      </c>
      <c r="AA1586" s="973">
        <v>16.809999999999999</v>
      </c>
      <c r="AM1586" s="967">
        <v>43103</v>
      </c>
      <c r="AN1586" s="974">
        <v>134600</v>
      </c>
    </row>
    <row r="1587" spans="1:40">
      <c r="A1587" s="966">
        <v>1580</v>
      </c>
      <c r="B1587" s="967">
        <v>43102</v>
      </c>
      <c r="C1587" s="966">
        <v>132000</v>
      </c>
      <c r="D1587" s="966">
        <v>0</v>
      </c>
      <c r="E1587" s="966">
        <v>0</v>
      </c>
      <c r="F1587" s="966">
        <v>42839.67</v>
      </c>
      <c r="G1587" s="966">
        <v>41811.564564</v>
      </c>
      <c r="H1587" s="966">
        <v>6489.96</v>
      </c>
      <c r="I1587" s="966">
        <v>20.34</v>
      </c>
      <c r="Q1587" s="967">
        <v>43102</v>
      </c>
      <c r="R1587" s="966">
        <v>132000</v>
      </c>
      <c r="T1587" s="969">
        <v>0</v>
      </c>
      <c r="U1587" s="966">
        <v>6489.96</v>
      </c>
      <c r="W1587" s="971" t="e">
        <f t="shared" si="27"/>
        <v>#DIV/0!</v>
      </c>
      <c r="Y1587" s="967">
        <v>43179</v>
      </c>
      <c r="Z1587" s="974">
        <f ca="1">H1537*Valuation_Senario!$L$372</f>
        <v>10481.28805234</v>
      </c>
      <c r="AA1587" s="973">
        <v>16.809999999999999</v>
      </c>
      <c r="AM1587" s="967">
        <v>43102</v>
      </c>
      <c r="AN1587" s="974">
        <v>132000</v>
      </c>
    </row>
    <row r="1588" spans="1:40">
      <c r="A1588" s="966">
        <v>1581</v>
      </c>
      <c r="B1588" s="967">
        <v>43098</v>
      </c>
      <c r="C1588" s="966">
        <v>131000</v>
      </c>
      <c r="D1588" s="966">
        <v>627.07268899999997</v>
      </c>
      <c r="E1588" s="966">
        <v>0</v>
      </c>
      <c r="F1588" s="966">
        <v>42522.91</v>
      </c>
      <c r="G1588" s="966">
        <v>41494.810287</v>
      </c>
      <c r="H1588" s="966">
        <v>6492.13</v>
      </c>
      <c r="I1588" s="966">
        <v>20.18</v>
      </c>
      <c r="Q1588" s="967">
        <v>43098</v>
      </c>
      <c r="R1588" s="966">
        <v>131000</v>
      </c>
      <c r="T1588" s="969">
        <v>627.07268899999997</v>
      </c>
      <c r="U1588" s="966">
        <v>6492.13</v>
      </c>
      <c r="W1588" s="971" t="e">
        <f t="shared" si="27"/>
        <v>#DIV/0!</v>
      </c>
      <c r="Y1588" s="967">
        <v>43178</v>
      </c>
      <c r="Z1588" s="974">
        <f ca="1">H1538*Valuation_Senario!$L$372</f>
        <v>10481.87543514</v>
      </c>
      <c r="AA1588" s="973">
        <v>16.39</v>
      </c>
      <c r="AM1588" s="967">
        <v>43098</v>
      </c>
      <c r="AN1588" s="974">
        <v>131000</v>
      </c>
    </row>
    <row r="1589" spans="1:40">
      <c r="A1589" s="966">
        <v>1582</v>
      </c>
      <c r="B1589" s="967">
        <v>43097</v>
      </c>
      <c r="C1589" s="966">
        <v>130800</v>
      </c>
      <c r="D1589" s="966">
        <v>0</v>
      </c>
      <c r="E1589" s="966">
        <v>0</v>
      </c>
      <c r="F1589" s="966">
        <v>42459.56</v>
      </c>
      <c r="G1589" s="966">
        <v>41431.4594316</v>
      </c>
      <c r="H1589" s="966">
        <v>6492.67</v>
      </c>
      <c r="I1589" s="966">
        <v>20.149999999999999</v>
      </c>
      <c r="Q1589" s="967">
        <v>43097</v>
      </c>
      <c r="R1589" s="966">
        <v>130800</v>
      </c>
      <c r="T1589" s="969">
        <v>0</v>
      </c>
      <c r="U1589" s="966">
        <v>6492.67</v>
      </c>
      <c r="W1589" s="971" t="e">
        <f t="shared" si="27"/>
        <v>#DIV/0!</v>
      </c>
      <c r="Y1589" s="967">
        <v>43175</v>
      </c>
      <c r="Z1589" s="974">
        <f ca="1">H1539*Valuation_Senario!$L$372</f>
        <v>10483.622898969999</v>
      </c>
      <c r="AA1589" s="973">
        <v>15.88</v>
      </c>
      <c r="AM1589" s="967">
        <v>43097</v>
      </c>
      <c r="AN1589" s="974">
        <v>130800</v>
      </c>
    </row>
    <row r="1590" spans="1:40">
      <c r="A1590" s="966">
        <v>1583</v>
      </c>
      <c r="B1590" s="967">
        <v>43096</v>
      </c>
      <c r="C1590" s="966">
        <v>130000</v>
      </c>
      <c r="D1590" s="966">
        <v>21.765979999999999</v>
      </c>
      <c r="E1590" s="966">
        <v>21.765979999999999</v>
      </c>
      <c r="F1590" s="966">
        <v>42206.16</v>
      </c>
      <c r="G1590" s="966">
        <v>41178.05601</v>
      </c>
      <c r="H1590" s="966">
        <v>6493.22</v>
      </c>
      <c r="I1590" s="966">
        <v>20.02</v>
      </c>
      <c r="Q1590" s="967">
        <v>43096</v>
      </c>
      <c r="R1590" s="966">
        <v>130000</v>
      </c>
      <c r="T1590" s="969">
        <v>0</v>
      </c>
      <c r="U1590" s="966">
        <v>6493.22</v>
      </c>
      <c r="W1590" s="971" t="e">
        <f t="shared" si="27"/>
        <v>#DIV/0!</v>
      </c>
      <c r="Y1590" s="967">
        <v>43174</v>
      </c>
      <c r="Z1590" s="974">
        <f ca="1">H1540*Valuation_Senario!$L$372</f>
        <v>10484.21028177</v>
      </c>
      <c r="AA1590" s="973">
        <v>15.9</v>
      </c>
      <c r="AM1590" s="967">
        <v>43096</v>
      </c>
      <c r="AN1590" s="974">
        <v>130000</v>
      </c>
    </row>
    <row r="1591" spans="1:40">
      <c r="A1591" s="966">
        <v>1584</v>
      </c>
      <c r="B1591" s="967">
        <v>43095</v>
      </c>
      <c r="C1591" s="966">
        <v>132000</v>
      </c>
      <c r="D1591" s="966">
        <v>0</v>
      </c>
      <c r="E1591" s="966">
        <v>0</v>
      </c>
      <c r="F1591" s="966">
        <v>42839.67</v>
      </c>
      <c r="G1591" s="966">
        <v>41811.564564</v>
      </c>
      <c r="H1591" s="966">
        <v>6493.76</v>
      </c>
      <c r="I1591" s="966">
        <v>20.329999999999998</v>
      </c>
      <c r="Q1591" s="967">
        <v>43095</v>
      </c>
      <c r="R1591" s="966">
        <v>132000</v>
      </c>
      <c r="T1591" s="969">
        <v>0</v>
      </c>
      <c r="U1591" s="966">
        <v>6493.76</v>
      </c>
      <c r="W1591" s="971" t="e">
        <f t="shared" si="27"/>
        <v>#DIV/0!</v>
      </c>
      <c r="Y1591" s="967">
        <v>43173</v>
      </c>
      <c r="Z1591" s="974">
        <f ca="1">H1541*Valuation_Senario!$L$372</f>
        <v>10484.78298</v>
      </c>
      <c r="AA1591" s="973">
        <v>16.11</v>
      </c>
      <c r="AM1591" s="967">
        <v>43095</v>
      </c>
      <c r="AN1591" s="974">
        <v>132000</v>
      </c>
    </row>
    <row r="1592" spans="1:40">
      <c r="A1592" s="966">
        <v>1585</v>
      </c>
      <c r="B1592" s="967">
        <v>43094</v>
      </c>
      <c r="C1592" s="966">
        <v>131000</v>
      </c>
      <c r="D1592" s="966">
        <v>0</v>
      </c>
      <c r="E1592" s="966">
        <v>0</v>
      </c>
      <c r="F1592" s="966">
        <v>41314.75</v>
      </c>
      <c r="G1592" s="966">
        <v>40286.643399</v>
      </c>
      <c r="H1592" s="966">
        <v>6497.02</v>
      </c>
      <c r="I1592" s="966">
        <v>20.16</v>
      </c>
      <c r="Q1592" s="967">
        <v>43094</v>
      </c>
      <c r="R1592" s="966">
        <v>131000</v>
      </c>
      <c r="T1592" s="969">
        <v>0</v>
      </c>
      <c r="U1592" s="966">
        <v>6497.02</v>
      </c>
      <c r="W1592" s="971" t="e">
        <f t="shared" si="27"/>
        <v>#DIV/0!</v>
      </c>
      <c r="Y1592" s="967">
        <v>43172</v>
      </c>
      <c r="Z1592" s="974">
        <f ca="1">H1542*Valuation_Senario!$L$372</f>
        <v>10485.370362799998</v>
      </c>
      <c r="AA1592" s="973">
        <v>16.25</v>
      </c>
      <c r="AM1592" s="967">
        <v>43094</v>
      </c>
      <c r="AN1592" s="974">
        <v>131000</v>
      </c>
    </row>
    <row r="1593" spans="1:40">
      <c r="A1593" s="966">
        <v>1586</v>
      </c>
      <c r="B1593" s="967">
        <v>43091</v>
      </c>
      <c r="C1593" s="966">
        <v>132000</v>
      </c>
      <c r="D1593" s="966">
        <v>0</v>
      </c>
      <c r="E1593" s="966">
        <v>0</v>
      </c>
      <c r="F1593" s="966">
        <v>41622.28</v>
      </c>
      <c r="G1593" s="966">
        <v>40594.175027999998</v>
      </c>
      <c r="H1593" s="966">
        <v>6497.02</v>
      </c>
      <c r="I1593" s="966">
        <v>20.32</v>
      </c>
      <c r="Q1593" s="967">
        <v>43091</v>
      </c>
      <c r="R1593" s="966">
        <v>132000</v>
      </c>
      <c r="T1593" s="969">
        <v>0</v>
      </c>
      <c r="U1593" s="966">
        <v>6497.02</v>
      </c>
      <c r="W1593" s="971" t="e">
        <f t="shared" si="27"/>
        <v>#DIV/0!</v>
      </c>
      <c r="Y1593" s="967">
        <v>43171</v>
      </c>
      <c r="Z1593" s="974">
        <f ca="1">H1543*Valuation_Senario!$L$372</f>
        <v>10485.957745599999</v>
      </c>
      <c r="AA1593" s="973">
        <v>16.38</v>
      </c>
      <c r="AM1593" s="967">
        <v>43091</v>
      </c>
      <c r="AN1593" s="974">
        <v>132000</v>
      </c>
    </row>
    <row r="1594" spans="1:40">
      <c r="A1594" s="966">
        <v>1587</v>
      </c>
      <c r="B1594" s="967">
        <v>43090</v>
      </c>
      <c r="C1594" s="966">
        <v>129500</v>
      </c>
      <c r="D1594" s="966">
        <v>0</v>
      </c>
      <c r="E1594" s="966">
        <v>0</v>
      </c>
      <c r="F1594" s="966">
        <v>40853.449999999997</v>
      </c>
      <c r="G1594" s="966">
        <v>39825.345955500001</v>
      </c>
      <c r="H1594" s="966">
        <v>6497.02</v>
      </c>
      <c r="I1594" s="966">
        <v>19.93</v>
      </c>
      <c r="Q1594" s="967">
        <v>43090</v>
      </c>
      <c r="R1594" s="966">
        <v>129500</v>
      </c>
      <c r="T1594" s="969">
        <v>0</v>
      </c>
      <c r="U1594" s="966">
        <v>6497.02</v>
      </c>
      <c r="W1594" s="971" t="e">
        <f t="shared" si="27"/>
        <v>#DIV/0!</v>
      </c>
      <c r="Y1594" s="967">
        <v>43168</v>
      </c>
      <c r="Z1594" s="974">
        <f ca="1">H1544*Valuation_Senario!$L$372</f>
        <v>10487.70520943</v>
      </c>
      <c r="AA1594" s="973">
        <v>16.260000000000002</v>
      </c>
      <c r="AM1594" s="967">
        <v>43090</v>
      </c>
      <c r="AN1594" s="974">
        <v>129500</v>
      </c>
    </row>
    <row r="1595" spans="1:40">
      <c r="A1595" s="966">
        <v>1588</v>
      </c>
      <c r="B1595" s="967">
        <v>43089</v>
      </c>
      <c r="C1595" s="966">
        <v>133000</v>
      </c>
      <c r="D1595" s="966">
        <v>18.772300000000001</v>
      </c>
      <c r="E1595" s="966">
        <v>18.772300000000001</v>
      </c>
      <c r="F1595" s="966">
        <v>41929.81</v>
      </c>
      <c r="G1595" s="966">
        <v>40901.706657000002</v>
      </c>
      <c r="H1595" s="966">
        <v>6497.02</v>
      </c>
      <c r="I1595" s="966">
        <v>20.47</v>
      </c>
      <c r="Q1595" s="967">
        <v>43089</v>
      </c>
      <c r="R1595" s="966">
        <v>133000</v>
      </c>
      <c r="T1595" s="969">
        <v>0</v>
      </c>
      <c r="U1595" s="966">
        <v>6497.02</v>
      </c>
      <c r="W1595" s="971" t="e">
        <f t="shared" si="27"/>
        <v>#DIV/0!</v>
      </c>
      <c r="Y1595" s="967">
        <v>43167</v>
      </c>
      <c r="Z1595" s="974">
        <f ca="1">H1545*Valuation_Senario!$L$372</f>
        <v>10488.27790766</v>
      </c>
      <c r="AA1595" s="973">
        <v>16.12</v>
      </c>
      <c r="AM1595" s="967">
        <v>43089</v>
      </c>
      <c r="AN1595" s="974">
        <v>133000</v>
      </c>
    </row>
    <row r="1596" spans="1:40">
      <c r="A1596" s="966">
        <v>1589</v>
      </c>
      <c r="B1596" s="967">
        <v>43088</v>
      </c>
      <c r="C1596" s="966">
        <v>134000</v>
      </c>
      <c r="D1596" s="966">
        <v>0</v>
      </c>
      <c r="E1596" s="966">
        <v>0</v>
      </c>
      <c r="F1596" s="966">
        <v>42237.34</v>
      </c>
      <c r="G1596" s="966">
        <v>41209.238286</v>
      </c>
      <c r="H1596" s="966">
        <v>6497.02</v>
      </c>
      <c r="I1596" s="966">
        <v>20.62</v>
      </c>
      <c r="Q1596" s="967">
        <v>43088</v>
      </c>
      <c r="R1596" s="966">
        <v>134000</v>
      </c>
      <c r="T1596" s="969">
        <v>0</v>
      </c>
      <c r="U1596" s="966">
        <v>6497.02</v>
      </c>
      <c r="W1596" s="971" t="e">
        <f t="shared" si="27"/>
        <v>#DIV/0!</v>
      </c>
      <c r="Y1596" s="967">
        <v>43166</v>
      </c>
      <c r="Z1596" s="974">
        <f ca="1">H1546*Valuation_Senario!$L$372</f>
        <v>10488.865290459999</v>
      </c>
      <c r="AA1596" s="973">
        <v>15.97</v>
      </c>
      <c r="AM1596" s="967">
        <v>43088</v>
      </c>
      <c r="AN1596" s="974">
        <v>134000</v>
      </c>
    </row>
    <row r="1597" spans="1:40">
      <c r="A1597" s="966">
        <v>1590</v>
      </c>
      <c r="B1597" s="967">
        <v>43087</v>
      </c>
      <c r="C1597" s="966">
        <v>132000</v>
      </c>
      <c r="D1597" s="966">
        <v>0</v>
      </c>
      <c r="E1597" s="966">
        <v>0</v>
      </c>
      <c r="F1597" s="966">
        <v>41622.28</v>
      </c>
      <c r="G1597" s="966">
        <v>40594.175027999998</v>
      </c>
      <c r="H1597" s="966">
        <v>6497.02</v>
      </c>
      <c r="I1597" s="966">
        <v>20.32</v>
      </c>
      <c r="Q1597" s="967">
        <v>43087</v>
      </c>
      <c r="R1597" s="966">
        <v>132000</v>
      </c>
      <c r="T1597" s="969">
        <v>0</v>
      </c>
      <c r="U1597" s="966">
        <v>6497.02</v>
      </c>
      <c r="W1597" s="971" t="e">
        <f t="shared" si="27"/>
        <v>#DIV/0!</v>
      </c>
      <c r="Y1597" s="967">
        <v>43165</v>
      </c>
      <c r="Z1597" s="974">
        <f ca="1">H1547*Valuation_Senario!$L$372</f>
        <v>10489.452673259999</v>
      </c>
      <c r="AA1597" s="973">
        <v>16.38</v>
      </c>
      <c r="AM1597" s="967">
        <v>43087</v>
      </c>
      <c r="AN1597" s="974">
        <v>132000</v>
      </c>
    </row>
    <row r="1598" spans="1:40">
      <c r="A1598" s="966">
        <v>1591</v>
      </c>
      <c r="B1598" s="967">
        <v>43084</v>
      </c>
      <c r="C1598" s="966">
        <v>132000</v>
      </c>
      <c r="D1598" s="966">
        <v>0</v>
      </c>
      <c r="E1598" s="966">
        <v>0</v>
      </c>
      <c r="F1598" s="966">
        <v>41622.28</v>
      </c>
      <c r="G1598" s="966">
        <v>40594.175027999998</v>
      </c>
      <c r="H1598" s="966">
        <v>6497.02</v>
      </c>
      <c r="I1598" s="966">
        <v>20.32</v>
      </c>
      <c r="Q1598" s="967">
        <v>43084</v>
      </c>
      <c r="R1598" s="966">
        <v>132000</v>
      </c>
      <c r="T1598" s="969">
        <v>0</v>
      </c>
      <c r="U1598" s="966">
        <v>6497.02</v>
      </c>
      <c r="W1598" s="971" t="e">
        <f t="shared" si="27"/>
        <v>#DIV/0!</v>
      </c>
      <c r="Y1598" s="967">
        <v>43164</v>
      </c>
      <c r="Z1598" s="974">
        <f ca="1">H1548*Valuation_Senario!$L$372</f>
        <v>10490.040056059999</v>
      </c>
      <c r="AA1598" s="973">
        <v>16.73</v>
      </c>
      <c r="AM1598" s="967">
        <v>43084</v>
      </c>
      <c r="AN1598" s="974">
        <v>132000</v>
      </c>
    </row>
    <row r="1599" spans="1:40">
      <c r="A1599" s="966">
        <v>1592</v>
      </c>
      <c r="B1599" s="967">
        <v>43083</v>
      </c>
      <c r="C1599" s="966">
        <v>129500</v>
      </c>
      <c r="D1599" s="966">
        <v>0</v>
      </c>
      <c r="E1599" s="966">
        <v>0</v>
      </c>
      <c r="F1599" s="966">
        <v>40853.449999999997</v>
      </c>
      <c r="G1599" s="966">
        <v>39825.345955500001</v>
      </c>
      <c r="H1599" s="966">
        <v>6497.02</v>
      </c>
      <c r="I1599" s="966">
        <v>19.93</v>
      </c>
      <c r="Q1599" s="967">
        <v>43083</v>
      </c>
      <c r="R1599" s="966">
        <v>129500</v>
      </c>
      <c r="T1599" s="969">
        <v>0</v>
      </c>
      <c r="U1599" s="966">
        <v>6497.02</v>
      </c>
      <c r="W1599" s="971" t="e">
        <f t="shared" si="27"/>
        <v>#DIV/0!</v>
      </c>
      <c r="Y1599" s="967">
        <v>43161</v>
      </c>
      <c r="Z1599" s="974">
        <f ca="1">H1549*Valuation_Senario!$L$372</f>
        <v>10491.78751989</v>
      </c>
      <c r="AA1599" s="973">
        <v>17.010000000000002</v>
      </c>
      <c r="AM1599" s="967">
        <v>43083</v>
      </c>
      <c r="AN1599" s="974">
        <v>129500</v>
      </c>
    </row>
    <row r="1600" spans="1:40">
      <c r="A1600" s="966">
        <v>1593</v>
      </c>
      <c r="B1600" s="967">
        <v>43082</v>
      </c>
      <c r="C1600" s="966">
        <v>124100</v>
      </c>
      <c r="D1600" s="966">
        <v>0</v>
      </c>
      <c r="E1600" s="966">
        <v>0</v>
      </c>
      <c r="F1600" s="966">
        <v>39192.78</v>
      </c>
      <c r="G1600" s="966">
        <v>38164.675158899998</v>
      </c>
      <c r="H1600" s="966">
        <v>6497.02</v>
      </c>
      <c r="I1600" s="966">
        <v>19.100000000000001</v>
      </c>
      <c r="Q1600" s="967">
        <v>43082</v>
      </c>
      <c r="R1600" s="966">
        <v>124100</v>
      </c>
      <c r="T1600" s="969">
        <v>0</v>
      </c>
      <c r="U1600" s="966">
        <v>6497.02</v>
      </c>
      <c r="W1600" s="971" t="e">
        <f t="shared" si="27"/>
        <v>#DIV/0!</v>
      </c>
      <c r="Y1600" s="967">
        <v>43160</v>
      </c>
      <c r="Z1600" s="974">
        <f ca="1">H1550*Valuation_Senario!$L$372</f>
        <v>10492.360218119999</v>
      </c>
      <c r="AA1600" s="973">
        <v>17.14</v>
      </c>
      <c r="AM1600" s="967">
        <v>43082</v>
      </c>
      <c r="AN1600" s="974">
        <v>124100</v>
      </c>
    </row>
    <row r="1601" spans="1:40">
      <c r="A1601" s="966">
        <v>1594</v>
      </c>
      <c r="B1601" s="967">
        <v>43081</v>
      </c>
      <c r="C1601" s="966">
        <v>126500</v>
      </c>
      <c r="D1601" s="966">
        <v>0</v>
      </c>
      <c r="E1601" s="966">
        <v>0</v>
      </c>
      <c r="F1601" s="966">
        <v>39930.85</v>
      </c>
      <c r="G1601" s="966">
        <v>38902.751068500002</v>
      </c>
      <c r="H1601" s="966">
        <v>6497.02</v>
      </c>
      <c r="I1601" s="966">
        <v>19.47</v>
      </c>
      <c r="Q1601" s="967">
        <v>43081</v>
      </c>
      <c r="R1601" s="966">
        <v>126500</v>
      </c>
      <c r="T1601" s="969">
        <v>0</v>
      </c>
      <c r="U1601" s="966">
        <v>6497.02</v>
      </c>
      <c r="W1601" s="971" t="e">
        <f t="shared" si="27"/>
        <v>#DIV/0!</v>
      </c>
      <c r="Y1601" s="967">
        <v>43159</v>
      </c>
      <c r="Z1601" s="974">
        <f ca="1">H1551*Valuation_Senario!$L$372</f>
        <v>10492.947600920001</v>
      </c>
      <c r="AA1601" s="973">
        <v>17.350000000000001</v>
      </c>
      <c r="AM1601" s="967">
        <v>43081</v>
      </c>
      <c r="AN1601" s="974">
        <v>126500</v>
      </c>
    </row>
    <row r="1602" spans="1:40">
      <c r="A1602" s="966">
        <v>1595</v>
      </c>
      <c r="B1602" s="967">
        <v>43080</v>
      </c>
      <c r="C1602" s="966">
        <v>127200</v>
      </c>
      <c r="D1602" s="966">
        <v>0</v>
      </c>
      <c r="E1602" s="966">
        <v>0</v>
      </c>
      <c r="F1602" s="966">
        <v>40146.129999999997</v>
      </c>
      <c r="G1602" s="966">
        <v>39118.023208799998</v>
      </c>
      <c r="H1602" s="966">
        <v>6497.02</v>
      </c>
      <c r="I1602" s="966">
        <v>19.579999999999998</v>
      </c>
      <c r="Q1602" s="967">
        <v>43080</v>
      </c>
      <c r="R1602" s="966">
        <v>127200</v>
      </c>
      <c r="T1602" s="969">
        <v>0</v>
      </c>
      <c r="U1602" s="966">
        <v>6497.02</v>
      </c>
      <c r="W1602" s="971" t="e">
        <f t="shared" si="27"/>
        <v>#DIV/0!</v>
      </c>
      <c r="Y1602" s="967">
        <v>43158</v>
      </c>
      <c r="Z1602" s="974">
        <f ca="1">H1552*Valuation_Senario!$L$372</f>
        <v>10493.534983719999</v>
      </c>
      <c r="AA1602" s="973">
        <v>17.63</v>
      </c>
      <c r="AM1602" s="967">
        <v>43080</v>
      </c>
      <c r="AN1602" s="974">
        <v>127200</v>
      </c>
    </row>
    <row r="1603" spans="1:40">
      <c r="A1603" s="966">
        <v>1596</v>
      </c>
      <c r="B1603" s="967">
        <v>43077</v>
      </c>
      <c r="C1603" s="966">
        <v>129000</v>
      </c>
      <c r="D1603" s="966">
        <v>0</v>
      </c>
      <c r="E1603" s="966">
        <v>0</v>
      </c>
      <c r="F1603" s="966">
        <v>40699.68</v>
      </c>
      <c r="G1603" s="966">
        <v>39671.580140999999</v>
      </c>
      <c r="H1603" s="966">
        <v>6497.02</v>
      </c>
      <c r="I1603" s="966">
        <v>19.86</v>
      </c>
      <c r="Q1603" s="967">
        <v>43077</v>
      </c>
      <c r="R1603" s="966">
        <v>129000</v>
      </c>
      <c r="T1603" s="969">
        <v>0</v>
      </c>
      <c r="U1603" s="966">
        <v>6497.02</v>
      </c>
      <c r="W1603" s="971" t="e">
        <f t="shared" si="27"/>
        <v>#DIV/0!</v>
      </c>
      <c r="Y1603" s="967">
        <v>43157</v>
      </c>
      <c r="Z1603" s="974">
        <f ca="1">H1553*Valuation_Senario!$L$372</f>
        <v>10494.12236652</v>
      </c>
      <c r="AA1603" s="973">
        <v>16.93</v>
      </c>
      <c r="AM1603" s="967">
        <v>43077</v>
      </c>
      <c r="AN1603" s="974">
        <v>129000</v>
      </c>
    </row>
    <row r="1604" spans="1:40">
      <c r="A1604" s="966">
        <v>1597</v>
      </c>
      <c r="B1604" s="967">
        <v>43076</v>
      </c>
      <c r="C1604" s="966">
        <v>128700</v>
      </c>
      <c r="D1604" s="966">
        <v>0</v>
      </c>
      <c r="E1604" s="966">
        <v>0</v>
      </c>
      <c r="F1604" s="966">
        <v>40607.42</v>
      </c>
      <c r="G1604" s="966">
        <v>39579.320652299997</v>
      </c>
      <c r="H1604" s="966">
        <v>6497.02</v>
      </c>
      <c r="I1604" s="966">
        <v>19.809999999999999</v>
      </c>
      <c r="Q1604" s="967">
        <v>43076</v>
      </c>
      <c r="R1604" s="966">
        <v>128700</v>
      </c>
      <c r="T1604" s="969">
        <v>0</v>
      </c>
      <c r="U1604" s="966">
        <v>6497.02</v>
      </c>
      <c r="W1604" s="971" t="e">
        <f t="shared" si="27"/>
        <v>#DIV/0!</v>
      </c>
      <c r="Y1604" s="967">
        <v>43154</v>
      </c>
      <c r="Z1604" s="974">
        <f ca="1">H1554*Valuation_Senario!$L$372</f>
        <v>10495.869830349999</v>
      </c>
      <c r="AA1604" s="973">
        <v>16.760000000000002</v>
      </c>
      <c r="AM1604" s="967">
        <v>43076</v>
      </c>
      <c r="AN1604" s="974">
        <v>128700</v>
      </c>
    </row>
    <row r="1605" spans="1:40">
      <c r="A1605" s="966">
        <v>1598</v>
      </c>
      <c r="B1605" s="967">
        <v>43075</v>
      </c>
      <c r="C1605" s="966">
        <v>129700</v>
      </c>
      <c r="D1605" s="966">
        <v>0</v>
      </c>
      <c r="E1605" s="966">
        <v>0</v>
      </c>
      <c r="F1605" s="966">
        <v>40914.959999999999</v>
      </c>
      <c r="G1605" s="966">
        <v>39886.852281300002</v>
      </c>
      <c r="H1605" s="966">
        <v>6497.02</v>
      </c>
      <c r="I1605" s="966">
        <v>19.96</v>
      </c>
      <c r="Q1605" s="967">
        <v>43075</v>
      </c>
      <c r="R1605" s="966">
        <v>129700</v>
      </c>
      <c r="T1605" s="969">
        <v>0</v>
      </c>
      <c r="U1605" s="966">
        <v>6497.02</v>
      </c>
      <c r="W1605" s="971" t="e">
        <f t="shared" si="27"/>
        <v>#DIV/0!</v>
      </c>
      <c r="Y1605" s="967">
        <v>43153</v>
      </c>
      <c r="Z1605" s="974">
        <f ca="1">H1555*Valuation_Senario!$L$372</f>
        <v>10496.457213149999</v>
      </c>
      <c r="AA1605" s="973">
        <v>16.649999999999999</v>
      </c>
      <c r="AM1605" s="967">
        <v>43075</v>
      </c>
      <c r="AN1605" s="974">
        <v>129700</v>
      </c>
    </row>
    <row r="1606" spans="1:40">
      <c r="A1606" s="966">
        <v>1599</v>
      </c>
      <c r="B1606" s="967">
        <v>43074</v>
      </c>
      <c r="C1606" s="966">
        <v>132700</v>
      </c>
      <c r="D1606" s="966">
        <v>0</v>
      </c>
      <c r="E1606" s="966">
        <v>0</v>
      </c>
      <c r="F1606" s="966">
        <v>41837.550000000003</v>
      </c>
      <c r="G1606" s="966">
        <v>40809.447168300001</v>
      </c>
      <c r="H1606" s="966">
        <v>6497.02</v>
      </c>
      <c r="I1606" s="966">
        <v>20.420000000000002</v>
      </c>
      <c r="Q1606" s="967">
        <v>43074</v>
      </c>
      <c r="R1606" s="966">
        <v>132700</v>
      </c>
      <c r="T1606" s="969">
        <v>0</v>
      </c>
      <c r="U1606" s="966">
        <v>6497.02</v>
      </c>
      <c r="W1606" s="971" t="e">
        <f t="shared" si="27"/>
        <v>#DIV/0!</v>
      </c>
      <c r="Y1606" s="967">
        <v>43152</v>
      </c>
      <c r="Z1606" s="974">
        <f ca="1">H1556*Valuation_Senario!$L$372</f>
        <v>10497.044595949999</v>
      </c>
      <c r="AA1606" s="973">
        <v>17.21</v>
      </c>
      <c r="AM1606" s="967">
        <v>43074</v>
      </c>
      <c r="AN1606" s="974">
        <v>132700</v>
      </c>
    </row>
    <row r="1607" spans="1:40">
      <c r="A1607" s="966">
        <v>1600</v>
      </c>
      <c r="B1607" s="967">
        <v>43073</v>
      </c>
      <c r="C1607" s="966">
        <v>136200</v>
      </c>
      <c r="D1607" s="966">
        <v>0</v>
      </c>
      <c r="E1607" s="966">
        <v>0</v>
      </c>
      <c r="F1607" s="966">
        <v>42913.91</v>
      </c>
      <c r="G1607" s="966">
        <v>41885.807869800003</v>
      </c>
      <c r="H1607" s="966">
        <v>6497.02</v>
      </c>
      <c r="I1607" s="966">
        <v>20.96</v>
      </c>
      <c r="Q1607" s="967">
        <v>43073</v>
      </c>
      <c r="R1607" s="966">
        <v>136200</v>
      </c>
      <c r="T1607" s="969">
        <v>0</v>
      </c>
      <c r="U1607" s="966">
        <v>6497.02</v>
      </c>
      <c r="W1607" s="971" t="e">
        <f t="shared" si="27"/>
        <v>#DIV/0!</v>
      </c>
      <c r="Y1607" s="967">
        <v>43144</v>
      </c>
      <c r="Z1607" s="974">
        <f ca="1">H1557*Valuation_Senario!$L$372</f>
        <v>10501.714289209998</v>
      </c>
      <c r="AA1607" s="973">
        <v>16.78</v>
      </c>
      <c r="AM1607" s="967">
        <v>43073</v>
      </c>
      <c r="AN1607" s="974">
        <v>136200</v>
      </c>
    </row>
    <row r="1608" spans="1:40">
      <c r="A1608" s="966">
        <v>1601</v>
      </c>
      <c r="B1608" s="967">
        <v>43070</v>
      </c>
      <c r="C1608" s="966">
        <v>135900</v>
      </c>
      <c r="D1608" s="966">
        <v>0</v>
      </c>
      <c r="E1608" s="966">
        <v>0</v>
      </c>
      <c r="F1608" s="966">
        <v>42821.65</v>
      </c>
      <c r="G1608" s="966">
        <v>41793.548381100001</v>
      </c>
      <c r="H1608" s="966">
        <v>6497.02</v>
      </c>
      <c r="I1608" s="966">
        <v>20.92</v>
      </c>
      <c r="Q1608" s="967">
        <v>43070</v>
      </c>
      <c r="R1608" s="966">
        <v>135900</v>
      </c>
      <c r="T1608" s="969">
        <v>0</v>
      </c>
      <c r="U1608" s="966">
        <v>6497.02</v>
      </c>
      <c r="W1608" s="971" t="e">
        <f t="shared" si="27"/>
        <v>#DIV/0!</v>
      </c>
      <c r="Y1608" s="967">
        <v>43143</v>
      </c>
      <c r="Z1608" s="974">
        <f ca="1">H1558*Valuation_Senario!$L$372</f>
        <v>10502.30167201</v>
      </c>
      <c r="AA1608" s="973">
        <v>15.93</v>
      </c>
      <c r="AM1608" s="967">
        <v>43070</v>
      </c>
      <c r="AN1608" s="974">
        <v>135900</v>
      </c>
    </row>
    <row r="1609" spans="1:40">
      <c r="A1609" s="966">
        <v>1602</v>
      </c>
      <c r="B1609" s="967">
        <v>43069</v>
      </c>
      <c r="C1609" s="966">
        <v>135000</v>
      </c>
      <c r="D1609" s="966">
        <v>0</v>
      </c>
      <c r="E1609" s="966">
        <v>0</v>
      </c>
      <c r="F1609" s="966">
        <v>42544.87</v>
      </c>
      <c r="G1609" s="966">
        <v>41516.769914999997</v>
      </c>
      <c r="H1609" s="966">
        <v>6497.02</v>
      </c>
      <c r="I1609" s="966">
        <v>20.78</v>
      </c>
      <c r="Q1609" s="967">
        <v>43069</v>
      </c>
      <c r="R1609" s="966">
        <v>135000</v>
      </c>
      <c r="T1609" s="969">
        <v>0</v>
      </c>
      <c r="U1609" s="966">
        <v>6497.02</v>
      </c>
      <c r="W1609" s="971" t="e">
        <f t="shared" ref="W1609:W1672" si="28">T1609/V1609</f>
        <v>#DIV/0!</v>
      </c>
      <c r="Y1609" s="967">
        <v>43140</v>
      </c>
      <c r="Z1609" s="974">
        <f ca="1">H1559*Valuation_Senario!$L$372</f>
        <v>10504.04913584</v>
      </c>
      <c r="AA1609" s="973">
        <v>15.66</v>
      </c>
      <c r="AM1609" s="967">
        <v>43069</v>
      </c>
      <c r="AN1609" s="974">
        <v>135000</v>
      </c>
    </row>
    <row r="1610" spans="1:40">
      <c r="A1610" s="966">
        <v>1603</v>
      </c>
      <c r="B1610" s="967">
        <v>43068</v>
      </c>
      <c r="C1610" s="966">
        <v>134500</v>
      </c>
      <c r="D1610" s="966">
        <v>0</v>
      </c>
      <c r="E1610" s="966">
        <v>5.372E-3</v>
      </c>
      <c r="F1610" s="966">
        <v>42391.11</v>
      </c>
      <c r="G1610" s="966">
        <v>41363.004100500002</v>
      </c>
      <c r="H1610" s="966">
        <v>6497.02</v>
      </c>
      <c r="I1610" s="966">
        <v>20.7</v>
      </c>
      <c r="Q1610" s="967">
        <v>43068</v>
      </c>
      <c r="R1610" s="966">
        <v>134500</v>
      </c>
      <c r="T1610" s="969">
        <v>-5.372E-3</v>
      </c>
      <c r="U1610" s="966">
        <v>6497.02</v>
      </c>
      <c r="W1610" s="971" t="e">
        <f t="shared" si="28"/>
        <v>#DIV/0!</v>
      </c>
      <c r="Y1610" s="967">
        <v>43139</v>
      </c>
      <c r="Z1610" s="974">
        <f ca="1">H1560*Valuation_Senario!$L$372</f>
        <v>10504.63651864</v>
      </c>
      <c r="AA1610" s="973">
        <v>16.59</v>
      </c>
      <c r="AM1610" s="967">
        <v>43068</v>
      </c>
      <c r="AN1610" s="974">
        <v>134500</v>
      </c>
    </row>
    <row r="1611" spans="1:40">
      <c r="A1611" s="966">
        <v>1604</v>
      </c>
      <c r="B1611" s="967">
        <v>43067</v>
      </c>
      <c r="C1611" s="966">
        <v>132600</v>
      </c>
      <c r="D1611" s="966">
        <v>0</v>
      </c>
      <c r="E1611" s="966">
        <v>0</v>
      </c>
      <c r="F1611" s="966">
        <v>41806.800000000003</v>
      </c>
      <c r="G1611" s="966">
        <v>40778.694005400001</v>
      </c>
      <c r="H1611" s="966">
        <v>6497.02</v>
      </c>
      <c r="I1611" s="966">
        <v>20.41</v>
      </c>
      <c r="Q1611" s="967">
        <v>43067</v>
      </c>
      <c r="R1611" s="966">
        <v>132600</v>
      </c>
      <c r="T1611" s="969">
        <v>0</v>
      </c>
      <c r="U1611" s="966">
        <v>6497.02</v>
      </c>
      <c r="W1611" s="971" t="e">
        <f t="shared" si="28"/>
        <v>#DIV/0!</v>
      </c>
      <c r="Y1611" s="967">
        <v>43138</v>
      </c>
      <c r="Z1611" s="974">
        <f ca="1">H1561*Valuation_Senario!$L$372</f>
        <v>10505.22390144</v>
      </c>
      <c r="AA1611" s="973">
        <v>16.84</v>
      </c>
      <c r="AM1611" s="967">
        <v>43067</v>
      </c>
      <c r="AN1611" s="974">
        <v>132600</v>
      </c>
    </row>
    <row r="1612" spans="1:40">
      <c r="A1612" s="966">
        <v>1605</v>
      </c>
      <c r="B1612" s="967">
        <v>43066</v>
      </c>
      <c r="C1612" s="966">
        <v>133000</v>
      </c>
      <c r="D1612" s="966">
        <v>0</v>
      </c>
      <c r="E1612" s="966">
        <v>0</v>
      </c>
      <c r="F1612" s="966">
        <v>41929.81</v>
      </c>
      <c r="G1612" s="966">
        <v>40901.706657000002</v>
      </c>
      <c r="H1612" s="966">
        <v>6497.02</v>
      </c>
      <c r="I1612" s="966">
        <v>20.47</v>
      </c>
      <c r="Q1612" s="967">
        <v>43066</v>
      </c>
      <c r="R1612" s="966">
        <v>133000</v>
      </c>
      <c r="T1612" s="969">
        <v>0</v>
      </c>
      <c r="U1612" s="966">
        <v>6497.02</v>
      </c>
      <c r="W1612" s="971" t="e">
        <f t="shared" si="28"/>
        <v>#DIV/0!</v>
      </c>
      <c r="Y1612" s="967">
        <v>43137</v>
      </c>
      <c r="Z1612" s="974">
        <f ca="1">H1562*Valuation_Senario!$L$372</f>
        <v>10505.811284239999</v>
      </c>
      <c r="AA1612" s="973">
        <v>16.63</v>
      </c>
      <c r="AM1612" s="967">
        <v>43066</v>
      </c>
      <c r="AN1612" s="974">
        <v>133000</v>
      </c>
    </row>
    <row r="1613" spans="1:40">
      <c r="A1613" s="966">
        <v>1606</v>
      </c>
      <c r="B1613" s="967">
        <v>43063</v>
      </c>
      <c r="C1613" s="966">
        <v>136600</v>
      </c>
      <c r="D1613" s="966">
        <v>0</v>
      </c>
      <c r="E1613" s="966">
        <v>0</v>
      </c>
      <c r="F1613" s="966">
        <v>43036.92</v>
      </c>
      <c r="G1613" s="966">
        <v>42008.820521399997</v>
      </c>
      <c r="H1613" s="966">
        <v>6497.02</v>
      </c>
      <c r="I1613" s="966">
        <v>21.03</v>
      </c>
      <c r="Q1613" s="967">
        <v>43063</v>
      </c>
      <c r="R1613" s="966">
        <v>136600</v>
      </c>
      <c r="T1613" s="969">
        <v>0</v>
      </c>
      <c r="U1613" s="966">
        <v>6497.02</v>
      </c>
      <c r="W1613" s="971" t="e">
        <f t="shared" si="28"/>
        <v>#DIV/0!</v>
      </c>
      <c r="Y1613" s="967">
        <v>43136</v>
      </c>
      <c r="Z1613" s="974">
        <f ca="1">H1563*Valuation_Senario!$L$372</f>
        <v>10506.398667039999</v>
      </c>
      <c r="AA1613" s="973">
        <v>17.260000000000002</v>
      </c>
      <c r="AM1613" s="967">
        <v>43063</v>
      </c>
      <c r="AN1613" s="974">
        <v>136600</v>
      </c>
    </row>
    <row r="1614" spans="1:40">
      <c r="A1614" s="966">
        <v>1607</v>
      </c>
      <c r="B1614" s="967">
        <v>43062</v>
      </c>
      <c r="C1614" s="966">
        <v>136800</v>
      </c>
      <c r="D1614" s="966">
        <v>0</v>
      </c>
      <c r="E1614" s="966">
        <v>0</v>
      </c>
      <c r="F1614" s="966">
        <v>43098.43</v>
      </c>
      <c r="G1614" s="966">
        <v>42070.326847199998</v>
      </c>
      <c r="H1614" s="966">
        <v>6497.02</v>
      </c>
      <c r="I1614" s="966">
        <v>21.06</v>
      </c>
      <c r="Q1614" s="967">
        <v>43062</v>
      </c>
      <c r="R1614" s="966">
        <v>136800</v>
      </c>
      <c r="T1614" s="969">
        <v>0</v>
      </c>
      <c r="U1614" s="966">
        <v>6497.02</v>
      </c>
      <c r="W1614" s="971" t="e">
        <f t="shared" si="28"/>
        <v>#DIV/0!</v>
      </c>
      <c r="Y1614" s="967">
        <v>43133</v>
      </c>
      <c r="Z1614" s="974">
        <f ca="1">H1564*Valuation_Senario!$L$372</f>
        <v>10508.14613087</v>
      </c>
      <c r="AA1614" s="973">
        <v>17.690000000000001</v>
      </c>
      <c r="AM1614" s="967">
        <v>43062</v>
      </c>
      <c r="AN1614" s="974">
        <v>136800</v>
      </c>
    </row>
    <row r="1615" spans="1:40">
      <c r="A1615" s="966">
        <v>1608</v>
      </c>
      <c r="B1615" s="967">
        <v>43061</v>
      </c>
      <c r="C1615" s="966">
        <v>137500</v>
      </c>
      <c r="D1615" s="966">
        <v>0</v>
      </c>
      <c r="E1615" s="966">
        <v>0</v>
      </c>
      <c r="F1615" s="966">
        <v>43313.7</v>
      </c>
      <c r="G1615" s="966">
        <v>42285.598987500001</v>
      </c>
      <c r="H1615" s="966">
        <v>6497.02</v>
      </c>
      <c r="I1615" s="966">
        <v>21.16</v>
      </c>
      <c r="Q1615" s="967">
        <v>43061</v>
      </c>
      <c r="R1615" s="966">
        <v>137500</v>
      </c>
      <c r="T1615" s="969">
        <v>0</v>
      </c>
      <c r="U1615" s="966">
        <v>6497.02</v>
      </c>
      <c r="W1615" s="971" t="e">
        <f t="shared" si="28"/>
        <v>#DIV/0!</v>
      </c>
      <c r="Y1615" s="967">
        <v>43132</v>
      </c>
      <c r="Z1615" s="974">
        <f ca="1">H1565*Valuation_Senario!$L$372</f>
        <v>10508.73351367</v>
      </c>
      <c r="AA1615" s="973">
        <v>18.75</v>
      </c>
      <c r="AM1615" s="967">
        <v>43061</v>
      </c>
      <c r="AN1615" s="974">
        <v>137500</v>
      </c>
    </row>
    <row r="1616" spans="1:40">
      <c r="A1616" s="966">
        <v>1609</v>
      </c>
      <c r="B1616" s="967">
        <v>43060</v>
      </c>
      <c r="C1616" s="966">
        <v>136500</v>
      </c>
      <c r="D1616" s="966">
        <v>0</v>
      </c>
      <c r="E1616" s="966">
        <v>0</v>
      </c>
      <c r="F1616" s="966">
        <v>43006.17</v>
      </c>
      <c r="G1616" s="966">
        <v>41978.067358499997</v>
      </c>
      <c r="H1616" s="966">
        <v>6497.02</v>
      </c>
      <c r="I1616" s="966">
        <v>21.01</v>
      </c>
      <c r="Q1616" s="967">
        <v>43060</v>
      </c>
      <c r="R1616" s="966">
        <v>136500</v>
      </c>
      <c r="T1616" s="969">
        <v>0</v>
      </c>
      <c r="U1616" s="966">
        <v>6497.02</v>
      </c>
      <c r="W1616" s="971" t="e">
        <f t="shared" si="28"/>
        <v>#DIV/0!</v>
      </c>
      <c r="Y1616" s="967">
        <v>43131</v>
      </c>
      <c r="Z1616" s="974">
        <f ca="1">H1566*Valuation_Senario!$L$372</f>
        <v>9498.6847353599987</v>
      </c>
      <c r="AA1616" s="973">
        <v>19.399999999999999</v>
      </c>
      <c r="AM1616" s="967">
        <v>43060</v>
      </c>
      <c r="AN1616" s="974">
        <v>136500</v>
      </c>
    </row>
    <row r="1617" spans="1:40">
      <c r="A1617" s="966">
        <v>1610</v>
      </c>
      <c r="B1617" s="967">
        <v>43059</v>
      </c>
      <c r="C1617" s="966">
        <v>136500</v>
      </c>
      <c r="D1617" s="966">
        <v>0</v>
      </c>
      <c r="E1617" s="966">
        <v>0</v>
      </c>
      <c r="F1617" s="966">
        <v>43006.17</v>
      </c>
      <c r="G1617" s="966">
        <v>41978.067358499997</v>
      </c>
      <c r="H1617" s="966">
        <v>6497.02</v>
      </c>
      <c r="I1617" s="966">
        <v>21.01</v>
      </c>
      <c r="Q1617" s="967">
        <v>43059</v>
      </c>
      <c r="R1617" s="966">
        <v>136500</v>
      </c>
      <c r="T1617" s="969">
        <v>0</v>
      </c>
      <c r="U1617" s="966">
        <v>6497.02</v>
      </c>
      <c r="W1617" s="971" t="e">
        <f t="shared" si="28"/>
        <v>#DIV/0!</v>
      </c>
      <c r="Y1617" s="967">
        <v>43130</v>
      </c>
      <c r="Z1617" s="974">
        <f ca="1">H1567*Valuation_Senario!$L$372</f>
        <v>9500.0063466600004</v>
      </c>
      <c r="AA1617" s="973">
        <v>19.46</v>
      </c>
      <c r="AM1617" s="967">
        <v>43059</v>
      </c>
      <c r="AN1617" s="974">
        <v>136500</v>
      </c>
    </row>
    <row r="1618" spans="1:40">
      <c r="A1618" s="966">
        <v>1611</v>
      </c>
      <c r="B1618" s="967">
        <v>43056</v>
      </c>
      <c r="C1618" s="966">
        <v>134000</v>
      </c>
      <c r="D1618" s="966">
        <v>0</v>
      </c>
      <c r="E1618" s="966">
        <v>0</v>
      </c>
      <c r="F1618" s="966">
        <v>42237.34</v>
      </c>
      <c r="G1618" s="966">
        <v>41209.238286</v>
      </c>
      <c r="H1618" s="966">
        <v>6497.02</v>
      </c>
      <c r="I1618" s="966">
        <v>20.62</v>
      </c>
      <c r="Q1618" s="967">
        <v>43056</v>
      </c>
      <c r="R1618" s="966">
        <v>134000</v>
      </c>
      <c r="T1618" s="969">
        <v>0</v>
      </c>
      <c r="U1618" s="966">
        <v>6497.02</v>
      </c>
      <c r="W1618" s="971" t="e">
        <f t="shared" si="28"/>
        <v>#DIV/0!</v>
      </c>
      <c r="Y1618" s="967">
        <v>43129</v>
      </c>
      <c r="Z1618" s="974">
        <f ca="1">H1568*Valuation_Senario!$L$372</f>
        <v>9501.3426425299986</v>
      </c>
      <c r="AA1618" s="973">
        <v>19.13</v>
      </c>
      <c r="AM1618" s="967">
        <v>43056</v>
      </c>
      <c r="AN1618" s="974">
        <v>134000</v>
      </c>
    </row>
    <row r="1619" spans="1:40">
      <c r="A1619" s="966">
        <v>1612</v>
      </c>
      <c r="B1619" s="967">
        <v>43055</v>
      </c>
      <c r="C1619" s="966">
        <v>134500</v>
      </c>
      <c r="D1619" s="966">
        <v>0</v>
      </c>
      <c r="E1619" s="966">
        <v>1.0448999999999999</v>
      </c>
      <c r="F1619" s="966">
        <v>42391.11</v>
      </c>
      <c r="G1619" s="966">
        <v>41363.004100500002</v>
      </c>
      <c r="H1619" s="966">
        <v>6497.02</v>
      </c>
      <c r="I1619" s="966">
        <v>20.7</v>
      </c>
      <c r="Q1619" s="967">
        <v>43055</v>
      </c>
      <c r="R1619" s="966">
        <v>134500</v>
      </c>
      <c r="T1619" s="969">
        <v>-1.0448999999999999</v>
      </c>
      <c r="U1619" s="966">
        <v>6497.02</v>
      </c>
      <c r="W1619" s="971" t="e">
        <f t="shared" si="28"/>
        <v>#DIV/0!</v>
      </c>
      <c r="Y1619" s="967">
        <v>43126</v>
      </c>
      <c r="Z1619" s="974">
        <f ca="1">H1569*Valuation_Senario!$L$372</f>
        <v>9505.3074764299981</v>
      </c>
      <c r="AA1619" s="973">
        <v>19.649999999999999</v>
      </c>
      <c r="AM1619" s="967">
        <v>43055</v>
      </c>
      <c r="AN1619" s="974">
        <v>134500</v>
      </c>
    </row>
    <row r="1620" spans="1:40">
      <c r="A1620" s="966">
        <v>1613</v>
      </c>
      <c r="B1620" s="967">
        <v>43054</v>
      </c>
      <c r="C1620" s="966">
        <v>133500</v>
      </c>
      <c r="D1620" s="966">
        <v>0</v>
      </c>
      <c r="E1620" s="966">
        <v>0</v>
      </c>
      <c r="F1620" s="966">
        <v>42083.58</v>
      </c>
      <c r="G1620" s="966">
        <v>41055.472471499997</v>
      </c>
      <c r="H1620" s="966">
        <v>6497.02</v>
      </c>
      <c r="I1620" s="966">
        <v>20.55</v>
      </c>
      <c r="Q1620" s="967">
        <v>43054</v>
      </c>
      <c r="R1620" s="966">
        <v>133500</v>
      </c>
      <c r="T1620" s="969">
        <v>0</v>
      </c>
      <c r="U1620" s="966">
        <v>6497.02</v>
      </c>
      <c r="W1620" s="971" t="e">
        <f t="shared" si="28"/>
        <v>#DIV/0!</v>
      </c>
      <c r="Y1620" s="967">
        <v>43125</v>
      </c>
      <c r="Z1620" s="974">
        <f ca="1">H1570*Valuation_Senario!$L$372</f>
        <v>9506.6290877299998</v>
      </c>
      <c r="AA1620" s="973">
        <v>19.93</v>
      </c>
      <c r="AM1620" s="967">
        <v>43054</v>
      </c>
      <c r="AN1620" s="974">
        <v>133500</v>
      </c>
    </row>
    <row r="1621" spans="1:40">
      <c r="A1621" s="966">
        <v>1614</v>
      </c>
      <c r="B1621" s="967">
        <v>43053</v>
      </c>
      <c r="C1621" s="966">
        <v>134500</v>
      </c>
      <c r="D1621" s="966">
        <v>0</v>
      </c>
      <c r="E1621" s="966">
        <v>0</v>
      </c>
      <c r="F1621" s="966">
        <v>42391.11</v>
      </c>
      <c r="G1621" s="966">
        <v>41363.004100500002</v>
      </c>
      <c r="H1621" s="966">
        <v>6497.02</v>
      </c>
      <c r="I1621" s="966">
        <v>20.7</v>
      </c>
      <c r="Q1621" s="967">
        <v>43053</v>
      </c>
      <c r="R1621" s="966">
        <v>134500</v>
      </c>
      <c r="T1621" s="969">
        <v>0</v>
      </c>
      <c r="U1621" s="966">
        <v>6497.02</v>
      </c>
      <c r="W1621" s="971" t="e">
        <f t="shared" si="28"/>
        <v>#DIV/0!</v>
      </c>
      <c r="Y1621" s="967">
        <v>43124</v>
      </c>
      <c r="Z1621" s="974">
        <f ca="1">H1571*Valuation_Senario!$L$372</f>
        <v>9507.9506990299997</v>
      </c>
      <c r="AA1621" s="973">
        <v>19.850000000000001</v>
      </c>
      <c r="AM1621" s="967">
        <v>43053</v>
      </c>
      <c r="AN1621" s="974">
        <v>134500</v>
      </c>
    </row>
    <row r="1622" spans="1:40">
      <c r="A1622" s="966">
        <v>1615</v>
      </c>
      <c r="B1622" s="967">
        <v>43052</v>
      </c>
      <c r="C1622" s="966">
        <v>128000</v>
      </c>
      <c r="D1622" s="966">
        <v>0</v>
      </c>
      <c r="E1622" s="966">
        <v>0</v>
      </c>
      <c r="F1622" s="966">
        <v>40392.15</v>
      </c>
      <c r="G1622" s="966">
        <v>39364.048512000001</v>
      </c>
      <c r="H1622" s="966">
        <v>6497.02</v>
      </c>
      <c r="I1622" s="966">
        <v>19.7</v>
      </c>
      <c r="Q1622" s="967">
        <v>43052</v>
      </c>
      <c r="R1622" s="966">
        <v>128000</v>
      </c>
      <c r="T1622" s="969">
        <v>0</v>
      </c>
      <c r="U1622" s="966">
        <v>6497.02</v>
      </c>
      <c r="W1622" s="971" t="e">
        <f t="shared" si="28"/>
        <v>#DIV/0!</v>
      </c>
      <c r="Y1622" s="967">
        <v>43123</v>
      </c>
      <c r="Z1622" s="974">
        <f ca="1">H1572*Valuation_Senario!$L$372</f>
        <v>9509.2723103299995</v>
      </c>
      <c r="AA1622" s="973">
        <v>19.84</v>
      </c>
      <c r="AM1622" s="967">
        <v>43052</v>
      </c>
      <c r="AN1622" s="974">
        <v>128000</v>
      </c>
    </row>
    <row r="1623" spans="1:40">
      <c r="A1623" s="966">
        <v>1616</v>
      </c>
      <c r="B1623" s="967">
        <v>43049</v>
      </c>
      <c r="C1623" s="966">
        <v>128900</v>
      </c>
      <c r="D1623" s="966">
        <v>0</v>
      </c>
      <c r="E1623" s="966">
        <v>0</v>
      </c>
      <c r="F1623" s="966">
        <v>40668.93</v>
      </c>
      <c r="G1623" s="966">
        <v>39640.826978099998</v>
      </c>
      <c r="H1623" s="966">
        <v>6497.02</v>
      </c>
      <c r="I1623" s="966">
        <v>19.84</v>
      </c>
      <c r="Q1623" s="967">
        <v>43049</v>
      </c>
      <c r="R1623" s="966">
        <v>128900</v>
      </c>
      <c r="T1623" s="969">
        <v>0</v>
      </c>
      <c r="U1623" s="966">
        <v>6497.02</v>
      </c>
      <c r="W1623" s="971" t="e">
        <f t="shared" si="28"/>
        <v>#DIV/0!</v>
      </c>
      <c r="Y1623" s="967">
        <v>43122</v>
      </c>
      <c r="Z1623" s="974">
        <f ca="1">H1573*Valuation_Senario!$L$372</f>
        <v>9510.5939216299994</v>
      </c>
      <c r="AA1623" s="973">
        <v>19.84</v>
      </c>
      <c r="AM1623" s="967">
        <v>43049</v>
      </c>
      <c r="AN1623" s="974">
        <v>128900</v>
      </c>
    </row>
    <row r="1624" spans="1:40">
      <c r="A1624" s="966">
        <v>1617</v>
      </c>
      <c r="B1624" s="967">
        <v>43048</v>
      </c>
      <c r="C1624" s="966">
        <v>129000</v>
      </c>
      <c r="D1624" s="966">
        <v>0</v>
      </c>
      <c r="E1624" s="966">
        <v>0</v>
      </c>
      <c r="F1624" s="966">
        <v>40699.68</v>
      </c>
      <c r="G1624" s="966">
        <v>39671.580140999999</v>
      </c>
      <c r="H1624" s="966">
        <v>6497.02</v>
      </c>
      <c r="I1624" s="966">
        <v>19.86</v>
      </c>
      <c r="Q1624" s="967">
        <v>43048</v>
      </c>
      <c r="R1624" s="966">
        <v>129000</v>
      </c>
      <c r="T1624" s="969">
        <v>0</v>
      </c>
      <c r="U1624" s="966">
        <v>6497.02</v>
      </c>
      <c r="W1624" s="971" t="e">
        <f t="shared" si="28"/>
        <v>#DIV/0!</v>
      </c>
      <c r="Y1624" s="967">
        <v>43119</v>
      </c>
      <c r="Z1624" s="974">
        <f ca="1">H1574*Valuation_Senario!$L$372</f>
        <v>9516.7027027499989</v>
      </c>
      <c r="AA1624" s="973">
        <v>19.670000000000002</v>
      </c>
      <c r="AM1624" s="967">
        <v>43048</v>
      </c>
      <c r="AN1624" s="974">
        <v>129000</v>
      </c>
    </row>
    <row r="1625" spans="1:40">
      <c r="A1625" s="966">
        <v>1618</v>
      </c>
      <c r="B1625" s="967">
        <v>43047</v>
      </c>
      <c r="C1625" s="966">
        <v>128000</v>
      </c>
      <c r="D1625" s="966">
        <v>0</v>
      </c>
      <c r="E1625" s="966">
        <v>0</v>
      </c>
      <c r="F1625" s="966">
        <v>40392.15</v>
      </c>
      <c r="G1625" s="966">
        <v>39364.048512000001</v>
      </c>
      <c r="H1625" s="966">
        <v>6497.02</v>
      </c>
      <c r="I1625" s="966">
        <v>19.7</v>
      </c>
      <c r="Q1625" s="967">
        <v>43047</v>
      </c>
      <c r="R1625" s="966">
        <v>128000</v>
      </c>
      <c r="T1625" s="969">
        <v>0</v>
      </c>
      <c r="U1625" s="966">
        <v>6497.02</v>
      </c>
      <c r="W1625" s="971" t="e">
        <f t="shared" si="28"/>
        <v>#DIV/0!</v>
      </c>
      <c r="Y1625" s="967">
        <v>43118</v>
      </c>
      <c r="Z1625" s="974">
        <f ca="1">H1575*Valuation_Senario!$L$372</f>
        <v>9517.4956695299988</v>
      </c>
      <c r="AA1625" s="973">
        <v>19.98</v>
      </c>
      <c r="AM1625" s="967">
        <v>43047</v>
      </c>
      <c r="AN1625" s="974">
        <v>128000</v>
      </c>
    </row>
    <row r="1626" spans="1:40">
      <c r="A1626" s="966">
        <v>1619</v>
      </c>
      <c r="B1626" s="967">
        <v>43046</v>
      </c>
      <c r="C1626" s="966">
        <v>126300</v>
      </c>
      <c r="D1626" s="966">
        <v>0</v>
      </c>
      <c r="E1626" s="966">
        <v>0</v>
      </c>
      <c r="F1626" s="966">
        <v>39869.35</v>
      </c>
      <c r="G1626" s="966">
        <v>38841.244742700001</v>
      </c>
      <c r="H1626" s="966">
        <v>6497.02</v>
      </c>
      <c r="I1626" s="966">
        <v>19.440000000000001</v>
      </c>
      <c r="Q1626" s="967">
        <v>43046</v>
      </c>
      <c r="R1626" s="966">
        <v>126300</v>
      </c>
      <c r="T1626" s="969">
        <v>0</v>
      </c>
      <c r="U1626" s="966">
        <v>6497.02</v>
      </c>
      <c r="W1626" s="971" t="e">
        <f t="shared" si="28"/>
        <v>#DIV/0!</v>
      </c>
      <c r="Y1626" s="967">
        <v>43117</v>
      </c>
      <c r="Z1626" s="974">
        <f ca="1">H1576*Valuation_Senario!$L$372</f>
        <v>9518.2886363099988</v>
      </c>
      <c r="AA1626" s="973">
        <v>19.75</v>
      </c>
      <c r="AM1626" s="967">
        <v>43046</v>
      </c>
      <c r="AN1626" s="974">
        <v>126300</v>
      </c>
    </row>
    <row r="1627" spans="1:40">
      <c r="A1627" s="966">
        <v>1620</v>
      </c>
      <c r="B1627" s="967">
        <v>43045</v>
      </c>
      <c r="C1627" s="966">
        <v>127000</v>
      </c>
      <c r="D1627" s="966">
        <v>0</v>
      </c>
      <c r="E1627" s="966">
        <v>0</v>
      </c>
      <c r="F1627" s="966">
        <v>40084.620000000003</v>
      </c>
      <c r="G1627" s="966">
        <v>39056.516882999997</v>
      </c>
      <c r="H1627" s="966">
        <v>6497.02</v>
      </c>
      <c r="I1627" s="966">
        <v>19.55</v>
      </c>
      <c r="Q1627" s="967">
        <v>43045</v>
      </c>
      <c r="R1627" s="966">
        <v>127000</v>
      </c>
      <c r="T1627" s="969">
        <v>0</v>
      </c>
      <c r="U1627" s="966">
        <v>6497.02</v>
      </c>
      <c r="W1627" s="971" t="e">
        <f t="shared" si="28"/>
        <v>#DIV/0!</v>
      </c>
      <c r="Y1627" s="967">
        <v>43116</v>
      </c>
      <c r="Z1627" s="974">
        <f ca="1">H1577*Valuation_Senario!$L$372</f>
        <v>9519.0816030899987</v>
      </c>
      <c r="AA1627" s="973">
        <v>20.190000000000001</v>
      </c>
      <c r="AM1627" s="967">
        <v>43045</v>
      </c>
      <c r="AN1627" s="974">
        <v>127000</v>
      </c>
    </row>
    <row r="1628" spans="1:40">
      <c r="A1628" s="966">
        <v>1621</v>
      </c>
      <c r="B1628" s="967">
        <v>43042</v>
      </c>
      <c r="C1628" s="966">
        <v>125500</v>
      </c>
      <c r="D1628" s="966">
        <v>0</v>
      </c>
      <c r="E1628" s="966">
        <v>0</v>
      </c>
      <c r="F1628" s="966">
        <v>39623.32</v>
      </c>
      <c r="G1628" s="966">
        <v>38595.219439499997</v>
      </c>
      <c r="H1628" s="966">
        <v>6497.02</v>
      </c>
      <c r="I1628" s="966">
        <v>19.32</v>
      </c>
      <c r="Q1628" s="967">
        <v>43042</v>
      </c>
      <c r="R1628" s="966">
        <v>125500</v>
      </c>
      <c r="T1628" s="969">
        <v>0</v>
      </c>
      <c r="U1628" s="966">
        <v>6497.02</v>
      </c>
      <c r="W1628" s="971" t="e">
        <f t="shared" si="28"/>
        <v>#DIV/0!</v>
      </c>
      <c r="Y1628" s="967">
        <v>43115</v>
      </c>
      <c r="Z1628" s="974">
        <f ca="1">H1578*Valuation_Senario!$L$372</f>
        <v>9519.8892544399987</v>
      </c>
      <c r="AA1628" s="973">
        <v>20.13</v>
      </c>
      <c r="AM1628" s="967">
        <v>43042</v>
      </c>
      <c r="AN1628" s="974">
        <v>125500</v>
      </c>
    </row>
    <row r="1629" spans="1:40">
      <c r="A1629" s="966">
        <v>1622</v>
      </c>
      <c r="B1629" s="967">
        <v>43041</v>
      </c>
      <c r="C1629" s="966">
        <v>120000</v>
      </c>
      <c r="D1629" s="966">
        <v>0</v>
      </c>
      <c r="E1629" s="966">
        <v>0</v>
      </c>
      <c r="F1629" s="966">
        <v>37931.9</v>
      </c>
      <c r="G1629" s="966">
        <v>36903.795480000001</v>
      </c>
      <c r="H1629" s="966">
        <v>6497.02</v>
      </c>
      <c r="I1629" s="966">
        <v>18.47</v>
      </c>
      <c r="Q1629" s="967">
        <v>43041</v>
      </c>
      <c r="R1629" s="966">
        <v>120000</v>
      </c>
      <c r="T1629" s="969">
        <v>0</v>
      </c>
      <c r="U1629" s="966">
        <v>6497.02</v>
      </c>
      <c r="W1629" s="971" t="e">
        <f t="shared" si="28"/>
        <v>#DIV/0!</v>
      </c>
      <c r="Y1629" s="967">
        <v>43112</v>
      </c>
      <c r="Z1629" s="974">
        <f ca="1">H1579*Valuation_Senario!$L$372</f>
        <v>9522.2681547799984</v>
      </c>
      <c r="AA1629" s="973">
        <v>20.079999999999998</v>
      </c>
      <c r="AM1629" s="967">
        <v>43041</v>
      </c>
      <c r="AN1629" s="974">
        <v>120000</v>
      </c>
    </row>
    <row r="1630" spans="1:40">
      <c r="A1630" s="966">
        <v>1623</v>
      </c>
      <c r="B1630" s="967">
        <v>43040</v>
      </c>
      <c r="C1630" s="966">
        <v>126900</v>
      </c>
      <c r="D1630" s="966">
        <v>0</v>
      </c>
      <c r="E1630" s="966">
        <v>0</v>
      </c>
      <c r="F1630" s="966">
        <v>40053.870000000003</v>
      </c>
      <c r="G1630" s="966">
        <v>39025.763720100003</v>
      </c>
      <c r="H1630" s="966">
        <v>6497.02</v>
      </c>
      <c r="I1630" s="966">
        <v>19.53</v>
      </c>
      <c r="Q1630" s="967">
        <v>43040</v>
      </c>
      <c r="R1630" s="966">
        <v>126900</v>
      </c>
      <c r="T1630" s="969">
        <v>0</v>
      </c>
      <c r="U1630" s="966">
        <v>6497.02</v>
      </c>
      <c r="W1630" s="971" t="e">
        <f t="shared" si="28"/>
        <v>#DIV/0!</v>
      </c>
      <c r="Y1630" s="967">
        <v>43111</v>
      </c>
      <c r="Z1630" s="974">
        <f ca="1">H1580*Valuation_Senario!$L$372</f>
        <v>9523.0611215599984</v>
      </c>
      <c r="AA1630" s="973">
        <v>20.34</v>
      </c>
      <c r="AM1630" s="967">
        <v>43040</v>
      </c>
      <c r="AN1630" s="974">
        <v>126900</v>
      </c>
    </row>
    <row r="1631" spans="1:40">
      <c r="A1631" s="966">
        <v>1624</v>
      </c>
      <c r="B1631" s="967">
        <v>43039</v>
      </c>
      <c r="C1631" s="966">
        <v>128500</v>
      </c>
      <c r="D1631" s="966">
        <v>0</v>
      </c>
      <c r="E1631" s="966">
        <v>0</v>
      </c>
      <c r="F1631" s="966">
        <v>41989.46</v>
      </c>
      <c r="G1631" s="966">
        <v>39530.419534000001</v>
      </c>
      <c r="H1631" s="966">
        <v>5951.42</v>
      </c>
      <c r="I1631" s="966">
        <v>21.59</v>
      </c>
      <c r="Q1631" s="967">
        <v>43039</v>
      </c>
      <c r="R1631" s="966">
        <v>128500</v>
      </c>
      <c r="T1631" s="969">
        <v>0</v>
      </c>
      <c r="U1631" s="966">
        <v>5951.42</v>
      </c>
      <c r="W1631" s="971" t="e">
        <f t="shared" si="28"/>
        <v>#DIV/0!</v>
      </c>
      <c r="Y1631" s="967">
        <v>43110</v>
      </c>
      <c r="Z1631" s="974">
        <f ca="1">H1581*Valuation_Senario!$L$372</f>
        <v>9523.8540883400001</v>
      </c>
      <c r="AA1631" s="973">
        <v>20.46</v>
      </c>
      <c r="AM1631" s="967">
        <v>43039</v>
      </c>
      <c r="AN1631" s="974">
        <v>128500</v>
      </c>
    </row>
    <row r="1632" spans="1:40">
      <c r="A1632" s="966">
        <v>1625</v>
      </c>
      <c r="B1632" s="967">
        <v>43038</v>
      </c>
      <c r="C1632" s="966">
        <v>129800</v>
      </c>
      <c r="D1632" s="966">
        <v>0</v>
      </c>
      <c r="E1632" s="966">
        <v>0</v>
      </c>
      <c r="F1632" s="966">
        <v>42389.38</v>
      </c>
      <c r="G1632" s="966">
        <v>39930.338175199999</v>
      </c>
      <c r="H1632" s="966">
        <v>5951.42</v>
      </c>
      <c r="I1632" s="966">
        <v>21.81</v>
      </c>
      <c r="Q1632" s="967">
        <v>43038</v>
      </c>
      <c r="R1632" s="966">
        <v>129800</v>
      </c>
      <c r="T1632" s="969">
        <v>0</v>
      </c>
      <c r="U1632" s="966">
        <v>5951.42</v>
      </c>
      <c r="W1632" s="971" t="e">
        <f t="shared" si="28"/>
        <v>#DIV/0!</v>
      </c>
      <c r="Y1632" s="967">
        <v>43109</v>
      </c>
      <c r="Z1632" s="974">
        <f ca="1">H1582*Valuation_Senario!$L$372</f>
        <v>9524.64705512</v>
      </c>
      <c r="AA1632" s="973">
        <v>20.27</v>
      </c>
      <c r="AM1632" s="967">
        <v>43038</v>
      </c>
      <c r="AN1632" s="974">
        <v>129800</v>
      </c>
    </row>
    <row r="1633" spans="1:40">
      <c r="A1633" s="966">
        <v>1626</v>
      </c>
      <c r="B1633" s="967">
        <v>43035</v>
      </c>
      <c r="C1633" s="966">
        <v>131000</v>
      </c>
      <c r="D1633" s="966">
        <v>0</v>
      </c>
      <c r="E1633" s="966">
        <v>0</v>
      </c>
      <c r="F1633" s="966">
        <v>42758.53</v>
      </c>
      <c r="G1633" s="966">
        <v>40299.493843999997</v>
      </c>
      <c r="H1633" s="966">
        <v>5951.42</v>
      </c>
      <c r="I1633" s="966">
        <v>22.01</v>
      </c>
      <c r="Q1633" s="967">
        <v>43035</v>
      </c>
      <c r="R1633" s="966">
        <v>131000</v>
      </c>
      <c r="T1633" s="969">
        <v>0</v>
      </c>
      <c r="U1633" s="966">
        <v>5951.42</v>
      </c>
      <c r="W1633" s="971" t="e">
        <f t="shared" si="28"/>
        <v>#DIV/0!</v>
      </c>
      <c r="Y1633" s="967">
        <v>43108</v>
      </c>
      <c r="Z1633" s="974">
        <f ca="1">H1583*Valuation_Senario!$L$372</f>
        <v>9525.45470647</v>
      </c>
      <c r="AA1633" s="973">
        <v>20.239999999999998</v>
      </c>
      <c r="AM1633" s="967">
        <v>43035</v>
      </c>
      <c r="AN1633" s="974">
        <v>131000</v>
      </c>
    </row>
    <row r="1634" spans="1:40">
      <c r="A1634" s="966">
        <v>1627</v>
      </c>
      <c r="B1634" s="967">
        <v>43034</v>
      </c>
      <c r="C1634" s="966">
        <v>130300</v>
      </c>
      <c r="D1634" s="966">
        <v>67.148200000000003</v>
      </c>
      <c r="E1634" s="966">
        <v>67.148200000000003</v>
      </c>
      <c r="F1634" s="966">
        <v>42543.19</v>
      </c>
      <c r="G1634" s="966">
        <v>40084.153037199998</v>
      </c>
      <c r="H1634" s="966">
        <v>5951.42</v>
      </c>
      <c r="I1634" s="966">
        <v>21.89</v>
      </c>
      <c r="Q1634" s="967">
        <v>43034</v>
      </c>
      <c r="R1634" s="966">
        <v>130300</v>
      </c>
      <c r="T1634" s="969">
        <v>0</v>
      </c>
      <c r="U1634" s="966">
        <v>5951.42</v>
      </c>
      <c r="W1634" s="971" t="e">
        <f t="shared" si="28"/>
        <v>#DIV/0!</v>
      </c>
      <c r="Y1634" s="967">
        <v>43105</v>
      </c>
      <c r="Z1634" s="974">
        <f ca="1">H1584*Valuation_Senario!$L$372</f>
        <v>9527.8336068099998</v>
      </c>
      <c r="AA1634" s="973">
        <v>20.56</v>
      </c>
      <c r="AM1634" s="967">
        <v>43034</v>
      </c>
      <c r="AN1634" s="974">
        <v>130300</v>
      </c>
    </row>
    <row r="1635" spans="1:40">
      <c r="A1635" s="966">
        <v>1628</v>
      </c>
      <c r="B1635" s="967">
        <v>43033</v>
      </c>
      <c r="C1635" s="966">
        <v>131300</v>
      </c>
      <c r="D1635" s="966">
        <v>0</v>
      </c>
      <c r="E1635" s="966">
        <v>0</v>
      </c>
      <c r="F1635" s="966">
        <v>42850.82</v>
      </c>
      <c r="G1635" s="966">
        <v>40391.782761199996</v>
      </c>
      <c r="H1635" s="966">
        <v>5951.42</v>
      </c>
      <c r="I1635" s="966">
        <v>22.06</v>
      </c>
      <c r="Q1635" s="967">
        <v>43033</v>
      </c>
      <c r="R1635" s="966">
        <v>131300</v>
      </c>
      <c r="T1635" s="969">
        <v>0</v>
      </c>
      <c r="U1635" s="966">
        <v>5951.42</v>
      </c>
      <c r="W1635" s="971" t="e">
        <f t="shared" si="28"/>
        <v>#DIV/0!</v>
      </c>
      <c r="Y1635" s="967">
        <v>43104</v>
      </c>
      <c r="Z1635" s="974">
        <f ca="1">H1585*Valuation_Senario!$L$372</f>
        <v>9528.6265735899997</v>
      </c>
      <c r="AA1635" s="973">
        <v>20.79</v>
      </c>
      <c r="AM1635" s="967">
        <v>43033</v>
      </c>
      <c r="AN1635" s="974">
        <v>131300</v>
      </c>
    </row>
    <row r="1636" spans="1:40">
      <c r="A1636" s="966">
        <v>1629</v>
      </c>
      <c r="B1636" s="967">
        <v>43032</v>
      </c>
      <c r="C1636" s="966">
        <v>128000</v>
      </c>
      <c r="D1636" s="966">
        <v>0</v>
      </c>
      <c r="E1636" s="966">
        <v>0</v>
      </c>
      <c r="F1636" s="966">
        <v>41835.64</v>
      </c>
      <c r="G1636" s="966">
        <v>39376.604672000001</v>
      </c>
      <c r="H1636" s="966">
        <v>5951.42</v>
      </c>
      <c r="I1636" s="966">
        <v>21.51</v>
      </c>
      <c r="Q1636" s="967">
        <v>43032</v>
      </c>
      <c r="R1636" s="966">
        <v>128000</v>
      </c>
      <c r="T1636" s="969">
        <v>0</v>
      </c>
      <c r="U1636" s="966">
        <v>5951.42</v>
      </c>
      <c r="W1636" s="971" t="e">
        <f t="shared" si="28"/>
        <v>#DIV/0!</v>
      </c>
      <c r="Y1636" s="967">
        <v>43103</v>
      </c>
      <c r="Z1636" s="974">
        <f ca="1">H1586*Valuation_Senario!$L$372</f>
        <v>9529.4342249399997</v>
      </c>
      <c r="AA1636" s="973">
        <v>20.74</v>
      </c>
      <c r="AM1636" s="967">
        <v>43032</v>
      </c>
      <c r="AN1636" s="974">
        <v>128000</v>
      </c>
    </row>
    <row r="1637" spans="1:40">
      <c r="A1637" s="966">
        <v>1630</v>
      </c>
      <c r="B1637" s="967">
        <v>43031</v>
      </c>
      <c r="C1637" s="966">
        <v>125500</v>
      </c>
      <c r="D1637" s="966">
        <v>0</v>
      </c>
      <c r="E1637" s="966">
        <v>0</v>
      </c>
      <c r="F1637" s="966">
        <v>41066.57</v>
      </c>
      <c r="G1637" s="966">
        <v>38607.530361999998</v>
      </c>
      <c r="H1637" s="966">
        <v>5951.42</v>
      </c>
      <c r="I1637" s="966">
        <v>21.09</v>
      </c>
      <c r="Q1637" s="967">
        <v>43031</v>
      </c>
      <c r="R1637" s="966">
        <v>125500</v>
      </c>
      <c r="T1637" s="969">
        <v>0</v>
      </c>
      <c r="U1637" s="966">
        <v>5951.42</v>
      </c>
      <c r="W1637" s="971" t="e">
        <f t="shared" si="28"/>
        <v>#DIV/0!</v>
      </c>
      <c r="Y1637" s="967">
        <v>43102</v>
      </c>
      <c r="Z1637" s="974">
        <f ca="1">H1587*Valuation_Senario!$L$372</f>
        <v>9530.2271917199996</v>
      </c>
      <c r="AA1637" s="973">
        <v>20.34</v>
      </c>
      <c r="AM1637" s="967">
        <v>43031</v>
      </c>
      <c r="AN1637" s="974">
        <v>125500</v>
      </c>
    </row>
    <row r="1638" spans="1:40">
      <c r="A1638" s="966">
        <v>1631</v>
      </c>
      <c r="B1638" s="967">
        <v>43028</v>
      </c>
      <c r="C1638" s="966">
        <v>127500</v>
      </c>
      <c r="D1638" s="966">
        <v>127.4014</v>
      </c>
      <c r="E1638" s="966">
        <v>127.4014</v>
      </c>
      <c r="F1638" s="966">
        <v>41681.83</v>
      </c>
      <c r="G1638" s="966">
        <v>39222.789810000002</v>
      </c>
      <c r="H1638" s="966">
        <v>5951.42</v>
      </c>
      <c r="I1638" s="966">
        <v>21.42</v>
      </c>
      <c r="Q1638" s="967">
        <v>43028</v>
      </c>
      <c r="R1638" s="966">
        <v>127500</v>
      </c>
      <c r="T1638" s="969">
        <v>0</v>
      </c>
      <c r="U1638" s="966">
        <v>5951.42</v>
      </c>
      <c r="W1638" s="971" t="e">
        <f t="shared" si="28"/>
        <v>#DIV/0!</v>
      </c>
      <c r="Y1638" s="967">
        <v>43098</v>
      </c>
      <c r="Z1638" s="974">
        <f ca="1">H1588*Valuation_Senario!$L$372</f>
        <v>9533.4137434099994</v>
      </c>
      <c r="AA1638" s="973">
        <v>20.18</v>
      </c>
      <c r="AM1638" s="967">
        <v>43028</v>
      </c>
      <c r="AN1638" s="974">
        <v>127500</v>
      </c>
    </row>
    <row r="1639" spans="1:40">
      <c r="A1639" s="966">
        <v>1632</v>
      </c>
      <c r="B1639" s="967">
        <v>43027</v>
      </c>
      <c r="C1639" s="966">
        <v>132000</v>
      </c>
      <c r="D1639" s="966">
        <v>0</v>
      </c>
      <c r="E1639" s="966">
        <v>0</v>
      </c>
      <c r="F1639" s="966">
        <v>43066.16</v>
      </c>
      <c r="G1639" s="966">
        <v>40607.123568000003</v>
      </c>
      <c r="H1639" s="966">
        <v>5951.42</v>
      </c>
      <c r="I1639" s="966">
        <v>22.18</v>
      </c>
      <c r="Q1639" s="967">
        <v>43027</v>
      </c>
      <c r="R1639" s="966">
        <v>132000</v>
      </c>
      <c r="T1639" s="969">
        <v>0</v>
      </c>
      <c r="U1639" s="966">
        <v>5951.42</v>
      </c>
      <c r="W1639" s="971" t="e">
        <f t="shared" si="28"/>
        <v>#DIV/0!</v>
      </c>
      <c r="Y1639" s="967">
        <v>43097</v>
      </c>
      <c r="Z1639" s="974">
        <f ca="1">H1589*Valuation_Senario!$L$372</f>
        <v>9534.2067101899993</v>
      </c>
      <c r="AA1639" s="973">
        <v>20.149999999999999</v>
      </c>
      <c r="AM1639" s="967">
        <v>43027</v>
      </c>
      <c r="AN1639" s="974">
        <v>132000</v>
      </c>
    </row>
    <row r="1640" spans="1:40">
      <c r="A1640" s="966">
        <v>1633</v>
      </c>
      <c r="B1640" s="967">
        <v>43026</v>
      </c>
      <c r="C1640" s="966">
        <v>128500</v>
      </c>
      <c r="D1640" s="966">
        <v>0</v>
      </c>
      <c r="E1640" s="966">
        <v>0</v>
      </c>
      <c r="F1640" s="966">
        <v>41989.46</v>
      </c>
      <c r="G1640" s="966">
        <v>39530.419534000001</v>
      </c>
      <c r="H1640" s="966">
        <v>5951.42</v>
      </c>
      <c r="I1640" s="966">
        <v>21.59</v>
      </c>
      <c r="Q1640" s="967">
        <v>43026</v>
      </c>
      <c r="R1640" s="966">
        <v>128500</v>
      </c>
      <c r="T1640" s="969">
        <v>0</v>
      </c>
      <c r="U1640" s="966">
        <v>5951.42</v>
      </c>
      <c r="W1640" s="971" t="e">
        <f t="shared" si="28"/>
        <v>#DIV/0!</v>
      </c>
      <c r="Y1640" s="967">
        <v>43096</v>
      </c>
      <c r="Z1640" s="974">
        <f ca="1">H1590*Valuation_Senario!$L$372</f>
        <v>9535.0143615399993</v>
      </c>
      <c r="AA1640" s="973">
        <v>20.02</v>
      </c>
      <c r="AM1640" s="967">
        <v>43026</v>
      </c>
      <c r="AN1640" s="974">
        <v>128500</v>
      </c>
    </row>
    <row r="1641" spans="1:40">
      <c r="A1641" s="966">
        <v>1634</v>
      </c>
      <c r="B1641" s="967">
        <v>43025</v>
      </c>
      <c r="C1641" s="966">
        <v>127600</v>
      </c>
      <c r="D1641" s="966">
        <v>0</v>
      </c>
      <c r="E1641" s="966">
        <v>0</v>
      </c>
      <c r="F1641" s="966">
        <v>41712.589999999997</v>
      </c>
      <c r="G1641" s="966">
        <v>39253.552782400002</v>
      </c>
      <c r="H1641" s="966">
        <v>5951.42</v>
      </c>
      <c r="I1641" s="966">
        <v>21.44</v>
      </c>
      <c r="Q1641" s="967">
        <v>43025</v>
      </c>
      <c r="R1641" s="966">
        <v>127600</v>
      </c>
      <c r="T1641" s="969">
        <v>0</v>
      </c>
      <c r="U1641" s="966">
        <v>5951.42</v>
      </c>
      <c r="W1641" s="971" t="e">
        <f t="shared" si="28"/>
        <v>#DIV/0!</v>
      </c>
      <c r="Y1641" s="967">
        <v>43095</v>
      </c>
      <c r="Z1641" s="974">
        <f ca="1">H1591*Valuation_Senario!$L$372</f>
        <v>9535.8073283199992</v>
      </c>
      <c r="AA1641" s="973">
        <v>20.329999999999998</v>
      </c>
      <c r="AM1641" s="967">
        <v>43025</v>
      </c>
      <c r="AN1641" s="974">
        <v>127600</v>
      </c>
    </row>
    <row r="1642" spans="1:40">
      <c r="A1642" s="966">
        <v>1635</v>
      </c>
      <c r="B1642" s="967">
        <v>43024</v>
      </c>
      <c r="C1642" s="966">
        <v>127500</v>
      </c>
      <c r="D1642" s="966">
        <v>0</v>
      </c>
      <c r="E1642" s="966">
        <v>0</v>
      </c>
      <c r="F1642" s="966">
        <v>41681.83</v>
      </c>
      <c r="G1642" s="966">
        <v>39222.789810000002</v>
      </c>
      <c r="H1642" s="966">
        <v>5951.42</v>
      </c>
      <c r="I1642" s="966">
        <v>21.42</v>
      </c>
      <c r="Q1642" s="967">
        <v>43024</v>
      </c>
      <c r="R1642" s="966">
        <v>127500</v>
      </c>
      <c r="T1642" s="969">
        <v>0</v>
      </c>
      <c r="U1642" s="966">
        <v>5951.42</v>
      </c>
      <c r="W1642" s="971" t="e">
        <f t="shared" si="28"/>
        <v>#DIV/0!</v>
      </c>
      <c r="Y1642" s="967">
        <v>43094</v>
      </c>
      <c r="Z1642" s="974">
        <f ca="1">H1592*Valuation_Senario!$L$372</f>
        <v>9540.5944981400007</v>
      </c>
      <c r="AA1642" s="973">
        <v>20.16</v>
      </c>
      <c r="AM1642" s="967">
        <v>43024</v>
      </c>
      <c r="AN1642" s="974">
        <v>127500</v>
      </c>
    </row>
    <row r="1643" spans="1:40">
      <c r="A1643" s="966">
        <v>1636</v>
      </c>
      <c r="B1643" s="967">
        <v>43021</v>
      </c>
      <c r="C1643" s="966">
        <v>125000</v>
      </c>
      <c r="D1643" s="966">
        <v>0</v>
      </c>
      <c r="E1643" s="966">
        <v>0</v>
      </c>
      <c r="F1643" s="966">
        <v>40912.75</v>
      </c>
      <c r="G1643" s="966">
        <v>38453.715499999998</v>
      </c>
      <c r="H1643" s="966">
        <v>5951.42</v>
      </c>
      <c r="I1643" s="966">
        <v>21</v>
      </c>
      <c r="Q1643" s="967">
        <v>43021</v>
      </c>
      <c r="R1643" s="966">
        <v>125000</v>
      </c>
      <c r="T1643" s="969">
        <v>0</v>
      </c>
      <c r="U1643" s="966">
        <v>5951.42</v>
      </c>
      <c r="W1643" s="971" t="e">
        <f t="shared" si="28"/>
        <v>#DIV/0!</v>
      </c>
      <c r="Y1643" s="967">
        <v>43091</v>
      </c>
      <c r="Z1643" s="974">
        <f ca="1">H1593*Valuation_Senario!$L$372</f>
        <v>9540.5944981400007</v>
      </c>
      <c r="AA1643" s="973">
        <v>20.32</v>
      </c>
      <c r="AM1643" s="967">
        <v>43021</v>
      </c>
      <c r="AN1643" s="974">
        <v>125000</v>
      </c>
    </row>
    <row r="1644" spans="1:40">
      <c r="A1644" s="966">
        <v>1637</v>
      </c>
      <c r="B1644" s="967">
        <v>43020</v>
      </c>
      <c r="C1644" s="966">
        <v>123000</v>
      </c>
      <c r="D1644" s="966">
        <v>0</v>
      </c>
      <c r="E1644" s="966">
        <v>0</v>
      </c>
      <c r="F1644" s="966">
        <v>40297.49</v>
      </c>
      <c r="G1644" s="966">
        <v>37838.456052000001</v>
      </c>
      <c r="H1644" s="966">
        <v>5951.42</v>
      </c>
      <c r="I1644" s="966">
        <v>20.67</v>
      </c>
      <c r="Q1644" s="967">
        <v>43020</v>
      </c>
      <c r="R1644" s="966">
        <v>123000</v>
      </c>
      <c r="T1644" s="969">
        <v>0</v>
      </c>
      <c r="U1644" s="966">
        <v>5951.42</v>
      </c>
      <c r="W1644" s="971" t="e">
        <f t="shared" si="28"/>
        <v>#DIV/0!</v>
      </c>
      <c r="Y1644" s="967">
        <v>43090</v>
      </c>
      <c r="Z1644" s="974">
        <f ca="1">H1594*Valuation_Senario!$L$372</f>
        <v>9540.5944981400007</v>
      </c>
      <c r="AA1644" s="973">
        <v>19.93</v>
      </c>
      <c r="AM1644" s="967">
        <v>43020</v>
      </c>
      <c r="AN1644" s="974">
        <v>123000</v>
      </c>
    </row>
    <row r="1645" spans="1:40">
      <c r="A1645" s="966">
        <v>1638</v>
      </c>
      <c r="B1645" s="967">
        <v>43019</v>
      </c>
      <c r="C1645" s="966">
        <v>122200</v>
      </c>
      <c r="D1645" s="966">
        <v>0</v>
      </c>
      <c r="E1645" s="966">
        <v>0</v>
      </c>
      <c r="F1645" s="966">
        <v>40051.39</v>
      </c>
      <c r="G1645" s="966">
        <v>37592.352272800003</v>
      </c>
      <c r="H1645" s="966">
        <v>5951.42</v>
      </c>
      <c r="I1645" s="966">
        <v>20.53</v>
      </c>
      <c r="Q1645" s="967">
        <v>43019</v>
      </c>
      <c r="R1645" s="966">
        <v>122200</v>
      </c>
      <c r="T1645" s="969">
        <v>0</v>
      </c>
      <c r="U1645" s="966">
        <v>5951.42</v>
      </c>
      <c r="W1645" s="971" t="e">
        <f t="shared" si="28"/>
        <v>#DIV/0!</v>
      </c>
      <c r="Y1645" s="967">
        <v>43089</v>
      </c>
      <c r="Z1645" s="974">
        <f ca="1">H1595*Valuation_Senario!$L$372</f>
        <v>9540.5944981400007</v>
      </c>
      <c r="AA1645" s="973">
        <v>20.47</v>
      </c>
      <c r="AM1645" s="967">
        <v>43019</v>
      </c>
      <c r="AN1645" s="974">
        <v>122200</v>
      </c>
    </row>
    <row r="1646" spans="1:40">
      <c r="A1646" s="966">
        <v>1639</v>
      </c>
      <c r="B1646" s="967">
        <v>43018</v>
      </c>
      <c r="C1646" s="966">
        <v>123500</v>
      </c>
      <c r="D1646" s="966">
        <v>0</v>
      </c>
      <c r="E1646" s="966">
        <v>0</v>
      </c>
      <c r="F1646" s="966">
        <v>40451.31</v>
      </c>
      <c r="G1646" s="966">
        <v>37992.270914000001</v>
      </c>
      <c r="H1646" s="966">
        <v>5951.42</v>
      </c>
      <c r="I1646" s="966">
        <v>20.75</v>
      </c>
      <c r="Q1646" s="967">
        <v>43018</v>
      </c>
      <c r="R1646" s="966">
        <v>123500</v>
      </c>
      <c r="T1646" s="969">
        <v>0</v>
      </c>
      <c r="U1646" s="966">
        <v>5951.42</v>
      </c>
      <c r="W1646" s="971" t="e">
        <f t="shared" si="28"/>
        <v>#DIV/0!</v>
      </c>
      <c r="Y1646" s="967">
        <v>43088</v>
      </c>
      <c r="Z1646" s="974">
        <f ca="1">H1596*Valuation_Senario!$L$372</f>
        <v>9540.5944981400007</v>
      </c>
      <c r="AA1646" s="973">
        <v>20.62</v>
      </c>
      <c r="AM1646" s="967">
        <v>43018</v>
      </c>
      <c r="AN1646" s="974">
        <v>123500</v>
      </c>
    </row>
    <row r="1647" spans="1:40">
      <c r="A1647" s="966">
        <v>1640</v>
      </c>
      <c r="B1647" s="967">
        <v>43017</v>
      </c>
      <c r="C1647" s="966">
        <v>119000</v>
      </c>
      <c r="D1647" s="966">
        <v>0</v>
      </c>
      <c r="E1647" s="966">
        <v>0</v>
      </c>
      <c r="F1647" s="966">
        <v>39066.980000000003</v>
      </c>
      <c r="G1647" s="966">
        <v>36607.937156</v>
      </c>
      <c r="H1647" s="966">
        <v>5951.42</v>
      </c>
      <c r="I1647" s="966">
        <v>20</v>
      </c>
      <c r="Q1647" s="967">
        <v>43017</v>
      </c>
      <c r="R1647" s="966">
        <v>119000</v>
      </c>
      <c r="T1647" s="969">
        <v>0</v>
      </c>
      <c r="U1647" s="966">
        <v>5951.42</v>
      </c>
      <c r="W1647" s="971" t="e">
        <f t="shared" si="28"/>
        <v>#DIV/0!</v>
      </c>
      <c r="Y1647" s="967">
        <v>43087</v>
      </c>
      <c r="Z1647" s="974">
        <f ca="1">H1597*Valuation_Senario!$L$372</f>
        <v>9540.5944981400007</v>
      </c>
      <c r="AA1647" s="973">
        <v>20.32</v>
      </c>
      <c r="AM1647" s="967">
        <v>43017</v>
      </c>
      <c r="AN1647" s="974">
        <v>119000</v>
      </c>
    </row>
    <row r="1648" spans="1:40">
      <c r="A1648" s="966">
        <v>1641</v>
      </c>
      <c r="B1648" s="967">
        <v>43014</v>
      </c>
      <c r="C1648" s="966">
        <v>117500</v>
      </c>
      <c r="D1648" s="966">
        <v>0</v>
      </c>
      <c r="E1648" s="966">
        <v>0</v>
      </c>
      <c r="F1648" s="966">
        <v>38605.53</v>
      </c>
      <c r="G1648" s="966">
        <v>36146.492570000002</v>
      </c>
      <c r="H1648" s="966">
        <v>5951.42</v>
      </c>
      <c r="I1648" s="966">
        <v>19.739999999999998</v>
      </c>
      <c r="Q1648" s="967">
        <v>43014</v>
      </c>
      <c r="R1648" s="966">
        <v>117500</v>
      </c>
      <c r="T1648" s="969">
        <v>0</v>
      </c>
      <c r="U1648" s="966">
        <v>5951.42</v>
      </c>
      <c r="W1648" s="971" t="e">
        <f t="shared" si="28"/>
        <v>#DIV/0!</v>
      </c>
      <c r="Y1648" s="967">
        <v>43084</v>
      </c>
      <c r="Z1648" s="974">
        <f ca="1">H1598*Valuation_Senario!$L$372</f>
        <v>9540.5944981400007</v>
      </c>
      <c r="AA1648" s="973">
        <v>20.32</v>
      </c>
      <c r="AM1648" s="967">
        <v>43014</v>
      </c>
      <c r="AN1648" s="974">
        <v>117500</v>
      </c>
    </row>
    <row r="1649" spans="1:40">
      <c r="A1649" s="966">
        <v>1642</v>
      </c>
      <c r="B1649" s="967">
        <v>43013</v>
      </c>
      <c r="C1649" s="966">
        <v>117000</v>
      </c>
      <c r="D1649" s="966">
        <v>0</v>
      </c>
      <c r="E1649" s="966">
        <v>0</v>
      </c>
      <c r="F1649" s="966">
        <v>38451.72</v>
      </c>
      <c r="G1649" s="966">
        <v>35992.677708000003</v>
      </c>
      <c r="H1649" s="966">
        <v>5951.42</v>
      </c>
      <c r="I1649" s="966">
        <v>19.66</v>
      </c>
      <c r="Q1649" s="967">
        <v>43013</v>
      </c>
      <c r="R1649" s="966">
        <v>117000</v>
      </c>
      <c r="T1649" s="969">
        <v>0</v>
      </c>
      <c r="U1649" s="966">
        <v>5951.42</v>
      </c>
      <c r="W1649" s="971" t="e">
        <f t="shared" si="28"/>
        <v>#DIV/0!</v>
      </c>
      <c r="Y1649" s="967">
        <v>43083</v>
      </c>
      <c r="Z1649" s="974">
        <f ca="1">H1599*Valuation_Senario!$L$372</f>
        <v>9540.5944981400007</v>
      </c>
      <c r="AA1649" s="973">
        <v>19.93</v>
      </c>
      <c r="AM1649" s="967">
        <v>43013</v>
      </c>
      <c r="AN1649" s="974">
        <v>117000</v>
      </c>
    </row>
    <row r="1650" spans="1:40">
      <c r="A1650" s="966">
        <v>1643</v>
      </c>
      <c r="B1650" s="967">
        <v>43012</v>
      </c>
      <c r="C1650" s="966">
        <v>118000</v>
      </c>
      <c r="D1650" s="966">
        <v>0</v>
      </c>
      <c r="E1650" s="966">
        <v>0</v>
      </c>
      <c r="F1650" s="966">
        <v>38759.35</v>
      </c>
      <c r="G1650" s="966">
        <v>36300.307432000001</v>
      </c>
      <c r="H1650" s="966">
        <v>5951.42</v>
      </c>
      <c r="I1650" s="966">
        <v>19.829999999999998</v>
      </c>
      <c r="Q1650" s="967">
        <v>43012</v>
      </c>
      <c r="R1650" s="966">
        <v>118000</v>
      </c>
      <c r="T1650" s="969">
        <v>0</v>
      </c>
      <c r="U1650" s="966">
        <v>5951.42</v>
      </c>
      <c r="W1650" s="971" t="e">
        <f t="shared" si="28"/>
        <v>#DIV/0!</v>
      </c>
      <c r="Y1650" s="967">
        <v>43082</v>
      </c>
      <c r="Z1650" s="974">
        <f ca="1">H1600*Valuation_Senario!$L$372</f>
        <v>9540.5944981400007</v>
      </c>
      <c r="AA1650" s="973">
        <v>19.100000000000001</v>
      </c>
      <c r="AM1650" s="967">
        <v>43012</v>
      </c>
      <c r="AN1650" s="974">
        <v>118000</v>
      </c>
    </row>
    <row r="1651" spans="1:40">
      <c r="A1651" s="966">
        <v>1644</v>
      </c>
      <c r="B1651" s="967">
        <v>43011</v>
      </c>
      <c r="C1651" s="966">
        <v>118000</v>
      </c>
      <c r="D1651" s="966">
        <v>0</v>
      </c>
      <c r="E1651" s="966">
        <v>0</v>
      </c>
      <c r="F1651" s="966">
        <v>38759.35</v>
      </c>
      <c r="G1651" s="966">
        <v>36300.307432000001</v>
      </c>
      <c r="H1651" s="966">
        <v>5951.42</v>
      </c>
      <c r="I1651" s="966">
        <v>19.829999999999998</v>
      </c>
      <c r="Q1651" s="967">
        <v>43011</v>
      </c>
      <c r="R1651" s="966">
        <v>118000</v>
      </c>
      <c r="T1651" s="969">
        <v>0</v>
      </c>
      <c r="U1651" s="966">
        <v>5951.42</v>
      </c>
      <c r="W1651" s="971" t="e">
        <f t="shared" si="28"/>
        <v>#DIV/0!</v>
      </c>
      <c r="Y1651" s="967">
        <v>43081</v>
      </c>
      <c r="Z1651" s="974">
        <f ca="1">H1601*Valuation_Senario!$L$372</f>
        <v>9540.5944981400007</v>
      </c>
      <c r="AA1651" s="973">
        <v>19.47</v>
      </c>
      <c r="AM1651" s="967">
        <v>43011</v>
      </c>
      <c r="AN1651" s="974">
        <v>118000</v>
      </c>
    </row>
    <row r="1652" spans="1:40">
      <c r="A1652" s="966">
        <v>1645</v>
      </c>
      <c r="B1652" s="967">
        <v>43010</v>
      </c>
      <c r="C1652" s="966">
        <v>117300</v>
      </c>
      <c r="D1652" s="966">
        <v>0</v>
      </c>
      <c r="E1652" s="966">
        <v>0</v>
      </c>
      <c r="F1652" s="966">
        <v>38544.01</v>
      </c>
      <c r="G1652" s="966">
        <v>36084.966625200002</v>
      </c>
      <c r="H1652" s="966">
        <v>5951.42</v>
      </c>
      <c r="I1652" s="966">
        <v>19.71</v>
      </c>
      <c r="Q1652" s="967">
        <v>43010</v>
      </c>
      <c r="R1652" s="966">
        <v>117300</v>
      </c>
      <c r="T1652" s="969">
        <v>0</v>
      </c>
      <c r="U1652" s="966">
        <v>5951.42</v>
      </c>
      <c r="W1652" s="971" t="e">
        <f t="shared" si="28"/>
        <v>#DIV/0!</v>
      </c>
      <c r="Y1652" s="967">
        <v>43080</v>
      </c>
      <c r="Z1652" s="974">
        <f ca="1">H1602*Valuation_Senario!$L$372</f>
        <v>9540.5944981400007</v>
      </c>
      <c r="AA1652" s="973">
        <v>19.579999999999998</v>
      </c>
      <c r="AM1652" s="967">
        <v>43010</v>
      </c>
      <c r="AN1652" s="974">
        <v>117300</v>
      </c>
    </row>
    <row r="1653" spans="1:40">
      <c r="A1653" s="966">
        <v>1646</v>
      </c>
      <c r="B1653" s="967">
        <v>43007</v>
      </c>
      <c r="C1653" s="966">
        <v>116300</v>
      </c>
      <c r="D1653" s="966">
        <v>0</v>
      </c>
      <c r="E1653" s="966">
        <v>0</v>
      </c>
      <c r="F1653" s="966">
        <v>38236.379999999997</v>
      </c>
      <c r="G1653" s="966">
        <v>35777.336901199997</v>
      </c>
      <c r="H1653" s="966">
        <v>5951.42</v>
      </c>
      <c r="I1653" s="966">
        <v>19.54</v>
      </c>
      <c r="Q1653" s="967">
        <v>43007</v>
      </c>
      <c r="R1653" s="966">
        <v>116300</v>
      </c>
      <c r="T1653" s="969">
        <v>0</v>
      </c>
      <c r="U1653" s="966">
        <v>5951.42</v>
      </c>
      <c r="W1653" s="971" t="e">
        <f t="shared" si="28"/>
        <v>#DIV/0!</v>
      </c>
      <c r="Y1653" s="967">
        <v>43077</v>
      </c>
      <c r="Z1653" s="974">
        <f ca="1">H1603*Valuation_Senario!$L$372</f>
        <v>9540.5944981400007</v>
      </c>
      <c r="AA1653" s="973">
        <v>19.86</v>
      </c>
      <c r="AM1653" s="967">
        <v>43007</v>
      </c>
      <c r="AN1653" s="974">
        <v>116300</v>
      </c>
    </row>
    <row r="1654" spans="1:40">
      <c r="A1654" s="966">
        <v>1647</v>
      </c>
      <c r="B1654" s="967">
        <v>43006</v>
      </c>
      <c r="C1654" s="966">
        <v>115300</v>
      </c>
      <c r="D1654" s="966">
        <v>0</v>
      </c>
      <c r="E1654" s="966">
        <v>0</v>
      </c>
      <c r="F1654" s="966">
        <v>37928.75</v>
      </c>
      <c r="G1654" s="966">
        <v>35469.707177199998</v>
      </c>
      <c r="H1654" s="966">
        <v>5951.42</v>
      </c>
      <c r="I1654" s="966">
        <v>19.37</v>
      </c>
      <c r="Q1654" s="967">
        <v>43006</v>
      </c>
      <c r="R1654" s="966">
        <v>115300</v>
      </c>
      <c r="T1654" s="969">
        <v>0</v>
      </c>
      <c r="U1654" s="966">
        <v>5951.42</v>
      </c>
      <c r="W1654" s="971" t="e">
        <f t="shared" si="28"/>
        <v>#DIV/0!</v>
      </c>
      <c r="Y1654" s="967">
        <v>43076</v>
      </c>
      <c r="Z1654" s="974">
        <f ca="1">H1604*Valuation_Senario!$L$372</f>
        <v>9540.5944981400007</v>
      </c>
      <c r="AA1654" s="973">
        <v>19.809999999999999</v>
      </c>
      <c r="AM1654" s="967">
        <v>43006</v>
      </c>
      <c r="AN1654" s="974">
        <v>115300</v>
      </c>
    </row>
    <row r="1655" spans="1:40">
      <c r="A1655" s="966">
        <v>1648</v>
      </c>
      <c r="B1655" s="967">
        <v>43005</v>
      </c>
      <c r="C1655" s="966">
        <v>115000</v>
      </c>
      <c r="D1655" s="966">
        <v>0</v>
      </c>
      <c r="E1655" s="966">
        <v>0</v>
      </c>
      <c r="F1655" s="966">
        <v>37836.46</v>
      </c>
      <c r="G1655" s="966">
        <v>35377.418259999999</v>
      </c>
      <c r="H1655" s="966">
        <v>5951.42</v>
      </c>
      <c r="I1655" s="966">
        <v>19.32</v>
      </c>
      <c r="Q1655" s="967">
        <v>43005</v>
      </c>
      <c r="R1655" s="966">
        <v>115000</v>
      </c>
      <c r="T1655" s="969">
        <v>0</v>
      </c>
      <c r="U1655" s="966">
        <v>5951.42</v>
      </c>
      <c r="W1655" s="971" t="e">
        <f t="shared" si="28"/>
        <v>#DIV/0!</v>
      </c>
      <c r="Y1655" s="967">
        <v>43075</v>
      </c>
      <c r="Z1655" s="974">
        <f ca="1">H1605*Valuation_Senario!$L$372</f>
        <v>9540.5944981400007</v>
      </c>
      <c r="AA1655" s="973">
        <v>19.96</v>
      </c>
      <c r="AM1655" s="967">
        <v>43005</v>
      </c>
      <c r="AN1655" s="974">
        <v>115000</v>
      </c>
    </row>
    <row r="1656" spans="1:40">
      <c r="A1656" s="966">
        <v>1649</v>
      </c>
      <c r="B1656" s="967">
        <v>43004</v>
      </c>
      <c r="C1656" s="966">
        <v>117100</v>
      </c>
      <c r="D1656" s="966">
        <v>0</v>
      </c>
      <c r="E1656" s="966">
        <v>0</v>
      </c>
      <c r="F1656" s="966">
        <v>38482.480000000003</v>
      </c>
      <c r="G1656" s="966">
        <v>36023.440680400003</v>
      </c>
      <c r="H1656" s="966">
        <v>5951.42</v>
      </c>
      <c r="I1656" s="966">
        <v>19.68</v>
      </c>
      <c r="Q1656" s="967">
        <v>43004</v>
      </c>
      <c r="R1656" s="966">
        <v>117100</v>
      </c>
      <c r="T1656" s="969">
        <v>0</v>
      </c>
      <c r="U1656" s="966">
        <v>5951.42</v>
      </c>
      <c r="W1656" s="971" t="e">
        <f t="shared" si="28"/>
        <v>#DIV/0!</v>
      </c>
      <c r="Y1656" s="967">
        <v>43074</v>
      </c>
      <c r="Z1656" s="974">
        <f ca="1">H1606*Valuation_Senario!$L$372</f>
        <v>9540.5944981400007</v>
      </c>
      <c r="AA1656" s="973">
        <v>20.420000000000002</v>
      </c>
      <c r="AM1656" s="967">
        <v>43004</v>
      </c>
      <c r="AN1656" s="974">
        <v>117100</v>
      </c>
    </row>
    <row r="1657" spans="1:40">
      <c r="A1657" s="966">
        <v>1650</v>
      </c>
      <c r="B1657" s="967">
        <v>43003</v>
      </c>
      <c r="C1657" s="966">
        <v>118000</v>
      </c>
      <c r="D1657" s="966">
        <v>0</v>
      </c>
      <c r="E1657" s="966">
        <v>0</v>
      </c>
      <c r="F1657" s="966">
        <v>38759.35</v>
      </c>
      <c r="G1657" s="966">
        <v>36300.307432000001</v>
      </c>
      <c r="H1657" s="966">
        <v>5951.42</v>
      </c>
      <c r="I1657" s="966">
        <v>19.829999999999998</v>
      </c>
      <c r="Q1657" s="967">
        <v>43003</v>
      </c>
      <c r="R1657" s="966">
        <v>118000</v>
      </c>
      <c r="T1657" s="969">
        <v>0</v>
      </c>
      <c r="U1657" s="966">
        <v>5951.42</v>
      </c>
      <c r="W1657" s="971" t="e">
        <f t="shared" si="28"/>
        <v>#DIV/0!</v>
      </c>
      <c r="Y1657" s="967">
        <v>43073</v>
      </c>
      <c r="Z1657" s="974">
        <f ca="1">H1607*Valuation_Senario!$L$372</f>
        <v>9540.5944981400007</v>
      </c>
      <c r="AA1657" s="973">
        <v>20.96</v>
      </c>
      <c r="AM1657" s="967">
        <v>43003</v>
      </c>
      <c r="AN1657" s="974">
        <v>118000</v>
      </c>
    </row>
    <row r="1658" spans="1:40">
      <c r="A1658" s="966">
        <v>1651</v>
      </c>
      <c r="B1658" s="967">
        <v>43000</v>
      </c>
      <c r="C1658" s="966">
        <v>116900</v>
      </c>
      <c r="D1658" s="966">
        <v>0</v>
      </c>
      <c r="E1658" s="966">
        <v>1.1689999999999999E-3</v>
      </c>
      <c r="F1658" s="966">
        <v>38420.949999999997</v>
      </c>
      <c r="G1658" s="966">
        <v>35961.914735600003</v>
      </c>
      <c r="H1658" s="966">
        <v>5951.42</v>
      </c>
      <c r="I1658" s="966">
        <v>19.64</v>
      </c>
      <c r="Q1658" s="967">
        <v>43000</v>
      </c>
      <c r="R1658" s="966">
        <v>116900</v>
      </c>
      <c r="T1658" s="969">
        <v>-1.1689999999999999E-3</v>
      </c>
      <c r="U1658" s="966">
        <v>5951.42</v>
      </c>
      <c r="W1658" s="971" t="e">
        <f t="shared" si="28"/>
        <v>#DIV/0!</v>
      </c>
      <c r="Y1658" s="967">
        <v>43070</v>
      </c>
      <c r="Z1658" s="974">
        <f ca="1">H1608*Valuation_Senario!$L$372</f>
        <v>9540.5944981400007</v>
      </c>
      <c r="AA1658" s="973">
        <v>20.92</v>
      </c>
      <c r="AM1658" s="967">
        <v>43000</v>
      </c>
      <c r="AN1658" s="974">
        <v>116900</v>
      </c>
    </row>
    <row r="1659" spans="1:40">
      <c r="A1659" s="966">
        <v>1652</v>
      </c>
      <c r="B1659" s="967">
        <v>42999</v>
      </c>
      <c r="C1659" s="966">
        <v>114100</v>
      </c>
      <c r="D1659" s="966">
        <v>0</v>
      </c>
      <c r="E1659" s="966">
        <v>1.1429999999999999E-2</v>
      </c>
      <c r="F1659" s="966">
        <v>37559.589999999997</v>
      </c>
      <c r="G1659" s="966">
        <v>35100.5515084</v>
      </c>
      <c r="H1659" s="966">
        <v>5951.42</v>
      </c>
      <c r="I1659" s="966">
        <v>19.170000000000002</v>
      </c>
      <c r="Q1659" s="967">
        <v>42999</v>
      </c>
      <c r="R1659" s="966">
        <v>114100</v>
      </c>
      <c r="T1659" s="969">
        <v>-1.1429999999999999E-2</v>
      </c>
      <c r="U1659" s="966">
        <v>5951.42</v>
      </c>
      <c r="W1659" s="971" t="e">
        <f t="shared" si="28"/>
        <v>#DIV/0!</v>
      </c>
      <c r="Y1659" s="967">
        <v>43069</v>
      </c>
      <c r="Z1659" s="974">
        <f ca="1">H1609*Valuation_Senario!$L$372</f>
        <v>9540.5944981400007</v>
      </c>
      <c r="AA1659" s="973">
        <v>20.78</v>
      </c>
      <c r="AM1659" s="967">
        <v>42999</v>
      </c>
      <c r="AN1659" s="974">
        <v>114100</v>
      </c>
    </row>
    <row r="1660" spans="1:40">
      <c r="A1660" s="966">
        <v>1653</v>
      </c>
      <c r="B1660" s="967">
        <v>42998</v>
      </c>
      <c r="C1660" s="966">
        <v>114000</v>
      </c>
      <c r="D1660" s="966">
        <v>0</v>
      </c>
      <c r="E1660" s="966">
        <v>0</v>
      </c>
      <c r="F1660" s="966">
        <v>37528.83</v>
      </c>
      <c r="G1660" s="966">
        <v>35069.788536</v>
      </c>
      <c r="H1660" s="966">
        <v>5951.42</v>
      </c>
      <c r="I1660" s="966">
        <v>19.16</v>
      </c>
      <c r="Q1660" s="967">
        <v>42998</v>
      </c>
      <c r="R1660" s="966">
        <v>114000</v>
      </c>
      <c r="T1660" s="969">
        <v>0</v>
      </c>
      <c r="U1660" s="966">
        <v>5951.42</v>
      </c>
      <c r="W1660" s="971" t="e">
        <f t="shared" si="28"/>
        <v>#DIV/0!</v>
      </c>
      <c r="Y1660" s="967">
        <v>43068</v>
      </c>
      <c r="Z1660" s="974">
        <f ca="1">H1610*Valuation_Senario!$L$372</f>
        <v>9540.5944981400007</v>
      </c>
      <c r="AA1660" s="973">
        <v>20.7</v>
      </c>
      <c r="AM1660" s="967">
        <v>42998</v>
      </c>
      <c r="AN1660" s="974">
        <v>114000</v>
      </c>
    </row>
    <row r="1661" spans="1:40">
      <c r="A1661" s="966">
        <v>1654</v>
      </c>
      <c r="B1661" s="967">
        <v>42997</v>
      </c>
      <c r="C1661" s="966">
        <v>113700</v>
      </c>
      <c r="D1661" s="966">
        <v>0</v>
      </c>
      <c r="E1661" s="966">
        <v>0</v>
      </c>
      <c r="F1661" s="966">
        <v>37436.54</v>
      </c>
      <c r="G1661" s="966">
        <v>34977.4996188</v>
      </c>
      <c r="H1661" s="966">
        <v>5951.42</v>
      </c>
      <c r="I1661" s="966">
        <v>19.100000000000001</v>
      </c>
      <c r="Q1661" s="967">
        <v>42997</v>
      </c>
      <c r="R1661" s="966">
        <v>113700</v>
      </c>
      <c r="T1661" s="969">
        <v>0</v>
      </c>
      <c r="U1661" s="966">
        <v>5951.42</v>
      </c>
      <c r="W1661" s="971" t="e">
        <f t="shared" si="28"/>
        <v>#DIV/0!</v>
      </c>
      <c r="Y1661" s="967">
        <v>43067</v>
      </c>
      <c r="Z1661" s="974">
        <f ca="1">H1611*Valuation_Senario!$L$372</f>
        <v>9540.5944981400007</v>
      </c>
      <c r="AA1661" s="973">
        <v>20.41</v>
      </c>
      <c r="AM1661" s="967">
        <v>42997</v>
      </c>
      <c r="AN1661" s="974">
        <v>113700</v>
      </c>
    </row>
    <row r="1662" spans="1:40">
      <c r="A1662" s="966">
        <v>1655</v>
      </c>
      <c r="B1662" s="967">
        <v>42996</v>
      </c>
      <c r="C1662" s="966">
        <v>114200</v>
      </c>
      <c r="D1662" s="966">
        <v>0</v>
      </c>
      <c r="E1662" s="966">
        <v>0</v>
      </c>
      <c r="F1662" s="966">
        <v>37590.35</v>
      </c>
      <c r="G1662" s="966">
        <v>35131.3144808</v>
      </c>
      <c r="H1662" s="966">
        <v>5951.42</v>
      </c>
      <c r="I1662" s="966">
        <v>19.190000000000001</v>
      </c>
      <c r="Q1662" s="967">
        <v>42996</v>
      </c>
      <c r="R1662" s="966">
        <v>114200</v>
      </c>
      <c r="T1662" s="969">
        <v>0</v>
      </c>
      <c r="U1662" s="966">
        <v>5951.42</v>
      </c>
      <c r="W1662" s="971" t="e">
        <f t="shared" si="28"/>
        <v>#DIV/0!</v>
      </c>
      <c r="Y1662" s="967">
        <v>43066</v>
      </c>
      <c r="Z1662" s="974">
        <f ca="1">H1612*Valuation_Senario!$L$372</f>
        <v>9540.5944981400007</v>
      </c>
      <c r="AA1662" s="973">
        <v>20.47</v>
      </c>
      <c r="AM1662" s="967">
        <v>42996</v>
      </c>
      <c r="AN1662" s="974">
        <v>114200</v>
      </c>
    </row>
    <row r="1663" spans="1:40">
      <c r="A1663" s="966">
        <v>1656</v>
      </c>
      <c r="B1663" s="967">
        <v>42993</v>
      </c>
      <c r="C1663" s="966">
        <v>113800</v>
      </c>
      <c r="D1663" s="966">
        <v>0</v>
      </c>
      <c r="E1663" s="966">
        <v>0</v>
      </c>
      <c r="F1663" s="966">
        <v>37467.300000000003</v>
      </c>
      <c r="G1663" s="966">
        <v>35008.2625912</v>
      </c>
      <c r="H1663" s="966">
        <v>5951.42</v>
      </c>
      <c r="I1663" s="966">
        <v>19.12</v>
      </c>
      <c r="Q1663" s="967">
        <v>42993</v>
      </c>
      <c r="R1663" s="966">
        <v>113800</v>
      </c>
      <c r="T1663" s="969">
        <v>0</v>
      </c>
      <c r="U1663" s="966">
        <v>5951.42</v>
      </c>
      <c r="W1663" s="971" t="e">
        <f t="shared" si="28"/>
        <v>#DIV/0!</v>
      </c>
      <c r="Y1663" s="967">
        <v>43063</v>
      </c>
      <c r="Z1663" s="974">
        <f ca="1">H1613*Valuation_Senario!$L$372</f>
        <v>9540.5944981400007</v>
      </c>
      <c r="AA1663" s="973">
        <v>21.03</v>
      </c>
      <c r="AM1663" s="967">
        <v>42993</v>
      </c>
      <c r="AN1663" s="974">
        <v>113800</v>
      </c>
    </row>
    <row r="1664" spans="1:40">
      <c r="A1664" s="966">
        <v>1657</v>
      </c>
      <c r="B1664" s="967">
        <v>42992</v>
      </c>
      <c r="C1664" s="966">
        <v>114500</v>
      </c>
      <c r="D1664" s="966">
        <v>0</v>
      </c>
      <c r="E1664" s="966">
        <v>0</v>
      </c>
      <c r="F1664" s="966">
        <v>37682.639999999999</v>
      </c>
      <c r="G1664" s="966">
        <v>35223.603397999999</v>
      </c>
      <c r="H1664" s="966">
        <v>5951.42</v>
      </c>
      <c r="I1664" s="966">
        <v>19.239999999999998</v>
      </c>
      <c r="Q1664" s="967">
        <v>42992</v>
      </c>
      <c r="R1664" s="966">
        <v>114500</v>
      </c>
      <c r="T1664" s="969">
        <v>0</v>
      </c>
      <c r="U1664" s="966">
        <v>5951.42</v>
      </c>
      <c r="W1664" s="971" t="e">
        <f t="shared" si="28"/>
        <v>#DIV/0!</v>
      </c>
      <c r="Y1664" s="967">
        <v>43062</v>
      </c>
      <c r="Z1664" s="974">
        <f ca="1">H1614*Valuation_Senario!$L$372</f>
        <v>9540.5944981400007</v>
      </c>
      <c r="AA1664" s="973">
        <v>21.06</v>
      </c>
      <c r="AM1664" s="967">
        <v>42992</v>
      </c>
      <c r="AN1664" s="974">
        <v>114500</v>
      </c>
    </row>
    <row r="1665" spans="1:40">
      <c r="A1665" s="966">
        <v>1658</v>
      </c>
      <c r="B1665" s="967">
        <v>42991</v>
      </c>
      <c r="C1665" s="966">
        <v>114500</v>
      </c>
      <c r="D1665" s="966">
        <v>0</v>
      </c>
      <c r="E1665" s="966">
        <v>0</v>
      </c>
      <c r="F1665" s="966">
        <v>37682.639999999999</v>
      </c>
      <c r="G1665" s="966">
        <v>35223.603397999999</v>
      </c>
      <c r="H1665" s="966">
        <v>5951.42</v>
      </c>
      <c r="I1665" s="966">
        <v>19.239999999999998</v>
      </c>
      <c r="Q1665" s="967">
        <v>42991</v>
      </c>
      <c r="R1665" s="966">
        <v>114500</v>
      </c>
      <c r="T1665" s="969">
        <v>0</v>
      </c>
      <c r="U1665" s="966">
        <v>5951.42</v>
      </c>
      <c r="W1665" s="971" t="e">
        <f t="shared" si="28"/>
        <v>#DIV/0!</v>
      </c>
      <c r="Y1665" s="967">
        <v>43061</v>
      </c>
      <c r="Z1665" s="974">
        <f ca="1">H1615*Valuation_Senario!$L$372</f>
        <v>9540.5944981400007</v>
      </c>
      <c r="AA1665" s="973">
        <v>21.16</v>
      </c>
      <c r="AM1665" s="967">
        <v>42991</v>
      </c>
      <c r="AN1665" s="974">
        <v>114500</v>
      </c>
    </row>
    <row r="1666" spans="1:40">
      <c r="A1666" s="966">
        <v>1659</v>
      </c>
      <c r="B1666" s="967">
        <v>42990</v>
      </c>
      <c r="C1666" s="966">
        <v>112000</v>
      </c>
      <c r="D1666" s="966">
        <v>0</v>
      </c>
      <c r="E1666" s="966">
        <v>0</v>
      </c>
      <c r="F1666" s="966">
        <v>36913.57</v>
      </c>
      <c r="G1666" s="966">
        <v>34454.529088000003</v>
      </c>
      <c r="H1666" s="966">
        <v>5951.42</v>
      </c>
      <c r="I1666" s="966">
        <v>18.82</v>
      </c>
      <c r="Q1666" s="967">
        <v>42990</v>
      </c>
      <c r="R1666" s="966">
        <v>112000</v>
      </c>
      <c r="T1666" s="969">
        <v>0</v>
      </c>
      <c r="U1666" s="966">
        <v>5951.42</v>
      </c>
      <c r="W1666" s="971" t="e">
        <f t="shared" si="28"/>
        <v>#DIV/0!</v>
      </c>
      <c r="Y1666" s="967">
        <v>43060</v>
      </c>
      <c r="Z1666" s="974">
        <f ca="1">H1616*Valuation_Senario!$L$372</f>
        <v>9540.5944981400007</v>
      </c>
      <c r="AA1666" s="973">
        <v>21.01</v>
      </c>
      <c r="AM1666" s="967">
        <v>42990</v>
      </c>
      <c r="AN1666" s="974">
        <v>112000</v>
      </c>
    </row>
    <row r="1667" spans="1:40">
      <c r="A1667" s="966">
        <v>1660</v>
      </c>
      <c r="B1667" s="967">
        <v>42989</v>
      </c>
      <c r="C1667" s="966">
        <v>110500</v>
      </c>
      <c r="D1667" s="966">
        <v>0</v>
      </c>
      <c r="E1667" s="966">
        <v>5.5799999999999999E-3</v>
      </c>
      <c r="F1667" s="966">
        <v>36452.120000000003</v>
      </c>
      <c r="G1667" s="966">
        <v>33993.084501999998</v>
      </c>
      <c r="H1667" s="966">
        <v>5951.42</v>
      </c>
      <c r="I1667" s="966">
        <v>18.57</v>
      </c>
      <c r="Q1667" s="967">
        <v>42989</v>
      </c>
      <c r="R1667" s="966">
        <v>110500</v>
      </c>
      <c r="T1667" s="969">
        <v>-5.5799999999999999E-3</v>
      </c>
      <c r="U1667" s="966">
        <v>5951.42</v>
      </c>
      <c r="W1667" s="971" t="e">
        <f t="shared" si="28"/>
        <v>#DIV/0!</v>
      </c>
      <c r="Y1667" s="967">
        <v>43059</v>
      </c>
      <c r="Z1667" s="974">
        <f ca="1">H1617*Valuation_Senario!$L$372</f>
        <v>9540.5944981400007</v>
      </c>
      <c r="AA1667" s="973">
        <v>21.01</v>
      </c>
      <c r="AM1667" s="967">
        <v>42989</v>
      </c>
      <c r="AN1667" s="974">
        <v>110500</v>
      </c>
    </row>
    <row r="1668" spans="1:40">
      <c r="A1668" s="966">
        <v>1661</v>
      </c>
      <c r="B1668" s="967">
        <v>42986</v>
      </c>
      <c r="C1668" s="966">
        <v>109500</v>
      </c>
      <c r="D1668" s="966">
        <v>0</v>
      </c>
      <c r="E1668" s="966">
        <v>0</v>
      </c>
      <c r="F1668" s="966">
        <v>36144.49</v>
      </c>
      <c r="G1668" s="966">
        <v>33685.454777999999</v>
      </c>
      <c r="H1668" s="966">
        <v>5951.42</v>
      </c>
      <c r="I1668" s="966">
        <v>18.399999999999999</v>
      </c>
      <c r="Q1668" s="967">
        <v>42986</v>
      </c>
      <c r="R1668" s="966">
        <v>109500</v>
      </c>
      <c r="T1668" s="969">
        <v>0</v>
      </c>
      <c r="U1668" s="966">
        <v>5951.42</v>
      </c>
      <c r="W1668" s="971" t="e">
        <f t="shared" si="28"/>
        <v>#DIV/0!</v>
      </c>
      <c r="Y1668" s="967">
        <v>43056</v>
      </c>
      <c r="Z1668" s="974">
        <f ca="1">H1618*Valuation_Senario!$L$372</f>
        <v>9540.5944981400007</v>
      </c>
      <c r="AA1668" s="973">
        <v>20.62</v>
      </c>
      <c r="AM1668" s="967">
        <v>42986</v>
      </c>
      <c r="AN1668" s="974">
        <v>109500</v>
      </c>
    </row>
    <row r="1669" spans="1:40">
      <c r="A1669" s="966">
        <v>1662</v>
      </c>
      <c r="B1669" s="967">
        <v>42985</v>
      </c>
      <c r="C1669" s="966">
        <v>108400</v>
      </c>
      <c r="D1669" s="966">
        <v>0</v>
      </c>
      <c r="E1669" s="966">
        <v>0</v>
      </c>
      <c r="F1669" s="966">
        <v>35806.1</v>
      </c>
      <c r="G1669" s="966">
        <v>33347.062081600001</v>
      </c>
      <c r="H1669" s="966">
        <v>5951.42</v>
      </c>
      <c r="I1669" s="966">
        <v>18.21</v>
      </c>
      <c r="Q1669" s="967">
        <v>42985</v>
      </c>
      <c r="R1669" s="966">
        <v>108400</v>
      </c>
      <c r="T1669" s="969">
        <v>0</v>
      </c>
      <c r="U1669" s="966">
        <v>5951.42</v>
      </c>
      <c r="W1669" s="971" t="e">
        <f t="shared" si="28"/>
        <v>#DIV/0!</v>
      </c>
      <c r="Y1669" s="967">
        <v>43055</v>
      </c>
      <c r="Z1669" s="974">
        <f ca="1">H1619*Valuation_Senario!$L$372</f>
        <v>9540.5944981400007</v>
      </c>
      <c r="AA1669" s="973">
        <v>20.7</v>
      </c>
      <c r="AM1669" s="967">
        <v>42985</v>
      </c>
      <c r="AN1669" s="974">
        <v>108400</v>
      </c>
    </row>
    <row r="1670" spans="1:40">
      <c r="A1670" s="966">
        <v>1663</v>
      </c>
      <c r="B1670" s="967">
        <v>42984</v>
      </c>
      <c r="C1670" s="966">
        <v>108000</v>
      </c>
      <c r="D1670" s="966">
        <v>0</v>
      </c>
      <c r="E1670" s="966">
        <v>0</v>
      </c>
      <c r="F1670" s="966">
        <v>35683.050000000003</v>
      </c>
      <c r="G1670" s="966">
        <v>33224.010192000002</v>
      </c>
      <c r="H1670" s="966">
        <v>5951.42</v>
      </c>
      <c r="I1670" s="966">
        <v>18.149999999999999</v>
      </c>
      <c r="Q1670" s="967">
        <v>42984</v>
      </c>
      <c r="R1670" s="966">
        <v>108000</v>
      </c>
      <c r="T1670" s="969">
        <v>0</v>
      </c>
      <c r="U1670" s="966">
        <v>5951.42</v>
      </c>
      <c r="W1670" s="971" t="e">
        <f t="shared" si="28"/>
        <v>#DIV/0!</v>
      </c>
      <c r="Y1670" s="967">
        <v>43054</v>
      </c>
      <c r="Z1670" s="974">
        <f ca="1">H1620*Valuation_Senario!$L$372</f>
        <v>9540.5944981400007</v>
      </c>
      <c r="AA1670" s="973">
        <v>20.55</v>
      </c>
      <c r="AM1670" s="967">
        <v>42984</v>
      </c>
      <c r="AN1670" s="974">
        <v>108000</v>
      </c>
    </row>
    <row r="1671" spans="1:40">
      <c r="A1671" s="966">
        <v>1664</v>
      </c>
      <c r="B1671" s="967">
        <v>42983</v>
      </c>
      <c r="C1671" s="966">
        <v>108000</v>
      </c>
      <c r="D1671" s="966">
        <v>0</v>
      </c>
      <c r="E1671" s="966">
        <v>0</v>
      </c>
      <c r="F1671" s="966">
        <v>35683.050000000003</v>
      </c>
      <c r="G1671" s="966">
        <v>33224.010192000002</v>
      </c>
      <c r="H1671" s="966">
        <v>5951.42</v>
      </c>
      <c r="I1671" s="966">
        <v>18.149999999999999</v>
      </c>
      <c r="Q1671" s="967">
        <v>42983</v>
      </c>
      <c r="R1671" s="966">
        <v>108000</v>
      </c>
      <c r="T1671" s="969">
        <v>0</v>
      </c>
      <c r="U1671" s="966">
        <v>5951.42</v>
      </c>
      <c r="W1671" s="971" t="e">
        <f t="shared" si="28"/>
        <v>#DIV/0!</v>
      </c>
      <c r="Y1671" s="967">
        <v>43053</v>
      </c>
      <c r="Z1671" s="974">
        <f ca="1">H1621*Valuation_Senario!$L$372</f>
        <v>9540.5944981400007</v>
      </c>
      <c r="AA1671" s="973">
        <v>20.7</v>
      </c>
      <c r="AM1671" s="967">
        <v>42983</v>
      </c>
      <c r="AN1671" s="974">
        <v>108000</v>
      </c>
    </row>
    <row r="1672" spans="1:40">
      <c r="A1672" s="966">
        <v>1665</v>
      </c>
      <c r="B1672" s="967">
        <v>42979</v>
      </c>
      <c r="C1672" s="966">
        <v>109400</v>
      </c>
      <c r="D1672" s="966">
        <v>0</v>
      </c>
      <c r="E1672" s="966">
        <v>0</v>
      </c>
      <c r="F1672" s="966">
        <v>36113.730000000003</v>
      </c>
      <c r="G1672" s="966">
        <v>33654.691805599999</v>
      </c>
      <c r="H1672" s="966">
        <v>5951.42</v>
      </c>
      <c r="I1672" s="966">
        <v>18.38</v>
      </c>
      <c r="Q1672" s="967">
        <v>42979</v>
      </c>
      <c r="R1672" s="966">
        <v>109400</v>
      </c>
      <c r="T1672" s="969">
        <v>0</v>
      </c>
      <c r="U1672" s="966">
        <v>5951.42</v>
      </c>
      <c r="W1672" s="971" t="e">
        <f t="shared" si="28"/>
        <v>#DIV/0!</v>
      </c>
      <c r="Y1672" s="967">
        <v>43052</v>
      </c>
      <c r="Z1672" s="974">
        <f ca="1">H1622*Valuation_Senario!$L$372</f>
        <v>9540.5944981400007</v>
      </c>
      <c r="AA1672" s="973">
        <v>19.7</v>
      </c>
      <c r="AM1672" s="967">
        <v>42979</v>
      </c>
      <c r="AN1672" s="974">
        <v>109400</v>
      </c>
    </row>
    <row r="1673" spans="1:40">
      <c r="A1673" s="966">
        <v>1666</v>
      </c>
      <c r="B1673" s="967">
        <v>42978</v>
      </c>
      <c r="C1673" s="966">
        <v>109400</v>
      </c>
      <c r="D1673" s="966">
        <v>0</v>
      </c>
      <c r="E1673" s="966">
        <v>0</v>
      </c>
      <c r="F1673" s="966">
        <v>36113.730000000003</v>
      </c>
      <c r="G1673" s="966">
        <v>33654.691805599999</v>
      </c>
      <c r="H1673" s="966">
        <v>5951.42</v>
      </c>
      <c r="I1673" s="966">
        <v>18.38</v>
      </c>
      <c r="Q1673" s="967">
        <v>42978</v>
      </c>
      <c r="R1673" s="966">
        <v>109400</v>
      </c>
      <c r="T1673" s="969">
        <v>0</v>
      </c>
      <c r="U1673" s="966">
        <v>5951.42</v>
      </c>
      <c r="W1673" s="971" t="e">
        <f t="shared" ref="W1673:W1736" si="29">T1673/V1673</f>
        <v>#DIV/0!</v>
      </c>
      <c r="Y1673" s="967">
        <v>43049</v>
      </c>
      <c r="Z1673" s="974">
        <f ca="1">H1623*Valuation_Senario!$L$372</f>
        <v>9540.5944981400007</v>
      </c>
      <c r="AA1673" s="973">
        <v>19.84</v>
      </c>
      <c r="AM1673" s="967">
        <v>42978</v>
      </c>
      <c r="AN1673" s="974">
        <v>109400</v>
      </c>
    </row>
    <row r="1674" spans="1:40">
      <c r="A1674" s="966">
        <v>1667</v>
      </c>
      <c r="B1674" s="967">
        <v>42977</v>
      </c>
      <c r="C1674" s="966">
        <v>109500</v>
      </c>
      <c r="D1674" s="966">
        <v>0</v>
      </c>
      <c r="E1674" s="966">
        <v>0</v>
      </c>
      <c r="F1674" s="966">
        <v>36144.49</v>
      </c>
      <c r="G1674" s="966">
        <v>33685.454777999999</v>
      </c>
      <c r="H1674" s="966">
        <v>5951.42</v>
      </c>
      <c r="I1674" s="966">
        <v>18.399999999999999</v>
      </c>
      <c r="Q1674" s="967">
        <v>42977</v>
      </c>
      <c r="R1674" s="966">
        <v>109500</v>
      </c>
      <c r="T1674" s="969">
        <v>0</v>
      </c>
      <c r="U1674" s="966">
        <v>5951.42</v>
      </c>
      <c r="W1674" s="971" t="e">
        <f t="shared" si="29"/>
        <v>#DIV/0!</v>
      </c>
      <c r="Y1674" s="967">
        <v>43048</v>
      </c>
      <c r="Z1674" s="974">
        <f ca="1">H1624*Valuation_Senario!$L$372</f>
        <v>9540.5944981400007</v>
      </c>
      <c r="AA1674" s="973">
        <v>19.86</v>
      </c>
      <c r="AM1674" s="967">
        <v>42977</v>
      </c>
      <c r="AN1674" s="974">
        <v>109500</v>
      </c>
    </row>
    <row r="1675" spans="1:40">
      <c r="A1675" s="966">
        <v>1668</v>
      </c>
      <c r="B1675" s="967">
        <v>42976</v>
      </c>
      <c r="C1675" s="966">
        <v>107100</v>
      </c>
      <c r="D1675" s="966">
        <v>0</v>
      </c>
      <c r="E1675" s="966">
        <v>0</v>
      </c>
      <c r="F1675" s="966">
        <v>35406.18</v>
      </c>
      <c r="G1675" s="966">
        <v>32947.143440400003</v>
      </c>
      <c r="H1675" s="966">
        <v>5951.42</v>
      </c>
      <c r="I1675" s="966">
        <v>18</v>
      </c>
      <c r="Q1675" s="967">
        <v>42976</v>
      </c>
      <c r="R1675" s="966">
        <v>107100</v>
      </c>
      <c r="T1675" s="969">
        <v>0</v>
      </c>
      <c r="U1675" s="966">
        <v>5951.42</v>
      </c>
      <c r="W1675" s="971" t="e">
        <f t="shared" si="29"/>
        <v>#DIV/0!</v>
      </c>
      <c r="Y1675" s="967">
        <v>43047</v>
      </c>
      <c r="Z1675" s="974">
        <f ca="1">H1625*Valuation_Senario!$L$372</f>
        <v>9540.5944981400007</v>
      </c>
      <c r="AA1675" s="973">
        <v>19.7</v>
      </c>
      <c r="AM1675" s="967">
        <v>42976</v>
      </c>
      <c r="AN1675" s="974">
        <v>107100</v>
      </c>
    </row>
    <row r="1676" spans="1:40">
      <c r="A1676" s="966">
        <v>1669</v>
      </c>
      <c r="B1676" s="967">
        <v>42975</v>
      </c>
      <c r="C1676" s="966">
        <v>105900</v>
      </c>
      <c r="D1676" s="966">
        <v>0</v>
      </c>
      <c r="E1676" s="966">
        <v>0</v>
      </c>
      <c r="F1676" s="966">
        <v>35037.03</v>
      </c>
      <c r="G1676" s="966">
        <v>32577.987771600001</v>
      </c>
      <c r="H1676" s="966">
        <v>5951.42</v>
      </c>
      <c r="I1676" s="966">
        <v>17.79</v>
      </c>
      <c r="Q1676" s="967">
        <v>42975</v>
      </c>
      <c r="R1676" s="966">
        <v>105900</v>
      </c>
      <c r="T1676" s="969">
        <v>0</v>
      </c>
      <c r="U1676" s="966">
        <v>5951.42</v>
      </c>
      <c r="W1676" s="971" t="e">
        <f t="shared" si="29"/>
        <v>#DIV/0!</v>
      </c>
      <c r="Y1676" s="967">
        <v>43046</v>
      </c>
      <c r="Z1676" s="974">
        <f ca="1">H1626*Valuation_Senario!$L$372</f>
        <v>9540.5944981400007</v>
      </c>
      <c r="AA1676" s="973">
        <v>19.440000000000001</v>
      </c>
      <c r="AM1676" s="967">
        <v>42975</v>
      </c>
      <c r="AN1676" s="974">
        <v>105900</v>
      </c>
    </row>
    <row r="1677" spans="1:40">
      <c r="A1677" s="966">
        <v>1670</v>
      </c>
      <c r="B1677" s="967">
        <v>42972</v>
      </c>
      <c r="C1677" s="966">
        <v>105600</v>
      </c>
      <c r="D1677" s="966">
        <v>0</v>
      </c>
      <c r="E1677" s="966">
        <v>0</v>
      </c>
      <c r="F1677" s="966">
        <v>34944.74</v>
      </c>
      <c r="G1677" s="966">
        <v>32485.698854400001</v>
      </c>
      <c r="H1677" s="966">
        <v>5951.42</v>
      </c>
      <c r="I1677" s="966">
        <v>17.739999999999998</v>
      </c>
      <c r="Q1677" s="967">
        <v>42972</v>
      </c>
      <c r="R1677" s="966">
        <v>105600</v>
      </c>
      <c r="T1677" s="969">
        <v>0</v>
      </c>
      <c r="U1677" s="966">
        <v>5951.42</v>
      </c>
      <c r="W1677" s="971" t="e">
        <f t="shared" si="29"/>
        <v>#DIV/0!</v>
      </c>
      <c r="Y1677" s="967">
        <v>43045</v>
      </c>
      <c r="Z1677" s="974">
        <f ca="1">H1627*Valuation_Senario!$L$372</f>
        <v>9540.5944981400007</v>
      </c>
      <c r="AA1677" s="973">
        <v>19.55</v>
      </c>
      <c r="AM1677" s="967">
        <v>42972</v>
      </c>
      <c r="AN1677" s="974">
        <v>105600</v>
      </c>
    </row>
    <row r="1678" spans="1:40">
      <c r="A1678" s="966">
        <v>1671</v>
      </c>
      <c r="B1678" s="967">
        <v>42971</v>
      </c>
      <c r="C1678" s="966">
        <v>105400</v>
      </c>
      <c r="D1678" s="966">
        <v>0</v>
      </c>
      <c r="E1678" s="966">
        <v>0</v>
      </c>
      <c r="F1678" s="966">
        <v>34883.21</v>
      </c>
      <c r="G1678" s="966">
        <v>32424.172909600002</v>
      </c>
      <c r="H1678" s="966">
        <v>5951.42</v>
      </c>
      <c r="I1678" s="966">
        <v>17.71</v>
      </c>
      <c r="Q1678" s="967">
        <v>42971</v>
      </c>
      <c r="R1678" s="966">
        <v>105400</v>
      </c>
      <c r="T1678" s="969">
        <v>0</v>
      </c>
      <c r="U1678" s="966">
        <v>5951.42</v>
      </c>
      <c r="W1678" s="971" t="e">
        <f t="shared" si="29"/>
        <v>#DIV/0!</v>
      </c>
      <c r="Y1678" s="967">
        <v>43042</v>
      </c>
      <c r="Z1678" s="974">
        <f ca="1">H1628*Valuation_Senario!$L$372</f>
        <v>9540.5944981400007</v>
      </c>
      <c r="AA1678" s="973">
        <v>19.32</v>
      </c>
      <c r="AM1678" s="967">
        <v>42971</v>
      </c>
      <c r="AN1678" s="974">
        <v>105400</v>
      </c>
    </row>
    <row r="1679" spans="1:40">
      <c r="A1679" s="966">
        <v>1672</v>
      </c>
      <c r="B1679" s="967">
        <v>42970</v>
      </c>
      <c r="C1679" s="966">
        <v>104000</v>
      </c>
      <c r="D1679" s="966">
        <v>0</v>
      </c>
      <c r="E1679" s="966">
        <v>0</v>
      </c>
      <c r="F1679" s="966">
        <v>34452.53</v>
      </c>
      <c r="G1679" s="966">
        <v>31993.491296</v>
      </c>
      <c r="H1679" s="966">
        <v>5951.42</v>
      </c>
      <c r="I1679" s="966">
        <v>17.47</v>
      </c>
      <c r="Q1679" s="967">
        <v>42970</v>
      </c>
      <c r="R1679" s="966">
        <v>104000</v>
      </c>
      <c r="T1679" s="969">
        <v>0</v>
      </c>
      <c r="U1679" s="966">
        <v>5951.42</v>
      </c>
      <c r="W1679" s="971" t="e">
        <f t="shared" si="29"/>
        <v>#DIV/0!</v>
      </c>
      <c r="Y1679" s="967">
        <v>43041</v>
      </c>
      <c r="Z1679" s="974">
        <f ca="1">H1629*Valuation_Senario!$L$372</f>
        <v>9540.5944981400007</v>
      </c>
      <c r="AA1679" s="973">
        <v>18.47</v>
      </c>
      <c r="AM1679" s="967">
        <v>42970</v>
      </c>
      <c r="AN1679" s="974">
        <v>104000</v>
      </c>
    </row>
    <row r="1680" spans="1:40">
      <c r="A1680" s="966">
        <v>1673</v>
      </c>
      <c r="B1680" s="967">
        <v>42969</v>
      </c>
      <c r="C1680" s="966">
        <v>105100</v>
      </c>
      <c r="D1680" s="966">
        <v>0</v>
      </c>
      <c r="E1680" s="966">
        <v>0</v>
      </c>
      <c r="F1680" s="966">
        <v>34790.92</v>
      </c>
      <c r="G1680" s="966">
        <v>32331.883992399999</v>
      </c>
      <c r="H1680" s="966">
        <v>5951.42</v>
      </c>
      <c r="I1680" s="966">
        <v>17.66</v>
      </c>
      <c r="Q1680" s="967">
        <v>42969</v>
      </c>
      <c r="R1680" s="966">
        <v>105100</v>
      </c>
      <c r="T1680" s="969">
        <v>0</v>
      </c>
      <c r="U1680" s="966">
        <v>5951.42</v>
      </c>
      <c r="W1680" s="971" t="e">
        <f t="shared" si="29"/>
        <v>#DIV/0!</v>
      </c>
      <c r="Y1680" s="967">
        <v>43040</v>
      </c>
      <c r="Z1680" s="974">
        <f ca="1">H1630*Valuation_Senario!$L$372</f>
        <v>9540.5944981400007</v>
      </c>
      <c r="AA1680" s="973">
        <v>19.53</v>
      </c>
      <c r="AM1680" s="967">
        <v>42969</v>
      </c>
      <c r="AN1680" s="974">
        <v>105100</v>
      </c>
    </row>
    <row r="1681" spans="1:40">
      <c r="A1681" s="966">
        <v>1674</v>
      </c>
      <c r="B1681" s="967">
        <v>42968</v>
      </c>
      <c r="C1681" s="966">
        <v>106000</v>
      </c>
      <c r="D1681" s="966">
        <v>0</v>
      </c>
      <c r="E1681" s="966">
        <v>0</v>
      </c>
      <c r="F1681" s="966">
        <v>35067.79</v>
      </c>
      <c r="G1681" s="966">
        <v>32608.750744000001</v>
      </c>
      <c r="H1681" s="966">
        <v>5951.42</v>
      </c>
      <c r="I1681" s="966">
        <v>17.809999999999999</v>
      </c>
      <c r="Q1681" s="967">
        <v>42968</v>
      </c>
      <c r="R1681" s="966">
        <v>106000</v>
      </c>
      <c r="T1681" s="969">
        <v>0</v>
      </c>
      <c r="U1681" s="966">
        <v>5951.42</v>
      </c>
      <c r="W1681" s="971" t="e">
        <f t="shared" si="29"/>
        <v>#DIV/0!</v>
      </c>
      <c r="Y1681" s="967">
        <v>43039</v>
      </c>
      <c r="Z1681" s="974">
        <f ca="1">H1631*Valuation_Senario!$L$372</f>
        <v>8739.4043589399989</v>
      </c>
      <c r="AA1681" s="973">
        <v>21.59</v>
      </c>
      <c r="AM1681" s="967">
        <v>42968</v>
      </c>
      <c r="AN1681" s="974">
        <v>106000</v>
      </c>
    </row>
    <row r="1682" spans="1:40">
      <c r="A1682" s="966">
        <v>1675</v>
      </c>
      <c r="B1682" s="967">
        <v>42965</v>
      </c>
      <c r="C1682" s="966">
        <v>105600</v>
      </c>
      <c r="D1682" s="966">
        <v>0</v>
      </c>
      <c r="E1682" s="966">
        <v>0</v>
      </c>
      <c r="F1682" s="966">
        <v>34944.74</v>
      </c>
      <c r="G1682" s="966">
        <v>32485.698854400001</v>
      </c>
      <c r="H1682" s="966">
        <v>5951.42</v>
      </c>
      <c r="I1682" s="966">
        <v>17.739999999999998</v>
      </c>
      <c r="Q1682" s="967">
        <v>42965</v>
      </c>
      <c r="R1682" s="966">
        <v>105600</v>
      </c>
      <c r="T1682" s="969">
        <v>0</v>
      </c>
      <c r="U1682" s="966">
        <v>5951.42</v>
      </c>
      <c r="W1682" s="971" t="e">
        <f t="shared" si="29"/>
        <v>#DIV/0!</v>
      </c>
      <c r="Y1682" s="967">
        <v>43038</v>
      </c>
      <c r="Z1682" s="974">
        <f ca="1">H1632*Valuation_Senario!$L$372</f>
        <v>8739.4043589399989</v>
      </c>
      <c r="AA1682" s="973">
        <v>21.81</v>
      </c>
      <c r="AM1682" s="967">
        <v>42965</v>
      </c>
      <c r="AN1682" s="974">
        <v>105600</v>
      </c>
    </row>
    <row r="1683" spans="1:40">
      <c r="A1683" s="966">
        <v>1676</v>
      </c>
      <c r="B1683" s="967">
        <v>42964</v>
      </c>
      <c r="C1683" s="966">
        <v>105600</v>
      </c>
      <c r="D1683" s="966">
        <v>0</v>
      </c>
      <c r="E1683" s="966">
        <v>0</v>
      </c>
      <c r="F1683" s="966">
        <v>34944.74</v>
      </c>
      <c r="G1683" s="966">
        <v>32485.698854400001</v>
      </c>
      <c r="H1683" s="966">
        <v>5951.42</v>
      </c>
      <c r="I1683" s="966">
        <v>17.739999999999998</v>
      </c>
      <c r="Q1683" s="967">
        <v>42964</v>
      </c>
      <c r="R1683" s="966">
        <v>105600</v>
      </c>
      <c r="T1683" s="969">
        <v>0</v>
      </c>
      <c r="U1683" s="966">
        <v>5951.42</v>
      </c>
      <c r="W1683" s="971" t="e">
        <f t="shared" si="29"/>
        <v>#DIV/0!</v>
      </c>
      <c r="Y1683" s="967">
        <v>43035</v>
      </c>
      <c r="Z1683" s="974">
        <f ca="1">H1633*Valuation_Senario!$L$372</f>
        <v>8739.4043589399989</v>
      </c>
      <c r="AA1683" s="973">
        <v>22.01</v>
      </c>
      <c r="AM1683" s="967">
        <v>42964</v>
      </c>
      <c r="AN1683" s="974">
        <v>105600</v>
      </c>
    </row>
    <row r="1684" spans="1:40">
      <c r="A1684" s="966">
        <v>1677</v>
      </c>
      <c r="B1684" s="967">
        <v>42963</v>
      </c>
      <c r="C1684" s="966">
        <v>107400</v>
      </c>
      <c r="D1684" s="966">
        <v>0</v>
      </c>
      <c r="E1684" s="966">
        <v>0.135625</v>
      </c>
      <c r="F1684" s="966">
        <v>35498.47</v>
      </c>
      <c r="G1684" s="966">
        <v>33039.432357600002</v>
      </c>
      <c r="H1684" s="966">
        <v>5951.42</v>
      </c>
      <c r="I1684" s="966">
        <v>18.05</v>
      </c>
      <c r="Q1684" s="967">
        <v>42963</v>
      </c>
      <c r="R1684" s="966">
        <v>107400</v>
      </c>
      <c r="T1684" s="969">
        <v>-0.135625</v>
      </c>
      <c r="U1684" s="966">
        <v>5951.42</v>
      </c>
      <c r="W1684" s="971" t="e">
        <f t="shared" si="29"/>
        <v>#DIV/0!</v>
      </c>
      <c r="Y1684" s="967">
        <v>43034</v>
      </c>
      <c r="Z1684" s="974">
        <f ca="1">H1634*Valuation_Senario!$L$372</f>
        <v>8739.4043589399989</v>
      </c>
      <c r="AA1684" s="973">
        <v>21.89</v>
      </c>
      <c r="AM1684" s="967">
        <v>42963</v>
      </c>
      <c r="AN1684" s="974">
        <v>107400</v>
      </c>
    </row>
    <row r="1685" spans="1:40">
      <c r="A1685" s="966">
        <v>1678</v>
      </c>
      <c r="B1685" s="967">
        <v>42962</v>
      </c>
      <c r="C1685" s="966">
        <v>107300</v>
      </c>
      <c r="D1685" s="966">
        <v>0</v>
      </c>
      <c r="E1685" s="966">
        <v>0</v>
      </c>
      <c r="F1685" s="966">
        <v>35529.230000000003</v>
      </c>
      <c r="G1685" s="966">
        <v>33070.195330000002</v>
      </c>
      <c r="H1685" s="966">
        <v>5951.42</v>
      </c>
      <c r="I1685" s="966">
        <v>18.059999999999999</v>
      </c>
      <c r="Q1685" s="967">
        <v>42962</v>
      </c>
      <c r="R1685" s="966">
        <v>107300</v>
      </c>
      <c r="T1685" s="969">
        <v>0</v>
      </c>
      <c r="U1685" s="966">
        <v>5951.42</v>
      </c>
      <c r="W1685" s="971" t="e">
        <f t="shared" si="29"/>
        <v>#DIV/0!</v>
      </c>
      <c r="Y1685" s="967">
        <v>43033</v>
      </c>
      <c r="Z1685" s="974">
        <f ca="1">H1635*Valuation_Senario!$L$372</f>
        <v>8739.4043589399989</v>
      </c>
      <c r="AA1685" s="973">
        <v>22.06</v>
      </c>
      <c r="AM1685" s="967">
        <v>42962</v>
      </c>
      <c r="AN1685" s="974">
        <v>107300</v>
      </c>
    </row>
    <row r="1686" spans="1:40">
      <c r="A1686" s="966">
        <v>1679</v>
      </c>
      <c r="B1686" s="967">
        <v>42961</v>
      </c>
      <c r="C1686" s="966">
        <v>106500</v>
      </c>
      <c r="D1686" s="966">
        <v>0</v>
      </c>
      <c r="E1686" s="966">
        <v>0</v>
      </c>
      <c r="F1686" s="966">
        <v>35221.599999999999</v>
      </c>
      <c r="G1686" s="966">
        <v>32762.565606</v>
      </c>
      <c r="H1686" s="966">
        <v>5951.42</v>
      </c>
      <c r="I1686" s="966">
        <v>17.89</v>
      </c>
      <c r="Q1686" s="967">
        <v>42961</v>
      </c>
      <c r="R1686" s="966">
        <v>106500</v>
      </c>
      <c r="T1686" s="969">
        <v>0</v>
      </c>
      <c r="U1686" s="966">
        <v>5951.42</v>
      </c>
      <c r="W1686" s="971" t="e">
        <f t="shared" si="29"/>
        <v>#DIV/0!</v>
      </c>
      <c r="Y1686" s="967">
        <v>43032</v>
      </c>
      <c r="Z1686" s="974">
        <f ca="1">H1636*Valuation_Senario!$L$372</f>
        <v>8739.4043589399989</v>
      </c>
      <c r="AA1686" s="973">
        <v>21.51</v>
      </c>
      <c r="AM1686" s="967">
        <v>42961</v>
      </c>
      <c r="AN1686" s="974">
        <v>106500</v>
      </c>
    </row>
    <row r="1687" spans="1:40">
      <c r="A1687" s="966">
        <v>1680</v>
      </c>
      <c r="B1687" s="967">
        <v>42958</v>
      </c>
      <c r="C1687" s="966">
        <v>105800</v>
      </c>
      <c r="D1687" s="966">
        <v>14.625</v>
      </c>
      <c r="E1687" s="966">
        <v>14.625</v>
      </c>
      <c r="F1687" s="966">
        <v>35006.26</v>
      </c>
      <c r="G1687" s="966">
        <v>32547.224799200001</v>
      </c>
      <c r="H1687" s="966">
        <v>5951.42</v>
      </c>
      <c r="I1687" s="966">
        <v>17.78</v>
      </c>
      <c r="Q1687" s="967">
        <v>42958</v>
      </c>
      <c r="R1687" s="966">
        <v>105800</v>
      </c>
      <c r="T1687" s="969">
        <v>0</v>
      </c>
      <c r="U1687" s="966">
        <v>5951.42</v>
      </c>
      <c r="W1687" s="971" t="e">
        <f t="shared" si="29"/>
        <v>#DIV/0!</v>
      </c>
      <c r="Y1687" s="967">
        <v>43031</v>
      </c>
      <c r="Z1687" s="974">
        <f ca="1">H1637*Valuation_Senario!$L$372</f>
        <v>8739.4043589399989</v>
      </c>
      <c r="AA1687" s="973">
        <v>21.09</v>
      </c>
      <c r="AM1687" s="967">
        <v>42958</v>
      </c>
      <c r="AN1687" s="974">
        <v>105800</v>
      </c>
    </row>
    <row r="1688" spans="1:40">
      <c r="A1688" s="966">
        <v>1681</v>
      </c>
      <c r="B1688" s="967">
        <v>42957</v>
      </c>
      <c r="C1688" s="966">
        <v>105200</v>
      </c>
      <c r="D1688" s="966">
        <v>0</v>
      </c>
      <c r="E1688" s="966">
        <v>0</v>
      </c>
      <c r="F1688" s="966">
        <v>34821.69</v>
      </c>
      <c r="G1688" s="966">
        <v>32362.646964799998</v>
      </c>
      <c r="H1688" s="966">
        <v>5951.42</v>
      </c>
      <c r="I1688" s="966">
        <v>17.68</v>
      </c>
      <c r="Q1688" s="967">
        <v>42957</v>
      </c>
      <c r="R1688" s="966">
        <v>105200</v>
      </c>
      <c r="T1688" s="969">
        <v>0</v>
      </c>
      <c r="U1688" s="966">
        <v>5951.42</v>
      </c>
      <c r="W1688" s="971" t="e">
        <f t="shared" si="29"/>
        <v>#DIV/0!</v>
      </c>
      <c r="Y1688" s="967">
        <v>43028</v>
      </c>
      <c r="Z1688" s="974">
        <f ca="1">H1638*Valuation_Senario!$L$372</f>
        <v>8739.4043589399989</v>
      </c>
      <c r="AA1688" s="973">
        <v>21.42</v>
      </c>
      <c r="AM1688" s="967">
        <v>42957</v>
      </c>
      <c r="AN1688" s="974">
        <v>105200</v>
      </c>
    </row>
    <row r="1689" spans="1:40">
      <c r="A1689" s="966">
        <v>1682</v>
      </c>
      <c r="B1689" s="967">
        <v>42956</v>
      </c>
      <c r="C1689" s="966">
        <v>104300</v>
      </c>
      <c r="D1689" s="966">
        <v>0</v>
      </c>
      <c r="E1689" s="966">
        <v>0</v>
      </c>
      <c r="F1689" s="966">
        <v>34544.82</v>
      </c>
      <c r="G1689" s="966">
        <v>32085.7802132</v>
      </c>
      <c r="H1689" s="966">
        <v>5951.42</v>
      </c>
      <c r="I1689" s="966">
        <v>17.53</v>
      </c>
      <c r="Q1689" s="967">
        <v>42956</v>
      </c>
      <c r="R1689" s="966">
        <v>104300</v>
      </c>
      <c r="T1689" s="969">
        <v>0</v>
      </c>
      <c r="U1689" s="966">
        <v>5951.42</v>
      </c>
      <c r="W1689" s="971" t="e">
        <f t="shared" si="29"/>
        <v>#DIV/0!</v>
      </c>
      <c r="Y1689" s="967">
        <v>43027</v>
      </c>
      <c r="Z1689" s="974">
        <f ca="1">H1639*Valuation_Senario!$L$372</f>
        <v>8739.4043589399989</v>
      </c>
      <c r="AA1689" s="973">
        <v>22.18</v>
      </c>
      <c r="AM1689" s="967">
        <v>42956</v>
      </c>
      <c r="AN1689" s="974">
        <v>104300</v>
      </c>
    </row>
    <row r="1690" spans="1:40">
      <c r="A1690" s="966">
        <v>1683</v>
      </c>
      <c r="B1690" s="967">
        <v>42955</v>
      </c>
      <c r="C1690" s="966">
        <v>107000</v>
      </c>
      <c r="D1690" s="966">
        <v>0</v>
      </c>
      <c r="E1690" s="966">
        <v>0</v>
      </c>
      <c r="F1690" s="966">
        <v>35375.42</v>
      </c>
      <c r="G1690" s="966">
        <v>32916.380468000003</v>
      </c>
      <c r="H1690" s="966">
        <v>5951.42</v>
      </c>
      <c r="I1690" s="966">
        <v>17.98</v>
      </c>
      <c r="Q1690" s="967">
        <v>42955</v>
      </c>
      <c r="R1690" s="966">
        <v>107000</v>
      </c>
      <c r="T1690" s="969">
        <v>0</v>
      </c>
      <c r="U1690" s="966">
        <v>5951.42</v>
      </c>
      <c r="W1690" s="971" t="e">
        <f t="shared" si="29"/>
        <v>#DIV/0!</v>
      </c>
      <c r="Y1690" s="967">
        <v>43026</v>
      </c>
      <c r="Z1690" s="974">
        <f ca="1">H1640*Valuation_Senario!$L$372</f>
        <v>8739.4043589399989</v>
      </c>
      <c r="AA1690" s="973">
        <v>21.59</v>
      </c>
      <c r="AM1690" s="967">
        <v>42955</v>
      </c>
      <c r="AN1690" s="974">
        <v>107000</v>
      </c>
    </row>
    <row r="1691" spans="1:40">
      <c r="A1691" s="966">
        <v>1684</v>
      </c>
      <c r="B1691" s="967">
        <v>42954</v>
      </c>
      <c r="C1691" s="966">
        <v>109200</v>
      </c>
      <c r="D1691" s="966">
        <v>16.875</v>
      </c>
      <c r="E1691" s="966">
        <v>16.875</v>
      </c>
      <c r="F1691" s="966">
        <v>36052.199999999997</v>
      </c>
      <c r="G1691" s="966">
        <v>33593.1658608</v>
      </c>
      <c r="H1691" s="966">
        <v>5951.42</v>
      </c>
      <c r="I1691" s="966">
        <v>18.350000000000001</v>
      </c>
      <c r="Q1691" s="967">
        <v>42954</v>
      </c>
      <c r="R1691" s="966">
        <v>109200</v>
      </c>
      <c r="T1691" s="969">
        <v>0</v>
      </c>
      <c r="U1691" s="966">
        <v>5951.42</v>
      </c>
      <c r="W1691" s="971" t="e">
        <f t="shared" si="29"/>
        <v>#DIV/0!</v>
      </c>
      <c r="Y1691" s="967">
        <v>43025</v>
      </c>
      <c r="Z1691" s="974">
        <f ca="1">H1641*Valuation_Senario!$L$372</f>
        <v>8739.4043589399989</v>
      </c>
      <c r="AA1691" s="973">
        <v>21.44</v>
      </c>
      <c r="AM1691" s="967">
        <v>42954</v>
      </c>
      <c r="AN1691" s="974">
        <v>109200</v>
      </c>
    </row>
    <row r="1692" spans="1:40">
      <c r="A1692" s="966">
        <v>1685</v>
      </c>
      <c r="B1692" s="967">
        <v>42951</v>
      </c>
      <c r="C1692" s="966">
        <v>106500</v>
      </c>
      <c r="D1692" s="966">
        <v>0</v>
      </c>
      <c r="E1692" s="966">
        <v>0</v>
      </c>
      <c r="F1692" s="966">
        <v>35221.599999999999</v>
      </c>
      <c r="G1692" s="966">
        <v>32762.565606</v>
      </c>
      <c r="H1692" s="966">
        <v>5951.42</v>
      </c>
      <c r="I1692" s="966">
        <v>17.89</v>
      </c>
      <c r="Q1692" s="967">
        <v>42951</v>
      </c>
      <c r="R1692" s="966">
        <v>106500</v>
      </c>
      <c r="T1692" s="969">
        <v>0</v>
      </c>
      <c r="U1692" s="966">
        <v>5951.42</v>
      </c>
      <c r="W1692" s="971" t="e">
        <f t="shared" si="29"/>
        <v>#DIV/0!</v>
      </c>
      <c r="Y1692" s="967">
        <v>43024</v>
      </c>
      <c r="Z1692" s="974">
        <f ca="1">H1642*Valuation_Senario!$L$372</f>
        <v>8739.4043589399989</v>
      </c>
      <c r="AA1692" s="973">
        <v>21.42</v>
      </c>
      <c r="AM1692" s="967">
        <v>42951</v>
      </c>
      <c r="AN1692" s="974">
        <v>106500</v>
      </c>
    </row>
    <row r="1693" spans="1:40">
      <c r="A1693" s="966">
        <v>1686</v>
      </c>
      <c r="B1693" s="967">
        <v>42950</v>
      </c>
      <c r="C1693" s="966">
        <v>100100</v>
      </c>
      <c r="D1693" s="966">
        <v>0</v>
      </c>
      <c r="E1693" s="966">
        <v>0</v>
      </c>
      <c r="F1693" s="966">
        <v>33252.769999999997</v>
      </c>
      <c r="G1693" s="966">
        <v>30793.735372399999</v>
      </c>
      <c r="H1693" s="966">
        <v>5951.42</v>
      </c>
      <c r="I1693" s="966">
        <v>16.82</v>
      </c>
      <c r="Q1693" s="967">
        <v>42950</v>
      </c>
      <c r="R1693" s="966">
        <v>100100</v>
      </c>
      <c r="T1693" s="969">
        <v>0</v>
      </c>
      <c r="U1693" s="966">
        <v>5951.42</v>
      </c>
      <c r="W1693" s="971" t="e">
        <f t="shared" si="29"/>
        <v>#DIV/0!</v>
      </c>
      <c r="Y1693" s="967">
        <v>43021</v>
      </c>
      <c r="Z1693" s="974">
        <f ca="1">H1643*Valuation_Senario!$L$372</f>
        <v>8739.4043589399989</v>
      </c>
      <c r="AA1693" s="973">
        <v>21</v>
      </c>
      <c r="AM1693" s="967">
        <v>42950</v>
      </c>
      <c r="AN1693" s="974">
        <v>100100</v>
      </c>
    </row>
    <row r="1694" spans="1:40">
      <c r="A1694" s="966">
        <v>1687</v>
      </c>
      <c r="B1694" s="967">
        <v>42949</v>
      </c>
      <c r="C1694" s="966">
        <v>99500</v>
      </c>
      <c r="D1694" s="966">
        <v>0</v>
      </c>
      <c r="E1694" s="966">
        <v>0</v>
      </c>
      <c r="F1694" s="966">
        <v>33068.199999999997</v>
      </c>
      <c r="G1694" s="966">
        <v>30609.157537999999</v>
      </c>
      <c r="H1694" s="966">
        <v>5951.42</v>
      </c>
      <c r="I1694" s="966">
        <v>16.72</v>
      </c>
      <c r="Q1694" s="967">
        <v>42949</v>
      </c>
      <c r="R1694" s="966">
        <v>99500</v>
      </c>
      <c r="T1694" s="969">
        <v>0</v>
      </c>
      <c r="U1694" s="966">
        <v>5951.42</v>
      </c>
      <c r="W1694" s="971" t="e">
        <f t="shared" si="29"/>
        <v>#DIV/0!</v>
      </c>
      <c r="Y1694" s="967">
        <v>43020</v>
      </c>
      <c r="Z1694" s="974">
        <f ca="1">H1644*Valuation_Senario!$L$372</f>
        <v>8739.4043589399989</v>
      </c>
      <c r="AA1694" s="973">
        <v>20.67</v>
      </c>
      <c r="AM1694" s="967">
        <v>42949</v>
      </c>
      <c r="AN1694" s="974">
        <v>99500</v>
      </c>
    </row>
    <row r="1695" spans="1:40">
      <c r="A1695" s="966">
        <v>1688</v>
      </c>
      <c r="B1695" s="967">
        <v>42948</v>
      </c>
      <c r="C1695" s="966">
        <v>99500</v>
      </c>
      <c r="D1695" s="966">
        <v>0</v>
      </c>
      <c r="E1695" s="966">
        <v>1.8636349999999999</v>
      </c>
      <c r="F1695" s="966">
        <v>35091.300000000003</v>
      </c>
      <c r="G1695" s="966">
        <v>30609.157537999999</v>
      </c>
      <c r="H1695" s="966">
        <v>5676.5</v>
      </c>
      <c r="I1695" s="966">
        <v>17.53</v>
      </c>
      <c r="Q1695" s="967">
        <v>42948</v>
      </c>
      <c r="R1695" s="966">
        <v>99500</v>
      </c>
      <c r="T1695" s="969">
        <v>-1.8636349999999999</v>
      </c>
      <c r="U1695" s="966">
        <v>5676.5</v>
      </c>
      <c r="W1695" s="971" t="e">
        <f t="shared" si="29"/>
        <v>#DIV/0!</v>
      </c>
      <c r="Y1695" s="967">
        <v>43019</v>
      </c>
      <c r="Z1695" s="974">
        <f ca="1">H1645*Valuation_Senario!$L$372</f>
        <v>8739.4043589399989</v>
      </c>
      <c r="AA1695" s="973">
        <v>20.53</v>
      </c>
      <c r="AM1695" s="967">
        <v>42948</v>
      </c>
      <c r="AN1695" s="974">
        <v>99500</v>
      </c>
    </row>
    <row r="1696" spans="1:40">
      <c r="A1696" s="966">
        <v>1689</v>
      </c>
      <c r="B1696" s="967">
        <v>42947</v>
      </c>
      <c r="C1696" s="966">
        <v>100500</v>
      </c>
      <c r="D1696" s="966">
        <v>0</v>
      </c>
      <c r="E1696" s="966">
        <v>0</v>
      </c>
      <c r="F1696" s="966">
        <v>35398.93</v>
      </c>
      <c r="G1696" s="966">
        <v>30916.787262000002</v>
      </c>
      <c r="H1696" s="966">
        <v>5676.5</v>
      </c>
      <c r="I1696" s="966">
        <v>17.7</v>
      </c>
      <c r="Q1696" s="967">
        <v>42947</v>
      </c>
      <c r="R1696" s="966">
        <v>100500</v>
      </c>
      <c r="T1696" s="969">
        <v>0</v>
      </c>
      <c r="U1696" s="966">
        <v>5676.5</v>
      </c>
      <c r="W1696" s="971" t="e">
        <f t="shared" si="29"/>
        <v>#DIV/0!</v>
      </c>
      <c r="Y1696" s="967">
        <v>43018</v>
      </c>
      <c r="Z1696" s="974">
        <f ca="1">H1646*Valuation_Senario!$L$372</f>
        <v>8739.4043589399989</v>
      </c>
      <c r="AA1696" s="973">
        <v>20.75</v>
      </c>
      <c r="AM1696" s="967">
        <v>42947</v>
      </c>
      <c r="AN1696" s="974">
        <v>100500</v>
      </c>
    </row>
    <row r="1697" spans="1:40">
      <c r="A1697" s="966">
        <v>1690</v>
      </c>
      <c r="B1697" s="967">
        <v>42944</v>
      </c>
      <c r="C1697" s="966">
        <v>101000</v>
      </c>
      <c r="D1697" s="966">
        <v>0</v>
      </c>
      <c r="E1697" s="966">
        <v>0</v>
      </c>
      <c r="F1697" s="966">
        <v>35552.74</v>
      </c>
      <c r="G1697" s="966">
        <v>31070.602124000001</v>
      </c>
      <c r="H1697" s="966">
        <v>5676.5</v>
      </c>
      <c r="I1697" s="966">
        <v>17.79</v>
      </c>
      <c r="Q1697" s="967">
        <v>42944</v>
      </c>
      <c r="R1697" s="966">
        <v>101000</v>
      </c>
      <c r="T1697" s="969">
        <v>0</v>
      </c>
      <c r="U1697" s="966">
        <v>5676.5</v>
      </c>
      <c r="W1697" s="971" t="e">
        <f t="shared" si="29"/>
        <v>#DIV/0!</v>
      </c>
      <c r="Y1697" s="967">
        <v>43017</v>
      </c>
      <c r="Z1697" s="974">
        <f ca="1">H1647*Valuation_Senario!$L$372</f>
        <v>8739.4043589399989</v>
      </c>
      <c r="AA1697" s="973">
        <v>20</v>
      </c>
      <c r="AM1697" s="967">
        <v>42944</v>
      </c>
      <c r="AN1697" s="974">
        <v>101000</v>
      </c>
    </row>
    <row r="1698" spans="1:40">
      <c r="A1698" s="966">
        <v>1691</v>
      </c>
      <c r="B1698" s="967">
        <v>42943</v>
      </c>
      <c r="C1698" s="966">
        <v>99500</v>
      </c>
      <c r="D1698" s="966">
        <v>0</v>
      </c>
      <c r="E1698" s="966">
        <v>0</v>
      </c>
      <c r="F1698" s="966">
        <v>35091.300000000003</v>
      </c>
      <c r="G1698" s="966">
        <v>30609.157537999999</v>
      </c>
      <c r="H1698" s="966">
        <v>5676.5</v>
      </c>
      <c r="I1698" s="966">
        <v>17.53</v>
      </c>
      <c r="Q1698" s="967">
        <v>42943</v>
      </c>
      <c r="R1698" s="966">
        <v>99500</v>
      </c>
      <c r="T1698" s="969">
        <v>0</v>
      </c>
      <c r="U1698" s="966">
        <v>5676.5</v>
      </c>
      <c r="W1698" s="971" t="e">
        <f t="shared" si="29"/>
        <v>#DIV/0!</v>
      </c>
      <c r="Y1698" s="967">
        <v>43014</v>
      </c>
      <c r="Z1698" s="974">
        <f ca="1">H1648*Valuation_Senario!$L$372</f>
        <v>8739.4043589399989</v>
      </c>
      <c r="AA1698" s="973">
        <v>19.739999999999998</v>
      </c>
      <c r="AM1698" s="967">
        <v>42943</v>
      </c>
      <c r="AN1698" s="974">
        <v>99500</v>
      </c>
    </row>
    <row r="1699" spans="1:40">
      <c r="A1699" s="966">
        <v>1692</v>
      </c>
      <c r="B1699" s="967">
        <v>42942</v>
      </c>
      <c r="C1699" s="966">
        <v>100000</v>
      </c>
      <c r="D1699" s="966">
        <v>0</v>
      </c>
      <c r="E1699" s="966">
        <v>0</v>
      </c>
      <c r="F1699" s="966">
        <v>35245.11</v>
      </c>
      <c r="G1699" s="966">
        <v>30762.972399999999</v>
      </c>
      <c r="H1699" s="966">
        <v>5676.5</v>
      </c>
      <c r="I1699" s="966">
        <v>17.62</v>
      </c>
      <c r="Q1699" s="967">
        <v>42942</v>
      </c>
      <c r="R1699" s="966">
        <v>100000</v>
      </c>
      <c r="T1699" s="969">
        <v>0</v>
      </c>
      <c r="U1699" s="966">
        <v>5676.5</v>
      </c>
      <c r="W1699" s="971" t="e">
        <f t="shared" si="29"/>
        <v>#DIV/0!</v>
      </c>
      <c r="Y1699" s="967">
        <v>43013</v>
      </c>
      <c r="Z1699" s="974">
        <f ca="1">H1649*Valuation_Senario!$L$372</f>
        <v>8739.4043589399989</v>
      </c>
      <c r="AA1699" s="973">
        <v>19.66</v>
      </c>
      <c r="AM1699" s="967">
        <v>42942</v>
      </c>
      <c r="AN1699" s="974">
        <v>100000</v>
      </c>
    </row>
    <row r="1700" spans="1:40">
      <c r="A1700" s="966">
        <v>1693</v>
      </c>
      <c r="B1700" s="967">
        <v>42941</v>
      </c>
      <c r="C1700" s="966">
        <v>98600</v>
      </c>
      <c r="D1700" s="966">
        <v>0</v>
      </c>
      <c r="E1700" s="966">
        <v>0</v>
      </c>
      <c r="F1700" s="966">
        <v>34814.43</v>
      </c>
      <c r="G1700" s="966">
        <v>30332.290786400001</v>
      </c>
      <c r="H1700" s="966">
        <v>5676.5</v>
      </c>
      <c r="I1700" s="966">
        <v>17.37</v>
      </c>
      <c r="Q1700" s="967">
        <v>42941</v>
      </c>
      <c r="R1700" s="966">
        <v>98600</v>
      </c>
      <c r="T1700" s="969">
        <v>0</v>
      </c>
      <c r="U1700" s="966">
        <v>5676.5</v>
      </c>
      <c r="W1700" s="971" t="e">
        <f t="shared" si="29"/>
        <v>#DIV/0!</v>
      </c>
      <c r="Y1700" s="967">
        <v>43012</v>
      </c>
      <c r="Z1700" s="974">
        <f ca="1">H1650*Valuation_Senario!$L$372</f>
        <v>8739.4043589399989</v>
      </c>
      <c r="AA1700" s="973">
        <v>19.829999999999998</v>
      </c>
      <c r="AM1700" s="967">
        <v>42941</v>
      </c>
      <c r="AN1700" s="974">
        <v>98600</v>
      </c>
    </row>
    <row r="1701" spans="1:40">
      <c r="A1701" s="966">
        <v>1694</v>
      </c>
      <c r="B1701" s="967">
        <v>42940</v>
      </c>
      <c r="C1701" s="966">
        <v>97600</v>
      </c>
      <c r="D1701" s="966">
        <v>0</v>
      </c>
      <c r="E1701" s="966">
        <v>0</v>
      </c>
      <c r="F1701" s="966">
        <v>34506.800000000003</v>
      </c>
      <c r="G1701" s="966">
        <v>30024.661062399999</v>
      </c>
      <c r="H1701" s="966">
        <v>5676.5</v>
      </c>
      <c r="I1701" s="966">
        <v>17.190000000000001</v>
      </c>
      <c r="Q1701" s="967">
        <v>42940</v>
      </c>
      <c r="R1701" s="966">
        <v>97600</v>
      </c>
      <c r="T1701" s="969">
        <v>0</v>
      </c>
      <c r="U1701" s="966">
        <v>5676.5</v>
      </c>
      <c r="W1701" s="971" t="e">
        <f t="shared" si="29"/>
        <v>#DIV/0!</v>
      </c>
      <c r="Y1701" s="967">
        <v>43011</v>
      </c>
      <c r="Z1701" s="974">
        <f ca="1">H1651*Valuation_Senario!$L$372</f>
        <v>8739.4043589399989</v>
      </c>
      <c r="AA1701" s="973">
        <v>19.829999999999998</v>
      </c>
      <c r="AM1701" s="967">
        <v>42940</v>
      </c>
      <c r="AN1701" s="974">
        <v>97600</v>
      </c>
    </row>
    <row r="1702" spans="1:40">
      <c r="A1702" s="966">
        <v>1695</v>
      </c>
      <c r="B1702" s="967">
        <v>42937</v>
      </c>
      <c r="C1702" s="966">
        <v>97000</v>
      </c>
      <c r="D1702" s="966">
        <v>0</v>
      </c>
      <c r="E1702" s="966">
        <v>0</v>
      </c>
      <c r="F1702" s="966">
        <v>34322.230000000003</v>
      </c>
      <c r="G1702" s="966">
        <v>29840.083228</v>
      </c>
      <c r="H1702" s="966">
        <v>5676.5</v>
      </c>
      <c r="I1702" s="966">
        <v>17.09</v>
      </c>
      <c r="Q1702" s="967">
        <v>42937</v>
      </c>
      <c r="R1702" s="966">
        <v>97000</v>
      </c>
      <c r="T1702" s="969">
        <v>0</v>
      </c>
      <c r="U1702" s="966">
        <v>5676.5</v>
      </c>
      <c r="W1702" s="971" t="e">
        <f t="shared" si="29"/>
        <v>#DIV/0!</v>
      </c>
      <c r="Y1702" s="967">
        <v>43010</v>
      </c>
      <c r="Z1702" s="974">
        <f ca="1">H1652*Valuation_Senario!$L$372</f>
        <v>8739.4043589399989</v>
      </c>
      <c r="AA1702" s="973">
        <v>19.71</v>
      </c>
      <c r="AM1702" s="967">
        <v>42937</v>
      </c>
      <c r="AN1702" s="974">
        <v>97000</v>
      </c>
    </row>
    <row r="1703" spans="1:40">
      <c r="A1703" s="966">
        <v>1696</v>
      </c>
      <c r="B1703" s="967">
        <v>42936</v>
      </c>
      <c r="C1703" s="966">
        <v>100500</v>
      </c>
      <c r="D1703" s="966">
        <v>0</v>
      </c>
      <c r="E1703" s="966">
        <v>0</v>
      </c>
      <c r="F1703" s="966">
        <v>35398.93</v>
      </c>
      <c r="G1703" s="966">
        <v>30916.787262000002</v>
      </c>
      <c r="H1703" s="966">
        <v>5676.5</v>
      </c>
      <c r="I1703" s="966">
        <v>17.7</v>
      </c>
      <c r="Q1703" s="967">
        <v>42936</v>
      </c>
      <c r="R1703" s="966">
        <v>100500</v>
      </c>
      <c r="T1703" s="969">
        <v>0</v>
      </c>
      <c r="U1703" s="966">
        <v>5676.5</v>
      </c>
      <c r="W1703" s="971" t="e">
        <f t="shared" si="29"/>
        <v>#DIV/0!</v>
      </c>
      <c r="Y1703" s="967">
        <v>43007</v>
      </c>
      <c r="Z1703" s="974">
        <f ca="1">H1653*Valuation_Senario!$L$372</f>
        <v>8739.4043589399989</v>
      </c>
      <c r="AA1703" s="973">
        <v>19.54</v>
      </c>
      <c r="AM1703" s="967">
        <v>42936</v>
      </c>
      <c r="AN1703" s="974">
        <v>100500</v>
      </c>
    </row>
    <row r="1704" spans="1:40">
      <c r="A1704" s="966">
        <v>1697</v>
      </c>
      <c r="B1704" s="967">
        <v>42935</v>
      </c>
      <c r="C1704" s="966">
        <v>102100</v>
      </c>
      <c r="D1704" s="966">
        <v>0</v>
      </c>
      <c r="E1704" s="966">
        <v>0</v>
      </c>
      <c r="F1704" s="966">
        <v>35891.14</v>
      </c>
      <c r="G1704" s="966">
        <v>31408.994820399999</v>
      </c>
      <c r="H1704" s="966">
        <v>5676.5</v>
      </c>
      <c r="I1704" s="966">
        <v>17.989999999999998</v>
      </c>
      <c r="Q1704" s="967">
        <v>42935</v>
      </c>
      <c r="R1704" s="966">
        <v>102100</v>
      </c>
      <c r="T1704" s="969">
        <v>0</v>
      </c>
      <c r="U1704" s="966">
        <v>5676.5</v>
      </c>
      <c r="W1704" s="971" t="e">
        <f t="shared" si="29"/>
        <v>#DIV/0!</v>
      </c>
      <c r="Y1704" s="967">
        <v>43006</v>
      </c>
      <c r="Z1704" s="974">
        <f ca="1">H1654*Valuation_Senario!$L$372</f>
        <v>8739.4043589399989</v>
      </c>
      <c r="AA1704" s="973">
        <v>19.37</v>
      </c>
      <c r="AM1704" s="967">
        <v>42935</v>
      </c>
      <c r="AN1704" s="974">
        <v>102100</v>
      </c>
    </row>
    <row r="1705" spans="1:40">
      <c r="A1705" s="966">
        <v>1698</v>
      </c>
      <c r="B1705" s="967">
        <v>42934</v>
      </c>
      <c r="C1705" s="966">
        <v>102200</v>
      </c>
      <c r="D1705" s="966">
        <v>0</v>
      </c>
      <c r="E1705" s="966">
        <v>0</v>
      </c>
      <c r="F1705" s="966">
        <v>35921.9</v>
      </c>
      <c r="G1705" s="966">
        <v>31439.757792799999</v>
      </c>
      <c r="H1705" s="966">
        <v>5676.5</v>
      </c>
      <c r="I1705" s="966">
        <v>18</v>
      </c>
      <c r="Q1705" s="967">
        <v>42934</v>
      </c>
      <c r="R1705" s="966">
        <v>102200</v>
      </c>
      <c r="T1705" s="969">
        <v>0</v>
      </c>
      <c r="U1705" s="966">
        <v>5676.5</v>
      </c>
      <c r="W1705" s="971" t="e">
        <f t="shared" si="29"/>
        <v>#DIV/0!</v>
      </c>
      <c r="Y1705" s="967">
        <v>43005</v>
      </c>
      <c r="Z1705" s="974">
        <f ca="1">H1655*Valuation_Senario!$L$372</f>
        <v>8739.4043589399989</v>
      </c>
      <c r="AA1705" s="973">
        <v>19.32</v>
      </c>
      <c r="AM1705" s="967">
        <v>42934</v>
      </c>
      <c r="AN1705" s="974">
        <v>102200</v>
      </c>
    </row>
    <row r="1706" spans="1:40">
      <c r="A1706" s="966">
        <v>1699</v>
      </c>
      <c r="B1706" s="967">
        <v>42933</v>
      </c>
      <c r="C1706" s="966">
        <v>103200</v>
      </c>
      <c r="D1706" s="966">
        <v>0</v>
      </c>
      <c r="E1706" s="966">
        <v>2.5499999999999998E-2</v>
      </c>
      <c r="F1706" s="966">
        <v>36229.53</v>
      </c>
      <c r="G1706" s="966">
        <v>31747.387516800001</v>
      </c>
      <c r="H1706" s="966">
        <v>5676.5</v>
      </c>
      <c r="I1706" s="966">
        <v>18.18</v>
      </c>
      <c r="Q1706" s="967">
        <v>42933</v>
      </c>
      <c r="R1706" s="966">
        <v>103200</v>
      </c>
      <c r="T1706" s="969">
        <v>-2.5499999999999998E-2</v>
      </c>
      <c r="U1706" s="966">
        <v>5676.5</v>
      </c>
      <c r="W1706" s="971" t="e">
        <f t="shared" si="29"/>
        <v>#DIV/0!</v>
      </c>
      <c r="Y1706" s="967">
        <v>43004</v>
      </c>
      <c r="Z1706" s="974">
        <f ca="1">H1656*Valuation_Senario!$L$372</f>
        <v>8739.4043589399989</v>
      </c>
      <c r="AA1706" s="973">
        <v>19.68</v>
      </c>
      <c r="AM1706" s="967">
        <v>42933</v>
      </c>
      <c r="AN1706" s="974">
        <v>103200</v>
      </c>
    </row>
    <row r="1707" spans="1:40">
      <c r="A1707" s="966">
        <v>1700</v>
      </c>
      <c r="B1707" s="967">
        <v>42930</v>
      </c>
      <c r="C1707" s="966">
        <v>102000</v>
      </c>
      <c r="D1707" s="966">
        <v>0</v>
      </c>
      <c r="E1707" s="966">
        <v>0</v>
      </c>
      <c r="F1707" s="966">
        <v>35860.370000000003</v>
      </c>
      <c r="G1707" s="966">
        <v>31378.231847999999</v>
      </c>
      <c r="H1707" s="966">
        <v>5676.5</v>
      </c>
      <c r="I1707" s="966">
        <v>17.97</v>
      </c>
      <c r="Q1707" s="967">
        <v>42930</v>
      </c>
      <c r="R1707" s="966">
        <v>102000</v>
      </c>
      <c r="T1707" s="969">
        <v>0</v>
      </c>
      <c r="U1707" s="966">
        <v>5676.5</v>
      </c>
      <c r="W1707" s="971" t="e">
        <f t="shared" si="29"/>
        <v>#DIV/0!</v>
      </c>
      <c r="Y1707" s="967">
        <v>43003</v>
      </c>
      <c r="Z1707" s="974">
        <f ca="1">H1657*Valuation_Senario!$L$372</f>
        <v>8739.4043589399989</v>
      </c>
      <c r="AA1707" s="973">
        <v>19.829999999999998</v>
      </c>
      <c r="AM1707" s="967">
        <v>42930</v>
      </c>
      <c r="AN1707" s="974">
        <v>102000</v>
      </c>
    </row>
    <row r="1708" spans="1:40">
      <c r="A1708" s="966">
        <v>1701</v>
      </c>
      <c r="B1708" s="967">
        <v>42929</v>
      </c>
      <c r="C1708" s="966">
        <v>102600</v>
      </c>
      <c r="D1708" s="966">
        <v>0</v>
      </c>
      <c r="E1708" s="966">
        <v>0</v>
      </c>
      <c r="F1708" s="966">
        <v>36044.949999999997</v>
      </c>
      <c r="G1708" s="966">
        <v>31562.809682399999</v>
      </c>
      <c r="H1708" s="966">
        <v>5676.5</v>
      </c>
      <c r="I1708" s="966">
        <v>18.07</v>
      </c>
      <c r="Q1708" s="967">
        <v>42929</v>
      </c>
      <c r="R1708" s="966">
        <v>102600</v>
      </c>
      <c r="T1708" s="969">
        <v>0</v>
      </c>
      <c r="U1708" s="966">
        <v>5676.5</v>
      </c>
      <c r="W1708" s="971" t="e">
        <f t="shared" si="29"/>
        <v>#DIV/0!</v>
      </c>
      <c r="Y1708" s="967">
        <v>43000</v>
      </c>
      <c r="Z1708" s="974">
        <f ca="1">H1658*Valuation_Senario!$L$372</f>
        <v>8739.4043589399989</v>
      </c>
      <c r="AA1708" s="973">
        <v>19.64</v>
      </c>
      <c r="AM1708" s="967">
        <v>42929</v>
      </c>
      <c r="AN1708" s="974">
        <v>102600</v>
      </c>
    </row>
    <row r="1709" spans="1:40">
      <c r="A1709" s="966">
        <v>1702</v>
      </c>
      <c r="B1709" s="967">
        <v>42928</v>
      </c>
      <c r="C1709" s="966">
        <v>102500</v>
      </c>
      <c r="D1709" s="966">
        <v>0</v>
      </c>
      <c r="E1709" s="966">
        <v>0</v>
      </c>
      <c r="F1709" s="966">
        <v>36014.19</v>
      </c>
      <c r="G1709" s="966">
        <v>31532.046709999999</v>
      </c>
      <c r="H1709" s="966">
        <v>5676.5</v>
      </c>
      <c r="I1709" s="966">
        <v>18.059999999999999</v>
      </c>
      <c r="Q1709" s="967">
        <v>42928</v>
      </c>
      <c r="R1709" s="966">
        <v>102500</v>
      </c>
      <c r="T1709" s="969">
        <v>0</v>
      </c>
      <c r="U1709" s="966">
        <v>5676.5</v>
      </c>
      <c r="W1709" s="971" t="e">
        <f t="shared" si="29"/>
        <v>#DIV/0!</v>
      </c>
      <c r="Y1709" s="967">
        <v>42999</v>
      </c>
      <c r="Z1709" s="974">
        <f ca="1">H1659*Valuation_Senario!$L$372</f>
        <v>8739.4043589399989</v>
      </c>
      <c r="AA1709" s="973">
        <v>19.170000000000002</v>
      </c>
      <c r="AM1709" s="967">
        <v>42928</v>
      </c>
      <c r="AN1709" s="974">
        <v>102500</v>
      </c>
    </row>
    <row r="1710" spans="1:40">
      <c r="A1710" s="966">
        <v>1703</v>
      </c>
      <c r="B1710" s="967">
        <v>42927</v>
      </c>
      <c r="C1710" s="966">
        <v>101500</v>
      </c>
      <c r="D1710" s="966">
        <v>0</v>
      </c>
      <c r="E1710" s="966">
        <v>0</v>
      </c>
      <c r="F1710" s="966">
        <v>35706.559999999998</v>
      </c>
      <c r="G1710" s="966">
        <v>31224.416986</v>
      </c>
      <c r="H1710" s="966">
        <v>5676.5</v>
      </c>
      <c r="I1710" s="966">
        <v>17.88</v>
      </c>
      <c r="Q1710" s="967">
        <v>42927</v>
      </c>
      <c r="R1710" s="966">
        <v>101500</v>
      </c>
      <c r="T1710" s="969">
        <v>0</v>
      </c>
      <c r="U1710" s="966">
        <v>5676.5</v>
      </c>
      <c r="W1710" s="971" t="e">
        <f t="shared" si="29"/>
        <v>#DIV/0!</v>
      </c>
      <c r="Y1710" s="967">
        <v>42998</v>
      </c>
      <c r="Z1710" s="974">
        <f ca="1">H1660*Valuation_Senario!$L$372</f>
        <v>8739.4043589399989</v>
      </c>
      <c r="AA1710" s="973">
        <v>19.16</v>
      </c>
      <c r="AM1710" s="967">
        <v>42927</v>
      </c>
      <c r="AN1710" s="974">
        <v>101500</v>
      </c>
    </row>
    <row r="1711" spans="1:40">
      <c r="A1711" s="966">
        <v>1704</v>
      </c>
      <c r="B1711" s="967">
        <v>42926</v>
      </c>
      <c r="C1711" s="966">
        <v>101500</v>
      </c>
      <c r="D1711" s="966">
        <v>0</v>
      </c>
      <c r="E1711" s="966">
        <v>0</v>
      </c>
      <c r="F1711" s="966">
        <v>35706.559999999998</v>
      </c>
      <c r="G1711" s="966">
        <v>31224.416986</v>
      </c>
      <c r="H1711" s="966">
        <v>5676.5</v>
      </c>
      <c r="I1711" s="966">
        <v>17.88</v>
      </c>
      <c r="Q1711" s="967">
        <v>42926</v>
      </c>
      <c r="R1711" s="966">
        <v>101500</v>
      </c>
      <c r="T1711" s="969">
        <v>0</v>
      </c>
      <c r="U1711" s="966">
        <v>5676.5</v>
      </c>
      <c r="W1711" s="971" t="e">
        <f t="shared" si="29"/>
        <v>#DIV/0!</v>
      </c>
      <c r="Y1711" s="967">
        <v>42997</v>
      </c>
      <c r="Z1711" s="974">
        <f ca="1">H1661*Valuation_Senario!$L$372</f>
        <v>8739.4043589399989</v>
      </c>
      <c r="AA1711" s="973">
        <v>19.100000000000001</v>
      </c>
      <c r="AM1711" s="967">
        <v>42926</v>
      </c>
      <c r="AN1711" s="974">
        <v>101500</v>
      </c>
    </row>
    <row r="1712" spans="1:40">
      <c r="A1712" s="966">
        <v>1705</v>
      </c>
      <c r="B1712" s="967">
        <v>42923</v>
      </c>
      <c r="C1712" s="966">
        <v>103000</v>
      </c>
      <c r="D1712" s="966">
        <v>0</v>
      </c>
      <c r="E1712" s="966">
        <v>0</v>
      </c>
      <c r="F1712" s="966">
        <v>36168</v>
      </c>
      <c r="G1712" s="966">
        <v>31685.861572000002</v>
      </c>
      <c r="H1712" s="966">
        <v>5676.5</v>
      </c>
      <c r="I1712" s="966">
        <v>18.14</v>
      </c>
      <c r="Q1712" s="967">
        <v>42923</v>
      </c>
      <c r="R1712" s="966">
        <v>103000</v>
      </c>
      <c r="T1712" s="969">
        <v>0</v>
      </c>
      <c r="U1712" s="966">
        <v>5676.5</v>
      </c>
      <c r="W1712" s="971" t="e">
        <f t="shared" si="29"/>
        <v>#DIV/0!</v>
      </c>
      <c r="Y1712" s="967">
        <v>42996</v>
      </c>
      <c r="Z1712" s="974">
        <f ca="1">H1662*Valuation_Senario!$L$372</f>
        <v>8739.4043589399989</v>
      </c>
      <c r="AA1712" s="973">
        <v>19.190000000000001</v>
      </c>
      <c r="AM1712" s="967">
        <v>42923</v>
      </c>
      <c r="AN1712" s="974">
        <v>103000</v>
      </c>
    </row>
    <row r="1713" spans="1:40">
      <c r="A1713" s="966">
        <v>1706</v>
      </c>
      <c r="B1713" s="967">
        <v>42922</v>
      </c>
      <c r="C1713" s="966">
        <v>102700</v>
      </c>
      <c r="D1713" s="966">
        <v>0</v>
      </c>
      <c r="E1713" s="966">
        <v>0</v>
      </c>
      <c r="F1713" s="966">
        <v>36075.72</v>
      </c>
      <c r="G1713" s="966">
        <v>31593.572654799998</v>
      </c>
      <c r="H1713" s="966">
        <v>5676.5</v>
      </c>
      <c r="I1713" s="966">
        <v>18.09</v>
      </c>
      <c r="Q1713" s="967">
        <v>42922</v>
      </c>
      <c r="R1713" s="966">
        <v>102700</v>
      </c>
      <c r="T1713" s="969">
        <v>0</v>
      </c>
      <c r="U1713" s="966">
        <v>5676.5</v>
      </c>
      <c r="W1713" s="971" t="e">
        <f t="shared" si="29"/>
        <v>#DIV/0!</v>
      </c>
      <c r="Y1713" s="967">
        <v>42993</v>
      </c>
      <c r="Z1713" s="974">
        <f ca="1">H1663*Valuation_Senario!$L$372</f>
        <v>8739.4043589399989</v>
      </c>
      <c r="AA1713" s="973">
        <v>19.12</v>
      </c>
      <c r="AM1713" s="967">
        <v>42922</v>
      </c>
      <c r="AN1713" s="974">
        <v>102700</v>
      </c>
    </row>
    <row r="1714" spans="1:40">
      <c r="A1714" s="966">
        <v>1707</v>
      </c>
      <c r="B1714" s="967">
        <v>42921</v>
      </c>
      <c r="C1714" s="966">
        <v>102700</v>
      </c>
      <c r="D1714" s="966">
        <v>0</v>
      </c>
      <c r="E1714" s="966">
        <v>0</v>
      </c>
      <c r="F1714" s="966">
        <v>36075.72</v>
      </c>
      <c r="G1714" s="966">
        <v>31593.572654799998</v>
      </c>
      <c r="H1714" s="966">
        <v>5676.5</v>
      </c>
      <c r="I1714" s="966">
        <v>18.09</v>
      </c>
      <c r="Q1714" s="967">
        <v>42921</v>
      </c>
      <c r="R1714" s="966">
        <v>102700</v>
      </c>
      <c r="T1714" s="969">
        <v>0</v>
      </c>
      <c r="U1714" s="966">
        <v>5676.5</v>
      </c>
      <c r="W1714" s="971" t="e">
        <f t="shared" si="29"/>
        <v>#DIV/0!</v>
      </c>
      <c r="Y1714" s="967">
        <v>42992</v>
      </c>
      <c r="Z1714" s="974">
        <f ca="1">H1664*Valuation_Senario!$L$372</f>
        <v>8739.4043589399989</v>
      </c>
      <c r="AA1714" s="973">
        <v>19.239999999999998</v>
      </c>
      <c r="AM1714" s="967">
        <v>42921</v>
      </c>
      <c r="AN1714" s="974">
        <v>102700</v>
      </c>
    </row>
    <row r="1715" spans="1:40">
      <c r="A1715" s="966">
        <v>1708</v>
      </c>
      <c r="B1715" s="967">
        <v>42920</v>
      </c>
      <c r="C1715" s="966">
        <v>103500</v>
      </c>
      <c r="D1715" s="966">
        <v>0</v>
      </c>
      <c r="E1715" s="966">
        <v>0</v>
      </c>
      <c r="F1715" s="966">
        <v>36321.82</v>
      </c>
      <c r="G1715" s="966">
        <v>31839.676434000001</v>
      </c>
      <c r="H1715" s="966">
        <v>5676.5</v>
      </c>
      <c r="I1715" s="966">
        <v>18.23</v>
      </c>
      <c r="Q1715" s="967">
        <v>42920</v>
      </c>
      <c r="R1715" s="966">
        <v>103500</v>
      </c>
      <c r="T1715" s="969">
        <v>0</v>
      </c>
      <c r="U1715" s="966">
        <v>5676.5</v>
      </c>
      <c r="W1715" s="971" t="e">
        <f t="shared" si="29"/>
        <v>#DIV/0!</v>
      </c>
      <c r="Y1715" s="967">
        <v>42991</v>
      </c>
      <c r="Z1715" s="974">
        <f ca="1">H1665*Valuation_Senario!$L$372</f>
        <v>8739.4043589399989</v>
      </c>
      <c r="AA1715" s="973">
        <v>19.239999999999998</v>
      </c>
      <c r="AM1715" s="967">
        <v>42920</v>
      </c>
      <c r="AN1715" s="974">
        <v>103500</v>
      </c>
    </row>
    <row r="1716" spans="1:40">
      <c r="A1716" s="966">
        <v>1709</v>
      </c>
      <c r="B1716" s="967">
        <v>42919</v>
      </c>
      <c r="C1716" s="966">
        <v>102800</v>
      </c>
      <c r="D1716" s="966">
        <v>0</v>
      </c>
      <c r="E1716" s="966">
        <v>0</v>
      </c>
      <c r="F1716" s="966">
        <v>36106.480000000003</v>
      </c>
      <c r="G1716" s="966">
        <v>31624.335627199998</v>
      </c>
      <c r="H1716" s="966">
        <v>5676.5</v>
      </c>
      <c r="I1716" s="966">
        <v>18.11</v>
      </c>
      <c r="Q1716" s="967">
        <v>42919</v>
      </c>
      <c r="R1716" s="966">
        <v>102800</v>
      </c>
      <c r="T1716" s="969">
        <v>0</v>
      </c>
      <c r="U1716" s="966">
        <v>5676.5</v>
      </c>
      <c r="W1716" s="971" t="e">
        <f t="shared" si="29"/>
        <v>#DIV/0!</v>
      </c>
      <c r="Y1716" s="967">
        <v>42990</v>
      </c>
      <c r="Z1716" s="974">
        <f ca="1">H1666*Valuation_Senario!$L$372</f>
        <v>8739.4043589399989</v>
      </c>
      <c r="AA1716" s="973">
        <v>18.82</v>
      </c>
      <c r="AM1716" s="967">
        <v>42919</v>
      </c>
      <c r="AN1716" s="974">
        <v>102800</v>
      </c>
    </row>
    <row r="1717" spans="1:40">
      <c r="A1717" s="966">
        <v>1710</v>
      </c>
      <c r="B1717" s="967">
        <v>42916</v>
      </c>
      <c r="C1717" s="966">
        <v>102900</v>
      </c>
      <c r="D1717" s="966">
        <v>0</v>
      </c>
      <c r="E1717" s="966">
        <v>0</v>
      </c>
      <c r="F1717" s="966">
        <v>36137.24</v>
      </c>
      <c r="G1717" s="966">
        <v>31655.098599600002</v>
      </c>
      <c r="H1717" s="966">
        <v>5676.5</v>
      </c>
      <c r="I1717" s="966">
        <v>18.13</v>
      </c>
      <c r="Q1717" s="967">
        <v>42916</v>
      </c>
      <c r="R1717" s="966">
        <v>102900</v>
      </c>
      <c r="T1717" s="969">
        <v>0</v>
      </c>
      <c r="U1717" s="966">
        <v>5676.5</v>
      </c>
      <c r="W1717" s="971" t="e">
        <f t="shared" si="29"/>
        <v>#DIV/0!</v>
      </c>
      <c r="Y1717" s="967">
        <v>42989</v>
      </c>
      <c r="Z1717" s="974">
        <f ca="1">H1667*Valuation_Senario!$L$372</f>
        <v>8739.4043589399989</v>
      </c>
      <c r="AA1717" s="973">
        <v>18.57</v>
      </c>
      <c r="AM1717" s="967">
        <v>42916</v>
      </c>
      <c r="AN1717" s="974">
        <v>102900</v>
      </c>
    </row>
    <row r="1718" spans="1:40">
      <c r="A1718" s="966">
        <v>1711</v>
      </c>
      <c r="B1718" s="967">
        <v>42915</v>
      </c>
      <c r="C1718" s="966">
        <v>101000</v>
      </c>
      <c r="D1718" s="966">
        <v>0</v>
      </c>
      <c r="E1718" s="966">
        <v>0.18281</v>
      </c>
      <c r="F1718" s="966">
        <v>35552.74</v>
      </c>
      <c r="G1718" s="966">
        <v>31070.602124000001</v>
      </c>
      <c r="H1718" s="966">
        <v>5676.5</v>
      </c>
      <c r="I1718" s="966">
        <v>17.79</v>
      </c>
      <c r="Q1718" s="967">
        <v>42915</v>
      </c>
      <c r="R1718" s="966">
        <v>101000</v>
      </c>
      <c r="T1718" s="969">
        <v>-0.18281</v>
      </c>
      <c r="U1718" s="966">
        <v>5676.5</v>
      </c>
      <c r="W1718" s="971" t="e">
        <f t="shared" si="29"/>
        <v>#DIV/0!</v>
      </c>
      <c r="Y1718" s="967">
        <v>42986</v>
      </c>
      <c r="Z1718" s="974">
        <f ca="1">H1668*Valuation_Senario!$L$372</f>
        <v>8739.4043589399989</v>
      </c>
      <c r="AA1718" s="973">
        <v>18.399999999999999</v>
      </c>
      <c r="AM1718" s="967">
        <v>42915</v>
      </c>
      <c r="AN1718" s="974">
        <v>101000</v>
      </c>
    </row>
    <row r="1719" spans="1:40">
      <c r="A1719" s="966">
        <v>1712</v>
      </c>
      <c r="B1719" s="967">
        <v>42914</v>
      </c>
      <c r="C1719" s="966">
        <v>100500</v>
      </c>
      <c r="D1719" s="966">
        <v>0</v>
      </c>
      <c r="E1719" s="966">
        <v>0</v>
      </c>
      <c r="F1719" s="966">
        <v>35398.93</v>
      </c>
      <c r="G1719" s="966">
        <v>30916.787262000002</v>
      </c>
      <c r="H1719" s="966">
        <v>5676.5</v>
      </c>
      <c r="I1719" s="966">
        <v>17.7</v>
      </c>
      <c r="Q1719" s="967">
        <v>42914</v>
      </c>
      <c r="R1719" s="966">
        <v>100500</v>
      </c>
      <c r="T1719" s="969">
        <v>0</v>
      </c>
      <c r="U1719" s="966">
        <v>5676.5</v>
      </c>
      <c r="W1719" s="971" t="e">
        <f t="shared" si="29"/>
        <v>#DIV/0!</v>
      </c>
      <c r="Y1719" s="967">
        <v>42985</v>
      </c>
      <c r="Z1719" s="974">
        <f ca="1">H1669*Valuation_Senario!$L$372</f>
        <v>8739.4043589399989</v>
      </c>
      <c r="AA1719" s="973">
        <v>18.21</v>
      </c>
      <c r="AM1719" s="967">
        <v>42914</v>
      </c>
      <c r="AN1719" s="974">
        <v>100500</v>
      </c>
    </row>
    <row r="1720" spans="1:40">
      <c r="A1720" s="966">
        <v>1713</v>
      </c>
      <c r="B1720" s="967">
        <v>42913</v>
      </c>
      <c r="C1720" s="966">
        <v>101300</v>
      </c>
      <c r="D1720" s="966">
        <v>0</v>
      </c>
      <c r="E1720" s="966">
        <v>0</v>
      </c>
      <c r="F1720" s="966">
        <v>35645.03</v>
      </c>
      <c r="G1720" s="966">
        <v>31162.8910412</v>
      </c>
      <c r="H1720" s="966">
        <v>5676.5</v>
      </c>
      <c r="I1720" s="966">
        <v>17.850000000000001</v>
      </c>
      <c r="Q1720" s="967">
        <v>42913</v>
      </c>
      <c r="R1720" s="966">
        <v>101300</v>
      </c>
      <c r="T1720" s="969">
        <v>0</v>
      </c>
      <c r="U1720" s="966">
        <v>5676.5</v>
      </c>
      <c r="W1720" s="971" t="e">
        <f t="shared" si="29"/>
        <v>#DIV/0!</v>
      </c>
      <c r="Y1720" s="967">
        <v>42984</v>
      </c>
      <c r="Z1720" s="974">
        <f ca="1">H1670*Valuation_Senario!$L$372</f>
        <v>8739.4043589399989</v>
      </c>
      <c r="AA1720" s="973">
        <v>18.149999999999999</v>
      </c>
      <c r="AM1720" s="967">
        <v>42913</v>
      </c>
      <c r="AN1720" s="974">
        <v>101300</v>
      </c>
    </row>
    <row r="1721" spans="1:40">
      <c r="A1721" s="966">
        <v>1714</v>
      </c>
      <c r="B1721" s="967">
        <v>42912</v>
      </c>
      <c r="C1721" s="966">
        <v>103000</v>
      </c>
      <c r="D1721" s="966">
        <v>0</v>
      </c>
      <c r="E1721" s="966">
        <v>0</v>
      </c>
      <c r="F1721" s="966">
        <v>36168</v>
      </c>
      <c r="G1721" s="966">
        <v>31685.861572000002</v>
      </c>
      <c r="H1721" s="966">
        <v>5676.5</v>
      </c>
      <c r="I1721" s="966">
        <v>18.14</v>
      </c>
      <c r="Q1721" s="967">
        <v>42912</v>
      </c>
      <c r="R1721" s="966">
        <v>103000</v>
      </c>
      <c r="T1721" s="969">
        <v>0</v>
      </c>
      <c r="U1721" s="966">
        <v>5676.5</v>
      </c>
      <c r="W1721" s="971" t="e">
        <f t="shared" si="29"/>
        <v>#DIV/0!</v>
      </c>
      <c r="Y1721" s="967">
        <v>42983</v>
      </c>
      <c r="Z1721" s="974">
        <f ca="1">H1671*Valuation_Senario!$L$372</f>
        <v>8739.4043589399989</v>
      </c>
      <c r="AA1721" s="973">
        <v>18.149999999999999</v>
      </c>
      <c r="AM1721" s="967">
        <v>42912</v>
      </c>
      <c r="AN1721" s="974">
        <v>103000</v>
      </c>
    </row>
    <row r="1722" spans="1:40">
      <c r="A1722" s="966">
        <v>1715</v>
      </c>
      <c r="B1722" s="967">
        <v>42909</v>
      </c>
      <c r="C1722" s="966">
        <v>102900</v>
      </c>
      <c r="D1722" s="966">
        <v>0</v>
      </c>
      <c r="E1722" s="966">
        <v>0</v>
      </c>
      <c r="F1722" s="966">
        <v>36137.24</v>
      </c>
      <c r="G1722" s="966">
        <v>31655.098599600002</v>
      </c>
      <c r="H1722" s="966">
        <v>5676.5</v>
      </c>
      <c r="I1722" s="966">
        <v>18.13</v>
      </c>
      <c r="Q1722" s="967">
        <v>42909</v>
      </c>
      <c r="R1722" s="966">
        <v>102900</v>
      </c>
      <c r="T1722" s="969">
        <v>0</v>
      </c>
      <c r="U1722" s="966">
        <v>5676.5</v>
      </c>
      <c r="W1722" s="971" t="e">
        <f t="shared" si="29"/>
        <v>#DIV/0!</v>
      </c>
      <c r="Y1722" s="967">
        <v>42979</v>
      </c>
      <c r="Z1722" s="974">
        <f ca="1">H1672*Valuation_Senario!$L$372</f>
        <v>8739.4043589399989</v>
      </c>
      <c r="AA1722" s="973">
        <v>18.38</v>
      </c>
      <c r="AM1722" s="967">
        <v>42909</v>
      </c>
      <c r="AN1722" s="974">
        <v>102900</v>
      </c>
    </row>
    <row r="1723" spans="1:40">
      <c r="A1723" s="966">
        <v>1716</v>
      </c>
      <c r="B1723" s="967">
        <v>42908</v>
      </c>
      <c r="C1723" s="966">
        <v>101000</v>
      </c>
      <c r="D1723" s="966">
        <v>0</v>
      </c>
      <c r="E1723" s="966">
        <v>0</v>
      </c>
      <c r="F1723" s="966">
        <v>35552.74</v>
      </c>
      <c r="G1723" s="966">
        <v>31070.602124000001</v>
      </c>
      <c r="H1723" s="966">
        <v>5676.5</v>
      </c>
      <c r="I1723" s="966">
        <v>17.79</v>
      </c>
      <c r="Q1723" s="967">
        <v>42908</v>
      </c>
      <c r="R1723" s="966">
        <v>101000</v>
      </c>
      <c r="T1723" s="969">
        <v>0</v>
      </c>
      <c r="U1723" s="966">
        <v>5676.5</v>
      </c>
      <c r="W1723" s="971" t="e">
        <f t="shared" si="29"/>
        <v>#DIV/0!</v>
      </c>
      <c r="Y1723" s="967">
        <v>42978</v>
      </c>
      <c r="Z1723" s="974">
        <f ca="1">H1673*Valuation_Senario!$L$372</f>
        <v>8739.4043589399989</v>
      </c>
      <c r="AA1723" s="973">
        <v>18.38</v>
      </c>
      <c r="AM1723" s="967">
        <v>42908</v>
      </c>
      <c r="AN1723" s="974">
        <v>101000</v>
      </c>
    </row>
    <row r="1724" spans="1:40">
      <c r="A1724" s="966">
        <v>1717</v>
      </c>
      <c r="B1724" s="967">
        <v>42907</v>
      </c>
      <c r="C1724" s="966">
        <v>97700</v>
      </c>
      <c r="D1724" s="966">
        <v>0</v>
      </c>
      <c r="E1724" s="966">
        <v>0</v>
      </c>
      <c r="F1724" s="966">
        <v>34537.57</v>
      </c>
      <c r="G1724" s="966">
        <v>30055.424034799998</v>
      </c>
      <c r="H1724" s="966">
        <v>5676.5</v>
      </c>
      <c r="I1724" s="966">
        <v>17.21</v>
      </c>
      <c r="Q1724" s="967">
        <v>42907</v>
      </c>
      <c r="R1724" s="966">
        <v>97700</v>
      </c>
      <c r="T1724" s="969">
        <v>0</v>
      </c>
      <c r="U1724" s="966">
        <v>5676.5</v>
      </c>
      <c r="W1724" s="971" t="e">
        <f t="shared" si="29"/>
        <v>#DIV/0!</v>
      </c>
      <c r="Y1724" s="967">
        <v>42977</v>
      </c>
      <c r="Z1724" s="974">
        <f ca="1">H1674*Valuation_Senario!$L$372</f>
        <v>8739.4043589399989</v>
      </c>
      <c r="AA1724" s="973">
        <v>18.399999999999999</v>
      </c>
      <c r="AM1724" s="967">
        <v>42907</v>
      </c>
      <c r="AN1724" s="974">
        <v>97700</v>
      </c>
    </row>
    <row r="1725" spans="1:40">
      <c r="A1725" s="966">
        <v>1718</v>
      </c>
      <c r="B1725" s="967">
        <v>42906</v>
      </c>
      <c r="C1725" s="966">
        <v>97000</v>
      </c>
      <c r="D1725" s="966">
        <v>0</v>
      </c>
      <c r="E1725" s="966">
        <v>0</v>
      </c>
      <c r="F1725" s="966">
        <v>34322.230000000003</v>
      </c>
      <c r="G1725" s="966">
        <v>29840.083228</v>
      </c>
      <c r="H1725" s="966">
        <v>5676.5</v>
      </c>
      <c r="I1725" s="966">
        <v>17.09</v>
      </c>
      <c r="Q1725" s="967">
        <v>42906</v>
      </c>
      <c r="R1725" s="966">
        <v>97000</v>
      </c>
      <c r="T1725" s="969">
        <v>0</v>
      </c>
      <c r="U1725" s="966">
        <v>5676.5</v>
      </c>
      <c r="W1725" s="971" t="e">
        <f t="shared" si="29"/>
        <v>#DIV/0!</v>
      </c>
      <c r="Y1725" s="967">
        <v>42976</v>
      </c>
      <c r="Z1725" s="974">
        <f ca="1">H1675*Valuation_Senario!$L$372</f>
        <v>8739.4043589399989</v>
      </c>
      <c r="AA1725" s="973">
        <v>18</v>
      </c>
      <c r="AM1725" s="967">
        <v>42906</v>
      </c>
      <c r="AN1725" s="974">
        <v>97000</v>
      </c>
    </row>
    <row r="1726" spans="1:40">
      <c r="A1726" s="966">
        <v>1719</v>
      </c>
      <c r="B1726" s="967">
        <v>42905</v>
      </c>
      <c r="C1726" s="966">
        <v>95100</v>
      </c>
      <c r="D1726" s="966">
        <v>0</v>
      </c>
      <c r="E1726" s="966">
        <v>0</v>
      </c>
      <c r="F1726" s="966">
        <v>33737.730000000003</v>
      </c>
      <c r="G1726" s="966">
        <v>29255.586752399999</v>
      </c>
      <c r="H1726" s="966">
        <v>5676.5</v>
      </c>
      <c r="I1726" s="966">
        <v>16.75</v>
      </c>
      <c r="Q1726" s="967">
        <v>42905</v>
      </c>
      <c r="R1726" s="966">
        <v>95100</v>
      </c>
      <c r="T1726" s="969">
        <v>0</v>
      </c>
      <c r="U1726" s="966">
        <v>5676.5</v>
      </c>
      <c r="W1726" s="971" t="e">
        <f t="shared" si="29"/>
        <v>#DIV/0!</v>
      </c>
      <c r="Y1726" s="967">
        <v>42975</v>
      </c>
      <c r="Z1726" s="974">
        <f ca="1">H1676*Valuation_Senario!$L$372</f>
        <v>8739.4043589399989</v>
      </c>
      <c r="AA1726" s="973">
        <v>17.79</v>
      </c>
      <c r="AM1726" s="967">
        <v>42905</v>
      </c>
      <c r="AN1726" s="974">
        <v>95100</v>
      </c>
    </row>
    <row r="1727" spans="1:40">
      <c r="A1727" s="966">
        <v>1720</v>
      </c>
      <c r="B1727" s="967">
        <v>42902</v>
      </c>
      <c r="C1727" s="966">
        <v>95200</v>
      </c>
      <c r="D1727" s="966">
        <v>0</v>
      </c>
      <c r="E1727" s="966">
        <v>0</v>
      </c>
      <c r="F1727" s="966">
        <v>33768.49</v>
      </c>
      <c r="G1727" s="966">
        <v>29286.349724799999</v>
      </c>
      <c r="H1727" s="966">
        <v>5676.5</v>
      </c>
      <c r="I1727" s="966">
        <v>16.77</v>
      </c>
      <c r="Q1727" s="967">
        <v>42902</v>
      </c>
      <c r="R1727" s="966">
        <v>95200</v>
      </c>
      <c r="T1727" s="969">
        <v>0</v>
      </c>
      <c r="U1727" s="966">
        <v>5676.5</v>
      </c>
      <c r="W1727" s="971" t="e">
        <f t="shared" si="29"/>
        <v>#DIV/0!</v>
      </c>
      <c r="Y1727" s="967">
        <v>42972</v>
      </c>
      <c r="Z1727" s="974">
        <f ca="1">H1677*Valuation_Senario!$L$372</f>
        <v>8739.4043589399989</v>
      </c>
      <c r="AA1727" s="973">
        <v>17.739999999999998</v>
      </c>
      <c r="AM1727" s="967">
        <v>42902</v>
      </c>
      <c r="AN1727" s="974">
        <v>95200</v>
      </c>
    </row>
    <row r="1728" spans="1:40">
      <c r="A1728" s="966">
        <v>1721</v>
      </c>
      <c r="B1728" s="967">
        <v>42901</v>
      </c>
      <c r="C1728" s="966">
        <v>95700</v>
      </c>
      <c r="D1728" s="966">
        <v>0</v>
      </c>
      <c r="E1728" s="966">
        <v>0</v>
      </c>
      <c r="F1728" s="966">
        <v>33922.31</v>
      </c>
      <c r="G1728" s="966">
        <v>29440.164586800001</v>
      </c>
      <c r="H1728" s="966">
        <v>5676.5</v>
      </c>
      <c r="I1728" s="966">
        <v>16.86</v>
      </c>
      <c r="Q1728" s="967">
        <v>42901</v>
      </c>
      <c r="R1728" s="966">
        <v>95700</v>
      </c>
      <c r="T1728" s="969">
        <v>0</v>
      </c>
      <c r="U1728" s="966">
        <v>5676.5</v>
      </c>
      <c r="W1728" s="971" t="e">
        <f t="shared" si="29"/>
        <v>#DIV/0!</v>
      </c>
      <c r="Y1728" s="967">
        <v>42971</v>
      </c>
      <c r="Z1728" s="974">
        <f ca="1">H1678*Valuation_Senario!$L$372</f>
        <v>8739.4043589399989</v>
      </c>
      <c r="AA1728" s="973">
        <v>17.71</v>
      </c>
      <c r="AM1728" s="967">
        <v>42901</v>
      </c>
      <c r="AN1728" s="974">
        <v>95700</v>
      </c>
    </row>
    <row r="1729" spans="1:40">
      <c r="A1729" s="966">
        <v>1722</v>
      </c>
      <c r="B1729" s="967">
        <v>42900</v>
      </c>
      <c r="C1729" s="966">
        <v>95500</v>
      </c>
      <c r="D1729" s="966">
        <v>0</v>
      </c>
      <c r="E1729" s="966">
        <v>0</v>
      </c>
      <c r="F1729" s="966">
        <v>33860.78</v>
      </c>
      <c r="G1729" s="966">
        <v>29378.638642000002</v>
      </c>
      <c r="H1729" s="966">
        <v>5676.5</v>
      </c>
      <c r="I1729" s="966">
        <v>16.82</v>
      </c>
      <c r="Q1729" s="967">
        <v>42900</v>
      </c>
      <c r="R1729" s="966">
        <v>95500</v>
      </c>
      <c r="T1729" s="969">
        <v>0</v>
      </c>
      <c r="U1729" s="966">
        <v>5676.5</v>
      </c>
      <c r="W1729" s="971" t="e">
        <f t="shared" si="29"/>
        <v>#DIV/0!</v>
      </c>
      <c r="Y1729" s="967">
        <v>42970</v>
      </c>
      <c r="Z1729" s="974">
        <f ca="1">H1679*Valuation_Senario!$L$372</f>
        <v>8739.4043589399989</v>
      </c>
      <c r="AA1729" s="973">
        <v>17.47</v>
      </c>
      <c r="AM1729" s="967">
        <v>42900</v>
      </c>
      <c r="AN1729" s="974">
        <v>95500</v>
      </c>
    </row>
    <row r="1730" spans="1:40">
      <c r="A1730" s="966">
        <v>1723</v>
      </c>
      <c r="B1730" s="967">
        <v>42899</v>
      </c>
      <c r="C1730" s="966">
        <v>95000</v>
      </c>
      <c r="D1730" s="966">
        <v>0</v>
      </c>
      <c r="E1730" s="966">
        <v>0</v>
      </c>
      <c r="F1730" s="966">
        <v>33706.97</v>
      </c>
      <c r="G1730" s="966">
        <v>29224.823779999999</v>
      </c>
      <c r="H1730" s="966">
        <v>5676.5</v>
      </c>
      <c r="I1730" s="966">
        <v>16.739999999999998</v>
      </c>
      <c r="Q1730" s="967">
        <v>42899</v>
      </c>
      <c r="R1730" s="966">
        <v>95000</v>
      </c>
      <c r="T1730" s="969">
        <v>0</v>
      </c>
      <c r="U1730" s="966">
        <v>5676.5</v>
      </c>
      <c r="W1730" s="971" t="e">
        <f t="shared" si="29"/>
        <v>#DIV/0!</v>
      </c>
      <c r="Y1730" s="967">
        <v>42969</v>
      </c>
      <c r="Z1730" s="974">
        <f ca="1">H1680*Valuation_Senario!$L$372</f>
        <v>8739.4043589399989</v>
      </c>
      <c r="AA1730" s="973">
        <v>17.66</v>
      </c>
      <c r="AM1730" s="967">
        <v>42899</v>
      </c>
      <c r="AN1730" s="974">
        <v>95000</v>
      </c>
    </row>
    <row r="1731" spans="1:40">
      <c r="A1731" s="966">
        <v>1724</v>
      </c>
      <c r="B1731" s="967">
        <v>42898</v>
      </c>
      <c r="C1731" s="966">
        <v>96500</v>
      </c>
      <c r="D1731" s="966">
        <v>0</v>
      </c>
      <c r="E1731" s="966">
        <v>0</v>
      </c>
      <c r="F1731" s="966">
        <v>34168.410000000003</v>
      </c>
      <c r="G1731" s="966">
        <v>29686.268366</v>
      </c>
      <c r="H1731" s="966">
        <v>5676.5</v>
      </c>
      <c r="I1731" s="966">
        <v>17</v>
      </c>
      <c r="Q1731" s="967">
        <v>42898</v>
      </c>
      <c r="R1731" s="966">
        <v>96500</v>
      </c>
      <c r="T1731" s="969">
        <v>0</v>
      </c>
      <c r="U1731" s="966">
        <v>5676.5</v>
      </c>
      <c r="W1731" s="971" t="e">
        <f t="shared" si="29"/>
        <v>#DIV/0!</v>
      </c>
      <c r="Y1731" s="967">
        <v>42968</v>
      </c>
      <c r="Z1731" s="974">
        <f ca="1">H1681*Valuation_Senario!$L$372</f>
        <v>8739.4043589399989</v>
      </c>
      <c r="AA1731" s="973">
        <v>17.809999999999999</v>
      </c>
      <c r="AM1731" s="967">
        <v>42898</v>
      </c>
      <c r="AN1731" s="974">
        <v>96500</v>
      </c>
    </row>
    <row r="1732" spans="1:40">
      <c r="A1732" s="966">
        <v>1725</v>
      </c>
      <c r="B1732" s="967">
        <v>42895</v>
      </c>
      <c r="C1732" s="966">
        <v>97300</v>
      </c>
      <c r="D1732" s="966">
        <v>5.6413840000000004</v>
      </c>
      <c r="E1732" s="966">
        <v>5.6413840000000004</v>
      </c>
      <c r="F1732" s="966">
        <v>34414.51</v>
      </c>
      <c r="G1732" s="966">
        <v>29932.372145199999</v>
      </c>
      <c r="H1732" s="966">
        <v>5676.5</v>
      </c>
      <c r="I1732" s="966">
        <v>17.14</v>
      </c>
      <c r="Q1732" s="967">
        <v>42895</v>
      </c>
      <c r="R1732" s="966">
        <v>97300</v>
      </c>
      <c r="T1732" s="969">
        <v>0</v>
      </c>
      <c r="U1732" s="966">
        <v>5676.5</v>
      </c>
      <c r="W1732" s="971" t="e">
        <f t="shared" si="29"/>
        <v>#DIV/0!</v>
      </c>
      <c r="Y1732" s="967">
        <v>42965</v>
      </c>
      <c r="Z1732" s="974">
        <f ca="1">H1682*Valuation_Senario!$L$372</f>
        <v>8739.4043589399989</v>
      </c>
      <c r="AA1732" s="973">
        <v>17.739999999999998</v>
      </c>
      <c r="AM1732" s="967">
        <v>42895</v>
      </c>
      <c r="AN1732" s="974">
        <v>97300</v>
      </c>
    </row>
    <row r="1733" spans="1:40">
      <c r="A1733" s="966">
        <v>1726</v>
      </c>
      <c r="B1733" s="967">
        <v>42894</v>
      </c>
      <c r="C1733" s="966">
        <v>98000</v>
      </c>
      <c r="D1733" s="966">
        <v>0.17452500000000001</v>
      </c>
      <c r="E1733" s="966">
        <v>0</v>
      </c>
      <c r="F1733" s="966">
        <v>34629.86</v>
      </c>
      <c r="G1733" s="966">
        <v>30147.712952000002</v>
      </c>
      <c r="H1733" s="966">
        <v>5676.5</v>
      </c>
      <c r="I1733" s="966">
        <v>17.260000000000002</v>
      </c>
      <c r="Q1733" s="967">
        <v>42894</v>
      </c>
      <c r="R1733" s="966">
        <v>98000</v>
      </c>
      <c r="T1733" s="969">
        <v>0.17452500000000001</v>
      </c>
      <c r="U1733" s="966">
        <v>5676.5</v>
      </c>
      <c r="W1733" s="971" t="e">
        <f t="shared" si="29"/>
        <v>#DIV/0!</v>
      </c>
      <c r="Y1733" s="967">
        <v>42964</v>
      </c>
      <c r="Z1733" s="974">
        <f ca="1">H1683*Valuation_Senario!$L$372</f>
        <v>8739.4043589399989</v>
      </c>
      <c r="AA1733" s="973">
        <v>17.739999999999998</v>
      </c>
      <c r="AM1733" s="967">
        <v>42894</v>
      </c>
      <c r="AN1733" s="974">
        <v>98000</v>
      </c>
    </row>
    <row r="1734" spans="1:40">
      <c r="A1734" s="966">
        <v>1727</v>
      </c>
      <c r="B1734" s="967">
        <v>42893</v>
      </c>
      <c r="C1734" s="966">
        <v>97000</v>
      </c>
      <c r="D1734" s="966">
        <v>2.0579999999999998</v>
      </c>
      <c r="E1734" s="966">
        <v>2.0579999999999998</v>
      </c>
      <c r="F1734" s="966">
        <v>34322.230000000003</v>
      </c>
      <c r="G1734" s="966">
        <v>29840.083228</v>
      </c>
      <c r="H1734" s="966">
        <v>5676.5</v>
      </c>
      <c r="I1734" s="966">
        <v>17.09</v>
      </c>
      <c r="Q1734" s="967">
        <v>42893</v>
      </c>
      <c r="R1734" s="966">
        <v>97000</v>
      </c>
      <c r="T1734" s="969">
        <v>0</v>
      </c>
      <c r="U1734" s="966">
        <v>5676.5</v>
      </c>
      <c r="W1734" s="971" t="e">
        <f t="shared" si="29"/>
        <v>#DIV/0!</v>
      </c>
      <c r="Y1734" s="967">
        <v>42963</v>
      </c>
      <c r="Z1734" s="974">
        <f ca="1">H1684*Valuation_Senario!$L$372</f>
        <v>8739.4043589399989</v>
      </c>
      <c r="AA1734" s="973">
        <v>18.05</v>
      </c>
      <c r="AM1734" s="967">
        <v>42893</v>
      </c>
      <c r="AN1734" s="974">
        <v>97000</v>
      </c>
    </row>
    <row r="1735" spans="1:40">
      <c r="A1735" s="966">
        <v>1728</v>
      </c>
      <c r="B1735" s="967">
        <v>42892</v>
      </c>
      <c r="C1735" s="966">
        <v>96200</v>
      </c>
      <c r="D1735" s="966">
        <v>0</v>
      </c>
      <c r="E1735" s="966">
        <v>0</v>
      </c>
      <c r="F1735" s="966">
        <v>34076.120000000003</v>
      </c>
      <c r="G1735" s="966">
        <v>29593.979448800001</v>
      </c>
      <c r="H1735" s="966">
        <v>5676.5</v>
      </c>
      <c r="I1735" s="966">
        <v>16.95</v>
      </c>
      <c r="Q1735" s="967">
        <v>42892</v>
      </c>
      <c r="R1735" s="966">
        <v>96200</v>
      </c>
      <c r="T1735" s="969">
        <v>0</v>
      </c>
      <c r="U1735" s="966">
        <v>5676.5</v>
      </c>
      <c r="W1735" s="971" t="e">
        <f t="shared" si="29"/>
        <v>#DIV/0!</v>
      </c>
      <c r="Y1735" s="967">
        <v>42962</v>
      </c>
      <c r="Z1735" s="974">
        <f ca="1">H1685*Valuation_Senario!$L$372</f>
        <v>8739.4043589399989</v>
      </c>
      <c r="AA1735" s="973">
        <v>18.059999999999999</v>
      </c>
      <c r="AM1735" s="967">
        <v>42892</v>
      </c>
      <c r="AN1735" s="974">
        <v>96200</v>
      </c>
    </row>
    <row r="1736" spans="1:40">
      <c r="A1736" s="966">
        <v>1729</v>
      </c>
      <c r="B1736" s="967">
        <v>42891</v>
      </c>
      <c r="C1736" s="966">
        <v>95000</v>
      </c>
      <c r="D1736" s="966">
        <v>0</v>
      </c>
      <c r="E1736" s="966">
        <v>0.17005000000000001</v>
      </c>
      <c r="F1736" s="966">
        <v>33706.97</v>
      </c>
      <c r="G1736" s="966">
        <v>29224.823779999999</v>
      </c>
      <c r="H1736" s="966">
        <v>5676.5</v>
      </c>
      <c r="I1736" s="966">
        <v>16.739999999999998</v>
      </c>
      <c r="Q1736" s="967">
        <v>42891</v>
      </c>
      <c r="R1736" s="966">
        <v>95000</v>
      </c>
      <c r="T1736" s="969">
        <v>-0.17005000000000001</v>
      </c>
      <c r="U1736" s="966">
        <v>5676.5</v>
      </c>
      <c r="W1736" s="971" t="e">
        <f t="shared" si="29"/>
        <v>#DIV/0!</v>
      </c>
      <c r="Y1736" s="967">
        <v>42961</v>
      </c>
      <c r="Z1736" s="974">
        <f ca="1">H1686*Valuation_Senario!$L$372</f>
        <v>8739.4043589399989</v>
      </c>
      <c r="AA1736" s="973">
        <v>17.89</v>
      </c>
      <c r="AM1736" s="967">
        <v>42891</v>
      </c>
      <c r="AN1736" s="974">
        <v>95000</v>
      </c>
    </row>
    <row r="1737" spans="1:40">
      <c r="A1737" s="966">
        <v>1730</v>
      </c>
      <c r="B1737" s="967">
        <v>42888</v>
      </c>
      <c r="C1737" s="966">
        <v>95500</v>
      </c>
      <c r="D1737" s="966">
        <v>0</v>
      </c>
      <c r="E1737" s="966">
        <v>0</v>
      </c>
      <c r="F1737" s="966">
        <v>33860.78</v>
      </c>
      <c r="G1737" s="966">
        <v>29378.638642000002</v>
      </c>
      <c r="H1737" s="966">
        <v>5676.5</v>
      </c>
      <c r="I1737" s="966">
        <v>16.82</v>
      </c>
      <c r="Q1737" s="967">
        <v>42888</v>
      </c>
      <c r="R1737" s="966">
        <v>95500</v>
      </c>
      <c r="T1737" s="969">
        <v>0</v>
      </c>
      <c r="U1737" s="966">
        <v>5676.5</v>
      </c>
      <c r="W1737" s="971" t="e">
        <f t="shared" ref="W1737:W1800" si="30">T1737/V1737</f>
        <v>#DIV/0!</v>
      </c>
      <c r="Y1737" s="967">
        <v>42958</v>
      </c>
      <c r="Z1737" s="974">
        <f ca="1">H1687*Valuation_Senario!$L$372</f>
        <v>8739.4043589399989</v>
      </c>
      <c r="AA1737" s="973">
        <v>17.78</v>
      </c>
      <c r="AM1737" s="967">
        <v>42888</v>
      </c>
      <c r="AN1737" s="974">
        <v>95500</v>
      </c>
    </row>
    <row r="1738" spans="1:40">
      <c r="A1738" s="966">
        <v>1731</v>
      </c>
      <c r="B1738" s="967">
        <v>42887</v>
      </c>
      <c r="C1738" s="966">
        <v>95800</v>
      </c>
      <c r="D1738" s="966">
        <v>0</v>
      </c>
      <c r="E1738" s="966">
        <v>0</v>
      </c>
      <c r="F1738" s="966">
        <v>33953.07</v>
      </c>
      <c r="G1738" s="966">
        <v>29470.927559200001</v>
      </c>
      <c r="H1738" s="966">
        <v>5676.5</v>
      </c>
      <c r="I1738" s="966">
        <v>16.88</v>
      </c>
      <c r="Q1738" s="967">
        <v>42887</v>
      </c>
      <c r="R1738" s="966">
        <v>95800</v>
      </c>
      <c r="T1738" s="969">
        <v>0</v>
      </c>
      <c r="U1738" s="966">
        <v>5676.5</v>
      </c>
      <c r="W1738" s="971" t="e">
        <f t="shared" si="30"/>
        <v>#DIV/0!</v>
      </c>
      <c r="Y1738" s="967">
        <v>42957</v>
      </c>
      <c r="Z1738" s="974">
        <f ca="1">H1688*Valuation_Senario!$L$372</f>
        <v>8739.4043589399989</v>
      </c>
      <c r="AA1738" s="973">
        <v>17.68</v>
      </c>
      <c r="AM1738" s="967">
        <v>42887</v>
      </c>
      <c r="AN1738" s="974">
        <v>95800</v>
      </c>
    </row>
    <row r="1739" spans="1:40">
      <c r="A1739" s="966">
        <v>1732</v>
      </c>
      <c r="B1739" s="967">
        <v>42886</v>
      </c>
      <c r="C1739" s="966">
        <v>93500</v>
      </c>
      <c r="D1739" s="966">
        <v>0</v>
      </c>
      <c r="E1739" s="966">
        <v>0</v>
      </c>
      <c r="F1739" s="966">
        <v>33245.519999999997</v>
      </c>
      <c r="G1739" s="966">
        <v>28763.379194000001</v>
      </c>
      <c r="H1739" s="966">
        <v>5676.5</v>
      </c>
      <c r="I1739" s="966">
        <v>16.47</v>
      </c>
      <c r="Q1739" s="967">
        <v>42886</v>
      </c>
      <c r="R1739" s="966">
        <v>93500</v>
      </c>
      <c r="T1739" s="969">
        <v>0</v>
      </c>
      <c r="U1739" s="966">
        <v>5676.5</v>
      </c>
      <c r="W1739" s="971" t="e">
        <f t="shared" si="30"/>
        <v>#DIV/0!</v>
      </c>
      <c r="Y1739" s="967">
        <v>42956</v>
      </c>
      <c r="Z1739" s="974">
        <f ca="1">H1689*Valuation_Senario!$L$372</f>
        <v>8739.4043589399989</v>
      </c>
      <c r="AA1739" s="973">
        <v>17.53</v>
      </c>
      <c r="AM1739" s="967">
        <v>42886</v>
      </c>
      <c r="AN1739" s="974">
        <v>93500</v>
      </c>
    </row>
    <row r="1740" spans="1:40">
      <c r="A1740" s="966">
        <v>1733</v>
      </c>
      <c r="B1740" s="967">
        <v>42885</v>
      </c>
      <c r="C1740" s="966">
        <v>93300</v>
      </c>
      <c r="D1740" s="966">
        <v>0</v>
      </c>
      <c r="E1740" s="966">
        <v>0</v>
      </c>
      <c r="F1740" s="966">
        <v>33184</v>
      </c>
      <c r="G1740" s="966">
        <v>28701.853249200001</v>
      </c>
      <c r="H1740" s="966">
        <v>5676.5</v>
      </c>
      <c r="I1740" s="966">
        <v>16.440000000000001</v>
      </c>
      <c r="Q1740" s="967">
        <v>42885</v>
      </c>
      <c r="R1740" s="966">
        <v>93300</v>
      </c>
      <c r="T1740" s="969">
        <v>0</v>
      </c>
      <c r="U1740" s="966">
        <v>5676.5</v>
      </c>
      <c r="W1740" s="971" t="e">
        <f t="shared" si="30"/>
        <v>#DIV/0!</v>
      </c>
      <c r="Y1740" s="967">
        <v>42955</v>
      </c>
      <c r="Z1740" s="974">
        <f ca="1">H1690*Valuation_Senario!$L$372</f>
        <v>8739.4043589399989</v>
      </c>
      <c r="AA1740" s="973">
        <v>17.98</v>
      </c>
      <c r="AM1740" s="967">
        <v>42885</v>
      </c>
      <c r="AN1740" s="974">
        <v>93300</v>
      </c>
    </row>
    <row r="1741" spans="1:40">
      <c r="A1741" s="966">
        <v>1734</v>
      </c>
      <c r="B1741" s="967">
        <v>42884</v>
      </c>
      <c r="C1741" s="966">
        <v>94200</v>
      </c>
      <c r="D1741" s="966">
        <v>0</v>
      </c>
      <c r="E1741" s="966">
        <v>0</v>
      </c>
      <c r="F1741" s="966">
        <v>33460.86</v>
      </c>
      <c r="G1741" s="966">
        <v>28978.7200008</v>
      </c>
      <c r="H1741" s="966">
        <v>5676.5</v>
      </c>
      <c r="I1741" s="966">
        <v>16.59</v>
      </c>
      <c r="Q1741" s="967">
        <v>42884</v>
      </c>
      <c r="R1741" s="966">
        <v>94200</v>
      </c>
      <c r="T1741" s="969">
        <v>0</v>
      </c>
      <c r="U1741" s="966">
        <v>5676.5</v>
      </c>
      <c r="W1741" s="971" t="e">
        <f t="shared" si="30"/>
        <v>#DIV/0!</v>
      </c>
      <c r="Y1741" s="967">
        <v>42954</v>
      </c>
      <c r="Z1741" s="974">
        <f ca="1">H1691*Valuation_Senario!$L$372</f>
        <v>8739.4043589399989</v>
      </c>
      <c r="AA1741" s="973">
        <v>18.350000000000001</v>
      </c>
      <c r="AM1741" s="967">
        <v>42884</v>
      </c>
      <c r="AN1741" s="974">
        <v>94200</v>
      </c>
    </row>
    <row r="1742" spans="1:40">
      <c r="A1742" s="966">
        <v>1735</v>
      </c>
      <c r="B1742" s="967">
        <v>42881</v>
      </c>
      <c r="C1742" s="966">
        <v>97000</v>
      </c>
      <c r="D1742" s="966">
        <v>0</v>
      </c>
      <c r="E1742" s="966">
        <v>0</v>
      </c>
      <c r="F1742" s="966">
        <v>34322.230000000003</v>
      </c>
      <c r="G1742" s="966">
        <v>29840.083228</v>
      </c>
      <c r="H1742" s="966">
        <v>5676.5</v>
      </c>
      <c r="I1742" s="966">
        <v>17.09</v>
      </c>
      <c r="Q1742" s="967">
        <v>42881</v>
      </c>
      <c r="R1742" s="966">
        <v>97000</v>
      </c>
      <c r="T1742" s="969">
        <v>0</v>
      </c>
      <c r="U1742" s="966">
        <v>5676.5</v>
      </c>
      <c r="W1742" s="971" t="e">
        <f t="shared" si="30"/>
        <v>#DIV/0!</v>
      </c>
      <c r="Y1742" s="967">
        <v>42951</v>
      </c>
      <c r="Z1742" s="974">
        <f ca="1">H1692*Valuation_Senario!$L$372</f>
        <v>8739.4043589399989</v>
      </c>
      <c r="AA1742" s="973">
        <v>17.89</v>
      </c>
      <c r="AM1742" s="967">
        <v>42881</v>
      </c>
      <c r="AN1742" s="974">
        <v>97000</v>
      </c>
    </row>
    <row r="1743" spans="1:40">
      <c r="A1743" s="966">
        <v>1736</v>
      </c>
      <c r="B1743" s="967">
        <v>42880</v>
      </c>
      <c r="C1743" s="966">
        <v>98300</v>
      </c>
      <c r="D1743" s="966">
        <v>10.425000000000001</v>
      </c>
      <c r="E1743" s="966">
        <v>10.425000000000001</v>
      </c>
      <c r="F1743" s="966">
        <v>34722.14</v>
      </c>
      <c r="G1743" s="966">
        <v>30240.001869200001</v>
      </c>
      <c r="H1743" s="966">
        <v>5676.5</v>
      </c>
      <c r="I1743" s="966">
        <v>17.32</v>
      </c>
      <c r="Q1743" s="967">
        <v>42880</v>
      </c>
      <c r="R1743" s="966">
        <v>98300</v>
      </c>
      <c r="T1743" s="969">
        <v>0</v>
      </c>
      <c r="U1743" s="966">
        <v>5676.5</v>
      </c>
      <c r="W1743" s="971" t="e">
        <f t="shared" si="30"/>
        <v>#DIV/0!</v>
      </c>
      <c r="Y1743" s="967">
        <v>42950</v>
      </c>
      <c r="Z1743" s="974">
        <f ca="1">H1693*Valuation_Senario!$L$372</f>
        <v>8739.4043589399989</v>
      </c>
      <c r="AA1743" s="973">
        <v>16.82</v>
      </c>
      <c r="AM1743" s="967">
        <v>42880</v>
      </c>
      <c r="AN1743" s="974">
        <v>98300</v>
      </c>
    </row>
    <row r="1744" spans="1:40">
      <c r="A1744" s="966">
        <v>1737</v>
      </c>
      <c r="B1744" s="967">
        <v>42879</v>
      </c>
      <c r="C1744" s="966">
        <v>98900</v>
      </c>
      <c r="D1744" s="966">
        <v>0</v>
      </c>
      <c r="E1744" s="966">
        <v>0</v>
      </c>
      <c r="F1744" s="966">
        <v>34906.720000000001</v>
      </c>
      <c r="G1744" s="966">
        <v>30424.5797036</v>
      </c>
      <c r="H1744" s="966">
        <v>5676.5</v>
      </c>
      <c r="I1744" s="966">
        <v>17.420000000000002</v>
      </c>
      <c r="Q1744" s="967">
        <v>42879</v>
      </c>
      <c r="R1744" s="966">
        <v>98900</v>
      </c>
      <c r="T1744" s="969">
        <v>0</v>
      </c>
      <c r="U1744" s="966">
        <v>5676.5</v>
      </c>
      <c r="W1744" s="971" t="e">
        <f t="shared" si="30"/>
        <v>#DIV/0!</v>
      </c>
      <c r="Y1744" s="967">
        <v>42949</v>
      </c>
      <c r="Z1744" s="974">
        <f ca="1">H1694*Valuation_Senario!$L$372</f>
        <v>8739.4043589399989</v>
      </c>
      <c r="AA1744" s="973">
        <v>16.72</v>
      </c>
      <c r="AM1744" s="967">
        <v>42879</v>
      </c>
      <c r="AN1744" s="974">
        <v>98900</v>
      </c>
    </row>
    <row r="1745" spans="1:40">
      <c r="A1745" s="966">
        <v>1738</v>
      </c>
      <c r="B1745" s="967">
        <v>42878</v>
      </c>
      <c r="C1745" s="966">
        <v>94500</v>
      </c>
      <c r="D1745" s="966">
        <v>0</v>
      </c>
      <c r="E1745" s="966">
        <v>0</v>
      </c>
      <c r="F1745" s="966">
        <v>33553.15</v>
      </c>
      <c r="G1745" s="966">
        <v>29071.008918</v>
      </c>
      <c r="H1745" s="966">
        <v>5676.5</v>
      </c>
      <c r="I1745" s="966">
        <v>16.649999999999999</v>
      </c>
      <c r="Q1745" s="967">
        <v>42878</v>
      </c>
      <c r="R1745" s="966">
        <v>94500</v>
      </c>
      <c r="T1745" s="969">
        <v>0</v>
      </c>
      <c r="U1745" s="966">
        <v>5676.5</v>
      </c>
      <c r="W1745" s="971" t="e">
        <f t="shared" si="30"/>
        <v>#DIV/0!</v>
      </c>
      <c r="Y1745" s="967">
        <v>42948</v>
      </c>
      <c r="Z1745" s="974">
        <f ca="1">H1695*Valuation_Senario!$L$372</f>
        <v>8335.6961604999997</v>
      </c>
      <c r="AA1745" s="973">
        <v>17.53</v>
      </c>
      <c r="AM1745" s="967">
        <v>42878</v>
      </c>
      <c r="AN1745" s="974">
        <v>94500</v>
      </c>
    </row>
    <row r="1746" spans="1:40">
      <c r="A1746" s="966">
        <v>1739</v>
      </c>
      <c r="B1746" s="967">
        <v>42877</v>
      </c>
      <c r="C1746" s="966">
        <v>91200</v>
      </c>
      <c r="D1746" s="966">
        <v>0</v>
      </c>
      <c r="E1746" s="966">
        <v>0</v>
      </c>
      <c r="F1746" s="966">
        <v>32537.97</v>
      </c>
      <c r="G1746" s="966">
        <v>28055.830828800001</v>
      </c>
      <c r="H1746" s="966">
        <v>5676.5</v>
      </c>
      <c r="I1746" s="966">
        <v>16.07</v>
      </c>
      <c r="Q1746" s="967">
        <v>42877</v>
      </c>
      <c r="R1746" s="966">
        <v>91200</v>
      </c>
      <c r="T1746" s="969">
        <v>0</v>
      </c>
      <c r="U1746" s="966">
        <v>5676.5</v>
      </c>
      <c r="W1746" s="971" t="e">
        <f t="shared" si="30"/>
        <v>#DIV/0!</v>
      </c>
      <c r="Y1746" s="967">
        <v>42947</v>
      </c>
      <c r="Z1746" s="974">
        <f ca="1">H1696*Valuation_Senario!$L$372</f>
        <v>8335.6961604999997</v>
      </c>
      <c r="AA1746" s="973">
        <v>17.7</v>
      </c>
      <c r="AM1746" s="967">
        <v>42877</v>
      </c>
      <c r="AN1746" s="974">
        <v>91200</v>
      </c>
    </row>
    <row r="1747" spans="1:40">
      <c r="A1747" s="966">
        <v>1740</v>
      </c>
      <c r="B1747" s="967">
        <v>42874</v>
      </c>
      <c r="C1747" s="966">
        <v>181500</v>
      </c>
      <c r="D1747" s="966">
        <v>0</v>
      </c>
      <c r="E1747" s="966">
        <v>0</v>
      </c>
      <c r="F1747" s="966">
        <v>32399.54</v>
      </c>
      <c r="G1747" s="966">
        <v>27917.397453000001</v>
      </c>
      <c r="H1747" s="966">
        <v>11547.1</v>
      </c>
      <c r="I1747" s="966">
        <v>15.72</v>
      </c>
      <c r="Q1747" s="967">
        <v>42874</v>
      </c>
      <c r="R1747" s="966">
        <v>181500</v>
      </c>
      <c r="T1747" s="969">
        <v>0</v>
      </c>
      <c r="U1747" s="966">
        <v>11547.1</v>
      </c>
      <c r="W1747" s="971" t="e">
        <f t="shared" si="30"/>
        <v>#DIV/0!</v>
      </c>
      <c r="Y1747" s="967">
        <v>42944</v>
      </c>
      <c r="Z1747" s="974">
        <f ca="1">H1697*Valuation_Senario!$L$372</f>
        <v>8335.6961604999997</v>
      </c>
      <c r="AA1747" s="973">
        <v>17.79</v>
      </c>
      <c r="AM1747" s="967">
        <v>42874</v>
      </c>
      <c r="AN1747" s="974">
        <v>181500</v>
      </c>
    </row>
    <row r="1748" spans="1:40">
      <c r="A1748" s="966">
        <v>1741</v>
      </c>
      <c r="B1748" s="967">
        <v>42873</v>
      </c>
      <c r="C1748" s="966">
        <v>180300</v>
      </c>
      <c r="D1748" s="966">
        <v>0</v>
      </c>
      <c r="E1748" s="966">
        <v>0</v>
      </c>
      <c r="F1748" s="966">
        <v>32214.959999999999</v>
      </c>
      <c r="G1748" s="966">
        <v>27732.819618599999</v>
      </c>
      <c r="H1748" s="966">
        <v>11547.1</v>
      </c>
      <c r="I1748" s="966">
        <v>15.61</v>
      </c>
      <c r="Q1748" s="967">
        <v>42873</v>
      </c>
      <c r="R1748" s="966">
        <v>180300</v>
      </c>
      <c r="T1748" s="969">
        <v>0</v>
      </c>
      <c r="U1748" s="966">
        <v>11547.1</v>
      </c>
      <c r="W1748" s="971" t="e">
        <f t="shared" si="30"/>
        <v>#DIV/0!</v>
      </c>
      <c r="Y1748" s="967">
        <v>42943</v>
      </c>
      <c r="Z1748" s="974">
        <f ca="1">H1698*Valuation_Senario!$L$372</f>
        <v>8335.6961604999997</v>
      </c>
      <c r="AA1748" s="973">
        <v>17.53</v>
      </c>
      <c r="AM1748" s="967">
        <v>42873</v>
      </c>
      <c r="AN1748" s="974">
        <v>180300</v>
      </c>
    </row>
    <row r="1749" spans="1:40">
      <c r="A1749" s="966">
        <v>1742</v>
      </c>
      <c r="B1749" s="967">
        <v>42872</v>
      </c>
      <c r="C1749" s="966">
        <v>180000</v>
      </c>
      <c r="D1749" s="966">
        <v>0</v>
      </c>
      <c r="E1749" s="966">
        <v>0</v>
      </c>
      <c r="F1749" s="966">
        <v>32168.82</v>
      </c>
      <c r="G1749" s="966">
        <v>27686.675159999999</v>
      </c>
      <c r="H1749" s="966">
        <v>11547.1</v>
      </c>
      <c r="I1749" s="966">
        <v>15.59</v>
      </c>
      <c r="Q1749" s="967">
        <v>42872</v>
      </c>
      <c r="R1749" s="966">
        <v>180000</v>
      </c>
      <c r="T1749" s="969">
        <v>0</v>
      </c>
      <c r="U1749" s="966">
        <v>11547.1</v>
      </c>
      <c r="W1749" s="971" t="e">
        <f t="shared" si="30"/>
        <v>#DIV/0!</v>
      </c>
      <c r="Y1749" s="967">
        <v>42942</v>
      </c>
      <c r="Z1749" s="974">
        <f ca="1">H1699*Valuation_Senario!$L$372</f>
        <v>8335.6961604999997</v>
      </c>
      <c r="AA1749" s="973">
        <v>17.62</v>
      </c>
      <c r="AM1749" s="967">
        <v>42872</v>
      </c>
      <c r="AN1749" s="974">
        <v>180000</v>
      </c>
    </row>
    <row r="1750" spans="1:40">
      <c r="A1750" s="966">
        <v>1743</v>
      </c>
      <c r="B1750" s="967">
        <v>42871</v>
      </c>
      <c r="C1750" s="966">
        <v>180700</v>
      </c>
      <c r="D1750" s="966">
        <v>0</v>
      </c>
      <c r="E1750" s="966">
        <v>0</v>
      </c>
      <c r="F1750" s="966">
        <v>32276.49</v>
      </c>
      <c r="G1750" s="966">
        <v>27794.345563399998</v>
      </c>
      <c r="H1750" s="966">
        <v>11547.1</v>
      </c>
      <c r="I1750" s="966">
        <v>15.65</v>
      </c>
      <c r="Q1750" s="967">
        <v>42871</v>
      </c>
      <c r="R1750" s="966">
        <v>180700</v>
      </c>
      <c r="T1750" s="969">
        <v>0</v>
      </c>
      <c r="U1750" s="966">
        <v>11547.1</v>
      </c>
      <c r="W1750" s="971" t="e">
        <f t="shared" si="30"/>
        <v>#DIV/0!</v>
      </c>
      <c r="Y1750" s="967">
        <v>42941</v>
      </c>
      <c r="Z1750" s="974">
        <f ca="1">H1700*Valuation_Senario!$L$372</f>
        <v>8335.6961604999997</v>
      </c>
      <c r="AA1750" s="973">
        <v>17.37</v>
      </c>
      <c r="AM1750" s="967">
        <v>42871</v>
      </c>
      <c r="AN1750" s="974">
        <v>180700</v>
      </c>
    </row>
    <row r="1751" spans="1:40">
      <c r="A1751" s="966">
        <v>1744</v>
      </c>
      <c r="B1751" s="967">
        <v>42870</v>
      </c>
      <c r="C1751" s="966">
        <v>183400</v>
      </c>
      <c r="D1751" s="966">
        <v>3.4880000000000002E-3</v>
      </c>
      <c r="E1751" s="966">
        <v>0</v>
      </c>
      <c r="F1751" s="966">
        <v>32691.79</v>
      </c>
      <c r="G1751" s="966">
        <v>28209.6456908</v>
      </c>
      <c r="H1751" s="966">
        <v>11547.1</v>
      </c>
      <c r="I1751" s="966">
        <v>15.88</v>
      </c>
      <c r="Q1751" s="967">
        <v>42870</v>
      </c>
      <c r="R1751" s="966">
        <v>183400</v>
      </c>
      <c r="T1751" s="969">
        <v>3.4880000000000002E-3</v>
      </c>
      <c r="U1751" s="966">
        <v>11547.1</v>
      </c>
      <c r="W1751" s="971" t="e">
        <f t="shared" si="30"/>
        <v>#DIV/0!</v>
      </c>
      <c r="Y1751" s="967">
        <v>42940</v>
      </c>
      <c r="Z1751" s="974">
        <f ca="1">H1701*Valuation_Senario!$L$372</f>
        <v>8335.6961604999997</v>
      </c>
      <c r="AA1751" s="973">
        <v>17.190000000000001</v>
      </c>
      <c r="AM1751" s="967">
        <v>42870</v>
      </c>
      <c r="AN1751" s="974">
        <v>183400</v>
      </c>
    </row>
    <row r="1752" spans="1:40">
      <c r="A1752" s="966">
        <v>1745</v>
      </c>
      <c r="B1752" s="967">
        <v>42867</v>
      </c>
      <c r="C1752" s="966">
        <v>174000</v>
      </c>
      <c r="D1752" s="966">
        <v>233.939751</v>
      </c>
      <c r="E1752" s="966">
        <v>233.939751</v>
      </c>
      <c r="F1752" s="966">
        <v>31245.93</v>
      </c>
      <c r="G1752" s="966">
        <v>26763.785988</v>
      </c>
      <c r="H1752" s="966">
        <v>11547.1</v>
      </c>
      <c r="I1752" s="966">
        <v>15.07</v>
      </c>
      <c r="Q1752" s="967">
        <v>42867</v>
      </c>
      <c r="R1752" s="966">
        <v>174000</v>
      </c>
      <c r="T1752" s="969">
        <v>0</v>
      </c>
      <c r="U1752" s="966">
        <v>11547.1</v>
      </c>
      <c r="W1752" s="971" t="e">
        <f t="shared" si="30"/>
        <v>#DIV/0!</v>
      </c>
      <c r="Y1752" s="967">
        <v>42937</v>
      </c>
      <c r="Z1752" s="974">
        <f ca="1">H1702*Valuation_Senario!$L$372</f>
        <v>8335.6961604999997</v>
      </c>
      <c r="AA1752" s="973">
        <v>17.09</v>
      </c>
      <c r="AM1752" s="967">
        <v>42867</v>
      </c>
      <c r="AN1752" s="974">
        <v>174000</v>
      </c>
    </row>
    <row r="1753" spans="1:40">
      <c r="A1753" s="966">
        <v>1746</v>
      </c>
      <c r="B1753" s="967">
        <v>42866</v>
      </c>
      <c r="C1753" s="966">
        <v>173000</v>
      </c>
      <c r="D1753" s="966">
        <v>0</v>
      </c>
      <c r="E1753" s="966">
        <v>0</v>
      </c>
      <c r="F1753" s="966">
        <v>31092.11</v>
      </c>
      <c r="G1753" s="966">
        <v>26609.971126</v>
      </c>
      <c r="H1753" s="966">
        <v>11547.1</v>
      </c>
      <c r="I1753" s="966">
        <v>14.98</v>
      </c>
      <c r="Q1753" s="967">
        <v>42866</v>
      </c>
      <c r="R1753" s="966">
        <v>173000</v>
      </c>
      <c r="T1753" s="969">
        <v>0</v>
      </c>
      <c r="U1753" s="966">
        <v>11547.1</v>
      </c>
      <c r="W1753" s="971" t="e">
        <f t="shared" si="30"/>
        <v>#DIV/0!</v>
      </c>
      <c r="Y1753" s="967">
        <v>42936</v>
      </c>
      <c r="Z1753" s="974">
        <f ca="1">H1703*Valuation_Senario!$L$372</f>
        <v>8335.6961604999997</v>
      </c>
      <c r="AA1753" s="973">
        <v>17.7</v>
      </c>
      <c r="AM1753" s="967">
        <v>42866</v>
      </c>
      <c r="AN1753" s="974">
        <v>173000</v>
      </c>
    </row>
    <row r="1754" spans="1:40">
      <c r="A1754" s="966">
        <v>1747</v>
      </c>
      <c r="B1754" s="967">
        <v>42865</v>
      </c>
      <c r="C1754" s="966">
        <v>172600</v>
      </c>
      <c r="D1754" s="966">
        <v>0</v>
      </c>
      <c r="E1754" s="966">
        <v>0</v>
      </c>
      <c r="F1754" s="966">
        <v>31030.59</v>
      </c>
      <c r="G1754" s="966">
        <v>26548.445181200001</v>
      </c>
      <c r="H1754" s="966">
        <v>11547.1</v>
      </c>
      <c r="I1754" s="966">
        <v>14.95</v>
      </c>
      <c r="Q1754" s="967">
        <v>42865</v>
      </c>
      <c r="R1754" s="966">
        <v>172600</v>
      </c>
      <c r="T1754" s="969">
        <v>0</v>
      </c>
      <c r="U1754" s="966">
        <v>11547.1</v>
      </c>
      <c r="W1754" s="971" t="e">
        <f t="shared" si="30"/>
        <v>#DIV/0!</v>
      </c>
      <c r="Y1754" s="967">
        <v>42935</v>
      </c>
      <c r="Z1754" s="974">
        <f ca="1">H1704*Valuation_Senario!$L$372</f>
        <v>8335.6961604999997</v>
      </c>
      <c r="AA1754" s="973">
        <v>17.989999999999998</v>
      </c>
      <c r="AM1754" s="967">
        <v>42865</v>
      </c>
      <c r="AN1754" s="974">
        <v>172600</v>
      </c>
    </row>
    <row r="1755" spans="1:40">
      <c r="A1755" s="966">
        <v>1748</v>
      </c>
      <c r="B1755" s="967">
        <v>42864</v>
      </c>
      <c r="C1755" s="966">
        <v>172500</v>
      </c>
      <c r="D1755" s="966">
        <v>0</v>
      </c>
      <c r="E1755" s="966">
        <v>3.434E-3</v>
      </c>
      <c r="F1755" s="966">
        <v>31015.21</v>
      </c>
      <c r="G1755" s="966">
        <v>26533.063695000001</v>
      </c>
      <c r="H1755" s="966">
        <v>11547.1</v>
      </c>
      <c r="I1755" s="966">
        <v>14.94</v>
      </c>
      <c r="Q1755" s="967">
        <v>42864</v>
      </c>
      <c r="R1755" s="966">
        <v>172500</v>
      </c>
      <c r="T1755" s="969">
        <v>-3.434E-3</v>
      </c>
      <c r="U1755" s="966">
        <v>11547.1</v>
      </c>
      <c r="W1755" s="971" t="e">
        <f t="shared" si="30"/>
        <v>#DIV/0!</v>
      </c>
      <c r="Y1755" s="967">
        <v>42934</v>
      </c>
      <c r="Z1755" s="974">
        <f ca="1">H1705*Valuation_Senario!$L$372</f>
        <v>8335.6961604999997</v>
      </c>
      <c r="AA1755" s="973">
        <v>18</v>
      </c>
      <c r="AM1755" s="967">
        <v>42864</v>
      </c>
      <c r="AN1755" s="974">
        <v>172500</v>
      </c>
    </row>
    <row r="1756" spans="1:40">
      <c r="A1756" s="966">
        <v>1749</v>
      </c>
      <c r="B1756" s="967">
        <v>42863</v>
      </c>
      <c r="C1756" s="966">
        <v>170900</v>
      </c>
      <c r="D1756" s="966">
        <v>0</v>
      </c>
      <c r="E1756" s="966">
        <v>0</v>
      </c>
      <c r="F1756" s="966">
        <v>30769.1</v>
      </c>
      <c r="G1756" s="966">
        <v>26286.959915799998</v>
      </c>
      <c r="H1756" s="966">
        <v>11547.1</v>
      </c>
      <c r="I1756" s="966">
        <v>14.8</v>
      </c>
      <c r="Q1756" s="967">
        <v>42863</v>
      </c>
      <c r="R1756" s="966">
        <v>170900</v>
      </c>
      <c r="T1756" s="969">
        <v>0</v>
      </c>
      <c r="U1756" s="966">
        <v>11547.1</v>
      </c>
      <c r="W1756" s="971" t="e">
        <f t="shared" si="30"/>
        <v>#DIV/0!</v>
      </c>
      <c r="Y1756" s="967">
        <v>42933</v>
      </c>
      <c r="Z1756" s="974">
        <f ca="1">H1706*Valuation_Senario!$L$372</f>
        <v>8335.6961604999997</v>
      </c>
      <c r="AA1756" s="973">
        <v>18.18</v>
      </c>
      <c r="AM1756" s="967">
        <v>42863</v>
      </c>
      <c r="AN1756" s="974">
        <v>170900</v>
      </c>
    </row>
    <row r="1757" spans="1:40">
      <c r="A1757" s="966">
        <v>1750</v>
      </c>
      <c r="B1757" s="967">
        <v>42860</v>
      </c>
      <c r="C1757" s="966">
        <v>172000</v>
      </c>
      <c r="D1757" s="966">
        <v>0</v>
      </c>
      <c r="E1757" s="966">
        <v>0</v>
      </c>
      <c r="F1757" s="966">
        <v>30938.3</v>
      </c>
      <c r="G1757" s="966">
        <v>26456.156264000001</v>
      </c>
      <c r="H1757" s="966">
        <v>11547.1</v>
      </c>
      <c r="I1757" s="966">
        <v>14.9</v>
      </c>
      <c r="Q1757" s="967">
        <v>42860</v>
      </c>
      <c r="R1757" s="966">
        <v>172000</v>
      </c>
      <c r="T1757" s="969">
        <v>0</v>
      </c>
      <c r="U1757" s="966">
        <v>11547.1</v>
      </c>
      <c r="W1757" s="971" t="e">
        <f t="shared" si="30"/>
        <v>#DIV/0!</v>
      </c>
      <c r="Y1757" s="967">
        <v>42930</v>
      </c>
      <c r="Z1757" s="974">
        <f ca="1">H1707*Valuation_Senario!$L$372</f>
        <v>8335.6961604999997</v>
      </c>
      <c r="AA1757" s="973">
        <v>17.97</v>
      </c>
      <c r="AM1757" s="967">
        <v>42860</v>
      </c>
      <c r="AN1757" s="974">
        <v>172000</v>
      </c>
    </row>
    <row r="1758" spans="1:40">
      <c r="A1758" s="966">
        <v>1751</v>
      </c>
      <c r="B1758" s="967">
        <v>42859</v>
      </c>
      <c r="C1758" s="966">
        <v>171800</v>
      </c>
      <c r="D1758" s="966">
        <v>0</v>
      </c>
      <c r="E1758" s="966">
        <v>0</v>
      </c>
      <c r="F1758" s="966">
        <v>30907.54</v>
      </c>
      <c r="G1758" s="966">
        <v>26425.393291600001</v>
      </c>
      <c r="H1758" s="966">
        <v>11547.1</v>
      </c>
      <c r="I1758" s="966">
        <v>14.88</v>
      </c>
      <c r="Q1758" s="967">
        <v>42859</v>
      </c>
      <c r="R1758" s="966">
        <v>171800</v>
      </c>
      <c r="T1758" s="969">
        <v>0</v>
      </c>
      <c r="U1758" s="966">
        <v>11547.1</v>
      </c>
      <c r="W1758" s="971" t="e">
        <f t="shared" si="30"/>
        <v>#DIV/0!</v>
      </c>
      <c r="Y1758" s="967">
        <v>42929</v>
      </c>
      <c r="Z1758" s="974">
        <f ca="1">H1708*Valuation_Senario!$L$372</f>
        <v>8335.6961604999997</v>
      </c>
      <c r="AA1758" s="973">
        <v>18.07</v>
      </c>
      <c r="AM1758" s="967">
        <v>42859</v>
      </c>
      <c r="AN1758" s="974">
        <v>171800</v>
      </c>
    </row>
    <row r="1759" spans="1:40">
      <c r="A1759" s="966">
        <v>1752</v>
      </c>
      <c r="B1759" s="967">
        <v>42858</v>
      </c>
      <c r="C1759" s="966">
        <v>168600</v>
      </c>
      <c r="D1759" s="966">
        <v>0</v>
      </c>
      <c r="E1759" s="966">
        <v>0</v>
      </c>
      <c r="F1759" s="966">
        <v>30415.33</v>
      </c>
      <c r="G1759" s="966">
        <v>25933.1857332</v>
      </c>
      <c r="H1759" s="966">
        <v>11547.1</v>
      </c>
      <c r="I1759" s="966">
        <v>14.6</v>
      </c>
      <c r="Q1759" s="967">
        <v>42858</v>
      </c>
      <c r="R1759" s="966">
        <v>168600</v>
      </c>
      <c r="T1759" s="969">
        <v>0</v>
      </c>
      <c r="U1759" s="966">
        <v>11547.1</v>
      </c>
      <c r="W1759" s="971" t="e">
        <f t="shared" si="30"/>
        <v>#DIV/0!</v>
      </c>
      <c r="Y1759" s="967">
        <v>42928</v>
      </c>
      <c r="Z1759" s="974">
        <f ca="1">H1709*Valuation_Senario!$L$372</f>
        <v>8335.6961604999997</v>
      </c>
      <c r="AA1759" s="973">
        <v>18.059999999999999</v>
      </c>
      <c r="AM1759" s="967">
        <v>42858</v>
      </c>
      <c r="AN1759" s="974">
        <v>168600</v>
      </c>
    </row>
    <row r="1760" spans="1:40">
      <c r="A1760" s="966">
        <v>1753</v>
      </c>
      <c r="B1760" s="967">
        <v>42853</v>
      </c>
      <c r="C1760" s="966">
        <v>167000</v>
      </c>
      <c r="D1760" s="966">
        <v>0</v>
      </c>
      <c r="E1760" s="966">
        <v>0</v>
      </c>
      <c r="F1760" s="966">
        <v>30169.22</v>
      </c>
      <c r="G1760" s="966">
        <v>25687.081954000001</v>
      </c>
      <c r="H1760" s="966">
        <v>11547.1</v>
      </c>
      <c r="I1760" s="966">
        <v>14.46</v>
      </c>
      <c r="Q1760" s="967">
        <v>42853</v>
      </c>
      <c r="R1760" s="966">
        <v>167000</v>
      </c>
      <c r="T1760" s="969">
        <v>0</v>
      </c>
      <c r="U1760" s="966">
        <v>11547.1</v>
      </c>
      <c r="W1760" s="971" t="e">
        <f t="shared" si="30"/>
        <v>#DIV/0!</v>
      </c>
      <c r="Y1760" s="967">
        <v>42927</v>
      </c>
      <c r="Z1760" s="974">
        <f ca="1">H1710*Valuation_Senario!$L$372</f>
        <v>8335.6961604999997</v>
      </c>
      <c r="AA1760" s="973">
        <v>17.88</v>
      </c>
      <c r="AM1760" s="967">
        <v>42853</v>
      </c>
      <c r="AN1760" s="974">
        <v>167000</v>
      </c>
    </row>
    <row r="1761" spans="1:40">
      <c r="A1761" s="966">
        <v>1754</v>
      </c>
      <c r="B1761" s="967">
        <v>42852</v>
      </c>
      <c r="C1761" s="966">
        <v>166800</v>
      </c>
      <c r="D1761" s="966">
        <v>32.127946000000001</v>
      </c>
      <c r="E1761" s="966">
        <v>32.028945999999998</v>
      </c>
      <c r="F1761" s="966">
        <v>29448.33</v>
      </c>
      <c r="G1761" s="966">
        <v>25656.318981600001</v>
      </c>
      <c r="H1761" s="966">
        <v>10245.94</v>
      </c>
      <c r="I1761" s="966">
        <v>16.28</v>
      </c>
      <c r="Q1761" s="967">
        <v>42852</v>
      </c>
      <c r="R1761" s="966">
        <v>166800</v>
      </c>
      <c r="T1761" s="969">
        <v>9.9000000000003752E-2</v>
      </c>
      <c r="U1761" s="966">
        <v>10245.94</v>
      </c>
      <c r="W1761" s="971" t="e">
        <f t="shared" si="30"/>
        <v>#DIV/0!</v>
      </c>
      <c r="Y1761" s="967">
        <v>42926</v>
      </c>
      <c r="Z1761" s="974">
        <f ca="1">H1711*Valuation_Senario!$L$372</f>
        <v>8335.6961604999997</v>
      </c>
      <c r="AA1761" s="973">
        <v>17.88</v>
      </c>
      <c r="AM1761" s="967">
        <v>42852</v>
      </c>
      <c r="AN1761" s="974">
        <v>166800</v>
      </c>
    </row>
    <row r="1762" spans="1:40">
      <c r="A1762" s="966">
        <v>1755</v>
      </c>
      <c r="B1762" s="967">
        <v>42851</v>
      </c>
      <c r="C1762" s="966">
        <v>164100</v>
      </c>
      <c r="D1762" s="966">
        <v>0</v>
      </c>
      <c r="E1762" s="966">
        <v>0</v>
      </c>
      <c r="F1762" s="966">
        <v>29033.03</v>
      </c>
      <c r="G1762" s="966">
        <v>25241.0188542</v>
      </c>
      <c r="H1762" s="966">
        <v>10245.94</v>
      </c>
      <c r="I1762" s="966">
        <v>16.02</v>
      </c>
      <c r="Q1762" s="967">
        <v>42851</v>
      </c>
      <c r="R1762" s="966">
        <v>164100</v>
      </c>
      <c r="T1762" s="969">
        <v>0</v>
      </c>
      <c r="U1762" s="966">
        <v>10245.94</v>
      </c>
      <c r="W1762" s="971" t="e">
        <f t="shared" si="30"/>
        <v>#DIV/0!</v>
      </c>
      <c r="Y1762" s="967">
        <v>42923</v>
      </c>
      <c r="Z1762" s="974">
        <f ca="1">H1712*Valuation_Senario!$L$372</f>
        <v>8335.6961604999997</v>
      </c>
      <c r="AA1762" s="973">
        <v>18.14</v>
      </c>
      <c r="AM1762" s="967">
        <v>42851</v>
      </c>
      <c r="AN1762" s="974">
        <v>164100</v>
      </c>
    </row>
    <row r="1763" spans="1:40">
      <c r="A1763" s="966">
        <v>1756</v>
      </c>
      <c r="B1763" s="967">
        <v>42850</v>
      </c>
      <c r="C1763" s="966">
        <v>163500</v>
      </c>
      <c r="D1763" s="966">
        <v>0</v>
      </c>
      <c r="E1763" s="966">
        <v>0</v>
      </c>
      <c r="F1763" s="966">
        <v>28953.9</v>
      </c>
      <c r="G1763" s="966">
        <v>25161.890869499999</v>
      </c>
      <c r="H1763" s="966">
        <v>10245.94</v>
      </c>
      <c r="I1763" s="966">
        <v>15.96</v>
      </c>
      <c r="Q1763" s="967">
        <v>42850</v>
      </c>
      <c r="R1763" s="966">
        <v>163500</v>
      </c>
      <c r="T1763" s="969">
        <v>0</v>
      </c>
      <c r="U1763" s="966">
        <v>10245.94</v>
      </c>
      <c r="W1763" s="971" t="e">
        <f t="shared" si="30"/>
        <v>#DIV/0!</v>
      </c>
      <c r="Y1763" s="967">
        <v>42922</v>
      </c>
      <c r="Z1763" s="974">
        <f ca="1">H1713*Valuation_Senario!$L$372</f>
        <v>8335.6961604999997</v>
      </c>
      <c r="AA1763" s="973">
        <v>18.09</v>
      </c>
      <c r="AM1763" s="967">
        <v>42850</v>
      </c>
      <c r="AN1763" s="974">
        <v>163500</v>
      </c>
    </row>
    <row r="1764" spans="1:40">
      <c r="A1764" s="966">
        <v>1757</v>
      </c>
      <c r="B1764" s="967">
        <v>42849</v>
      </c>
      <c r="C1764" s="966">
        <v>166000</v>
      </c>
      <c r="D1764" s="966">
        <v>0</v>
      </c>
      <c r="E1764" s="966">
        <v>0.10008</v>
      </c>
      <c r="F1764" s="966">
        <v>29338.639999999999</v>
      </c>
      <c r="G1764" s="966">
        <v>25546.629261999999</v>
      </c>
      <c r="H1764" s="966">
        <v>10245.94</v>
      </c>
      <c r="I1764" s="966">
        <v>16.2</v>
      </c>
      <c r="Q1764" s="967">
        <v>42849</v>
      </c>
      <c r="R1764" s="966">
        <v>166000</v>
      </c>
      <c r="T1764" s="969">
        <v>-0.10008</v>
      </c>
      <c r="U1764" s="966">
        <v>10245.94</v>
      </c>
      <c r="W1764" s="971" t="e">
        <f t="shared" si="30"/>
        <v>#DIV/0!</v>
      </c>
      <c r="Y1764" s="967">
        <v>42921</v>
      </c>
      <c r="Z1764" s="974">
        <f ca="1">H1714*Valuation_Senario!$L$372</f>
        <v>8335.6961604999997</v>
      </c>
      <c r="AA1764" s="973">
        <v>18.09</v>
      </c>
      <c r="AM1764" s="967">
        <v>42849</v>
      </c>
      <c r="AN1764" s="974">
        <v>166000</v>
      </c>
    </row>
    <row r="1765" spans="1:40">
      <c r="A1765" s="966">
        <v>1758</v>
      </c>
      <c r="B1765" s="967">
        <v>42846</v>
      </c>
      <c r="C1765" s="966">
        <v>166500</v>
      </c>
      <c r="D1765" s="966">
        <v>0</v>
      </c>
      <c r="E1765" s="966">
        <v>0</v>
      </c>
      <c r="F1765" s="966">
        <v>29415.59</v>
      </c>
      <c r="G1765" s="966">
        <v>25623.576940499999</v>
      </c>
      <c r="H1765" s="966">
        <v>10245.94</v>
      </c>
      <c r="I1765" s="966">
        <v>16.25</v>
      </c>
      <c r="Q1765" s="967">
        <v>42846</v>
      </c>
      <c r="R1765" s="966">
        <v>166500</v>
      </c>
      <c r="T1765" s="969">
        <v>0</v>
      </c>
      <c r="U1765" s="966">
        <v>10245.94</v>
      </c>
      <c r="W1765" s="971" t="e">
        <f t="shared" si="30"/>
        <v>#DIV/0!</v>
      </c>
      <c r="Y1765" s="967">
        <v>42920</v>
      </c>
      <c r="Z1765" s="974">
        <f ca="1">H1715*Valuation_Senario!$L$372</f>
        <v>8335.6961604999997</v>
      </c>
      <c r="AA1765" s="973">
        <v>18.23</v>
      </c>
      <c r="AM1765" s="967">
        <v>42846</v>
      </c>
      <c r="AN1765" s="974">
        <v>166500</v>
      </c>
    </row>
    <row r="1766" spans="1:40">
      <c r="A1766" s="966">
        <v>1759</v>
      </c>
      <c r="B1766" s="967">
        <v>42845</v>
      </c>
      <c r="C1766" s="966">
        <v>166000</v>
      </c>
      <c r="D1766" s="966">
        <v>0</v>
      </c>
      <c r="E1766" s="966">
        <v>0</v>
      </c>
      <c r="F1766" s="966">
        <v>29338.639999999999</v>
      </c>
      <c r="G1766" s="966">
        <v>25546.629261999999</v>
      </c>
      <c r="H1766" s="966">
        <v>10245.94</v>
      </c>
      <c r="I1766" s="966">
        <v>16.2</v>
      </c>
      <c r="Q1766" s="967">
        <v>42845</v>
      </c>
      <c r="R1766" s="966">
        <v>166000</v>
      </c>
      <c r="T1766" s="969">
        <v>0</v>
      </c>
      <c r="U1766" s="966">
        <v>10245.94</v>
      </c>
      <c r="W1766" s="971" t="e">
        <f t="shared" si="30"/>
        <v>#DIV/0!</v>
      </c>
      <c r="Y1766" s="967">
        <v>42919</v>
      </c>
      <c r="Z1766" s="974">
        <f ca="1">H1716*Valuation_Senario!$L$372</f>
        <v>8335.6961604999997</v>
      </c>
      <c r="AA1766" s="973">
        <v>18.11</v>
      </c>
      <c r="AM1766" s="967">
        <v>42845</v>
      </c>
      <c r="AN1766" s="974">
        <v>166000</v>
      </c>
    </row>
    <row r="1767" spans="1:40">
      <c r="A1767" s="966">
        <v>1760</v>
      </c>
      <c r="B1767" s="967">
        <v>42844</v>
      </c>
      <c r="C1767" s="966">
        <v>167000</v>
      </c>
      <c r="D1767" s="966">
        <v>0</v>
      </c>
      <c r="E1767" s="966">
        <v>0</v>
      </c>
      <c r="F1767" s="966">
        <v>29492.53</v>
      </c>
      <c r="G1767" s="966">
        <v>25700.524619</v>
      </c>
      <c r="H1767" s="966">
        <v>10730.26</v>
      </c>
      <c r="I1767" s="966">
        <v>15.56</v>
      </c>
      <c r="Q1767" s="967">
        <v>42844</v>
      </c>
      <c r="R1767" s="966">
        <v>167000</v>
      </c>
      <c r="T1767" s="969">
        <v>0</v>
      </c>
      <c r="U1767" s="966">
        <v>10730.26</v>
      </c>
      <c r="W1767" s="971" t="e">
        <f t="shared" si="30"/>
        <v>#DIV/0!</v>
      </c>
      <c r="Y1767" s="967">
        <v>42916</v>
      </c>
      <c r="Z1767" s="974">
        <f ca="1">H1717*Valuation_Senario!$L$372</f>
        <v>8335.6961604999997</v>
      </c>
      <c r="AA1767" s="973">
        <v>18.13</v>
      </c>
      <c r="AM1767" s="967">
        <v>42844</v>
      </c>
      <c r="AN1767" s="974">
        <v>167000</v>
      </c>
    </row>
    <row r="1768" spans="1:40">
      <c r="A1768" s="966">
        <v>1761</v>
      </c>
      <c r="B1768" s="967">
        <v>42843</v>
      </c>
      <c r="C1768" s="966">
        <v>163000</v>
      </c>
      <c r="D1768" s="966">
        <v>0</v>
      </c>
      <c r="E1768" s="966">
        <v>0</v>
      </c>
      <c r="F1768" s="966">
        <v>28876.95</v>
      </c>
      <c r="G1768" s="966">
        <v>25084.943190999998</v>
      </c>
      <c r="H1768" s="966">
        <v>10730.26</v>
      </c>
      <c r="I1768" s="966">
        <v>15.19</v>
      </c>
      <c r="Q1768" s="967">
        <v>42843</v>
      </c>
      <c r="R1768" s="966">
        <v>163000</v>
      </c>
      <c r="T1768" s="969">
        <v>0</v>
      </c>
      <c r="U1768" s="966">
        <v>10730.26</v>
      </c>
      <c r="W1768" s="971" t="e">
        <f t="shared" si="30"/>
        <v>#DIV/0!</v>
      </c>
      <c r="Y1768" s="967">
        <v>42915</v>
      </c>
      <c r="Z1768" s="974">
        <f ca="1">H1718*Valuation_Senario!$L$372</f>
        <v>8335.6961604999997</v>
      </c>
      <c r="AA1768" s="973">
        <v>17.79</v>
      </c>
      <c r="AM1768" s="967">
        <v>42843</v>
      </c>
      <c r="AN1768" s="974">
        <v>163000</v>
      </c>
    </row>
    <row r="1769" spans="1:40">
      <c r="A1769" s="966">
        <v>1762</v>
      </c>
      <c r="B1769" s="967">
        <v>42842</v>
      </c>
      <c r="C1769" s="966">
        <v>165000</v>
      </c>
      <c r="D1769" s="966">
        <v>0</v>
      </c>
      <c r="E1769" s="966">
        <v>0</v>
      </c>
      <c r="F1769" s="966">
        <v>29184.74</v>
      </c>
      <c r="G1769" s="966">
        <v>25392.733905000001</v>
      </c>
      <c r="H1769" s="966">
        <v>10730.26</v>
      </c>
      <c r="I1769" s="966">
        <v>15.38</v>
      </c>
      <c r="Q1769" s="967">
        <v>42842</v>
      </c>
      <c r="R1769" s="966">
        <v>165000</v>
      </c>
      <c r="T1769" s="969">
        <v>0</v>
      </c>
      <c r="U1769" s="966">
        <v>10730.26</v>
      </c>
      <c r="W1769" s="971" t="e">
        <f t="shared" si="30"/>
        <v>#DIV/0!</v>
      </c>
      <c r="Y1769" s="967">
        <v>42914</v>
      </c>
      <c r="Z1769" s="974">
        <f ca="1">H1719*Valuation_Senario!$L$372</f>
        <v>8335.6961604999997</v>
      </c>
      <c r="AA1769" s="973">
        <v>17.7</v>
      </c>
      <c r="AM1769" s="967">
        <v>42842</v>
      </c>
      <c r="AN1769" s="974">
        <v>165000</v>
      </c>
    </row>
    <row r="1770" spans="1:40">
      <c r="A1770" s="966">
        <v>1763</v>
      </c>
      <c r="B1770" s="967">
        <v>42839</v>
      </c>
      <c r="C1770" s="966">
        <v>167200</v>
      </c>
      <c r="D1770" s="966">
        <v>0</v>
      </c>
      <c r="E1770" s="966">
        <v>0</v>
      </c>
      <c r="F1770" s="966">
        <v>29523.31</v>
      </c>
      <c r="G1770" s="966">
        <v>25731.3036904</v>
      </c>
      <c r="H1770" s="966">
        <v>10730.26</v>
      </c>
      <c r="I1770" s="966">
        <v>15.58</v>
      </c>
      <c r="Q1770" s="967">
        <v>42839</v>
      </c>
      <c r="R1770" s="966">
        <v>167200</v>
      </c>
      <c r="T1770" s="969">
        <v>0</v>
      </c>
      <c r="U1770" s="966">
        <v>10730.26</v>
      </c>
      <c r="W1770" s="971" t="e">
        <f t="shared" si="30"/>
        <v>#DIV/0!</v>
      </c>
      <c r="Y1770" s="967">
        <v>42913</v>
      </c>
      <c r="Z1770" s="974">
        <f ca="1">H1720*Valuation_Senario!$L$372</f>
        <v>8335.6961604999997</v>
      </c>
      <c r="AA1770" s="973">
        <v>17.850000000000001</v>
      </c>
      <c r="AM1770" s="967">
        <v>42839</v>
      </c>
      <c r="AN1770" s="974">
        <v>167200</v>
      </c>
    </row>
    <row r="1771" spans="1:40">
      <c r="A1771" s="966">
        <v>1764</v>
      </c>
      <c r="B1771" s="967">
        <v>42838</v>
      </c>
      <c r="C1771" s="966">
        <v>170000</v>
      </c>
      <c r="D1771" s="966">
        <v>0</v>
      </c>
      <c r="E1771" s="966">
        <v>0</v>
      </c>
      <c r="F1771" s="966">
        <v>29954.22</v>
      </c>
      <c r="G1771" s="966">
        <v>26162.21069</v>
      </c>
      <c r="H1771" s="966">
        <v>10730.26</v>
      </c>
      <c r="I1771" s="966">
        <v>15.84</v>
      </c>
      <c r="Q1771" s="967">
        <v>42838</v>
      </c>
      <c r="R1771" s="966">
        <v>170000</v>
      </c>
      <c r="T1771" s="969">
        <v>0</v>
      </c>
      <c r="U1771" s="966">
        <v>10730.26</v>
      </c>
      <c r="W1771" s="971" t="e">
        <f t="shared" si="30"/>
        <v>#DIV/0!</v>
      </c>
      <c r="Y1771" s="967">
        <v>42912</v>
      </c>
      <c r="Z1771" s="974">
        <f ca="1">H1721*Valuation_Senario!$L$372</f>
        <v>8335.6961604999997</v>
      </c>
      <c r="AA1771" s="973">
        <v>18.14</v>
      </c>
      <c r="AM1771" s="967">
        <v>42838</v>
      </c>
      <c r="AN1771" s="974">
        <v>170000</v>
      </c>
    </row>
    <row r="1772" spans="1:40">
      <c r="A1772" s="966">
        <v>1765</v>
      </c>
      <c r="B1772" s="967">
        <v>42837</v>
      </c>
      <c r="C1772" s="966">
        <v>169000</v>
      </c>
      <c r="D1772" s="966">
        <v>0</v>
      </c>
      <c r="E1772" s="966">
        <v>0</v>
      </c>
      <c r="F1772" s="966">
        <v>29800.32</v>
      </c>
      <c r="G1772" s="966">
        <v>26008.315332999999</v>
      </c>
      <c r="H1772" s="966">
        <v>10730.26</v>
      </c>
      <c r="I1772" s="966">
        <v>15.75</v>
      </c>
      <c r="Q1772" s="967">
        <v>42837</v>
      </c>
      <c r="R1772" s="966">
        <v>169000</v>
      </c>
      <c r="T1772" s="969">
        <v>0</v>
      </c>
      <c r="U1772" s="966">
        <v>10730.26</v>
      </c>
      <c r="W1772" s="971" t="e">
        <f t="shared" si="30"/>
        <v>#DIV/0!</v>
      </c>
      <c r="Y1772" s="967">
        <v>42909</v>
      </c>
      <c r="Z1772" s="974">
        <f ca="1">H1722*Valuation_Senario!$L$372</f>
        <v>8335.6961604999997</v>
      </c>
      <c r="AA1772" s="973">
        <v>18.13</v>
      </c>
      <c r="AM1772" s="967">
        <v>42837</v>
      </c>
      <c r="AN1772" s="974">
        <v>169000</v>
      </c>
    </row>
    <row r="1773" spans="1:40">
      <c r="A1773" s="966">
        <v>1766</v>
      </c>
      <c r="B1773" s="967">
        <v>42836</v>
      </c>
      <c r="C1773" s="966">
        <v>168600</v>
      </c>
      <c r="D1773" s="966">
        <v>0</v>
      </c>
      <c r="E1773" s="966">
        <v>0</v>
      </c>
      <c r="F1773" s="966">
        <v>29738.77</v>
      </c>
      <c r="G1773" s="966">
        <v>25946.757190200002</v>
      </c>
      <c r="H1773" s="966">
        <v>10730.26</v>
      </c>
      <c r="I1773" s="966">
        <v>15.71</v>
      </c>
      <c r="Q1773" s="967">
        <v>42836</v>
      </c>
      <c r="R1773" s="966">
        <v>168600</v>
      </c>
      <c r="T1773" s="969">
        <v>0</v>
      </c>
      <c r="U1773" s="966">
        <v>10730.26</v>
      </c>
      <c r="W1773" s="971" t="e">
        <f t="shared" si="30"/>
        <v>#DIV/0!</v>
      </c>
      <c r="Y1773" s="967">
        <v>42908</v>
      </c>
      <c r="Z1773" s="974">
        <f ca="1">H1723*Valuation_Senario!$L$372</f>
        <v>8335.6961604999997</v>
      </c>
      <c r="AA1773" s="973">
        <v>17.79</v>
      </c>
      <c r="AM1773" s="967">
        <v>42836</v>
      </c>
      <c r="AN1773" s="974">
        <v>168600</v>
      </c>
    </row>
    <row r="1774" spans="1:40">
      <c r="A1774" s="966">
        <v>1767</v>
      </c>
      <c r="B1774" s="967">
        <v>42835</v>
      </c>
      <c r="C1774" s="966">
        <v>166100</v>
      </c>
      <c r="D1774" s="966">
        <v>0</v>
      </c>
      <c r="E1774" s="966">
        <v>0</v>
      </c>
      <c r="F1774" s="966">
        <v>29354.03</v>
      </c>
      <c r="G1774" s="966">
        <v>25562.018797699999</v>
      </c>
      <c r="H1774" s="966">
        <v>10730.26</v>
      </c>
      <c r="I1774" s="966">
        <v>15.48</v>
      </c>
      <c r="Q1774" s="967">
        <v>42835</v>
      </c>
      <c r="R1774" s="966">
        <v>166100</v>
      </c>
      <c r="T1774" s="969">
        <v>0</v>
      </c>
      <c r="U1774" s="966">
        <v>10730.26</v>
      </c>
      <c r="W1774" s="971" t="e">
        <f t="shared" si="30"/>
        <v>#DIV/0!</v>
      </c>
      <c r="Y1774" s="967">
        <v>42907</v>
      </c>
      <c r="Z1774" s="974">
        <f ca="1">H1724*Valuation_Senario!$L$372</f>
        <v>8335.6961604999997</v>
      </c>
      <c r="AA1774" s="973">
        <v>17.21</v>
      </c>
      <c r="AM1774" s="967">
        <v>42835</v>
      </c>
      <c r="AN1774" s="974">
        <v>166100</v>
      </c>
    </row>
    <row r="1775" spans="1:40">
      <c r="A1775" s="966">
        <v>1768</v>
      </c>
      <c r="B1775" s="967">
        <v>42832</v>
      </c>
      <c r="C1775" s="966">
        <v>167000</v>
      </c>
      <c r="D1775" s="966">
        <v>0</v>
      </c>
      <c r="E1775" s="966">
        <v>0</v>
      </c>
      <c r="F1775" s="966">
        <v>29492.53</v>
      </c>
      <c r="G1775" s="966">
        <v>25700.524619</v>
      </c>
      <c r="H1775" s="966">
        <v>10730.26</v>
      </c>
      <c r="I1775" s="966">
        <v>15.56</v>
      </c>
      <c r="Q1775" s="967">
        <v>42832</v>
      </c>
      <c r="R1775" s="966">
        <v>167000</v>
      </c>
      <c r="T1775" s="969">
        <v>0</v>
      </c>
      <c r="U1775" s="966">
        <v>10730.26</v>
      </c>
      <c r="W1775" s="971" t="e">
        <f t="shared" si="30"/>
        <v>#DIV/0!</v>
      </c>
      <c r="Y1775" s="967">
        <v>42906</v>
      </c>
      <c r="Z1775" s="974">
        <f ca="1">H1725*Valuation_Senario!$L$372</f>
        <v>8335.6961604999997</v>
      </c>
      <c r="AA1775" s="973">
        <v>17.09</v>
      </c>
      <c r="AM1775" s="967">
        <v>42832</v>
      </c>
      <c r="AN1775" s="974">
        <v>167000</v>
      </c>
    </row>
    <row r="1776" spans="1:40">
      <c r="A1776" s="966">
        <v>1769</v>
      </c>
      <c r="B1776" s="967">
        <v>42830</v>
      </c>
      <c r="C1776" s="966">
        <v>167000</v>
      </c>
      <c r="D1776" s="966">
        <v>0</v>
      </c>
      <c r="E1776" s="966">
        <v>0</v>
      </c>
      <c r="F1776" s="966">
        <v>29492.53</v>
      </c>
      <c r="G1776" s="966">
        <v>25700.524619</v>
      </c>
      <c r="H1776" s="966">
        <v>10730.26</v>
      </c>
      <c r="I1776" s="966">
        <v>15.56</v>
      </c>
      <c r="Q1776" s="967">
        <v>42830</v>
      </c>
      <c r="R1776" s="966">
        <v>167000</v>
      </c>
      <c r="T1776" s="969">
        <v>0</v>
      </c>
      <c r="U1776" s="966">
        <v>10730.26</v>
      </c>
      <c r="W1776" s="971" t="e">
        <f t="shared" si="30"/>
        <v>#DIV/0!</v>
      </c>
      <c r="Y1776" s="967">
        <v>42905</v>
      </c>
      <c r="Z1776" s="974">
        <f ca="1">H1726*Valuation_Senario!$L$372</f>
        <v>8335.6961604999997</v>
      </c>
      <c r="AA1776" s="973">
        <v>16.75</v>
      </c>
      <c r="AM1776" s="967">
        <v>42830</v>
      </c>
      <c r="AN1776" s="974">
        <v>167000</v>
      </c>
    </row>
    <row r="1777" spans="1:40">
      <c r="A1777" s="966">
        <v>1770</v>
      </c>
      <c r="B1777" s="967">
        <v>42829</v>
      </c>
      <c r="C1777" s="966">
        <v>166500</v>
      </c>
      <c r="D1777" s="966">
        <v>0</v>
      </c>
      <c r="E1777" s="966">
        <v>0</v>
      </c>
      <c r="F1777" s="966">
        <v>29415.59</v>
      </c>
      <c r="G1777" s="966">
        <v>25623.576940499999</v>
      </c>
      <c r="H1777" s="966">
        <v>10730.26</v>
      </c>
      <c r="I1777" s="966">
        <v>15.52</v>
      </c>
      <c r="Q1777" s="967">
        <v>42829</v>
      </c>
      <c r="R1777" s="966">
        <v>166500</v>
      </c>
      <c r="T1777" s="969">
        <v>0</v>
      </c>
      <c r="U1777" s="966">
        <v>10730.26</v>
      </c>
      <c r="W1777" s="971" t="e">
        <f t="shared" si="30"/>
        <v>#DIV/0!</v>
      </c>
      <c r="Y1777" s="967">
        <v>42902</v>
      </c>
      <c r="Z1777" s="974">
        <f ca="1">H1727*Valuation_Senario!$L$372</f>
        <v>8335.6961604999997</v>
      </c>
      <c r="AA1777" s="973">
        <v>16.77</v>
      </c>
      <c r="AM1777" s="967">
        <v>42829</v>
      </c>
      <c r="AN1777" s="974">
        <v>166500</v>
      </c>
    </row>
    <row r="1778" spans="1:40">
      <c r="A1778" s="966">
        <v>1771</v>
      </c>
      <c r="B1778" s="967">
        <v>42828</v>
      </c>
      <c r="C1778" s="966">
        <v>167500</v>
      </c>
      <c r="D1778" s="966">
        <v>3.6</v>
      </c>
      <c r="E1778" s="966">
        <v>3.6</v>
      </c>
      <c r="F1778" s="966">
        <v>29569.48</v>
      </c>
      <c r="G1778" s="966">
        <v>25777.4722975</v>
      </c>
      <c r="H1778" s="966">
        <v>10730.26</v>
      </c>
      <c r="I1778" s="966">
        <v>15.61</v>
      </c>
      <c r="Q1778" s="967">
        <v>42828</v>
      </c>
      <c r="R1778" s="966">
        <v>167500</v>
      </c>
      <c r="T1778" s="969">
        <v>0</v>
      </c>
      <c r="U1778" s="966">
        <v>10730.26</v>
      </c>
      <c r="W1778" s="971" t="e">
        <f t="shared" si="30"/>
        <v>#DIV/0!</v>
      </c>
      <c r="Y1778" s="967">
        <v>42901</v>
      </c>
      <c r="Z1778" s="974">
        <f ca="1">H1728*Valuation_Senario!$L$372</f>
        <v>8335.6961604999997</v>
      </c>
      <c r="AA1778" s="973">
        <v>16.86</v>
      </c>
      <c r="AM1778" s="967">
        <v>42828</v>
      </c>
      <c r="AN1778" s="974">
        <v>167500</v>
      </c>
    </row>
    <row r="1779" spans="1:40">
      <c r="A1779" s="966">
        <v>1772</v>
      </c>
      <c r="B1779" s="967">
        <v>42825</v>
      </c>
      <c r="C1779" s="966">
        <v>168300</v>
      </c>
      <c r="D1779" s="966">
        <v>0</v>
      </c>
      <c r="E1779" s="966">
        <v>0</v>
      </c>
      <c r="F1779" s="966">
        <v>29692.6</v>
      </c>
      <c r="G1779" s="966">
        <v>25900.588583100001</v>
      </c>
      <c r="H1779" s="966">
        <v>10730.26</v>
      </c>
      <c r="I1779" s="966">
        <v>15.68</v>
      </c>
      <c r="Q1779" s="967">
        <v>42825</v>
      </c>
      <c r="R1779" s="966">
        <v>168300</v>
      </c>
      <c r="T1779" s="969">
        <v>0</v>
      </c>
      <c r="U1779" s="966">
        <v>10730.26</v>
      </c>
      <c r="W1779" s="971" t="e">
        <f t="shared" si="30"/>
        <v>#DIV/0!</v>
      </c>
      <c r="Y1779" s="967">
        <v>42900</v>
      </c>
      <c r="Z1779" s="974">
        <f ca="1">H1729*Valuation_Senario!$L$372</f>
        <v>8335.6961604999997</v>
      </c>
      <c r="AA1779" s="973">
        <v>16.82</v>
      </c>
      <c r="AM1779" s="967">
        <v>42825</v>
      </c>
      <c r="AN1779" s="974">
        <v>168300</v>
      </c>
    </row>
    <row r="1780" spans="1:40">
      <c r="A1780" s="966">
        <v>1773</v>
      </c>
      <c r="B1780" s="967">
        <v>42824</v>
      </c>
      <c r="C1780" s="966">
        <v>168500</v>
      </c>
      <c r="D1780" s="966">
        <v>0</v>
      </c>
      <c r="E1780" s="966">
        <v>0</v>
      </c>
      <c r="F1780" s="966">
        <v>29723.38</v>
      </c>
      <c r="G1780" s="966">
        <v>25931.367654500002</v>
      </c>
      <c r="H1780" s="966">
        <v>10730.26</v>
      </c>
      <c r="I1780" s="966">
        <v>15.7</v>
      </c>
      <c r="Q1780" s="967">
        <v>42824</v>
      </c>
      <c r="R1780" s="966">
        <v>168500</v>
      </c>
      <c r="T1780" s="969">
        <v>0</v>
      </c>
      <c r="U1780" s="966">
        <v>10730.26</v>
      </c>
      <c r="W1780" s="971" t="e">
        <f t="shared" si="30"/>
        <v>#DIV/0!</v>
      </c>
      <c r="Y1780" s="967">
        <v>42899</v>
      </c>
      <c r="Z1780" s="974">
        <f ca="1">H1730*Valuation_Senario!$L$372</f>
        <v>8335.6961604999997</v>
      </c>
      <c r="AA1780" s="973">
        <v>16.739999999999998</v>
      </c>
      <c r="AM1780" s="967">
        <v>42824</v>
      </c>
      <c r="AN1780" s="974">
        <v>168500</v>
      </c>
    </row>
    <row r="1781" spans="1:40">
      <c r="A1781" s="966">
        <v>1774</v>
      </c>
      <c r="B1781" s="967">
        <v>42823</v>
      </c>
      <c r="C1781" s="966">
        <v>167500</v>
      </c>
      <c r="D1781" s="966">
        <v>0</v>
      </c>
      <c r="E1781" s="966">
        <v>0</v>
      </c>
      <c r="F1781" s="966">
        <v>29569.48</v>
      </c>
      <c r="G1781" s="966">
        <v>25777.4722975</v>
      </c>
      <c r="H1781" s="966">
        <v>10730.26</v>
      </c>
      <c r="I1781" s="966">
        <v>15.61</v>
      </c>
      <c r="Q1781" s="967">
        <v>42823</v>
      </c>
      <c r="R1781" s="966">
        <v>167500</v>
      </c>
      <c r="T1781" s="969">
        <v>0</v>
      </c>
      <c r="U1781" s="966">
        <v>10730.26</v>
      </c>
      <c r="W1781" s="971" t="e">
        <f t="shared" si="30"/>
        <v>#DIV/0!</v>
      </c>
      <c r="Y1781" s="967">
        <v>42898</v>
      </c>
      <c r="Z1781" s="974">
        <f ca="1">H1731*Valuation_Senario!$L$372</f>
        <v>8335.6961604999997</v>
      </c>
      <c r="AA1781" s="973">
        <v>17</v>
      </c>
      <c r="AM1781" s="967">
        <v>42823</v>
      </c>
      <c r="AN1781" s="974">
        <v>167500</v>
      </c>
    </row>
    <row r="1782" spans="1:40">
      <c r="A1782" s="966">
        <v>1775</v>
      </c>
      <c r="B1782" s="967">
        <v>42822</v>
      </c>
      <c r="C1782" s="966">
        <v>166000</v>
      </c>
      <c r="D1782" s="966">
        <v>0</v>
      </c>
      <c r="E1782" s="966">
        <v>0</v>
      </c>
      <c r="F1782" s="966">
        <v>29338.639999999999</v>
      </c>
      <c r="G1782" s="966">
        <v>25546.629261999999</v>
      </c>
      <c r="H1782" s="966">
        <v>10730.26</v>
      </c>
      <c r="I1782" s="966">
        <v>15.47</v>
      </c>
      <c r="Q1782" s="967">
        <v>42822</v>
      </c>
      <c r="R1782" s="966">
        <v>166000</v>
      </c>
      <c r="T1782" s="969">
        <v>0</v>
      </c>
      <c r="U1782" s="966">
        <v>10730.26</v>
      </c>
      <c r="W1782" s="971" t="e">
        <f t="shared" si="30"/>
        <v>#DIV/0!</v>
      </c>
      <c r="Y1782" s="967">
        <v>42895</v>
      </c>
      <c r="Z1782" s="974">
        <f ca="1">H1732*Valuation_Senario!$L$372</f>
        <v>8335.6961604999997</v>
      </c>
      <c r="AA1782" s="973">
        <v>17.14</v>
      </c>
      <c r="AM1782" s="967">
        <v>42822</v>
      </c>
      <c r="AN1782" s="974">
        <v>166000</v>
      </c>
    </row>
    <row r="1783" spans="1:40">
      <c r="A1783" s="966">
        <v>1776</v>
      </c>
      <c r="B1783" s="967">
        <v>42821</v>
      </c>
      <c r="C1783" s="966">
        <v>166000</v>
      </c>
      <c r="D1783" s="966">
        <v>0</v>
      </c>
      <c r="E1783" s="966">
        <v>0</v>
      </c>
      <c r="F1783" s="966">
        <v>29338.639999999999</v>
      </c>
      <c r="G1783" s="966">
        <v>25546.629261999999</v>
      </c>
      <c r="H1783" s="966">
        <v>10730.26</v>
      </c>
      <c r="I1783" s="966">
        <v>15.47</v>
      </c>
      <c r="Q1783" s="967">
        <v>42821</v>
      </c>
      <c r="R1783" s="966">
        <v>166000</v>
      </c>
      <c r="T1783" s="969">
        <v>0</v>
      </c>
      <c r="U1783" s="966">
        <v>10730.26</v>
      </c>
      <c r="W1783" s="971" t="e">
        <f t="shared" si="30"/>
        <v>#DIV/0!</v>
      </c>
      <c r="Y1783" s="967">
        <v>42894</v>
      </c>
      <c r="Z1783" s="974">
        <f ca="1">H1733*Valuation_Senario!$L$372</f>
        <v>8335.6961604999997</v>
      </c>
      <c r="AA1783" s="973">
        <v>17.260000000000002</v>
      </c>
      <c r="AM1783" s="967">
        <v>42821</v>
      </c>
      <c r="AN1783" s="974">
        <v>166000</v>
      </c>
    </row>
    <row r="1784" spans="1:40">
      <c r="A1784" s="966">
        <v>1777</v>
      </c>
      <c r="B1784" s="967">
        <v>42818</v>
      </c>
      <c r="C1784" s="966">
        <v>168700</v>
      </c>
      <c r="D1784" s="966">
        <v>0</v>
      </c>
      <c r="E1784" s="966">
        <v>0</v>
      </c>
      <c r="F1784" s="966">
        <v>29754.16</v>
      </c>
      <c r="G1784" s="966">
        <v>25962.146725899998</v>
      </c>
      <c r="H1784" s="966">
        <v>10730.26</v>
      </c>
      <c r="I1784" s="966">
        <v>15.72</v>
      </c>
      <c r="Q1784" s="967">
        <v>42818</v>
      </c>
      <c r="R1784" s="966">
        <v>168700</v>
      </c>
      <c r="T1784" s="969">
        <v>0</v>
      </c>
      <c r="U1784" s="966">
        <v>10730.26</v>
      </c>
      <c r="W1784" s="971" t="e">
        <f t="shared" si="30"/>
        <v>#DIV/0!</v>
      </c>
      <c r="Y1784" s="967">
        <v>42893</v>
      </c>
      <c r="Z1784" s="974">
        <f ca="1">H1734*Valuation_Senario!$L$372</f>
        <v>8335.6961604999997</v>
      </c>
      <c r="AA1784" s="973">
        <v>17.09</v>
      </c>
      <c r="AM1784" s="967">
        <v>42818</v>
      </c>
      <c r="AN1784" s="974">
        <v>168700</v>
      </c>
    </row>
    <row r="1785" spans="1:40">
      <c r="A1785" s="966">
        <v>1778</v>
      </c>
      <c r="B1785" s="967">
        <v>42817</v>
      </c>
      <c r="C1785" s="966">
        <v>168500</v>
      </c>
      <c r="D1785" s="966">
        <v>0</v>
      </c>
      <c r="E1785" s="966">
        <v>0</v>
      </c>
      <c r="F1785" s="966">
        <v>29723.38</v>
      </c>
      <c r="G1785" s="966">
        <v>25931.367654500002</v>
      </c>
      <c r="H1785" s="966">
        <v>10730.26</v>
      </c>
      <c r="I1785" s="966">
        <v>15.7</v>
      </c>
      <c r="Q1785" s="967">
        <v>42817</v>
      </c>
      <c r="R1785" s="966">
        <v>168500</v>
      </c>
      <c r="T1785" s="969">
        <v>0</v>
      </c>
      <c r="U1785" s="966">
        <v>10730.26</v>
      </c>
      <c r="W1785" s="971" t="e">
        <f t="shared" si="30"/>
        <v>#DIV/0!</v>
      </c>
      <c r="Y1785" s="967">
        <v>42892</v>
      </c>
      <c r="Z1785" s="974">
        <f ca="1">H1735*Valuation_Senario!$L$372</f>
        <v>8335.6961604999997</v>
      </c>
      <c r="AA1785" s="973">
        <v>16.95</v>
      </c>
      <c r="AM1785" s="967">
        <v>42817</v>
      </c>
      <c r="AN1785" s="974">
        <v>168500</v>
      </c>
    </row>
    <row r="1786" spans="1:40">
      <c r="A1786" s="966">
        <v>1779</v>
      </c>
      <c r="B1786" s="967">
        <v>42816</v>
      </c>
      <c r="C1786" s="966">
        <v>169200</v>
      </c>
      <c r="D1786" s="966">
        <v>0</v>
      </c>
      <c r="E1786" s="966">
        <v>0</v>
      </c>
      <c r="F1786" s="966">
        <v>29831.1</v>
      </c>
      <c r="G1786" s="966">
        <v>26039.094404399999</v>
      </c>
      <c r="H1786" s="966">
        <v>10730.26</v>
      </c>
      <c r="I1786" s="966">
        <v>15.77</v>
      </c>
      <c r="Q1786" s="967">
        <v>42816</v>
      </c>
      <c r="R1786" s="966">
        <v>169200</v>
      </c>
      <c r="T1786" s="969">
        <v>0</v>
      </c>
      <c r="U1786" s="966">
        <v>10730.26</v>
      </c>
      <c r="W1786" s="971" t="e">
        <f t="shared" si="30"/>
        <v>#DIV/0!</v>
      </c>
      <c r="Y1786" s="967">
        <v>42891</v>
      </c>
      <c r="Z1786" s="974">
        <f ca="1">H1736*Valuation_Senario!$L$372</f>
        <v>8335.6961604999997</v>
      </c>
      <c r="AA1786" s="973">
        <v>16.739999999999998</v>
      </c>
      <c r="AM1786" s="967">
        <v>42816</v>
      </c>
      <c r="AN1786" s="974">
        <v>169200</v>
      </c>
    </row>
    <row r="1787" spans="1:40">
      <c r="A1787" s="966">
        <v>1780</v>
      </c>
      <c r="B1787" s="967">
        <v>42815</v>
      </c>
      <c r="C1787" s="966">
        <v>172400</v>
      </c>
      <c r="D1787" s="966">
        <v>0</v>
      </c>
      <c r="E1787" s="966">
        <v>0</v>
      </c>
      <c r="F1787" s="966">
        <v>30323.57</v>
      </c>
      <c r="G1787" s="966">
        <v>26531.559546799999</v>
      </c>
      <c r="H1787" s="966">
        <v>10730.26</v>
      </c>
      <c r="I1787" s="966">
        <v>16.07</v>
      </c>
      <c r="Q1787" s="967">
        <v>42815</v>
      </c>
      <c r="R1787" s="966">
        <v>172400</v>
      </c>
      <c r="T1787" s="969">
        <v>0</v>
      </c>
      <c r="U1787" s="966">
        <v>10730.26</v>
      </c>
      <c r="W1787" s="971" t="e">
        <f t="shared" si="30"/>
        <v>#DIV/0!</v>
      </c>
      <c r="Y1787" s="967">
        <v>42888</v>
      </c>
      <c r="Z1787" s="974">
        <f ca="1">H1737*Valuation_Senario!$L$372</f>
        <v>8335.6961604999997</v>
      </c>
      <c r="AA1787" s="973">
        <v>16.82</v>
      </c>
      <c r="AM1787" s="967">
        <v>42815</v>
      </c>
      <c r="AN1787" s="974">
        <v>172400</v>
      </c>
    </row>
    <row r="1788" spans="1:40">
      <c r="A1788" s="966">
        <v>1781</v>
      </c>
      <c r="B1788" s="967">
        <v>42814</v>
      </c>
      <c r="C1788" s="966">
        <v>171800</v>
      </c>
      <c r="D1788" s="966">
        <v>0</v>
      </c>
      <c r="E1788" s="966">
        <v>0</v>
      </c>
      <c r="F1788" s="966">
        <v>30231.23</v>
      </c>
      <c r="G1788" s="966">
        <v>26439.222332599998</v>
      </c>
      <c r="H1788" s="966">
        <v>10730.26</v>
      </c>
      <c r="I1788" s="966">
        <v>16.010000000000002</v>
      </c>
      <c r="Q1788" s="967">
        <v>42814</v>
      </c>
      <c r="R1788" s="966">
        <v>171800</v>
      </c>
      <c r="T1788" s="969">
        <v>0</v>
      </c>
      <c r="U1788" s="966">
        <v>10730.26</v>
      </c>
      <c r="W1788" s="971" t="e">
        <f t="shared" si="30"/>
        <v>#DIV/0!</v>
      </c>
      <c r="Y1788" s="967">
        <v>42887</v>
      </c>
      <c r="Z1788" s="974">
        <f ca="1">H1738*Valuation_Senario!$L$372</f>
        <v>8335.6961604999997</v>
      </c>
      <c r="AA1788" s="973">
        <v>16.88</v>
      </c>
      <c r="AM1788" s="967">
        <v>42814</v>
      </c>
      <c r="AN1788" s="974">
        <v>171800</v>
      </c>
    </row>
    <row r="1789" spans="1:40">
      <c r="A1789" s="966">
        <v>1782</v>
      </c>
      <c r="B1789" s="967">
        <v>42811</v>
      </c>
      <c r="C1789" s="966">
        <v>171700</v>
      </c>
      <c r="D1789" s="966">
        <v>0</v>
      </c>
      <c r="E1789" s="966">
        <v>0</v>
      </c>
      <c r="F1789" s="966">
        <v>30215.84</v>
      </c>
      <c r="G1789" s="966">
        <v>26423.832796899998</v>
      </c>
      <c r="H1789" s="966">
        <v>10730.26</v>
      </c>
      <c r="I1789" s="966">
        <v>16</v>
      </c>
      <c r="Q1789" s="967">
        <v>42811</v>
      </c>
      <c r="R1789" s="966">
        <v>171700</v>
      </c>
      <c r="T1789" s="969">
        <v>0</v>
      </c>
      <c r="U1789" s="966">
        <v>10730.26</v>
      </c>
      <c r="W1789" s="971" t="e">
        <f t="shared" si="30"/>
        <v>#DIV/0!</v>
      </c>
      <c r="Y1789" s="967">
        <v>42886</v>
      </c>
      <c r="Z1789" s="974">
        <f ca="1">H1739*Valuation_Senario!$L$372</f>
        <v>8335.6961604999997</v>
      </c>
      <c r="AA1789" s="973">
        <v>16.47</v>
      </c>
      <c r="AM1789" s="967">
        <v>42811</v>
      </c>
      <c r="AN1789" s="974">
        <v>171700</v>
      </c>
    </row>
    <row r="1790" spans="1:40">
      <c r="A1790" s="966">
        <v>1783</v>
      </c>
      <c r="B1790" s="967">
        <v>42810</v>
      </c>
      <c r="C1790" s="966">
        <v>171000</v>
      </c>
      <c r="D1790" s="966">
        <v>0</v>
      </c>
      <c r="E1790" s="966">
        <v>0</v>
      </c>
      <c r="F1790" s="966">
        <v>30108.11</v>
      </c>
      <c r="G1790" s="966">
        <v>26316.106047000001</v>
      </c>
      <c r="H1790" s="966">
        <v>10730.26</v>
      </c>
      <c r="I1790" s="966">
        <v>15.94</v>
      </c>
      <c r="Q1790" s="967">
        <v>42810</v>
      </c>
      <c r="R1790" s="966">
        <v>171000</v>
      </c>
      <c r="T1790" s="969">
        <v>0</v>
      </c>
      <c r="U1790" s="966">
        <v>10730.26</v>
      </c>
      <c r="W1790" s="971" t="e">
        <f t="shared" si="30"/>
        <v>#DIV/0!</v>
      </c>
      <c r="Y1790" s="967">
        <v>42885</v>
      </c>
      <c r="Z1790" s="974">
        <f ca="1">H1740*Valuation_Senario!$L$372</f>
        <v>8335.6961604999997</v>
      </c>
      <c r="AA1790" s="973">
        <v>16.440000000000001</v>
      </c>
      <c r="AM1790" s="967">
        <v>42810</v>
      </c>
      <c r="AN1790" s="974">
        <v>171000</v>
      </c>
    </row>
    <row r="1791" spans="1:40">
      <c r="A1791" s="966">
        <v>1784</v>
      </c>
      <c r="B1791" s="967">
        <v>42809</v>
      </c>
      <c r="C1791" s="966">
        <v>174000</v>
      </c>
      <c r="D1791" s="966">
        <v>3.68</v>
      </c>
      <c r="E1791" s="966">
        <v>3.68</v>
      </c>
      <c r="F1791" s="966">
        <v>30569.8</v>
      </c>
      <c r="G1791" s="966">
        <v>26777.792118000001</v>
      </c>
      <c r="H1791" s="966">
        <v>10730.26</v>
      </c>
      <c r="I1791" s="966">
        <v>16.22</v>
      </c>
      <c r="Q1791" s="967">
        <v>42809</v>
      </c>
      <c r="R1791" s="966">
        <v>174000</v>
      </c>
      <c r="T1791" s="969">
        <v>0</v>
      </c>
      <c r="U1791" s="966">
        <v>10730.26</v>
      </c>
      <c r="W1791" s="971" t="e">
        <f t="shared" si="30"/>
        <v>#DIV/0!</v>
      </c>
      <c r="Y1791" s="967">
        <v>42884</v>
      </c>
      <c r="Z1791" s="974">
        <f ca="1">H1741*Valuation_Senario!$L$372</f>
        <v>8335.6961604999997</v>
      </c>
      <c r="AA1791" s="973">
        <v>16.59</v>
      </c>
      <c r="AM1791" s="967">
        <v>42809</v>
      </c>
      <c r="AN1791" s="974">
        <v>174000</v>
      </c>
    </row>
    <row r="1792" spans="1:40">
      <c r="A1792" s="966">
        <v>1785</v>
      </c>
      <c r="B1792" s="967">
        <v>42808</v>
      </c>
      <c r="C1792" s="966">
        <v>172000</v>
      </c>
      <c r="D1792" s="966">
        <v>0</v>
      </c>
      <c r="E1792" s="966">
        <v>0</v>
      </c>
      <c r="F1792" s="966">
        <v>30262.01</v>
      </c>
      <c r="G1792" s="966">
        <v>26470.001403999999</v>
      </c>
      <c r="H1792" s="966">
        <v>10730.26</v>
      </c>
      <c r="I1792" s="966">
        <v>16.03</v>
      </c>
      <c r="Q1792" s="967">
        <v>42808</v>
      </c>
      <c r="R1792" s="966">
        <v>172000</v>
      </c>
      <c r="T1792" s="969">
        <v>0</v>
      </c>
      <c r="U1792" s="966">
        <v>10730.26</v>
      </c>
      <c r="W1792" s="971" t="e">
        <f t="shared" si="30"/>
        <v>#DIV/0!</v>
      </c>
      <c r="Y1792" s="967">
        <v>42881</v>
      </c>
      <c r="Z1792" s="974">
        <f ca="1">H1742*Valuation_Senario!$L$372</f>
        <v>8335.6961604999997</v>
      </c>
      <c r="AA1792" s="973">
        <v>17.09</v>
      </c>
      <c r="AM1792" s="967">
        <v>42808</v>
      </c>
      <c r="AN1792" s="974">
        <v>172000</v>
      </c>
    </row>
    <row r="1793" spans="1:40">
      <c r="A1793" s="966">
        <v>1786</v>
      </c>
      <c r="B1793" s="967">
        <v>42807</v>
      </c>
      <c r="C1793" s="966">
        <v>169800</v>
      </c>
      <c r="D1793" s="966">
        <v>3.6160000000000001</v>
      </c>
      <c r="E1793" s="966">
        <v>3.6160000000000001</v>
      </c>
      <c r="F1793" s="966">
        <v>29923.439999999999</v>
      </c>
      <c r="G1793" s="966">
        <v>26131.4316186</v>
      </c>
      <c r="H1793" s="966">
        <v>10730.26</v>
      </c>
      <c r="I1793" s="966">
        <v>15.82</v>
      </c>
      <c r="Q1793" s="967">
        <v>42807</v>
      </c>
      <c r="R1793" s="966">
        <v>169800</v>
      </c>
      <c r="T1793" s="969">
        <v>0</v>
      </c>
      <c r="U1793" s="966">
        <v>10730.26</v>
      </c>
      <c r="W1793" s="971" t="e">
        <f t="shared" si="30"/>
        <v>#DIV/0!</v>
      </c>
      <c r="Y1793" s="967">
        <v>42880</v>
      </c>
      <c r="Z1793" s="974">
        <f ca="1">H1743*Valuation_Senario!$L$372</f>
        <v>8335.6961604999997</v>
      </c>
      <c r="AA1793" s="973">
        <v>17.32</v>
      </c>
      <c r="AM1793" s="967">
        <v>42807</v>
      </c>
      <c r="AN1793" s="974">
        <v>169800</v>
      </c>
    </row>
    <row r="1794" spans="1:40">
      <c r="A1794" s="966">
        <v>1787</v>
      </c>
      <c r="B1794" s="967">
        <v>42804</v>
      </c>
      <c r="C1794" s="966">
        <v>169000</v>
      </c>
      <c r="D1794" s="966">
        <v>0</v>
      </c>
      <c r="E1794" s="966">
        <v>0</v>
      </c>
      <c r="F1794" s="966">
        <v>29800.32</v>
      </c>
      <c r="G1794" s="966">
        <v>26008.315332999999</v>
      </c>
      <c r="H1794" s="966">
        <v>10730.26</v>
      </c>
      <c r="I1794" s="966">
        <v>15.75</v>
      </c>
      <c r="Q1794" s="967">
        <v>42804</v>
      </c>
      <c r="R1794" s="966">
        <v>169000</v>
      </c>
      <c r="T1794" s="969">
        <v>0</v>
      </c>
      <c r="U1794" s="966">
        <v>10730.26</v>
      </c>
      <c r="W1794" s="971" t="e">
        <f t="shared" si="30"/>
        <v>#DIV/0!</v>
      </c>
      <c r="Y1794" s="967">
        <v>42879</v>
      </c>
      <c r="Z1794" s="974">
        <f ca="1">H1744*Valuation_Senario!$L$372</f>
        <v>8335.6961604999997</v>
      </c>
      <c r="AA1794" s="973">
        <v>17.420000000000002</v>
      </c>
      <c r="AM1794" s="967">
        <v>42804</v>
      </c>
      <c r="AN1794" s="974">
        <v>169000</v>
      </c>
    </row>
    <row r="1795" spans="1:40">
      <c r="A1795" s="966">
        <v>1788</v>
      </c>
      <c r="B1795" s="967">
        <v>42803</v>
      </c>
      <c r="C1795" s="966">
        <v>169000</v>
      </c>
      <c r="D1795" s="966">
        <v>3.6320000000000001</v>
      </c>
      <c r="E1795" s="966">
        <v>3.6320000000000001</v>
      </c>
      <c r="F1795" s="966">
        <v>29800.32</v>
      </c>
      <c r="G1795" s="966">
        <v>26008.315332999999</v>
      </c>
      <c r="H1795" s="966">
        <v>10730.26</v>
      </c>
      <c r="I1795" s="966">
        <v>15.75</v>
      </c>
      <c r="Q1795" s="967">
        <v>42803</v>
      </c>
      <c r="R1795" s="966">
        <v>169000</v>
      </c>
      <c r="T1795" s="969">
        <v>0</v>
      </c>
      <c r="U1795" s="966">
        <v>10730.26</v>
      </c>
      <c r="W1795" s="971" t="e">
        <f t="shared" si="30"/>
        <v>#DIV/0!</v>
      </c>
      <c r="Y1795" s="967">
        <v>42878</v>
      </c>
      <c r="Z1795" s="974">
        <f ca="1">H1745*Valuation_Senario!$L$372</f>
        <v>8335.6961604999997</v>
      </c>
      <c r="AA1795" s="973">
        <v>16.649999999999999</v>
      </c>
      <c r="AM1795" s="967">
        <v>42803</v>
      </c>
      <c r="AN1795" s="974">
        <v>169000</v>
      </c>
    </row>
    <row r="1796" spans="1:40">
      <c r="A1796" s="966">
        <v>1789</v>
      </c>
      <c r="B1796" s="967">
        <v>42802</v>
      </c>
      <c r="C1796" s="966">
        <v>169800</v>
      </c>
      <c r="D1796" s="966">
        <v>1.8883019999999999</v>
      </c>
      <c r="E1796" s="966">
        <v>0</v>
      </c>
      <c r="F1796" s="966">
        <v>29923.439999999999</v>
      </c>
      <c r="G1796" s="966">
        <v>26131.4316186</v>
      </c>
      <c r="H1796" s="966">
        <v>10730.26</v>
      </c>
      <c r="I1796" s="966">
        <v>15.82</v>
      </c>
      <c r="Q1796" s="967">
        <v>42802</v>
      </c>
      <c r="R1796" s="966">
        <v>169800</v>
      </c>
      <c r="T1796" s="969">
        <v>1.8883019999999999</v>
      </c>
      <c r="U1796" s="966">
        <v>10730.26</v>
      </c>
      <c r="W1796" s="971" t="e">
        <f t="shared" si="30"/>
        <v>#DIV/0!</v>
      </c>
      <c r="Y1796" s="967">
        <v>42877</v>
      </c>
      <c r="Z1796" s="974">
        <f ca="1">H1746*Valuation_Senario!$L$372</f>
        <v>8335.6961604999997</v>
      </c>
      <c r="AA1796" s="973">
        <v>16.07</v>
      </c>
      <c r="AM1796" s="967">
        <v>42802</v>
      </c>
      <c r="AN1796" s="974">
        <v>169800</v>
      </c>
    </row>
    <row r="1797" spans="1:40">
      <c r="A1797" s="966">
        <v>1790</v>
      </c>
      <c r="B1797" s="967">
        <v>42801</v>
      </c>
      <c r="C1797" s="966">
        <v>167900</v>
      </c>
      <c r="D1797" s="966">
        <v>0</v>
      </c>
      <c r="E1797" s="966">
        <v>0</v>
      </c>
      <c r="F1797" s="966">
        <v>29631.040000000001</v>
      </c>
      <c r="G1797" s="966">
        <v>25839.030440300001</v>
      </c>
      <c r="H1797" s="966">
        <v>10730.26</v>
      </c>
      <c r="I1797" s="966">
        <v>15.65</v>
      </c>
      <c r="Q1797" s="967">
        <v>42801</v>
      </c>
      <c r="R1797" s="966">
        <v>167900</v>
      </c>
      <c r="T1797" s="969">
        <v>0</v>
      </c>
      <c r="U1797" s="966">
        <v>10730.26</v>
      </c>
      <c r="W1797" s="971" t="e">
        <f t="shared" si="30"/>
        <v>#DIV/0!</v>
      </c>
      <c r="Y1797" s="967">
        <v>42874</v>
      </c>
      <c r="Z1797" s="974">
        <f ca="1">H1747*Valuation_Senario!$L$372</f>
        <v>16956.419824699999</v>
      </c>
      <c r="AA1797" s="973">
        <v>15.72</v>
      </c>
      <c r="AM1797" s="967">
        <v>42801</v>
      </c>
      <c r="AN1797" s="974">
        <v>167900</v>
      </c>
    </row>
    <row r="1798" spans="1:40">
      <c r="A1798" s="966">
        <v>1791</v>
      </c>
      <c r="B1798" s="967">
        <v>42800</v>
      </c>
      <c r="C1798" s="966">
        <v>166300</v>
      </c>
      <c r="D1798" s="966">
        <v>1.3360000000000001</v>
      </c>
      <c r="E1798" s="966">
        <v>0</v>
      </c>
      <c r="F1798" s="966">
        <v>29384.81</v>
      </c>
      <c r="G1798" s="966">
        <v>25592.797869099999</v>
      </c>
      <c r="H1798" s="966">
        <v>10730.26</v>
      </c>
      <c r="I1798" s="966">
        <v>15.5</v>
      </c>
      <c r="Q1798" s="967">
        <v>42800</v>
      </c>
      <c r="R1798" s="966">
        <v>166300</v>
      </c>
      <c r="T1798" s="969">
        <v>1.3360000000000001</v>
      </c>
      <c r="U1798" s="966">
        <v>10730.26</v>
      </c>
      <c r="W1798" s="971" t="e">
        <f t="shared" si="30"/>
        <v>#DIV/0!</v>
      </c>
      <c r="Y1798" s="967">
        <v>42873</v>
      </c>
      <c r="Z1798" s="974">
        <f ca="1">H1748*Valuation_Senario!$L$372</f>
        <v>16956.419824699999</v>
      </c>
      <c r="AA1798" s="973">
        <v>15.61</v>
      </c>
      <c r="AM1798" s="967">
        <v>42800</v>
      </c>
      <c r="AN1798" s="974">
        <v>166300</v>
      </c>
    </row>
    <row r="1799" spans="1:40">
      <c r="A1799" s="966">
        <v>1792</v>
      </c>
      <c r="B1799" s="967">
        <v>42797</v>
      </c>
      <c r="C1799" s="966">
        <v>166300</v>
      </c>
      <c r="D1799" s="966">
        <v>1.67E-3</v>
      </c>
      <c r="E1799" s="966">
        <v>1.862392</v>
      </c>
      <c r="F1799" s="966">
        <v>29384.81</v>
      </c>
      <c r="G1799" s="966">
        <v>25592.797869099999</v>
      </c>
      <c r="H1799" s="966">
        <v>10730.26</v>
      </c>
      <c r="I1799" s="966">
        <v>15.5</v>
      </c>
      <c r="Q1799" s="967">
        <v>42797</v>
      </c>
      <c r="R1799" s="966">
        <v>166300</v>
      </c>
      <c r="T1799" s="969">
        <v>-1.860722</v>
      </c>
      <c r="U1799" s="966">
        <v>10730.26</v>
      </c>
      <c r="W1799" s="971" t="e">
        <f t="shared" si="30"/>
        <v>#DIV/0!</v>
      </c>
      <c r="Y1799" s="967">
        <v>42872</v>
      </c>
      <c r="Z1799" s="974">
        <f ca="1">H1749*Valuation_Senario!$L$372</f>
        <v>16956.419824699999</v>
      </c>
      <c r="AA1799" s="973">
        <v>15.59</v>
      </c>
      <c r="AM1799" s="967">
        <v>42797</v>
      </c>
      <c r="AN1799" s="974">
        <v>166300</v>
      </c>
    </row>
    <row r="1800" spans="1:40">
      <c r="A1800" s="966">
        <v>1793</v>
      </c>
      <c r="B1800" s="967">
        <v>42796</v>
      </c>
      <c r="C1800" s="966">
        <v>167000</v>
      </c>
      <c r="D1800" s="966">
        <v>12.467000000000001</v>
      </c>
      <c r="E1800" s="966">
        <v>12.467000000000001</v>
      </c>
      <c r="F1800" s="966">
        <v>29492.53</v>
      </c>
      <c r="G1800" s="966">
        <v>25700.524619</v>
      </c>
      <c r="H1800" s="966">
        <v>10730.26</v>
      </c>
      <c r="I1800" s="966">
        <v>15.56</v>
      </c>
      <c r="Q1800" s="967">
        <v>42796</v>
      </c>
      <c r="R1800" s="966">
        <v>167000</v>
      </c>
      <c r="T1800" s="969">
        <v>0</v>
      </c>
      <c r="U1800" s="966">
        <v>10730.26</v>
      </c>
      <c r="W1800" s="971" t="e">
        <f t="shared" si="30"/>
        <v>#DIV/0!</v>
      </c>
      <c r="Y1800" s="967">
        <v>42871</v>
      </c>
      <c r="Z1800" s="974">
        <f ca="1">H1750*Valuation_Senario!$L$372</f>
        <v>16956.419824699999</v>
      </c>
      <c r="AA1800" s="973">
        <v>15.65</v>
      </c>
      <c r="AM1800" s="967">
        <v>42796</v>
      </c>
      <c r="AN1800" s="974">
        <v>167000</v>
      </c>
    </row>
    <row r="1801" spans="1:40">
      <c r="A1801" s="966">
        <v>1794</v>
      </c>
      <c r="B1801" s="967">
        <v>42795</v>
      </c>
      <c r="C1801" s="966">
        <v>166500</v>
      </c>
      <c r="D1801" s="966">
        <v>3.5739999999999998</v>
      </c>
      <c r="E1801" s="966">
        <v>4.9042060000000003</v>
      </c>
      <c r="F1801" s="966">
        <v>29415.59</v>
      </c>
      <c r="G1801" s="966">
        <v>25623.576940499999</v>
      </c>
      <c r="H1801" s="966">
        <v>10730.26</v>
      </c>
      <c r="I1801" s="966">
        <v>15.52</v>
      </c>
      <c r="Q1801" s="967">
        <v>42795</v>
      </c>
      <c r="R1801" s="966">
        <v>166500</v>
      </c>
      <c r="T1801" s="969">
        <v>-1.3302060000000004</v>
      </c>
      <c r="U1801" s="966">
        <v>10730.26</v>
      </c>
      <c r="W1801" s="971" t="e">
        <f t="shared" ref="W1801:W1837" si="31">T1801/V1801</f>
        <v>#DIV/0!</v>
      </c>
      <c r="Y1801" s="967">
        <v>42870</v>
      </c>
      <c r="Z1801" s="974">
        <f ca="1">H1751*Valuation_Senario!$L$372</f>
        <v>16956.419824699999</v>
      </c>
      <c r="AA1801" s="973">
        <v>15.88</v>
      </c>
      <c r="AM1801" s="967">
        <v>42795</v>
      </c>
      <c r="AN1801" s="974">
        <v>166500</v>
      </c>
    </row>
    <row r="1802" spans="1:40">
      <c r="A1802" s="966">
        <v>1795</v>
      </c>
      <c r="B1802" s="967">
        <v>42794</v>
      </c>
      <c r="C1802" s="966">
        <v>167100</v>
      </c>
      <c r="D1802" s="966">
        <v>0</v>
      </c>
      <c r="E1802" s="966">
        <v>0</v>
      </c>
      <c r="F1802" s="966">
        <v>29507.919999999998</v>
      </c>
      <c r="G1802" s="966">
        <v>25715.9141547</v>
      </c>
      <c r="H1802" s="966">
        <v>10730.26</v>
      </c>
      <c r="I1802" s="966">
        <v>15.57</v>
      </c>
      <c r="Q1802" s="967">
        <v>42794</v>
      </c>
      <c r="R1802" s="966">
        <v>167100</v>
      </c>
      <c r="T1802" s="969">
        <v>0</v>
      </c>
      <c r="U1802" s="966">
        <v>10730.26</v>
      </c>
      <c r="W1802" s="971" t="e">
        <f t="shared" si="31"/>
        <v>#DIV/0!</v>
      </c>
      <c r="Y1802" s="967">
        <v>42867</v>
      </c>
      <c r="Z1802" s="974">
        <f ca="1">H1752*Valuation_Senario!$L$372</f>
        <v>16956.419824699999</v>
      </c>
      <c r="AA1802" s="973">
        <v>15.07</v>
      </c>
      <c r="AM1802" s="967">
        <v>42794</v>
      </c>
      <c r="AN1802" s="974">
        <v>167100</v>
      </c>
    </row>
    <row r="1803" spans="1:40">
      <c r="A1803" s="966">
        <v>1796</v>
      </c>
      <c r="B1803" s="967">
        <v>42793</v>
      </c>
      <c r="C1803" s="966">
        <v>168600</v>
      </c>
      <c r="D1803" s="966">
        <v>31.54176</v>
      </c>
      <c r="E1803" s="966">
        <v>31.54176</v>
      </c>
      <c r="F1803" s="966">
        <v>29738.77</v>
      </c>
      <c r="G1803" s="966">
        <v>25946.757190200002</v>
      </c>
      <c r="H1803" s="966">
        <v>10730.26</v>
      </c>
      <c r="I1803" s="966">
        <v>15.71</v>
      </c>
      <c r="Q1803" s="967">
        <v>42793</v>
      </c>
      <c r="R1803" s="966">
        <v>168600</v>
      </c>
      <c r="T1803" s="969">
        <v>0</v>
      </c>
      <c r="U1803" s="966">
        <v>10730.26</v>
      </c>
      <c r="W1803" s="971" t="e">
        <f t="shared" si="31"/>
        <v>#DIV/0!</v>
      </c>
      <c r="Y1803" s="967">
        <v>42866</v>
      </c>
      <c r="Z1803" s="974">
        <f ca="1">H1753*Valuation_Senario!$L$372</f>
        <v>16956.419824699999</v>
      </c>
      <c r="AA1803" s="973">
        <v>14.98</v>
      </c>
      <c r="AM1803" s="967">
        <v>42793</v>
      </c>
      <c r="AN1803" s="974">
        <v>168600</v>
      </c>
    </row>
    <row r="1804" spans="1:40">
      <c r="A1804" s="966">
        <v>1797</v>
      </c>
      <c r="B1804" s="967">
        <v>42790</v>
      </c>
      <c r="C1804" s="966">
        <v>166000</v>
      </c>
      <c r="D1804" s="966">
        <v>0</v>
      </c>
      <c r="E1804" s="966">
        <v>0</v>
      </c>
      <c r="F1804" s="966">
        <v>29338.639999999999</v>
      </c>
      <c r="G1804" s="966">
        <v>25546.629261999999</v>
      </c>
      <c r="H1804" s="966">
        <v>10730.26</v>
      </c>
      <c r="I1804" s="966">
        <v>15.47</v>
      </c>
      <c r="Q1804" s="967">
        <v>42790</v>
      </c>
      <c r="R1804" s="966">
        <v>166000</v>
      </c>
      <c r="T1804" s="969">
        <v>0</v>
      </c>
      <c r="U1804" s="966">
        <v>10730.26</v>
      </c>
      <c r="W1804" s="971" t="e">
        <f t="shared" si="31"/>
        <v>#DIV/0!</v>
      </c>
      <c r="Y1804" s="967">
        <v>42865</v>
      </c>
      <c r="Z1804" s="974">
        <f ca="1">H1754*Valuation_Senario!$L$372</f>
        <v>16956.419824699999</v>
      </c>
      <c r="AA1804" s="973">
        <v>14.95</v>
      </c>
      <c r="AM1804" s="967">
        <v>42790</v>
      </c>
      <c r="AN1804" s="974">
        <v>166000</v>
      </c>
    </row>
    <row r="1805" spans="1:40">
      <c r="A1805" s="966">
        <v>1798</v>
      </c>
      <c r="B1805" s="967">
        <v>42789</v>
      </c>
      <c r="C1805" s="966">
        <v>165300</v>
      </c>
      <c r="D1805" s="966">
        <v>0</v>
      </c>
      <c r="E1805" s="966">
        <v>0</v>
      </c>
      <c r="F1805" s="966">
        <v>29230.91</v>
      </c>
      <c r="G1805" s="966">
        <v>25438.902512100001</v>
      </c>
      <c r="H1805" s="966">
        <v>10730.26</v>
      </c>
      <c r="I1805" s="966">
        <v>15.41</v>
      </c>
      <c r="Q1805" s="967">
        <v>42789</v>
      </c>
      <c r="R1805" s="966">
        <v>165300</v>
      </c>
      <c r="T1805" s="969">
        <v>0</v>
      </c>
      <c r="U1805" s="966">
        <v>10730.26</v>
      </c>
      <c r="W1805" s="971" t="e">
        <f t="shared" si="31"/>
        <v>#DIV/0!</v>
      </c>
      <c r="Y1805" s="967">
        <v>42864</v>
      </c>
      <c r="Z1805" s="974">
        <f ca="1">H1755*Valuation_Senario!$L$372</f>
        <v>16956.419824699999</v>
      </c>
      <c r="AA1805" s="973">
        <v>14.94</v>
      </c>
      <c r="AM1805" s="967">
        <v>42789</v>
      </c>
      <c r="AN1805" s="974">
        <v>165300</v>
      </c>
    </row>
    <row r="1806" spans="1:40">
      <c r="A1806" s="966">
        <v>1799</v>
      </c>
      <c r="B1806" s="967">
        <v>42788</v>
      </c>
      <c r="C1806" s="966">
        <v>166100</v>
      </c>
      <c r="D1806" s="966">
        <v>0</v>
      </c>
      <c r="E1806" s="966">
        <v>0</v>
      </c>
      <c r="F1806" s="966">
        <v>29354.03</v>
      </c>
      <c r="G1806" s="966">
        <v>25562.018797699999</v>
      </c>
      <c r="H1806" s="966">
        <v>10730.26</v>
      </c>
      <c r="I1806" s="966">
        <v>15.48</v>
      </c>
      <c r="Q1806" s="967">
        <v>42788</v>
      </c>
      <c r="R1806" s="966">
        <v>166100</v>
      </c>
      <c r="T1806" s="969">
        <v>0</v>
      </c>
      <c r="U1806" s="966">
        <v>10730.26</v>
      </c>
      <c r="W1806" s="971" t="e">
        <f t="shared" si="31"/>
        <v>#DIV/0!</v>
      </c>
      <c r="Y1806" s="967">
        <v>42863</v>
      </c>
      <c r="Z1806" s="974">
        <f ca="1">H1756*Valuation_Senario!$L$372</f>
        <v>16956.419824699999</v>
      </c>
      <c r="AA1806" s="973">
        <v>14.8</v>
      </c>
      <c r="AM1806" s="967">
        <v>42788</v>
      </c>
      <c r="AN1806" s="974">
        <v>166100</v>
      </c>
    </row>
    <row r="1807" spans="1:40">
      <c r="A1807" s="966">
        <v>1800</v>
      </c>
      <c r="B1807" s="967">
        <v>42787</v>
      </c>
      <c r="C1807" s="966">
        <v>168500</v>
      </c>
      <c r="D1807" s="966">
        <v>0</v>
      </c>
      <c r="E1807" s="966">
        <v>0</v>
      </c>
      <c r="F1807" s="966">
        <v>29723.38</v>
      </c>
      <c r="G1807" s="966">
        <v>25931.367654500002</v>
      </c>
      <c r="H1807" s="966">
        <v>10730.26</v>
      </c>
      <c r="I1807" s="966">
        <v>15.7</v>
      </c>
      <c r="Q1807" s="967">
        <v>42787</v>
      </c>
      <c r="R1807" s="966">
        <v>168500</v>
      </c>
      <c r="T1807" s="969">
        <v>0</v>
      </c>
      <c r="U1807" s="966">
        <v>10730.26</v>
      </c>
      <c r="W1807" s="971" t="e">
        <f t="shared" si="31"/>
        <v>#DIV/0!</v>
      </c>
      <c r="Y1807" s="967">
        <v>42860</v>
      </c>
      <c r="Z1807" s="974">
        <f ca="1">H1757*Valuation_Senario!$L$372</f>
        <v>16956.419824699999</v>
      </c>
      <c r="AA1807" s="973">
        <v>14.9</v>
      </c>
      <c r="AM1807" s="967">
        <v>42787</v>
      </c>
      <c r="AN1807" s="974">
        <v>168500</v>
      </c>
    </row>
    <row r="1808" spans="1:40">
      <c r="A1808" s="966">
        <v>1801</v>
      </c>
      <c r="B1808" s="967">
        <v>42786</v>
      </c>
      <c r="C1808" s="966">
        <v>168000</v>
      </c>
      <c r="D1808" s="966">
        <v>0</v>
      </c>
      <c r="E1808" s="966">
        <v>0</v>
      </c>
      <c r="F1808" s="966">
        <v>29646.43</v>
      </c>
      <c r="G1808" s="966">
        <v>25854.419976000001</v>
      </c>
      <c r="H1808" s="966">
        <v>10730.23</v>
      </c>
      <c r="I1808" s="966">
        <v>15.66</v>
      </c>
      <c r="Q1808" s="967">
        <v>42786</v>
      </c>
      <c r="R1808" s="966">
        <v>168000</v>
      </c>
      <c r="T1808" s="969">
        <v>0</v>
      </c>
      <c r="U1808" s="966">
        <v>10730.23</v>
      </c>
      <c r="W1808" s="971" t="e">
        <f t="shared" si="31"/>
        <v>#DIV/0!</v>
      </c>
      <c r="Y1808" s="967">
        <v>42859</v>
      </c>
      <c r="Z1808" s="974">
        <f ca="1">H1758*Valuation_Senario!$L$372</f>
        <v>16956.419824699999</v>
      </c>
      <c r="AA1808" s="973">
        <v>14.88</v>
      </c>
      <c r="AM1808" s="967">
        <v>42786</v>
      </c>
      <c r="AN1808" s="974">
        <v>168000</v>
      </c>
    </row>
    <row r="1809" spans="1:40">
      <c r="A1809" s="966">
        <v>1802</v>
      </c>
      <c r="B1809" s="967">
        <v>42783</v>
      </c>
      <c r="C1809" s="966">
        <v>172000</v>
      </c>
      <c r="D1809" s="966">
        <v>0</v>
      </c>
      <c r="E1809" s="966">
        <v>0</v>
      </c>
      <c r="F1809" s="966">
        <v>30262.01</v>
      </c>
      <c r="G1809" s="966">
        <v>26470.001403999999</v>
      </c>
      <c r="H1809" s="966">
        <v>10730.23</v>
      </c>
      <c r="I1809" s="966">
        <v>16.03</v>
      </c>
      <c r="Q1809" s="967">
        <v>42783</v>
      </c>
      <c r="R1809" s="966">
        <v>172000</v>
      </c>
      <c r="T1809" s="969">
        <v>0</v>
      </c>
      <c r="U1809" s="966">
        <v>10730.23</v>
      </c>
      <c r="W1809" s="971" t="e">
        <f t="shared" si="31"/>
        <v>#DIV/0!</v>
      </c>
      <c r="Y1809" s="967">
        <v>42858</v>
      </c>
      <c r="Z1809" s="974">
        <f ca="1">H1759*Valuation_Senario!$L$372</f>
        <v>16956.419824699999</v>
      </c>
      <c r="AA1809" s="973">
        <v>14.6</v>
      </c>
      <c r="AM1809" s="967">
        <v>42783</v>
      </c>
      <c r="AN1809" s="974">
        <v>172000</v>
      </c>
    </row>
    <row r="1810" spans="1:40">
      <c r="A1810" s="966">
        <v>1803</v>
      </c>
      <c r="B1810" s="967">
        <v>42782</v>
      </c>
      <c r="C1810" s="966">
        <v>173000</v>
      </c>
      <c r="D1810" s="966">
        <v>0</v>
      </c>
      <c r="E1810" s="966">
        <v>0</v>
      </c>
      <c r="F1810" s="966">
        <v>30415.91</v>
      </c>
      <c r="G1810" s="966">
        <v>26623.896761</v>
      </c>
      <c r="H1810" s="966">
        <v>10730.23</v>
      </c>
      <c r="I1810" s="966">
        <v>16.12</v>
      </c>
      <c r="Q1810" s="967">
        <v>42782</v>
      </c>
      <c r="R1810" s="966">
        <v>173000</v>
      </c>
      <c r="T1810" s="969">
        <v>0</v>
      </c>
      <c r="U1810" s="966">
        <v>10730.23</v>
      </c>
      <c r="W1810" s="971" t="e">
        <f t="shared" si="31"/>
        <v>#DIV/0!</v>
      </c>
      <c r="Y1810" s="967">
        <v>42853</v>
      </c>
      <c r="Z1810" s="974">
        <f ca="1">H1760*Valuation_Senario!$L$372</f>
        <v>16956.419824699999</v>
      </c>
      <c r="AA1810" s="973">
        <v>14.46</v>
      </c>
      <c r="AM1810" s="967">
        <v>42782</v>
      </c>
      <c r="AN1810" s="974">
        <v>173000</v>
      </c>
    </row>
    <row r="1811" spans="1:40">
      <c r="A1811" s="966">
        <v>1804</v>
      </c>
      <c r="B1811" s="967">
        <v>42781</v>
      </c>
      <c r="C1811" s="966">
        <v>173000</v>
      </c>
      <c r="D1811" s="966">
        <v>1.376E-2</v>
      </c>
      <c r="E1811" s="966">
        <v>0</v>
      </c>
      <c r="F1811" s="966">
        <v>30415.91</v>
      </c>
      <c r="G1811" s="966">
        <v>26623.896761</v>
      </c>
      <c r="H1811" s="966">
        <v>10730.23</v>
      </c>
      <c r="I1811" s="966">
        <v>16.12</v>
      </c>
      <c r="Q1811" s="967">
        <v>42781</v>
      </c>
      <c r="R1811" s="966">
        <v>173000</v>
      </c>
      <c r="T1811" s="969">
        <v>1.376E-2</v>
      </c>
      <c r="U1811" s="966">
        <v>10730.23</v>
      </c>
      <c r="W1811" s="971" t="e">
        <f t="shared" si="31"/>
        <v>#DIV/0!</v>
      </c>
      <c r="Y1811" s="967">
        <v>42852</v>
      </c>
      <c r="Z1811" s="974">
        <f ca="1">H1761*Valuation_Senario!$L$372</f>
        <v>15045.72231458</v>
      </c>
      <c r="AA1811" s="973">
        <v>16.28</v>
      </c>
      <c r="AM1811" s="967">
        <v>42781</v>
      </c>
      <c r="AN1811" s="974">
        <v>173000</v>
      </c>
    </row>
    <row r="1812" spans="1:40">
      <c r="A1812" s="966">
        <v>1805</v>
      </c>
      <c r="B1812" s="967">
        <v>42780</v>
      </c>
      <c r="C1812" s="966">
        <v>172000</v>
      </c>
      <c r="D1812" s="966">
        <v>64.363349999999997</v>
      </c>
      <c r="E1812" s="966">
        <v>64.363349999999997</v>
      </c>
      <c r="F1812" s="966">
        <v>30262.01</v>
      </c>
      <c r="G1812" s="966">
        <v>26470.001403999999</v>
      </c>
      <c r="H1812" s="966">
        <v>10730.23</v>
      </c>
      <c r="I1812" s="966">
        <v>16.03</v>
      </c>
      <c r="Q1812" s="967">
        <v>42780</v>
      </c>
      <c r="R1812" s="966">
        <v>172000</v>
      </c>
      <c r="T1812" s="969">
        <v>0</v>
      </c>
      <c r="U1812" s="966">
        <v>10730.23</v>
      </c>
      <c r="W1812" s="971" t="e">
        <f t="shared" si="31"/>
        <v>#DIV/0!</v>
      </c>
      <c r="Y1812" s="967">
        <v>42851</v>
      </c>
      <c r="Z1812" s="974">
        <f ca="1">H1762*Valuation_Senario!$L$372</f>
        <v>15045.72231458</v>
      </c>
      <c r="AA1812" s="973">
        <v>16.02</v>
      </c>
      <c r="AM1812" s="967">
        <v>42780</v>
      </c>
      <c r="AN1812" s="974">
        <v>172000</v>
      </c>
    </row>
    <row r="1813" spans="1:40">
      <c r="A1813" s="966">
        <v>1806</v>
      </c>
      <c r="B1813" s="967">
        <v>42779</v>
      </c>
      <c r="C1813" s="966">
        <v>173200</v>
      </c>
      <c r="D1813" s="966">
        <v>3.1687500000000002</v>
      </c>
      <c r="E1813" s="966">
        <v>0</v>
      </c>
      <c r="F1813" s="966">
        <v>30446.68</v>
      </c>
      <c r="G1813" s="966">
        <v>26654.6758324</v>
      </c>
      <c r="H1813" s="966">
        <v>10730.23</v>
      </c>
      <c r="I1813" s="966">
        <v>16.14</v>
      </c>
      <c r="Q1813" s="967">
        <v>42779</v>
      </c>
      <c r="R1813" s="966">
        <v>173200</v>
      </c>
      <c r="T1813" s="969">
        <v>3.1687500000000002</v>
      </c>
      <c r="U1813" s="966">
        <v>10730.23</v>
      </c>
      <c r="W1813" s="971" t="e">
        <f t="shared" si="31"/>
        <v>#DIV/0!</v>
      </c>
      <c r="Y1813" s="967">
        <v>42850</v>
      </c>
      <c r="Z1813" s="974">
        <f ca="1">H1763*Valuation_Senario!$L$372</f>
        <v>15045.72231458</v>
      </c>
      <c r="AA1813" s="973">
        <v>15.96</v>
      </c>
      <c r="AM1813" s="967">
        <v>42779</v>
      </c>
      <c r="AN1813" s="974">
        <v>173200</v>
      </c>
    </row>
    <row r="1814" spans="1:40">
      <c r="A1814" s="966">
        <v>1807</v>
      </c>
      <c r="B1814" s="967">
        <v>42776</v>
      </c>
      <c r="C1814" s="966">
        <v>168300</v>
      </c>
      <c r="D1814" s="966">
        <v>38.207898</v>
      </c>
      <c r="E1814" s="966">
        <v>38.221257999999999</v>
      </c>
      <c r="F1814" s="966">
        <v>29692.6</v>
      </c>
      <c r="G1814" s="966">
        <v>25900.588583100001</v>
      </c>
      <c r="H1814" s="966">
        <v>10730.23</v>
      </c>
      <c r="I1814" s="966">
        <v>15.68</v>
      </c>
      <c r="Q1814" s="967">
        <v>42776</v>
      </c>
      <c r="R1814" s="966">
        <v>168300</v>
      </c>
      <c r="T1814" s="969">
        <v>-1.3359999999998706E-2</v>
      </c>
      <c r="U1814" s="966">
        <v>10730.23</v>
      </c>
      <c r="W1814" s="971" t="e">
        <f t="shared" si="31"/>
        <v>#DIV/0!</v>
      </c>
      <c r="Y1814" s="967">
        <v>42849</v>
      </c>
      <c r="Z1814" s="974">
        <f ca="1">H1764*Valuation_Senario!$L$372</f>
        <v>15045.72231458</v>
      </c>
      <c r="AA1814" s="973">
        <v>16.2</v>
      </c>
      <c r="AM1814" s="967">
        <v>42776</v>
      </c>
      <c r="AN1814" s="974">
        <v>168300</v>
      </c>
    </row>
    <row r="1815" spans="1:40">
      <c r="A1815" s="966">
        <v>1808</v>
      </c>
      <c r="B1815" s="967">
        <v>42775</v>
      </c>
      <c r="C1815" s="966">
        <v>167000</v>
      </c>
      <c r="D1815" s="966">
        <v>1.0128E-2</v>
      </c>
      <c r="E1815" s="966">
        <v>0</v>
      </c>
      <c r="F1815" s="966">
        <v>29492.53</v>
      </c>
      <c r="G1815" s="966">
        <v>25700.524619</v>
      </c>
      <c r="H1815" s="966">
        <v>10730.23</v>
      </c>
      <c r="I1815" s="966">
        <v>15.56</v>
      </c>
      <c r="Q1815" s="967">
        <v>42775</v>
      </c>
      <c r="R1815" s="966">
        <v>167000</v>
      </c>
      <c r="T1815" s="969">
        <v>1.0128E-2</v>
      </c>
      <c r="U1815" s="966">
        <v>10730.23</v>
      </c>
      <c r="W1815" s="971" t="e">
        <f t="shared" si="31"/>
        <v>#DIV/0!</v>
      </c>
      <c r="Y1815" s="967">
        <v>42846</v>
      </c>
      <c r="Z1815" s="974">
        <f ca="1">H1765*Valuation_Senario!$L$372</f>
        <v>15045.72231458</v>
      </c>
      <c r="AA1815" s="973">
        <v>16.25</v>
      </c>
      <c r="AM1815" s="967">
        <v>42775</v>
      </c>
      <c r="AN1815" s="974">
        <v>167000</v>
      </c>
    </row>
    <row r="1816" spans="1:40">
      <c r="A1816" s="966">
        <v>1809</v>
      </c>
      <c r="B1816" s="967">
        <v>42774</v>
      </c>
      <c r="C1816" s="966">
        <v>168800</v>
      </c>
      <c r="D1816" s="966">
        <v>0</v>
      </c>
      <c r="E1816" s="966">
        <v>3.1556160000000002</v>
      </c>
      <c r="F1816" s="966">
        <v>29769.54</v>
      </c>
      <c r="G1816" s="966">
        <v>25977.536261599998</v>
      </c>
      <c r="H1816" s="966">
        <v>10730.23</v>
      </c>
      <c r="I1816" s="966">
        <v>15.73</v>
      </c>
      <c r="Q1816" s="967">
        <v>42774</v>
      </c>
      <c r="R1816" s="966">
        <v>168800</v>
      </c>
      <c r="T1816" s="969">
        <v>-3.1556160000000002</v>
      </c>
      <c r="U1816" s="966">
        <v>10730.23</v>
      </c>
      <c r="W1816" s="971" t="e">
        <f t="shared" si="31"/>
        <v>#DIV/0!</v>
      </c>
      <c r="Y1816" s="967">
        <v>42845</v>
      </c>
      <c r="Z1816" s="974">
        <f ca="1">H1766*Valuation_Senario!$L$372</f>
        <v>15045.72231458</v>
      </c>
      <c r="AA1816" s="973">
        <v>16.2</v>
      </c>
      <c r="AM1816" s="967">
        <v>42774</v>
      </c>
      <c r="AN1816" s="974">
        <v>168800</v>
      </c>
    </row>
    <row r="1817" spans="1:40">
      <c r="A1817" s="966">
        <v>1810</v>
      </c>
      <c r="B1817" s="967">
        <v>42773</v>
      </c>
      <c r="C1817" s="966">
        <v>170400</v>
      </c>
      <c r="D1817" s="966">
        <v>0</v>
      </c>
      <c r="E1817" s="966">
        <v>0</v>
      </c>
      <c r="F1817" s="966">
        <v>30015.78</v>
      </c>
      <c r="G1817" s="966">
        <v>26223.7688328</v>
      </c>
      <c r="H1817" s="966">
        <v>10730.23</v>
      </c>
      <c r="I1817" s="966">
        <v>15.88</v>
      </c>
      <c r="Q1817" s="967">
        <v>42773</v>
      </c>
      <c r="R1817" s="966">
        <v>170400</v>
      </c>
      <c r="T1817" s="969">
        <v>0</v>
      </c>
      <c r="U1817" s="966">
        <v>10730.23</v>
      </c>
      <c r="W1817" s="971" t="e">
        <f t="shared" si="31"/>
        <v>#DIV/0!</v>
      </c>
      <c r="Y1817" s="967">
        <v>42844</v>
      </c>
      <c r="Z1817" s="974">
        <f ca="1">H1767*Valuation_Senario!$L$372</f>
        <v>15756.92540882</v>
      </c>
      <c r="AA1817" s="973">
        <v>15.56</v>
      </c>
      <c r="AM1817" s="967">
        <v>42773</v>
      </c>
      <c r="AN1817" s="974">
        <v>170400</v>
      </c>
    </row>
    <row r="1818" spans="1:40">
      <c r="A1818" s="966">
        <v>1811</v>
      </c>
      <c r="B1818" s="967">
        <v>42772</v>
      </c>
      <c r="C1818" s="966">
        <v>170500</v>
      </c>
      <c r="D1818" s="966">
        <v>0</v>
      </c>
      <c r="E1818" s="966">
        <v>1.0056000000000001E-2</v>
      </c>
      <c r="F1818" s="966">
        <v>28460.84</v>
      </c>
      <c r="G1818" s="966">
        <v>26240.3348185</v>
      </c>
      <c r="H1818" s="966">
        <v>10631.64</v>
      </c>
      <c r="I1818" s="966">
        <v>16.04</v>
      </c>
      <c r="Q1818" s="967">
        <v>42772</v>
      </c>
      <c r="R1818" s="966">
        <v>170500</v>
      </c>
      <c r="T1818" s="969">
        <v>-1.0056000000000001E-2</v>
      </c>
      <c r="U1818" s="966">
        <v>10631.64</v>
      </c>
      <c r="W1818" s="971" t="e">
        <f t="shared" si="31"/>
        <v>#DIV/0!</v>
      </c>
      <c r="Y1818" s="967">
        <v>42843</v>
      </c>
      <c r="Z1818" s="974">
        <f ca="1">H1768*Valuation_Senario!$L$372</f>
        <v>15756.92540882</v>
      </c>
      <c r="AA1818" s="973">
        <v>15.19</v>
      </c>
      <c r="AM1818" s="967">
        <v>42772</v>
      </c>
      <c r="AN1818" s="974">
        <v>170500</v>
      </c>
    </row>
    <row r="1819" spans="1:40">
      <c r="A1819" s="966">
        <v>1812</v>
      </c>
      <c r="B1819" s="967">
        <v>42769</v>
      </c>
      <c r="C1819" s="966">
        <v>168000</v>
      </c>
      <c r="D1819" s="966">
        <v>0</v>
      </c>
      <c r="E1819" s="966">
        <v>0</v>
      </c>
      <c r="F1819" s="966">
        <v>28076.080000000002</v>
      </c>
      <c r="G1819" s="966">
        <v>25855.579175999999</v>
      </c>
      <c r="H1819" s="966">
        <v>10636.08</v>
      </c>
      <c r="I1819" s="966">
        <v>15.8</v>
      </c>
      <c r="Q1819" s="967">
        <v>42769</v>
      </c>
      <c r="R1819" s="966">
        <v>168000</v>
      </c>
      <c r="T1819" s="969">
        <v>0</v>
      </c>
      <c r="U1819" s="966">
        <v>10636.08</v>
      </c>
      <c r="W1819" s="971" t="e">
        <f t="shared" si="31"/>
        <v>#DIV/0!</v>
      </c>
      <c r="Y1819" s="967">
        <v>42842</v>
      </c>
      <c r="Z1819" s="974">
        <f ca="1">H1769*Valuation_Senario!$L$372</f>
        <v>15756.92540882</v>
      </c>
      <c r="AA1819" s="973">
        <v>15.38</v>
      </c>
      <c r="AM1819" s="967">
        <v>42769</v>
      </c>
      <c r="AN1819" s="974">
        <v>168000</v>
      </c>
    </row>
    <row r="1820" spans="1:40">
      <c r="A1820" s="966">
        <v>1813</v>
      </c>
      <c r="B1820" s="967">
        <v>42768</v>
      </c>
      <c r="C1820" s="966">
        <v>169000</v>
      </c>
      <c r="D1820" s="966">
        <v>0</v>
      </c>
      <c r="E1820" s="966">
        <v>0</v>
      </c>
      <c r="F1820" s="966">
        <v>28229.99</v>
      </c>
      <c r="G1820" s="966">
        <v>26009.481433000001</v>
      </c>
      <c r="H1820" s="966">
        <v>10637.57</v>
      </c>
      <c r="I1820" s="966">
        <v>15.89</v>
      </c>
      <c r="Q1820" s="967">
        <v>42768</v>
      </c>
      <c r="R1820" s="966">
        <v>169000</v>
      </c>
      <c r="T1820" s="969">
        <v>0</v>
      </c>
      <c r="U1820" s="966">
        <v>10637.57</v>
      </c>
      <c r="W1820" s="971" t="e">
        <f t="shared" si="31"/>
        <v>#DIV/0!</v>
      </c>
      <c r="Y1820" s="967">
        <v>42839</v>
      </c>
      <c r="Z1820" s="974">
        <f ca="1">H1770*Valuation_Senario!$L$372</f>
        <v>15756.92540882</v>
      </c>
      <c r="AA1820" s="973">
        <v>15.58</v>
      </c>
      <c r="AM1820" s="967">
        <v>42768</v>
      </c>
      <c r="AN1820" s="974">
        <v>169000</v>
      </c>
    </row>
    <row r="1821" spans="1:40">
      <c r="A1821" s="966">
        <v>1814</v>
      </c>
      <c r="B1821" s="967">
        <v>42760</v>
      </c>
      <c r="C1821" s="966">
        <v>160000</v>
      </c>
      <c r="D1821" s="966">
        <v>0</v>
      </c>
      <c r="E1821" s="966">
        <v>0</v>
      </c>
      <c r="F1821" s="966">
        <v>26844.87</v>
      </c>
      <c r="G1821" s="966">
        <v>24624.361120000001</v>
      </c>
      <c r="H1821" s="966">
        <v>10649.45</v>
      </c>
      <c r="I1821" s="966">
        <v>15.02</v>
      </c>
      <c r="Q1821" s="967">
        <v>42760</v>
      </c>
      <c r="R1821" s="966">
        <v>160000</v>
      </c>
      <c r="T1821" s="969">
        <v>0</v>
      </c>
      <c r="U1821" s="966">
        <v>10649.45</v>
      </c>
      <c r="W1821" s="971" t="e">
        <f t="shared" si="31"/>
        <v>#DIV/0!</v>
      </c>
      <c r="Y1821" s="967">
        <v>42838</v>
      </c>
      <c r="Z1821" s="974">
        <f ca="1">H1771*Valuation_Senario!$L$372</f>
        <v>15756.92540882</v>
      </c>
      <c r="AA1821" s="973">
        <v>15.84</v>
      </c>
      <c r="AM1821" s="967">
        <v>42760</v>
      </c>
      <c r="AN1821" s="974">
        <v>160000</v>
      </c>
    </row>
    <row r="1822" spans="1:40">
      <c r="A1822" s="966">
        <v>1815</v>
      </c>
      <c r="B1822" s="967">
        <v>42759</v>
      </c>
      <c r="C1822" s="966">
        <v>159000</v>
      </c>
      <c r="D1822" s="966">
        <v>0</v>
      </c>
      <c r="E1822" s="966">
        <v>0</v>
      </c>
      <c r="F1822" s="966">
        <v>26690.959999999999</v>
      </c>
      <c r="G1822" s="966">
        <v>24470.458863</v>
      </c>
      <c r="H1822" s="966">
        <v>10650.93</v>
      </c>
      <c r="I1822" s="966">
        <v>14.93</v>
      </c>
      <c r="Q1822" s="967">
        <v>42759</v>
      </c>
      <c r="R1822" s="966">
        <v>159000</v>
      </c>
      <c r="T1822" s="969">
        <v>0</v>
      </c>
      <c r="U1822" s="966">
        <v>10650.93</v>
      </c>
      <c r="W1822" s="971" t="e">
        <f t="shared" si="31"/>
        <v>#DIV/0!</v>
      </c>
      <c r="Y1822" s="967">
        <v>42837</v>
      </c>
      <c r="Z1822" s="974">
        <f ca="1">H1772*Valuation_Senario!$L$372</f>
        <v>15756.92540882</v>
      </c>
      <c r="AA1822" s="973">
        <v>15.75</v>
      </c>
      <c r="AM1822" s="967">
        <v>42759</v>
      </c>
      <c r="AN1822" s="974">
        <v>159000</v>
      </c>
    </row>
    <row r="1823" spans="1:40">
      <c r="A1823" s="966">
        <v>1816</v>
      </c>
      <c r="B1823" s="967">
        <v>42758</v>
      </c>
      <c r="C1823" s="966">
        <v>158300</v>
      </c>
      <c r="D1823" s="966">
        <v>12.795</v>
      </c>
      <c r="E1823" s="966">
        <v>12.795</v>
      </c>
      <c r="F1823" s="966">
        <v>26583.23</v>
      </c>
      <c r="G1823" s="966">
        <v>24362.727283100001</v>
      </c>
      <c r="H1823" s="966">
        <v>10652.42</v>
      </c>
      <c r="I1823" s="966">
        <v>14.86</v>
      </c>
      <c r="Q1823" s="967">
        <v>42758</v>
      </c>
      <c r="R1823" s="966">
        <v>158300</v>
      </c>
      <c r="T1823" s="969">
        <v>0</v>
      </c>
      <c r="U1823" s="966">
        <v>10652.42</v>
      </c>
      <c r="W1823" s="971" t="e">
        <f t="shared" si="31"/>
        <v>#DIV/0!</v>
      </c>
      <c r="Y1823" s="967">
        <v>42836</v>
      </c>
      <c r="Z1823" s="974">
        <f ca="1">H1773*Valuation_Senario!$L$372</f>
        <v>15756.92540882</v>
      </c>
      <c r="AA1823" s="973">
        <v>15.71</v>
      </c>
      <c r="AM1823" s="967">
        <v>42758</v>
      </c>
      <c r="AN1823" s="974">
        <v>158300</v>
      </c>
    </row>
    <row r="1824" spans="1:40">
      <c r="A1824" s="966">
        <v>1817</v>
      </c>
      <c r="B1824" s="967">
        <v>42755</v>
      </c>
      <c r="C1824" s="966">
        <v>159500</v>
      </c>
      <c r="D1824" s="966">
        <v>0</v>
      </c>
      <c r="E1824" s="966">
        <v>0</v>
      </c>
      <c r="F1824" s="966">
        <v>26767.91</v>
      </c>
      <c r="G1824" s="966">
        <v>24547.409991500001</v>
      </c>
      <c r="H1824" s="966">
        <v>10656.88</v>
      </c>
      <c r="I1824" s="966">
        <v>14.97</v>
      </c>
      <c r="Q1824" s="967">
        <v>42755</v>
      </c>
      <c r="R1824" s="966">
        <v>159500</v>
      </c>
      <c r="T1824" s="969">
        <v>0</v>
      </c>
      <c r="U1824" s="966">
        <v>10656.88</v>
      </c>
      <c r="W1824" s="971" t="e">
        <f t="shared" si="31"/>
        <v>#DIV/0!</v>
      </c>
      <c r="Y1824" s="967">
        <v>42835</v>
      </c>
      <c r="Z1824" s="974">
        <f ca="1">H1774*Valuation_Senario!$L$372</f>
        <v>15756.92540882</v>
      </c>
      <c r="AA1824" s="973">
        <v>15.48</v>
      </c>
      <c r="AM1824" s="967">
        <v>42755</v>
      </c>
      <c r="AN1824" s="974">
        <v>159500</v>
      </c>
    </row>
    <row r="1825" spans="1:40">
      <c r="A1825" s="966">
        <v>1818</v>
      </c>
      <c r="B1825" s="967">
        <v>42754</v>
      </c>
      <c r="C1825" s="966">
        <v>157500</v>
      </c>
      <c r="D1825" s="966">
        <v>0</v>
      </c>
      <c r="E1825" s="966">
        <v>0</v>
      </c>
      <c r="F1825" s="966">
        <v>26460.11</v>
      </c>
      <c r="G1825" s="966">
        <v>24239.605477500001</v>
      </c>
      <c r="H1825" s="966">
        <v>10658.37</v>
      </c>
      <c r="I1825" s="966">
        <v>14.78</v>
      </c>
      <c r="Q1825" s="967">
        <v>42754</v>
      </c>
      <c r="R1825" s="966">
        <v>157500</v>
      </c>
      <c r="T1825" s="969">
        <v>0</v>
      </c>
      <c r="U1825" s="966">
        <v>10658.37</v>
      </c>
      <c r="W1825" s="971" t="e">
        <f t="shared" si="31"/>
        <v>#DIV/0!</v>
      </c>
      <c r="Y1825" s="967">
        <v>42832</v>
      </c>
      <c r="Z1825" s="974">
        <f ca="1">H1775*Valuation_Senario!$L$372</f>
        <v>15756.92540882</v>
      </c>
      <c r="AA1825" s="973">
        <v>15.56</v>
      </c>
      <c r="AM1825" s="967">
        <v>42754</v>
      </c>
      <c r="AN1825" s="974">
        <v>157500</v>
      </c>
    </row>
    <row r="1826" spans="1:40">
      <c r="A1826" s="966">
        <v>1819</v>
      </c>
      <c r="B1826" s="967">
        <v>42753</v>
      </c>
      <c r="C1826" s="966">
        <v>158000</v>
      </c>
      <c r="D1826" s="966">
        <v>0</v>
      </c>
      <c r="E1826" s="966">
        <v>0</v>
      </c>
      <c r="F1826" s="966">
        <v>26537.06</v>
      </c>
      <c r="G1826" s="966">
        <v>24316.556605999998</v>
      </c>
      <c r="H1826" s="966">
        <v>10659.86</v>
      </c>
      <c r="I1826" s="966">
        <v>14.82</v>
      </c>
      <c r="Q1826" s="967">
        <v>42753</v>
      </c>
      <c r="R1826" s="966">
        <v>158000</v>
      </c>
      <c r="T1826" s="969">
        <v>0</v>
      </c>
      <c r="U1826" s="966">
        <v>10659.86</v>
      </c>
      <c r="W1826" s="971" t="e">
        <f t="shared" si="31"/>
        <v>#DIV/0!</v>
      </c>
      <c r="Y1826" s="967">
        <v>42830</v>
      </c>
      <c r="Z1826" s="974">
        <f ca="1">H1776*Valuation_Senario!$L$372</f>
        <v>15756.92540882</v>
      </c>
      <c r="AA1826" s="973">
        <v>15.56</v>
      </c>
      <c r="AM1826" s="967">
        <v>42753</v>
      </c>
      <c r="AN1826" s="974">
        <v>158000</v>
      </c>
    </row>
    <row r="1827" spans="1:40">
      <c r="A1827" s="966">
        <v>1820</v>
      </c>
      <c r="B1827" s="967">
        <v>42752</v>
      </c>
      <c r="C1827" s="966">
        <v>158000</v>
      </c>
      <c r="D1827" s="966">
        <v>0</v>
      </c>
      <c r="E1827" s="966">
        <v>0</v>
      </c>
      <c r="F1827" s="966">
        <v>26537.06</v>
      </c>
      <c r="G1827" s="966">
        <v>24316.556605999998</v>
      </c>
      <c r="H1827" s="966">
        <v>10661.35</v>
      </c>
      <c r="I1827" s="966">
        <v>14.82</v>
      </c>
      <c r="Q1827" s="967">
        <v>42752</v>
      </c>
      <c r="R1827" s="966">
        <v>158000</v>
      </c>
      <c r="T1827" s="969">
        <v>0</v>
      </c>
      <c r="U1827" s="966">
        <v>10661.35</v>
      </c>
      <c r="W1827" s="971" t="e">
        <f t="shared" si="31"/>
        <v>#DIV/0!</v>
      </c>
      <c r="Y1827" s="967">
        <v>42829</v>
      </c>
      <c r="Z1827" s="974">
        <f ca="1">H1777*Valuation_Senario!$L$372</f>
        <v>15756.92540882</v>
      </c>
      <c r="AA1827" s="973">
        <v>15.52</v>
      </c>
      <c r="AM1827" s="967">
        <v>42752</v>
      </c>
      <c r="AN1827" s="974">
        <v>158000</v>
      </c>
    </row>
    <row r="1828" spans="1:40">
      <c r="A1828" s="966">
        <v>1821</v>
      </c>
      <c r="B1828" s="967">
        <v>42751</v>
      </c>
      <c r="C1828" s="966">
        <v>158500</v>
      </c>
      <c r="D1828" s="966">
        <v>0</v>
      </c>
      <c r="E1828" s="966">
        <v>0</v>
      </c>
      <c r="F1828" s="966">
        <v>26614.01</v>
      </c>
      <c r="G1828" s="966">
        <v>24393.507734499999</v>
      </c>
      <c r="H1828" s="966">
        <v>10662.84</v>
      </c>
      <c r="I1828" s="966">
        <v>14.86</v>
      </c>
      <c r="Q1828" s="967">
        <v>42751</v>
      </c>
      <c r="R1828" s="966">
        <v>158500</v>
      </c>
      <c r="T1828" s="969">
        <v>0</v>
      </c>
      <c r="U1828" s="966">
        <v>10662.84</v>
      </c>
      <c r="W1828" s="971" t="e">
        <f t="shared" si="31"/>
        <v>#DIV/0!</v>
      </c>
      <c r="Y1828" s="967">
        <v>42828</v>
      </c>
      <c r="Z1828" s="974">
        <f ca="1">H1778*Valuation_Senario!$L$372</f>
        <v>15756.92540882</v>
      </c>
      <c r="AA1828" s="973">
        <v>15.61</v>
      </c>
      <c r="AM1828" s="967">
        <v>42751</v>
      </c>
      <c r="AN1828" s="974">
        <v>158500</v>
      </c>
    </row>
    <row r="1829" spans="1:40">
      <c r="A1829" s="966">
        <v>1822</v>
      </c>
      <c r="B1829" s="967">
        <v>42748</v>
      </c>
      <c r="C1829" s="966">
        <v>159500</v>
      </c>
      <c r="D1829" s="966">
        <v>0</v>
      </c>
      <c r="E1829" s="966">
        <v>0</v>
      </c>
      <c r="F1829" s="966">
        <v>26767.91</v>
      </c>
      <c r="G1829" s="966">
        <v>24547.409991500001</v>
      </c>
      <c r="H1829" s="966">
        <v>10667.31</v>
      </c>
      <c r="I1829" s="966">
        <v>14.95</v>
      </c>
      <c r="Q1829" s="967">
        <v>42748</v>
      </c>
      <c r="R1829" s="966">
        <v>159500</v>
      </c>
      <c r="T1829" s="969">
        <v>0</v>
      </c>
      <c r="U1829" s="966">
        <v>10667.31</v>
      </c>
      <c r="W1829" s="971" t="e">
        <f t="shared" si="31"/>
        <v>#DIV/0!</v>
      </c>
      <c r="Y1829" s="967">
        <v>42825</v>
      </c>
      <c r="Z1829" s="974">
        <f ca="1">H1779*Valuation_Senario!$L$372</f>
        <v>15756.92540882</v>
      </c>
      <c r="AA1829" s="973">
        <v>15.68</v>
      </c>
      <c r="AM1829" s="967">
        <v>42748</v>
      </c>
      <c r="AN1829" s="974">
        <v>159500</v>
      </c>
    </row>
    <row r="1830" spans="1:40">
      <c r="A1830" s="966">
        <v>1823</v>
      </c>
      <c r="B1830" s="967">
        <v>42747</v>
      </c>
      <c r="C1830" s="966">
        <v>160000</v>
      </c>
      <c r="D1830" s="966">
        <v>0</v>
      </c>
      <c r="E1830" s="966">
        <v>0</v>
      </c>
      <c r="F1830" s="966">
        <v>26844.87</v>
      </c>
      <c r="G1830" s="966">
        <v>24624.361120000001</v>
      </c>
      <c r="H1830" s="966">
        <v>10668.81</v>
      </c>
      <c r="I1830" s="966">
        <v>15</v>
      </c>
      <c r="Q1830" s="967">
        <v>42747</v>
      </c>
      <c r="R1830" s="966">
        <v>160000</v>
      </c>
      <c r="T1830" s="969">
        <v>0</v>
      </c>
      <c r="U1830" s="966">
        <v>10668.81</v>
      </c>
      <c r="W1830" s="971" t="e">
        <f t="shared" si="31"/>
        <v>#DIV/0!</v>
      </c>
      <c r="Y1830" s="967">
        <v>42824</v>
      </c>
      <c r="Z1830" s="974">
        <f ca="1">H1780*Valuation_Senario!$L$372</f>
        <v>15756.92540882</v>
      </c>
      <c r="AA1830" s="973">
        <v>15.7</v>
      </c>
      <c r="AM1830" s="967">
        <v>42747</v>
      </c>
      <c r="AN1830" s="974">
        <v>160000</v>
      </c>
    </row>
    <row r="1831" spans="1:40">
      <c r="A1831" s="966">
        <v>1824</v>
      </c>
      <c r="B1831" s="967">
        <v>42746</v>
      </c>
      <c r="C1831" s="966">
        <v>160000</v>
      </c>
      <c r="D1831" s="966">
        <v>0</v>
      </c>
      <c r="E1831" s="966">
        <v>0</v>
      </c>
      <c r="F1831" s="966">
        <v>26844.87</v>
      </c>
      <c r="G1831" s="966">
        <v>24624.361120000001</v>
      </c>
      <c r="H1831" s="966">
        <v>10670.3</v>
      </c>
      <c r="I1831" s="966">
        <v>14.99</v>
      </c>
      <c r="Q1831" s="967">
        <v>42746</v>
      </c>
      <c r="R1831" s="966">
        <v>160000</v>
      </c>
      <c r="T1831" s="969">
        <v>0</v>
      </c>
      <c r="U1831" s="966">
        <v>10670.3</v>
      </c>
      <c r="W1831" s="971" t="e">
        <f t="shared" si="31"/>
        <v>#DIV/0!</v>
      </c>
      <c r="Y1831" s="967">
        <v>42823</v>
      </c>
      <c r="Z1831" s="974">
        <f ca="1">H1781*Valuation_Senario!$L$372</f>
        <v>15756.92540882</v>
      </c>
      <c r="AA1831" s="973">
        <v>15.61</v>
      </c>
      <c r="AM1831" s="967">
        <v>42746</v>
      </c>
      <c r="AN1831" s="974">
        <v>160000</v>
      </c>
    </row>
    <row r="1832" spans="1:40">
      <c r="A1832" s="966">
        <v>1825</v>
      </c>
      <c r="B1832" s="967">
        <v>42745</v>
      </c>
      <c r="C1832" s="966">
        <v>157200</v>
      </c>
      <c r="D1832" s="966">
        <v>0</v>
      </c>
      <c r="E1832" s="966">
        <v>0</v>
      </c>
      <c r="F1832" s="966">
        <v>26413.94</v>
      </c>
      <c r="G1832" s="966">
        <v>24193.434800399998</v>
      </c>
      <c r="H1832" s="966">
        <v>10671.79</v>
      </c>
      <c r="I1832" s="966">
        <v>14.73</v>
      </c>
      <c r="Q1832" s="967">
        <v>42745</v>
      </c>
      <c r="R1832" s="966">
        <v>157200</v>
      </c>
      <c r="T1832" s="969">
        <v>0</v>
      </c>
      <c r="U1832" s="966">
        <v>10671.79</v>
      </c>
      <c r="W1832" s="971" t="e">
        <f t="shared" si="31"/>
        <v>#DIV/0!</v>
      </c>
      <c r="Y1832" s="967">
        <v>42822</v>
      </c>
      <c r="Z1832" s="974">
        <f ca="1">H1782*Valuation_Senario!$L$372</f>
        <v>15756.92540882</v>
      </c>
      <c r="AA1832" s="973">
        <v>15.47</v>
      </c>
      <c r="AM1832" s="967">
        <v>42745</v>
      </c>
      <c r="AN1832" s="974">
        <v>157200</v>
      </c>
    </row>
    <row r="1833" spans="1:40">
      <c r="A1833" s="966">
        <v>1826</v>
      </c>
      <c r="B1833" s="967">
        <v>42744</v>
      </c>
      <c r="C1833" s="966">
        <v>156700</v>
      </c>
      <c r="D1833" s="966">
        <v>6.7504</v>
      </c>
      <c r="E1833" s="966">
        <v>6.7504</v>
      </c>
      <c r="F1833" s="966">
        <v>26336.99</v>
      </c>
      <c r="G1833" s="966">
        <v>24116.483671900001</v>
      </c>
      <c r="H1833" s="966">
        <v>10673.28</v>
      </c>
      <c r="I1833" s="966">
        <v>14.68</v>
      </c>
      <c r="Q1833" s="967">
        <v>42744</v>
      </c>
      <c r="R1833" s="966">
        <v>156700</v>
      </c>
      <c r="T1833" s="969">
        <v>0</v>
      </c>
      <c r="U1833" s="966">
        <v>10673.28</v>
      </c>
      <c r="W1833" s="971" t="e">
        <f t="shared" si="31"/>
        <v>#DIV/0!</v>
      </c>
      <c r="Y1833" s="967">
        <v>42821</v>
      </c>
      <c r="Z1833" s="974">
        <f ca="1">H1783*Valuation_Senario!$L$372</f>
        <v>15756.92540882</v>
      </c>
      <c r="AA1833" s="973">
        <v>15.47</v>
      </c>
      <c r="AM1833" s="967">
        <v>42744</v>
      </c>
      <c r="AN1833" s="974">
        <v>156700</v>
      </c>
    </row>
    <row r="1834" spans="1:40">
      <c r="A1834" s="966">
        <v>1827</v>
      </c>
      <c r="B1834" s="967">
        <v>42741</v>
      </c>
      <c r="C1834" s="966">
        <v>157800</v>
      </c>
      <c r="D1834" s="966">
        <v>188.30240800000001</v>
      </c>
      <c r="E1834" s="966">
        <v>188.30240800000001</v>
      </c>
      <c r="F1834" s="966">
        <v>26506.28</v>
      </c>
      <c r="G1834" s="966">
        <v>24285.7761546</v>
      </c>
      <c r="H1834" s="966">
        <v>10677.76</v>
      </c>
      <c r="I1834" s="966">
        <v>14.78</v>
      </c>
      <c r="Q1834" s="967">
        <v>42741</v>
      </c>
      <c r="R1834" s="966">
        <v>157800</v>
      </c>
      <c r="T1834" s="969">
        <v>0</v>
      </c>
      <c r="U1834" s="966">
        <v>10677.76</v>
      </c>
      <c r="W1834" s="971" t="e">
        <f t="shared" si="31"/>
        <v>#DIV/0!</v>
      </c>
      <c r="Y1834" s="967">
        <v>42818</v>
      </c>
      <c r="Z1834" s="974">
        <f ca="1">H1784*Valuation_Senario!$L$372</f>
        <v>15756.92540882</v>
      </c>
      <c r="AA1834" s="973">
        <v>15.72</v>
      </c>
      <c r="AM1834" s="967">
        <v>42741</v>
      </c>
      <c r="AN1834" s="974">
        <v>157800</v>
      </c>
    </row>
    <row r="1835" spans="1:40">
      <c r="A1835" s="966">
        <v>1828</v>
      </c>
      <c r="B1835" s="967">
        <v>42740</v>
      </c>
      <c r="C1835" s="966">
        <v>157800</v>
      </c>
      <c r="D1835" s="966">
        <v>0</v>
      </c>
      <c r="E1835" s="966">
        <v>0</v>
      </c>
      <c r="F1835" s="966">
        <v>26506.28</v>
      </c>
      <c r="G1835" s="966">
        <v>24285.7761546</v>
      </c>
      <c r="H1835" s="966">
        <v>10679.26</v>
      </c>
      <c r="I1835" s="966">
        <v>14.78</v>
      </c>
      <c r="Q1835" s="967">
        <v>42740</v>
      </c>
      <c r="R1835" s="966">
        <v>157800</v>
      </c>
      <c r="T1835" s="969">
        <v>0</v>
      </c>
      <c r="U1835" s="966">
        <v>10679.26</v>
      </c>
      <c r="W1835" s="971" t="e">
        <f t="shared" si="31"/>
        <v>#DIV/0!</v>
      </c>
      <c r="Y1835" s="967">
        <v>42817</v>
      </c>
      <c r="Z1835" s="974">
        <f ca="1">H1785*Valuation_Senario!$L$372</f>
        <v>15756.92540882</v>
      </c>
      <c r="AA1835" s="973">
        <v>15.7</v>
      </c>
      <c r="AM1835" s="967">
        <v>42740</v>
      </c>
      <c r="AN1835" s="974">
        <v>157800</v>
      </c>
    </row>
    <row r="1836" spans="1:40">
      <c r="A1836" s="966">
        <v>1829</v>
      </c>
      <c r="B1836" s="967">
        <v>42739</v>
      </c>
      <c r="C1836" s="966">
        <v>157300</v>
      </c>
      <c r="D1836" s="966">
        <v>7.835E-3</v>
      </c>
      <c r="E1836" s="966">
        <v>0</v>
      </c>
      <c r="F1836" s="966">
        <v>26429.33</v>
      </c>
      <c r="G1836" s="966">
        <v>24208.825026099999</v>
      </c>
      <c r="H1836" s="966">
        <v>10680.75</v>
      </c>
      <c r="I1836" s="966">
        <v>14.73</v>
      </c>
      <c r="Q1836" s="967">
        <v>42739</v>
      </c>
      <c r="R1836" s="966">
        <v>157300</v>
      </c>
      <c r="T1836" s="969">
        <v>7.835E-3</v>
      </c>
      <c r="U1836" s="966">
        <v>10680.75</v>
      </c>
      <c r="W1836" s="971" t="e">
        <f t="shared" si="31"/>
        <v>#DIV/0!</v>
      </c>
      <c r="Y1836" s="967">
        <v>42816</v>
      </c>
      <c r="Z1836" s="974">
        <f ca="1">H1786*Valuation_Senario!$L$372</f>
        <v>15756.92540882</v>
      </c>
      <c r="AA1836" s="973">
        <v>15.77</v>
      </c>
      <c r="AM1836" s="967">
        <v>42739</v>
      </c>
      <c r="AN1836" s="974">
        <v>157300</v>
      </c>
    </row>
    <row r="1837" spans="1:40">
      <c r="A1837" s="966">
        <v>1830</v>
      </c>
      <c r="B1837" s="967">
        <v>42738</v>
      </c>
      <c r="C1837" s="966">
        <v>156700</v>
      </c>
      <c r="D1837" s="966">
        <v>0</v>
      </c>
      <c r="E1837" s="966">
        <v>0</v>
      </c>
      <c r="F1837" s="966">
        <v>26336.99</v>
      </c>
      <c r="G1837" s="966">
        <v>24116.483671900001</v>
      </c>
      <c r="H1837" s="966">
        <v>10682.25</v>
      </c>
      <c r="I1837" s="966">
        <v>14.67</v>
      </c>
      <c r="Q1837" s="967">
        <v>42738</v>
      </c>
      <c r="R1837" s="966">
        <v>156700</v>
      </c>
      <c r="T1837" s="969">
        <v>0</v>
      </c>
      <c r="U1837" s="966">
        <v>10682.25</v>
      </c>
      <c r="W1837" s="971" t="e">
        <f t="shared" si="31"/>
        <v>#DIV/0!</v>
      </c>
      <c r="Y1837" s="967">
        <v>42815</v>
      </c>
      <c r="Z1837" s="974">
        <f ca="1">H1787*Valuation_Senario!$L$372</f>
        <v>15756.92540882</v>
      </c>
      <c r="AA1837" s="973">
        <v>16.07</v>
      </c>
      <c r="AM1837" s="967">
        <v>42738</v>
      </c>
      <c r="AN1837" s="974">
        <v>156700</v>
      </c>
    </row>
    <row r="1838" spans="1:40">
      <c r="Y1838" s="967">
        <v>42814</v>
      </c>
      <c r="Z1838" s="974">
        <f ca="1">H1788*Valuation_Senario!$L$372</f>
        <v>15756.92540882</v>
      </c>
      <c r="AA1838" s="973">
        <v>16.010000000000002</v>
      </c>
    </row>
    <row r="1839" spans="1:40">
      <c r="Y1839" s="967">
        <v>42811</v>
      </c>
      <c r="Z1839" s="974">
        <f ca="1">H1789*Valuation_Senario!$L$372</f>
        <v>15756.92540882</v>
      </c>
      <c r="AA1839" s="973">
        <v>16</v>
      </c>
    </row>
    <row r="1840" spans="1:40">
      <c r="Y1840" s="967">
        <v>42810</v>
      </c>
      <c r="Z1840" s="974">
        <f ca="1">H1790*Valuation_Senario!$L$372</f>
        <v>15756.92540882</v>
      </c>
      <c r="AA1840" s="973">
        <v>15.94</v>
      </c>
    </row>
    <row r="1841" spans="25:27">
      <c r="Y1841" s="967">
        <v>42809</v>
      </c>
      <c r="Z1841" s="974">
        <f ca="1">H1791*Valuation_Senario!$L$372</f>
        <v>15756.92540882</v>
      </c>
      <c r="AA1841" s="973">
        <v>16.22</v>
      </c>
    </row>
    <row r="1842" spans="25:27">
      <c r="Y1842" s="967">
        <v>42808</v>
      </c>
      <c r="Z1842" s="974">
        <f ca="1">H1792*Valuation_Senario!$L$372</f>
        <v>15756.92540882</v>
      </c>
      <c r="AA1842" s="973">
        <v>16.03</v>
      </c>
    </row>
    <row r="1843" spans="25:27">
      <c r="Y1843" s="967">
        <v>42807</v>
      </c>
      <c r="Z1843" s="974">
        <f ca="1">H1793*Valuation_Senario!$L$372</f>
        <v>15756.92540882</v>
      </c>
      <c r="AA1843" s="973">
        <v>15.82</v>
      </c>
    </row>
    <row r="1844" spans="25:27">
      <c r="Y1844" s="967">
        <v>42804</v>
      </c>
      <c r="Z1844" s="974">
        <f ca="1">H1794*Valuation_Senario!$L$372</f>
        <v>15756.92540882</v>
      </c>
      <c r="AA1844" s="973">
        <v>15.75</v>
      </c>
    </row>
    <row r="1845" spans="25:27">
      <c r="Y1845" s="967">
        <v>42803</v>
      </c>
      <c r="Z1845" s="974">
        <f ca="1">H1795*Valuation_Senario!$L$372</f>
        <v>15756.92540882</v>
      </c>
      <c r="AA1845" s="973">
        <v>15.75</v>
      </c>
    </row>
    <row r="1846" spans="25:27">
      <c r="Y1846" s="967">
        <v>42802</v>
      </c>
      <c r="Z1846" s="974">
        <f ca="1">H1796*Valuation_Senario!$L$372</f>
        <v>15756.92540882</v>
      </c>
      <c r="AA1846" s="973">
        <v>15.82</v>
      </c>
    </row>
    <row r="1847" spans="25:27">
      <c r="Y1847" s="967">
        <v>42801</v>
      </c>
      <c r="Z1847" s="974">
        <f ca="1">H1797*Valuation_Senario!$L$372</f>
        <v>15756.92540882</v>
      </c>
      <c r="AA1847" s="973">
        <v>15.65</v>
      </c>
    </row>
    <row r="1848" spans="25:27">
      <c r="Y1848" s="967">
        <v>42800</v>
      </c>
      <c r="Z1848" s="974">
        <f ca="1">H1798*Valuation_Senario!$L$372</f>
        <v>15756.92540882</v>
      </c>
      <c r="AA1848" s="973">
        <v>15.5</v>
      </c>
    </row>
    <row r="1849" spans="25:27">
      <c r="Y1849" s="967">
        <v>42797</v>
      </c>
      <c r="Z1849" s="974">
        <f ca="1">H1799*Valuation_Senario!$L$372</f>
        <v>15756.92540882</v>
      </c>
      <c r="AA1849" s="973">
        <v>15.5</v>
      </c>
    </row>
    <row r="1850" spans="25:27">
      <c r="Y1850" s="967">
        <v>42796</v>
      </c>
      <c r="Z1850" s="974">
        <f ca="1">H1800*Valuation_Senario!$L$372</f>
        <v>15756.92540882</v>
      </c>
      <c r="AA1850" s="973">
        <v>15.56</v>
      </c>
    </row>
    <row r="1851" spans="25:27">
      <c r="Y1851" s="967">
        <v>42795</v>
      </c>
      <c r="Z1851" s="974">
        <f ca="1">H1801*Valuation_Senario!$L$372</f>
        <v>15756.92540882</v>
      </c>
      <c r="AA1851" s="973">
        <v>15.52</v>
      </c>
    </row>
    <row r="1852" spans="25:27">
      <c r="Y1852" s="967">
        <v>42794</v>
      </c>
      <c r="Z1852" s="974">
        <f ca="1">H1802*Valuation_Senario!$L$372</f>
        <v>15756.92540882</v>
      </c>
      <c r="AA1852" s="973">
        <v>15.57</v>
      </c>
    </row>
    <row r="1853" spans="25:27">
      <c r="Y1853" s="967">
        <v>42793</v>
      </c>
      <c r="Z1853" s="974">
        <f ca="1">H1803*Valuation_Senario!$L$372</f>
        <v>15756.92540882</v>
      </c>
      <c r="AA1853" s="973">
        <v>15.71</v>
      </c>
    </row>
    <row r="1854" spans="25:27">
      <c r="Y1854" s="967">
        <v>42790</v>
      </c>
      <c r="Z1854" s="974">
        <f ca="1">H1804*Valuation_Senario!$L$372</f>
        <v>15756.92540882</v>
      </c>
      <c r="AA1854" s="973">
        <v>15.47</v>
      </c>
    </row>
    <row r="1855" spans="25:27">
      <c r="Y1855" s="967">
        <v>42789</v>
      </c>
      <c r="Z1855" s="974">
        <f ca="1">H1805*Valuation_Senario!$L$372</f>
        <v>15756.92540882</v>
      </c>
      <c r="AA1855" s="973">
        <v>15.41</v>
      </c>
    </row>
    <row r="1856" spans="25:27">
      <c r="Y1856" s="967">
        <v>42788</v>
      </c>
      <c r="Z1856" s="974">
        <f ca="1">H1806*Valuation_Senario!$L$372</f>
        <v>15756.92540882</v>
      </c>
      <c r="AA1856" s="973">
        <v>15.48</v>
      </c>
    </row>
    <row r="1857" spans="25:27">
      <c r="Y1857" s="967">
        <v>42787</v>
      </c>
      <c r="Z1857" s="974">
        <f ca="1">H1807*Valuation_Senario!$L$372</f>
        <v>15756.92540882</v>
      </c>
      <c r="AA1857" s="973">
        <v>15.7</v>
      </c>
    </row>
    <row r="1858" spans="25:27">
      <c r="Y1858" s="967">
        <v>42786</v>
      </c>
      <c r="Z1858" s="974">
        <f ca="1">H1808*Valuation_Senario!$L$372</f>
        <v>15756.881355109997</v>
      </c>
      <c r="AA1858" s="973">
        <v>15.66</v>
      </c>
    </row>
    <row r="1859" spans="25:27">
      <c r="Y1859" s="967">
        <v>42783</v>
      </c>
      <c r="Z1859" s="974">
        <f ca="1">H1809*Valuation_Senario!$L$372</f>
        <v>15756.881355109997</v>
      </c>
      <c r="AA1859" s="973">
        <v>16.03</v>
      </c>
    </row>
    <row r="1860" spans="25:27">
      <c r="Y1860" s="967">
        <v>42782</v>
      </c>
      <c r="Z1860" s="974">
        <f ca="1">H1810*Valuation_Senario!$L$372</f>
        <v>15756.881355109997</v>
      </c>
      <c r="AA1860" s="973">
        <v>16.12</v>
      </c>
    </row>
    <row r="1861" spans="25:27">
      <c r="Y1861" s="967">
        <v>42781</v>
      </c>
      <c r="Z1861" s="974">
        <f ca="1">H1811*Valuation_Senario!$L$372</f>
        <v>15756.881355109997</v>
      </c>
      <c r="AA1861" s="973">
        <v>16.12</v>
      </c>
    </row>
    <row r="1862" spans="25:27">
      <c r="Y1862" s="967">
        <v>42780</v>
      </c>
      <c r="Z1862" s="974">
        <f ca="1">H1812*Valuation_Senario!$L$372</f>
        <v>15756.881355109997</v>
      </c>
      <c r="AA1862" s="973">
        <v>16.03</v>
      </c>
    </row>
    <row r="1863" spans="25:27">
      <c r="Y1863" s="967">
        <v>42779</v>
      </c>
      <c r="Z1863" s="974">
        <f ca="1">H1813*Valuation_Senario!$L$372</f>
        <v>15756.881355109997</v>
      </c>
      <c r="AA1863" s="973">
        <v>16.14</v>
      </c>
    </row>
    <row r="1864" spans="25:27">
      <c r="Y1864" s="967">
        <v>42776</v>
      </c>
      <c r="Z1864" s="974">
        <f ca="1">H1814*Valuation_Senario!$L$372</f>
        <v>15756.881355109997</v>
      </c>
      <c r="AA1864" s="973">
        <v>15.68</v>
      </c>
    </row>
    <row r="1865" spans="25:27">
      <c r="Y1865" s="967">
        <v>42775</v>
      </c>
      <c r="Z1865" s="974">
        <f ca="1">H1815*Valuation_Senario!$L$372</f>
        <v>15756.881355109997</v>
      </c>
      <c r="AA1865" s="973">
        <v>15.56</v>
      </c>
    </row>
    <row r="1866" spans="25:27">
      <c r="Y1866" s="967">
        <v>42774</v>
      </c>
      <c r="Z1866" s="974">
        <f ca="1">H1816*Valuation_Senario!$L$372</f>
        <v>15756.881355109997</v>
      </c>
      <c r="AA1866" s="973">
        <v>15.73</v>
      </c>
    </row>
    <row r="1867" spans="25:27">
      <c r="Y1867" s="967">
        <v>42773</v>
      </c>
      <c r="Z1867" s="974">
        <f ca="1">H1817*Valuation_Senario!$L$372</f>
        <v>15756.881355109997</v>
      </c>
      <c r="AA1867" s="973">
        <v>15.88</v>
      </c>
    </row>
    <row r="1868" spans="25:27">
      <c r="Y1868" s="967">
        <v>42772</v>
      </c>
      <c r="Z1868" s="974">
        <f ca="1">H1818*Valuation_Senario!$L$372</f>
        <v>15612.106179479999</v>
      </c>
      <c r="AA1868" s="973">
        <v>16.04</v>
      </c>
    </row>
    <row r="1869" spans="25:27">
      <c r="Y1869" s="967">
        <v>42769</v>
      </c>
      <c r="Z1869" s="974">
        <f ca="1">H1819*Valuation_Senario!$L$372</f>
        <v>15618.626128559999</v>
      </c>
      <c r="AA1869" s="973">
        <v>15.8</v>
      </c>
    </row>
    <row r="1870" spans="25:27">
      <c r="Y1870" s="967">
        <v>42768</v>
      </c>
      <c r="Z1870" s="974">
        <f ca="1">H1820*Valuation_Senario!$L$372</f>
        <v>15620.814129489998</v>
      </c>
      <c r="AA1870" s="973">
        <v>15.89</v>
      </c>
    </row>
    <row r="1871" spans="25:27">
      <c r="Y1871" s="967">
        <v>42760</v>
      </c>
      <c r="Z1871" s="974">
        <f ca="1">H1821*Valuation_Senario!$L$372</f>
        <v>15638.25939865</v>
      </c>
      <c r="AA1871" s="973">
        <v>15.02</v>
      </c>
    </row>
    <row r="1872" spans="25:27">
      <c r="Y1872" s="967">
        <v>42759</v>
      </c>
      <c r="Z1872" s="974">
        <f ca="1">H1822*Valuation_Senario!$L$372</f>
        <v>15640.43271501</v>
      </c>
      <c r="AA1872" s="973">
        <v>14.93</v>
      </c>
    </row>
    <row r="1873" spans="25:27">
      <c r="Y1873" s="967">
        <v>42758</v>
      </c>
      <c r="Z1873" s="974">
        <f ca="1">H1823*Valuation_Senario!$L$372</f>
        <v>15642.620715939998</v>
      </c>
      <c r="AA1873" s="973">
        <v>14.86</v>
      </c>
    </row>
    <row r="1874" spans="25:27">
      <c r="Y1874" s="967">
        <v>42755</v>
      </c>
      <c r="Z1874" s="974">
        <f ca="1">H1824*Valuation_Senario!$L$372</f>
        <v>15649.170034159997</v>
      </c>
      <c r="AA1874" s="973">
        <v>14.97</v>
      </c>
    </row>
    <row r="1875" spans="25:27">
      <c r="Y1875" s="967">
        <v>42754</v>
      </c>
      <c r="Z1875" s="974">
        <f ca="1">H1825*Valuation_Senario!$L$372</f>
        <v>15651.358035089999</v>
      </c>
      <c r="AA1875" s="973">
        <v>14.78</v>
      </c>
    </row>
    <row r="1876" spans="25:27">
      <c r="Y1876" s="967">
        <v>42753</v>
      </c>
      <c r="Z1876" s="974">
        <f ca="1">H1826*Valuation_Senario!$L$372</f>
        <v>15653.54603602</v>
      </c>
      <c r="AA1876" s="973">
        <v>14.82</v>
      </c>
    </row>
    <row r="1877" spans="25:27">
      <c r="Y1877" s="967">
        <v>42752</v>
      </c>
      <c r="Z1877" s="974">
        <f ca="1">H1827*Valuation_Senario!$L$372</f>
        <v>15655.73403695</v>
      </c>
      <c r="AA1877" s="973">
        <v>14.82</v>
      </c>
    </row>
    <row r="1878" spans="25:27">
      <c r="Y1878" s="967">
        <v>42751</v>
      </c>
      <c r="Z1878" s="974">
        <f ca="1">H1828*Valuation_Senario!$L$372</f>
        <v>15657.92203788</v>
      </c>
      <c r="AA1878" s="973">
        <v>14.86</v>
      </c>
    </row>
    <row r="1879" spans="25:27">
      <c r="Y1879" s="967">
        <v>42748</v>
      </c>
      <c r="Z1879" s="974">
        <f ca="1">H1829*Valuation_Senario!$L$372</f>
        <v>15664.486040669999</v>
      </c>
      <c r="AA1879" s="973">
        <v>14.95</v>
      </c>
    </row>
    <row r="1880" spans="25:27">
      <c r="Y1880" s="967">
        <v>42747</v>
      </c>
      <c r="Z1880" s="974">
        <f ca="1">H1830*Valuation_Senario!$L$372</f>
        <v>15666.688726169998</v>
      </c>
      <c r="AA1880" s="973">
        <v>15</v>
      </c>
    </row>
    <row r="1881" spans="25:27">
      <c r="Y1881" s="967">
        <v>42746</v>
      </c>
      <c r="Z1881" s="974">
        <f ca="1">H1831*Valuation_Senario!$L$372</f>
        <v>15668.876727099998</v>
      </c>
      <c r="AA1881" s="973">
        <v>14.99</v>
      </c>
    </row>
    <row r="1882" spans="25:27">
      <c r="Y1882" s="967">
        <v>42745</v>
      </c>
      <c r="Z1882" s="974">
        <f ca="1">H1832*Valuation_Senario!$L$372</f>
        <v>15671.06472803</v>
      </c>
      <c r="AA1882" s="973">
        <v>14.73</v>
      </c>
    </row>
    <row r="1883" spans="25:27">
      <c r="Y1883" s="967">
        <v>42744</v>
      </c>
      <c r="Z1883" s="974">
        <f ca="1">H1833*Valuation_Senario!$L$372</f>
        <v>15673.25272896</v>
      </c>
      <c r="AA1883" s="973">
        <v>14.68</v>
      </c>
    </row>
    <row r="1884" spans="25:27">
      <c r="Y1884" s="967">
        <v>42741</v>
      </c>
      <c r="Z1884" s="974">
        <f ca="1">H1834*Valuation_Senario!$L$372</f>
        <v>15679.831416319999</v>
      </c>
      <c r="AA1884" s="973">
        <v>14.78</v>
      </c>
    </row>
    <row r="1885" spans="25:27">
      <c r="Y1885" s="967">
        <v>42740</v>
      </c>
      <c r="Z1885" s="974">
        <f ca="1">H1835*Valuation_Senario!$L$372</f>
        <v>15682.03410182</v>
      </c>
      <c r="AA1885" s="973">
        <v>14.78</v>
      </c>
    </row>
    <row r="1886" spans="25:27">
      <c r="Y1886" s="967">
        <v>42739</v>
      </c>
      <c r="Z1886" s="974">
        <f ca="1">H1836*Valuation_Senario!$L$372</f>
        <v>15684.222102749998</v>
      </c>
      <c r="AA1886" s="973">
        <v>14.73</v>
      </c>
    </row>
    <row r="1887" spans="25:27">
      <c r="Y1887" s="967">
        <v>42738</v>
      </c>
      <c r="Z1887" s="974">
        <f ca="1">H1837*Valuation_Senario!$L$372</f>
        <v>15686.424788249999</v>
      </c>
      <c r="AA1887" s="973">
        <v>14.67</v>
      </c>
    </row>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FF00"/>
  </sheetPr>
  <dimension ref="A1:AL43"/>
  <sheetViews>
    <sheetView topLeftCell="A10" zoomScaleNormal="100" workbookViewId="0">
      <pane xSplit="4" topLeftCell="T1" activePane="topRight" state="frozen"/>
      <selection activeCell="M19" sqref="M19"/>
      <selection pane="topRight" activeCell="AH52" sqref="AH52"/>
    </sheetView>
  </sheetViews>
  <sheetFormatPr baseColWidth="10" defaultColWidth="8.6640625" defaultRowHeight="15" outlineLevelCol="2"/>
  <cols>
    <col min="1" max="1" width="24.83203125" style="112" customWidth="1"/>
    <col min="2" max="2" width="11.6640625" style="197" customWidth="1" outlineLevel="2"/>
    <col min="3" max="3" width="9.1640625" style="197" customWidth="1" outlineLevel="2"/>
    <col min="4" max="4" width="8.83203125" style="197" customWidth="1" outlineLevel="2"/>
    <col min="5" max="6" width="9.1640625" style="197" customWidth="1" outlineLevel="1"/>
    <col min="7" max="7" width="8.6640625" style="112" customWidth="1" outlineLevel="1"/>
    <col min="8" max="8" width="11.1640625" style="112" customWidth="1" outlineLevel="1"/>
    <col min="9" max="9" width="8.83203125" style="112" customWidth="1" outlineLevel="1"/>
    <col min="10" max="10" width="8.6640625" style="112" customWidth="1" outlineLevel="1"/>
    <col min="11" max="11" width="10.5" style="112" customWidth="1" outlineLevel="1"/>
    <col min="12" max="12" width="3.5" style="112" customWidth="1" outlineLevel="1"/>
    <col min="13" max="14" width="8.83203125" style="112" customWidth="1" outlineLevel="1"/>
    <col min="15" max="15" width="8.6640625" style="200" customWidth="1" outlineLevel="1"/>
    <col min="16" max="17" width="10.5" style="112" customWidth="1" outlineLevel="1"/>
    <col min="18" max="18" width="8.6640625" style="201" customWidth="1" outlineLevel="1"/>
    <col min="19" max="19" width="14" style="221" customWidth="1" outlineLevel="1"/>
    <col min="20" max="21" width="8.83203125" style="112" bestFit="1" customWidth="1"/>
    <col min="22" max="22" width="8.6640625" style="200"/>
    <col min="23" max="24" width="10.5" style="112" bestFit="1" customWidth="1"/>
    <col min="25" max="28" width="8.6640625" style="201"/>
    <col min="29" max="29" width="8.6640625" style="112"/>
    <col min="30" max="35" width="13.33203125" style="112" bestFit="1" customWidth="1"/>
    <col min="36" max="37" width="12.83203125" style="112" customWidth="1"/>
    <col min="38" max="16384" width="8.6640625" style="112"/>
  </cols>
  <sheetData>
    <row r="1" spans="1:37" s="241" customFormat="1">
      <c r="A1" s="241" t="s">
        <v>1250</v>
      </c>
      <c r="B1" s="242" t="e">
        <f>AH1</f>
        <v>#REF!</v>
      </c>
      <c r="C1" s="242" t="e">
        <f>AD1</f>
        <v>#REF!</v>
      </c>
      <c r="D1" s="242" t="s">
        <v>31</v>
      </c>
      <c r="E1" s="242" t="s">
        <v>88</v>
      </c>
      <c r="F1" s="242" t="s">
        <v>84</v>
      </c>
      <c r="G1" s="241" t="s">
        <v>31</v>
      </c>
      <c r="H1" s="241" t="s">
        <v>2039</v>
      </c>
      <c r="I1" s="241" t="s">
        <v>2040</v>
      </c>
      <c r="J1" s="241" t="s">
        <v>31</v>
      </c>
      <c r="M1" s="241" t="s">
        <v>89</v>
      </c>
      <c r="N1" s="241" t="s">
        <v>85</v>
      </c>
      <c r="O1" s="243" t="s">
        <v>31</v>
      </c>
      <c r="P1" s="241" t="s">
        <v>2041</v>
      </c>
      <c r="Q1" s="241" t="s">
        <v>2042</v>
      </c>
      <c r="R1" s="244" t="s">
        <v>31</v>
      </c>
      <c r="S1" s="245"/>
      <c r="T1" s="241" t="s">
        <v>90</v>
      </c>
      <c r="U1" s="241" t="s">
        <v>86</v>
      </c>
      <c r="V1" s="243" t="s">
        <v>31</v>
      </c>
      <c r="W1" s="241">
        <v>2021</v>
      </c>
      <c r="X1" s="241">
        <v>2020</v>
      </c>
      <c r="Y1" s="244" t="s">
        <v>31</v>
      </c>
      <c r="Z1" s="244"/>
      <c r="AA1" s="244"/>
      <c r="AB1" s="244"/>
      <c r="AC1" s="246"/>
      <c r="AD1" s="247" t="e">
        <f>'FS Quarter'!#REF!</f>
        <v>#REF!</v>
      </c>
      <c r="AE1" s="247" t="e">
        <f>'FS Quarter'!#REF!</f>
        <v>#REF!</v>
      </c>
      <c r="AF1" s="247" t="e">
        <f>'FS Quarter'!#REF!</f>
        <v>#REF!</v>
      </c>
      <c r="AG1" s="247" t="e">
        <f>'FS Quarter'!#REF!</f>
        <v>#REF!</v>
      </c>
      <c r="AH1" s="247" t="e">
        <f>'FS Quarter'!#REF!</f>
        <v>#REF!</v>
      </c>
      <c r="AI1" s="247" t="e">
        <f>'FS Quarter'!#REF!</f>
        <v>#REF!</v>
      </c>
      <c r="AJ1" s="247" t="e">
        <f>'FS Quarter'!#REF!</f>
        <v>#REF!</v>
      </c>
      <c r="AK1" s="247"/>
    </row>
    <row r="2" spans="1:37">
      <c r="A2" s="112" t="s">
        <v>2043</v>
      </c>
      <c r="E2" s="197" t="e">
        <f>SUM(#REF!)</f>
        <v>#REF!</v>
      </c>
      <c r="F2" s="197" t="e">
        <f>SUM(#REF!)</f>
        <v>#REF!</v>
      </c>
      <c r="G2" s="200" t="e">
        <f>E2/F2-1</f>
        <v>#REF!</v>
      </c>
      <c r="H2" s="197" t="e">
        <f>P2-M2</f>
        <v>#REF!</v>
      </c>
      <c r="I2" s="197" t="e">
        <f>Q2-N2</f>
        <v>#REF!</v>
      </c>
      <c r="M2" s="198" t="e">
        <f>SUM(#REF!)</f>
        <v>#REF!</v>
      </c>
      <c r="N2" s="198" t="e">
        <f>SUM(#REF!)</f>
        <v>#REF!</v>
      </c>
      <c r="O2" s="200" t="e">
        <f>M2/N2-1</f>
        <v>#REF!</v>
      </c>
      <c r="P2" s="198">
        <f>0.572*$P$11</f>
        <v>49.660911982779808</v>
      </c>
      <c r="Q2" s="198">
        <f>0.565*$Q$11</f>
        <v>45.964064369586943</v>
      </c>
      <c r="R2" s="201">
        <f>P2/Q2-1</f>
        <v>8.0429084414018082E-2</v>
      </c>
      <c r="S2" s="221" t="e">
        <f>#REF!/10^3-P2</f>
        <v>#REF!</v>
      </c>
      <c r="T2" s="198" t="e">
        <f>SUM(#REF!)</f>
        <v>#REF!</v>
      </c>
      <c r="U2" s="198" t="e">
        <f>X2-Q2</f>
        <v>#REF!</v>
      </c>
      <c r="V2" s="200" t="e">
        <f>T2/U2-1</f>
        <v>#REF!</v>
      </c>
      <c r="W2" s="198" t="e">
        <f>#REF!/10^3</f>
        <v>#REF!</v>
      </c>
      <c r="X2" s="198" t="e">
        <f>$X$11*#REF!</f>
        <v>#REF!</v>
      </c>
      <c r="Y2" s="201" t="e">
        <f>W2/X2-1</f>
        <v>#REF!</v>
      </c>
    </row>
    <row r="3" spans="1:37" s="200" customFormat="1">
      <c r="A3" s="200" t="s">
        <v>2044</v>
      </c>
      <c r="E3" s="200" t="e">
        <f t="shared" ref="E3:L3" si="0">E2/E11</f>
        <v>#REF!</v>
      </c>
      <c r="F3" s="200" t="e">
        <f t="shared" si="0"/>
        <v>#REF!</v>
      </c>
      <c r="H3" s="200" t="e">
        <f t="shared" si="0"/>
        <v>#REF!</v>
      </c>
      <c r="I3" s="200" t="e">
        <f t="shared" si="0"/>
        <v>#REF!</v>
      </c>
      <c r="J3" s="200">
        <f t="shared" si="0"/>
        <v>0</v>
      </c>
      <c r="K3" s="200" t="e">
        <f t="shared" si="0"/>
        <v>#DIV/0!</v>
      </c>
      <c r="L3" s="200" t="e">
        <f t="shared" si="0"/>
        <v>#DIV/0!</v>
      </c>
      <c r="M3" s="200" t="e">
        <f>M2/M11</f>
        <v>#REF!</v>
      </c>
      <c r="N3" s="200" t="e">
        <f>N2/N11</f>
        <v>#REF!</v>
      </c>
      <c r="P3" s="201">
        <f>P2/P11</f>
        <v>0.57199999999999995</v>
      </c>
      <c r="Q3" s="201">
        <f>Q2/Q11</f>
        <v>0.56499999999999995</v>
      </c>
      <c r="R3" s="240">
        <f>P3-Q3</f>
        <v>7.0000000000000062E-3</v>
      </c>
      <c r="S3" s="200" t="e">
        <f>S2/S11</f>
        <v>#REF!</v>
      </c>
      <c r="T3" s="200" t="e">
        <f>T2/T11</f>
        <v>#REF!</v>
      </c>
      <c r="U3" s="200" t="e">
        <f>U2/U11</f>
        <v>#REF!</v>
      </c>
      <c r="W3" s="200" t="e">
        <f>W2/W11</f>
        <v>#REF!</v>
      </c>
      <c r="X3" s="200" t="e">
        <f>X2/X11</f>
        <v>#REF!</v>
      </c>
      <c r="Y3" s="240"/>
      <c r="Z3" s="240"/>
      <c r="AA3" s="240"/>
      <c r="AB3" s="240"/>
    </row>
    <row r="4" spans="1:37">
      <c r="A4" s="112" t="s">
        <v>2045</v>
      </c>
      <c r="E4" s="197" t="e">
        <f>SUM(#REF!)</f>
        <v>#REF!</v>
      </c>
      <c r="F4" s="197" t="e">
        <f>SUM(#REF!)</f>
        <v>#REF!</v>
      </c>
      <c r="G4" s="200" t="e">
        <f>E4/F4-1</f>
        <v>#REF!</v>
      </c>
      <c r="H4" s="198" t="e">
        <f>P4-M4</f>
        <v>#REF!</v>
      </c>
      <c r="I4" s="198" t="e">
        <f>Q4-N4</f>
        <v>#REF!</v>
      </c>
      <c r="M4" s="198" t="e">
        <f>SUM(#REF!)</f>
        <v>#REF!</v>
      </c>
      <c r="N4" s="198" t="e">
        <f>SUM(#REF!)</f>
        <v>#REF!</v>
      </c>
      <c r="O4" s="200" t="e">
        <f>M4/N4-1</f>
        <v>#REF!</v>
      </c>
      <c r="P4" s="198">
        <f>0.138*$P$11</f>
        <v>11.981129114726599</v>
      </c>
      <c r="Q4" s="198">
        <f>0.159*$Q$11</f>
        <v>12.935019884538628</v>
      </c>
      <c r="R4" s="201">
        <f>P4/Q4-1</f>
        <v>-7.3744824385791996E-2</v>
      </c>
      <c r="S4" s="221" t="e">
        <f>#REF!/10^3-edit!P4</f>
        <v>#REF!</v>
      </c>
      <c r="T4" s="198" t="e">
        <f>SUM(#REF!)</f>
        <v>#REF!</v>
      </c>
      <c r="U4" s="198" t="e">
        <f>X4-Q4</f>
        <v>#REF!</v>
      </c>
      <c r="V4" s="200" t="e">
        <f>T4/U4-1</f>
        <v>#REF!</v>
      </c>
      <c r="W4" s="198" t="e">
        <f>#REF!/10^3</f>
        <v>#REF!</v>
      </c>
      <c r="X4" s="198" t="e">
        <f>X11*#REF!</f>
        <v>#REF!</v>
      </c>
      <c r="Y4" s="201" t="e">
        <f>W4/X4-1</f>
        <v>#REF!</v>
      </c>
    </row>
    <row r="5" spans="1:37" s="238" customFormat="1">
      <c r="A5" s="238" t="s">
        <v>2044</v>
      </c>
      <c r="B5" s="239"/>
      <c r="C5" s="239"/>
      <c r="D5" s="239"/>
      <c r="E5" s="200" t="e">
        <f t="shared" ref="E5:L5" si="1">E4/E11</f>
        <v>#REF!</v>
      </c>
      <c r="F5" s="200" t="e">
        <f t="shared" si="1"/>
        <v>#REF!</v>
      </c>
      <c r="G5" s="200"/>
      <c r="H5" s="200" t="e">
        <f t="shared" si="1"/>
        <v>#REF!</v>
      </c>
      <c r="I5" s="200" t="e">
        <f t="shared" si="1"/>
        <v>#REF!</v>
      </c>
      <c r="J5" s="200">
        <f t="shared" si="1"/>
        <v>0</v>
      </c>
      <c r="K5" s="200" t="e">
        <f t="shared" si="1"/>
        <v>#DIV/0!</v>
      </c>
      <c r="L5" s="200" t="e">
        <f t="shared" si="1"/>
        <v>#DIV/0!</v>
      </c>
      <c r="M5" s="200" t="e">
        <f>M4/M11</f>
        <v>#REF!</v>
      </c>
      <c r="N5" s="200" t="e">
        <f>N4/N11</f>
        <v>#REF!</v>
      </c>
      <c r="O5" s="200"/>
      <c r="P5" s="201">
        <f>P4/P11</f>
        <v>0.13800000000000001</v>
      </c>
      <c r="Q5" s="201">
        <f>Q4/Q11</f>
        <v>0.159</v>
      </c>
      <c r="R5" s="240">
        <f>P5-Q5</f>
        <v>-2.0999999999999991E-2</v>
      </c>
      <c r="S5" s="201" t="e">
        <f>S4/S11</f>
        <v>#REF!</v>
      </c>
      <c r="T5" s="200" t="e">
        <f>T4/T11</f>
        <v>#REF!</v>
      </c>
      <c r="U5" s="200" t="e">
        <f>U4/U11</f>
        <v>#REF!</v>
      </c>
      <c r="V5" s="200"/>
      <c r="W5" s="200" t="e">
        <f>W4/W11</f>
        <v>#REF!</v>
      </c>
      <c r="X5" s="200" t="e">
        <f>X4/X11</f>
        <v>#REF!</v>
      </c>
      <c r="Y5" s="240"/>
      <c r="Z5" s="240"/>
      <c r="AA5" s="240"/>
      <c r="AB5" s="240"/>
    </row>
    <row r="6" spans="1:37">
      <c r="A6" s="112" t="s">
        <v>2046</v>
      </c>
      <c r="E6" s="197" t="e">
        <f>SUM(#REF!)</f>
        <v>#REF!</v>
      </c>
      <c r="F6" s="197" t="e">
        <f>SUM(#REF!)</f>
        <v>#REF!</v>
      </c>
      <c r="G6" s="200" t="e">
        <f>E6/F6-1</f>
        <v>#REF!</v>
      </c>
      <c r="H6" s="198" t="e">
        <f>P6-M6</f>
        <v>#REF!</v>
      </c>
      <c r="I6" s="198" t="e">
        <f>Q6-N6</f>
        <v>#REF!</v>
      </c>
      <c r="M6" s="198" t="e">
        <f>SUM(#REF!)</f>
        <v>#REF!</v>
      </c>
      <c r="N6" s="198" t="e">
        <f>SUM(#REF!)</f>
        <v>#REF!</v>
      </c>
      <c r="O6" s="200" t="e">
        <f>M6/N6-1</f>
        <v>#REF!</v>
      </c>
      <c r="P6" s="198">
        <f>0.266*$P$11</f>
        <v>23.094060467516488</v>
      </c>
      <c r="Q6" s="198">
        <f>0.254*$Q$11</f>
        <v>20.663490884734664</v>
      </c>
      <c r="R6" s="201">
        <f>P6/Q6-1</f>
        <v>0.11762628088061478</v>
      </c>
      <c r="S6" s="221" t="e">
        <f>#REF!/10^3-P6</f>
        <v>#REF!</v>
      </c>
      <c r="T6" s="198" t="e">
        <f>SUM(#REF!)</f>
        <v>#REF!</v>
      </c>
      <c r="U6" s="198" t="e">
        <f>X6-Q6</f>
        <v>#REF!</v>
      </c>
      <c r="V6" s="200" t="e">
        <f>T6/U6-1</f>
        <v>#REF!</v>
      </c>
      <c r="W6" s="198" t="e">
        <f>#REF!/10^3</f>
        <v>#REF!</v>
      </c>
      <c r="X6" s="198" t="e">
        <f>X11*#REF!</f>
        <v>#REF!</v>
      </c>
      <c r="Y6" s="201" t="e">
        <f>W6/X6-1</f>
        <v>#REF!</v>
      </c>
    </row>
    <row r="7" spans="1:37" s="200" customFormat="1">
      <c r="A7" s="200" t="s">
        <v>2044</v>
      </c>
      <c r="E7" s="200" t="e">
        <f t="shared" ref="E7:L7" si="2">E6/E11</f>
        <v>#REF!</v>
      </c>
      <c r="F7" s="200" t="e">
        <f t="shared" si="2"/>
        <v>#REF!</v>
      </c>
      <c r="H7" s="217" t="e">
        <f t="shared" si="2"/>
        <v>#REF!</v>
      </c>
      <c r="I7" s="200" t="e">
        <f t="shared" si="2"/>
        <v>#REF!</v>
      </c>
      <c r="J7" s="200">
        <f t="shared" si="2"/>
        <v>0</v>
      </c>
      <c r="K7" s="200" t="e">
        <f t="shared" si="2"/>
        <v>#DIV/0!</v>
      </c>
      <c r="L7" s="200" t="e">
        <f t="shared" si="2"/>
        <v>#DIV/0!</v>
      </c>
      <c r="M7" s="200" t="e">
        <f>M6/M11</f>
        <v>#REF!</v>
      </c>
      <c r="N7" s="200" t="e">
        <f>N6/N11</f>
        <v>#REF!</v>
      </c>
      <c r="P7" s="201">
        <f>P6/P11</f>
        <v>0.26600000000000001</v>
      </c>
      <c r="Q7" s="201">
        <f>Q6/Q11</f>
        <v>0.254</v>
      </c>
      <c r="R7" s="240">
        <f>P7-Q7</f>
        <v>1.2000000000000011E-2</v>
      </c>
      <c r="S7" s="200" t="e">
        <f>S6/S11</f>
        <v>#REF!</v>
      </c>
      <c r="T7" s="200" t="e">
        <f>T6/T11</f>
        <v>#REF!</v>
      </c>
      <c r="U7" s="200" t="e">
        <f>U6/U11</f>
        <v>#REF!</v>
      </c>
      <c r="W7" s="200" t="e">
        <f>W6/W11</f>
        <v>#REF!</v>
      </c>
      <c r="X7" s="200" t="e">
        <f>X6/X11</f>
        <v>#REF!</v>
      </c>
      <c r="Y7" s="240"/>
      <c r="Z7" s="240"/>
      <c r="AA7" s="240"/>
      <c r="AB7" s="240"/>
    </row>
    <row r="8" spans="1:37">
      <c r="A8" s="112" t="s">
        <v>49</v>
      </c>
      <c r="E8" s="197" t="e">
        <f>SUM(#REF!)</f>
        <v>#REF!</v>
      </c>
      <c r="F8" s="197" t="e">
        <f>SUM(#REF!)</f>
        <v>#REF!</v>
      </c>
      <c r="G8" s="200" t="e">
        <f>E8/F8-1</f>
        <v>#REF!</v>
      </c>
      <c r="H8" s="198" t="e">
        <f>P8-M8</f>
        <v>#REF!</v>
      </c>
      <c r="I8" s="198" t="e">
        <f>Q8-N8</f>
        <v>#REF!</v>
      </c>
      <c r="M8" s="198" t="e">
        <f>M11-SUM(M2:M6)</f>
        <v>#REF!</v>
      </c>
      <c r="N8" s="198" t="e">
        <f>N11-SUM(N2:N6)</f>
        <v>#REF!</v>
      </c>
      <c r="O8" s="200" t="e">
        <f>M8/N8-1</f>
        <v>#REF!</v>
      </c>
      <c r="P8" s="198">
        <f>P11-SUM(P2:P6)</f>
        <v>1.3736746286481036</v>
      </c>
      <c r="Q8" s="198">
        <f>Q11-SUM(Q2:Q6)</f>
        <v>1.0657511789927696</v>
      </c>
      <c r="R8" s="201">
        <f>P8/Q8-1</f>
        <v>0.28892621066236979</v>
      </c>
      <c r="S8" s="221" t="e">
        <f>#REF!/10^3-edit!P8</f>
        <v>#REF!</v>
      </c>
      <c r="T8" s="198" t="e">
        <f>SUM(#REF!)</f>
        <v>#REF!</v>
      </c>
      <c r="U8" s="198" t="e">
        <f>X8-Q8</f>
        <v>#REF!</v>
      </c>
      <c r="V8" s="200" t="e">
        <f>T8/U8-1</f>
        <v>#REF!</v>
      </c>
      <c r="W8" s="198" t="e">
        <f>#REF!/10^3</f>
        <v>#REF!</v>
      </c>
      <c r="X8" s="198" t="e">
        <f>X11*#REF!</f>
        <v>#REF!</v>
      </c>
      <c r="Y8" s="201" t="e">
        <f>W8/X8-1</f>
        <v>#REF!</v>
      </c>
    </row>
    <row r="9" spans="1:37" s="200" customFormat="1">
      <c r="A9" s="200" t="s">
        <v>2044</v>
      </c>
      <c r="E9" s="200" t="e">
        <f t="shared" ref="E9:L9" si="3">E8/E11</f>
        <v>#REF!</v>
      </c>
      <c r="F9" s="200" t="e">
        <f t="shared" si="3"/>
        <v>#REF!</v>
      </c>
      <c r="H9" s="200" t="e">
        <f t="shared" si="3"/>
        <v>#REF!</v>
      </c>
      <c r="I9" s="200" t="e">
        <f t="shared" si="3"/>
        <v>#REF!</v>
      </c>
      <c r="J9" s="200">
        <f t="shared" si="3"/>
        <v>0</v>
      </c>
      <c r="K9" s="200" t="e">
        <f t="shared" si="3"/>
        <v>#DIV/0!</v>
      </c>
      <c r="L9" s="200" t="e">
        <f t="shared" si="3"/>
        <v>#DIV/0!</v>
      </c>
      <c r="M9" s="200" t="e">
        <f>M8/M11</f>
        <v>#REF!</v>
      </c>
      <c r="N9" s="200" t="e">
        <f>N8/N11</f>
        <v>#REF!</v>
      </c>
      <c r="P9" s="201">
        <f>P8/P11</f>
        <v>1.5822139711392645E-2</v>
      </c>
      <c r="Q9" s="201">
        <f>Q8/Q11</f>
        <v>1.3100438883932536E-2</v>
      </c>
      <c r="R9" s="240">
        <f>P9-Q9</f>
        <v>2.7217008274601096E-3</v>
      </c>
      <c r="S9" s="200" t="e">
        <f>S8/S11</f>
        <v>#REF!</v>
      </c>
      <c r="T9" s="200" t="e">
        <f>T8/T11</f>
        <v>#REF!</v>
      </c>
      <c r="U9" s="200" t="e">
        <f>U8/U11</f>
        <v>#REF!</v>
      </c>
      <c r="W9" s="200" t="e">
        <f>W8/W11</f>
        <v>#REF!</v>
      </c>
      <c r="X9" s="200" t="e">
        <f>X8/X11</f>
        <v>#REF!</v>
      </c>
      <c r="Y9" s="240"/>
      <c r="Z9" s="240"/>
      <c r="AA9" s="240"/>
      <c r="AB9" s="240"/>
    </row>
    <row r="10" spans="1:37" s="241" customFormat="1">
      <c r="B10" s="242" t="str">
        <f>AH10</f>
        <v>Q1/2021</v>
      </c>
      <c r="C10" s="242" t="str">
        <f>AD10</f>
        <v>Q1/2020</v>
      </c>
      <c r="D10" s="242" t="s">
        <v>31</v>
      </c>
      <c r="E10" s="242" t="s">
        <v>88</v>
      </c>
      <c r="F10" s="242" t="s">
        <v>84</v>
      </c>
      <c r="G10" s="241" t="s">
        <v>31</v>
      </c>
      <c r="H10" s="241" t="s">
        <v>2039</v>
      </c>
      <c r="I10" s="241" t="s">
        <v>2040</v>
      </c>
      <c r="J10" s="241" t="s">
        <v>31</v>
      </c>
      <c r="M10" s="241" t="s">
        <v>89</v>
      </c>
      <c r="N10" s="241" t="s">
        <v>85</v>
      </c>
      <c r="O10" s="243" t="s">
        <v>31</v>
      </c>
      <c r="P10" s="241" t="s">
        <v>2041</v>
      </c>
      <c r="Q10" s="241" t="s">
        <v>2042</v>
      </c>
      <c r="R10" s="244" t="s">
        <v>31</v>
      </c>
      <c r="S10" s="245"/>
      <c r="T10" s="241" t="s">
        <v>90</v>
      </c>
      <c r="U10" s="241" t="s">
        <v>86</v>
      </c>
      <c r="V10" s="243" t="s">
        <v>31</v>
      </c>
      <c r="W10" s="241">
        <v>2021</v>
      </c>
      <c r="X10" s="241">
        <v>2020</v>
      </c>
      <c r="Y10" s="244" t="s">
        <v>31</v>
      </c>
      <c r="Z10" s="244"/>
      <c r="AA10" s="244"/>
      <c r="AB10" s="244"/>
      <c r="AC10" s="246"/>
      <c r="AD10" s="247" t="str">
        <f>'FS Quarter'!AX1</f>
        <v>Q1/2020</v>
      </c>
      <c r="AE10" s="247" t="str">
        <f>'FS Quarter'!AY1</f>
        <v>Q2/2020</v>
      </c>
      <c r="AF10" s="247" t="str">
        <f>'FS Quarter'!AZ1</f>
        <v>Q3/2020</v>
      </c>
      <c r="AG10" s="247" t="str">
        <f>'FS Quarter'!BA1</f>
        <v>Q4/2020</v>
      </c>
      <c r="AH10" s="247" t="str">
        <f>'FS Quarter'!BB1</f>
        <v>Q1/2021</v>
      </c>
      <c r="AI10" s="247" t="str">
        <f>'FS Quarter'!BC1</f>
        <v>Q2/2021</v>
      </c>
      <c r="AJ10" s="247" t="str">
        <f>'FS Quarter'!BD1</f>
        <v>Q3/2021</v>
      </c>
      <c r="AK10" s="247" t="str">
        <f>'FS Quarter'!BE1</f>
        <v>Q4/2021</v>
      </c>
    </row>
    <row r="11" spans="1:37">
      <c r="A11" s="191" t="s">
        <v>394</v>
      </c>
      <c r="B11" s="197">
        <f>INDEX($AD$11:$BE$35,MATCH(edit!A11,$AC$11:$AC$35,0),MATCH(edit!$B$10,$AD$10:$BE$10,0))</f>
        <v>30.828143814873002</v>
      </c>
      <c r="C11" s="197">
        <f>INDEX($AD$11:$BE$35,MATCH(edit!A11,$AC$11:$AC$35,0),MATCH(edit!$C$10,$AD$10:$BE$10,0))</f>
        <v>29.353213419515999</v>
      </c>
      <c r="D11" s="196">
        <f>B11/C11-1</f>
        <v>5.0247663663848474E-2</v>
      </c>
      <c r="E11" s="197">
        <f>INDEX($AD$11:$BE$35,MATCH(edit!A11,$AC$11:$AC$35,0),MATCH(edit!$E$10,$AD$10:$BE$10,0))</f>
        <v>31.658418853104997</v>
      </c>
      <c r="F11" s="197">
        <f>INDEX($AD$11:$BE$35,MATCH(edit!A11,$AC$11:$AC$35,0),MATCH(edit!$F$10,$AD$10:$BE$10,0))</f>
        <v>26.285559012762999</v>
      </c>
      <c r="G11" s="196">
        <f>E11/F11-1</f>
        <v>0.20440348397130137</v>
      </c>
      <c r="H11" s="197">
        <f>B11+E11</f>
        <v>62.486562667977999</v>
      </c>
      <c r="I11" s="197">
        <f>C11+F11</f>
        <v>55.638772432278998</v>
      </c>
      <c r="J11" s="196">
        <f>H11/I11-1</f>
        <v>0.12307586843390239</v>
      </c>
      <c r="K11" s="196"/>
      <c r="L11" s="196"/>
      <c r="M11" s="198">
        <f>INDEX($AD$11:$BE$35,MATCH(edit!A11,$AC$11:$AC$35,0),MATCH(edit!$M$10,$AD$10:$BE$10,0))</f>
        <v>24.333213525693001</v>
      </c>
      <c r="N11" s="198">
        <f>INDEX($AD$11:$BE$35,MATCH(edit!A11,$AC$11:$AC$35,0),MATCH(edit!$N$10,$AD$10:$BE$10,0))</f>
        <v>25.713553885574001</v>
      </c>
      <c r="O11" s="200">
        <f>M11/N11-1</f>
        <v>-5.3681430658070517E-2</v>
      </c>
      <c r="P11" s="197">
        <f>H11+M11</f>
        <v>86.819776193671004</v>
      </c>
      <c r="Q11" s="197">
        <f>I11+N11</f>
        <v>81.352326317852999</v>
      </c>
      <c r="R11" s="201">
        <f>P11/Q11-1</f>
        <v>6.7207050164196147E-2</v>
      </c>
      <c r="S11" s="221">
        <f>FS!L67/10^3-edit!P11</f>
        <v>36.138329909502986</v>
      </c>
      <c r="T11" s="198">
        <f>INDEX($AD$11:$BE$35,MATCH(edit!A11,$AC$11:$AC$35,0),MATCH(edit!$T$10,$AD$10:$BE$10,0))</f>
        <v>7098.9048715090003</v>
      </c>
      <c r="U11" s="198">
        <f>INDEX($AD$11:$BE$35,MATCH(edit!A11,$AC$11:$AC$35,0),MATCH(edit!$U$10,$AD$10:$BE$10,0))</f>
        <v>27.193693347559002</v>
      </c>
      <c r="V11" s="200">
        <f>T11/U11-1</f>
        <v>260.04967724607451</v>
      </c>
      <c r="W11" s="197">
        <f>P11+T11</f>
        <v>7185.7246477026711</v>
      </c>
      <c r="X11" s="197">
        <f>U11+Q11</f>
        <v>108.546019665412</v>
      </c>
      <c r="Y11" s="201">
        <f>W11/X11-1</f>
        <v>65.199798664680003</v>
      </c>
      <c r="AC11" s="194" t="str">
        <f>'FS Quarter'!C2</f>
        <v>Doanh số</v>
      </c>
      <c r="AD11" s="195">
        <f>'FS Quarter'!AX2/1000</f>
        <v>29.673745407169001</v>
      </c>
      <c r="AE11" s="195">
        <f>'FS Quarter'!AY2/1000</f>
        <v>26.593356800951998</v>
      </c>
      <c r="AF11" s="195">
        <f>'FS Quarter'!AZ2/1000</f>
        <v>26.021650222198002</v>
      </c>
      <c r="AG11" s="195">
        <f>'FS Quarter'!BA2/1000</f>
        <v>27.512501260337</v>
      </c>
      <c r="AH11" s="195">
        <f>'FS Quarter'!BB2/1000</f>
        <v>31.156445464032</v>
      </c>
      <c r="AI11" s="195">
        <f>'FS Quarter'!BC2/1000</f>
        <v>31.982973207655</v>
      </c>
      <c r="AJ11" s="195">
        <f>'FS Quarter'!BD2/1000</f>
        <v>24.504825927283001</v>
      </c>
      <c r="AK11" s="195">
        <v>7176.172897335</v>
      </c>
    </row>
    <row r="12" spans="1:37">
      <c r="A12" s="192" t="s">
        <v>529</v>
      </c>
      <c r="B12" s="197">
        <f>INDEX($AD$11:$BE$35,MATCH(edit!A12,$AC$11:$AC$35,0),MATCH(edit!$B$10,$AD$10:$BE$10,0))</f>
        <v>7.0249455515020003</v>
      </c>
      <c r="C12" s="197">
        <f>INDEX($AD$11:$BE$35,MATCH(edit!A12,$AC$11:$AC$35,0),MATCH(edit!$C$10,$AD$10:$BE$10,0))</f>
        <v>6.1599704162639997</v>
      </c>
      <c r="D12" s="196">
        <f t="shared" ref="D12:D26" si="4">B12/C12-1</f>
        <v>0.14041871580328213</v>
      </c>
      <c r="E12" s="197">
        <f>INDEX($AD$11:$BE$35,MATCH(edit!A12,$AC$11:$AC$35,0),MATCH(edit!$E$10,$AD$10:$BE$10,0))</f>
        <v>7.1435833856709996</v>
      </c>
      <c r="F12" s="197">
        <f>INDEX($AD$11:$BE$35,MATCH(edit!A12,$AC$11:$AC$35,0),MATCH(edit!$F$10,$AD$10:$BE$10,0))</f>
        <v>5.7701417848860004</v>
      </c>
      <c r="G12" s="196">
        <f t="shared" ref="G12:G26" si="5">E12/F12-1</f>
        <v>0.23802562432391494</v>
      </c>
      <c r="H12" s="197">
        <f t="shared" ref="H12:I23" si="6">B12+E12</f>
        <v>14.168528937173001</v>
      </c>
      <c r="I12" s="197">
        <f t="shared" si="6"/>
        <v>11.930112201149999</v>
      </c>
      <c r="J12" s="196">
        <f t="shared" ref="J12:J26" si="7">H12/I12-1</f>
        <v>0.18762746722593526</v>
      </c>
      <c r="K12" s="196"/>
      <c r="L12" s="196"/>
      <c r="M12" s="198">
        <f>INDEX($AD$11:$BE$35,MATCH(edit!A12,$AC$11:$AC$35,0),MATCH(edit!$M$10,$AD$10:$BE$10,0))</f>
        <v>6.0887133257660002</v>
      </c>
      <c r="N12" s="198">
        <f>INDEX($AD$11:$BE$35,MATCH(edit!A12,$AC$11:$AC$35,0),MATCH(edit!$N$10,$AD$10:$BE$10,0))</f>
        <v>5.7497200097739993</v>
      </c>
      <c r="O12" s="200">
        <f t="shared" ref="O12:O26" si="8">M12/N12-1</f>
        <v>5.895823021220914E-2</v>
      </c>
      <c r="P12" s="197">
        <f>H12+M12</f>
        <v>20.257242262939002</v>
      </c>
      <c r="Q12" s="197">
        <f t="shared" ref="P12:Q26" si="9">I12+N12</f>
        <v>17.679832210923998</v>
      </c>
      <c r="R12" s="201">
        <f>P12/Q12-1</f>
        <v>0.14578249506363972</v>
      </c>
      <c r="S12" s="221">
        <f>FS!L70/10^3-edit!P12</f>
        <v>7.3748897325949976</v>
      </c>
      <c r="T12" s="198">
        <f>INDEX($AD$11:$BE$35,MATCH(edit!A12,$AC$11:$AC$35,0),MATCH(edit!$T$10,$AD$10:$BE$10,0))</f>
        <v>1256.825800845</v>
      </c>
      <c r="U12" s="198">
        <f>INDEX($AD$11:$BE$35,MATCH(edit!A12,$AC$11:$AC$35,0),MATCH(edit!$U$10,$AD$10:$BE$10,0))</f>
        <v>6.2746650615390003</v>
      </c>
      <c r="V12" s="200">
        <f t="shared" ref="V12:V22" si="10">T12/U12-1</f>
        <v>199.30165570889224</v>
      </c>
      <c r="W12" s="197">
        <f>P12+T12</f>
        <v>1277.0830431079389</v>
      </c>
      <c r="X12" s="197">
        <f t="shared" ref="X12:X23" si="11">U12+Q12</f>
        <v>23.954497272462998</v>
      </c>
      <c r="Y12" s="201">
        <f t="shared" ref="Y12:Y23" si="12">W12/X12-1</f>
        <v>52.312871841231065</v>
      </c>
      <c r="AC12" s="194" t="str">
        <f>'FS Quarter'!C3</f>
        <v>Các khoản giảm trừ</v>
      </c>
      <c r="AD12" s="195">
        <f>'FS Quarter'!AX3/1000</f>
        <v>-0.32053198765300001</v>
      </c>
      <c r="AE12" s="195">
        <f>'FS Quarter'!AY3/1000</f>
        <v>-0.307797788189</v>
      </c>
      <c r="AF12" s="195">
        <f>'FS Quarter'!AZ3/1000</f>
        <v>-0.30809633662399999</v>
      </c>
      <c r="AG12" s="195">
        <f>'FS Quarter'!BA3/1000</f>
        <v>-0.31880791277800002</v>
      </c>
      <c r="AH12" s="195">
        <f>'FS Quarter'!BB3/1000</f>
        <v>-0.32830164915900001</v>
      </c>
      <c r="AI12" s="195">
        <f>'FS Quarter'!BC3/1000</f>
        <v>-0.32455435455000003</v>
      </c>
      <c r="AJ12" s="195">
        <f>'FS Quarter'!BD3/1000</f>
        <v>-0.17161240158999999</v>
      </c>
      <c r="AK12" s="195">
        <v>-77.268025825999999</v>
      </c>
    </row>
    <row r="13" spans="1:37" s="200" customFormat="1">
      <c r="A13" s="199" t="s">
        <v>243</v>
      </c>
      <c r="B13" s="200">
        <f>B12/B11</f>
        <v>0.22787442519042692</v>
      </c>
      <c r="C13" s="200">
        <f>C12/C11</f>
        <v>0.20985676519383856</v>
      </c>
      <c r="E13" s="223">
        <f>E12/E11</f>
        <v>0.22564561479893272</v>
      </c>
      <c r="F13" s="200">
        <f>F12/F11</f>
        <v>0.21951756027270708</v>
      </c>
      <c r="H13" s="215">
        <f>H12/H11</f>
        <v>0.226745212606067</v>
      </c>
      <c r="I13" s="201">
        <f>I12/I11</f>
        <v>0.21442083783697408</v>
      </c>
      <c r="M13" s="201">
        <f>M12/M11</f>
        <v>0.25022232757449148</v>
      </c>
      <c r="N13" s="201">
        <f>N12/N11</f>
        <v>0.22360658644699236</v>
      </c>
      <c r="O13" s="223">
        <f>M13-N13</f>
        <v>2.6615741127499121E-2</v>
      </c>
      <c r="P13" s="224">
        <f>P12/P11</f>
        <v>0.23332520712505264</v>
      </c>
      <c r="Q13" s="201">
        <f>Q12/Q11</f>
        <v>0.21732423657864236</v>
      </c>
      <c r="R13" s="201">
        <f>P13-Q13</f>
        <v>1.6000970546410281E-2</v>
      </c>
      <c r="S13" s="223">
        <f>S12/S11</f>
        <v>0.20407389470025528</v>
      </c>
      <c r="T13" s="201">
        <f>T12/T11</f>
        <v>0.17704502646446071</v>
      </c>
      <c r="U13" s="201">
        <f>U12/U11</f>
        <v>0.23073971532087736</v>
      </c>
      <c r="V13" s="201"/>
      <c r="W13" s="201">
        <f>W12/W11</f>
        <v>0.17772501810464331</v>
      </c>
      <c r="X13" s="201">
        <f>X12/X11</f>
        <v>0.2206851743279174</v>
      </c>
      <c r="Y13" s="201"/>
      <c r="Z13" s="201"/>
      <c r="AA13" s="201"/>
      <c r="AB13" s="201"/>
      <c r="AC13" s="200" t="str">
        <f>'FS Quarter'!C4</f>
        <v>Doanh thu thuần</v>
      </c>
      <c r="AD13" s="200">
        <f>'FS Quarter'!AX4/1000</f>
        <v>29.353213419515999</v>
      </c>
      <c r="AE13" s="200">
        <f>'FS Quarter'!AY4/1000</f>
        <v>26.285559012762999</v>
      </c>
      <c r="AF13" s="200">
        <f>'FS Quarter'!AZ4/1000</f>
        <v>25.713553885574001</v>
      </c>
      <c r="AG13" s="200">
        <f>'FS Quarter'!BA4/1000</f>
        <v>27.193693347559002</v>
      </c>
      <c r="AH13" s="200">
        <f>'FS Quarter'!BB4/1000</f>
        <v>30.828143814873002</v>
      </c>
      <c r="AI13" s="200">
        <f>'FS Quarter'!BC4/1000</f>
        <v>31.658418853104997</v>
      </c>
      <c r="AJ13" s="200">
        <f>'FS Quarter'!BD4/1000</f>
        <v>24.333213525693001</v>
      </c>
      <c r="AK13" s="200">
        <v>7098.9048715090003</v>
      </c>
    </row>
    <row r="14" spans="1:37">
      <c r="A14" s="192" t="s">
        <v>331</v>
      </c>
      <c r="B14" s="197">
        <f>INDEX($AD$11:$BE$35,MATCH(edit!A14,$AC$11:$AC$35,0),MATCH(edit!$B$10,$AD$10:$BE$10,0))</f>
        <v>-4.2451306373030002</v>
      </c>
      <c r="C14" s="197">
        <f>INDEX($AD$11:$BE$35,MATCH(edit!A14,$AC$11:$AC$35,0),MATCH(edit!$C$10,$AD$10:$BE$10,0))</f>
        <v>-3.7827746033019998</v>
      </c>
      <c r="D14" s="196">
        <f t="shared" si="4"/>
        <v>0.12222669402438302</v>
      </c>
      <c r="E14" s="197">
        <f>INDEX($AD$11:$BE$35,MATCH(edit!A14,$AC$11:$AC$35,0),MATCH(edit!$E$10,$AD$10:$BE$10,0))</f>
        <v>-4.5456022950349997</v>
      </c>
      <c r="F14" s="197">
        <f>INDEX($AD$11:$BE$35,MATCH(edit!A14,$AC$11:$AC$35,0),MATCH(edit!$F$10,$AD$10:$BE$10,0))</f>
        <v>-3.5383684356959999</v>
      </c>
      <c r="G14" s="196">
        <f t="shared" si="5"/>
        <v>0.28466053709324246</v>
      </c>
      <c r="H14" s="197">
        <f t="shared" si="6"/>
        <v>-8.790732932337999</v>
      </c>
      <c r="I14" s="197">
        <f t="shared" si="6"/>
        <v>-7.3211430389979997</v>
      </c>
      <c r="J14" s="196">
        <f t="shared" si="7"/>
        <v>0.20073230170641954</v>
      </c>
      <c r="K14" s="205">
        <f>H14/$H$11</f>
        <v>-0.14068197316353453</v>
      </c>
      <c r="L14" s="205"/>
      <c r="M14" s="198">
        <f>INDEX($AD$11:$BE$35,MATCH(edit!A14,$AC$11:$AC$35,0),MATCH(edit!$M$10,$AD$10:$BE$10,0))</f>
        <v>-4.2704320068930004</v>
      </c>
      <c r="N14" s="198">
        <f>INDEX($AD$11:$BE$35,MATCH(edit!A14,$AC$11:$AC$35,0),MATCH(edit!$N$10,$AD$10:$BE$10,0))</f>
        <v>-3.7534867345570002</v>
      </c>
      <c r="O14" s="200">
        <f t="shared" si="8"/>
        <v>0.13772401739872198</v>
      </c>
      <c r="P14" s="197">
        <f>H14+M14</f>
        <v>-13.061164939230999</v>
      </c>
      <c r="Q14" s="197">
        <f t="shared" si="9"/>
        <v>-11.074629773554999</v>
      </c>
      <c r="R14" s="201">
        <f t="shared" ref="R14:R27" si="13">P14/Q14-1</f>
        <v>0.17937711745629881</v>
      </c>
      <c r="S14" s="221">
        <f>FS!L73/10^3-edit!P14</f>
        <v>-4.8530083631140002</v>
      </c>
      <c r="T14" s="198">
        <f>INDEX($AD$11:$BE$35,MATCH(edit!A14,$AC$11:$AC$35,0),MATCH(edit!$T$10,$AD$10:$BE$10,0))</f>
        <v>-519.45421461800004</v>
      </c>
      <c r="U14" s="198">
        <f>INDEX($AD$11:$BE$35,MATCH(edit!A14,$AC$11:$AC$35,0),MATCH(edit!$U$10,$AD$10:$BE$10,0))</f>
        <v>-4.2591690572320005</v>
      </c>
      <c r="V14" s="200">
        <f t="shared" si="10"/>
        <v>120.96139848827441</v>
      </c>
      <c r="W14" s="197">
        <f>P14+T14</f>
        <v>-532.51537955723109</v>
      </c>
      <c r="X14" s="197">
        <f t="shared" si="11"/>
        <v>-15.333798830787</v>
      </c>
      <c r="Y14" s="201">
        <f t="shared" si="12"/>
        <v>33.728209586788999</v>
      </c>
      <c r="AC14" s="194" t="str">
        <f>'FS Quarter'!C5</f>
        <v>Giá vốn hàng bán</v>
      </c>
      <c r="AD14" s="195">
        <f>'FS Quarter'!AX5/1000</f>
        <v>-23.193243003252</v>
      </c>
      <c r="AE14" s="195">
        <f>'FS Quarter'!AY5/1000</f>
        <v>-20.515417227876998</v>
      </c>
      <c r="AF14" s="195">
        <f>'FS Quarter'!AZ5/1000</f>
        <v>-19.963833875799999</v>
      </c>
      <c r="AG14" s="195">
        <f>'FS Quarter'!BA5/1000</f>
        <v>-20.919028286019998</v>
      </c>
      <c r="AH14" s="195">
        <f>'FS Quarter'!BB5/1000</f>
        <v>-23.803198263370998</v>
      </c>
      <c r="AI14" s="195">
        <f>'FS Quarter'!BC5/1000</f>
        <v>-24.514835467434001</v>
      </c>
      <c r="AJ14" s="195">
        <f>'FS Quarter'!BD5/1000</f>
        <v>-18.244500199927</v>
      </c>
      <c r="AK14" s="195">
        <v>-5842.079070664</v>
      </c>
    </row>
    <row r="15" spans="1:37">
      <c r="A15" s="192" t="s">
        <v>333</v>
      </c>
      <c r="B15" s="197">
        <f>INDEX($AD$11:$BE$35,MATCH(edit!A15,$AC$11:$AC$35,0),MATCH(edit!$B$10,$AD$10:$BE$10,0))</f>
        <v>-1.0883658713340001</v>
      </c>
      <c r="C15" s="197">
        <f>INDEX($AD$11:$BE$35,MATCH(edit!A15,$AC$11:$AC$35,0),MATCH(edit!$C$10,$AD$10:$BE$10,0))</f>
        <v>-0.77975788744199992</v>
      </c>
      <c r="D15" s="196">
        <f t="shared" si="4"/>
        <v>0.39577410996686457</v>
      </c>
      <c r="E15" s="197">
        <f>INDEX($AD$11:$BE$35,MATCH(edit!A15,$AC$11:$AC$35,0),MATCH(edit!$E$10,$AD$10:$BE$10,0))</f>
        <v>-1.100251515639</v>
      </c>
      <c r="F15" s="197">
        <f>INDEX($AD$11:$BE$35,MATCH(edit!A15,$AC$11:$AC$35,0),MATCH(edit!$F$10,$AD$10:$BE$10,0))</f>
        <v>-1.000645132631</v>
      </c>
      <c r="G15" s="196">
        <f t="shared" si="5"/>
        <v>9.9542165109127723E-2</v>
      </c>
      <c r="H15" s="197">
        <f t="shared" si="6"/>
        <v>-2.1886173869730001</v>
      </c>
      <c r="I15" s="197">
        <f t="shared" si="6"/>
        <v>-1.7804030200729999</v>
      </c>
      <c r="J15" s="196">
        <f t="shared" si="7"/>
        <v>0.22928200092766793</v>
      </c>
      <c r="K15" s="205">
        <f>H15/$H$11</f>
        <v>-3.5025408560272489E-2</v>
      </c>
      <c r="L15" s="205"/>
      <c r="M15" s="198">
        <f>INDEX($AD$11:$BE$35,MATCH(edit!A15,$AC$11:$AC$35,0),MATCH(edit!$M$10,$AD$10:$BE$10,0))</f>
        <v>-0.97518268039</v>
      </c>
      <c r="N15" s="198">
        <f>INDEX($AD$11:$BE$35,MATCH(edit!A15,$AC$11:$AC$35,0),MATCH(edit!$N$10,$AD$10:$BE$10,0))</f>
        <v>-0.84033674276900006</v>
      </c>
      <c r="O15" s="200">
        <f t="shared" si="8"/>
        <v>0.1604665496080393</v>
      </c>
      <c r="P15" s="197">
        <f>H15+M15</f>
        <v>-3.1638000673630002</v>
      </c>
      <c r="Q15" s="197">
        <f t="shared" si="9"/>
        <v>-2.6207397628419997</v>
      </c>
      <c r="R15" s="201">
        <f t="shared" si="13"/>
        <v>0.20721641737220464</v>
      </c>
      <c r="S15" s="221">
        <f>FS!L74/10^3-edit!P15</f>
        <v>-0.65959000740199958</v>
      </c>
      <c r="T15" s="198">
        <f>INDEX($AD$11:$BE$35,MATCH(edit!A15,$AC$11:$AC$35,0),MATCH(edit!$T$10,$AD$10:$BE$10,0))</f>
        <v>-120.67447148799999</v>
      </c>
      <c r="U15" s="198">
        <f>INDEX($AD$11:$BE$35,MATCH(edit!A15,$AC$11:$AC$35,0),MATCH(edit!$U$10,$AD$10:$BE$10,0))</f>
        <v>-0.78369207532500007</v>
      </c>
      <c r="V15" s="200">
        <f t="shared" si="10"/>
        <v>152.98199788859142</v>
      </c>
      <c r="W15" s="197">
        <f>P15+T15</f>
        <v>-123.83827155536299</v>
      </c>
      <c r="X15" s="197">
        <f t="shared" si="11"/>
        <v>-3.4044318381669996</v>
      </c>
      <c r="Y15" s="201">
        <f t="shared" si="12"/>
        <v>35.375606104670759</v>
      </c>
      <c r="AC15" s="194" t="str">
        <f>'FS Quarter'!C6</f>
        <v>Lãi gộp</v>
      </c>
      <c r="AD15" s="195">
        <f>'FS Quarter'!AX6/1000</f>
        <v>6.1599704162639997</v>
      </c>
      <c r="AE15" s="195">
        <f>'FS Quarter'!AY6/1000</f>
        <v>5.7701417848860004</v>
      </c>
      <c r="AF15" s="195">
        <f>'FS Quarter'!AZ6/1000</f>
        <v>5.7497200097739993</v>
      </c>
      <c r="AG15" s="195">
        <f>'FS Quarter'!BA6/1000</f>
        <v>6.2746650615390003</v>
      </c>
      <c r="AH15" s="195">
        <f>'FS Quarter'!BB6/1000</f>
        <v>7.0249455515020003</v>
      </c>
      <c r="AI15" s="195">
        <f>'FS Quarter'!BC6/1000</f>
        <v>7.1435833856709996</v>
      </c>
      <c r="AJ15" s="195">
        <f>'FS Quarter'!BD6/1000</f>
        <v>6.0887133257660002</v>
      </c>
      <c r="AK15" s="195">
        <v>1256.825800845</v>
      </c>
    </row>
    <row r="16" spans="1:37" s="200" customFormat="1">
      <c r="A16" s="199" t="s">
        <v>283</v>
      </c>
      <c r="B16" s="201">
        <f>-SUM(B14:B15)/B11</f>
        <v>0.17300738379402075</v>
      </c>
      <c r="C16" s="201">
        <f>-SUM(C14:C15)/C11</f>
        <v>0.15543553700701537</v>
      </c>
      <c r="D16" s="201"/>
      <c r="E16" s="201">
        <f>-SUM(E14:E15)/E11</f>
        <v>0.17833656939314468</v>
      </c>
      <c r="F16" s="201">
        <f>-SUM(F14:F15)/F11</f>
        <v>0.17268088405968746</v>
      </c>
      <c r="H16" s="248">
        <f>-SUM(H14:H15)/H11</f>
        <v>0.17570738172380701</v>
      </c>
      <c r="I16" s="200">
        <f>-SUM(I14:I15)/I11</f>
        <v>0.16358279777198517</v>
      </c>
      <c r="K16" s="264">
        <f>H14+N14+T14</f>
        <v>-531.99843428489498</v>
      </c>
      <c r="M16" s="201">
        <f>-SUM(M14:M15)/M11</f>
        <v>0.21557426772852054</v>
      </c>
      <c r="N16" s="201">
        <f>-SUM(N14:N15)/N11</f>
        <v>0.17865377527231893</v>
      </c>
      <c r="P16" s="224">
        <f>-SUM(P14:P15)/P11</f>
        <v>0.1868809817062943</v>
      </c>
      <c r="Q16" s="201">
        <f>-SUM(Q14:Q15)/Q11</f>
        <v>0.1683463787241633</v>
      </c>
      <c r="R16" s="201"/>
      <c r="S16" s="223">
        <f>-SUM(S14:S15)/S11</f>
        <v>0.15254159183118196</v>
      </c>
      <c r="T16" s="201">
        <f>-SUM(T14:T15)/T11</f>
        <v>9.0172878449902252E-2</v>
      </c>
      <c r="U16" s="201">
        <f>-SUM(U14:U15)/U11</f>
        <v>0.18544230340854617</v>
      </c>
      <c r="V16" s="201"/>
      <c r="W16" s="223">
        <f>-SUM(W14:W15)/W11</f>
        <v>9.1341330664880843E-2</v>
      </c>
      <c r="X16" s="223">
        <f>-SUM(X14:X15)/X11</f>
        <v>0.17262936703449572</v>
      </c>
      <c r="Y16" s="201"/>
      <c r="Z16" s="201"/>
      <c r="AA16" s="201"/>
      <c r="AB16" s="201"/>
      <c r="AC16" s="200" t="str">
        <f>'FS Quarter'!C7</f>
        <v>Thu nhập tài chính</v>
      </c>
      <c r="AD16" s="200">
        <f>'FS Quarter'!AX7/1000</f>
        <v>0.124886150525</v>
      </c>
      <c r="AE16" s="200">
        <f>'FS Quarter'!AY7/1000</f>
        <v>0.16937287777399998</v>
      </c>
      <c r="AF16" s="200">
        <f>'FS Quarter'!AZ7/1000</f>
        <v>0.25671866273299998</v>
      </c>
      <c r="AG16" s="200">
        <f>'FS Quarter'!BA7/1000</f>
        <v>0.243144091635</v>
      </c>
      <c r="AH16" s="200">
        <f>'FS Quarter'!BB7/1000</f>
        <v>0.28829050567699999</v>
      </c>
      <c r="AI16" s="200">
        <f>'FS Quarter'!BC7/1000</f>
        <v>0.30472639665100004</v>
      </c>
      <c r="AJ16" s="200">
        <f>'FS Quarter'!BD7/1000</f>
        <v>0.28860571992899997</v>
      </c>
      <c r="AK16" s="200">
        <v>3.0845328479999998</v>
      </c>
    </row>
    <row r="17" spans="1:37">
      <c r="A17" s="192" t="s">
        <v>1262</v>
      </c>
      <c r="B17" s="197">
        <f>B12+SUM(B14:B15)</f>
        <v>1.691449042865</v>
      </c>
      <c r="C17" s="197">
        <f>C12+SUM(C14:C15)</f>
        <v>1.5974379255200004</v>
      </c>
      <c r="D17" s="196">
        <f t="shared" si="4"/>
        <v>5.8851186542598688E-2</v>
      </c>
      <c r="E17" s="197">
        <f>E12+SUM(E14:E15)</f>
        <v>1.4977295749969999</v>
      </c>
      <c r="F17" s="197">
        <f>F12+SUM(F14:F15)</f>
        <v>1.2311282165590001</v>
      </c>
      <c r="G17" s="196">
        <f t="shared" si="5"/>
        <v>0.21655044117431554</v>
      </c>
      <c r="H17" s="197">
        <f t="shared" si="6"/>
        <v>3.1891786178619999</v>
      </c>
      <c r="I17" s="197">
        <f t="shared" si="6"/>
        <v>2.8285661420790005</v>
      </c>
      <c r="J17" s="197"/>
      <c r="K17" s="264">
        <f>H15+N15+T15</f>
        <v>-123.703425617742</v>
      </c>
      <c r="L17" s="197"/>
      <c r="M17" s="198">
        <f>M12+SUM(M14:M15)</f>
        <v>0.84309863848300015</v>
      </c>
      <c r="N17" s="198">
        <f>N12+SUM(N14:N15)</f>
        <v>1.1558965324479988</v>
      </c>
      <c r="O17" s="200">
        <f t="shared" si="8"/>
        <v>-0.27061063441599242</v>
      </c>
      <c r="P17" s="197">
        <f>P12+SUM(P14:P15)</f>
        <v>4.0322772563450044</v>
      </c>
      <c r="Q17" s="197">
        <f t="shared" si="9"/>
        <v>3.9844626745269993</v>
      </c>
      <c r="R17" s="201">
        <f t="shared" si="13"/>
        <v>1.2000258434766486E-2</v>
      </c>
      <c r="S17" s="221">
        <f>FS!L78/10^3-edit!P17</f>
        <v>1.862291362078996</v>
      </c>
      <c r="T17" s="198">
        <f>T12+SUM(T14:T15)</f>
        <v>616.69711473899997</v>
      </c>
      <c r="U17" s="198">
        <f>U12+SUM(U14:U15)</f>
        <v>1.231803928982</v>
      </c>
      <c r="V17" s="200">
        <f t="shared" si="10"/>
        <v>499.64551689541787</v>
      </c>
      <c r="W17" s="197">
        <f>W12+SUM(W14:W15)</f>
        <v>620.72939199534483</v>
      </c>
      <c r="X17" s="197">
        <f>X12+SUM(X14:X15)</f>
        <v>5.2162666035089984</v>
      </c>
      <c r="Y17" s="201">
        <f t="shared" si="12"/>
        <v>117.99878575565488</v>
      </c>
      <c r="AC17" s="194" t="str">
        <f>'FS Quarter'!C8</f>
        <v>Chi phí tài chính</v>
      </c>
      <c r="AD17" s="195">
        <f>'FS Quarter'!AX8/1000</f>
        <v>-0.17824820766499999</v>
      </c>
      <c r="AE17" s="195">
        <f>'FS Quarter'!AY8/1000</f>
        <v>-0.13708123566300001</v>
      </c>
      <c r="AF17" s="195">
        <f>'FS Quarter'!AZ8/1000</f>
        <v>-0.13214626749199998</v>
      </c>
      <c r="AG17" s="195">
        <f>'FS Quarter'!BA8/1000</f>
        <v>-0.14667580293099999</v>
      </c>
      <c r="AH17" s="195">
        <f>'FS Quarter'!BB8/1000</f>
        <v>-0.152802395191</v>
      </c>
      <c r="AI17" s="195">
        <f>'FS Quarter'!BC8/1000</f>
        <v>-0.17084221576799999</v>
      </c>
      <c r="AJ17" s="195">
        <f>'FS Quarter'!BD8/1000</f>
        <v>-0.16467884072800001</v>
      </c>
      <c r="AK17" s="195">
        <v>-41.372137098000003</v>
      </c>
    </row>
    <row r="18" spans="1:37" s="200" customFormat="1">
      <c r="A18" s="199" t="s">
        <v>1268</v>
      </c>
      <c r="B18" s="201">
        <f>B17/B11</f>
        <v>5.4867041396406177E-2</v>
      </c>
      <c r="C18" s="201">
        <f>C17/C11</f>
        <v>5.4421228186823177E-2</v>
      </c>
      <c r="E18" s="201">
        <f>E17/E11</f>
        <v>4.7309045405788022E-2</v>
      </c>
      <c r="F18" s="201">
        <f>F17/F11</f>
        <v>4.6836676213019617E-2</v>
      </c>
      <c r="H18" s="215">
        <f>H17/H11</f>
        <v>5.1037830882259959E-2</v>
      </c>
      <c r="I18" s="201">
        <f>I17/I11</f>
        <v>5.0838040064988918E-2</v>
      </c>
      <c r="K18" s="223">
        <f>K16/($H$11+$N$11+$T$11)</f>
        <v>-7.4021241538633389E-2</v>
      </c>
      <c r="M18" s="200">
        <f>M17/M11</f>
        <v>3.464805984597092E-2</v>
      </c>
      <c r="N18" s="200">
        <f>N17/N11</f>
        <v>4.4952811174673452E-2</v>
      </c>
      <c r="P18" s="200">
        <f>P17/P11</f>
        <v>4.6444225418758332E-2</v>
      </c>
      <c r="Q18" s="200">
        <f>Q17/Q11</f>
        <v>4.897785785447905E-2</v>
      </c>
      <c r="R18" s="201"/>
      <c r="S18" s="226"/>
      <c r="T18" s="201">
        <f>T17/T11</f>
        <v>8.6872148014558462E-2</v>
      </c>
      <c r="U18" s="201">
        <f>U17/U11</f>
        <v>4.5297411912331172E-2</v>
      </c>
      <c r="V18" s="201"/>
      <c r="W18" s="201">
        <f>W17/W11</f>
        <v>8.6383687439762463E-2</v>
      </c>
      <c r="X18" s="201">
        <f>X17/X11</f>
        <v>4.8055807293421675E-2</v>
      </c>
      <c r="Z18" s="201"/>
      <c r="AA18" s="201"/>
      <c r="AB18" s="201"/>
      <c r="AC18" s="200" t="str">
        <f>'FS Quarter'!C9</f>
        <v xml:space="preserve">    Trong đó: Chi phí lãi vay</v>
      </c>
      <c r="AD18" s="200">
        <f>'FS Quarter'!AX9/1000</f>
        <v>-0.17822812038899999</v>
      </c>
      <c r="AE18" s="200">
        <f>'FS Quarter'!AY9/1000</f>
        <v>-0.136986550722</v>
      </c>
      <c r="AF18" s="200">
        <f>'FS Quarter'!AZ9/1000</f>
        <v>-0.13217734065799999</v>
      </c>
      <c r="AG18" s="200">
        <f>'FS Quarter'!BA9/1000</f>
        <v>-0.14361180925200001</v>
      </c>
      <c r="AH18" s="200">
        <f>'FS Quarter'!BB9/1000</f>
        <v>-0.15270697401699998</v>
      </c>
      <c r="AI18" s="200">
        <f>'FS Quarter'!BC9/1000</f>
        <v>-0.16988158907699999</v>
      </c>
      <c r="AJ18" s="200">
        <f>'FS Quarter'!BD9/1000</f>
        <v>-0.16393269429399998</v>
      </c>
      <c r="AK18" s="200">
        <v>-32.839348932</v>
      </c>
    </row>
    <row r="19" spans="1:37">
      <c r="A19" s="192" t="s">
        <v>537</v>
      </c>
      <c r="B19" s="197">
        <f>INDEX($AD$11:$BE$35,MATCH(edit!A19,$AC$11:$AC$35,0),MATCH(edit!$B$10,$AD$10:$BE$10,0))</f>
        <v>0.28829050567699999</v>
      </c>
      <c r="C19" s="197">
        <f>INDEX($AD$11:$BE$35,MATCH(edit!A19,$AC$11:$AC$35,0),MATCH(edit!$C$10,$AD$10:$BE$10,0))</f>
        <v>0.124886150525</v>
      </c>
      <c r="D19" s="196">
        <f t="shared" si="4"/>
        <v>1.3084265506229156</v>
      </c>
      <c r="E19" s="197">
        <f>INDEX($AD$11:$BE$35,MATCH(edit!A19,$AC$11:$AC$35,0),MATCH(edit!$E$10,$AD$10:$BE$10,0))</f>
        <v>0.30472639665100004</v>
      </c>
      <c r="F19" s="197">
        <f>INDEX($AD$11:$BE$35,MATCH(edit!A19,$AC$11:$AC$35,0),MATCH(edit!$F$10,$AD$10:$BE$10,0))</f>
        <v>0.16937287777399998</v>
      </c>
      <c r="G19" s="196">
        <f t="shared" si="5"/>
        <v>0.79914517988887734</v>
      </c>
      <c r="H19" s="197">
        <f t="shared" si="6"/>
        <v>0.59301690232800008</v>
      </c>
      <c r="I19" s="204">
        <f t="shared" si="6"/>
        <v>0.29425902829899997</v>
      </c>
      <c r="J19" s="196">
        <f t="shared" si="7"/>
        <v>1.0152887262491359</v>
      </c>
      <c r="K19" s="223">
        <f>K17/($H$11+$N$11+$T$11)</f>
        <v>-1.7211857322692189E-2</v>
      </c>
      <c r="L19" s="196"/>
      <c r="M19" s="198">
        <f>INDEX($AD$11:$BE$35,MATCH(edit!A19,$AC$11:$AC$35,0),MATCH(edit!$M$10,$AD$10:$BE$10,0))</f>
        <v>0.28860571992899997</v>
      </c>
      <c r="N19" s="198">
        <f>INDEX($AD$11:$BE$35,MATCH(edit!A19,$AC$11:$AC$35,0),MATCH(edit!$N$10,$AD$10:$BE$10,0))</f>
        <v>0.25671866273299998</v>
      </c>
      <c r="O19" s="200">
        <f t="shared" si="8"/>
        <v>0.12421012503155682</v>
      </c>
      <c r="P19" s="197">
        <f t="shared" si="9"/>
        <v>0.88162262225700005</v>
      </c>
      <c r="Q19" s="197">
        <f t="shared" si="9"/>
        <v>0.55097769103199989</v>
      </c>
      <c r="R19" s="201">
        <f t="shared" si="13"/>
        <v>0.60010584204542106</v>
      </c>
      <c r="S19" s="221">
        <f>FS!L80/10^3-edit!P19</f>
        <v>0.40633340390599981</v>
      </c>
      <c r="T19" s="198">
        <f>INDEX($AD$11:$BE$35,MATCH(edit!A19,$AC$11:$AC$35,0),MATCH(edit!$T$10,$AD$10:$BE$10,0))</f>
        <v>3.0845328479999998</v>
      </c>
      <c r="U19" s="198">
        <f>INDEX($AD$11:$BE$35,MATCH(edit!A19,$AC$11:$AC$35,0),MATCH(edit!$U$10,$AD$10:$BE$10,0))</f>
        <v>0.243144091635</v>
      </c>
      <c r="V19" s="200">
        <f t="shared" si="10"/>
        <v>11.68602838447911</v>
      </c>
      <c r="W19" s="197">
        <f t="shared" ref="W19:W26" si="14">P19+T19</f>
        <v>3.9661554702570001</v>
      </c>
      <c r="X19" s="197">
        <f t="shared" si="11"/>
        <v>0.79412178266699995</v>
      </c>
      <c r="Y19" s="201">
        <f t="shared" si="12"/>
        <v>3.9943919897738569</v>
      </c>
      <c r="AC19" s="194" t="str">
        <f>'FS Quarter'!C10</f>
        <v>Lãi/(lỗ) từ công ty liên doanh (từ năm 2015)</v>
      </c>
      <c r="AD19" s="195">
        <f>'FS Quarter'!AX10/1000</f>
        <v>-1.4038549440000001E-3</v>
      </c>
      <c r="AE19" s="195">
        <f>'FS Quarter'!AY10/1000</f>
        <v>-1.160758009E-3</v>
      </c>
      <c r="AF19" s="195">
        <f>'FS Quarter'!AZ10/1000</f>
        <v>-1.229081747E-3</v>
      </c>
      <c r="AG19" s="195">
        <f>'FS Quarter'!BA10/1000</f>
        <v>8.6755228999999998E-5</v>
      </c>
      <c r="AH19" s="195">
        <f>'FS Quarter'!BB10/1000</f>
        <v>-2.960562091E-3</v>
      </c>
      <c r="AI19" s="195">
        <f>'FS Quarter'!BC10/1000</f>
        <v>-3.4132828459999998E-3</v>
      </c>
      <c r="AJ19" s="195">
        <f>'FS Quarter'!BD10/1000</f>
        <v>-1.238253516E-3</v>
      </c>
      <c r="AK19" s="195">
        <v>0</v>
      </c>
    </row>
    <row r="20" spans="1:37">
      <c r="A20" s="192" t="s">
        <v>338</v>
      </c>
      <c r="B20" s="197">
        <f>INDEX($AD$11:$BE$35,MATCH(edit!A20,$AC$11:$AC$35,0),MATCH(edit!$B$10,$AD$10:$BE$10,0))</f>
        <v>-0.152802395191</v>
      </c>
      <c r="C20" s="197">
        <f>INDEX($AD$11:$BE$35,MATCH(edit!A20,$AC$11:$AC$35,0),MATCH(edit!$C$10,$AD$10:$BE$10,0))</f>
        <v>-0.17824820766499999</v>
      </c>
      <c r="D20" s="196">
        <f t="shared" si="4"/>
        <v>-0.14275494159146274</v>
      </c>
      <c r="E20" s="197">
        <f>INDEX($AD$11:$BE$35,MATCH(edit!A20,$AC$11:$AC$35,0),MATCH(edit!$E$10,$AD$10:$BE$10,0))</f>
        <v>-0.17084221576799999</v>
      </c>
      <c r="F20" s="197">
        <f>INDEX($AD$11:$BE$35,MATCH(edit!A20,$AC$11:$AC$35,0),MATCH(edit!$F$10,$AD$10:$BE$10,0))</f>
        <v>-0.13708123566300001</v>
      </c>
      <c r="G20" s="196">
        <f t="shared" si="5"/>
        <v>0.24628447461618919</v>
      </c>
      <c r="H20" s="197">
        <f t="shared" si="6"/>
        <v>-0.32364461095899999</v>
      </c>
      <c r="I20" s="197">
        <f t="shared" si="6"/>
        <v>-0.315329443328</v>
      </c>
      <c r="J20" s="196">
        <f t="shared" si="7"/>
        <v>2.6369778677314049E-2</v>
      </c>
      <c r="K20" s="203">
        <f>H20*2</f>
        <v>-0.64728922191799998</v>
      </c>
      <c r="L20" s="203"/>
      <c r="M20" s="198">
        <f>INDEX($AD$11:$BE$35,MATCH(edit!A20,$AC$11:$AC$35,0),MATCH(edit!$M$10,$AD$10:$BE$10,0))</f>
        <v>-0.16467884072800001</v>
      </c>
      <c r="N20" s="198">
        <f>INDEX($AD$11:$BE$35,MATCH(edit!A20,$AC$11:$AC$35,0),MATCH(edit!$N$10,$AD$10:$BE$10,0))</f>
        <v>-0.13214626749199998</v>
      </c>
      <c r="O20" s="200">
        <f t="shared" si="8"/>
        <v>0.24618609252788404</v>
      </c>
      <c r="P20" s="197">
        <f t="shared" si="9"/>
        <v>-0.48832345168699998</v>
      </c>
      <c r="Q20" s="197">
        <f t="shared" si="9"/>
        <v>-0.44747571081999998</v>
      </c>
      <c r="R20" s="201">
        <f t="shared" si="13"/>
        <v>9.1284822570919966E-2</v>
      </c>
      <c r="S20" s="221">
        <f>FS!L86/10^3-edit!P20</f>
        <v>-0.22638377405800003</v>
      </c>
      <c r="T20" s="198">
        <f>INDEX($AD$11:$BE$35,MATCH(edit!A20,$AC$11:$AC$35,0),MATCH(edit!$T$10,$AD$10:$BE$10,0))</f>
        <v>-41.372137098000003</v>
      </c>
      <c r="U20" s="198">
        <f>INDEX($AD$11:$BE$35,MATCH(edit!A20,$AC$11:$AC$35,0),MATCH(edit!$U$10,$AD$10:$BE$10,0))</f>
        <v>-0.14667580293099999</v>
      </c>
      <c r="V20" s="200">
        <f t="shared" si="10"/>
        <v>281.06518233592016</v>
      </c>
      <c r="W20" s="197">
        <f t="shared" si="14"/>
        <v>-41.860460549687005</v>
      </c>
      <c r="X20" s="197">
        <f t="shared" si="11"/>
        <v>-0.59415151375099995</v>
      </c>
      <c r="Y20" s="201">
        <f t="shared" si="12"/>
        <v>69.454184801134915</v>
      </c>
      <c r="AC20" s="194" t="str">
        <f>'FS Quarter'!C11</f>
        <v>Chi phí bán hàng</v>
      </c>
      <c r="AD20" s="195">
        <f>'FS Quarter'!AX11/1000</f>
        <v>-3.7827746033019998</v>
      </c>
      <c r="AE20" s="195">
        <f>'FS Quarter'!AY11/1000</f>
        <v>-3.5383684356959999</v>
      </c>
      <c r="AF20" s="195">
        <f>'FS Quarter'!AZ11/1000</f>
        <v>-3.7534867345570002</v>
      </c>
      <c r="AG20" s="195">
        <f>'FS Quarter'!BA11/1000</f>
        <v>-4.2591690572320005</v>
      </c>
      <c r="AH20" s="195">
        <f>'FS Quarter'!BB11/1000</f>
        <v>-4.2451306373030002</v>
      </c>
      <c r="AI20" s="195">
        <f>'FS Quarter'!BC11/1000</f>
        <v>-4.5456022950349997</v>
      </c>
      <c r="AJ20" s="195">
        <f>'FS Quarter'!BD11/1000</f>
        <v>-4.2704320068930004</v>
      </c>
      <c r="AK20" s="195">
        <v>-519.45421461800004</v>
      </c>
    </row>
    <row r="21" spans="1:37">
      <c r="A21" s="192" t="s">
        <v>541</v>
      </c>
      <c r="B21" s="197">
        <f>INDEX($AD$11:$BE$35,MATCH(edit!A21,$AC$11:$AC$35,0),MATCH(edit!$B$10,$AD$10:$BE$10,0))</f>
        <v>3.5923428810000001E-3</v>
      </c>
      <c r="C21" s="197">
        <f>INDEX($AD$11:$BE$35,MATCH(edit!A21,$AC$11:$AC$35,0),MATCH(edit!$C$10,$AD$10:$BE$10,0))</f>
        <v>1.3893322660000001E-3</v>
      </c>
      <c r="D21" s="196">
        <f t="shared" si="4"/>
        <v>1.5856614496852113</v>
      </c>
      <c r="E21" s="197">
        <f>INDEX($AD$11:$BE$35,MATCH(edit!A21,$AC$11:$AC$35,0),MATCH(edit!$E$10,$AD$10:$BE$10,0))</f>
        <v>-2.2299470659999997E-3</v>
      </c>
      <c r="F21" s="197">
        <f>INDEX($AD$11:$BE$35,MATCH(edit!A21,$AC$11:$AC$35,0),MATCH(edit!$F$10,$AD$10:$BE$10,0))</f>
        <v>-8.5967387019999994E-3</v>
      </c>
      <c r="G21" s="196">
        <f t="shared" si="5"/>
        <v>-0.74060546175711828</v>
      </c>
      <c r="H21" s="197">
        <f t="shared" si="6"/>
        <v>1.3623958150000004E-3</v>
      </c>
      <c r="I21" s="197">
        <f t="shared" si="6"/>
        <v>-7.2074064359999995E-3</v>
      </c>
      <c r="J21" s="196">
        <f t="shared" si="7"/>
        <v>-1.18902719405347</v>
      </c>
      <c r="K21" s="196"/>
      <c r="L21" s="196"/>
      <c r="M21" s="198">
        <f>INDEX($AD$11:$BE$35,MATCH(edit!A21,$AC$11:$AC$35,0),MATCH(edit!$M$10,$AD$10:$BE$10,0))</f>
        <v>2.3438965850000001E-3</v>
      </c>
      <c r="N21" s="198">
        <f>INDEX($AD$11:$BE$35,MATCH(edit!A21,$AC$11:$AC$35,0),MATCH(edit!$N$10,$AD$10:$BE$10,0))</f>
        <v>-9.5991647400000006E-4</v>
      </c>
      <c r="O21" s="200">
        <f t="shared" si="8"/>
        <v>-3.4417713920805153</v>
      </c>
      <c r="P21" s="197">
        <f t="shared" si="9"/>
        <v>3.7062924000000005E-3</v>
      </c>
      <c r="Q21" s="197">
        <f t="shared" si="9"/>
        <v>-8.1673229100000001E-3</v>
      </c>
      <c r="R21" s="201">
        <f t="shared" si="13"/>
        <v>-1.4537952571291197</v>
      </c>
      <c r="T21" s="198">
        <f>INDEX($AD$11:$BE$35,MATCH(edit!A21,$AC$11:$AC$35,0),MATCH(edit!$T$10,$AD$10:$BE$10,0))</f>
        <v>-19.050029117000001</v>
      </c>
      <c r="U21" s="198">
        <f>INDEX($AD$11:$BE$35,MATCH(edit!A21,$AC$11:$AC$35,0),MATCH(edit!$U$10,$AD$10:$BE$10,0))</f>
        <v>5.3727973090000004E-3</v>
      </c>
      <c r="V21" s="200">
        <f t="shared" si="10"/>
        <v>-3546.6444792899965</v>
      </c>
      <c r="W21" s="197">
        <f t="shared" si="14"/>
        <v>-19.046322824600001</v>
      </c>
      <c r="X21" s="197">
        <f t="shared" si="11"/>
        <v>-2.7945256009999997E-3</v>
      </c>
      <c r="Y21" s="201">
        <f t="shared" si="12"/>
        <v>6814.5835887795838</v>
      </c>
      <c r="AC21" s="194" t="str">
        <f>'FS Quarter'!C12</f>
        <v>Chi phí QLDN</v>
      </c>
      <c r="AD21" s="195">
        <f>'FS Quarter'!AX12/1000</f>
        <v>-0.77975788744199992</v>
      </c>
      <c r="AE21" s="195">
        <f>'FS Quarter'!AY12/1000</f>
        <v>-1.000645132631</v>
      </c>
      <c r="AF21" s="195">
        <f>'FS Quarter'!AZ12/1000</f>
        <v>-0.84033674276900006</v>
      </c>
      <c r="AG21" s="195">
        <f>'FS Quarter'!BA12/1000</f>
        <v>-0.78369207532500007</v>
      </c>
      <c r="AH21" s="195">
        <f>'FS Quarter'!BB12/1000</f>
        <v>-1.0883658713340001</v>
      </c>
      <c r="AI21" s="195">
        <f>'FS Quarter'!BC12/1000</f>
        <v>-1.100251515639</v>
      </c>
      <c r="AJ21" s="195">
        <f>'FS Quarter'!BD12/1000</f>
        <v>-0.97518268039</v>
      </c>
      <c r="AK21" s="195">
        <v>-120.67447148799999</v>
      </c>
    </row>
    <row r="22" spans="1:37">
      <c r="A22" s="192" t="s">
        <v>8</v>
      </c>
      <c r="B22" s="197">
        <f>INDEX($AD$11:$BE$35,MATCH(edit!A22,$AC$11:$AC$35,0),MATCH(edit!$B$10,$AD$10:$BE$10,0))</f>
        <v>1.827568934141</v>
      </c>
      <c r="C22" s="197">
        <f>INDEX($AD$11:$BE$35,MATCH(edit!A22,$AC$11:$AC$35,0),MATCH(edit!$C$10,$AD$10:$BE$10,0))</f>
        <v>1.5440613457019998</v>
      </c>
      <c r="D22" s="196">
        <f t="shared" si="4"/>
        <v>0.18361160923311948</v>
      </c>
      <c r="E22" s="197">
        <f>INDEX($AD$11:$BE$35,MATCH(edit!A22,$AC$11:$AC$35,0),MATCH(edit!$E$10,$AD$10:$BE$10,0))</f>
        <v>1.625970525968</v>
      </c>
      <c r="F22" s="197">
        <f>INDEX($AD$11:$BE$35,MATCH(edit!A22,$AC$11:$AC$35,0),MATCH(edit!$F$10,$AD$10:$BE$10,0))</f>
        <v>1.2536623619589999</v>
      </c>
      <c r="G22" s="196">
        <f t="shared" si="5"/>
        <v>0.29697642308350325</v>
      </c>
      <c r="H22" s="197">
        <f t="shared" si="6"/>
        <v>3.4535394601089999</v>
      </c>
      <c r="I22" s="197">
        <f t="shared" si="6"/>
        <v>2.7977237076609995</v>
      </c>
      <c r="J22" s="196">
        <f t="shared" si="7"/>
        <v>0.23441047829425821</v>
      </c>
      <c r="K22" s="196"/>
      <c r="L22" s="196"/>
      <c r="M22" s="198">
        <f>INDEX($AD$11:$BE$35,MATCH(edit!A22,$AC$11:$AC$35,0),MATCH(edit!$M$10,$AD$10:$BE$10,0))</f>
        <v>0.96813116075299999</v>
      </c>
      <c r="N22" s="198">
        <f>INDEX($AD$11:$BE$35,MATCH(edit!A22,$AC$11:$AC$35,0),MATCH(edit!$N$10,$AD$10:$BE$10,0))</f>
        <v>1.2782799294680001</v>
      </c>
      <c r="O22" s="200">
        <f t="shared" si="8"/>
        <v>-0.24262977268529839</v>
      </c>
      <c r="P22" s="197">
        <f>H22+M22</f>
        <v>4.4216706208619998</v>
      </c>
      <c r="Q22" s="197">
        <f t="shared" si="9"/>
        <v>4.0760036371289994</v>
      </c>
      <c r="R22" s="218">
        <f t="shared" si="13"/>
        <v>8.48053668510651E-2</v>
      </c>
      <c r="S22" s="225"/>
      <c r="T22" s="198">
        <f>INDEX($AD$11:$BE$35,MATCH(edit!A22,$AC$11:$AC$35,0),MATCH(edit!$T$10,$AD$10:$BE$10,0))</f>
        <v>559.359481372</v>
      </c>
      <c r="U22" s="198">
        <f>INDEX($AD$11:$BE$35,MATCH(edit!A22,$AC$11:$AC$35,0),MATCH(edit!$U$10,$AD$10:$BE$10,0))</f>
        <v>1.3337317702239999</v>
      </c>
      <c r="V22" s="200">
        <f t="shared" si="10"/>
        <v>418.39428441301635</v>
      </c>
      <c r="W22" s="197">
        <f t="shared" si="14"/>
        <v>563.78115199286196</v>
      </c>
      <c r="X22" s="197">
        <f t="shared" si="11"/>
        <v>5.4097354073529988</v>
      </c>
      <c r="Y22" s="201">
        <f t="shared" si="12"/>
        <v>103.21603082963385</v>
      </c>
      <c r="Z22" s="218"/>
      <c r="AA22" s="218"/>
      <c r="AB22" s="218"/>
      <c r="AC22" s="194" t="str">
        <f>'FS Quarter'!C13</f>
        <v>Lãi/lỗ từ hoạt động kinh doanh</v>
      </c>
      <c r="AD22" s="195">
        <f>'FS Quarter'!AX13/1000</f>
        <v>1.5426720134360001</v>
      </c>
      <c r="AE22" s="195">
        <f>'FS Quarter'!AY13/1000</f>
        <v>1.262259100661</v>
      </c>
      <c r="AF22" s="195">
        <f>'FS Quarter'!AZ13/1000</f>
        <v>1.279239845942</v>
      </c>
      <c r="AG22" s="195">
        <f>'FS Quarter'!BA13/1000</f>
        <v>1.328358972915</v>
      </c>
      <c r="AH22" s="195">
        <f>'FS Quarter'!BB13/1000</f>
        <v>1.8239765912600001</v>
      </c>
      <c r="AI22" s="195">
        <f>'FS Quarter'!BC13/1000</f>
        <v>1.6282004730340001</v>
      </c>
      <c r="AJ22" s="195">
        <f>'FS Quarter'!BD13/1000</f>
        <v>0.96578726416799998</v>
      </c>
      <c r="AK22" s="195">
        <v>578.40951048900001</v>
      </c>
    </row>
    <row r="23" spans="1:37" s="211" customFormat="1">
      <c r="A23" s="191" t="s">
        <v>9</v>
      </c>
      <c r="B23" s="209">
        <f>INDEX($AD$11:$BE$35,MATCH(edit!A23,$AC$11:$AC$35,0),MATCH(edit!$B$10,$AD$10:$BE$10,0))</f>
        <v>1.3386329833540001</v>
      </c>
      <c r="C23" s="209">
        <f>INDEX($AD$11:$BE$35,MATCH(edit!A23,$AC$11:$AC$35,0),MATCH(edit!$C$10,$AD$10:$BE$10,0))</f>
        <v>1.1321196757650001</v>
      </c>
      <c r="D23" s="210">
        <f t="shared" si="4"/>
        <v>0.18241296570475551</v>
      </c>
      <c r="E23" s="209">
        <f>INDEX($AD$11:$BE$35,MATCH(edit!A23,$AC$11:$AC$35,0),MATCH(edit!$E$10,$AD$10:$BE$10,0))</f>
        <v>1.2136784024179998</v>
      </c>
      <c r="F23" s="209">
        <f>INDEX($AD$11:$BE$35,MATCH(edit!A23,$AC$11:$AC$35,0),MATCH(edit!$F$10,$AD$10:$BE$10,0))</f>
        <v>0.89442354624100007</v>
      </c>
      <c r="G23" s="210">
        <f t="shared" si="5"/>
        <v>0.35693923479400147</v>
      </c>
      <c r="H23" s="209">
        <f t="shared" si="6"/>
        <v>2.5523113857719997</v>
      </c>
      <c r="I23" s="209">
        <f t="shared" si="6"/>
        <v>2.026543222006</v>
      </c>
      <c r="J23" s="210">
        <f t="shared" si="7"/>
        <v>0.2594408834002373</v>
      </c>
      <c r="K23" s="210"/>
      <c r="L23" s="210"/>
      <c r="M23" s="198">
        <f>INDEX($AD$11:$BE$35,MATCH(edit!A23,$AC$11:$AC$35,0),MATCH(edit!$M$10,$AD$10:$BE$10,0))</f>
        <v>0.78580215888299998</v>
      </c>
      <c r="N23" s="198">
        <f>INDEX($AD$11:$BE$35,MATCH(edit!A23,$AC$11:$AC$35,0),MATCH(edit!$N$10,$AD$10:$BE$10,0))</f>
        <v>0.95103243737400001</v>
      </c>
      <c r="O23" s="220">
        <f t="shared" si="8"/>
        <v>-0.1737377948403479</v>
      </c>
      <c r="P23" s="197">
        <f t="shared" si="9"/>
        <v>3.3381135446549997</v>
      </c>
      <c r="Q23" s="197">
        <f t="shared" si="9"/>
        <v>2.9775756593800002</v>
      </c>
      <c r="R23" s="219">
        <f t="shared" si="13"/>
        <v>0.12108437417508711</v>
      </c>
      <c r="S23" s="222">
        <f>FS!L104/10^3-P23</f>
        <v>1.5629662340509998</v>
      </c>
      <c r="T23" s="198">
        <f>INDEX($AD$11:$BE$35,MATCH(edit!A23,$AC$11:$AC$35,0),MATCH(edit!$T$10,$AD$10:$BE$10,0))</f>
        <v>457.17749249500002</v>
      </c>
      <c r="U23" s="198">
        <f>INDEX($AD$11:$BE$35,MATCH(edit!A23,$AC$11:$AC$35,0),MATCH(edit!$U$10,$AD$10:$BE$10,0))</f>
        <v>0.94229705012700005</v>
      </c>
      <c r="V23" s="220">
        <f>S23/U23-1</f>
        <v>0.65867677696788696</v>
      </c>
      <c r="W23" s="197">
        <f t="shared" si="14"/>
        <v>460.51560603965504</v>
      </c>
      <c r="X23" s="197">
        <f t="shared" si="11"/>
        <v>3.9198727095070005</v>
      </c>
      <c r="Y23" s="201">
        <f t="shared" si="12"/>
        <v>116.48228582085099</v>
      </c>
      <c r="Z23" s="219"/>
      <c r="AA23" s="219"/>
      <c r="AB23" s="219"/>
      <c r="AC23" s="212" t="str">
        <f>'FS Quarter'!C14</f>
        <v>Thu nhập khác</v>
      </c>
      <c r="AD23" s="213">
        <f>'FS Quarter'!AX14/1000</f>
        <v>8.8219767650000013E-3</v>
      </c>
      <c r="AE23" s="213">
        <f>'FS Quarter'!AY14/1000</f>
        <v>8.8186689220000006E-3</v>
      </c>
      <c r="AF23" s="213">
        <f>'FS Quarter'!AZ14/1000</f>
        <v>8.6230436300000005E-3</v>
      </c>
      <c r="AG23" s="213">
        <f>'FS Quarter'!BA14/1000</f>
        <v>1.7249006154000001E-2</v>
      </c>
      <c r="AH23" s="213">
        <f>'FS Quarter'!BB14/1000</f>
        <v>1.9012499941000002E-2</v>
      </c>
      <c r="AI23" s="213">
        <f>'FS Quarter'!BC14/1000</f>
        <v>3.9756933989999995E-3</v>
      </c>
      <c r="AJ23" s="213">
        <f>'FS Quarter'!BD14/1000</f>
        <v>2.0139201987000001E-2</v>
      </c>
      <c r="AK23" s="213">
        <v>2.7309586430000001</v>
      </c>
    </row>
    <row r="24" spans="1:37">
      <c r="A24" s="249" t="s">
        <v>548</v>
      </c>
      <c r="B24" s="201"/>
      <c r="C24" s="201"/>
      <c r="D24" s="201"/>
      <c r="E24" s="201"/>
      <c r="F24" s="201"/>
      <c r="G24" s="201"/>
      <c r="H24" s="215"/>
      <c r="I24" s="201"/>
      <c r="J24" s="201"/>
      <c r="K24" s="201"/>
      <c r="L24" s="201"/>
      <c r="M24" s="201"/>
      <c r="N24" s="201"/>
      <c r="O24" s="201"/>
      <c r="P24" s="201"/>
      <c r="Q24" s="201"/>
      <c r="S24" s="250"/>
      <c r="T24" s="201">
        <f>T23/T11</f>
        <v>6.4401129578430125E-2</v>
      </c>
      <c r="U24" s="201">
        <f>U23/U11</f>
        <v>3.4651308231052912E-2</v>
      </c>
      <c r="V24" s="201"/>
      <c r="W24" s="201">
        <f>W23/W11</f>
        <v>6.4087566476247498E-2</v>
      </c>
      <c r="X24" s="201">
        <f>X23/X11</f>
        <v>3.6112542141939645E-2</v>
      </c>
      <c r="Y24" s="219"/>
      <c r="AC24" s="194" t="str">
        <f>'FS Quarter'!C15</f>
        <v>Chi phí khác</v>
      </c>
      <c r="AD24" s="195">
        <f>'FS Quarter'!AX15/1000</f>
        <v>-7.4326444990000006E-3</v>
      </c>
      <c r="AE24" s="195">
        <f>'FS Quarter'!AY15/1000</f>
        <v>-1.7415407624000002E-2</v>
      </c>
      <c r="AF24" s="195">
        <f>'FS Quarter'!AZ15/1000</f>
        <v>-9.5829601039999993E-3</v>
      </c>
      <c r="AG24" s="195">
        <f>'FS Quarter'!BA15/1000</f>
        <v>-1.1876208845000001E-2</v>
      </c>
      <c r="AH24" s="195">
        <f>'FS Quarter'!BB15/1000</f>
        <v>-1.542015706E-2</v>
      </c>
      <c r="AI24" s="195">
        <f>'FS Quarter'!BC15/1000</f>
        <v>-6.2056404650000004E-3</v>
      </c>
      <c r="AJ24" s="195">
        <f>'FS Quarter'!BD15/1000</f>
        <v>-1.7795305402E-2</v>
      </c>
      <c r="AK24" s="195">
        <v>-21.780987759999999</v>
      </c>
    </row>
    <row r="25" spans="1:37">
      <c r="A25" s="191"/>
      <c r="B25" s="209"/>
      <c r="C25" s="209"/>
      <c r="D25" s="210"/>
      <c r="E25" s="209"/>
      <c r="F25" s="209"/>
      <c r="G25" s="210"/>
      <c r="H25" s="209"/>
      <c r="I25" s="209"/>
      <c r="J25" s="210"/>
      <c r="K25" s="210"/>
      <c r="L25" s="210"/>
      <c r="M25" s="198"/>
      <c r="N25" s="198"/>
      <c r="O25" s="220"/>
      <c r="P25" s="197"/>
      <c r="Q25" s="197"/>
      <c r="R25" s="219"/>
      <c r="S25" s="222"/>
      <c r="T25" s="198"/>
      <c r="U25" s="198"/>
      <c r="V25" s="220"/>
      <c r="W25" s="197"/>
      <c r="X25" s="197"/>
      <c r="Y25" s="219"/>
      <c r="AC25" s="194" t="str">
        <f>'FS Quarter'!C16</f>
        <v>Thu nhập khác, ròng</v>
      </c>
      <c r="AD25" s="195">
        <f>'FS Quarter'!AX16/1000</f>
        <v>1.3893322660000001E-3</v>
      </c>
      <c r="AE25" s="195">
        <f>'FS Quarter'!AY16/1000</f>
        <v>-8.5967387019999994E-3</v>
      </c>
      <c r="AF25" s="195">
        <f>'FS Quarter'!AZ16/1000</f>
        <v>-9.5991647400000006E-4</v>
      </c>
      <c r="AG25" s="195">
        <f>'FS Quarter'!BA16/1000</f>
        <v>5.3727973090000004E-3</v>
      </c>
      <c r="AH25" s="195">
        <f>'FS Quarter'!BB16/1000</f>
        <v>3.5923428810000001E-3</v>
      </c>
      <c r="AI25" s="195">
        <f>'FS Quarter'!BC16/1000</f>
        <v>-2.2299470659999997E-3</v>
      </c>
      <c r="AJ25" s="195">
        <f>'FS Quarter'!BD16/1000</f>
        <v>2.3438965850000001E-3</v>
      </c>
      <c r="AK25" s="195">
        <v>-19.050029117000001</v>
      </c>
    </row>
    <row r="26" spans="1:37">
      <c r="A26" s="193" t="s">
        <v>356</v>
      </c>
      <c r="B26" s="198">
        <f>B23*10^7/'FS Quarter'!$BC$136</f>
        <v>2815.6187305352619</v>
      </c>
      <c r="C26" s="198">
        <f>C23*10^7/'FS Quarter'!$BC$136</f>
        <v>2381.2481867171205</v>
      </c>
      <c r="D26" s="196">
        <f t="shared" si="4"/>
        <v>0.18241296570475551</v>
      </c>
      <c r="E26" s="198">
        <f>E23*10^7/'FS Quarter'!$BC$136</f>
        <v>2552.7950417986558</v>
      </c>
      <c r="F26" s="198">
        <f>F23*10^7/'FS Quarter'!$BC$136</f>
        <v>1881.2891368611643</v>
      </c>
      <c r="G26" s="196">
        <f t="shared" si="5"/>
        <v>0.35693923479400147</v>
      </c>
      <c r="H26" s="197">
        <f>H23*10^7/'FS Quarter'!$BC$136</f>
        <v>5368.4137723339172</v>
      </c>
      <c r="I26" s="197">
        <f>I23*10^7/'FS Quarter'!$BC$136</f>
        <v>4262.5373235782845</v>
      </c>
      <c r="J26" s="196">
        <f t="shared" si="7"/>
        <v>0.25944088340023708</v>
      </c>
      <c r="K26" s="196"/>
      <c r="L26" s="196"/>
      <c r="M26" s="198" t="e">
        <f>INDEX($AD$11:$BE$35,MATCH(edit!A26,$AC$11:$AC$35,0),MATCH(edit!$M$10,$AD$10:$BE$10,0))</f>
        <v>#N/A</v>
      </c>
      <c r="N26" s="198" t="e">
        <f>INDEX($AD$11:$BE$35,MATCH(edit!A26,$AC$11:$AC$35,0),MATCH(edit!$N$10,$AD$10:$BE$10,0))</f>
        <v>#N/A</v>
      </c>
      <c r="O26" s="200" t="e">
        <f t="shared" si="8"/>
        <v>#N/A</v>
      </c>
      <c r="P26" s="197" t="e">
        <f t="shared" si="9"/>
        <v>#N/A</v>
      </c>
      <c r="Q26" s="197" t="e">
        <f t="shared" si="9"/>
        <v>#N/A</v>
      </c>
      <c r="R26" s="201" t="e">
        <f t="shared" si="13"/>
        <v>#N/A</v>
      </c>
      <c r="T26" s="198" t="e">
        <f>INDEX($AD$11:$BE$35,MATCH(edit!A26,$AC$11:$AC$35,0),MATCH(edit!$T$10,$AD$10:$BE$10,0))</f>
        <v>#N/A</v>
      </c>
      <c r="U26" s="198"/>
      <c r="W26" s="197" t="e">
        <f t="shared" si="14"/>
        <v>#N/A</v>
      </c>
      <c r="X26" s="197" t="e">
        <f>U26+Q26</f>
        <v>#N/A</v>
      </c>
      <c r="AC26" s="194" t="str">
        <f>'FS Quarter'!C17</f>
        <v>Lãi/lỗ từ công ty liên doanh</v>
      </c>
      <c r="AD26" s="195">
        <f>'FS Quarter'!AX17/1000</f>
        <v>0</v>
      </c>
      <c r="AE26" s="195">
        <f>'FS Quarter'!AY17/1000</f>
        <v>0</v>
      </c>
      <c r="AF26" s="195">
        <f>'FS Quarter'!AZ17/1000</f>
        <v>0</v>
      </c>
      <c r="AG26" s="195">
        <f>'FS Quarter'!BA17/1000</f>
        <v>0</v>
      </c>
      <c r="AH26" s="195">
        <f>'FS Quarter'!BB17/1000</f>
        <v>0</v>
      </c>
      <c r="AI26" s="195">
        <f>'FS Quarter'!BC17/1000</f>
        <v>0</v>
      </c>
      <c r="AJ26" s="195">
        <f>'FS Quarter'!BD17/1000</f>
        <v>0</v>
      </c>
      <c r="AK26" s="195">
        <v>0</v>
      </c>
    </row>
    <row r="27" spans="1:37">
      <c r="A27" s="112" t="s">
        <v>211</v>
      </c>
      <c r="B27" s="202">
        <f>B14/$B$11</f>
        <v>-0.13770308919004529</v>
      </c>
      <c r="C27" s="202">
        <f>C14/$C$11</f>
        <v>-0.12887088542022987</v>
      </c>
      <c r="H27" s="197">
        <f>H23/2</f>
        <v>1.2761556928859998</v>
      </c>
      <c r="M27" s="202">
        <f>M14/$B$11</f>
        <v>-0.13852381228456367</v>
      </c>
      <c r="N27" s="202">
        <f>N14/$C$11</f>
        <v>-0.12787311157085884</v>
      </c>
      <c r="P27" s="197">
        <f>P11+AG13</f>
        <v>114.01346954123001</v>
      </c>
      <c r="Q27" s="204">
        <f>SUM(AD11:AG11)</f>
        <v>109.80125369065601</v>
      </c>
      <c r="R27" s="201">
        <f t="shared" si="13"/>
        <v>3.8362183572521857E-2</v>
      </c>
      <c r="U27" s="112">
        <f>U20+P20</f>
        <v>-0.634999254618</v>
      </c>
      <c r="W27" s="197">
        <f>W11+AN13</f>
        <v>7185.7246477026711</v>
      </c>
      <c r="X27" s="204"/>
      <c r="AC27" s="194" t="str">
        <f>'FS Quarter'!C18</f>
        <v>LNTT</v>
      </c>
      <c r="AD27" s="195">
        <f>'FS Quarter'!AX18/1000</f>
        <v>1.5440613457019998</v>
      </c>
      <c r="AE27" s="195">
        <f>'FS Quarter'!AY18/1000</f>
        <v>1.2536623619589999</v>
      </c>
      <c r="AF27" s="195">
        <f>'FS Quarter'!AZ18/1000</f>
        <v>1.2782799294680001</v>
      </c>
      <c r="AG27" s="195">
        <f>'FS Quarter'!BA18/1000</f>
        <v>1.3337317702239999</v>
      </c>
      <c r="AH27" s="195">
        <f>'FS Quarter'!BB18/1000</f>
        <v>1.827568934141</v>
      </c>
      <c r="AI27" s="195">
        <f>'FS Quarter'!BC18/1000</f>
        <v>1.625970525968</v>
      </c>
      <c r="AJ27" s="195">
        <f>'FS Quarter'!BD18/1000</f>
        <v>0.96813116075299999</v>
      </c>
      <c r="AK27" s="195">
        <v>559.359481372</v>
      </c>
    </row>
    <row r="28" spans="1:37">
      <c r="A28" s="112" t="s">
        <v>2047</v>
      </c>
      <c r="B28" s="202">
        <f>B15/$B$11</f>
        <v>-3.5304294603975453E-2</v>
      </c>
      <c r="C28" s="202">
        <f>C15/$C$11</f>
        <v>-2.6564651586785528E-2</v>
      </c>
      <c r="H28" s="198"/>
      <c r="M28" s="202">
        <f>M15/$B$11</f>
        <v>-3.1632870478550325E-2</v>
      </c>
      <c r="N28" s="202">
        <f>N15/$C$11</f>
        <v>-2.8628441144037994E-2</v>
      </c>
      <c r="Q28" s="112">
        <f>P27/Q27-1</f>
        <v>3.8362183572521857E-2</v>
      </c>
      <c r="T28" s="112">
        <f>FS!L67/10^3-edit!P11</f>
        <v>36.138329909502986</v>
      </c>
      <c r="U28" s="112">
        <f>T28/U11-1</f>
        <v>0.32892319728783304</v>
      </c>
      <c r="AC28" s="194" t="str">
        <f>'FS Quarter'!C19</f>
        <v>Thuế thu nhập doanh nghiệp – hiện thời</v>
      </c>
      <c r="AD28" s="195">
        <f>'FS Quarter'!AX19/1000</f>
        <v>-0.42356213124700004</v>
      </c>
      <c r="AE28" s="195">
        <f>'FS Quarter'!AY19/1000</f>
        <v>-0.36765419854599996</v>
      </c>
      <c r="AF28" s="195">
        <f>'FS Quarter'!AZ19/1000</f>
        <v>-0.35125514505200001</v>
      </c>
      <c r="AG28" s="195">
        <f>'FS Quarter'!BA19/1000</f>
        <v>-0.455942346374</v>
      </c>
      <c r="AH28" s="195">
        <f>'FS Quarter'!BB19/1000</f>
        <v>-0.469249631981</v>
      </c>
      <c r="AI28" s="195">
        <f>'FS Quarter'!BC19/1000</f>
        <v>-0.41868324550399999</v>
      </c>
      <c r="AJ28" s="195">
        <f>'FS Quarter'!BD19/1000</f>
        <v>-0.228919266264</v>
      </c>
      <c r="AK28" s="195">
        <v>-120.259337045</v>
      </c>
    </row>
    <row r="29" spans="1:37">
      <c r="A29" s="112" t="s">
        <v>1270</v>
      </c>
      <c r="B29" s="196">
        <f>B16/$B$11</f>
        <v>5.6119948328044829E-3</v>
      </c>
      <c r="C29" s="196">
        <f>C16/$C$11</f>
        <v>5.2953499429698328E-3</v>
      </c>
      <c r="H29" s="202"/>
      <c r="P29" s="112">
        <f>P14/$P$11</f>
        <v>-0.15043997475984203</v>
      </c>
      <c r="Q29" s="112">
        <f>Q14/Q11</f>
        <v>-0.13613169130880332</v>
      </c>
      <c r="AC29" s="194" t="str">
        <f>'FS Quarter'!C20</f>
        <v>Thuế thu nhập doanh nghiệp – hoãn lại</v>
      </c>
      <c r="AD29" s="195">
        <f>'FS Quarter'!AX20/1000</f>
        <v>1.162046131E-2</v>
      </c>
      <c r="AE29" s="195">
        <f>'FS Quarter'!AY20/1000</f>
        <v>8.4153828280000009E-3</v>
      </c>
      <c r="AF29" s="195">
        <f>'FS Quarter'!AZ20/1000</f>
        <v>2.4007652958E-2</v>
      </c>
      <c r="AG29" s="195">
        <f>'FS Quarter'!BA20/1000</f>
        <v>6.4507626277000005E-2</v>
      </c>
      <c r="AH29" s="195">
        <f>'FS Quarter'!BB20/1000</f>
        <v>-1.9686318806000001E-2</v>
      </c>
      <c r="AI29" s="195">
        <f>'FS Quarter'!BC20/1000</f>
        <v>6.3911219540000001E-3</v>
      </c>
      <c r="AJ29" s="195">
        <f>'FS Quarter'!BD20/1000</f>
        <v>4.6590264393999999E-2</v>
      </c>
      <c r="AK29" s="195">
        <v>18.077348168</v>
      </c>
    </row>
    <row r="30" spans="1:37">
      <c r="P30" s="112">
        <f>P15/$P$11</f>
        <v>-3.644100694645231E-2</v>
      </c>
      <c r="Q30" s="112">
        <f>Q15/Q11</f>
        <v>-3.2214687415360009E-2</v>
      </c>
      <c r="R30" s="201">
        <f>SUM(P14:P15)/P12</f>
        <v>-0.80094638727196688</v>
      </c>
      <c r="T30" s="112">
        <f>T14/T11</f>
        <v>-7.3173852026500064E-2</v>
      </c>
      <c r="U30" s="112">
        <f>U14/U11</f>
        <v>-0.15662341274486416</v>
      </c>
      <c r="AC30" s="194" t="str">
        <f>'FS Quarter'!C21</f>
        <v>Chi phí thuế thu nhập doanh nghiệp</v>
      </c>
      <c r="AD30" s="195">
        <f>'FS Quarter'!AX21/1000</f>
        <v>-0.41194166993699999</v>
      </c>
      <c r="AE30" s="195">
        <f>'FS Quarter'!AY21/1000</f>
        <v>-0.35923881571800004</v>
      </c>
      <c r="AF30" s="195">
        <f>'FS Quarter'!AZ21/1000</f>
        <v>-0.327247492094</v>
      </c>
      <c r="AG30" s="195">
        <f>'FS Quarter'!BA21/1000</f>
        <v>-0.39143472009700003</v>
      </c>
      <c r="AH30" s="195">
        <f>'FS Quarter'!BB21/1000</f>
        <v>-0.48893595078700003</v>
      </c>
      <c r="AI30" s="195">
        <f>'FS Quarter'!BC21/1000</f>
        <v>-0.41229212355</v>
      </c>
      <c r="AJ30" s="195">
        <f>'FS Quarter'!BD21/1000</f>
        <v>-0.18232900187000001</v>
      </c>
      <c r="AK30" s="195">
        <v>-102.18198887699999</v>
      </c>
    </row>
    <row r="31" spans="1:37">
      <c r="AC31" s="212" t="str">
        <f>'FS Quarter'!C22</f>
        <v>LNST</v>
      </c>
      <c r="AD31" s="213">
        <f>'FS Quarter'!AX22/1000</f>
        <v>1.1321196757650001</v>
      </c>
      <c r="AE31" s="213">
        <f>'FS Quarter'!AY22/1000</f>
        <v>0.89442354624100007</v>
      </c>
      <c r="AF31" s="213">
        <f>'FS Quarter'!AZ22/1000</f>
        <v>0.95103243737400001</v>
      </c>
      <c r="AG31" s="213">
        <f>'FS Quarter'!BA22/1000</f>
        <v>0.94229705012700005</v>
      </c>
      <c r="AH31" s="195">
        <f>'FS Quarter'!BB22/1000</f>
        <v>1.3386329833540001</v>
      </c>
      <c r="AI31" s="195">
        <f>'FS Quarter'!BC22/1000</f>
        <v>1.2136784024179998</v>
      </c>
      <c r="AJ31" s="195">
        <f>'FS Quarter'!BD22/1000</f>
        <v>0.78580215888299998</v>
      </c>
      <c r="AK31" s="195">
        <v>457.17749249500002</v>
      </c>
    </row>
    <row r="32" spans="1:37">
      <c r="P32" s="112">
        <f>1-P23/P22</f>
        <v>0.2450560363077795</v>
      </c>
      <c r="Q32" s="112">
        <f>1-Q23/Q22</f>
        <v>0.26948650578798183</v>
      </c>
      <c r="AC32" s="194" t="str">
        <f>'FS Quarter'!C23</f>
        <v>Lợi ích của cổ đông thiểu số</v>
      </c>
      <c r="AD32" s="195">
        <f>'FS Quarter'!AX23/1000</f>
        <v>6.0066093499999999E-4</v>
      </c>
      <c r="AE32" s="195">
        <f>'FS Quarter'!AY23/1000</f>
        <v>5.1186069199999999E-4</v>
      </c>
      <c r="AF32" s="195">
        <f>'FS Quarter'!AZ23/1000</f>
        <v>4.9257996699999997E-4</v>
      </c>
      <c r="AG32" s="195">
        <f>'FS Quarter'!BA23/1000</f>
        <v>4.9982475399999997E-4</v>
      </c>
      <c r="AH32" s="195">
        <f>'FS Quarter'!BB23/1000</f>
        <v>6.6437552100000001E-4</v>
      </c>
      <c r="AI32" s="195">
        <f>'FS Quarter'!BC23/1000</f>
        <v>6.4871713300000005E-4</v>
      </c>
      <c r="AJ32" s="195">
        <f>'FS Quarter'!BD23/1000</f>
        <v>4.1675757699999999E-4</v>
      </c>
      <c r="AK32" s="195">
        <v>0</v>
      </c>
    </row>
    <row r="33" spans="13:38">
      <c r="P33" s="112">
        <f>P14/P11</f>
        <v>-0.15043997475984203</v>
      </c>
      <c r="AC33" s="194" t="str">
        <f>'FS Quarter'!C24</f>
        <v>Lợi nhuận của Cổ đông của Công ty mẹ</v>
      </c>
      <c r="AD33" s="195">
        <f>'FS Quarter'!AX24/1000</f>
        <v>1.1315190148300001</v>
      </c>
      <c r="AE33" s="195">
        <f>'FS Quarter'!AY24/1000</f>
        <v>0.89391168554900002</v>
      </c>
      <c r="AF33" s="195">
        <f>'FS Quarter'!AZ24/1000</f>
        <v>0.95053985740699998</v>
      </c>
      <c r="AG33" s="195">
        <f>'FS Quarter'!BA24/1000</f>
        <v>0.94179722537299992</v>
      </c>
      <c r="AH33" s="195">
        <f>'FS Quarter'!BB24/1000</f>
        <v>1.337968607833</v>
      </c>
      <c r="AI33" s="195">
        <f>'FS Quarter'!BC24/1000</f>
        <v>1.213029685285</v>
      </c>
      <c r="AJ33" s="195">
        <f>'FS Quarter'!BD24/1000</f>
        <v>0.78538540130599999</v>
      </c>
      <c r="AK33" s="195">
        <v>457.17749249500002</v>
      </c>
    </row>
    <row r="34" spans="13:38">
      <c r="P34" s="197" t="e">
        <f>P11+#REF!</f>
        <v>#REF!</v>
      </c>
      <c r="Q34" s="197" t="e">
        <f>Q11+#REF!</f>
        <v>#REF!</v>
      </c>
      <c r="W34" s="197"/>
      <c r="X34" s="197"/>
      <c r="AC34" s="194" t="str">
        <f>'FS Quarter'!C25</f>
        <v>Lãi cơ bản trên cổ phiếu</v>
      </c>
      <c r="AD34" s="195">
        <f>'FS Quarter'!AX25</f>
        <v>2.5000000000000002E-6</v>
      </c>
      <c r="AE34" s="195">
        <f>'FS Quarter'!AY25/1000</f>
        <v>1.9750000000000003E-9</v>
      </c>
      <c r="AF34" s="195">
        <f>'FS Quarter'!AZ25/1000</f>
        <v>2.0999999999999998E-9</v>
      </c>
      <c r="AG34" s="195">
        <f>'FS Quarter'!BA25/1000</f>
        <v>2.079E-9</v>
      </c>
      <c r="AH34" s="195">
        <f>'FS Quarter'!BB25/1000</f>
        <v>2.8969999999999998E-9</v>
      </c>
      <c r="AI34" s="195">
        <f>'FS Quarter'!BC25/1000</f>
        <v>2.5289999999999998E-9</v>
      </c>
      <c r="AJ34" s="195">
        <f>'FS Quarter'!BD25/1000</f>
        <v>1.2979999999999999E-9</v>
      </c>
      <c r="AK34" s="195">
        <v>1.841E-6</v>
      </c>
    </row>
    <row r="35" spans="13:38">
      <c r="M35" s="112" t="e">
        <f>#REF!+5%</f>
        <v>#REF!</v>
      </c>
      <c r="P35" s="214" t="e">
        <f>P12+17.8%*#REF!</f>
        <v>#REF!</v>
      </c>
      <c r="Q35" s="214" t="e">
        <f>Q12+21.8%*#REF!</f>
        <v>#REF!</v>
      </c>
      <c r="W35" s="214"/>
      <c r="X35" s="214"/>
      <c r="AC35" s="194" t="str">
        <f>'FS Quarter'!C26</f>
        <v>Lãi trên cổ phiếu pha loãng</v>
      </c>
      <c r="AD35" s="195">
        <f>'FS Quarter'!AX26/1000</f>
        <v>2.5000000000000001E-9</v>
      </c>
      <c r="AE35" s="195">
        <f>'FS Quarter'!AY26/1000</f>
        <v>1.9750000000000003E-9</v>
      </c>
      <c r="AF35" s="195">
        <f>'FS Quarter'!AZ26/1000</f>
        <v>2.0999999999999998E-9</v>
      </c>
      <c r="AG35" s="195">
        <f>'FS Quarter'!BA26/1000</f>
        <v>2.079E-9</v>
      </c>
      <c r="AH35" s="195">
        <f>'FS Quarter'!BB26/1000</f>
        <v>2.8969999999999998E-9</v>
      </c>
      <c r="AI35" s="195">
        <f>'FS Quarter'!BC26/1000</f>
        <v>2.5289999999999998E-9</v>
      </c>
      <c r="AJ35" s="195">
        <f>'FS Quarter'!BD26/1000</f>
        <v>1.2979999999999999E-9</v>
      </c>
      <c r="AK35" s="195">
        <v>0</v>
      </c>
    </row>
    <row r="36" spans="13:38">
      <c r="P36" s="205" t="e">
        <f>P35/P34</f>
        <v>#REF!</v>
      </c>
      <c r="Q36" s="205" t="e">
        <f>Q35/Q34</f>
        <v>#REF!</v>
      </c>
      <c r="W36" s="205"/>
      <c r="X36" s="205"/>
      <c r="AC36" s="194">
        <f>'FS Quarter'!C27</f>
        <v>0</v>
      </c>
    </row>
    <row r="37" spans="13:38">
      <c r="AC37" s="194">
        <f>'FS Quarter'!C28</f>
        <v>0</v>
      </c>
      <c r="AE37" s="205">
        <f t="shared" ref="AE37:AJ37" si="15">AE12/AE11</f>
        <v>-1.1574236020402711E-2</v>
      </c>
      <c r="AF37" s="205">
        <f t="shared" si="15"/>
        <v>-1.1839999922878668E-2</v>
      </c>
      <c r="AG37" s="205">
        <f t="shared" si="15"/>
        <v>-1.158774732116432E-2</v>
      </c>
      <c r="AH37" s="205">
        <f t="shared" si="15"/>
        <v>-1.0537198459882144E-2</v>
      </c>
      <c r="AI37" s="205">
        <f t="shared" si="15"/>
        <v>-1.014772305385039E-2</v>
      </c>
      <c r="AJ37" s="205">
        <f t="shared" si="15"/>
        <v>-7.0032083516631495E-3</v>
      </c>
      <c r="AK37" s="205"/>
    </row>
    <row r="38" spans="13:38">
      <c r="AC38" s="194">
        <f>'FS Quarter'!C29</f>
        <v>0</v>
      </c>
    </row>
    <row r="39" spans="13:38">
      <c r="AC39" s="194">
        <f>'FS Quarter'!C30</f>
        <v>0</v>
      </c>
      <c r="AD39" s="205">
        <f t="shared" ref="AD39:AI39" si="16">SUM(AD20:AD21)/AD11</f>
        <v>-0.15375654229485025</v>
      </c>
      <c r="AE39" s="205">
        <f t="shared" si="16"/>
        <v>-0.17068223475136884</v>
      </c>
      <c r="AF39" s="205">
        <f t="shared" si="16"/>
        <v>-0.17653851458687267</v>
      </c>
      <c r="AG39" s="205">
        <f t="shared" si="16"/>
        <v>-0.18329344485399326</v>
      </c>
      <c r="AH39" s="205">
        <f t="shared" si="16"/>
        <v>-0.17118437065595815</v>
      </c>
      <c r="AI39" s="205">
        <f t="shared" si="16"/>
        <v>-0.17652685927656928</v>
      </c>
      <c r="AJ39" s="205">
        <f>SUM(AK20:AK21)/AK11</f>
        <v>-8.920195977214028E-2</v>
      </c>
      <c r="AL39" s="266">
        <f>-AVERAGE(AD39:AJ39)</f>
        <v>0.16016913231310753</v>
      </c>
    </row>
    <row r="40" spans="13:38">
      <c r="AL40" s="202">
        <f>(AL39*0.75)+(AL41*0.25)</f>
        <v>0.14029310036155612</v>
      </c>
    </row>
    <row r="41" spans="13:38">
      <c r="AJ41" s="205">
        <f>0.75*10.73%+0.25*8.1%</f>
        <v>0.10072500000000001</v>
      </c>
      <c r="AL41" s="112">
        <v>8.0665004506901838E-2</v>
      </c>
    </row>
    <row r="42" spans="13:38">
      <c r="AD42" s="196">
        <f t="shared" ref="AD42:AI42" si="17">AD20/AD13</f>
        <v>-0.12887088542022987</v>
      </c>
      <c r="AE42" s="196">
        <f t="shared" si="17"/>
        <v>-0.13461263783577662</v>
      </c>
      <c r="AF42" s="196">
        <f t="shared" si="17"/>
        <v>-0.14597308296084299</v>
      </c>
      <c r="AG42" s="196">
        <f t="shared" si="17"/>
        <v>-0.15662341274486416</v>
      </c>
      <c r="AH42" s="196">
        <f t="shared" si="17"/>
        <v>-0.13770308919004529</v>
      </c>
      <c r="AI42" s="196">
        <f t="shared" si="17"/>
        <v>-0.14358273279934117</v>
      </c>
      <c r="AJ42" s="196"/>
      <c r="AK42" s="196">
        <f>AK20/AK13</f>
        <v>-7.3173852026500064E-2</v>
      </c>
      <c r="AL42" s="267">
        <f>AVERAGE(AD42:AK42)</f>
        <v>-0.13150567042537145</v>
      </c>
    </row>
    <row r="43" spans="13:38">
      <c r="AL43" s="112">
        <f>-AL42*0.75-('quý 1.22'!C15/'quý 1.22'!C12)*0.25</f>
        <v>0.13315413319002628</v>
      </c>
    </row>
  </sheetData>
  <phoneticPr fontId="64" type="noConversion"/>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593F3B-2038-4E36-9FC4-12D0C3F6C105}">
  <dimension ref="A1:P65"/>
  <sheetViews>
    <sheetView zoomScale="85" zoomScaleNormal="85" workbookViewId="0">
      <selection activeCell="D69" sqref="D68:D69"/>
    </sheetView>
  </sheetViews>
  <sheetFormatPr baseColWidth="10" defaultColWidth="8.6640625" defaultRowHeight="15"/>
  <cols>
    <col min="1" max="1" width="5.1640625" style="430" customWidth="1"/>
    <col min="2" max="2" width="18" style="430" customWidth="1"/>
    <col min="3" max="6" width="8.6640625" style="430"/>
    <col min="7" max="7" width="20.33203125" style="430" customWidth="1"/>
    <col min="8" max="9" width="20.33203125" style="431" customWidth="1"/>
    <col min="10" max="12" width="8.6640625" style="430"/>
    <col min="13" max="13" width="10.6640625" style="430" bestFit="1" customWidth="1"/>
    <col min="14" max="14" width="10.6640625" style="431" bestFit="1" customWidth="1"/>
    <col min="15" max="15" width="12.6640625" style="430" bestFit="1" customWidth="1"/>
    <col min="16" max="16384" width="8.6640625" style="430"/>
  </cols>
  <sheetData>
    <row r="1" spans="1:16">
      <c r="B1" s="430" t="s">
        <v>2048</v>
      </c>
      <c r="C1" s="430" t="s">
        <v>1289</v>
      </c>
      <c r="D1" s="430" t="s">
        <v>1291</v>
      </c>
      <c r="E1" s="430" t="s">
        <v>2049</v>
      </c>
      <c r="F1" s="430" t="s">
        <v>2050</v>
      </c>
      <c r="G1" s="430" t="s">
        <v>2051</v>
      </c>
      <c r="H1" s="431" t="s">
        <v>2052</v>
      </c>
      <c r="L1" s="430" t="s">
        <v>2053</v>
      </c>
      <c r="M1" s="430" t="s">
        <v>2054</v>
      </c>
    </row>
    <row r="2" spans="1:16">
      <c r="A2" s="430">
        <v>1</v>
      </c>
      <c r="B2" s="430" t="s">
        <v>1865</v>
      </c>
      <c r="C2" s="430">
        <v>29</v>
      </c>
      <c r="D2" s="430">
        <v>10</v>
      </c>
      <c r="G2" s="430" t="s">
        <v>2055</v>
      </c>
      <c r="H2" s="431">
        <v>1288866</v>
      </c>
      <c r="I2" s="431">
        <f>H2/tinh_mwg_15[[#This Row],[MWG]]/1000</f>
        <v>44.443655172413791</v>
      </c>
      <c r="K2" s="430" t="s">
        <v>2055</v>
      </c>
      <c r="L2" s="430">
        <f>SUMIF(tinh_mwg_15[Column3],K2,tinh_mwg_15[MWG])</f>
        <v>267</v>
      </c>
      <c r="M2" s="432">
        <f>O2/L2/10^3</f>
        <v>37.855142322097379</v>
      </c>
      <c r="N2" s="431">
        <f t="shared" ref="N2:N9" si="0">O2/L2</f>
        <v>37855.142322097381</v>
      </c>
      <c r="O2" s="431">
        <f>SUMIF(tinh_mwg_15[Column3],K2,$H$2:$H$64)</f>
        <v>10107323</v>
      </c>
    </row>
    <row r="3" spans="1:16">
      <c r="A3" s="430">
        <v>2</v>
      </c>
      <c r="B3" s="430" t="s">
        <v>1862</v>
      </c>
      <c r="C3" s="430">
        <v>61</v>
      </c>
      <c r="G3" s="430" t="s">
        <v>2055</v>
      </c>
      <c r="H3" s="431">
        <v>3327791</v>
      </c>
      <c r="I3" s="431">
        <f>H3/tinh_mwg_15[[#This Row],[MWG]]/1000</f>
        <v>54.553950819672131</v>
      </c>
      <c r="K3" s="430" t="s">
        <v>2056</v>
      </c>
      <c r="L3" s="430">
        <f>SUMIF(tinh_mwg_15[Column3],K3,tinh_mwg_15[MWG])</f>
        <v>357</v>
      </c>
      <c r="M3" s="432">
        <f t="shared" ref="M3:M9" si="1">O3/L3/10^3</f>
        <v>26.224848739495798</v>
      </c>
      <c r="N3" s="431">
        <f t="shared" si="0"/>
        <v>26224.848739495799</v>
      </c>
      <c r="O3" s="431">
        <f>SUMIF(tinh_mwg_15[Column3],K3,$H$2:$H$64)</f>
        <v>9362271</v>
      </c>
    </row>
    <row r="4" spans="1:16">
      <c r="A4" s="430">
        <v>3</v>
      </c>
      <c r="B4" s="430" t="s">
        <v>2057</v>
      </c>
      <c r="C4" s="430">
        <v>27</v>
      </c>
      <c r="G4" s="430" t="s">
        <v>2055</v>
      </c>
      <c r="H4" s="431">
        <v>89543</v>
      </c>
      <c r="I4" s="431">
        <f>H4/tinh_mwg_15[[#This Row],[MWG]]/1000</f>
        <v>3.3164074074074072</v>
      </c>
      <c r="K4" s="430" t="s">
        <v>2058</v>
      </c>
      <c r="L4" s="430">
        <f>SUMIF(tinh_mwg_15[Column3],K4,tinh_mwg_15[MWG])</f>
        <v>289</v>
      </c>
      <c r="M4" s="432">
        <f t="shared" si="1"/>
        <v>31.626788927335642</v>
      </c>
      <c r="N4" s="431">
        <f t="shared" si="0"/>
        <v>31626.788927335641</v>
      </c>
      <c r="O4" s="431">
        <f>SUMIF(tinh_mwg_15[Column3],K4,$H$2:$H$64)</f>
        <v>9140142</v>
      </c>
    </row>
    <row r="5" spans="1:16">
      <c r="A5" s="430">
        <v>4</v>
      </c>
      <c r="B5" s="430" t="s">
        <v>1861</v>
      </c>
      <c r="C5" s="430">
        <v>29</v>
      </c>
      <c r="G5" s="430" t="s">
        <v>2055</v>
      </c>
      <c r="H5" s="431">
        <v>632375</v>
      </c>
      <c r="I5" s="431">
        <f>H5/tinh_mwg_15[[#This Row],[MWG]]/1000</f>
        <v>21.806034482758619</v>
      </c>
      <c r="K5" s="430" t="s">
        <v>2059</v>
      </c>
      <c r="L5" s="430">
        <f>SUMIF(tinh_mwg_15[Column3],K5,tinh_mwg_15[MWG])</f>
        <v>777</v>
      </c>
      <c r="M5" s="432">
        <f t="shared" si="1"/>
        <v>22.231184041184044</v>
      </c>
      <c r="N5" s="431">
        <f t="shared" si="0"/>
        <v>22231.184041184042</v>
      </c>
      <c r="O5" s="431">
        <f>SUMIF(tinh_mwg_15[Column3],K5,$H$2:$H$64)</f>
        <v>17273630</v>
      </c>
    </row>
    <row r="6" spans="1:16">
      <c r="A6" s="430">
        <v>5</v>
      </c>
      <c r="B6" s="430" t="s">
        <v>1863</v>
      </c>
      <c r="C6" s="430">
        <v>78</v>
      </c>
      <c r="G6" s="430" t="s">
        <v>2055</v>
      </c>
      <c r="H6" s="431">
        <v>3640128</v>
      </c>
      <c r="I6" s="431">
        <f>H6/tinh_mwg_15[[#This Row],[MWG]]/1000</f>
        <v>46.668307692307692</v>
      </c>
      <c r="K6" s="430" t="s">
        <v>2060</v>
      </c>
      <c r="L6" s="430">
        <f>SUMIF(tinh_mwg_15[Column3],K6,tinh_mwg_15[MWG])</f>
        <v>641</v>
      </c>
      <c r="M6" s="432">
        <f t="shared" si="1"/>
        <v>31.797209048361935</v>
      </c>
      <c r="N6" s="431">
        <f t="shared" si="0"/>
        <v>31797.209048361936</v>
      </c>
      <c r="O6" s="431">
        <f>SUMIF(tinh_mwg_15[Column3],K6,$H$2:$H$64)</f>
        <v>20382011</v>
      </c>
    </row>
    <row r="7" spans="1:16">
      <c r="A7" s="430">
        <v>6</v>
      </c>
      <c r="B7" s="430" t="s">
        <v>1859</v>
      </c>
      <c r="C7" s="430">
        <v>43</v>
      </c>
      <c r="G7" s="430" t="s">
        <v>2055</v>
      </c>
      <c r="H7" s="431">
        <v>1128620</v>
      </c>
      <c r="I7" s="431">
        <f>H7/tinh_mwg_15[[#This Row],[MWG]]/1000</f>
        <v>26.246976744186046</v>
      </c>
      <c r="K7" s="434" t="s">
        <v>2061</v>
      </c>
      <c r="L7" s="434">
        <f>SUMIF(tinh_mwg_15[Column3],K7,tinh_mwg_15[MWG])</f>
        <v>724</v>
      </c>
      <c r="M7" s="435">
        <f t="shared" si="1"/>
        <v>24.625562154696134</v>
      </c>
      <c r="N7" s="436">
        <f t="shared" si="0"/>
        <v>24625.562154696134</v>
      </c>
      <c r="O7" s="436">
        <f>SUMIF(tinh_mwg_15[Column3],K7,$H$2:$H$64)</f>
        <v>17828907</v>
      </c>
      <c r="P7" s="434">
        <f>20*16</f>
        <v>320</v>
      </c>
    </row>
    <row r="8" spans="1:16">
      <c r="A8" s="430">
        <v>7</v>
      </c>
      <c r="B8" s="430" t="s">
        <v>1828</v>
      </c>
      <c r="C8" s="430">
        <v>52</v>
      </c>
      <c r="D8" s="430">
        <v>14</v>
      </c>
      <c r="G8" s="430" t="s">
        <v>2056</v>
      </c>
      <c r="H8" s="431">
        <v>1486918</v>
      </c>
      <c r="I8" s="431">
        <f>H8/tinh_mwg_15[[#This Row],[MWG]]/1000</f>
        <v>28.594576923076922</v>
      </c>
      <c r="K8" s="430" t="s">
        <v>2062</v>
      </c>
      <c r="L8" s="430">
        <f>SUMIF(tinh_mwg_15[Column3],K8,tinh_mwg_15[MWG])</f>
        <v>127</v>
      </c>
      <c r="M8" s="432">
        <f t="shared" si="1"/>
        <v>26.116086614173231</v>
      </c>
      <c r="N8" s="431">
        <f t="shared" si="0"/>
        <v>26116.086614173229</v>
      </c>
      <c r="O8" s="431">
        <f>SUMIF(tinh_mwg_15[Column3],K8,$H$2:$H$64)</f>
        <v>3316743</v>
      </c>
    </row>
    <row r="9" spans="1:16">
      <c r="A9" s="430">
        <v>8</v>
      </c>
      <c r="B9" s="430" t="s">
        <v>1829</v>
      </c>
      <c r="C9" s="430">
        <v>58</v>
      </c>
      <c r="G9" s="430" t="s">
        <v>2056</v>
      </c>
      <c r="H9" s="431">
        <v>1230808</v>
      </c>
      <c r="I9" s="431">
        <f>H9/tinh_mwg_15[[#This Row],[MWG]]/1000</f>
        <v>21.220827586206894</v>
      </c>
      <c r="K9" s="430" t="s">
        <v>2063</v>
      </c>
      <c r="L9" s="430">
        <f>SUMIF(tinh_mwg_15[Column3],K9,tinh_mwg_15[MWG])</f>
        <v>202</v>
      </c>
      <c r="M9" s="432">
        <f t="shared" si="1"/>
        <v>28.922678217821783</v>
      </c>
      <c r="N9" s="431">
        <f t="shared" si="0"/>
        <v>28922.678217821784</v>
      </c>
      <c r="O9" s="431">
        <f>SUMIF(tinh_mwg_15[Column3],K9,$H$2:$H$64)</f>
        <v>5842381</v>
      </c>
    </row>
    <row r="10" spans="1:16">
      <c r="A10" s="430">
        <v>9</v>
      </c>
      <c r="B10" s="430" t="s">
        <v>1512</v>
      </c>
      <c r="C10" s="430">
        <v>38</v>
      </c>
      <c r="D10" s="430">
        <v>20</v>
      </c>
      <c r="G10" s="430" t="s">
        <v>2056</v>
      </c>
      <c r="H10" s="431">
        <v>1134310</v>
      </c>
      <c r="I10" s="431">
        <f>H10/tinh_mwg_15[[#This Row],[MWG]]/1000</f>
        <v>29.850263157894737</v>
      </c>
    </row>
    <row r="11" spans="1:16">
      <c r="A11" s="430">
        <v>10</v>
      </c>
      <c r="B11" s="430" t="s">
        <v>1845</v>
      </c>
      <c r="C11" s="430">
        <v>52</v>
      </c>
      <c r="G11" s="430" t="s">
        <v>2056</v>
      </c>
      <c r="H11" s="431">
        <v>1231107</v>
      </c>
      <c r="I11" s="431">
        <f>H11/tinh_mwg_15[[#This Row],[MWG]]/1000</f>
        <v>23.675134615384618</v>
      </c>
      <c r="L11" s="430" t="s">
        <v>515</v>
      </c>
    </row>
    <row r="12" spans="1:16">
      <c r="A12" s="430">
        <v>11</v>
      </c>
      <c r="B12" s="430" t="s">
        <v>1847</v>
      </c>
      <c r="C12" s="430">
        <v>24</v>
      </c>
      <c r="G12" s="430" t="s">
        <v>2056</v>
      </c>
      <c r="H12" s="431">
        <v>590467</v>
      </c>
      <c r="I12" s="431">
        <f>H12/tinh_mwg_15[[#This Row],[MWG]]/1000</f>
        <v>24.602791666666668</v>
      </c>
      <c r="L12" s="430" t="s">
        <v>2064</v>
      </c>
    </row>
    <row r="13" spans="1:16">
      <c r="A13" s="430">
        <v>12</v>
      </c>
      <c r="B13" s="430" t="s">
        <v>1854</v>
      </c>
      <c r="C13" s="430">
        <v>29</v>
      </c>
      <c r="G13" s="430" t="s">
        <v>2056</v>
      </c>
      <c r="H13" s="431">
        <v>961152</v>
      </c>
      <c r="I13" s="431">
        <f>H13/tinh_mwg_15[[#This Row],[MWG]]/1000</f>
        <v>33.143172413793103</v>
      </c>
      <c r="L13" s="430">
        <v>2021</v>
      </c>
      <c r="M13" s="430">
        <v>148.99999999999977</v>
      </c>
    </row>
    <row r="14" spans="1:16">
      <c r="A14" s="430">
        <v>13</v>
      </c>
      <c r="B14" s="430" t="s">
        <v>1855</v>
      </c>
      <c r="C14" s="430">
        <v>61</v>
      </c>
      <c r="G14" s="430" t="s">
        <v>2056</v>
      </c>
      <c r="H14" s="431">
        <v>1495812</v>
      </c>
      <c r="I14" s="431">
        <f>H14/tinh_mwg_15[[#This Row],[MWG]]/1000</f>
        <v>24.52150819672131</v>
      </c>
      <c r="L14" s="430">
        <v>2020</v>
      </c>
      <c r="M14" s="430">
        <v>135.99999999999974</v>
      </c>
    </row>
    <row r="15" spans="1:16">
      <c r="A15" s="430">
        <v>14</v>
      </c>
      <c r="B15" s="430" t="s">
        <v>1856</v>
      </c>
      <c r="C15" s="430">
        <v>43</v>
      </c>
      <c r="G15" s="430" t="s">
        <v>2056</v>
      </c>
      <c r="H15" s="431">
        <v>1231697</v>
      </c>
      <c r="I15" s="431">
        <f>H15/tinh_mwg_15[[#This Row],[MWG]]/1000</f>
        <v>28.644116279069767</v>
      </c>
      <c r="L15" s="430">
        <v>2019</v>
      </c>
      <c r="M15" s="430">
        <v>130.00000000000017</v>
      </c>
    </row>
    <row r="16" spans="1:16">
      <c r="A16" s="430">
        <v>15</v>
      </c>
      <c r="B16" s="430" t="s">
        <v>2065</v>
      </c>
      <c r="C16" s="430">
        <v>43</v>
      </c>
      <c r="G16" s="430" t="s">
        <v>2058</v>
      </c>
      <c r="H16" s="431">
        <v>1803950</v>
      </c>
      <c r="I16" s="431">
        <f>H16/tinh_mwg_15[[#This Row],[MWG]]/1000</f>
        <v>41.95232558139535</v>
      </c>
      <c r="L16" s="430">
        <v>2018</v>
      </c>
      <c r="M16" s="430">
        <v>101.00000000000004</v>
      </c>
    </row>
    <row r="17" spans="1:13">
      <c r="A17" s="430">
        <v>16</v>
      </c>
      <c r="B17" s="430" t="s">
        <v>2066</v>
      </c>
      <c r="C17" s="430">
        <v>10</v>
      </c>
      <c r="D17" s="430">
        <v>1</v>
      </c>
      <c r="G17" s="430" t="s">
        <v>2058</v>
      </c>
      <c r="H17" s="431">
        <v>313905</v>
      </c>
      <c r="I17" s="431">
        <f>H17/tinh_mwg_15[[#This Row],[MWG]]/1000</f>
        <v>31.390499999999999</v>
      </c>
      <c r="L17" s="430">
        <v>2017</v>
      </c>
      <c r="M17" s="430">
        <v>84.999999999999915</v>
      </c>
    </row>
    <row r="18" spans="1:13">
      <c r="A18" s="430">
        <v>17</v>
      </c>
      <c r="B18" s="430" t="s">
        <v>2067</v>
      </c>
      <c r="C18" s="430">
        <v>19</v>
      </c>
      <c r="G18" s="430" t="s">
        <v>2058</v>
      </c>
      <c r="H18" s="431">
        <v>530341</v>
      </c>
      <c r="I18" s="431">
        <f>H18/tinh_mwg_15[[#This Row],[MWG]]/1000</f>
        <v>27.912684210526315</v>
      </c>
    </row>
    <row r="19" spans="1:13">
      <c r="A19" s="430">
        <v>18</v>
      </c>
      <c r="B19" s="430" t="s">
        <v>2068</v>
      </c>
      <c r="C19" s="430">
        <v>26</v>
      </c>
      <c r="D19" s="430">
        <v>4</v>
      </c>
      <c r="G19" s="430" t="s">
        <v>2058</v>
      </c>
      <c r="H19" s="431">
        <v>854679</v>
      </c>
      <c r="I19" s="431">
        <f>H19/tinh_mwg_15[[#This Row],[MWG]]/1000</f>
        <v>32.872269230769234</v>
      </c>
    </row>
    <row r="20" spans="1:13">
      <c r="A20" s="430">
        <v>19</v>
      </c>
      <c r="B20" s="430" t="s">
        <v>2069</v>
      </c>
      <c r="C20" s="430">
        <v>27</v>
      </c>
      <c r="G20" s="430" t="s">
        <v>2058</v>
      </c>
      <c r="H20" s="431">
        <v>781655</v>
      </c>
      <c r="I20" s="431">
        <f>H20/tinh_mwg_15[[#This Row],[MWG]]/1000</f>
        <v>28.950185185185187</v>
      </c>
    </row>
    <row r="21" spans="1:13">
      <c r="A21" s="430">
        <v>20</v>
      </c>
      <c r="B21" s="430" t="s">
        <v>2070</v>
      </c>
      <c r="C21" s="430">
        <v>46</v>
      </c>
      <c r="G21" s="430" t="s">
        <v>2058</v>
      </c>
      <c r="H21" s="431">
        <v>1463726</v>
      </c>
      <c r="I21" s="431">
        <f>H21/tinh_mwg_15[[#This Row],[MWG]]/1000</f>
        <v>31.820130434782609</v>
      </c>
    </row>
    <row r="22" spans="1:13">
      <c r="A22" s="430">
        <v>21</v>
      </c>
      <c r="B22" s="430" t="s">
        <v>2071</v>
      </c>
      <c r="C22" s="430">
        <v>54</v>
      </c>
      <c r="G22" s="430" t="s">
        <v>2058</v>
      </c>
      <c r="H22" s="431">
        <v>1320324</v>
      </c>
      <c r="I22" s="431">
        <f>H22/tinh_mwg_15[[#This Row],[MWG]]/1000</f>
        <v>24.450444444444447</v>
      </c>
    </row>
    <row r="23" spans="1:13">
      <c r="A23" s="430">
        <v>22</v>
      </c>
      <c r="B23" s="430" t="s">
        <v>2072</v>
      </c>
      <c r="C23" s="430">
        <v>21</v>
      </c>
      <c r="G23" s="430" t="s">
        <v>2058</v>
      </c>
      <c r="H23" s="431">
        <v>784811</v>
      </c>
      <c r="I23" s="431">
        <f>H23/tinh_mwg_15[[#This Row],[MWG]]/1000</f>
        <v>37.371952380952379</v>
      </c>
    </row>
    <row r="24" spans="1:13">
      <c r="A24" s="430">
        <v>23</v>
      </c>
      <c r="B24" s="430" t="s">
        <v>2073</v>
      </c>
      <c r="C24" s="430">
        <v>43</v>
      </c>
      <c r="G24" s="430" t="s">
        <v>2058</v>
      </c>
      <c r="H24" s="431">
        <v>1286751</v>
      </c>
      <c r="I24" s="431">
        <f>H24/tinh_mwg_15[[#This Row],[MWG]]/1000</f>
        <v>29.924441860465116</v>
      </c>
    </row>
    <row r="25" spans="1:13">
      <c r="A25" s="430">
        <v>24</v>
      </c>
      <c r="B25" s="430" t="s">
        <v>1821</v>
      </c>
      <c r="C25" s="430">
        <v>79</v>
      </c>
      <c r="G25" s="430" t="s">
        <v>2059</v>
      </c>
      <c r="H25" s="431">
        <v>1908352</v>
      </c>
      <c r="I25" s="431">
        <f>H25/tinh_mwg_15[[#This Row],[MWG]]/1000</f>
        <v>24.156354430379746</v>
      </c>
    </row>
    <row r="26" spans="1:13">
      <c r="A26" s="430">
        <v>25</v>
      </c>
      <c r="B26" s="430" t="s">
        <v>1823</v>
      </c>
      <c r="C26" s="430">
        <v>34</v>
      </c>
      <c r="G26" s="430" t="s">
        <v>2059</v>
      </c>
      <c r="H26" s="431">
        <v>907236</v>
      </c>
      <c r="I26" s="431">
        <f>H26/tinh_mwg_15[[#This Row],[MWG]]/1000</f>
        <v>26.68341176470588</v>
      </c>
    </row>
    <row r="27" spans="1:13">
      <c r="A27" s="430">
        <v>26</v>
      </c>
      <c r="B27" s="430" t="s">
        <v>1825</v>
      </c>
      <c r="C27" s="430">
        <v>59</v>
      </c>
      <c r="G27" s="430" t="s">
        <v>2059</v>
      </c>
      <c r="H27" s="431">
        <v>1288463</v>
      </c>
      <c r="I27" s="431">
        <f>H27/tinh_mwg_15[[#This Row],[MWG]]/1000</f>
        <v>21.838355932203392</v>
      </c>
    </row>
    <row r="28" spans="1:13">
      <c r="A28" s="430">
        <v>27</v>
      </c>
      <c r="B28" s="430" t="s">
        <v>1830</v>
      </c>
      <c r="C28" s="430">
        <v>39</v>
      </c>
      <c r="D28" s="430">
        <v>13</v>
      </c>
      <c r="G28" s="430" t="s">
        <v>2059</v>
      </c>
      <c r="H28" s="431">
        <v>1194476</v>
      </c>
      <c r="I28" s="431">
        <f>H28/tinh_mwg_15[[#This Row],[MWG]]/1000</f>
        <v>30.627589743589741</v>
      </c>
    </row>
    <row r="29" spans="1:13">
      <c r="A29" s="430">
        <v>28</v>
      </c>
      <c r="B29" s="430" t="s">
        <v>1831</v>
      </c>
      <c r="C29" s="430">
        <v>61</v>
      </c>
      <c r="G29" s="430" t="s">
        <v>2059</v>
      </c>
      <c r="H29" s="431">
        <v>1235171</v>
      </c>
      <c r="I29" s="431">
        <f>H29/tinh_mwg_15[[#This Row],[MWG]]/1000</f>
        <v>20.248704918032789</v>
      </c>
    </row>
    <row r="30" spans="1:13">
      <c r="A30" s="430">
        <v>29</v>
      </c>
      <c r="B30" s="430" t="s">
        <v>1837</v>
      </c>
      <c r="C30" s="430">
        <v>74</v>
      </c>
      <c r="D30" s="430">
        <v>12</v>
      </c>
      <c r="G30" s="430" t="s">
        <v>2059</v>
      </c>
      <c r="H30" s="431">
        <v>1599504</v>
      </c>
      <c r="I30" s="431">
        <f>H30/tinh_mwg_15[[#This Row],[MWG]]/1000</f>
        <v>21.614918918918921</v>
      </c>
    </row>
    <row r="31" spans="1:13">
      <c r="A31" s="430">
        <v>30</v>
      </c>
      <c r="B31" s="430" t="s">
        <v>1839</v>
      </c>
      <c r="C31" s="430">
        <v>36</v>
      </c>
      <c r="D31" s="430">
        <v>3</v>
      </c>
      <c r="G31" s="430" t="s">
        <v>2059</v>
      </c>
      <c r="H31" s="431">
        <v>733017</v>
      </c>
      <c r="I31" s="431">
        <f>H31/tinh_mwg_15[[#This Row],[MWG]]/1000</f>
        <v>20.361583333333332</v>
      </c>
    </row>
    <row r="32" spans="1:13">
      <c r="A32" s="430">
        <v>31</v>
      </c>
      <c r="B32" s="430" t="s">
        <v>1840</v>
      </c>
      <c r="C32" s="430">
        <v>73</v>
      </c>
      <c r="D32" s="430">
        <v>18</v>
      </c>
      <c r="G32" s="430" t="s">
        <v>2059</v>
      </c>
      <c r="H32" s="431">
        <v>1723067</v>
      </c>
      <c r="I32" s="431">
        <f>H32/tinh_mwg_15[[#This Row],[MWG]]/1000</f>
        <v>23.603657534246576</v>
      </c>
    </row>
    <row r="33" spans="1:9">
      <c r="A33" s="430">
        <v>32</v>
      </c>
      <c r="B33" s="430" t="s">
        <v>1842</v>
      </c>
      <c r="C33" s="430">
        <v>109</v>
      </c>
      <c r="G33" s="430" t="s">
        <v>2059</v>
      </c>
      <c r="H33" s="431">
        <v>1688547</v>
      </c>
      <c r="I33" s="431">
        <f>H33/tinh_mwg_15[[#This Row],[MWG]]/1000</f>
        <v>15.491256880733944</v>
      </c>
    </row>
    <row r="34" spans="1:9">
      <c r="A34" s="430">
        <v>33</v>
      </c>
      <c r="B34" s="430" t="s">
        <v>1849</v>
      </c>
      <c r="C34" s="430">
        <v>49</v>
      </c>
      <c r="G34" s="430" t="s">
        <v>2059</v>
      </c>
      <c r="H34" s="431">
        <v>1199653</v>
      </c>
      <c r="I34" s="431">
        <f>H34/tinh_mwg_15[[#This Row],[MWG]]/1000</f>
        <v>24.482714285714287</v>
      </c>
    </row>
    <row r="35" spans="1:9">
      <c r="A35" s="430">
        <v>34</v>
      </c>
      <c r="B35" s="430" t="s">
        <v>1851</v>
      </c>
      <c r="C35" s="430">
        <v>76</v>
      </c>
      <c r="G35" s="430" t="s">
        <v>2059</v>
      </c>
      <c r="H35" s="431">
        <v>1764185</v>
      </c>
      <c r="I35" s="431">
        <f>H35/tinh_mwg_15[[#This Row],[MWG]]/1000</f>
        <v>23.21296052631579</v>
      </c>
    </row>
    <row r="36" spans="1:9">
      <c r="A36" s="430">
        <v>35</v>
      </c>
      <c r="B36" s="430" t="s">
        <v>1852</v>
      </c>
      <c r="C36" s="430">
        <v>41</v>
      </c>
      <c r="G36" s="430" t="s">
        <v>2059</v>
      </c>
      <c r="H36" s="431">
        <v>1009168</v>
      </c>
      <c r="I36" s="431">
        <f>H36/tinh_mwg_15[[#This Row],[MWG]]/1000</f>
        <v>24.613853658536584</v>
      </c>
    </row>
    <row r="37" spans="1:9">
      <c r="A37" s="430">
        <v>36</v>
      </c>
      <c r="B37" s="430" t="s">
        <v>1853</v>
      </c>
      <c r="C37" s="430">
        <v>47</v>
      </c>
      <c r="G37" s="430" t="s">
        <v>2059</v>
      </c>
      <c r="H37" s="431">
        <v>1022791</v>
      </c>
      <c r="I37" s="431">
        <f>H37/tinh_mwg_15[[#This Row],[MWG]]/1000</f>
        <v>21.761510638297874</v>
      </c>
    </row>
    <row r="38" spans="1:9">
      <c r="A38" s="430">
        <v>37</v>
      </c>
      <c r="B38" s="430" t="s">
        <v>2074</v>
      </c>
      <c r="C38" s="430">
        <v>38</v>
      </c>
      <c r="D38" s="430">
        <v>23</v>
      </c>
      <c r="G38" s="430" t="s">
        <v>2060</v>
      </c>
      <c r="H38" s="431">
        <v>1368840</v>
      </c>
      <c r="I38" s="431">
        <f>H38/tinh_mwg_15[[#This Row],[MWG]]/1000</f>
        <v>36.02210526315789</v>
      </c>
    </row>
    <row r="39" spans="1:9">
      <c r="A39" s="430">
        <v>38</v>
      </c>
      <c r="B39" s="430" t="s">
        <v>2075</v>
      </c>
      <c r="C39" s="430">
        <v>20</v>
      </c>
      <c r="G39" s="430" t="s">
        <v>2060</v>
      </c>
      <c r="H39" s="431">
        <v>8528</v>
      </c>
      <c r="I39" s="431">
        <f>H39/tinh_mwg_15[[#This Row],[MWG]]/1000</f>
        <v>0.4264</v>
      </c>
    </row>
    <row r="40" spans="1:9">
      <c r="A40" s="430">
        <v>39</v>
      </c>
      <c r="B40" s="430" t="s">
        <v>1493</v>
      </c>
      <c r="C40" s="430">
        <v>267</v>
      </c>
      <c r="D40" s="430">
        <v>118</v>
      </c>
      <c r="G40" s="430" t="s">
        <v>2060</v>
      </c>
      <c r="H40" s="431">
        <v>8053663</v>
      </c>
      <c r="I40" s="431">
        <f>H40/tinh_mwg_15[[#This Row],[MWG]]/1000</f>
        <v>30.16353183520599</v>
      </c>
    </row>
    <row r="41" spans="1:9">
      <c r="A41" s="430">
        <v>40</v>
      </c>
      <c r="B41" s="430" t="s">
        <v>2076</v>
      </c>
      <c r="C41" s="430">
        <v>54</v>
      </c>
      <c r="D41" s="430">
        <v>13</v>
      </c>
      <c r="G41" s="430" t="s">
        <v>2060</v>
      </c>
      <c r="H41" s="431">
        <v>1892254</v>
      </c>
      <c r="I41" s="431">
        <f>H41/tinh_mwg_15[[#This Row],[MWG]]/1000</f>
        <v>35.041740740740735</v>
      </c>
    </row>
    <row r="42" spans="1:9">
      <c r="A42" s="430">
        <v>41</v>
      </c>
      <c r="B42" s="430" t="s">
        <v>2077</v>
      </c>
      <c r="C42" s="430">
        <v>72</v>
      </c>
      <c r="D42" s="430">
        <v>19</v>
      </c>
      <c r="G42" s="430" t="s">
        <v>2060</v>
      </c>
      <c r="H42" s="431">
        <v>2028514</v>
      </c>
      <c r="I42" s="431">
        <f>H42/tinh_mwg_15[[#This Row],[MWG]]/1000</f>
        <v>28.173805555555553</v>
      </c>
    </row>
    <row r="43" spans="1:9">
      <c r="A43" s="430">
        <v>42</v>
      </c>
      <c r="B43" s="430" t="s">
        <v>2078</v>
      </c>
      <c r="C43" s="430">
        <v>30</v>
      </c>
      <c r="D43" s="430">
        <v>9</v>
      </c>
      <c r="G43" s="430" t="s">
        <v>2060</v>
      </c>
      <c r="H43" s="431">
        <v>1252731</v>
      </c>
      <c r="I43" s="431">
        <f>H43/tinh_mwg_15[[#This Row],[MWG]]/1000</f>
        <v>41.7577</v>
      </c>
    </row>
    <row r="44" spans="1:9">
      <c r="A44" s="430">
        <v>43</v>
      </c>
      <c r="B44" s="430" t="s">
        <v>2079</v>
      </c>
      <c r="C44" s="430">
        <v>48</v>
      </c>
      <c r="G44" s="430" t="s">
        <v>2060</v>
      </c>
      <c r="H44" s="431">
        <v>1780393</v>
      </c>
      <c r="I44" s="431">
        <f>H44/tinh_mwg_15[[#This Row],[MWG]]/1000</f>
        <v>37.091520833333334</v>
      </c>
    </row>
    <row r="45" spans="1:9">
      <c r="A45" s="430">
        <v>44</v>
      </c>
      <c r="B45" s="430" t="s">
        <v>2080</v>
      </c>
      <c r="C45" s="430">
        <v>20</v>
      </c>
      <c r="G45" s="430" t="s">
        <v>2060</v>
      </c>
      <c r="H45" s="431">
        <v>982487</v>
      </c>
      <c r="I45" s="431">
        <f>H45/tinh_mwg_15[[#This Row],[MWG]]/1000</f>
        <v>49.12435</v>
      </c>
    </row>
    <row r="46" spans="1:9">
      <c r="A46" s="430">
        <v>45</v>
      </c>
      <c r="B46" s="430" t="s">
        <v>2081</v>
      </c>
      <c r="C46" s="430">
        <v>47</v>
      </c>
      <c r="G46" s="430" t="s">
        <v>2060</v>
      </c>
      <c r="H46" s="431">
        <v>1860447</v>
      </c>
      <c r="I46" s="431">
        <f>H46/tinh_mwg_15[[#This Row],[MWG]]/1000</f>
        <v>39.58397872340425</v>
      </c>
    </row>
    <row r="47" spans="1:9">
      <c r="A47" s="430">
        <v>46</v>
      </c>
      <c r="B47" s="430" t="s">
        <v>2082</v>
      </c>
      <c r="C47" s="430">
        <v>45</v>
      </c>
      <c r="G47" s="430" t="s">
        <v>2060</v>
      </c>
      <c r="H47" s="431">
        <v>1154154</v>
      </c>
      <c r="I47" s="431">
        <f>H47/tinh_mwg_15[[#This Row],[MWG]]/1000</f>
        <v>25.647866666666665</v>
      </c>
    </row>
    <row r="48" spans="1:9">
      <c r="A48" s="430">
        <v>47</v>
      </c>
      <c r="B48" s="430" t="s">
        <v>2083</v>
      </c>
      <c r="C48" s="430">
        <v>57</v>
      </c>
      <c r="D48" s="430">
        <v>25</v>
      </c>
      <c r="G48" s="430" t="s">
        <v>2061</v>
      </c>
      <c r="H48" s="431">
        <v>1148313</v>
      </c>
      <c r="I48" s="431">
        <f>H48/tinh_mwg_15[[#This Row],[MWG]]/1000</f>
        <v>20.145842105263156</v>
      </c>
    </row>
    <row r="49" spans="1:9">
      <c r="A49" s="430">
        <v>48</v>
      </c>
      <c r="B49" s="430" t="s">
        <v>1826</v>
      </c>
      <c r="C49" s="430">
        <v>110</v>
      </c>
      <c r="G49" s="430" t="s">
        <v>2061</v>
      </c>
      <c r="H49" s="431">
        <v>2426561</v>
      </c>
      <c r="I49" s="431">
        <f>H49/tinh_mwg_15[[#This Row],[MWG]]/1000</f>
        <v>22.059645454545453</v>
      </c>
    </row>
    <row r="50" spans="1:9">
      <c r="A50" s="430">
        <v>49</v>
      </c>
      <c r="B50" s="430" t="s">
        <v>1827</v>
      </c>
      <c r="C50" s="430">
        <v>50</v>
      </c>
      <c r="D50" s="430">
        <v>13</v>
      </c>
      <c r="G50" s="430" t="s">
        <v>2061</v>
      </c>
      <c r="H50" s="431">
        <v>994679</v>
      </c>
      <c r="I50" s="431">
        <f>H50/tinh_mwg_15[[#This Row],[MWG]]/1000</f>
        <v>19.89358</v>
      </c>
    </row>
    <row r="51" spans="1:9">
      <c r="A51" s="430">
        <v>50</v>
      </c>
      <c r="B51" s="430" t="s">
        <v>1835</v>
      </c>
      <c r="C51" s="430">
        <v>140</v>
      </c>
      <c r="G51" s="430" t="s">
        <v>2061</v>
      </c>
      <c r="H51" s="431">
        <v>3097107</v>
      </c>
      <c r="I51" s="431">
        <f>H51/tinh_mwg_15[[#This Row],[MWG]]/1000</f>
        <v>22.122192857142856</v>
      </c>
    </row>
    <row r="52" spans="1:9">
      <c r="A52" s="430">
        <v>51</v>
      </c>
      <c r="B52" s="430" t="s">
        <v>1505</v>
      </c>
      <c r="C52" s="430">
        <v>317</v>
      </c>
      <c r="D52" s="430">
        <v>125</v>
      </c>
      <c r="G52" s="430" t="s">
        <v>2061</v>
      </c>
      <c r="H52" s="431">
        <v>8993082</v>
      </c>
      <c r="I52" s="431">
        <f>H52/tinh_mwg_15[[#This Row],[MWG]]/1000</f>
        <v>28.369343848580439</v>
      </c>
    </row>
    <row r="53" spans="1:9">
      <c r="A53" s="430">
        <v>52</v>
      </c>
      <c r="B53" s="430" t="s">
        <v>1850</v>
      </c>
      <c r="C53" s="430">
        <v>50</v>
      </c>
      <c r="G53" s="430" t="s">
        <v>2061</v>
      </c>
      <c r="H53" s="431">
        <v>1169165</v>
      </c>
      <c r="I53" s="431">
        <f>H53/tinh_mwg_15[[#This Row],[MWG]]/1000</f>
        <v>23.383299999999998</v>
      </c>
    </row>
    <row r="54" spans="1:9">
      <c r="A54" s="430">
        <v>53</v>
      </c>
      <c r="B54" s="430" t="s">
        <v>2084</v>
      </c>
      <c r="C54" s="430">
        <v>15</v>
      </c>
      <c r="D54" s="430">
        <v>4</v>
      </c>
      <c r="G54" s="430" t="s">
        <v>2062</v>
      </c>
      <c r="H54" s="431">
        <v>598856</v>
      </c>
      <c r="I54" s="431">
        <f>H54/tinh_mwg_15[[#This Row],[MWG]]/1000</f>
        <v>39.923733333333331</v>
      </c>
    </row>
    <row r="55" spans="1:9">
      <c r="A55" s="430">
        <v>54</v>
      </c>
      <c r="B55" s="430" t="s">
        <v>2085</v>
      </c>
      <c r="C55" s="430">
        <v>23</v>
      </c>
      <c r="G55" s="430" t="s">
        <v>2062</v>
      </c>
      <c r="H55" s="431">
        <v>854131</v>
      </c>
      <c r="I55" s="431">
        <f>H55/tinh_mwg_15[[#This Row],[MWG]]/1000</f>
        <v>37.136130434782608</v>
      </c>
    </row>
    <row r="56" spans="1:9">
      <c r="A56" s="430">
        <v>55</v>
      </c>
      <c r="B56" s="430" t="s">
        <v>2086</v>
      </c>
      <c r="C56" s="430">
        <v>12</v>
      </c>
      <c r="D56" s="430">
        <v>2</v>
      </c>
      <c r="G56" s="430" t="s">
        <v>2062</v>
      </c>
      <c r="H56" s="431">
        <v>460196</v>
      </c>
      <c r="I56" s="431">
        <f>H56/tinh_mwg_15[[#This Row],[MWG]]/1000</f>
        <v>38.349666666666664</v>
      </c>
    </row>
    <row r="57" spans="1:9">
      <c r="A57" s="430">
        <v>56</v>
      </c>
      <c r="B57" s="430" t="s">
        <v>2087</v>
      </c>
      <c r="C57" s="430">
        <v>25</v>
      </c>
      <c r="G57" s="430" t="s">
        <v>2062</v>
      </c>
      <c r="H57" s="431">
        <v>73042</v>
      </c>
      <c r="I57" s="431">
        <f>H57/tinh_mwg_15[[#This Row],[MWG]]/1000</f>
        <v>2.9216799999999998</v>
      </c>
    </row>
    <row r="58" spans="1:9">
      <c r="A58" s="430">
        <v>57</v>
      </c>
      <c r="B58" s="430" t="s">
        <v>2088</v>
      </c>
      <c r="C58" s="430">
        <v>28</v>
      </c>
      <c r="G58" s="430" t="s">
        <v>2062</v>
      </c>
      <c r="H58" s="431">
        <v>1248415</v>
      </c>
      <c r="I58" s="431">
        <f>H58/tinh_mwg_15[[#This Row],[MWG]]/1000</f>
        <v>44.58625</v>
      </c>
    </row>
    <row r="59" spans="1:9">
      <c r="A59" s="430">
        <v>58</v>
      </c>
      <c r="B59" s="430" t="s">
        <v>2089</v>
      </c>
      <c r="C59" s="430">
        <v>24</v>
      </c>
      <c r="G59" s="430" t="s">
        <v>2062</v>
      </c>
      <c r="H59" s="431">
        <v>82103</v>
      </c>
      <c r="I59" s="431">
        <f>H59/tinh_mwg_15[[#This Row],[MWG]]/1000</f>
        <v>3.4209583333333335</v>
      </c>
    </row>
    <row r="60" spans="1:9">
      <c r="A60" s="430">
        <v>59</v>
      </c>
      <c r="B60" s="430" t="s">
        <v>1833</v>
      </c>
      <c r="C60" s="430">
        <v>59</v>
      </c>
      <c r="D60" s="430">
        <v>16</v>
      </c>
      <c r="G60" s="430" t="s">
        <v>2063</v>
      </c>
      <c r="H60" s="431">
        <v>1869322</v>
      </c>
      <c r="I60" s="431">
        <f>H60/tinh_mwg_15[[#This Row],[MWG]]/1000</f>
        <v>31.683423728813558</v>
      </c>
    </row>
    <row r="61" spans="1:9">
      <c r="A61" s="430">
        <v>60</v>
      </c>
      <c r="B61" s="430" t="s">
        <v>1834</v>
      </c>
      <c r="C61" s="430">
        <v>26</v>
      </c>
      <c r="G61" s="430" t="s">
        <v>2063</v>
      </c>
      <c r="H61" s="431">
        <v>622168</v>
      </c>
      <c r="I61" s="431">
        <f>H61/tinh_mwg_15[[#This Row],[MWG]]/1000</f>
        <v>23.92953846153846</v>
      </c>
    </row>
    <row r="62" spans="1:9">
      <c r="A62" s="430">
        <v>61</v>
      </c>
      <c r="B62" s="430" t="s">
        <v>1843</v>
      </c>
      <c r="C62" s="430">
        <v>35</v>
      </c>
      <c r="G62" s="430" t="s">
        <v>2063</v>
      </c>
      <c r="H62" s="431">
        <v>1513847</v>
      </c>
      <c r="I62" s="431">
        <f>H62/tinh_mwg_15[[#This Row],[MWG]]/1000</f>
        <v>43.252771428571435</v>
      </c>
    </row>
    <row r="63" spans="1:9">
      <c r="A63" s="430">
        <v>62</v>
      </c>
      <c r="B63" s="430" t="s">
        <v>2090</v>
      </c>
      <c r="C63" s="430">
        <v>16</v>
      </c>
      <c r="G63" s="430" t="s">
        <v>2063</v>
      </c>
      <c r="H63" s="431">
        <v>540438</v>
      </c>
      <c r="I63" s="431">
        <f>H63/tinh_mwg_15[[#This Row],[MWG]]/1000</f>
        <v>33.777374999999999</v>
      </c>
    </row>
    <row r="64" spans="1:9">
      <c r="A64" s="430">
        <v>63</v>
      </c>
      <c r="B64" s="430" t="s">
        <v>1841</v>
      </c>
      <c r="C64" s="430">
        <v>66</v>
      </c>
      <c r="G64" s="430" t="s">
        <v>2063</v>
      </c>
      <c r="H64" s="431">
        <v>1296606</v>
      </c>
      <c r="I64" s="431">
        <f>H64/tinh_mwg_15[[#This Row],[MWG]]/1000</f>
        <v>19.645545454545456</v>
      </c>
    </row>
    <row r="65" spans="3:6">
      <c r="C65" s="430">
        <f>SUM(C2:C64)</f>
        <v>3384</v>
      </c>
      <c r="D65"/>
      <c r="E65"/>
      <c r="F65"/>
    </row>
  </sheetData>
  <phoneticPr fontId="64" type="noConversion"/>
  <pageMargins left="0.7" right="0.7" top="0.75" bottom="0.75" header="0.3" footer="0.3"/>
  <pageSetup orientation="portrait" r:id="rId1"/>
  <drawing r:id="rId2"/>
  <tableParts count="1">
    <tablePart r:id="rId3"/>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36A734-2320-4F83-84B1-58AAF2C98408}">
  <dimension ref="A2:GV30"/>
  <sheetViews>
    <sheetView topLeftCell="G1" workbookViewId="0">
      <selection activeCell="G2" sqref="G2:G17"/>
    </sheetView>
  </sheetViews>
  <sheetFormatPr baseColWidth="10" defaultColWidth="13.33203125" defaultRowHeight="15" outlineLevelRow="1" outlineLevelCol="1"/>
  <cols>
    <col min="1" max="1" width="39.6640625" customWidth="1"/>
    <col min="2" max="133" width="13.33203125" customWidth="1" outlineLevel="1"/>
    <col min="148" max="148" width="13.33203125" customWidth="1"/>
  </cols>
  <sheetData>
    <row r="2" spans="1:204">
      <c r="A2" s="805" t="s">
        <v>2091</v>
      </c>
      <c r="B2" s="806" t="s">
        <v>2092</v>
      </c>
      <c r="C2" s="807"/>
      <c r="D2" s="807"/>
      <c r="E2" s="807"/>
      <c r="F2" s="807"/>
      <c r="G2" s="807"/>
      <c r="H2" s="807"/>
      <c r="I2" s="807"/>
      <c r="J2" s="807"/>
    </row>
    <row r="3" spans="1:204">
      <c r="A3" s="805" t="s">
        <v>2093</v>
      </c>
      <c r="B3" s="808">
        <v>45054.523049421296</v>
      </c>
      <c r="C3" s="809"/>
      <c r="D3" s="809"/>
      <c r="E3" s="809"/>
      <c r="F3" s="809"/>
      <c r="G3" s="809"/>
      <c r="H3" s="809"/>
      <c r="I3" s="809"/>
      <c r="J3" s="809"/>
      <c r="L3" s="810"/>
    </row>
    <row r="5" spans="1:204" ht="16">
      <c r="A5" s="811" t="s">
        <v>2094</v>
      </c>
      <c r="B5" s="811" t="s">
        <v>2095</v>
      </c>
      <c r="C5" s="811" t="s">
        <v>2096</v>
      </c>
      <c r="D5" s="811" t="s">
        <v>2097</v>
      </c>
      <c r="E5" s="811" t="s">
        <v>2098</v>
      </c>
      <c r="F5" s="811" t="s">
        <v>2099</v>
      </c>
      <c r="G5" s="811" t="s">
        <v>2100</v>
      </c>
      <c r="H5" s="811" t="s">
        <v>2101</v>
      </c>
      <c r="I5" s="811" t="s">
        <v>2102</v>
      </c>
      <c r="J5" s="811" t="s">
        <v>2103</v>
      </c>
      <c r="K5" s="811" t="s">
        <v>2104</v>
      </c>
      <c r="L5" s="811" t="s">
        <v>2105</v>
      </c>
      <c r="M5" s="811" t="s">
        <v>2106</v>
      </c>
      <c r="N5" s="811" t="s">
        <v>2107</v>
      </c>
      <c r="O5" s="811" t="s">
        <v>2108</v>
      </c>
      <c r="P5" s="811" t="s">
        <v>2109</v>
      </c>
      <c r="Q5" s="811" t="s">
        <v>2110</v>
      </c>
      <c r="R5" s="811" t="s">
        <v>2111</v>
      </c>
      <c r="S5" s="811" t="s">
        <v>2112</v>
      </c>
      <c r="T5" s="811" t="s">
        <v>2113</v>
      </c>
      <c r="U5" s="811" t="s">
        <v>2114</v>
      </c>
      <c r="V5" s="811" t="s">
        <v>2115</v>
      </c>
      <c r="W5" s="811" t="s">
        <v>2116</v>
      </c>
      <c r="X5" s="811" t="s">
        <v>2117</v>
      </c>
      <c r="Y5" s="811" t="s">
        <v>2118</v>
      </c>
      <c r="Z5" s="811" t="s">
        <v>2119</v>
      </c>
      <c r="AA5" s="811" t="s">
        <v>2120</v>
      </c>
      <c r="AB5" s="811" t="s">
        <v>2121</v>
      </c>
      <c r="AC5" s="811" t="s">
        <v>2122</v>
      </c>
      <c r="AD5" s="811" t="s">
        <v>2123</v>
      </c>
      <c r="AE5" s="811" t="s">
        <v>2124</v>
      </c>
      <c r="AF5" s="811" t="s">
        <v>2125</v>
      </c>
      <c r="AG5" s="811" t="s">
        <v>2126</v>
      </c>
      <c r="AH5" s="811" t="s">
        <v>2127</v>
      </c>
      <c r="AI5" s="811" t="s">
        <v>2128</v>
      </c>
      <c r="AJ5" s="811" t="s">
        <v>2129</v>
      </c>
      <c r="AK5" s="811" t="s">
        <v>2130</v>
      </c>
      <c r="AL5" s="811" t="s">
        <v>2131</v>
      </c>
      <c r="AM5" s="811" t="s">
        <v>2132</v>
      </c>
      <c r="AN5" s="811" t="s">
        <v>2133</v>
      </c>
      <c r="AO5" s="811" t="s">
        <v>2134</v>
      </c>
      <c r="AP5" s="811" t="s">
        <v>2135</v>
      </c>
      <c r="AQ5" s="811" t="s">
        <v>2136</v>
      </c>
      <c r="AR5" s="811" t="s">
        <v>2137</v>
      </c>
      <c r="AS5" s="811" t="s">
        <v>2138</v>
      </c>
      <c r="AT5" s="811" t="s">
        <v>2139</v>
      </c>
      <c r="AU5" s="811" t="s">
        <v>2140</v>
      </c>
      <c r="AV5" s="811" t="s">
        <v>2141</v>
      </c>
      <c r="AW5" s="811" t="s">
        <v>2142</v>
      </c>
      <c r="AX5" s="811" t="s">
        <v>2143</v>
      </c>
      <c r="AY5" s="811" t="s">
        <v>2144</v>
      </c>
      <c r="AZ5" s="811" t="s">
        <v>2145</v>
      </c>
      <c r="BA5" s="811" t="s">
        <v>2146</v>
      </c>
      <c r="BB5" s="811" t="s">
        <v>2147</v>
      </c>
      <c r="BC5" s="811" t="s">
        <v>2148</v>
      </c>
      <c r="BD5" s="811" t="s">
        <v>2149</v>
      </c>
      <c r="BE5" s="811" t="s">
        <v>2150</v>
      </c>
      <c r="BF5" s="811" t="s">
        <v>2151</v>
      </c>
      <c r="BG5" s="811" t="s">
        <v>2152</v>
      </c>
      <c r="BH5" s="811" t="s">
        <v>2153</v>
      </c>
      <c r="BI5" s="811" t="s">
        <v>2154</v>
      </c>
      <c r="BJ5" s="811" t="s">
        <v>2155</v>
      </c>
      <c r="BK5" s="811" t="s">
        <v>2156</v>
      </c>
      <c r="BL5" s="811" t="s">
        <v>2157</v>
      </c>
      <c r="BM5" s="811" t="s">
        <v>2158</v>
      </c>
      <c r="BN5" s="811" t="s">
        <v>2159</v>
      </c>
      <c r="BO5" s="811" t="s">
        <v>2160</v>
      </c>
      <c r="BP5" s="811" t="s">
        <v>2161</v>
      </c>
      <c r="BQ5" s="811" t="s">
        <v>2162</v>
      </c>
      <c r="BR5" s="811" t="s">
        <v>2163</v>
      </c>
      <c r="BS5" s="811" t="s">
        <v>2164</v>
      </c>
      <c r="BT5" s="811" t="s">
        <v>2165</v>
      </c>
      <c r="BU5" s="811" t="s">
        <v>2166</v>
      </c>
      <c r="BV5" s="811" t="s">
        <v>2167</v>
      </c>
      <c r="BW5" s="811" t="s">
        <v>2168</v>
      </c>
      <c r="BX5" s="811" t="s">
        <v>2169</v>
      </c>
      <c r="BY5" s="811" t="s">
        <v>2170</v>
      </c>
      <c r="BZ5" s="811" t="s">
        <v>2171</v>
      </c>
      <c r="CA5" s="811" t="s">
        <v>2172</v>
      </c>
      <c r="CB5" s="811" t="s">
        <v>2173</v>
      </c>
      <c r="CC5" s="811" t="s">
        <v>2174</v>
      </c>
      <c r="CD5" s="811" t="s">
        <v>2175</v>
      </c>
      <c r="CE5" s="811" t="s">
        <v>2176</v>
      </c>
      <c r="CF5" s="811" t="s">
        <v>2177</v>
      </c>
      <c r="CG5" s="811" t="s">
        <v>2178</v>
      </c>
      <c r="CH5" s="811" t="s">
        <v>2179</v>
      </c>
      <c r="CI5" s="811" t="s">
        <v>2180</v>
      </c>
      <c r="CJ5" s="811" t="s">
        <v>2181</v>
      </c>
      <c r="CK5" s="811" t="s">
        <v>2182</v>
      </c>
      <c r="CL5" s="811" t="s">
        <v>2183</v>
      </c>
      <c r="CM5" s="811" t="s">
        <v>2184</v>
      </c>
      <c r="CN5" s="811" t="s">
        <v>2185</v>
      </c>
      <c r="CO5" s="811" t="s">
        <v>2186</v>
      </c>
      <c r="CP5" s="811" t="s">
        <v>2187</v>
      </c>
      <c r="CQ5" s="811" t="s">
        <v>2188</v>
      </c>
      <c r="CR5" s="811" t="s">
        <v>2189</v>
      </c>
      <c r="CS5" s="811" t="s">
        <v>2190</v>
      </c>
      <c r="CT5" s="811" t="s">
        <v>2191</v>
      </c>
      <c r="CU5" s="811" t="s">
        <v>2192</v>
      </c>
      <c r="CV5" s="811" t="s">
        <v>2193</v>
      </c>
      <c r="CW5" s="811" t="s">
        <v>2194</v>
      </c>
      <c r="CX5" s="811" t="s">
        <v>2195</v>
      </c>
      <c r="CY5" s="811" t="s">
        <v>2196</v>
      </c>
      <c r="CZ5" s="811" t="s">
        <v>2197</v>
      </c>
      <c r="DA5" s="811" t="s">
        <v>2198</v>
      </c>
      <c r="DB5" s="811" t="s">
        <v>2199</v>
      </c>
      <c r="DC5" s="811" t="s">
        <v>2200</v>
      </c>
      <c r="DD5" s="811" t="s">
        <v>2201</v>
      </c>
      <c r="DE5" s="811" t="s">
        <v>2202</v>
      </c>
      <c r="DF5" s="811" t="s">
        <v>2203</v>
      </c>
      <c r="DG5" s="811" t="s">
        <v>2204</v>
      </c>
      <c r="DH5" s="811" t="s">
        <v>2205</v>
      </c>
      <c r="DI5" s="811" t="s">
        <v>2206</v>
      </c>
      <c r="DJ5" s="811" t="s">
        <v>2207</v>
      </c>
      <c r="DK5" s="811" t="s">
        <v>2208</v>
      </c>
      <c r="DL5" s="811" t="s">
        <v>2209</v>
      </c>
      <c r="DM5" s="811" t="s">
        <v>2210</v>
      </c>
      <c r="DN5" s="811" t="s">
        <v>2211</v>
      </c>
      <c r="DO5" s="811" t="s">
        <v>2212</v>
      </c>
      <c r="DP5" s="811" t="s">
        <v>2213</v>
      </c>
      <c r="DQ5" s="811" t="s">
        <v>2214</v>
      </c>
      <c r="DR5" s="811" t="s">
        <v>2215</v>
      </c>
      <c r="DS5" s="811" t="s">
        <v>1290</v>
      </c>
      <c r="DT5" s="811" t="s">
        <v>1292</v>
      </c>
      <c r="DU5" s="811" t="s">
        <v>1294</v>
      </c>
      <c r="DV5" s="811" t="s">
        <v>1296</v>
      </c>
      <c r="DW5" s="811" t="s">
        <v>1298</v>
      </c>
      <c r="DX5" s="811" t="s">
        <v>2216</v>
      </c>
      <c r="DY5" s="811" t="s">
        <v>1300</v>
      </c>
      <c r="DZ5" s="811" t="s">
        <v>1302</v>
      </c>
      <c r="EA5" s="811" t="s">
        <v>2217</v>
      </c>
      <c r="EB5" s="811" t="s">
        <v>2218</v>
      </c>
      <c r="EC5" s="811" t="s">
        <v>1304</v>
      </c>
      <c r="ED5" s="811" t="s">
        <v>1307</v>
      </c>
      <c r="EE5" s="811" t="s">
        <v>1308</v>
      </c>
      <c r="EF5" s="811" t="s">
        <v>1310</v>
      </c>
      <c r="EG5" s="811" t="s">
        <v>1311</v>
      </c>
      <c r="EH5" s="811" t="s">
        <v>1312</v>
      </c>
      <c r="EI5" s="811" t="s">
        <v>1313</v>
      </c>
      <c r="EJ5" s="811" t="s">
        <v>1315</v>
      </c>
      <c r="EK5" s="811" t="s">
        <v>1317</v>
      </c>
      <c r="EL5" s="811" t="s">
        <v>1319</v>
      </c>
      <c r="EM5" s="811" t="s">
        <v>1320</v>
      </c>
      <c r="EN5" s="811" t="s">
        <v>1321</v>
      </c>
      <c r="EO5" s="811" t="s">
        <v>1322</v>
      </c>
      <c r="EP5" s="811" t="s">
        <v>1324</v>
      </c>
      <c r="EQ5" s="811" t="s">
        <v>1325</v>
      </c>
      <c r="ER5" s="811" t="s">
        <v>1327</v>
      </c>
      <c r="ES5" s="811" t="s">
        <v>1328</v>
      </c>
      <c r="ET5" s="811" t="s">
        <v>1329</v>
      </c>
      <c r="EU5" s="811" t="s">
        <v>1331</v>
      </c>
      <c r="EV5" s="811" t="s">
        <v>1333</v>
      </c>
      <c r="EW5" s="811" t="s">
        <v>1335</v>
      </c>
      <c r="EX5" s="811" t="s">
        <v>1336</v>
      </c>
      <c r="EY5" s="811" t="s">
        <v>1337</v>
      </c>
      <c r="EZ5" s="811" t="s">
        <v>1339</v>
      </c>
      <c r="FA5" s="811" t="s">
        <v>1341</v>
      </c>
      <c r="FB5" s="811" t="s">
        <v>1343</v>
      </c>
      <c r="FC5" s="811" t="s">
        <v>1345</v>
      </c>
      <c r="FD5" s="811" t="s">
        <v>1346</v>
      </c>
      <c r="FE5" s="811" t="s">
        <v>1347</v>
      </c>
      <c r="FF5" s="811" t="s">
        <v>1349</v>
      </c>
      <c r="FG5" s="811" t="s">
        <v>1350</v>
      </c>
      <c r="FH5" s="811" t="s">
        <v>1351</v>
      </c>
      <c r="FI5" s="811" t="s">
        <v>1352</v>
      </c>
      <c r="FJ5" s="811" t="s">
        <v>1353</v>
      </c>
      <c r="FK5" s="811" t="s">
        <v>1355</v>
      </c>
      <c r="FL5" s="811" t="s">
        <v>1357</v>
      </c>
      <c r="FM5" s="811" t="s">
        <v>1359</v>
      </c>
      <c r="FN5" s="811" t="s">
        <v>1360</v>
      </c>
      <c r="FO5" s="811" t="s">
        <v>1361</v>
      </c>
      <c r="FP5" s="811" t="s">
        <v>1363</v>
      </c>
      <c r="FQ5" s="811" t="s">
        <v>1365</v>
      </c>
      <c r="FR5" s="811" t="s">
        <v>2219</v>
      </c>
      <c r="FS5" s="811" t="s">
        <v>2220</v>
      </c>
      <c r="FT5" s="811" t="s">
        <v>2221</v>
      </c>
      <c r="FU5" s="811" t="s">
        <v>2222</v>
      </c>
      <c r="FV5" s="811" t="s">
        <v>2223</v>
      </c>
      <c r="FW5" s="811" t="s">
        <v>2224</v>
      </c>
      <c r="FX5" s="811" t="s">
        <v>2225</v>
      </c>
      <c r="FY5" s="811" t="s">
        <v>2226</v>
      </c>
      <c r="FZ5" s="811" t="s">
        <v>2227</v>
      </c>
      <c r="GA5" s="811" t="s">
        <v>2228</v>
      </c>
      <c r="GB5" s="811" t="s">
        <v>2229</v>
      </c>
      <c r="GC5" s="811" t="s">
        <v>2230</v>
      </c>
      <c r="GD5" s="811" t="s">
        <v>2231</v>
      </c>
      <c r="GE5" s="811" t="s">
        <v>2232</v>
      </c>
      <c r="GF5" s="811" t="s">
        <v>2233</v>
      </c>
      <c r="GG5" s="811" t="s">
        <v>2234</v>
      </c>
      <c r="GH5" s="811" t="s">
        <v>2235</v>
      </c>
      <c r="GI5" s="811" t="s">
        <v>2236</v>
      </c>
      <c r="GJ5" s="811" t="s">
        <v>2237</v>
      </c>
      <c r="GK5" s="811" t="s">
        <v>2238</v>
      </c>
      <c r="GL5" s="811" t="s">
        <v>2239</v>
      </c>
      <c r="GM5" s="811" t="s">
        <v>2240</v>
      </c>
      <c r="GN5" s="811" t="s">
        <v>2241</v>
      </c>
      <c r="GO5" s="811" t="s">
        <v>2242</v>
      </c>
      <c r="GP5" s="811" t="s">
        <v>2243</v>
      </c>
      <c r="GQ5" s="811" t="s">
        <v>2244</v>
      </c>
      <c r="GR5" s="811" t="s">
        <v>2245</v>
      </c>
      <c r="GS5" s="811" t="s">
        <v>2246</v>
      </c>
      <c r="GT5" s="811" t="s">
        <v>2247</v>
      </c>
      <c r="GU5" s="811" t="s">
        <v>2248</v>
      </c>
      <c r="GV5" s="811" t="s">
        <v>2249</v>
      </c>
    </row>
    <row r="6" spans="1:204">
      <c r="A6" s="812" t="s">
        <v>2250</v>
      </c>
      <c r="B6" s="811"/>
      <c r="C6" s="811"/>
      <c r="D6" s="811"/>
      <c r="E6" s="811"/>
      <c r="F6" s="811"/>
      <c r="G6" s="811"/>
      <c r="H6" s="811"/>
      <c r="I6" s="811"/>
      <c r="J6" s="811"/>
      <c r="K6" s="811"/>
      <c r="L6" s="811"/>
      <c r="M6" s="811"/>
      <c r="N6" s="811"/>
      <c r="O6" s="811"/>
      <c r="P6" s="811"/>
      <c r="Q6" s="811"/>
      <c r="R6" s="811"/>
      <c r="S6" s="811"/>
      <c r="T6" s="811"/>
      <c r="U6" s="811"/>
      <c r="V6" s="811"/>
      <c r="W6" s="811"/>
      <c r="X6" s="811"/>
      <c r="Y6" s="811"/>
      <c r="Z6" s="811"/>
      <c r="AA6" s="811"/>
      <c r="AB6" s="811"/>
      <c r="AC6" s="811"/>
      <c r="AD6" s="811"/>
      <c r="AE6" s="811"/>
      <c r="AF6" s="811"/>
      <c r="AG6" s="811"/>
      <c r="AH6" s="811"/>
      <c r="AI6" s="811"/>
      <c r="AJ6" s="811"/>
      <c r="AK6" s="811"/>
      <c r="AL6" s="811"/>
      <c r="AM6" s="811"/>
      <c r="AN6" s="811"/>
      <c r="AO6" s="811"/>
      <c r="AP6" s="811"/>
      <c r="AQ6" s="811"/>
      <c r="AR6" s="811"/>
      <c r="AS6" s="811"/>
      <c r="AT6" s="811"/>
      <c r="AU6" s="811"/>
      <c r="AV6" s="811"/>
      <c r="AW6" s="811"/>
      <c r="AX6" s="811"/>
      <c r="AY6" s="811"/>
      <c r="AZ6" s="811"/>
      <c r="BA6" s="811"/>
      <c r="BB6" s="811"/>
      <c r="BC6" s="811"/>
      <c r="BD6" s="811"/>
      <c r="BE6" s="811"/>
      <c r="BF6" s="811"/>
      <c r="BG6" s="811"/>
      <c r="BH6" s="811"/>
      <c r="BI6" s="811"/>
      <c r="BJ6" s="811"/>
      <c r="BK6" s="811"/>
      <c r="BL6" s="811"/>
      <c r="BM6" s="811"/>
      <c r="BN6" s="811"/>
      <c r="BO6" s="811"/>
      <c r="BP6" s="811"/>
      <c r="BQ6" s="811"/>
      <c r="BR6" s="811"/>
      <c r="BS6" s="811"/>
      <c r="BT6" s="811"/>
      <c r="BU6" s="811"/>
      <c r="BV6" s="811"/>
      <c r="BW6" s="811"/>
      <c r="BX6" s="811"/>
      <c r="BY6" s="811"/>
      <c r="BZ6" s="811"/>
      <c r="CA6" s="811"/>
      <c r="CB6" s="811"/>
      <c r="CC6" s="811"/>
      <c r="CD6" s="811"/>
      <c r="CE6" s="811"/>
      <c r="CF6" s="811"/>
      <c r="CG6" s="811"/>
      <c r="CH6" s="811"/>
      <c r="CI6" s="811"/>
      <c r="CJ6" s="811"/>
      <c r="CK6" s="811"/>
      <c r="CL6" s="811"/>
      <c r="CM6" s="811"/>
      <c r="CN6" s="811"/>
      <c r="CO6" s="811"/>
      <c r="CP6" s="811"/>
      <c r="CQ6" s="811"/>
      <c r="CR6" s="811"/>
      <c r="CS6" s="811"/>
      <c r="CT6" s="811"/>
      <c r="CU6" s="811"/>
      <c r="CV6" s="811"/>
      <c r="CW6" s="811"/>
      <c r="CX6" s="811"/>
      <c r="CY6" s="811"/>
      <c r="CZ6" s="811"/>
      <c r="DA6" s="811"/>
      <c r="DB6" s="811"/>
      <c r="DC6" s="811"/>
      <c r="DD6" s="811"/>
      <c r="DE6" s="811"/>
      <c r="DF6" s="811"/>
      <c r="DG6" s="811"/>
      <c r="DH6" s="811"/>
      <c r="DI6" s="811"/>
      <c r="DJ6" s="811"/>
      <c r="DK6" s="811"/>
      <c r="DL6" s="811"/>
      <c r="DM6" s="811"/>
      <c r="DN6" s="811"/>
      <c r="DO6" s="811"/>
      <c r="DP6" s="811"/>
      <c r="DQ6" s="811"/>
      <c r="DR6" s="811"/>
      <c r="DS6" s="811"/>
      <c r="DT6" s="811"/>
      <c r="DU6" s="811"/>
      <c r="DV6" s="811"/>
      <c r="DW6" s="811"/>
      <c r="DX6" s="811"/>
      <c r="DY6" s="811"/>
      <c r="DZ6" s="811"/>
      <c r="EA6" s="811"/>
      <c r="EB6" s="811"/>
      <c r="EC6" s="811"/>
      <c r="ED6" s="811"/>
      <c r="EE6" s="811"/>
      <c r="EF6" s="811"/>
      <c r="EG6" s="811"/>
      <c r="EH6" s="811"/>
      <c r="EI6" s="811"/>
      <c r="EJ6" s="811"/>
      <c r="EK6" s="811"/>
      <c r="EL6" s="811"/>
      <c r="EM6" s="811"/>
      <c r="EN6" s="811"/>
      <c r="EO6" s="811"/>
      <c r="EP6" s="811"/>
      <c r="EQ6" s="811"/>
      <c r="ER6" s="811"/>
      <c r="ES6" s="811"/>
      <c r="ET6" s="811"/>
      <c r="EU6" s="811"/>
      <c r="EV6" s="811"/>
      <c r="EW6" s="811"/>
      <c r="EX6" s="811"/>
      <c r="EY6" s="811"/>
      <c r="EZ6" s="811"/>
      <c r="FA6" s="811"/>
      <c r="FB6" s="811"/>
      <c r="FC6" s="811"/>
      <c r="FD6" s="811"/>
      <c r="FE6" s="811"/>
      <c r="FF6" s="811"/>
      <c r="FG6" s="811"/>
      <c r="FH6" s="811"/>
      <c r="FI6" s="811"/>
      <c r="FJ6" s="811"/>
      <c r="FK6" s="811"/>
      <c r="FL6" s="811"/>
      <c r="FM6" s="811"/>
      <c r="FN6" s="811"/>
      <c r="FO6" s="811"/>
      <c r="FP6" s="821"/>
      <c r="FQ6" s="821"/>
      <c r="FR6" s="821"/>
      <c r="FS6" s="821"/>
      <c r="FT6" s="821"/>
      <c r="FU6" s="821"/>
      <c r="FV6" s="821"/>
      <c r="FW6" s="821"/>
      <c r="FX6" s="821"/>
      <c r="FY6" s="821"/>
      <c r="FZ6" s="821"/>
      <c r="GA6" s="821"/>
      <c r="GB6" s="821"/>
      <c r="GC6" s="821"/>
      <c r="GD6" s="821"/>
      <c r="GE6" s="821"/>
      <c r="GF6" s="821"/>
      <c r="GG6" s="821"/>
      <c r="GH6" s="821"/>
      <c r="GI6" s="821"/>
      <c r="GJ6" s="821"/>
      <c r="GK6" s="821"/>
      <c r="GL6" s="821"/>
      <c r="GM6" s="821"/>
      <c r="GN6" s="821"/>
      <c r="GO6" s="821"/>
      <c r="GP6" s="821"/>
      <c r="GQ6" s="821"/>
      <c r="GR6" s="821"/>
      <c r="GS6" s="821"/>
      <c r="GT6" s="821"/>
      <c r="GU6" s="821"/>
      <c r="GV6" s="821"/>
    </row>
    <row r="7" spans="1:204">
      <c r="A7" s="812" t="s">
        <v>2251</v>
      </c>
      <c r="B7" s="813"/>
      <c r="C7" s="813"/>
      <c r="D7" s="813"/>
      <c r="E7" s="813"/>
      <c r="F7" s="813"/>
      <c r="G7" s="813"/>
      <c r="H7" s="813"/>
      <c r="I7" s="813"/>
      <c r="J7" s="813"/>
      <c r="K7" s="813"/>
      <c r="L7" s="813"/>
      <c r="M7" s="813"/>
      <c r="N7" s="813"/>
      <c r="O7" s="813"/>
      <c r="P7" s="813"/>
      <c r="Q7" s="813"/>
      <c r="R7" s="813"/>
      <c r="S7" s="813"/>
      <c r="T7" s="813"/>
      <c r="U7" s="813"/>
      <c r="V7" s="813"/>
      <c r="W7" s="813"/>
      <c r="X7" s="813"/>
      <c r="Y7" s="813"/>
      <c r="Z7" s="813"/>
      <c r="AA7" s="813"/>
      <c r="AB7" s="813"/>
      <c r="AC7" s="813"/>
      <c r="AD7" s="813"/>
      <c r="AE7" s="813"/>
      <c r="AF7" s="813"/>
      <c r="AG7" s="813"/>
      <c r="AH7" s="813"/>
      <c r="AI7" s="813"/>
      <c r="AJ7" s="813"/>
      <c r="AK7" s="813"/>
      <c r="AL7" s="813"/>
      <c r="AM7" s="813"/>
      <c r="AN7" s="813"/>
      <c r="AO7" s="813"/>
      <c r="AP7" s="813"/>
      <c r="AQ7" s="813"/>
      <c r="AR7" s="813"/>
      <c r="AS7" s="813"/>
      <c r="AT7" s="813"/>
      <c r="AU7" s="813"/>
      <c r="AV7" s="813"/>
      <c r="AW7" s="813"/>
      <c r="AX7" s="813"/>
      <c r="AY7" s="813"/>
      <c r="AZ7" s="813"/>
      <c r="BA7" s="813"/>
      <c r="BB7" s="813"/>
      <c r="BC7" s="813"/>
      <c r="BD7" s="813"/>
      <c r="BE7" s="813"/>
      <c r="BF7" s="813"/>
      <c r="BG7" s="813"/>
      <c r="BH7" s="813"/>
      <c r="BI7" s="813"/>
      <c r="BJ7" s="813"/>
      <c r="BK7" s="813"/>
      <c r="BL7" s="813"/>
      <c r="BM7" s="813"/>
      <c r="BN7" s="813"/>
      <c r="BO7" s="813"/>
      <c r="BP7" s="813"/>
      <c r="BQ7" s="813"/>
      <c r="BR7" s="813"/>
      <c r="BS7" s="813"/>
      <c r="BT7" s="813"/>
      <c r="BU7" s="813"/>
      <c r="BV7" s="813"/>
      <c r="BW7" s="813"/>
      <c r="BX7" s="813"/>
      <c r="BY7" s="813"/>
      <c r="BZ7" s="813"/>
      <c r="CA7" s="813"/>
      <c r="CB7" s="813"/>
      <c r="CC7" s="813"/>
      <c r="CD7" s="813"/>
      <c r="CE7" s="813"/>
      <c r="CF7" s="813"/>
      <c r="CG7" s="813"/>
      <c r="CH7" s="813"/>
      <c r="CI7" s="813"/>
      <c r="CJ7" s="813"/>
      <c r="CK7" s="813"/>
      <c r="CL7" s="813"/>
      <c r="CM7" s="813"/>
      <c r="CN7" s="813"/>
      <c r="CO7" s="813"/>
      <c r="CP7" s="813"/>
      <c r="CQ7" s="813"/>
      <c r="CR7" s="813"/>
      <c r="CS7" s="813"/>
      <c r="CT7" s="813"/>
      <c r="CU7" s="813"/>
      <c r="CV7" s="813"/>
      <c r="CW7" s="813"/>
      <c r="CX7" s="813"/>
      <c r="CY7" s="813"/>
      <c r="CZ7" s="813"/>
      <c r="DA7" s="813"/>
      <c r="DB7" s="813"/>
      <c r="DC7" s="813"/>
      <c r="DD7" s="813"/>
      <c r="DE7" s="813"/>
      <c r="DF7" s="813"/>
      <c r="DG7" s="813"/>
      <c r="DH7" s="813"/>
      <c r="DI7" s="813"/>
      <c r="DJ7" s="813"/>
      <c r="DK7" s="813"/>
      <c r="DL7" s="813"/>
      <c r="DM7" s="813"/>
      <c r="DN7" s="813"/>
      <c r="DO7" s="813"/>
      <c r="DP7" s="813"/>
      <c r="DQ7" s="813"/>
      <c r="DR7" s="813"/>
      <c r="DS7" s="813"/>
      <c r="DT7" s="813"/>
      <c r="DU7" s="813"/>
      <c r="DV7" s="813"/>
      <c r="DW7" s="813"/>
      <c r="DX7" s="813"/>
      <c r="DY7" s="813"/>
      <c r="DZ7" s="813"/>
      <c r="EA7" s="813"/>
      <c r="EB7" s="813"/>
      <c r="EC7" s="813"/>
      <c r="ED7" s="814">
        <f>AVERAGE(ED8:ED9)</f>
        <v>7.0500000000000007E-2</v>
      </c>
      <c r="EE7" s="814">
        <f t="shared" ref="EE7:FO7" si="0">AVERAGE(EE8:EE9)</f>
        <v>7.0500000000000007E-2</v>
      </c>
      <c r="EF7" s="814">
        <f t="shared" si="0"/>
        <v>7.0199999999999999E-2</v>
      </c>
      <c r="EG7" s="814">
        <f t="shared" si="0"/>
        <v>7.0000000000000007E-2</v>
      </c>
      <c r="EH7" s="814">
        <f t="shared" si="0"/>
        <v>7.0000000000000007E-2</v>
      </c>
      <c r="EI7" s="814">
        <f t="shared" si="0"/>
        <v>6.93E-2</v>
      </c>
      <c r="EJ7" s="814">
        <f t="shared" si="0"/>
        <v>6.6500000000000004E-2</v>
      </c>
      <c r="EK7" s="814">
        <f t="shared" si="0"/>
        <v>6.6000000000000003E-2</v>
      </c>
      <c r="EL7" s="814">
        <f t="shared" si="0"/>
        <v>6.5374999999999989E-2</v>
      </c>
      <c r="EM7" s="814">
        <f t="shared" si="0"/>
        <v>6.5000000000000002E-2</v>
      </c>
      <c r="EN7" s="814">
        <f t="shared" si="0"/>
        <v>6.3500000000000001E-2</v>
      </c>
      <c r="EO7" s="814">
        <f t="shared" si="0"/>
        <v>6.2E-2</v>
      </c>
      <c r="EP7" s="814">
        <f t="shared" si="0"/>
        <v>6.1499999999999999E-2</v>
      </c>
      <c r="EQ7" s="814">
        <f t="shared" si="0"/>
        <v>6.1499999999999999E-2</v>
      </c>
      <c r="ER7" s="814">
        <f t="shared" si="0"/>
        <v>6.1499999999999999E-2</v>
      </c>
      <c r="ES7" s="814">
        <f t="shared" si="0"/>
        <v>6.1499999999999999E-2</v>
      </c>
      <c r="ET7" s="814">
        <f t="shared" si="0"/>
        <v>6.1499999999999999E-2</v>
      </c>
      <c r="EU7" s="814">
        <f t="shared" si="0"/>
        <v>6.0999999999999999E-2</v>
      </c>
      <c r="EV7" s="814">
        <f t="shared" si="0"/>
        <v>6.1499999999999999E-2</v>
      </c>
      <c r="EW7" s="814">
        <f t="shared" si="0"/>
        <v>6.0499999999999998E-2</v>
      </c>
      <c r="EX7" s="814">
        <f t="shared" si="0"/>
        <v>6.0499999999999998E-2</v>
      </c>
      <c r="EY7" s="814">
        <f t="shared" si="0"/>
        <v>5.9499999999999997E-2</v>
      </c>
      <c r="EZ7" s="814">
        <f t="shared" si="0"/>
        <v>5.8999999999999997E-2</v>
      </c>
      <c r="FA7" s="814">
        <f t="shared" si="0"/>
        <v>5.9499999999999997E-2</v>
      </c>
      <c r="FB7" s="814">
        <f t="shared" si="0"/>
        <v>5.8999999999999997E-2</v>
      </c>
      <c r="FC7" s="814">
        <f t="shared" si="0"/>
        <v>5.8999999999999997E-2</v>
      </c>
      <c r="FD7" s="814">
        <f t="shared" si="0"/>
        <v>0.06</v>
      </c>
      <c r="FE7" s="814">
        <f t="shared" si="0"/>
        <v>5.9499999999999997E-2</v>
      </c>
      <c r="FF7" s="814">
        <f t="shared" si="0"/>
        <v>0.06</v>
      </c>
      <c r="FG7" s="814">
        <f t="shared" si="0"/>
        <v>0.06</v>
      </c>
      <c r="FH7" s="814">
        <f t="shared" si="0"/>
        <v>6.0499999999999998E-2</v>
      </c>
      <c r="FI7" s="814">
        <f t="shared" si="0"/>
        <v>6.0999999999999999E-2</v>
      </c>
      <c r="FJ7" s="814">
        <f t="shared" si="0"/>
        <v>6.2E-2</v>
      </c>
      <c r="FK7" s="814">
        <f t="shared" si="0"/>
        <v>6.3500000000000001E-2</v>
      </c>
      <c r="FL7" s="814">
        <f t="shared" si="0"/>
        <v>6.7000000000000004E-2</v>
      </c>
      <c r="FM7" s="814">
        <f t="shared" si="0"/>
        <v>6.9000000000000006E-2</v>
      </c>
      <c r="FN7" s="814">
        <f t="shared" si="0"/>
        <v>7.0500000000000007E-2</v>
      </c>
      <c r="FO7" s="814">
        <f t="shared" si="0"/>
        <v>7.3000000000000009E-2</v>
      </c>
    </row>
    <row r="8" spans="1:204" hidden="1" outlineLevel="1">
      <c r="A8" s="813" t="s">
        <v>2252</v>
      </c>
      <c r="B8" s="814">
        <v>0.13020000000000001</v>
      </c>
      <c r="C8" s="814">
        <v>0.16078000000000001</v>
      </c>
      <c r="D8" s="814">
        <v>0.17299999999999999</v>
      </c>
      <c r="E8" s="814">
        <v>0.17372000000000001</v>
      </c>
      <c r="F8" s="814">
        <v>0.17219999999999999</v>
      </c>
      <c r="G8" s="814">
        <v>0.15134</v>
      </c>
      <c r="H8" s="814">
        <v>0.11849999999999999</v>
      </c>
      <c r="I8" s="814">
        <v>9.1524999999999995E-2</v>
      </c>
      <c r="J8" s="814">
        <v>7.5366669999999997E-2</v>
      </c>
      <c r="K8" s="814">
        <v>7.3700000000000002E-2</v>
      </c>
      <c r="L8" s="814">
        <v>7.5700000000000003E-2</v>
      </c>
      <c r="M8" s="814">
        <v>7.7100000000000002E-2</v>
      </c>
      <c r="N8" s="814">
        <v>7.85E-2</v>
      </c>
      <c r="O8" s="814">
        <v>7.9799999999999996E-2</v>
      </c>
      <c r="P8" s="814">
        <v>8.1799999999999998E-2</v>
      </c>
      <c r="Q8" s="814">
        <v>8.4250000000000005E-2</v>
      </c>
      <c r="R8" s="814">
        <v>8.5250000000000006E-2</v>
      </c>
      <c r="S8" s="814">
        <v>8.6800000000000002E-2</v>
      </c>
      <c r="T8" s="814">
        <v>9.425E-2</v>
      </c>
      <c r="U8" s="814">
        <v>0.104</v>
      </c>
      <c r="V8" s="814">
        <v>0.104</v>
      </c>
      <c r="W8" s="814">
        <v>0.104</v>
      </c>
      <c r="X8" s="814">
        <v>0.104</v>
      </c>
      <c r="Y8" s="814">
        <v>0.10879999999999999</v>
      </c>
      <c r="Z8" s="814">
        <v>0.11</v>
      </c>
      <c r="AA8" s="814">
        <v>0.105</v>
      </c>
      <c r="AB8" s="814">
        <v>0.105</v>
      </c>
      <c r="AC8" s="814">
        <v>0.105</v>
      </c>
      <c r="AD8" s="814">
        <v>0.105</v>
      </c>
      <c r="AE8" s="814">
        <v>0.105</v>
      </c>
      <c r="AF8" s="814">
        <v>0.12</v>
      </c>
      <c r="AG8" s="814">
        <v>0.13125000000000001</v>
      </c>
      <c r="AH8" s="814">
        <v>0.13500000000000001</v>
      </c>
      <c r="AI8" s="814">
        <v>0.13500000000000001</v>
      </c>
      <c r="AJ8" s="814">
        <v>0.13500000000000001</v>
      </c>
      <c r="AK8" s="814">
        <v>0.13500000000000001</v>
      </c>
      <c r="AL8" s="814">
        <v>0.13500000000000001</v>
      </c>
      <c r="AM8" s="814">
        <v>0.13625000000000001</v>
      </c>
      <c r="AN8" s="814">
        <v>0.14000000000000001</v>
      </c>
      <c r="AO8" s="814">
        <v>0.14000000000000001</v>
      </c>
      <c r="AP8" s="814">
        <v>0.14000000000000001</v>
      </c>
      <c r="AQ8" s="814">
        <v>0.14000000000000001</v>
      </c>
      <c r="AR8" s="814">
        <v>0.14000000000000001</v>
      </c>
      <c r="AS8" s="814">
        <v>0.14000000000000001</v>
      </c>
      <c r="AT8" s="814">
        <v>0.14000000000000001</v>
      </c>
      <c r="AU8" s="814">
        <v>0.14000000000000001</v>
      </c>
      <c r="AV8" s="814">
        <v>0.11625000000000001</v>
      </c>
      <c r="AW8" s="814">
        <v>0.115</v>
      </c>
      <c r="AX8" s="814">
        <v>0.108</v>
      </c>
      <c r="AY8" s="814">
        <v>0.09</v>
      </c>
      <c r="AZ8" s="814">
        <v>0.1</v>
      </c>
      <c r="BA8" s="814">
        <v>0.1</v>
      </c>
      <c r="BB8" s="814">
        <v>0.1</v>
      </c>
      <c r="BC8" s="814">
        <v>0.11</v>
      </c>
      <c r="BD8" s="814">
        <v>0.1</v>
      </c>
      <c r="BE8" s="814">
        <v>0.1</v>
      </c>
      <c r="BF8" s="814">
        <v>0.1</v>
      </c>
      <c r="BG8" s="814">
        <v>0.1</v>
      </c>
      <c r="BH8" s="814">
        <v>9.7000000000000003E-2</v>
      </c>
      <c r="BI8" s="814">
        <v>9.5000000000000001E-2</v>
      </c>
      <c r="BJ8" s="814">
        <v>0.08</v>
      </c>
      <c r="BK8" s="814">
        <v>0.08</v>
      </c>
      <c r="BL8" s="814">
        <v>7.4999999999999997E-2</v>
      </c>
      <c r="BM8" s="814">
        <v>7.4999999999999997E-2</v>
      </c>
      <c r="BN8" s="814">
        <v>7.4999999999999997E-2</v>
      </c>
      <c r="BO8" s="814">
        <v>7.4999999999999997E-2</v>
      </c>
      <c r="BP8" s="814">
        <v>7.4999999999999997E-2</v>
      </c>
      <c r="BQ8" s="814">
        <v>7.4999999999999997E-2</v>
      </c>
      <c r="BR8" s="814">
        <v>7.4999999999999997E-2</v>
      </c>
      <c r="BS8" s="814">
        <v>7.4999999999999997E-2</v>
      </c>
      <c r="BT8" s="814">
        <v>7.4999999999999997E-2</v>
      </c>
      <c r="BU8" s="814">
        <v>7.4999999999999997E-2</v>
      </c>
      <c r="BV8" s="814">
        <v>7.4999999999999997E-2</v>
      </c>
      <c r="BW8" s="814">
        <v>7.4999999999999997E-2</v>
      </c>
      <c r="BX8" s="814">
        <v>7.4999999999999997E-2</v>
      </c>
      <c r="BY8" s="814">
        <v>7.4999999999999997E-2</v>
      </c>
      <c r="BZ8" s="814">
        <v>7.3499999999999996E-2</v>
      </c>
      <c r="CA8" s="814">
        <v>7.0000000000000007E-2</v>
      </c>
      <c r="CB8" s="814">
        <v>6.8000000000000005E-2</v>
      </c>
      <c r="CC8" s="814">
        <v>6.8000000000000005E-2</v>
      </c>
      <c r="CD8" s="814">
        <v>6.7000000000000004E-2</v>
      </c>
      <c r="CE8" s="814">
        <v>6.4000000000000001E-2</v>
      </c>
      <c r="CF8" s="814">
        <v>6.4000000000000001E-2</v>
      </c>
      <c r="CG8" s="814">
        <v>6.4000000000000001E-2</v>
      </c>
      <c r="CH8" s="814">
        <v>6.4000000000000001E-2</v>
      </c>
      <c r="CI8" s="814">
        <v>6.4000000000000001E-2</v>
      </c>
      <c r="CJ8" s="814">
        <v>6.4000000000000001E-2</v>
      </c>
      <c r="CK8" s="814">
        <v>6.4000000000000001E-2</v>
      </c>
      <c r="CL8" s="814">
        <v>6.4000000000000001E-2</v>
      </c>
      <c r="CM8" s="814">
        <v>6.4000000000000001E-2</v>
      </c>
      <c r="CN8" s="814">
        <v>6.4000000000000001E-2</v>
      </c>
      <c r="CO8" s="814">
        <v>6.4000000000000001E-2</v>
      </c>
      <c r="CP8" s="814">
        <v>6.4000000000000001E-2</v>
      </c>
      <c r="CQ8" s="814">
        <v>6.4000000000000001E-2</v>
      </c>
      <c r="CR8" s="814">
        <v>6.4000000000000001E-2</v>
      </c>
      <c r="CS8" s="814">
        <v>6.4000000000000001E-2</v>
      </c>
      <c r="CT8" s="814">
        <v>6.4000000000000001E-2</v>
      </c>
      <c r="CU8" s="814">
        <v>6.4000000000000001E-2</v>
      </c>
      <c r="CV8" s="814">
        <v>6.4000000000000001E-2</v>
      </c>
      <c r="CW8" s="814">
        <v>6.4000000000000001E-2</v>
      </c>
      <c r="CX8" s="814">
        <v>6.4000000000000001E-2</v>
      </c>
      <c r="CY8" s="814">
        <v>6.4000000000000001E-2</v>
      </c>
      <c r="CZ8" s="814">
        <v>6.4000000000000001E-2</v>
      </c>
      <c r="DA8" s="814">
        <v>6.4000000000000001E-2</v>
      </c>
      <c r="DB8" s="814">
        <v>6.4000000000000001E-2</v>
      </c>
      <c r="DC8" s="814">
        <v>6.4000000000000001E-2</v>
      </c>
      <c r="DD8" s="814">
        <v>6.4250000000000002E-2</v>
      </c>
      <c r="DE8" s="814">
        <v>6.5000000000000002E-2</v>
      </c>
      <c r="DF8" s="814">
        <v>6.5000000000000002E-2</v>
      </c>
      <c r="DG8" s="814">
        <v>6.5000000000000002E-2</v>
      </c>
      <c r="DH8" s="814">
        <v>6.5000000000000002E-2</v>
      </c>
      <c r="DI8" s="814">
        <v>6.5000000000000002E-2</v>
      </c>
      <c r="DJ8" s="814">
        <v>6.4333329999999994E-2</v>
      </c>
      <c r="DK8" s="814">
        <v>6.5000000000000002E-2</v>
      </c>
      <c r="DL8" s="814">
        <v>6.5000000000000002E-2</v>
      </c>
      <c r="DM8" s="814">
        <v>6.5000000000000002E-2</v>
      </c>
      <c r="DN8" s="814">
        <v>6.5000000000000002E-2</v>
      </c>
      <c r="DO8" s="814">
        <v>6.5000000000000002E-2</v>
      </c>
      <c r="DP8" s="814">
        <v>6.5000000000000002E-2</v>
      </c>
      <c r="DQ8" s="814">
        <v>6.5799999999999997E-2</v>
      </c>
      <c r="DR8" s="814">
        <v>6.6000000000000003E-2</v>
      </c>
      <c r="DS8" s="814">
        <v>6.6000000000000003E-2</v>
      </c>
      <c r="DT8" s="814">
        <v>6.6000000000000003E-2</v>
      </c>
      <c r="DU8" s="814">
        <v>6.6000000000000003E-2</v>
      </c>
      <c r="DV8" s="814">
        <v>6.6000000000000003E-2</v>
      </c>
      <c r="DW8" s="814">
        <v>6.6000000000000003E-2</v>
      </c>
      <c r="DX8" s="814">
        <v>6.6000000000000003E-2</v>
      </c>
      <c r="DY8" s="814">
        <v>6.6000000000000003E-2</v>
      </c>
      <c r="DZ8" s="814">
        <v>6.6000000000000003E-2</v>
      </c>
      <c r="EA8" s="814">
        <v>6.6000000000000003E-2</v>
      </c>
      <c r="EB8" s="814">
        <v>6.6000000000000003E-2</v>
      </c>
      <c r="EC8" s="814">
        <v>6.6000000000000003E-2</v>
      </c>
      <c r="ED8" s="814">
        <v>6.6000000000000003E-2</v>
      </c>
      <c r="EE8" s="814">
        <v>6.6000000000000003E-2</v>
      </c>
      <c r="EF8" s="814">
        <v>6.6000000000000003E-2</v>
      </c>
      <c r="EG8" s="814">
        <v>6.6000000000000003E-2</v>
      </c>
      <c r="EH8" s="814">
        <v>6.6000000000000003E-2</v>
      </c>
      <c r="EI8" s="814">
        <v>6.5000000000000002E-2</v>
      </c>
      <c r="EJ8" s="814">
        <v>0.06</v>
      </c>
      <c r="EK8" s="814">
        <v>0.06</v>
      </c>
      <c r="EL8" s="814">
        <v>0.06</v>
      </c>
      <c r="EM8" s="814">
        <v>0.06</v>
      </c>
      <c r="EN8" s="814">
        <v>5.8000000000000003E-2</v>
      </c>
      <c r="EO8" s="814">
        <v>5.6000000000000001E-2</v>
      </c>
      <c r="EP8" s="814">
        <v>5.6000000000000001E-2</v>
      </c>
      <c r="EQ8" s="814">
        <v>5.6000000000000001E-2</v>
      </c>
      <c r="ER8" s="814">
        <v>5.6000000000000001E-2</v>
      </c>
      <c r="ES8" s="814">
        <v>5.6000000000000001E-2</v>
      </c>
      <c r="ET8" s="814">
        <v>5.6000000000000001E-2</v>
      </c>
      <c r="EU8" s="814">
        <v>5.3999999999999999E-2</v>
      </c>
      <c r="EV8" s="814">
        <v>5.5E-2</v>
      </c>
      <c r="EW8" s="814">
        <v>5.3999999999999999E-2</v>
      </c>
      <c r="EX8" s="814">
        <v>5.5E-2</v>
      </c>
      <c r="EY8" s="814">
        <v>5.3999999999999999E-2</v>
      </c>
      <c r="EZ8" s="814">
        <v>5.2999999999999999E-2</v>
      </c>
      <c r="FA8" s="814">
        <v>5.3999999999999999E-2</v>
      </c>
      <c r="FB8" s="814">
        <v>5.2999999999999999E-2</v>
      </c>
      <c r="FC8" s="814">
        <v>5.3999999999999999E-2</v>
      </c>
      <c r="FD8" s="814">
        <v>5.5E-2</v>
      </c>
      <c r="FE8" s="814">
        <v>5.3999999999999999E-2</v>
      </c>
      <c r="FF8" s="814">
        <v>5.3999999999999999E-2</v>
      </c>
      <c r="FG8" s="814">
        <v>5.3999999999999999E-2</v>
      </c>
      <c r="FH8" s="814">
        <v>5.5E-2</v>
      </c>
      <c r="FI8" s="814">
        <v>5.5E-2</v>
      </c>
      <c r="FJ8" s="814">
        <v>5.6000000000000001E-2</v>
      </c>
      <c r="FK8" s="814">
        <v>5.7000000000000002E-2</v>
      </c>
      <c r="FL8" s="814">
        <v>0.06</v>
      </c>
      <c r="FM8" s="814">
        <v>6.2E-2</v>
      </c>
      <c r="FN8" s="814">
        <v>6.4000000000000001E-2</v>
      </c>
      <c r="FO8" s="814">
        <v>6.7000000000000004E-2</v>
      </c>
    </row>
    <row r="9" spans="1:204" hidden="1" outlineLevel="1">
      <c r="A9" s="813" t="s">
        <v>2253</v>
      </c>
      <c r="B9" s="814">
        <v>0.13496667000000001</v>
      </c>
      <c r="C9" s="814">
        <v>0.17238000000000001</v>
      </c>
      <c r="D9" s="814">
        <v>0.18675</v>
      </c>
      <c r="E9" s="814">
        <v>0.17698</v>
      </c>
      <c r="F9" s="814">
        <v>0.17465</v>
      </c>
      <c r="G9" s="814">
        <v>0.15142</v>
      </c>
      <c r="H9" s="814">
        <v>0.1242</v>
      </c>
      <c r="I9" s="814">
        <v>9.3024999999999997E-2</v>
      </c>
      <c r="J9" s="814">
        <v>7.6866669999999998E-2</v>
      </c>
      <c r="K9" s="814">
        <v>7.4925000000000005E-2</v>
      </c>
      <c r="L9" s="814">
        <v>7.8200000000000006E-2</v>
      </c>
      <c r="M9" s="814">
        <v>7.9375000000000001E-2</v>
      </c>
      <c r="N9" s="814">
        <v>8.0933329999999998E-2</v>
      </c>
      <c r="O9" s="814">
        <v>8.3449999999999996E-2</v>
      </c>
      <c r="P9" s="814">
        <v>8.6120000000000002E-2</v>
      </c>
      <c r="Q9" s="814">
        <v>9.0499999999999997E-2</v>
      </c>
      <c r="R9" s="814">
        <v>9.325E-2</v>
      </c>
      <c r="S9" s="814">
        <v>9.5399999999999999E-2</v>
      </c>
      <c r="T9" s="814">
        <v>0.100425</v>
      </c>
      <c r="U9" s="814">
        <v>0.10489999999999999</v>
      </c>
      <c r="V9" s="814">
        <v>0.10489999999999999</v>
      </c>
      <c r="W9" s="814">
        <v>0.10489999999999999</v>
      </c>
      <c r="X9" s="814">
        <v>0.10489999999999999</v>
      </c>
      <c r="Y9" s="814">
        <v>0.11298</v>
      </c>
      <c r="Z9" s="814">
        <v>0.115</v>
      </c>
      <c r="AA9" s="814">
        <v>0.115</v>
      </c>
      <c r="AB9" s="814">
        <v>0.112</v>
      </c>
      <c r="AC9" s="814">
        <v>0.112</v>
      </c>
      <c r="AD9" s="814">
        <v>0.112</v>
      </c>
      <c r="AE9" s="814">
        <v>0.1108</v>
      </c>
      <c r="AF9" s="814">
        <v>0.12</v>
      </c>
      <c r="AG9" s="814">
        <v>0.13750000000000001</v>
      </c>
      <c r="AH9" s="814">
        <v>0.14000000000000001</v>
      </c>
      <c r="AI9" s="814">
        <v>0.14000000000000001</v>
      </c>
      <c r="AJ9" s="814">
        <v>0.14000000000000001</v>
      </c>
      <c r="AK9" s="814">
        <v>0.14000000000000001</v>
      </c>
      <c r="AL9" s="814">
        <v>0.14000000000000001</v>
      </c>
      <c r="AM9" s="814">
        <v>0.14000000000000001</v>
      </c>
      <c r="AN9" s="814">
        <v>0.14000000000000001</v>
      </c>
      <c r="AO9" s="814">
        <v>0.14000000000000001</v>
      </c>
      <c r="AP9" s="814">
        <v>0.14000000000000001</v>
      </c>
      <c r="AQ9" s="814">
        <v>0.14000000000000001</v>
      </c>
      <c r="AR9" s="814">
        <v>0.14000000000000001</v>
      </c>
      <c r="AS9" s="814">
        <v>0.14000000000000001</v>
      </c>
      <c r="AT9" s="814">
        <v>0.14000000000000001</v>
      </c>
      <c r="AU9" s="814">
        <v>0.14000000000000001</v>
      </c>
      <c r="AV9" s="814">
        <v>0.13</v>
      </c>
      <c r="AW9" s="814">
        <v>0.1225</v>
      </c>
      <c r="AX9" s="814">
        <v>0.11799999999999999</v>
      </c>
      <c r="AY9" s="814">
        <v>0.115</v>
      </c>
      <c r="AZ9" s="814">
        <v>0.12</v>
      </c>
      <c r="BA9" s="814">
        <v>0.12</v>
      </c>
      <c r="BB9" s="814">
        <v>0.12333333</v>
      </c>
      <c r="BC9" s="814">
        <v>0.13</v>
      </c>
      <c r="BD9" s="814">
        <v>0.1225</v>
      </c>
      <c r="BE9" s="814">
        <v>0.11749999999999999</v>
      </c>
      <c r="BF9" s="814">
        <v>0.12</v>
      </c>
      <c r="BG9" s="814">
        <v>0.12</v>
      </c>
      <c r="BH9" s="814">
        <v>0.112</v>
      </c>
      <c r="BI9" s="814">
        <v>0.105</v>
      </c>
      <c r="BJ9" s="814">
        <v>0.11</v>
      </c>
      <c r="BK9" s="814">
        <v>0.1</v>
      </c>
      <c r="BL9" s="814">
        <v>0.09</v>
      </c>
      <c r="BM9" s="814">
        <v>0.09</v>
      </c>
      <c r="BN9" s="814">
        <v>0.09</v>
      </c>
      <c r="BO9" s="814">
        <v>0.09</v>
      </c>
      <c r="BP9" s="814">
        <v>8.6249999999999993E-2</v>
      </c>
      <c r="BQ9" s="814">
        <v>8.5000000000000006E-2</v>
      </c>
      <c r="BR9" s="814">
        <v>8.5000000000000006E-2</v>
      </c>
      <c r="BS9" s="814">
        <v>8.5000000000000006E-2</v>
      </c>
      <c r="BT9" s="814">
        <v>8.4199999999999997E-2</v>
      </c>
      <c r="BU9" s="814">
        <v>8.3000000000000004E-2</v>
      </c>
      <c r="BV9" s="814">
        <v>8.3000000000000004E-2</v>
      </c>
      <c r="BW9" s="814">
        <v>8.3000000000000004E-2</v>
      </c>
      <c r="BX9" s="814">
        <v>8.3000000000000004E-2</v>
      </c>
      <c r="BY9" s="814">
        <v>0.08</v>
      </c>
      <c r="BZ9" s="814">
        <v>7.825E-2</v>
      </c>
      <c r="CA9" s="814">
        <v>7.4999999999999997E-2</v>
      </c>
      <c r="CB9" s="814">
        <v>7.4999999999999997E-2</v>
      </c>
      <c r="CC9" s="814">
        <v>7.4999999999999997E-2</v>
      </c>
      <c r="CD9" s="814">
        <v>7.2999999999999995E-2</v>
      </c>
      <c r="CE9" s="814">
        <v>7.1999999999999995E-2</v>
      </c>
      <c r="CF9" s="814">
        <v>7.1999999999999995E-2</v>
      </c>
      <c r="CG9" s="814">
        <v>7.1999999999999995E-2</v>
      </c>
      <c r="CH9" s="814">
        <v>7.1999999999999995E-2</v>
      </c>
      <c r="CI9" s="814">
        <v>7.1999999999999995E-2</v>
      </c>
      <c r="CJ9" s="814">
        <v>7.1999999999999995E-2</v>
      </c>
      <c r="CK9" s="814">
        <v>7.1999999999999995E-2</v>
      </c>
      <c r="CL9" s="814">
        <v>7.1999999999999995E-2</v>
      </c>
      <c r="CM9" s="814">
        <v>7.1999999999999995E-2</v>
      </c>
      <c r="CN9" s="814">
        <v>7.1999999999999995E-2</v>
      </c>
      <c r="CO9" s="814">
        <v>7.1999999999999995E-2</v>
      </c>
      <c r="CP9" s="814">
        <v>7.1999999999999995E-2</v>
      </c>
      <c r="CQ9" s="814">
        <v>7.1999999999999995E-2</v>
      </c>
      <c r="CR9" s="814">
        <v>7.1999999999999995E-2</v>
      </c>
      <c r="CS9" s="814">
        <v>7.1999999999999995E-2</v>
      </c>
      <c r="CT9" s="814">
        <v>7.1999999999999995E-2</v>
      </c>
      <c r="CU9" s="814">
        <v>7.1999999999999995E-2</v>
      </c>
      <c r="CV9" s="814">
        <v>7.1999999999999995E-2</v>
      </c>
      <c r="CW9" s="814">
        <v>7.1999999999999995E-2</v>
      </c>
      <c r="CX9" s="814">
        <v>7.1999999999999995E-2</v>
      </c>
      <c r="CY9" s="814">
        <v>7.1999999999999995E-2</v>
      </c>
      <c r="CZ9" s="814">
        <v>7.1999999999999995E-2</v>
      </c>
      <c r="DA9" s="814">
        <v>7.1999999999999995E-2</v>
      </c>
      <c r="DB9" s="814">
        <v>7.1999999999999995E-2</v>
      </c>
      <c r="DC9" s="814">
        <v>7.1999999999999995E-2</v>
      </c>
      <c r="DD9" s="814">
        <v>7.2249999999999995E-2</v>
      </c>
      <c r="DE9" s="814">
        <v>7.2999999999999995E-2</v>
      </c>
      <c r="DF9" s="814">
        <v>7.2999999999999995E-2</v>
      </c>
      <c r="DG9" s="814">
        <v>7.2999999999999995E-2</v>
      </c>
      <c r="DH9" s="814">
        <v>7.2999999999999995E-2</v>
      </c>
      <c r="DI9" s="814">
        <v>7.2999999999999995E-2</v>
      </c>
      <c r="DJ9" s="814">
        <v>7.2999999999999995E-2</v>
      </c>
      <c r="DK9" s="814">
        <v>7.2999999999999995E-2</v>
      </c>
      <c r="DL9" s="814">
        <v>7.2999999999999995E-2</v>
      </c>
      <c r="DM9" s="814">
        <v>7.2999999999999995E-2</v>
      </c>
      <c r="DN9" s="814">
        <v>7.2999999999999995E-2</v>
      </c>
      <c r="DO9" s="814">
        <v>7.2999999999999995E-2</v>
      </c>
      <c r="DP9" s="814">
        <v>7.2999999999999995E-2</v>
      </c>
      <c r="DQ9" s="814">
        <v>7.2999999999999995E-2</v>
      </c>
      <c r="DR9" s="814">
        <v>7.2999999999999995E-2</v>
      </c>
      <c r="DS9" s="814">
        <v>7.2999999999999995E-2</v>
      </c>
      <c r="DT9" s="814">
        <v>7.2999999999999995E-2</v>
      </c>
      <c r="DU9" s="814">
        <v>7.2999999999999995E-2</v>
      </c>
      <c r="DV9" s="814">
        <v>7.2999999999999995E-2</v>
      </c>
      <c r="DW9" s="814">
        <v>7.2999999999999995E-2</v>
      </c>
      <c r="DX9" s="814">
        <v>7.3800000000000004E-2</v>
      </c>
      <c r="DY9" s="814">
        <v>7.4999999999999997E-2</v>
      </c>
      <c r="DZ9" s="814">
        <v>7.4999999999999997E-2</v>
      </c>
      <c r="EA9" s="814">
        <v>7.4999999999999997E-2</v>
      </c>
      <c r="EB9" s="814">
        <v>7.4999999999999997E-2</v>
      </c>
      <c r="EC9" s="814">
        <v>7.4999999999999997E-2</v>
      </c>
      <c r="ED9" s="814">
        <v>7.4999999999999997E-2</v>
      </c>
      <c r="EE9" s="814">
        <v>7.4999999999999997E-2</v>
      </c>
      <c r="EF9" s="814">
        <v>7.4399999999999994E-2</v>
      </c>
      <c r="EG9" s="814">
        <v>7.3999999999999996E-2</v>
      </c>
      <c r="EH9" s="814">
        <v>7.3999999999999996E-2</v>
      </c>
      <c r="EI9" s="814">
        <v>7.3599999999999999E-2</v>
      </c>
      <c r="EJ9" s="814">
        <v>7.2999999999999995E-2</v>
      </c>
      <c r="EK9" s="814">
        <v>7.1999999999999995E-2</v>
      </c>
      <c r="EL9" s="814">
        <v>7.0749999999999993E-2</v>
      </c>
      <c r="EM9" s="814">
        <v>7.0000000000000007E-2</v>
      </c>
      <c r="EN9" s="814">
        <v>6.9000000000000006E-2</v>
      </c>
      <c r="EO9" s="814">
        <v>6.8000000000000005E-2</v>
      </c>
      <c r="EP9" s="814">
        <v>6.7000000000000004E-2</v>
      </c>
      <c r="EQ9" s="814">
        <v>6.7000000000000004E-2</v>
      </c>
      <c r="ER9" s="814">
        <v>6.7000000000000004E-2</v>
      </c>
      <c r="ES9" s="814">
        <v>6.7000000000000004E-2</v>
      </c>
      <c r="ET9" s="814">
        <v>6.7000000000000004E-2</v>
      </c>
      <c r="EU9" s="814">
        <v>6.8000000000000005E-2</v>
      </c>
      <c r="EV9" s="814">
        <v>6.8000000000000005E-2</v>
      </c>
      <c r="EW9" s="814">
        <v>6.7000000000000004E-2</v>
      </c>
      <c r="EX9" s="814">
        <v>6.6000000000000003E-2</v>
      </c>
      <c r="EY9" s="814">
        <v>6.5000000000000002E-2</v>
      </c>
      <c r="EZ9" s="814">
        <v>6.5000000000000002E-2</v>
      </c>
      <c r="FA9" s="814">
        <v>6.5000000000000002E-2</v>
      </c>
      <c r="FB9" s="814">
        <v>6.5000000000000002E-2</v>
      </c>
      <c r="FC9" s="814">
        <v>6.4000000000000001E-2</v>
      </c>
      <c r="FD9" s="814">
        <v>6.5000000000000002E-2</v>
      </c>
      <c r="FE9" s="814">
        <v>6.5000000000000002E-2</v>
      </c>
      <c r="FF9" s="814">
        <v>6.6000000000000003E-2</v>
      </c>
      <c r="FG9" s="814">
        <v>6.6000000000000003E-2</v>
      </c>
      <c r="FH9" s="814">
        <v>6.6000000000000003E-2</v>
      </c>
      <c r="FI9" s="814">
        <v>6.7000000000000004E-2</v>
      </c>
      <c r="FJ9" s="814">
        <v>6.8000000000000005E-2</v>
      </c>
      <c r="FK9" s="814">
        <v>7.0000000000000007E-2</v>
      </c>
      <c r="FL9" s="814">
        <v>7.3999999999999996E-2</v>
      </c>
      <c r="FM9" s="814">
        <v>7.5999999999999998E-2</v>
      </c>
      <c r="FN9" s="814">
        <v>7.6999999999999999E-2</v>
      </c>
      <c r="FO9" s="814">
        <v>7.9000000000000001E-2</v>
      </c>
    </row>
    <row r="10" spans="1:204" collapsed="1">
      <c r="A10" s="812" t="s">
        <v>2254</v>
      </c>
      <c r="B10" s="813"/>
      <c r="C10" s="813"/>
      <c r="D10" s="813"/>
      <c r="E10" s="813"/>
      <c r="F10" s="813"/>
      <c r="G10" s="813"/>
      <c r="H10" s="813"/>
      <c r="I10" s="813"/>
      <c r="J10" s="813"/>
      <c r="K10" s="813"/>
      <c r="L10" s="813"/>
      <c r="M10" s="813"/>
      <c r="N10" s="813"/>
      <c r="O10" s="813"/>
      <c r="P10" s="813"/>
      <c r="Q10" s="813"/>
      <c r="R10" s="813"/>
      <c r="S10" s="813"/>
      <c r="T10" s="813"/>
      <c r="U10" s="813"/>
      <c r="V10" s="813"/>
      <c r="W10" s="813"/>
      <c r="X10" s="813"/>
      <c r="Y10" s="813"/>
      <c r="Z10" s="813"/>
      <c r="AA10" s="813"/>
      <c r="AB10" s="813"/>
      <c r="AC10" s="813"/>
      <c r="AD10" s="813"/>
      <c r="AE10" s="813"/>
      <c r="AF10" s="813"/>
      <c r="AG10" s="813"/>
      <c r="AH10" s="813"/>
      <c r="AI10" s="813"/>
      <c r="AJ10" s="813"/>
      <c r="AK10" s="813"/>
      <c r="AL10" s="813"/>
      <c r="AM10" s="813"/>
      <c r="AN10" s="813"/>
      <c r="AO10" s="813"/>
      <c r="AP10" s="813"/>
      <c r="AQ10" s="813"/>
      <c r="AR10" s="813"/>
      <c r="AS10" s="813"/>
      <c r="AT10" s="813"/>
      <c r="AU10" s="813"/>
      <c r="AV10" s="813"/>
      <c r="AW10" s="813"/>
      <c r="AX10" s="813"/>
      <c r="AY10" s="813"/>
      <c r="AZ10" s="813"/>
      <c r="BA10" s="813"/>
      <c r="BB10" s="813"/>
      <c r="BC10" s="813"/>
      <c r="BD10" s="813"/>
      <c r="BE10" s="813"/>
      <c r="BF10" s="813"/>
      <c r="BG10" s="813"/>
      <c r="BH10" s="813"/>
      <c r="BI10" s="813"/>
      <c r="BJ10" s="813"/>
      <c r="BK10" s="813"/>
      <c r="BL10" s="813"/>
      <c r="BM10" s="813"/>
      <c r="BN10" s="813"/>
      <c r="BO10" s="813"/>
      <c r="BP10" s="813"/>
      <c r="BQ10" s="813"/>
      <c r="BR10" s="813"/>
      <c r="BS10" s="813"/>
      <c r="BT10" s="813"/>
      <c r="BU10" s="813"/>
      <c r="BV10" s="813"/>
      <c r="BW10" s="813"/>
      <c r="BX10" s="813"/>
      <c r="BY10" s="813"/>
      <c r="BZ10" s="813"/>
      <c r="CA10" s="813"/>
      <c r="CB10" s="813"/>
      <c r="CC10" s="813"/>
      <c r="CD10" s="813"/>
      <c r="CE10" s="813"/>
      <c r="CF10" s="813"/>
      <c r="CG10" s="813"/>
      <c r="CH10" s="813"/>
      <c r="CI10" s="813"/>
      <c r="CJ10" s="813"/>
      <c r="CK10" s="813"/>
      <c r="CL10" s="813"/>
      <c r="CM10" s="813"/>
      <c r="CN10" s="813"/>
      <c r="CO10" s="813"/>
      <c r="CP10" s="813"/>
      <c r="CQ10" s="813"/>
      <c r="CR10" s="813"/>
      <c r="CS10" s="813"/>
      <c r="CT10" s="813"/>
      <c r="CU10" s="813"/>
      <c r="CV10" s="813"/>
      <c r="CW10" s="813"/>
      <c r="CX10" s="813"/>
      <c r="CY10" s="813"/>
      <c r="CZ10" s="813"/>
      <c r="DA10" s="813"/>
      <c r="DB10" s="813"/>
      <c r="DC10" s="813"/>
      <c r="DD10" s="813"/>
      <c r="DE10" s="813"/>
      <c r="DF10" s="813"/>
      <c r="DG10" s="813"/>
      <c r="DH10" s="813"/>
      <c r="DI10" s="813"/>
      <c r="DJ10" s="813"/>
      <c r="DK10" s="813"/>
      <c r="DL10" s="813"/>
      <c r="DM10" s="813"/>
      <c r="DN10" s="813"/>
      <c r="DO10" s="813"/>
      <c r="DP10" s="813"/>
      <c r="DQ10" s="813"/>
      <c r="DR10" s="813"/>
      <c r="DS10" s="813"/>
      <c r="DT10" s="813"/>
      <c r="DU10" s="813"/>
      <c r="DV10" s="813"/>
      <c r="DW10" s="813"/>
      <c r="DX10" s="813"/>
      <c r="DY10" s="813"/>
      <c r="DZ10" s="813"/>
      <c r="EA10" s="813"/>
      <c r="EB10" s="813"/>
      <c r="EC10" s="813"/>
      <c r="ED10" s="815">
        <f t="shared" ref="ED10:FO10" si="1">AVERAGE(ED12:ED13)</f>
        <v>7.4999999999999997E-2</v>
      </c>
      <c r="EE10" s="815">
        <f t="shared" si="1"/>
        <v>7.4999999999999997E-2</v>
      </c>
      <c r="EF10" s="815">
        <f t="shared" si="1"/>
        <v>7.4999999999999997E-2</v>
      </c>
      <c r="EG10" s="815">
        <f t="shared" si="1"/>
        <v>7.4999999999999997E-2</v>
      </c>
      <c r="EH10" s="815">
        <f t="shared" si="1"/>
        <v>7.4999999999999997E-2</v>
      </c>
      <c r="EI10" s="815">
        <f t="shared" si="1"/>
        <v>7.4999999999999997E-2</v>
      </c>
      <c r="EJ10" s="815">
        <f t="shared" si="1"/>
        <v>7.4999999999999997E-2</v>
      </c>
      <c r="EK10" s="815">
        <f t="shared" si="1"/>
        <v>4.4999999999999998E-2</v>
      </c>
      <c r="EL10" s="815">
        <f t="shared" si="1"/>
        <v>4.4999999999999998E-2</v>
      </c>
      <c r="EM10" s="815">
        <f t="shared" si="1"/>
        <v>4.4999999999999998E-2</v>
      </c>
      <c r="EN10" s="815">
        <f t="shared" si="1"/>
        <v>4.4999999999999998E-2</v>
      </c>
      <c r="EO10" s="815">
        <f t="shared" si="1"/>
        <v>4.4999999999999998E-2</v>
      </c>
      <c r="EP10" s="815">
        <f t="shared" si="1"/>
        <v>4.4999999999999998E-2</v>
      </c>
      <c r="EQ10" s="815">
        <f t="shared" si="1"/>
        <v>4.4999999999999998E-2</v>
      </c>
      <c r="ER10" s="815">
        <f t="shared" si="1"/>
        <v>4.4999999999999998E-2</v>
      </c>
      <c r="ES10" s="815">
        <f t="shared" si="1"/>
        <v>4.4999999999999998E-2</v>
      </c>
      <c r="ET10" s="815">
        <f t="shared" si="1"/>
        <v>4.4999999999999998E-2</v>
      </c>
      <c r="EU10" s="815">
        <f t="shared" si="1"/>
        <v>4.4999999999999998E-2</v>
      </c>
      <c r="EV10" s="815">
        <f t="shared" si="1"/>
        <v>4.3999999999999997E-2</v>
      </c>
      <c r="EW10" s="815">
        <f t="shared" si="1"/>
        <v>4.3999999999999997E-2</v>
      </c>
      <c r="EX10" s="815">
        <f t="shared" si="1"/>
        <v>4.2999999999999997E-2</v>
      </c>
      <c r="EY10" s="815">
        <f t="shared" si="1"/>
        <v>4.2999999999999997E-2</v>
      </c>
      <c r="EZ10" s="815">
        <f t="shared" si="1"/>
        <v>4.2999999999999997E-2</v>
      </c>
      <c r="FA10" s="815">
        <f t="shared" si="1"/>
        <v>4.2999999999999997E-2</v>
      </c>
      <c r="FB10" s="815">
        <f t="shared" si="1"/>
        <v>4.2999999999999997E-2</v>
      </c>
      <c r="FC10" s="815">
        <f t="shared" si="1"/>
        <v>4.2999999999999997E-2</v>
      </c>
      <c r="FD10" s="815">
        <f t="shared" si="1"/>
        <v>4.2999999999999997E-2</v>
      </c>
      <c r="FE10" s="815">
        <f t="shared" si="1"/>
        <v>4.2999999999999997E-2</v>
      </c>
      <c r="FF10" s="815">
        <f t="shared" si="1"/>
        <v>4.2999999999999997E-2</v>
      </c>
      <c r="FG10" s="815">
        <f t="shared" si="1"/>
        <v>4.3999999999999997E-2</v>
      </c>
      <c r="FH10" s="815">
        <f t="shared" si="1"/>
        <v>4.4999999999999998E-2</v>
      </c>
      <c r="FI10" s="815">
        <f t="shared" si="1"/>
        <v>4.4999999999999998E-2</v>
      </c>
      <c r="FJ10" s="815">
        <f t="shared" si="1"/>
        <v>5.5E-2</v>
      </c>
      <c r="FK10" s="815">
        <f t="shared" si="1"/>
        <v>5.5E-2</v>
      </c>
      <c r="FL10" s="815">
        <f t="shared" si="1"/>
        <v>5.5E-2</v>
      </c>
      <c r="FM10" s="815">
        <f t="shared" si="1"/>
        <v>5.5E-2</v>
      </c>
      <c r="FN10" s="815">
        <f t="shared" si="1"/>
        <v>5.5E-2</v>
      </c>
      <c r="FO10" s="815">
        <f t="shared" si="1"/>
        <v>5.5E-2</v>
      </c>
    </row>
    <row r="11" spans="1:204">
      <c r="A11" s="812" t="s">
        <v>2255</v>
      </c>
      <c r="B11" s="813"/>
      <c r="C11" s="813"/>
      <c r="D11" s="813"/>
      <c r="E11" s="813"/>
      <c r="F11" s="813"/>
      <c r="G11" s="813"/>
      <c r="H11" s="813"/>
      <c r="I11" s="813"/>
      <c r="J11" s="813"/>
      <c r="K11" s="813"/>
      <c r="L11" s="813"/>
      <c r="M11" s="813"/>
      <c r="N11" s="813"/>
      <c r="O11" s="813"/>
      <c r="P11" s="813"/>
      <c r="Q11" s="813"/>
      <c r="R11" s="813"/>
      <c r="S11" s="813"/>
      <c r="T11" s="813"/>
      <c r="U11" s="813"/>
      <c r="V11" s="813"/>
      <c r="W11" s="813"/>
      <c r="X11" s="813"/>
      <c r="Y11" s="813"/>
      <c r="Z11" s="813"/>
      <c r="AA11" s="813"/>
      <c r="AB11" s="813"/>
      <c r="AC11" s="813"/>
      <c r="AD11" s="813"/>
      <c r="AE11" s="813"/>
      <c r="AF11" s="813"/>
      <c r="AG11" s="813"/>
      <c r="AH11" s="813"/>
      <c r="AI11" s="813"/>
      <c r="AJ11" s="813"/>
      <c r="AK11" s="813"/>
      <c r="AL11" s="813"/>
      <c r="AM11" s="813"/>
      <c r="AN11" s="813"/>
      <c r="AO11" s="813"/>
      <c r="AP11" s="813"/>
      <c r="AQ11" s="813"/>
      <c r="AR11" s="813"/>
      <c r="AS11" s="813"/>
      <c r="AT11" s="813"/>
      <c r="AU11" s="813"/>
      <c r="AV11" s="813"/>
      <c r="AW11" s="813"/>
      <c r="AX11" s="813"/>
      <c r="AY11" s="813"/>
      <c r="AZ11" s="813"/>
      <c r="BA11" s="813"/>
      <c r="BB11" s="813"/>
      <c r="BC11" s="813"/>
      <c r="BD11" s="813"/>
      <c r="BE11" s="813"/>
      <c r="BF11" s="813"/>
      <c r="BG11" s="813"/>
      <c r="BH11" s="813"/>
      <c r="BI11" s="813"/>
      <c r="BJ11" s="813"/>
      <c r="BK11" s="813"/>
      <c r="BL11" s="813"/>
      <c r="BM11" s="813"/>
      <c r="BN11" s="813"/>
      <c r="BO11" s="813"/>
      <c r="BP11" s="813"/>
      <c r="BQ11" s="813"/>
      <c r="BR11" s="813"/>
      <c r="BS11" s="813"/>
      <c r="BT11" s="813"/>
      <c r="BU11" s="813"/>
      <c r="BV11" s="813"/>
      <c r="BW11" s="813"/>
      <c r="BX11" s="813"/>
      <c r="BY11" s="813"/>
      <c r="BZ11" s="813"/>
      <c r="CA11" s="813"/>
      <c r="CB11" s="813"/>
      <c r="CC11" s="813"/>
      <c r="CD11" s="813"/>
      <c r="CE11" s="813"/>
      <c r="CF11" s="813"/>
      <c r="CG11" s="813"/>
      <c r="CH11" s="813"/>
      <c r="CI11" s="813"/>
      <c r="CJ11" s="813"/>
      <c r="CK11" s="813"/>
      <c r="CL11" s="813"/>
      <c r="CM11" s="813"/>
      <c r="CN11" s="813"/>
      <c r="CO11" s="813"/>
      <c r="CP11" s="813"/>
      <c r="CQ11" s="813"/>
      <c r="CR11" s="813"/>
      <c r="CS11" s="813"/>
      <c r="CT11" s="813"/>
      <c r="CU11" s="813"/>
      <c r="CV11" s="813"/>
      <c r="CW11" s="813"/>
      <c r="CX11" s="813"/>
      <c r="CY11" s="813"/>
      <c r="CZ11" s="813"/>
      <c r="DA11" s="813"/>
      <c r="DB11" s="813"/>
      <c r="DC11" s="813"/>
      <c r="DD11" s="813"/>
      <c r="DE11" s="813"/>
      <c r="DF11" s="813"/>
      <c r="DG11" s="813"/>
      <c r="DH11" s="813"/>
      <c r="DI11" s="813"/>
      <c r="DJ11" s="813"/>
      <c r="DK11" s="813"/>
      <c r="DL11" s="813"/>
      <c r="DM11" s="813"/>
      <c r="DN11" s="813"/>
      <c r="DO11" s="813"/>
      <c r="DP11" s="813"/>
      <c r="DQ11" s="813"/>
      <c r="DR11" s="813"/>
      <c r="DS11" s="813"/>
      <c r="DT11" s="813"/>
      <c r="DU11" s="813"/>
      <c r="DV11" s="813"/>
      <c r="DW11" s="813"/>
      <c r="DX11" s="813"/>
      <c r="DY11" s="813"/>
      <c r="DZ11" s="813"/>
      <c r="EA11" s="813"/>
      <c r="EB11" s="813"/>
      <c r="EC11" s="813"/>
      <c r="ED11" s="815">
        <f>AVERAGE(ED14:ED15)</f>
        <v>0.1</v>
      </c>
      <c r="EE11" s="815">
        <f t="shared" ref="EE11:FO11" si="2">AVERAGE(EE14:EE15)</f>
        <v>0.1</v>
      </c>
      <c r="EF11" s="815">
        <f t="shared" si="2"/>
        <v>0.1</v>
      </c>
      <c r="EG11" s="815">
        <f t="shared" si="2"/>
        <v>0.1</v>
      </c>
      <c r="EH11" s="815">
        <f t="shared" si="2"/>
        <v>0.1</v>
      </c>
      <c r="EI11" s="815">
        <f t="shared" si="2"/>
        <v>0.1</v>
      </c>
      <c r="EJ11" s="815">
        <f t="shared" si="2"/>
        <v>0.1</v>
      </c>
      <c r="EK11" s="815">
        <f>EJ11</f>
        <v>0.1</v>
      </c>
      <c r="EL11" s="815">
        <f t="shared" ref="EL11:EU11" si="3">EK11</f>
        <v>0.1</v>
      </c>
      <c r="EM11" s="815">
        <f t="shared" si="3"/>
        <v>0.1</v>
      </c>
      <c r="EN11" s="815">
        <f t="shared" si="3"/>
        <v>0.1</v>
      </c>
      <c r="EO11" s="815">
        <f t="shared" si="3"/>
        <v>0.1</v>
      </c>
      <c r="EP11" s="815">
        <f t="shared" si="3"/>
        <v>0.1</v>
      </c>
      <c r="EQ11" s="815">
        <f t="shared" si="3"/>
        <v>0.1</v>
      </c>
      <c r="ER11" s="815">
        <f t="shared" si="3"/>
        <v>0.1</v>
      </c>
      <c r="ES11" s="815">
        <f t="shared" si="3"/>
        <v>0.1</v>
      </c>
      <c r="ET11" s="815">
        <f t="shared" si="3"/>
        <v>0.1</v>
      </c>
      <c r="EU11" s="815">
        <f t="shared" si="3"/>
        <v>0.1</v>
      </c>
      <c r="EV11" s="815">
        <f t="shared" si="2"/>
        <v>8.5999999999999993E-2</v>
      </c>
      <c r="EW11" s="815">
        <f t="shared" si="2"/>
        <v>8.5499999999999993E-2</v>
      </c>
      <c r="EX11" s="815">
        <f t="shared" si="2"/>
        <v>8.4499999999999992E-2</v>
      </c>
      <c r="EY11" s="815">
        <f t="shared" si="2"/>
        <v>8.4499999999999992E-2</v>
      </c>
      <c r="EZ11" s="815">
        <f t="shared" si="2"/>
        <v>8.3999999999999991E-2</v>
      </c>
      <c r="FA11" s="815">
        <f t="shared" si="2"/>
        <v>8.4999999999999992E-2</v>
      </c>
      <c r="FB11" s="815">
        <f t="shared" si="2"/>
        <v>8.4999999999999992E-2</v>
      </c>
      <c r="FC11" s="815">
        <f t="shared" si="2"/>
        <v>8.4499999999999992E-2</v>
      </c>
      <c r="FD11" s="815">
        <f t="shared" si="2"/>
        <v>8.4499999999999992E-2</v>
      </c>
      <c r="FE11" s="815">
        <f t="shared" si="2"/>
        <v>8.4999999999999992E-2</v>
      </c>
      <c r="FF11" s="815">
        <f t="shared" si="2"/>
        <v>8.5999999999999993E-2</v>
      </c>
      <c r="FG11" s="815">
        <f t="shared" si="2"/>
        <v>8.5999999999999993E-2</v>
      </c>
      <c r="FH11" s="815">
        <f t="shared" si="2"/>
        <v>8.7499999999999994E-2</v>
      </c>
      <c r="FI11" s="815">
        <f t="shared" si="2"/>
        <v>8.7999999999999995E-2</v>
      </c>
      <c r="FJ11" s="815">
        <f t="shared" si="2"/>
        <v>9.1499999999999998E-2</v>
      </c>
      <c r="FK11" s="815">
        <f t="shared" si="2"/>
        <v>9.5500000000000002E-2</v>
      </c>
      <c r="FL11" s="815">
        <f t="shared" si="2"/>
        <v>9.8500000000000004E-2</v>
      </c>
      <c r="FM11" s="815">
        <f t="shared" si="2"/>
        <v>0.10300000000000001</v>
      </c>
      <c r="FN11" s="815">
        <f t="shared" si="2"/>
        <v>0.10400000000000001</v>
      </c>
      <c r="FO11" s="815">
        <f t="shared" si="2"/>
        <v>0.10450000000000001</v>
      </c>
    </row>
    <row r="12" spans="1:204">
      <c r="A12" s="813" t="s">
        <v>2256</v>
      </c>
      <c r="B12" s="814">
        <v>0.16533333</v>
      </c>
      <c r="C12" s="814">
        <v>0.1976</v>
      </c>
      <c r="D12" s="814">
        <v>0.21</v>
      </c>
      <c r="E12" s="814">
        <v>0.20200000000000001</v>
      </c>
      <c r="F12" s="814">
        <v>0.20150000000000001</v>
      </c>
      <c r="G12" s="814">
        <v>0.19</v>
      </c>
      <c r="H12" s="814">
        <v>0.15409999999999999</v>
      </c>
      <c r="I12" s="814">
        <v>0.1275</v>
      </c>
      <c r="J12" s="814">
        <v>0.115</v>
      </c>
      <c r="K12" s="814">
        <v>0.1</v>
      </c>
      <c r="L12" s="814">
        <v>0.1</v>
      </c>
      <c r="M12" s="814">
        <v>0.1</v>
      </c>
      <c r="N12" s="814">
        <v>0.1</v>
      </c>
      <c r="O12" s="814">
        <v>0.1</v>
      </c>
      <c r="P12" s="814">
        <v>0.1</v>
      </c>
      <c r="Q12" s="814">
        <v>0.1</v>
      </c>
      <c r="R12" s="814">
        <v>0.1</v>
      </c>
      <c r="S12" s="814">
        <v>9.9000000000000005E-2</v>
      </c>
      <c r="T12" s="814">
        <v>0.1075</v>
      </c>
      <c r="U12" s="814">
        <v>0.12</v>
      </c>
      <c r="V12" s="814">
        <v>0.12</v>
      </c>
      <c r="W12" s="814">
        <v>0.12</v>
      </c>
      <c r="X12" s="814">
        <v>0.12</v>
      </c>
      <c r="Y12" s="814">
        <v>0.13400000000000001</v>
      </c>
      <c r="Z12" s="814">
        <v>0.14000000000000001</v>
      </c>
      <c r="AA12" s="814">
        <v>0.14000000000000001</v>
      </c>
      <c r="AB12" s="814">
        <v>0.14000000000000001</v>
      </c>
      <c r="AC12" s="814">
        <v>0.14000000000000001</v>
      </c>
      <c r="AD12" s="814">
        <v>0.13750000000000001</v>
      </c>
      <c r="AE12" s="814">
        <v>0.13100000000000001</v>
      </c>
      <c r="AF12" s="814">
        <v>0.13833333</v>
      </c>
      <c r="AG12" s="814">
        <v>0.15</v>
      </c>
      <c r="AH12" s="814">
        <v>0.15</v>
      </c>
      <c r="AI12" s="814">
        <v>0.16</v>
      </c>
      <c r="AJ12" s="814">
        <v>0.17</v>
      </c>
      <c r="AK12" s="814">
        <v>0.17666667</v>
      </c>
      <c r="AL12" s="814">
        <v>0.18</v>
      </c>
      <c r="AM12" s="814">
        <v>0.18</v>
      </c>
      <c r="AN12" s="814">
        <v>0.18</v>
      </c>
      <c r="AO12" s="814">
        <v>0.18</v>
      </c>
      <c r="AP12" s="814">
        <v>0.18</v>
      </c>
      <c r="AQ12" s="814">
        <v>0.17249999999999999</v>
      </c>
      <c r="AR12" s="814">
        <v>0.17</v>
      </c>
      <c r="AS12" s="814">
        <v>0.17</v>
      </c>
      <c r="AT12" s="814">
        <v>0.17</v>
      </c>
      <c r="AU12" s="814">
        <v>0.17</v>
      </c>
      <c r="AV12" s="814">
        <v>0.16500000000000001</v>
      </c>
      <c r="AW12" s="814">
        <v>0.16500000000000001</v>
      </c>
      <c r="AX12" s="814">
        <v>0.14760000000000001</v>
      </c>
      <c r="AY12" s="814">
        <v>0.13500000000000001</v>
      </c>
      <c r="AZ12" s="814">
        <v>0.12</v>
      </c>
      <c r="BA12" s="814">
        <v>0.12</v>
      </c>
      <c r="BB12" s="814">
        <v>0.12</v>
      </c>
      <c r="BC12" s="814">
        <v>0.105</v>
      </c>
      <c r="BD12" s="814">
        <v>0.09</v>
      </c>
      <c r="BE12" s="814">
        <v>7.3499999999999996E-2</v>
      </c>
      <c r="BF12" s="814">
        <v>9.9199999999999997E-2</v>
      </c>
      <c r="BG12" s="814">
        <v>0.12</v>
      </c>
      <c r="BH12" s="814">
        <v>0.12</v>
      </c>
      <c r="BI12" s="814">
        <v>0.12</v>
      </c>
      <c r="BJ12" s="814">
        <v>0.12</v>
      </c>
      <c r="BK12" s="814">
        <v>0.11</v>
      </c>
      <c r="BL12" s="814">
        <v>9.5000000000000001E-2</v>
      </c>
      <c r="BM12" s="814">
        <v>9.5000000000000001E-2</v>
      </c>
      <c r="BN12" s="814">
        <v>9.5000000000000001E-2</v>
      </c>
      <c r="BO12" s="814">
        <v>9.5000000000000001E-2</v>
      </c>
      <c r="BP12" s="814">
        <v>9.5000000000000001E-2</v>
      </c>
      <c r="BQ12" s="814">
        <v>9.5000000000000001E-2</v>
      </c>
      <c r="BR12" s="814">
        <v>9.5000000000000001E-2</v>
      </c>
      <c r="BS12" s="814">
        <v>9.5000000000000001E-2</v>
      </c>
      <c r="BT12" s="814">
        <v>9.5000000000000001E-2</v>
      </c>
      <c r="BU12" s="814">
        <v>9.5000000000000001E-2</v>
      </c>
      <c r="BV12" s="814">
        <v>9.5000000000000001E-2</v>
      </c>
      <c r="BW12" s="814">
        <v>9.5000000000000001E-2</v>
      </c>
      <c r="BX12" s="814">
        <v>9.5000000000000001E-2</v>
      </c>
      <c r="BY12" s="814">
        <v>9.5000000000000001E-2</v>
      </c>
      <c r="BZ12" s="814">
        <v>9.5000000000000001E-2</v>
      </c>
      <c r="CA12" s="814">
        <v>8.7499999999999994E-2</v>
      </c>
      <c r="CB12" s="814">
        <v>0.08</v>
      </c>
      <c r="CC12" s="814">
        <v>0.08</v>
      </c>
      <c r="CD12" s="814">
        <v>0.08</v>
      </c>
      <c r="CE12" s="814">
        <v>0.08</v>
      </c>
      <c r="CF12" s="814">
        <v>7.8E-2</v>
      </c>
      <c r="CG12" s="814">
        <v>7.8E-2</v>
      </c>
      <c r="CH12" s="814">
        <v>7.8E-2</v>
      </c>
      <c r="CI12" s="814">
        <v>7.8E-2</v>
      </c>
      <c r="CJ12" s="814">
        <v>7.8E-2</v>
      </c>
      <c r="CK12" s="814">
        <v>7.8E-2</v>
      </c>
      <c r="CL12" s="814">
        <v>7.8E-2</v>
      </c>
      <c r="CM12" s="814">
        <v>7.8E-2</v>
      </c>
      <c r="CN12" s="814">
        <v>7.8E-2</v>
      </c>
      <c r="CO12" s="814">
        <v>7.8E-2</v>
      </c>
      <c r="CP12" s="814">
        <v>7.8E-2</v>
      </c>
      <c r="CQ12" s="814">
        <v>7.8E-2</v>
      </c>
      <c r="CR12" s="814">
        <v>7.8E-2</v>
      </c>
      <c r="CS12" s="814">
        <v>7.8E-2</v>
      </c>
      <c r="CT12" s="814">
        <v>7.8E-2</v>
      </c>
      <c r="CU12" s="814">
        <v>7.8E-2</v>
      </c>
      <c r="CV12" s="814">
        <v>7.8E-2</v>
      </c>
      <c r="CW12" s="814">
        <v>7.8E-2</v>
      </c>
      <c r="CX12" s="814">
        <v>7.8E-2</v>
      </c>
      <c r="CY12" s="814">
        <v>7.8E-2</v>
      </c>
      <c r="CZ12" s="814">
        <v>7.8E-2</v>
      </c>
      <c r="DA12" s="814">
        <v>7.8E-2</v>
      </c>
      <c r="DB12" s="814">
        <v>7.8E-2</v>
      </c>
      <c r="DC12" s="814">
        <v>7.8E-2</v>
      </c>
      <c r="DD12" s="814">
        <v>7.8E-2</v>
      </c>
      <c r="DE12" s="814">
        <v>7.8E-2</v>
      </c>
      <c r="DF12" s="814">
        <v>7.8E-2</v>
      </c>
      <c r="DG12" s="814">
        <v>7.8E-2</v>
      </c>
      <c r="DH12" s="814">
        <v>7.8E-2</v>
      </c>
      <c r="DI12" s="814">
        <v>7.8E-2</v>
      </c>
      <c r="DJ12" s="814">
        <v>0.06</v>
      </c>
      <c r="DK12" s="814">
        <v>0.06</v>
      </c>
      <c r="DL12" s="814">
        <v>0.06</v>
      </c>
      <c r="DM12" s="814">
        <v>0.06</v>
      </c>
      <c r="DN12" s="814">
        <v>0.06</v>
      </c>
      <c r="DO12" s="814">
        <v>0.06</v>
      </c>
      <c r="DP12" s="814">
        <v>0.06</v>
      </c>
      <c r="DQ12" s="814">
        <v>0.06</v>
      </c>
      <c r="DR12" s="814">
        <v>0.06</v>
      </c>
      <c r="DS12" s="814">
        <v>0.06</v>
      </c>
      <c r="DT12" s="814">
        <v>0.06</v>
      </c>
      <c r="DU12" s="814">
        <v>0.06</v>
      </c>
      <c r="DV12" s="814">
        <v>0.06</v>
      </c>
      <c r="DW12" s="814">
        <v>0.06</v>
      </c>
      <c r="DX12" s="814">
        <v>0.06</v>
      </c>
      <c r="DY12" s="814">
        <v>0.06</v>
      </c>
      <c r="DZ12" s="814">
        <v>0.06</v>
      </c>
      <c r="EA12" s="814">
        <v>0.06</v>
      </c>
      <c r="EB12" s="814">
        <v>0.06</v>
      </c>
      <c r="EC12" s="814">
        <v>0.06</v>
      </c>
      <c r="ED12" s="814">
        <v>0.06</v>
      </c>
      <c r="EE12" s="814">
        <v>0.06</v>
      </c>
      <c r="EF12" s="814">
        <v>0.06</v>
      </c>
      <c r="EG12" s="814">
        <v>0.06</v>
      </c>
      <c r="EH12" s="814">
        <v>0.06</v>
      </c>
      <c r="EI12" s="814">
        <v>0.06</v>
      </c>
      <c r="EJ12" s="814">
        <v>0.06</v>
      </c>
      <c r="EK12" s="814">
        <v>4.4999999999999998E-2</v>
      </c>
      <c r="EL12" s="814">
        <v>4.4999999999999998E-2</v>
      </c>
      <c r="EM12" s="814">
        <v>4.4999999999999998E-2</v>
      </c>
      <c r="EN12" s="814">
        <v>4.4999999999999998E-2</v>
      </c>
      <c r="EO12" s="814">
        <v>4.4999999999999998E-2</v>
      </c>
      <c r="EP12" s="814">
        <v>4.4999999999999998E-2</v>
      </c>
      <c r="EQ12" s="814">
        <v>4.4999999999999998E-2</v>
      </c>
      <c r="ER12" s="814">
        <v>4.4999999999999998E-2</v>
      </c>
      <c r="ES12" s="814">
        <v>4.4999999999999998E-2</v>
      </c>
      <c r="ET12" s="814">
        <v>4.4999999999999998E-2</v>
      </c>
      <c r="EU12" s="814">
        <v>4.4999999999999998E-2</v>
      </c>
      <c r="EV12" s="814">
        <v>4.3999999999999997E-2</v>
      </c>
      <c r="EW12" s="814">
        <v>4.3999999999999997E-2</v>
      </c>
      <c r="EX12" s="814">
        <v>4.2999999999999997E-2</v>
      </c>
      <c r="EY12" s="814">
        <v>4.2999999999999997E-2</v>
      </c>
      <c r="EZ12" s="814">
        <v>4.2999999999999997E-2</v>
      </c>
      <c r="FA12" s="814">
        <v>4.2999999999999997E-2</v>
      </c>
      <c r="FB12" s="814">
        <v>4.2999999999999997E-2</v>
      </c>
      <c r="FC12" s="814">
        <v>4.2999999999999997E-2</v>
      </c>
      <c r="FD12" s="814">
        <v>4.2999999999999997E-2</v>
      </c>
      <c r="FE12" s="814">
        <v>4.2999999999999997E-2</v>
      </c>
      <c r="FF12" s="814">
        <v>4.2999999999999997E-2</v>
      </c>
      <c r="FG12" s="814">
        <v>4.3999999999999997E-2</v>
      </c>
      <c r="FH12" s="814">
        <v>4.4999999999999998E-2</v>
      </c>
      <c r="FI12" s="814">
        <v>4.4999999999999998E-2</v>
      </c>
      <c r="FJ12" s="814">
        <v>5.5E-2</v>
      </c>
      <c r="FK12" s="814">
        <v>5.5E-2</v>
      </c>
      <c r="FL12" s="814">
        <v>5.5E-2</v>
      </c>
      <c r="FM12" s="814">
        <v>5.5E-2</v>
      </c>
      <c r="FN12" s="814">
        <v>5.5E-2</v>
      </c>
      <c r="FO12" s="814">
        <v>5.5E-2</v>
      </c>
    </row>
    <row r="13" spans="1:204">
      <c r="A13" s="813" t="s">
        <v>2257</v>
      </c>
      <c r="B13" s="814">
        <v>0.18466667</v>
      </c>
      <c r="C13" s="814">
        <v>0.20399999999999999</v>
      </c>
      <c r="D13" s="814">
        <v>0.21</v>
      </c>
      <c r="E13" s="814">
        <v>0.20519999999999999</v>
      </c>
      <c r="F13" s="814">
        <v>0.20150000000000001</v>
      </c>
      <c r="G13" s="814">
        <v>0.19500000000000001</v>
      </c>
      <c r="H13" s="814">
        <v>0.16414999999999999</v>
      </c>
      <c r="I13" s="814">
        <v>0.13575000000000001</v>
      </c>
      <c r="J13" s="814">
        <v>0.11899999999999999</v>
      </c>
      <c r="K13" s="814">
        <v>0.105</v>
      </c>
      <c r="L13" s="814">
        <v>0.105</v>
      </c>
      <c r="M13" s="814">
        <v>0.105</v>
      </c>
      <c r="N13" s="814">
        <v>0.105</v>
      </c>
      <c r="O13" s="814">
        <v>0.105</v>
      </c>
      <c r="P13" s="814">
        <v>0.105</v>
      </c>
      <c r="Q13" s="814">
        <v>0.105</v>
      </c>
      <c r="R13" s="814">
        <v>0.105</v>
      </c>
      <c r="S13" s="814">
        <v>0.105</v>
      </c>
      <c r="T13" s="814">
        <v>0.10875</v>
      </c>
      <c r="U13" s="814">
        <v>0.12</v>
      </c>
      <c r="V13" s="814">
        <v>0.12</v>
      </c>
      <c r="W13" s="814">
        <v>0.12</v>
      </c>
      <c r="X13" s="814">
        <v>0.12</v>
      </c>
      <c r="Y13" s="814">
        <v>0.14499999999999999</v>
      </c>
      <c r="Z13" s="814">
        <v>0.14499999999999999</v>
      </c>
      <c r="AA13" s="814">
        <v>0.14499999999999999</v>
      </c>
      <c r="AB13" s="814">
        <v>0.14499999999999999</v>
      </c>
      <c r="AC13" s="814">
        <v>0.14499999999999999</v>
      </c>
      <c r="AD13" s="814">
        <v>0.14499999999999999</v>
      </c>
      <c r="AE13" s="814">
        <v>0.14499999999999999</v>
      </c>
      <c r="AF13" s="814">
        <v>0.15333332999999999</v>
      </c>
      <c r="AG13" s="814">
        <v>0.16</v>
      </c>
      <c r="AH13" s="814">
        <v>0.16</v>
      </c>
      <c r="AI13" s="814">
        <v>0.16875000000000001</v>
      </c>
      <c r="AJ13" s="814">
        <v>0.17499999999999999</v>
      </c>
      <c r="AK13" s="814">
        <v>0.185</v>
      </c>
      <c r="AL13" s="814">
        <v>0.19</v>
      </c>
      <c r="AM13" s="814">
        <v>0.19</v>
      </c>
      <c r="AN13" s="814">
        <v>0.19</v>
      </c>
      <c r="AO13" s="814">
        <v>0.19</v>
      </c>
      <c r="AP13" s="814">
        <v>0.19</v>
      </c>
      <c r="AQ13" s="814">
        <v>0.19</v>
      </c>
      <c r="AR13" s="814">
        <v>0.19</v>
      </c>
      <c r="AS13" s="814">
        <v>0.19</v>
      </c>
      <c r="AT13" s="814">
        <v>0.19</v>
      </c>
      <c r="AU13" s="814">
        <v>0.19</v>
      </c>
      <c r="AV13" s="814">
        <v>0.19</v>
      </c>
      <c r="AW13" s="814">
        <v>0.19</v>
      </c>
      <c r="AX13" s="814">
        <v>0.17799999999999999</v>
      </c>
      <c r="AY13" s="814">
        <v>0.17499999999999999</v>
      </c>
      <c r="AZ13" s="814">
        <v>0.154</v>
      </c>
      <c r="BA13" s="814">
        <v>0.15</v>
      </c>
      <c r="BB13" s="814">
        <v>0.15</v>
      </c>
      <c r="BC13" s="814">
        <v>0.15</v>
      </c>
      <c r="BD13" s="814">
        <v>0.15</v>
      </c>
      <c r="BE13" s="814">
        <v>0.15</v>
      </c>
      <c r="BF13" s="814">
        <v>0.15</v>
      </c>
      <c r="BG13" s="814">
        <v>0.15</v>
      </c>
      <c r="BH13" s="814">
        <v>0.15</v>
      </c>
      <c r="BI13" s="814">
        <v>0.15</v>
      </c>
      <c r="BJ13" s="814">
        <v>0.14000000000000001</v>
      </c>
      <c r="BK13" s="814">
        <v>0.12</v>
      </c>
      <c r="BL13" s="814">
        <v>0.115</v>
      </c>
      <c r="BM13" s="814">
        <v>0.115</v>
      </c>
      <c r="BN13" s="814">
        <v>0.115</v>
      </c>
      <c r="BO13" s="814">
        <v>0.115</v>
      </c>
      <c r="BP13" s="814">
        <v>0.115</v>
      </c>
      <c r="BQ13" s="814">
        <v>0.115</v>
      </c>
      <c r="BR13" s="814">
        <v>0.115</v>
      </c>
      <c r="BS13" s="814">
        <v>0.115</v>
      </c>
      <c r="BT13" s="814">
        <v>0.112</v>
      </c>
      <c r="BU13" s="814">
        <v>0.11</v>
      </c>
      <c r="BV13" s="814">
        <v>0.1</v>
      </c>
      <c r="BW13" s="814">
        <v>0.1</v>
      </c>
      <c r="BX13" s="814">
        <v>0.1</v>
      </c>
      <c r="BY13" s="814">
        <v>0.1</v>
      </c>
      <c r="BZ13" s="814">
        <v>0.1</v>
      </c>
      <c r="CA13" s="814">
        <v>9.5000000000000001E-2</v>
      </c>
      <c r="CB13" s="814">
        <v>0.09</v>
      </c>
      <c r="CC13" s="814">
        <v>0.09</v>
      </c>
      <c r="CD13" s="814">
        <v>0.09</v>
      </c>
      <c r="CE13" s="814">
        <v>0.09</v>
      </c>
      <c r="CF13" s="814">
        <v>0.09</v>
      </c>
      <c r="CG13" s="814">
        <v>0.09</v>
      </c>
      <c r="CH13" s="814">
        <v>0.09</v>
      </c>
      <c r="CI13" s="814">
        <v>0.09</v>
      </c>
      <c r="CJ13" s="814">
        <v>0.09</v>
      </c>
      <c r="CK13" s="814">
        <v>0.09</v>
      </c>
      <c r="CL13" s="814">
        <v>0.09</v>
      </c>
      <c r="CM13" s="814">
        <v>0.09</v>
      </c>
      <c r="CN13" s="814">
        <v>0.09</v>
      </c>
      <c r="CO13" s="814">
        <v>0.09</v>
      </c>
      <c r="CP13" s="814">
        <v>0.09</v>
      </c>
      <c r="CQ13" s="814">
        <v>0.09</v>
      </c>
      <c r="CR13" s="814">
        <v>0.09</v>
      </c>
      <c r="CS13" s="814">
        <v>0.09</v>
      </c>
      <c r="CT13" s="814">
        <v>0.09</v>
      </c>
      <c r="CU13" s="814">
        <v>0.09</v>
      </c>
      <c r="CV13" s="814">
        <v>0.09</v>
      </c>
      <c r="CW13" s="814">
        <v>0.09</v>
      </c>
      <c r="CX13" s="814">
        <v>0.09</v>
      </c>
      <c r="CY13" s="814">
        <v>0.09</v>
      </c>
      <c r="CZ13" s="814">
        <v>0.09</v>
      </c>
      <c r="DA13" s="814">
        <v>0.09</v>
      </c>
      <c r="DB13" s="814">
        <v>0.09</v>
      </c>
      <c r="DC13" s="814">
        <v>0.09</v>
      </c>
      <c r="DD13" s="814">
        <v>0.09</v>
      </c>
      <c r="DE13" s="814">
        <v>0.09</v>
      </c>
      <c r="DF13" s="814">
        <v>0.09</v>
      </c>
      <c r="DG13" s="814">
        <v>0.09</v>
      </c>
      <c r="DH13" s="814">
        <v>0.09</v>
      </c>
      <c r="DI13" s="814">
        <v>0.09</v>
      </c>
      <c r="DJ13" s="814">
        <v>0.09</v>
      </c>
      <c r="DK13" s="814">
        <v>0.09</v>
      </c>
      <c r="DL13" s="814">
        <v>0.09</v>
      </c>
      <c r="DM13" s="814">
        <v>0.09</v>
      </c>
      <c r="DN13" s="814">
        <v>0.09</v>
      </c>
      <c r="DO13" s="814">
        <v>0.09</v>
      </c>
      <c r="DP13" s="814">
        <v>0.09</v>
      </c>
      <c r="DQ13" s="814">
        <v>0.09</v>
      </c>
      <c r="DR13" s="814">
        <v>0.09</v>
      </c>
      <c r="DS13" s="814">
        <v>0.09</v>
      </c>
      <c r="DT13" s="814">
        <v>0.09</v>
      </c>
      <c r="DU13" s="814">
        <v>0.09</v>
      </c>
      <c r="DV13" s="814">
        <v>0.09</v>
      </c>
      <c r="DW13" s="814">
        <v>0.09</v>
      </c>
      <c r="DX13" s="814">
        <v>0.09</v>
      </c>
      <c r="DY13" s="814">
        <v>0.09</v>
      </c>
      <c r="DZ13" s="814">
        <v>0.09</v>
      </c>
      <c r="EA13" s="814">
        <v>0.09</v>
      </c>
      <c r="EB13" s="814">
        <v>0.09</v>
      </c>
      <c r="EC13" s="814">
        <v>0.09</v>
      </c>
      <c r="ED13" s="814">
        <v>0.09</v>
      </c>
      <c r="EE13" s="814">
        <v>0.09</v>
      </c>
      <c r="EF13" s="814">
        <v>0.09</v>
      </c>
      <c r="EG13" s="814">
        <v>0.09</v>
      </c>
      <c r="EH13" s="814">
        <v>0.09</v>
      </c>
      <c r="EI13" s="814">
        <v>0.09</v>
      </c>
      <c r="EJ13" s="814">
        <v>0.09</v>
      </c>
      <c r="EK13" s="814">
        <v>4.4999999999999998E-2</v>
      </c>
      <c r="EL13" s="814">
        <v>4.4999999999999998E-2</v>
      </c>
      <c r="EM13" s="814">
        <v>4.4999999999999998E-2</v>
      </c>
      <c r="EN13" s="814">
        <v>4.4999999999999998E-2</v>
      </c>
      <c r="EO13" s="814">
        <v>4.4999999999999998E-2</v>
      </c>
      <c r="EP13" s="814">
        <v>4.4999999999999998E-2</v>
      </c>
      <c r="EQ13" s="814">
        <v>4.4999999999999998E-2</v>
      </c>
      <c r="ER13" s="814">
        <v>4.4999999999999998E-2</v>
      </c>
      <c r="ES13" s="814">
        <v>4.4999999999999998E-2</v>
      </c>
      <c r="ET13" s="814">
        <v>4.4999999999999998E-2</v>
      </c>
      <c r="EU13" s="814">
        <v>4.4999999999999998E-2</v>
      </c>
      <c r="EV13" s="814">
        <v>4.3999999999999997E-2</v>
      </c>
      <c r="EW13" s="814">
        <v>4.3999999999999997E-2</v>
      </c>
      <c r="EX13" s="814">
        <v>4.2999999999999997E-2</v>
      </c>
      <c r="EY13" s="814">
        <v>4.2999999999999997E-2</v>
      </c>
      <c r="EZ13" s="814">
        <v>4.2999999999999997E-2</v>
      </c>
      <c r="FA13" s="814">
        <v>4.2999999999999997E-2</v>
      </c>
      <c r="FB13" s="814">
        <v>4.2999999999999997E-2</v>
      </c>
      <c r="FC13" s="814">
        <v>4.2999999999999997E-2</v>
      </c>
      <c r="FD13" s="814">
        <v>4.2999999999999997E-2</v>
      </c>
      <c r="FE13" s="814">
        <v>4.2999999999999997E-2</v>
      </c>
      <c r="FF13" s="814">
        <v>4.2999999999999997E-2</v>
      </c>
      <c r="FG13" s="814">
        <v>4.3999999999999997E-2</v>
      </c>
      <c r="FH13" s="814">
        <v>4.4999999999999998E-2</v>
      </c>
      <c r="FI13" s="814">
        <v>4.4999999999999998E-2</v>
      </c>
      <c r="FJ13" s="814">
        <v>5.5E-2</v>
      </c>
      <c r="FK13" s="814">
        <v>5.5E-2</v>
      </c>
      <c r="FL13" s="814">
        <v>5.5E-2</v>
      </c>
      <c r="FM13" s="814">
        <v>5.5E-2</v>
      </c>
      <c r="FN13" s="814">
        <v>5.5E-2</v>
      </c>
      <c r="FO13" s="814">
        <v>5.5E-2</v>
      </c>
    </row>
    <row r="14" spans="1:204">
      <c r="A14" s="813" t="s">
        <v>2258</v>
      </c>
      <c r="B14" s="814">
        <v>0.17399999999999999</v>
      </c>
      <c r="C14" s="814">
        <v>0.2</v>
      </c>
      <c r="D14" s="814">
        <v>0.21</v>
      </c>
      <c r="E14" s="814">
        <v>0.20399999999999999</v>
      </c>
      <c r="F14" s="814">
        <v>0.20374999999999999</v>
      </c>
      <c r="G14" s="814">
        <v>0.19059999999999999</v>
      </c>
      <c r="H14" s="814">
        <v>0.15534999999999999</v>
      </c>
      <c r="I14" s="814">
        <v>0.13250000000000001</v>
      </c>
      <c r="J14" s="814">
        <v>0.115</v>
      </c>
      <c r="K14" s="814">
        <v>0.1</v>
      </c>
      <c r="L14" s="814">
        <v>0.1</v>
      </c>
      <c r="M14" s="814">
        <v>0.1</v>
      </c>
      <c r="N14" s="814">
        <v>0.1</v>
      </c>
      <c r="O14" s="814">
        <v>0.1</v>
      </c>
      <c r="P14" s="814">
        <v>0.1</v>
      </c>
      <c r="Q14" s="814">
        <v>0.10249999999999999</v>
      </c>
      <c r="R14" s="814">
        <v>0.10249999999999999</v>
      </c>
      <c r="S14" s="814">
        <v>0.10299999999999999</v>
      </c>
      <c r="T14" s="814">
        <v>0.1075</v>
      </c>
      <c r="U14" s="814">
        <v>0.12</v>
      </c>
      <c r="V14" s="814">
        <v>0.12</v>
      </c>
      <c r="W14" s="814">
        <v>0.13500000000000001</v>
      </c>
      <c r="X14" s="814">
        <v>0.15</v>
      </c>
      <c r="Y14" s="814">
        <v>0.14499999999999999</v>
      </c>
      <c r="Z14" s="814">
        <v>0.14499999999999999</v>
      </c>
      <c r="AA14" s="814">
        <v>0.14499999999999999</v>
      </c>
      <c r="AB14" s="814">
        <v>0.14499999999999999</v>
      </c>
      <c r="AC14" s="814">
        <v>0.14499999999999999</v>
      </c>
      <c r="AD14" s="814">
        <v>0.14249999999999999</v>
      </c>
      <c r="AE14" s="814">
        <v>0.14199999999999999</v>
      </c>
      <c r="AF14" s="814">
        <v>0.15</v>
      </c>
      <c r="AG14" s="814">
        <v>0.16750000000000001</v>
      </c>
      <c r="AH14" s="814">
        <v>0.17</v>
      </c>
      <c r="AI14" s="814">
        <v>0.17</v>
      </c>
      <c r="AJ14" s="814">
        <v>0.17</v>
      </c>
      <c r="AK14" s="814">
        <v>0.18333332999999999</v>
      </c>
      <c r="AL14" s="814">
        <v>0.19</v>
      </c>
      <c r="AM14" s="814">
        <v>0.19</v>
      </c>
      <c r="AN14" s="814">
        <v>0.19</v>
      </c>
      <c r="AO14" s="814">
        <v>0.19</v>
      </c>
      <c r="AP14" s="814">
        <v>0.19</v>
      </c>
      <c r="AQ14" s="814">
        <v>0.19</v>
      </c>
      <c r="AR14" s="814">
        <v>0.19</v>
      </c>
      <c r="AS14" s="814">
        <v>0.19</v>
      </c>
      <c r="AT14" s="814">
        <v>0.19</v>
      </c>
      <c r="AU14" s="814">
        <v>0.19</v>
      </c>
      <c r="AV14" s="814">
        <v>0.19</v>
      </c>
      <c r="AW14" s="814">
        <v>0.19</v>
      </c>
      <c r="AX14" s="814">
        <v>0.17399999999999999</v>
      </c>
      <c r="AY14" s="814">
        <v>0.17</v>
      </c>
      <c r="AZ14" s="814">
        <v>0.16</v>
      </c>
      <c r="BA14" s="814">
        <v>0.16</v>
      </c>
      <c r="BB14" s="814">
        <v>0.16</v>
      </c>
      <c r="BC14" s="814">
        <v>0.16</v>
      </c>
      <c r="BD14" s="814">
        <v>0.16</v>
      </c>
      <c r="BE14" s="814">
        <v>0.16</v>
      </c>
      <c r="BF14" s="814">
        <v>0.16</v>
      </c>
      <c r="BG14" s="814">
        <v>0.16</v>
      </c>
      <c r="BH14" s="814">
        <v>0.152</v>
      </c>
      <c r="BI14" s="814">
        <v>0.14000000000000001</v>
      </c>
      <c r="BJ14" s="814">
        <v>0.13</v>
      </c>
      <c r="BK14" s="814">
        <v>0.125</v>
      </c>
      <c r="BL14" s="814">
        <v>0.12</v>
      </c>
      <c r="BM14" s="814">
        <v>0.12</v>
      </c>
      <c r="BN14" s="814">
        <v>0.12</v>
      </c>
      <c r="BO14" s="814">
        <v>0.12</v>
      </c>
      <c r="BP14" s="814">
        <v>0.12</v>
      </c>
      <c r="BQ14" s="814">
        <v>0.12</v>
      </c>
      <c r="BR14" s="814">
        <v>0.12</v>
      </c>
      <c r="BS14" s="814">
        <v>0.12</v>
      </c>
      <c r="BT14" s="814">
        <v>0.114</v>
      </c>
      <c r="BU14" s="814">
        <v>0.11</v>
      </c>
      <c r="BV14" s="814">
        <v>0.11</v>
      </c>
      <c r="BW14" s="814">
        <v>0.11</v>
      </c>
      <c r="BX14" s="814">
        <v>0.11</v>
      </c>
      <c r="BY14" s="814">
        <v>0.11</v>
      </c>
      <c r="BZ14" s="814">
        <v>0.11</v>
      </c>
      <c r="CA14" s="814">
        <v>0.105</v>
      </c>
      <c r="CB14" s="814">
        <v>0.1</v>
      </c>
      <c r="CC14" s="814">
        <v>0.1</v>
      </c>
      <c r="CD14" s="814">
        <v>0.1</v>
      </c>
      <c r="CE14" s="814">
        <v>0.1</v>
      </c>
      <c r="CF14" s="814">
        <v>0.1</v>
      </c>
      <c r="CG14" s="814">
        <v>0.1</v>
      </c>
      <c r="CH14" s="814">
        <v>0.1</v>
      </c>
      <c r="CI14" s="814">
        <v>0.1</v>
      </c>
      <c r="CJ14" s="814">
        <v>0.1</v>
      </c>
      <c r="CK14" s="814">
        <v>0.1</v>
      </c>
      <c r="CL14" s="814">
        <v>0.1</v>
      </c>
      <c r="CM14" s="814">
        <v>0.1</v>
      </c>
      <c r="CN14" s="814">
        <v>0.1</v>
      </c>
      <c r="CO14" s="814">
        <v>0.1</v>
      </c>
      <c r="CP14" s="814">
        <v>0.1</v>
      </c>
      <c r="CQ14" s="814">
        <v>0.1</v>
      </c>
      <c r="CR14" s="814">
        <v>0.1</v>
      </c>
      <c r="CS14" s="814">
        <v>0.1</v>
      </c>
      <c r="CT14" s="814">
        <v>0.1</v>
      </c>
      <c r="CU14" s="814">
        <v>0.1</v>
      </c>
      <c r="CV14" s="814">
        <v>0.1</v>
      </c>
      <c r="CW14" s="814">
        <v>0.1</v>
      </c>
      <c r="CX14" s="814">
        <v>0.1</v>
      </c>
      <c r="CY14" s="814">
        <v>0.1</v>
      </c>
      <c r="CZ14" s="814">
        <v>0.1</v>
      </c>
      <c r="DA14" s="814">
        <v>0.1</v>
      </c>
      <c r="DB14" s="814">
        <v>0.1</v>
      </c>
      <c r="DC14" s="814">
        <v>0.1</v>
      </c>
      <c r="DD14" s="814">
        <v>0.1</v>
      </c>
      <c r="DE14" s="814">
        <v>0.1</v>
      </c>
      <c r="DF14" s="814">
        <v>0.1</v>
      </c>
      <c r="DG14" s="814">
        <v>0.1</v>
      </c>
      <c r="DH14" s="814">
        <v>0.1</v>
      </c>
      <c r="DI14" s="814">
        <v>0.1</v>
      </c>
      <c r="DJ14" s="814">
        <v>0.09</v>
      </c>
      <c r="DK14" s="814">
        <v>0.09</v>
      </c>
      <c r="DL14" s="814">
        <v>0.09</v>
      </c>
      <c r="DM14" s="814">
        <v>0.09</v>
      </c>
      <c r="DN14" s="814">
        <v>0.09</v>
      </c>
      <c r="DO14" s="814">
        <v>0.09</v>
      </c>
      <c r="DP14" s="814">
        <v>0.09</v>
      </c>
      <c r="DQ14" s="814">
        <v>0.09</v>
      </c>
      <c r="DR14" s="814">
        <v>0.09</v>
      </c>
      <c r="DS14" s="814">
        <v>0.09</v>
      </c>
      <c r="DT14" s="814">
        <v>0.09</v>
      </c>
      <c r="DU14" s="814">
        <v>0.09</v>
      </c>
      <c r="DV14" s="814">
        <v>0.09</v>
      </c>
      <c r="DW14" s="814">
        <v>0.09</v>
      </c>
      <c r="DX14" s="814">
        <v>0.09</v>
      </c>
      <c r="DY14" s="814">
        <v>0.09</v>
      </c>
      <c r="DZ14" s="814">
        <v>0.09</v>
      </c>
      <c r="EA14" s="814">
        <v>0.09</v>
      </c>
      <c r="EB14" s="814">
        <v>0.09</v>
      </c>
      <c r="EC14" s="814">
        <v>0.09</v>
      </c>
      <c r="ED14" s="814">
        <v>0.09</v>
      </c>
      <c r="EE14" s="814">
        <v>0.09</v>
      </c>
      <c r="EF14" s="814">
        <v>0.09</v>
      </c>
      <c r="EG14" s="814">
        <v>0.09</v>
      </c>
      <c r="EH14" s="814">
        <v>0.09</v>
      </c>
      <c r="EI14" s="814">
        <v>0.09</v>
      </c>
      <c r="EJ14" s="814">
        <v>0.09</v>
      </c>
      <c r="EK14" s="813"/>
      <c r="EL14" s="813"/>
      <c r="EM14" s="813"/>
      <c r="EN14" s="813"/>
      <c r="EO14" s="813"/>
      <c r="EP14" s="813"/>
      <c r="EQ14" s="813"/>
      <c r="ER14" s="813"/>
      <c r="ES14" s="813"/>
      <c r="ET14" s="813"/>
      <c r="EU14" s="813"/>
      <c r="EV14" s="814">
        <v>7.6999999999999999E-2</v>
      </c>
      <c r="EW14" s="814">
        <v>7.5999999999999998E-2</v>
      </c>
      <c r="EX14" s="814">
        <v>7.5999999999999998E-2</v>
      </c>
      <c r="EY14" s="814">
        <v>7.5999999999999998E-2</v>
      </c>
      <c r="EZ14" s="814">
        <v>7.5999999999999998E-2</v>
      </c>
      <c r="FA14" s="814">
        <v>7.8E-2</v>
      </c>
      <c r="FB14" s="814">
        <v>7.8E-2</v>
      </c>
      <c r="FC14" s="814">
        <v>7.6999999999999999E-2</v>
      </c>
      <c r="FD14" s="814">
        <v>7.6999999999999999E-2</v>
      </c>
      <c r="FE14" s="814">
        <v>7.8E-2</v>
      </c>
      <c r="FF14" s="814">
        <v>7.9000000000000001E-2</v>
      </c>
      <c r="FG14" s="814">
        <v>7.9000000000000001E-2</v>
      </c>
      <c r="FH14" s="814">
        <v>0.08</v>
      </c>
      <c r="FI14" s="814">
        <v>8.1000000000000003E-2</v>
      </c>
      <c r="FJ14" s="814">
        <v>8.4000000000000005E-2</v>
      </c>
      <c r="FK14" s="814">
        <v>8.7999999999999995E-2</v>
      </c>
      <c r="FL14" s="814">
        <v>0.09</v>
      </c>
      <c r="FM14" s="814">
        <v>9.4E-2</v>
      </c>
      <c r="FN14" s="814">
        <v>9.5000000000000001E-2</v>
      </c>
      <c r="FO14" s="814">
        <v>9.6000000000000002E-2</v>
      </c>
    </row>
    <row r="15" spans="1:204">
      <c r="A15" s="813" t="s">
        <v>2259</v>
      </c>
      <c r="B15" s="814">
        <v>0.19133333</v>
      </c>
      <c r="C15" s="814">
        <v>0.20399999999999999</v>
      </c>
      <c r="D15" s="814">
        <v>0.21</v>
      </c>
      <c r="E15" s="814">
        <v>0.20699999999999999</v>
      </c>
      <c r="F15" s="814">
        <v>0.20499999999999999</v>
      </c>
      <c r="G15" s="814">
        <v>0.1956</v>
      </c>
      <c r="H15" s="814">
        <v>0.16414999999999999</v>
      </c>
      <c r="I15" s="814">
        <v>0.13775000000000001</v>
      </c>
      <c r="J15" s="814">
        <v>0.11899999999999999</v>
      </c>
      <c r="K15" s="814">
        <v>0.105</v>
      </c>
      <c r="L15" s="814">
        <v>0.105</v>
      </c>
      <c r="M15" s="814">
        <v>0.105</v>
      </c>
      <c r="N15" s="814">
        <v>0.105</v>
      </c>
      <c r="O15" s="814">
        <v>0.105</v>
      </c>
      <c r="P15" s="814">
        <v>0.105</v>
      </c>
      <c r="Q15" s="814">
        <v>0.105</v>
      </c>
      <c r="R15" s="814">
        <v>0.105</v>
      </c>
      <c r="S15" s="814">
        <v>0.105</v>
      </c>
      <c r="T15" s="814">
        <v>0.10875</v>
      </c>
      <c r="U15" s="814">
        <v>0.12</v>
      </c>
      <c r="V15" s="814">
        <v>0.12</v>
      </c>
      <c r="W15" s="814">
        <v>0.14499999999999999</v>
      </c>
      <c r="X15" s="814">
        <v>0.17</v>
      </c>
      <c r="Y15" s="814">
        <v>0.161</v>
      </c>
      <c r="Z15" s="814">
        <v>0.155</v>
      </c>
      <c r="AA15" s="814">
        <v>0.155</v>
      </c>
      <c r="AB15" s="814">
        <v>0.155</v>
      </c>
      <c r="AC15" s="814">
        <v>0.155</v>
      </c>
      <c r="AD15" s="814">
        <v>0.155</v>
      </c>
      <c r="AE15" s="814">
        <v>0.155</v>
      </c>
      <c r="AF15" s="814">
        <v>0.16833333</v>
      </c>
      <c r="AG15" s="814">
        <v>0.18</v>
      </c>
      <c r="AH15" s="814">
        <v>0.18</v>
      </c>
      <c r="AI15" s="814">
        <v>0.18</v>
      </c>
      <c r="AJ15" s="814">
        <v>0.18</v>
      </c>
      <c r="AK15" s="814">
        <v>0.19333333</v>
      </c>
      <c r="AL15" s="814">
        <v>0.2</v>
      </c>
      <c r="AM15" s="814">
        <v>0.20499999999999999</v>
      </c>
      <c r="AN15" s="814">
        <v>0.21</v>
      </c>
      <c r="AO15" s="814">
        <v>0.21</v>
      </c>
      <c r="AP15" s="814">
        <v>0.21</v>
      </c>
      <c r="AQ15" s="814">
        <v>0.21</v>
      </c>
      <c r="AR15" s="814">
        <v>0.21</v>
      </c>
      <c r="AS15" s="814">
        <v>0.20599999999999999</v>
      </c>
      <c r="AT15" s="814">
        <v>0.2</v>
      </c>
      <c r="AU15" s="814">
        <v>0.2</v>
      </c>
      <c r="AV15" s="814">
        <v>0.2</v>
      </c>
      <c r="AW15" s="814">
        <v>0.2</v>
      </c>
      <c r="AX15" s="814">
        <v>0.19400000000000001</v>
      </c>
      <c r="AY15" s="814">
        <v>0.185</v>
      </c>
      <c r="AZ15" s="814">
        <v>0.17699999999999999</v>
      </c>
      <c r="BA15" s="814">
        <v>0.17499999999999999</v>
      </c>
      <c r="BB15" s="814">
        <v>0.17499999999999999</v>
      </c>
      <c r="BC15" s="814">
        <v>0.17499999999999999</v>
      </c>
      <c r="BD15" s="814">
        <v>0.17499999999999999</v>
      </c>
      <c r="BE15" s="814">
        <v>0.17499999999999999</v>
      </c>
      <c r="BF15" s="814">
        <v>0.17499999999999999</v>
      </c>
      <c r="BG15" s="814">
        <v>0.17499999999999999</v>
      </c>
      <c r="BH15" s="814">
        <v>0.16900000000000001</v>
      </c>
      <c r="BI15" s="814">
        <v>0.16</v>
      </c>
      <c r="BJ15" s="814">
        <v>0.15</v>
      </c>
      <c r="BK15" s="814">
        <v>0.14000000000000001</v>
      </c>
      <c r="BL15" s="814">
        <v>0.13</v>
      </c>
      <c r="BM15" s="814">
        <v>0.13</v>
      </c>
      <c r="BN15" s="814">
        <v>0.13</v>
      </c>
      <c r="BO15" s="814">
        <v>0.13</v>
      </c>
      <c r="BP15" s="814">
        <v>0.13</v>
      </c>
      <c r="BQ15" s="814">
        <v>0.13</v>
      </c>
      <c r="BR15" s="814">
        <v>0.13</v>
      </c>
      <c r="BS15" s="814">
        <v>0.13</v>
      </c>
      <c r="BT15" s="814">
        <v>0.127</v>
      </c>
      <c r="BU15" s="814">
        <v>0.125</v>
      </c>
      <c r="BV15" s="814">
        <v>0.12</v>
      </c>
      <c r="BW15" s="814">
        <v>0.12</v>
      </c>
      <c r="BX15" s="814">
        <v>0.12</v>
      </c>
      <c r="BY15" s="814">
        <v>0.12</v>
      </c>
      <c r="BZ15" s="814">
        <v>0.12</v>
      </c>
      <c r="CA15" s="814">
        <v>0.115</v>
      </c>
      <c r="CB15" s="814">
        <v>0.11</v>
      </c>
      <c r="CC15" s="814">
        <v>0.11</v>
      </c>
      <c r="CD15" s="814">
        <v>0.11</v>
      </c>
      <c r="CE15" s="814">
        <v>0.11</v>
      </c>
      <c r="CF15" s="814">
        <v>0.11</v>
      </c>
      <c r="CG15" s="814">
        <v>0.11</v>
      </c>
      <c r="CH15" s="814">
        <v>0.11</v>
      </c>
      <c r="CI15" s="814">
        <v>0.11</v>
      </c>
      <c r="CJ15" s="814">
        <v>0.11</v>
      </c>
      <c r="CK15" s="814">
        <v>0.11</v>
      </c>
      <c r="CL15" s="814">
        <v>0.11</v>
      </c>
      <c r="CM15" s="814">
        <v>0.11</v>
      </c>
      <c r="CN15" s="814">
        <v>0.11</v>
      </c>
      <c r="CO15" s="814">
        <v>0.11</v>
      </c>
      <c r="CP15" s="814">
        <v>0.11</v>
      </c>
      <c r="CQ15" s="814">
        <v>0.11</v>
      </c>
      <c r="CR15" s="814">
        <v>0.11</v>
      </c>
      <c r="CS15" s="814">
        <v>0.11</v>
      </c>
      <c r="CT15" s="814">
        <v>0.11</v>
      </c>
      <c r="CU15" s="814">
        <v>0.11</v>
      </c>
      <c r="CV15" s="814">
        <v>0.11</v>
      </c>
      <c r="CW15" s="814">
        <v>0.11</v>
      </c>
      <c r="CX15" s="814">
        <v>0.11</v>
      </c>
      <c r="CY15" s="814">
        <v>0.11</v>
      </c>
      <c r="CZ15" s="814">
        <v>0.11</v>
      </c>
      <c r="DA15" s="814">
        <v>0.11</v>
      </c>
      <c r="DB15" s="814">
        <v>0.11</v>
      </c>
      <c r="DC15" s="814">
        <v>0.11</v>
      </c>
      <c r="DD15" s="814">
        <v>0.11</v>
      </c>
      <c r="DE15" s="814">
        <v>0.11</v>
      </c>
      <c r="DF15" s="814">
        <v>0.11</v>
      </c>
      <c r="DG15" s="814">
        <v>0.11</v>
      </c>
      <c r="DH15" s="814">
        <v>0.11</v>
      </c>
      <c r="DI15" s="814">
        <v>0.11</v>
      </c>
      <c r="DJ15" s="814">
        <v>0.11</v>
      </c>
      <c r="DK15" s="814">
        <v>0.11</v>
      </c>
      <c r="DL15" s="814">
        <v>0.11</v>
      </c>
      <c r="DM15" s="814">
        <v>0.11</v>
      </c>
      <c r="DN15" s="814">
        <v>0.11</v>
      </c>
      <c r="DO15" s="814">
        <v>0.11</v>
      </c>
      <c r="DP15" s="814">
        <v>0.11</v>
      </c>
      <c r="DQ15" s="814">
        <v>0.11</v>
      </c>
      <c r="DR15" s="814">
        <v>0.11</v>
      </c>
      <c r="DS15" s="814">
        <v>0.11</v>
      </c>
      <c r="DT15" s="814">
        <v>0.11</v>
      </c>
      <c r="DU15" s="814">
        <v>0.11</v>
      </c>
      <c r="DV15" s="814">
        <v>0.11</v>
      </c>
      <c r="DW15" s="814">
        <v>0.11</v>
      </c>
      <c r="DX15" s="814">
        <v>0.11</v>
      </c>
      <c r="DY15" s="814">
        <v>0.11</v>
      </c>
      <c r="DZ15" s="814">
        <v>0.11</v>
      </c>
      <c r="EA15" s="814">
        <v>0.11</v>
      </c>
      <c r="EB15" s="814">
        <v>0.11</v>
      </c>
      <c r="EC15" s="814">
        <v>0.11</v>
      </c>
      <c r="ED15" s="814">
        <v>0.11</v>
      </c>
      <c r="EE15" s="814">
        <v>0.11</v>
      </c>
      <c r="EF15" s="814">
        <v>0.11</v>
      </c>
      <c r="EG15" s="814">
        <v>0.11</v>
      </c>
      <c r="EH15" s="814">
        <v>0.11</v>
      </c>
      <c r="EI15" s="814">
        <v>0.11</v>
      </c>
      <c r="EJ15" s="814">
        <v>0.11</v>
      </c>
      <c r="EK15" s="813"/>
      <c r="EL15" s="813"/>
      <c r="EM15" s="813"/>
      <c r="EN15" s="813"/>
      <c r="EO15" s="813"/>
      <c r="EP15" s="813"/>
      <c r="EQ15" s="813"/>
      <c r="ER15" s="813"/>
      <c r="ES15" s="813"/>
      <c r="ET15" s="813"/>
      <c r="EU15" s="813"/>
      <c r="EV15" s="814">
        <v>9.5000000000000001E-2</v>
      </c>
      <c r="EW15" s="814">
        <v>9.5000000000000001E-2</v>
      </c>
      <c r="EX15" s="814">
        <v>9.2999999999999999E-2</v>
      </c>
      <c r="EY15" s="814">
        <v>9.2999999999999999E-2</v>
      </c>
      <c r="EZ15" s="814">
        <v>9.1999999999999998E-2</v>
      </c>
      <c r="FA15" s="814">
        <v>9.1999999999999998E-2</v>
      </c>
      <c r="FB15" s="814">
        <v>9.1999999999999998E-2</v>
      </c>
      <c r="FC15" s="814">
        <v>9.1999999999999998E-2</v>
      </c>
      <c r="FD15" s="814">
        <v>9.1999999999999998E-2</v>
      </c>
      <c r="FE15" s="814">
        <v>9.1999999999999998E-2</v>
      </c>
      <c r="FF15" s="814">
        <v>9.2999999999999999E-2</v>
      </c>
      <c r="FG15" s="814">
        <v>9.2999999999999999E-2</v>
      </c>
      <c r="FH15" s="814">
        <v>9.5000000000000001E-2</v>
      </c>
      <c r="FI15" s="814">
        <v>9.5000000000000001E-2</v>
      </c>
      <c r="FJ15" s="814">
        <v>9.9000000000000005E-2</v>
      </c>
      <c r="FK15" s="814">
        <v>0.10299999999999999</v>
      </c>
      <c r="FL15" s="814">
        <v>0.107</v>
      </c>
      <c r="FM15" s="814">
        <v>0.112</v>
      </c>
      <c r="FN15" s="814">
        <v>0.113</v>
      </c>
      <c r="FO15" s="814">
        <v>0.113</v>
      </c>
    </row>
    <row r="16" spans="1:204">
      <c r="A16" s="813" t="s">
        <v>2260</v>
      </c>
      <c r="B16" s="813"/>
      <c r="C16" s="813"/>
      <c r="D16" s="813"/>
      <c r="E16" s="814">
        <v>0.1081</v>
      </c>
      <c r="F16" s="814">
        <v>9.9675E-2</v>
      </c>
      <c r="G16" s="814">
        <v>9.0160000000000004E-2</v>
      </c>
      <c r="H16" s="814">
        <v>8.5949999999999999E-2</v>
      </c>
      <c r="I16" s="814">
        <v>8.0850000000000005E-2</v>
      </c>
      <c r="J16" s="814">
        <v>0.06</v>
      </c>
      <c r="K16" s="814">
        <v>0.06</v>
      </c>
      <c r="L16" s="814">
        <v>0.06</v>
      </c>
      <c r="M16" s="814">
        <v>0.06</v>
      </c>
      <c r="N16" s="814">
        <v>0.06</v>
      </c>
      <c r="O16" s="814">
        <v>3.2500000000000001E-2</v>
      </c>
      <c r="P16" s="814">
        <v>0.03</v>
      </c>
      <c r="Q16" s="814">
        <v>3.7499999999999999E-2</v>
      </c>
      <c r="R16" s="814">
        <v>0.04</v>
      </c>
      <c r="S16" s="814">
        <v>4.2999999999999997E-2</v>
      </c>
      <c r="T16" s="814">
        <v>0.05</v>
      </c>
      <c r="U16" s="814">
        <v>5.5E-2</v>
      </c>
      <c r="V16" s="814">
        <v>0.06</v>
      </c>
      <c r="W16" s="814">
        <v>0.06</v>
      </c>
      <c r="X16" s="814">
        <v>0.06</v>
      </c>
      <c r="Y16" s="814">
        <v>0.06</v>
      </c>
      <c r="Z16" s="814">
        <v>0.06</v>
      </c>
      <c r="AA16" s="814">
        <v>0.06</v>
      </c>
      <c r="AB16" s="814">
        <v>0.06</v>
      </c>
      <c r="AC16" s="814">
        <v>0.06</v>
      </c>
      <c r="AD16" s="814">
        <v>5.7500000000000002E-2</v>
      </c>
      <c r="AE16" s="814">
        <v>5.5E-2</v>
      </c>
      <c r="AF16" s="814">
        <v>5.5E-2</v>
      </c>
      <c r="AG16" s="814">
        <v>5.5E-2</v>
      </c>
      <c r="AH16" s="814">
        <v>5.8333330000000003E-2</v>
      </c>
      <c r="AI16" s="814">
        <v>0.06</v>
      </c>
      <c r="AJ16" s="814">
        <v>0.06</v>
      </c>
      <c r="AK16" s="814">
        <v>0.06</v>
      </c>
      <c r="AL16" s="814">
        <v>0.06</v>
      </c>
      <c r="AM16" s="814">
        <v>0.06</v>
      </c>
      <c r="AN16" s="814">
        <v>0.06</v>
      </c>
      <c r="AO16" s="814">
        <v>0.06</v>
      </c>
      <c r="AP16" s="814">
        <v>0.06</v>
      </c>
      <c r="AQ16" s="814">
        <v>0.06</v>
      </c>
      <c r="AR16" s="814">
        <v>0.06</v>
      </c>
      <c r="AS16" s="814">
        <v>0.06</v>
      </c>
      <c r="AT16" s="814">
        <v>0.06</v>
      </c>
      <c r="AU16" s="814">
        <v>0.06</v>
      </c>
      <c r="AV16" s="814">
        <v>0.06</v>
      </c>
      <c r="AW16" s="814">
        <v>0.06</v>
      </c>
      <c r="AX16" s="814">
        <v>5.6000000000000001E-2</v>
      </c>
      <c r="AY16" s="814">
        <v>5.5E-2</v>
      </c>
      <c r="AZ16" s="814">
        <v>5.5E-2</v>
      </c>
      <c r="BA16" s="814">
        <v>5.5E-2</v>
      </c>
      <c r="BB16" s="814">
        <v>5.5E-2</v>
      </c>
      <c r="BC16" s="814">
        <v>5.5E-2</v>
      </c>
      <c r="BD16" s="814">
        <v>5.5E-2</v>
      </c>
      <c r="BE16" s="814">
        <v>5.5E-2</v>
      </c>
      <c r="BF16" s="814">
        <v>5.5E-2</v>
      </c>
      <c r="BG16" s="814">
        <v>5.5E-2</v>
      </c>
      <c r="BH16" s="814">
        <v>5.5E-2</v>
      </c>
      <c r="BI16" s="814">
        <v>5.5E-2</v>
      </c>
      <c r="BJ16" s="814">
        <v>5.5E-2</v>
      </c>
      <c r="BK16" s="814">
        <v>5.5E-2</v>
      </c>
      <c r="BL16" s="814">
        <v>0.05</v>
      </c>
      <c r="BM16" s="814">
        <v>0.05</v>
      </c>
      <c r="BN16" s="814">
        <v>0.05</v>
      </c>
      <c r="BO16" s="814">
        <v>0.05</v>
      </c>
      <c r="BP16" s="814">
        <v>0.05</v>
      </c>
      <c r="BQ16" s="814">
        <v>0.05</v>
      </c>
      <c r="BR16" s="814">
        <v>0.05</v>
      </c>
      <c r="BS16" s="814">
        <v>0.05</v>
      </c>
      <c r="BT16" s="814">
        <v>0.05</v>
      </c>
      <c r="BU16" s="814">
        <v>0.05</v>
      </c>
      <c r="BV16" s="814">
        <v>4.8333330000000001E-2</v>
      </c>
      <c r="BW16" s="814">
        <v>4.4999999999999998E-2</v>
      </c>
      <c r="BX16" s="814">
        <v>4.4999999999999998E-2</v>
      </c>
      <c r="BY16" s="814">
        <v>4.4999999999999998E-2</v>
      </c>
      <c r="BZ16" s="814">
        <v>4.4999999999999998E-2</v>
      </c>
      <c r="CA16" s="814">
        <v>4.4999999999999998E-2</v>
      </c>
      <c r="CB16" s="814">
        <v>4.4999999999999998E-2</v>
      </c>
      <c r="CC16" s="814">
        <v>4.4999999999999998E-2</v>
      </c>
      <c r="CD16" s="814">
        <v>4.4999999999999998E-2</v>
      </c>
      <c r="CE16" s="814">
        <v>4.4999999999999998E-2</v>
      </c>
      <c r="CF16" s="814">
        <v>4.4999999999999998E-2</v>
      </c>
      <c r="CG16" s="814">
        <v>4.4999999999999998E-2</v>
      </c>
      <c r="CH16" s="814">
        <v>4.4999999999999998E-2</v>
      </c>
      <c r="CI16" s="814">
        <v>4.4999999999999998E-2</v>
      </c>
      <c r="CJ16" s="814">
        <v>4.4999999999999998E-2</v>
      </c>
      <c r="CK16" s="814">
        <v>4.4999999999999998E-2</v>
      </c>
      <c r="CL16" s="814">
        <v>4.4999999999999998E-2</v>
      </c>
      <c r="CM16" s="814">
        <v>4.4999999999999998E-2</v>
      </c>
      <c r="CN16" s="814">
        <v>4.4999999999999998E-2</v>
      </c>
      <c r="CO16" s="814">
        <v>4.4999999999999998E-2</v>
      </c>
      <c r="CP16" s="814">
        <v>4.4999999999999998E-2</v>
      </c>
      <c r="CQ16" s="814">
        <v>4.4999999999999998E-2</v>
      </c>
      <c r="CR16" s="814">
        <v>4.4999999999999998E-2</v>
      </c>
      <c r="CS16" s="814">
        <v>4.4999999999999998E-2</v>
      </c>
      <c r="CT16" s="814">
        <v>4.4999999999999998E-2</v>
      </c>
      <c r="CU16" s="814">
        <v>4.2000000000000003E-2</v>
      </c>
      <c r="CV16" s="814">
        <v>4.2000000000000003E-2</v>
      </c>
      <c r="CW16" s="814">
        <v>4.2000000000000003E-2</v>
      </c>
      <c r="CX16" s="814">
        <v>4.2000000000000003E-2</v>
      </c>
      <c r="CY16" s="814">
        <v>0.04</v>
      </c>
      <c r="CZ16" s="814">
        <v>0.04</v>
      </c>
      <c r="DA16" s="814">
        <v>0.04</v>
      </c>
      <c r="DB16" s="814">
        <v>0.04</v>
      </c>
      <c r="DC16" s="814">
        <v>0.04</v>
      </c>
      <c r="DD16" s="814">
        <v>0.04</v>
      </c>
      <c r="DE16" s="814">
        <v>0.04</v>
      </c>
      <c r="DF16" s="814">
        <v>0.04</v>
      </c>
      <c r="DG16" s="814">
        <v>0.04</v>
      </c>
      <c r="DH16" s="814">
        <v>0.04</v>
      </c>
      <c r="DI16" s="814">
        <v>0.04</v>
      </c>
      <c r="DJ16" s="814">
        <v>2.8000000000000001E-2</v>
      </c>
      <c r="DK16" s="814">
        <v>2.8000000000000001E-2</v>
      </c>
      <c r="DL16" s="814">
        <v>2.8000000000000001E-2</v>
      </c>
      <c r="DM16" s="814">
        <v>2.8000000000000001E-2</v>
      </c>
      <c r="DN16" s="814">
        <v>2.8000000000000001E-2</v>
      </c>
      <c r="DO16" s="814">
        <v>2.8000000000000001E-2</v>
      </c>
      <c r="DP16" s="814">
        <v>2.8000000000000001E-2</v>
      </c>
      <c r="DQ16" s="814">
        <v>2.8000000000000001E-2</v>
      </c>
      <c r="DR16" s="814">
        <v>2.8000000000000001E-2</v>
      </c>
      <c r="DS16" s="814">
        <v>2.8000000000000001E-2</v>
      </c>
      <c r="DT16" s="814">
        <v>2.8000000000000001E-2</v>
      </c>
      <c r="DU16" s="814">
        <v>2.8000000000000001E-2</v>
      </c>
      <c r="DV16" s="814">
        <v>2.8000000000000001E-2</v>
      </c>
      <c r="DW16" s="814">
        <v>2.8000000000000001E-2</v>
      </c>
      <c r="DX16" s="814">
        <v>2.8000000000000001E-2</v>
      </c>
      <c r="DY16" s="814">
        <v>2.8000000000000001E-2</v>
      </c>
      <c r="DZ16" s="814">
        <v>2.92E-2</v>
      </c>
      <c r="EA16" s="814">
        <v>0.03</v>
      </c>
      <c r="EB16" s="814">
        <v>0.03</v>
      </c>
      <c r="EC16" s="814">
        <v>0.03</v>
      </c>
      <c r="ED16" s="814">
        <v>0.03</v>
      </c>
      <c r="EE16" s="814">
        <v>0.03</v>
      </c>
      <c r="EF16" s="814">
        <v>0.03</v>
      </c>
      <c r="EG16" s="814">
        <v>0.03</v>
      </c>
      <c r="EH16" s="814">
        <v>0.03</v>
      </c>
      <c r="EI16" s="814">
        <v>0.03</v>
      </c>
      <c r="EJ16" s="814">
        <v>0.03</v>
      </c>
      <c r="EK16" s="814">
        <v>0.03</v>
      </c>
      <c r="EL16" s="814">
        <v>0.03</v>
      </c>
      <c r="EM16" s="814">
        <v>0.03</v>
      </c>
      <c r="EN16" s="814">
        <v>0.03</v>
      </c>
      <c r="EO16" s="814">
        <v>0.03</v>
      </c>
      <c r="EP16" s="814">
        <v>0.03</v>
      </c>
      <c r="EQ16" s="814">
        <v>0.03</v>
      </c>
      <c r="ER16" s="814">
        <v>0.03</v>
      </c>
      <c r="ES16" s="814">
        <v>0.03</v>
      </c>
      <c r="ET16" s="814">
        <v>0.03</v>
      </c>
      <c r="EU16" s="814">
        <v>0.03</v>
      </c>
      <c r="EV16" s="814">
        <v>0.03</v>
      </c>
      <c r="EW16" s="814">
        <v>0.03</v>
      </c>
      <c r="EX16" s="814">
        <v>0.03</v>
      </c>
      <c r="EY16" s="814">
        <v>0.03</v>
      </c>
      <c r="EZ16" s="814">
        <v>0.02</v>
      </c>
      <c r="FA16" s="814">
        <v>0.02</v>
      </c>
      <c r="FB16" s="814">
        <v>0.02</v>
      </c>
      <c r="FC16" s="814">
        <v>0.02</v>
      </c>
      <c r="FD16" s="814">
        <v>2.1000000000000001E-2</v>
      </c>
      <c r="FE16" s="814">
        <v>2.1999999999999999E-2</v>
      </c>
      <c r="FF16" s="814">
        <v>2.3E-2</v>
      </c>
      <c r="FG16" s="814">
        <v>2.4E-2</v>
      </c>
      <c r="FH16" s="814">
        <v>2.7E-2</v>
      </c>
      <c r="FI16" s="814">
        <v>2.9000000000000001E-2</v>
      </c>
      <c r="FJ16" s="814">
        <v>3.2000000000000001E-2</v>
      </c>
      <c r="FK16" s="814">
        <v>3.7999999999999999E-2</v>
      </c>
      <c r="FL16" s="814">
        <v>3.9E-2</v>
      </c>
      <c r="FM16" s="814">
        <v>4.2000000000000003E-2</v>
      </c>
      <c r="FN16" s="814">
        <v>4.2999999999999997E-2</v>
      </c>
      <c r="FO16" s="814">
        <v>4.3999999999999997E-2</v>
      </c>
    </row>
    <row r="17" spans="1:171">
      <c r="A17" s="813" t="s">
        <v>2261</v>
      </c>
      <c r="B17" s="813"/>
      <c r="C17" s="813"/>
      <c r="D17" s="813"/>
      <c r="E17" s="814">
        <v>0.1081</v>
      </c>
      <c r="F17" s="814">
        <v>9.9675E-2</v>
      </c>
      <c r="G17" s="814">
        <v>9.4299999999999995E-2</v>
      </c>
      <c r="H17" s="814">
        <v>9.2175000000000007E-2</v>
      </c>
      <c r="I17" s="814">
        <v>8.6550000000000002E-2</v>
      </c>
      <c r="J17" s="814">
        <v>7.0000000000000007E-2</v>
      </c>
      <c r="K17" s="814">
        <v>7.0000000000000007E-2</v>
      </c>
      <c r="L17" s="814">
        <v>7.0000000000000007E-2</v>
      </c>
      <c r="M17" s="814">
        <v>7.0000000000000007E-2</v>
      </c>
      <c r="N17" s="814">
        <v>7.0000000000000007E-2</v>
      </c>
      <c r="O17" s="814">
        <v>5.5E-2</v>
      </c>
      <c r="P17" s="814">
        <v>0.05</v>
      </c>
      <c r="Q17" s="814">
        <v>0.06</v>
      </c>
      <c r="R17" s="814">
        <v>0.06</v>
      </c>
      <c r="S17" s="814">
        <v>0.06</v>
      </c>
      <c r="T17" s="814">
        <v>6.6250000000000003E-2</v>
      </c>
      <c r="U17" s="814">
        <v>7.4999999999999997E-2</v>
      </c>
      <c r="V17" s="814">
        <v>0.08</v>
      </c>
      <c r="W17" s="814">
        <v>0.08</v>
      </c>
      <c r="X17" s="814">
        <v>0.08</v>
      </c>
      <c r="Y17" s="814">
        <v>0.08</v>
      </c>
      <c r="Z17" s="814">
        <v>0.08</v>
      </c>
      <c r="AA17" s="814">
        <v>0.08</v>
      </c>
      <c r="AB17" s="814">
        <v>0.08</v>
      </c>
      <c r="AC17" s="814">
        <v>0.08</v>
      </c>
      <c r="AD17" s="814">
        <v>7.2499999999999995E-2</v>
      </c>
      <c r="AE17" s="814">
        <v>6.5000000000000002E-2</v>
      </c>
      <c r="AF17" s="814">
        <v>6.5000000000000002E-2</v>
      </c>
      <c r="AG17" s="814">
        <v>6.5000000000000002E-2</v>
      </c>
      <c r="AH17" s="814">
        <v>6.5666669999999996E-2</v>
      </c>
      <c r="AI17" s="814">
        <v>6.6000000000000003E-2</v>
      </c>
      <c r="AJ17" s="814">
        <v>7.2749999999999995E-2</v>
      </c>
      <c r="AK17" s="814">
        <v>7.4999999999999997E-2</v>
      </c>
      <c r="AL17" s="814">
        <v>7.4999999999999997E-2</v>
      </c>
      <c r="AM17" s="814">
        <v>7.4999999999999997E-2</v>
      </c>
      <c r="AN17" s="814">
        <v>7.4999999999999997E-2</v>
      </c>
      <c r="AO17" s="814">
        <v>7.4999999999999997E-2</v>
      </c>
      <c r="AP17" s="814">
        <v>7.4999999999999997E-2</v>
      </c>
      <c r="AQ17" s="814">
        <v>7.4999999999999997E-2</v>
      </c>
      <c r="AR17" s="814">
        <v>7.4999999999999997E-2</v>
      </c>
      <c r="AS17" s="814">
        <v>7.4999999999999997E-2</v>
      </c>
      <c r="AT17" s="814">
        <v>7.4999999999999997E-2</v>
      </c>
      <c r="AU17" s="814">
        <v>7.4999999999999997E-2</v>
      </c>
      <c r="AV17" s="814">
        <v>7.4999999999999997E-2</v>
      </c>
      <c r="AW17" s="814">
        <v>7.4999999999999997E-2</v>
      </c>
      <c r="AX17" s="814">
        <v>7.4999999999999997E-2</v>
      </c>
      <c r="AY17" s="814">
        <v>7.4999999999999997E-2</v>
      </c>
      <c r="AZ17" s="814">
        <v>7.1999999999999995E-2</v>
      </c>
      <c r="BA17" s="814">
        <v>7.0000000000000007E-2</v>
      </c>
      <c r="BB17" s="814">
        <v>7.0000000000000007E-2</v>
      </c>
      <c r="BC17" s="814">
        <v>7.0000000000000007E-2</v>
      </c>
      <c r="BD17" s="814">
        <v>7.0000000000000007E-2</v>
      </c>
      <c r="BE17" s="814">
        <v>7.0000000000000007E-2</v>
      </c>
      <c r="BF17" s="814">
        <v>7.0000000000000007E-2</v>
      </c>
      <c r="BG17" s="814">
        <v>7.0000000000000007E-2</v>
      </c>
      <c r="BH17" s="814">
        <v>7.0000000000000007E-2</v>
      </c>
      <c r="BI17" s="814">
        <v>7.0000000000000007E-2</v>
      </c>
      <c r="BJ17" s="814">
        <v>6.5000000000000002E-2</v>
      </c>
      <c r="BK17" s="814">
        <v>6.5000000000000002E-2</v>
      </c>
      <c r="BL17" s="814">
        <v>0.06</v>
      </c>
      <c r="BM17" s="814">
        <v>0.06</v>
      </c>
      <c r="BN17" s="814">
        <v>0.06</v>
      </c>
      <c r="BO17" s="814">
        <v>0.06</v>
      </c>
      <c r="BP17" s="814">
        <v>0.06</v>
      </c>
      <c r="BQ17" s="814">
        <v>0.06</v>
      </c>
      <c r="BR17" s="814">
        <v>0.06</v>
      </c>
      <c r="BS17" s="814">
        <v>0.06</v>
      </c>
      <c r="BT17" s="814">
        <v>0.06</v>
      </c>
      <c r="BU17" s="814">
        <v>0.06</v>
      </c>
      <c r="BV17" s="814">
        <v>0.06</v>
      </c>
      <c r="BW17" s="814">
        <v>0.06</v>
      </c>
      <c r="BX17" s="814">
        <v>0.06</v>
      </c>
      <c r="BY17" s="814">
        <v>0.06</v>
      </c>
      <c r="BZ17" s="814">
        <v>0.06</v>
      </c>
      <c r="CA17" s="814">
        <v>0.06</v>
      </c>
      <c r="CB17" s="814">
        <v>0.06</v>
      </c>
      <c r="CC17" s="814">
        <v>0.06</v>
      </c>
      <c r="CD17" s="814">
        <v>0.06</v>
      </c>
      <c r="CE17" s="814">
        <v>0.06</v>
      </c>
      <c r="CF17" s="814">
        <v>5.5E-2</v>
      </c>
      <c r="CG17" s="814">
        <v>5.5E-2</v>
      </c>
      <c r="CH17" s="814">
        <v>5.5E-2</v>
      </c>
      <c r="CI17" s="814">
        <v>5.5E-2</v>
      </c>
      <c r="CJ17" s="814">
        <v>5.5E-2</v>
      </c>
      <c r="CK17" s="814">
        <v>5.5E-2</v>
      </c>
      <c r="CL17" s="814">
        <v>5.5E-2</v>
      </c>
      <c r="CM17" s="814">
        <v>5.5E-2</v>
      </c>
      <c r="CN17" s="814">
        <v>5.2999999999999999E-2</v>
      </c>
      <c r="CO17" s="814">
        <v>5.1999999999999998E-2</v>
      </c>
      <c r="CP17" s="814">
        <v>5.1999999999999998E-2</v>
      </c>
      <c r="CQ17" s="814">
        <v>5.1999999999999998E-2</v>
      </c>
      <c r="CR17" s="814">
        <v>5.1999999999999998E-2</v>
      </c>
      <c r="CS17" s="814">
        <v>5.1999999999999998E-2</v>
      </c>
      <c r="CT17" s="814">
        <v>5.1999999999999998E-2</v>
      </c>
      <c r="CU17" s="814">
        <v>0.05</v>
      </c>
      <c r="CV17" s="814">
        <v>0.05</v>
      </c>
      <c r="CW17" s="814">
        <v>4.8000000000000001E-2</v>
      </c>
      <c r="CX17" s="814">
        <v>4.8000000000000001E-2</v>
      </c>
      <c r="CY17" s="814">
        <v>4.8000000000000001E-2</v>
      </c>
      <c r="CZ17" s="814">
        <v>4.7E-2</v>
      </c>
      <c r="DA17" s="814">
        <v>4.7E-2</v>
      </c>
      <c r="DB17" s="814">
        <v>4.7E-2</v>
      </c>
      <c r="DC17" s="814">
        <v>4.7E-2</v>
      </c>
      <c r="DD17" s="814">
        <v>4.7E-2</v>
      </c>
      <c r="DE17" s="814">
        <v>4.7E-2</v>
      </c>
      <c r="DF17" s="814">
        <v>4.7E-2</v>
      </c>
      <c r="DG17" s="814">
        <v>4.7E-2</v>
      </c>
      <c r="DH17" s="814">
        <v>4.7E-2</v>
      </c>
      <c r="DI17" s="814">
        <v>4.7E-2</v>
      </c>
      <c r="DJ17" s="814">
        <v>4.7E-2</v>
      </c>
      <c r="DK17" s="814">
        <v>4.7E-2</v>
      </c>
      <c r="DL17" s="814">
        <v>4.7E-2</v>
      </c>
      <c r="DM17" s="814">
        <v>4.7E-2</v>
      </c>
      <c r="DN17" s="814">
        <v>4.7E-2</v>
      </c>
      <c r="DO17" s="814">
        <v>4.7E-2</v>
      </c>
      <c r="DP17" s="814">
        <v>4.7E-2</v>
      </c>
      <c r="DQ17" s="814">
        <v>4.7E-2</v>
      </c>
      <c r="DR17" s="814">
        <v>4.7E-2</v>
      </c>
      <c r="DS17" s="814">
        <v>4.7E-2</v>
      </c>
      <c r="DT17" s="814">
        <v>4.7E-2</v>
      </c>
      <c r="DU17" s="814">
        <v>4.7E-2</v>
      </c>
      <c r="DV17" s="814">
        <v>4.7E-2</v>
      </c>
      <c r="DW17" s="814">
        <v>4.7E-2</v>
      </c>
      <c r="DX17" s="814">
        <v>4.7E-2</v>
      </c>
      <c r="DY17" s="814">
        <v>4.7E-2</v>
      </c>
      <c r="DZ17" s="814">
        <v>4.7E-2</v>
      </c>
      <c r="EA17" s="814">
        <v>4.7E-2</v>
      </c>
      <c r="EB17" s="814">
        <v>4.7E-2</v>
      </c>
      <c r="EC17" s="814">
        <v>4.7E-2</v>
      </c>
      <c r="ED17" s="814">
        <v>4.7E-2</v>
      </c>
      <c r="EE17" s="814">
        <v>4.7E-2</v>
      </c>
      <c r="EF17" s="814">
        <v>4.7E-2</v>
      </c>
      <c r="EG17" s="814">
        <v>4.6333329999999999E-2</v>
      </c>
      <c r="EH17" s="814">
        <v>4.4999999999999998E-2</v>
      </c>
      <c r="EI17" s="814">
        <v>4.4999999999999998E-2</v>
      </c>
      <c r="EJ17" s="814">
        <v>4.4999999999999998E-2</v>
      </c>
      <c r="EK17" s="814">
        <v>4.4999999999999998E-2</v>
      </c>
      <c r="EL17" s="814">
        <v>4.4999999999999998E-2</v>
      </c>
      <c r="EM17" s="814">
        <v>4.4999999999999998E-2</v>
      </c>
      <c r="EN17" s="814">
        <v>4.4999999999999998E-2</v>
      </c>
      <c r="EO17" s="814">
        <v>4.4999999999999998E-2</v>
      </c>
      <c r="EP17" s="814">
        <v>0.06</v>
      </c>
      <c r="EQ17" s="814">
        <v>0.06</v>
      </c>
      <c r="ER17" s="814">
        <v>0.06</v>
      </c>
      <c r="ES17" s="814">
        <v>0.06</v>
      </c>
      <c r="ET17" s="814">
        <v>0.06</v>
      </c>
      <c r="EU17" s="814">
        <v>0.06</v>
      </c>
      <c r="EV17" s="814">
        <v>0.06</v>
      </c>
      <c r="EW17" s="814">
        <v>0.06</v>
      </c>
      <c r="EX17" s="814">
        <v>0.06</v>
      </c>
      <c r="EY17" s="814">
        <v>0.06</v>
      </c>
      <c r="EZ17" s="814">
        <v>3.2000000000000001E-2</v>
      </c>
      <c r="FA17" s="814">
        <v>3.2000000000000001E-2</v>
      </c>
      <c r="FB17" s="814">
        <v>3.2000000000000001E-2</v>
      </c>
      <c r="FC17" s="814">
        <v>3.2000000000000001E-2</v>
      </c>
      <c r="FD17" s="814">
        <v>3.2000000000000001E-2</v>
      </c>
      <c r="FE17" s="814">
        <v>3.3000000000000002E-2</v>
      </c>
      <c r="FF17" s="814">
        <v>3.4000000000000002E-2</v>
      </c>
      <c r="FG17" s="814">
        <v>3.5999999999999997E-2</v>
      </c>
      <c r="FH17" s="814">
        <v>3.7999999999999999E-2</v>
      </c>
      <c r="FI17" s="814">
        <v>4.1000000000000002E-2</v>
      </c>
      <c r="FJ17" s="814">
        <v>4.4999999999999998E-2</v>
      </c>
      <c r="FK17" s="814">
        <v>4.9000000000000002E-2</v>
      </c>
      <c r="FL17" s="814">
        <v>5.3999999999999999E-2</v>
      </c>
      <c r="FM17" s="814">
        <v>5.7000000000000002E-2</v>
      </c>
      <c r="FN17" s="814">
        <v>5.8000000000000003E-2</v>
      </c>
      <c r="FO17" s="814">
        <v>5.7000000000000002E-2</v>
      </c>
    </row>
    <row r="18" spans="1:171">
      <c r="A18" s="813" t="s">
        <v>2262</v>
      </c>
      <c r="B18" s="813"/>
      <c r="C18" s="813"/>
      <c r="D18" s="813"/>
      <c r="E18" s="814">
        <v>0.1116</v>
      </c>
      <c r="F18" s="814">
        <v>0.10567500000000001</v>
      </c>
      <c r="G18" s="814">
        <v>9.3060000000000004E-2</v>
      </c>
      <c r="H18" s="814">
        <v>8.5949999999999999E-2</v>
      </c>
      <c r="I18" s="814">
        <v>8.0850000000000005E-2</v>
      </c>
      <c r="J18" s="814">
        <v>0.06</v>
      </c>
      <c r="K18" s="814">
        <v>0.06</v>
      </c>
      <c r="L18" s="814">
        <v>0.06</v>
      </c>
      <c r="M18" s="814">
        <v>0.06</v>
      </c>
      <c r="N18" s="814">
        <v>0.06</v>
      </c>
      <c r="O18" s="814">
        <v>3.7499999999999999E-2</v>
      </c>
      <c r="P18" s="814">
        <v>0.04</v>
      </c>
      <c r="Q18" s="814">
        <v>4.7500000000000001E-2</v>
      </c>
      <c r="R18" s="814">
        <v>0.06</v>
      </c>
      <c r="S18" s="814">
        <v>0.06</v>
      </c>
      <c r="T18" s="814">
        <v>0.06</v>
      </c>
      <c r="U18" s="814">
        <v>0.06</v>
      </c>
      <c r="V18" s="814">
        <v>6.5000000000000002E-2</v>
      </c>
      <c r="W18" s="814">
        <v>6.5000000000000002E-2</v>
      </c>
      <c r="X18" s="814">
        <v>6.5000000000000002E-2</v>
      </c>
      <c r="Y18" s="814">
        <v>6.5000000000000002E-2</v>
      </c>
      <c r="Z18" s="814">
        <v>6.5000000000000002E-2</v>
      </c>
      <c r="AA18" s="814">
        <v>6.5000000000000002E-2</v>
      </c>
      <c r="AB18" s="814">
        <v>6.5000000000000002E-2</v>
      </c>
      <c r="AC18" s="814">
        <v>6.5000000000000002E-2</v>
      </c>
      <c r="AD18" s="814">
        <v>6.5000000000000002E-2</v>
      </c>
      <c r="AE18" s="814">
        <v>6.5000000000000002E-2</v>
      </c>
      <c r="AF18" s="814">
        <v>6.5000000000000002E-2</v>
      </c>
      <c r="AG18" s="814">
        <v>6.5000000000000002E-2</v>
      </c>
      <c r="AH18" s="814">
        <v>6.5000000000000002E-2</v>
      </c>
      <c r="AI18" s="814">
        <v>7.0000000000000007E-2</v>
      </c>
      <c r="AJ18" s="814">
        <v>7.0000000000000007E-2</v>
      </c>
      <c r="AK18" s="814">
        <v>7.0000000000000007E-2</v>
      </c>
      <c r="AL18" s="814">
        <v>7.4999999999999997E-2</v>
      </c>
      <c r="AM18" s="814">
        <v>7.4999999999999997E-2</v>
      </c>
      <c r="AN18" s="814">
        <v>7.4999999999999997E-2</v>
      </c>
      <c r="AO18" s="814">
        <v>7.4999999999999997E-2</v>
      </c>
      <c r="AP18" s="814">
        <v>7.4999999999999997E-2</v>
      </c>
      <c r="AQ18" s="814">
        <v>7.4999999999999997E-2</v>
      </c>
      <c r="AR18" s="814">
        <v>7.4999999999999997E-2</v>
      </c>
      <c r="AS18" s="814">
        <v>7.4999999999999997E-2</v>
      </c>
      <c r="AT18" s="814">
        <v>7.4999999999999997E-2</v>
      </c>
      <c r="AU18" s="814">
        <v>7.4999999999999997E-2</v>
      </c>
      <c r="AV18" s="814">
        <v>7.4999999999999997E-2</v>
      </c>
      <c r="AW18" s="814">
        <v>7.4999999999999997E-2</v>
      </c>
      <c r="AX18" s="814">
        <v>7.4999999999999997E-2</v>
      </c>
      <c r="AY18" s="814">
        <v>7.4999999999999997E-2</v>
      </c>
      <c r="AZ18" s="814">
        <v>6.9000000000000006E-2</v>
      </c>
      <c r="BA18" s="814">
        <v>6.5000000000000002E-2</v>
      </c>
      <c r="BB18" s="814">
        <v>6.5000000000000002E-2</v>
      </c>
      <c r="BC18" s="814">
        <v>6.5000000000000002E-2</v>
      </c>
      <c r="BD18" s="814">
        <v>6.5000000000000002E-2</v>
      </c>
      <c r="BE18" s="814">
        <v>6.5000000000000002E-2</v>
      </c>
      <c r="BF18" s="814">
        <v>6.5000000000000002E-2</v>
      </c>
      <c r="BG18" s="814">
        <v>6.5000000000000002E-2</v>
      </c>
      <c r="BH18" s="814">
        <v>6.5000000000000002E-2</v>
      </c>
      <c r="BI18" s="814">
        <v>6.5000000000000002E-2</v>
      </c>
      <c r="BJ18" s="814">
        <v>6.5000000000000002E-2</v>
      </c>
      <c r="BK18" s="814">
        <v>6.5000000000000002E-2</v>
      </c>
      <c r="BL18" s="814">
        <v>6.5000000000000002E-2</v>
      </c>
      <c r="BM18" s="814">
        <v>6.5000000000000002E-2</v>
      </c>
      <c r="BN18" s="814">
        <v>6.5000000000000002E-2</v>
      </c>
      <c r="BO18" s="814">
        <v>6.5000000000000002E-2</v>
      </c>
      <c r="BP18" s="814">
        <v>6.5000000000000002E-2</v>
      </c>
      <c r="BQ18" s="814">
        <v>6.5000000000000002E-2</v>
      </c>
      <c r="BR18" s="814">
        <v>6.5000000000000002E-2</v>
      </c>
      <c r="BS18" s="814">
        <v>6.5000000000000002E-2</v>
      </c>
      <c r="BT18" s="814">
        <v>6.5000000000000002E-2</v>
      </c>
      <c r="BU18" s="814">
        <v>6.5000000000000002E-2</v>
      </c>
      <c r="BV18" s="814">
        <v>6.3333329999999993E-2</v>
      </c>
      <c r="BW18" s="814">
        <v>0.06</v>
      </c>
      <c r="BX18" s="814">
        <v>0.06</v>
      </c>
      <c r="BY18" s="814">
        <v>0.06</v>
      </c>
      <c r="BZ18" s="814">
        <v>0.06</v>
      </c>
      <c r="CA18" s="814">
        <v>0.06</v>
      </c>
      <c r="CB18" s="814">
        <v>0.06</v>
      </c>
      <c r="CC18" s="814">
        <v>0.06</v>
      </c>
      <c r="CD18" s="814">
        <v>0.06</v>
      </c>
      <c r="CE18" s="814">
        <v>0.06</v>
      </c>
      <c r="CF18" s="814">
        <v>0.06</v>
      </c>
      <c r="CG18" s="814">
        <v>0.06</v>
      </c>
      <c r="CH18" s="814">
        <v>0.06</v>
      </c>
      <c r="CI18" s="814">
        <v>0.06</v>
      </c>
      <c r="CJ18" s="814">
        <v>0.06</v>
      </c>
      <c r="CK18" s="814">
        <v>0.06</v>
      </c>
      <c r="CL18" s="814">
        <v>0.06</v>
      </c>
      <c r="CM18" s="814">
        <v>0.06</v>
      </c>
      <c r="CN18" s="814">
        <v>0.06</v>
      </c>
      <c r="CO18" s="814">
        <v>5.6000000000000001E-2</v>
      </c>
      <c r="CP18" s="814">
        <v>5.6000000000000001E-2</v>
      </c>
      <c r="CQ18" s="814">
        <v>5.6000000000000001E-2</v>
      </c>
      <c r="CR18" s="814">
        <v>5.6000000000000001E-2</v>
      </c>
      <c r="CS18" s="814">
        <v>5.3999999999999999E-2</v>
      </c>
      <c r="CT18" s="814">
        <v>5.3999999999999999E-2</v>
      </c>
      <c r="CU18" s="814">
        <v>5.1666669999999998E-2</v>
      </c>
      <c r="CV18" s="814">
        <v>5.0999999999999997E-2</v>
      </c>
      <c r="CW18" s="814">
        <v>0.05</v>
      </c>
      <c r="CX18" s="814">
        <v>0.05</v>
      </c>
      <c r="CY18" s="814">
        <v>0.05</v>
      </c>
      <c r="CZ18" s="814">
        <v>0.05</v>
      </c>
      <c r="DA18" s="814">
        <v>0.05</v>
      </c>
      <c r="DB18" s="814">
        <v>0.05</v>
      </c>
      <c r="DC18" s="814">
        <v>0.05</v>
      </c>
      <c r="DD18" s="814">
        <v>0.05</v>
      </c>
      <c r="DE18" s="814">
        <v>0.05</v>
      </c>
      <c r="DF18" s="814">
        <v>0.05</v>
      </c>
      <c r="DG18" s="814">
        <v>4.9000000000000002E-2</v>
      </c>
      <c r="DH18" s="814">
        <v>4.8000000000000001E-2</v>
      </c>
      <c r="DI18" s="814">
        <v>4.8000000000000001E-2</v>
      </c>
      <c r="DJ18" s="814">
        <v>4.4999999999999998E-2</v>
      </c>
      <c r="DK18" s="814">
        <v>4.4999999999999998E-2</v>
      </c>
      <c r="DL18" s="814">
        <v>4.4999999999999998E-2</v>
      </c>
      <c r="DM18" s="814">
        <v>4.4999999999999998E-2</v>
      </c>
      <c r="DN18" s="814">
        <v>4.4999999999999998E-2</v>
      </c>
      <c r="DO18" s="814">
        <v>4.4999999999999998E-2</v>
      </c>
      <c r="DP18" s="814">
        <v>4.4999999999999998E-2</v>
      </c>
      <c r="DQ18" s="814">
        <v>4.4999999999999998E-2</v>
      </c>
      <c r="DR18" s="814">
        <v>4.4999999999999998E-2</v>
      </c>
      <c r="DS18" s="814">
        <v>4.4999999999999998E-2</v>
      </c>
      <c r="DT18" s="814">
        <v>4.4999999999999998E-2</v>
      </c>
      <c r="DU18" s="814">
        <v>4.4999999999999998E-2</v>
      </c>
      <c r="DV18" s="814">
        <v>4.4999999999999998E-2</v>
      </c>
      <c r="DW18" s="814">
        <v>4.4999999999999998E-2</v>
      </c>
      <c r="DX18" s="814">
        <v>4.4999999999999998E-2</v>
      </c>
      <c r="DY18" s="814">
        <v>4.4999999999999998E-2</v>
      </c>
      <c r="DZ18" s="814">
        <v>4.4999999999999998E-2</v>
      </c>
      <c r="EA18" s="814">
        <v>4.4999999999999998E-2</v>
      </c>
      <c r="EB18" s="814">
        <v>4.4999999999999998E-2</v>
      </c>
      <c r="EC18" s="814">
        <v>4.4999999999999998E-2</v>
      </c>
      <c r="ED18" s="814">
        <v>4.4999999999999998E-2</v>
      </c>
      <c r="EE18" s="814">
        <v>4.4999999999999998E-2</v>
      </c>
      <c r="EF18" s="814">
        <v>4.4999999999999998E-2</v>
      </c>
      <c r="EG18" s="814">
        <v>4.3999999999999997E-2</v>
      </c>
      <c r="EH18" s="814">
        <v>4.2000000000000003E-2</v>
      </c>
      <c r="EI18" s="814">
        <v>4.2000000000000003E-2</v>
      </c>
      <c r="EJ18" s="814">
        <v>4.2000000000000003E-2</v>
      </c>
      <c r="EK18" s="814">
        <v>4.2000000000000003E-2</v>
      </c>
      <c r="EL18" s="814">
        <v>4.2000000000000003E-2</v>
      </c>
      <c r="EM18" s="814">
        <v>4.2000000000000003E-2</v>
      </c>
      <c r="EN18" s="814">
        <v>4.2000000000000003E-2</v>
      </c>
      <c r="EO18" s="814">
        <v>4.2000000000000003E-2</v>
      </c>
      <c r="EP18" s="814">
        <v>0.03</v>
      </c>
      <c r="EQ18" s="814">
        <v>0.03</v>
      </c>
      <c r="ER18" s="814">
        <v>0.03</v>
      </c>
      <c r="ES18" s="814">
        <v>0.03</v>
      </c>
      <c r="ET18" s="814">
        <v>0.03</v>
      </c>
      <c r="EU18" s="814">
        <v>0.03</v>
      </c>
      <c r="EV18" s="814">
        <v>0.03</v>
      </c>
      <c r="EW18" s="814">
        <v>0.03</v>
      </c>
      <c r="EX18" s="814">
        <v>0.03</v>
      </c>
      <c r="EY18" s="814">
        <v>0.03</v>
      </c>
      <c r="EZ18" s="814">
        <v>3.2000000000000001E-2</v>
      </c>
      <c r="FA18" s="814">
        <v>3.4000000000000002E-2</v>
      </c>
      <c r="FB18" s="814">
        <v>3.5000000000000003E-2</v>
      </c>
      <c r="FC18" s="814">
        <v>3.6999999999999998E-2</v>
      </c>
      <c r="FD18" s="814">
        <v>3.9E-2</v>
      </c>
      <c r="FE18" s="814">
        <v>4.1000000000000002E-2</v>
      </c>
      <c r="FF18" s="814">
        <v>4.2000000000000003E-2</v>
      </c>
      <c r="FG18" s="814">
        <v>4.3999999999999997E-2</v>
      </c>
      <c r="FH18" s="814">
        <v>4.4999999999999998E-2</v>
      </c>
      <c r="FI18" s="814">
        <v>0.05</v>
      </c>
      <c r="FJ18" s="814">
        <v>5.1999999999999998E-2</v>
      </c>
      <c r="FK18" s="814">
        <v>5.6000000000000001E-2</v>
      </c>
      <c r="FL18" s="814">
        <v>5.8000000000000003E-2</v>
      </c>
      <c r="FM18" s="814">
        <v>0.06</v>
      </c>
      <c r="FN18" s="814">
        <v>6.0999999999999999E-2</v>
      </c>
      <c r="FO18" s="814">
        <v>6.0999999999999999E-2</v>
      </c>
    </row>
    <row r="19" spans="1:171">
      <c r="A19" s="813" t="s">
        <v>2263</v>
      </c>
      <c r="B19" s="813"/>
      <c r="C19" s="813"/>
      <c r="D19" s="813"/>
      <c r="E19" s="814">
        <v>0.1116</v>
      </c>
      <c r="F19" s="814">
        <v>0.10567500000000001</v>
      </c>
      <c r="G19" s="814">
        <v>9.7199999999999995E-2</v>
      </c>
      <c r="H19" s="814">
        <v>9.2175000000000007E-2</v>
      </c>
      <c r="I19" s="814">
        <v>8.8800000000000004E-2</v>
      </c>
      <c r="J19" s="814">
        <v>7.0000000000000007E-2</v>
      </c>
      <c r="K19" s="814">
        <v>7.0000000000000007E-2</v>
      </c>
      <c r="L19" s="814">
        <v>7.0000000000000007E-2</v>
      </c>
      <c r="M19" s="814">
        <v>7.0000000000000007E-2</v>
      </c>
      <c r="N19" s="814">
        <v>7.0000000000000007E-2</v>
      </c>
      <c r="O19" s="814">
        <v>0.06</v>
      </c>
      <c r="P19" s="814">
        <v>0.06</v>
      </c>
      <c r="Q19" s="814">
        <v>7.0000000000000007E-2</v>
      </c>
      <c r="R19" s="814">
        <v>7.4999999999999997E-2</v>
      </c>
      <c r="S19" s="814">
        <v>7.4999999999999997E-2</v>
      </c>
      <c r="T19" s="814">
        <v>7.7499999999999999E-2</v>
      </c>
      <c r="U19" s="814">
        <v>0.08</v>
      </c>
      <c r="V19" s="814">
        <v>0.08</v>
      </c>
      <c r="W19" s="814">
        <v>0.08</v>
      </c>
      <c r="X19" s="814">
        <v>0.08</v>
      </c>
      <c r="Y19" s="814">
        <v>0.08</v>
      </c>
      <c r="Z19" s="814">
        <v>0.08</v>
      </c>
      <c r="AA19" s="814">
        <v>0.08</v>
      </c>
      <c r="AB19" s="814">
        <v>0.08</v>
      </c>
      <c r="AC19" s="814">
        <v>0.08</v>
      </c>
      <c r="AD19" s="814">
        <v>0.08</v>
      </c>
      <c r="AE19" s="814">
        <v>0.08</v>
      </c>
      <c r="AF19" s="814">
        <v>0.08</v>
      </c>
      <c r="AG19" s="814">
        <v>0.08</v>
      </c>
      <c r="AH19" s="814">
        <v>0.08</v>
      </c>
      <c r="AI19" s="814">
        <v>0.08</v>
      </c>
      <c r="AJ19" s="814">
        <v>8.3750000000000005E-2</v>
      </c>
      <c r="AK19" s="814">
        <v>8.5000000000000006E-2</v>
      </c>
      <c r="AL19" s="814">
        <v>8.5000000000000006E-2</v>
      </c>
      <c r="AM19" s="814">
        <v>8.2500000000000004E-2</v>
      </c>
      <c r="AN19" s="814">
        <v>0.08</v>
      </c>
      <c r="AO19" s="814">
        <v>0.08</v>
      </c>
      <c r="AP19" s="814">
        <v>0.08</v>
      </c>
      <c r="AQ19" s="814">
        <v>8.1250000000000003E-2</v>
      </c>
      <c r="AR19" s="814">
        <v>0.09</v>
      </c>
      <c r="AS19" s="814">
        <v>0.09</v>
      </c>
      <c r="AT19" s="814">
        <v>0.09</v>
      </c>
      <c r="AU19" s="814">
        <v>0.09</v>
      </c>
      <c r="AV19" s="814">
        <v>0.09</v>
      </c>
      <c r="AW19" s="814">
        <v>0.09</v>
      </c>
      <c r="AX19" s="814">
        <v>0.09</v>
      </c>
      <c r="AY19" s="814">
        <v>0.09</v>
      </c>
      <c r="AZ19" s="814">
        <v>8.6999999999999994E-2</v>
      </c>
      <c r="BA19" s="814">
        <v>8.5000000000000006E-2</v>
      </c>
      <c r="BB19" s="814">
        <v>8.5000000000000006E-2</v>
      </c>
      <c r="BC19" s="814">
        <v>8.5000000000000006E-2</v>
      </c>
      <c r="BD19" s="814">
        <v>8.5000000000000006E-2</v>
      </c>
      <c r="BE19" s="814">
        <v>8.5000000000000006E-2</v>
      </c>
      <c r="BF19" s="814">
        <v>8.5000000000000006E-2</v>
      </c>
      <c r="BG19" s="814">
        <v>8.5000000000000006E-2</v>
      </c>
      <c r="BH19" s="814">
        <v>8.5000000000000006E-2</v>
      </c>
      <c r="BI19" s="814">
        <v>8.5000000000000006E-2</v>
      </c>
      <c r="BJ19" s="814">
        <v>0.08</v>
      </c>
      <c r="BK19" s="814">
        <v>0.08</v>
      </c>
      <c r="BL19" s="814">
        <v>7.0000000000000007E-2</v>
      </c>
      <c r="BM19" s="814">
        <v>7.0000000000000007E-2</v>
      </c>
      <c r="BN19" s="814">
        <v>7.0000000000000007E-2</v>
      </c>
      <c r="BO19" s="814">
        <v>7.0000000000000007E-2</v>
      </c>
      <c r="BP19" s="814">
        <v>7.0000000000000007E-2</v>
      </c>
      <c r="BQ19" s="814">
        <v>7.0000000000000007E-2</v>
      </c>
      <c r="BR19" s="814">
        <v>7.0000000000000007E-2</v>
      </c>
      <c r="BS19" s="814">
        <v>7.0000000000000007E-2</v>
      </c>
      <c r="BT19" s="814">
        <v>7.0000000000000007E-2</v>
      </c>
      <c r="BU19" s="814">
        <v>7.0000000000000007E-2</v>
      </c>
      <c r="BV19" s="814">
        <v>7.0000000000000007E-2</v>
      </c>
      <c r="BW19" s="814">
        <v>7.0000000000000007E-2</v>
      </c>
      <c r="BX19" s="814">
        <v>7.0000000000000007E-2</v>
      </c>
      <c r="BY19" s="814">
        <v>7.0000000000000007E-2</v>
      </c>
      <c r="BZ19" s="814">
        <v>7.0000000000000007E-2</v>
      </c>
      <c r="CA19" s="814">
        <v>7.0000000000000007E-2</v>
      </c>
      <c r="CB19" s="814">
        <v>7.0000000000000007E-2</v>
      </c>
      <c r="CC19" s="814">
        <v>7.0000000000000007E-2</v>
      </c>
      <c r="CD19" s="814">
        <v>7.0000000000000007E-2</v>
      </c>
      <c r="CE19" s="814">
        <v>7.0000000000000007E-2</v>
      </c>
      <c r="CF19" s="814">
        <v>6.7000000000000004E-2</v>
      </c>
      <c r="CG19" s="814">
        <v>6.7000000000000004E-2</v>
      </c>
      <c r="CH19" s="814">
        <v>6.7000000000000004E-2</v>
      </c>
      <c r="CI19" s="814">
        <v>6.7000000000000004E-2</v>
      </c>
      <c r="CJ19" s="814">
        <v>6.7000000000000004E-2</v>
      </c>
      <c r="CK19" s="814">
        <v>6.7000000000000004E-2</v>
      </c>
      <c r="CL19" s="814">
        <v>6.7000000000000004E-2</v>
      </c>
      <c r="CM19" s="814">
        <v>6.7000000000000004E-2</v>
      </c>
      <c r="CN19" s="814">
        <v>6.5000000000000002E-2</v>
      </c>
      <c r="CO19" s="814">
        <v>6.2E-2</v>
      </c>
      <c r="CP19" s="814">
        <v>6.2E-2</v>
      </c>
      <c r="CQ19" s="814">
        <v>6.2E-2</v>
      </c>
      <c r="CR19" s="814">
        <v>6.2E-2</v>
      </c>
      <c r="CS19" s="814">
        <v>6.2E-2</v>
      </c>
      <c r="CT19" s="814">
        <v>6.2E-2</v>
      </c>
      <c r="CU19" s="814">
        <v>0.06</v>
      </c>
      <c r="CV19" s="814">
        <v>0.06</v>
      </c>
      <c r="CW19" s="814">
        <v>0.06</v>
      </c>
      <c r="CX19" s="814">
        <v>0.06</v>
      </c>
      <c r="CY19" s="814">
        <v>0.06</v>
      </c>
      <c r="CZ19" s="814">
        <v>0.06</v>
      </c>
      <c r="DA19" s="814">
        <v>0.06</v>
      </c>
      <c r="DB19" s="814">
        <v>0.06</v>
      </c>
      <c r="DC19" s="814">
        <v>0.06</v>
      </c>
      <c r="DD19" s="814">
        <v>0.06</v>
      </c>
      <c r="DE19" s="814">
        <v>0.06</v>
      </c>
      <c r="DF19" s="814">
        <v>0.06</v>
      </c>
      <c r="DG19" s="814">
        <v>0.06</v>
      </c>
      <c r="DH19" s="814">
        <v>0.06</v>
      </c>
      <c r="DI19" s="814">
        <v>0.06</v>
      </c>
      <c r="DJ19" s="814">
        <v>0.06</v>
      </c>
      <c r="DK19" s="814">
        <v>0.06</v>
      </c>
      <c r="DL19" s="814">
        <v>0.06</v>
      </c>
      <c r="DM19" s="814">
        <v>0.06</v>
      </c>
      <c r="DN19" s="814">
        <v>0.06</v>
      </c>
      <c r="DO19" s="814">
        <v>0.06</v>
      </c>
      <c r="DP19" s="814">
        <v>0.06</v>
      </c>
      <c r="DQ19" s="814">
        <v>0.06</v>
      </c>
      <c r="DR19" s="814">
        <v>0.06</v>
      </c>
      <c r="DS19" s="814">
        <v>0.06</v>
      </c>
      <c r="DT19" s="814">
        <v>0.06</v>
      </c>
      <c r="DU19" s="814">
        <v>0.06</v>
      </c>
      <c r="DV19" s="814">
        <v>0.06</v>
      </c>
      <c r="DW19" s="814">
        <v>0.06</v>
      </c>
      <c r="DX19" s="814">
        <v>0.06</v>
      </c>
      <c r="DY19" s="814">
        <v>0.06</v>
      </c>
      <c r="DZ19" s="814">
        <v>0.06</v>
      </c>
      <c r="EA19" s="814">
        <v>0.06</v>
      </c>
      <c r="EB19" s="814">
        <v>0.06</v>
      </c>
      <c r="EC19" s="814">
        <v>0.06</v>
      </c>
      <c r="ED19" s="814">
        <v>0.06</v>
      </c>
      <c r="EE19" s="814">
        <v>0.06</v>
      </c>
      <c r="EF19" s="814">
        <v>0.06</v>
      </c>
      <c r="EG19" s="814">
        <v>0.06</v>
      </c>
      <c r="EH19" s="814">
        <v>0.06</v>
      </c>
      <c r="EI19" s="814">
        <v>0.06</v>
      </c>
      <c r="EJ19" s="814">
        <v>0.06</v>
      </c>
      <c r="EK19" s="814">
        <v>0.06</v>
      </c>
      <c r="EL19" s="814">
        <v>0.06</v>
      </c>
      <c r="EM19" s="814">
        <v>0.06</v>
      </c>
      <c r="EN19" s="814">
        <v>0.06</v>
      </c>
      <c r="EO19" s="814">
        <v>0.06</v>
      </c>
      <c r="EP19" s="814">
        <v>0.06</v>
      </c>
      <c r="EQ19" s="814">
        <v>0.06</v>
      </c>
      <c r="ER19" s="814">
        <v>0.06</v>
      </c>
      <c r="ES19" s="814">
        <v>0.06</v>
      </c>
      <c r="ET19" s="814">
        <v>0.06</v>
      </c>
      <c r="EU19" s="814">
        <v>0.06</v>
      </c>
      <c r="EV19" s="814">
        <v>0.06</v>
      </c>
      <c r="EW19" s="814">
        <v>0.06</v>
      </c>
      <c r="EX19" s="814">
        <v>0.06</v>
      </c>
      <c r="EY19" s="814">
        <v>0.06</v>
      </c>
      <c r="EZ19" s="814">
        <v>4.3999999999999997E-2</v>
      </c>
      <c r="FA19" s="814">
        <v>4.2999999999999997E-2</v>
      </c>
      <c r="FB19" s="814">
        <v>4.2000000000000003E-2</v>
      </c>
      <c r="FC19" s="814">
        <v>4.2000000000000003E-2</v>
      </c>
      <c r="FD19" s="814">
        <v>4.2999999999999997E-2</v>
      </c>
      <c r="FE19" s="814">
        <v>4.2999999999999997E-2</v>
      </c>
      <c r="FF19" s="814">
        <v>4.4999999999999998E-2</v>
      </c>
      <c r="FG19" s="814">
        <v>4.5999999999999999E-2</v>
      </c>
      <c r="FH19" s="814">
        <v>5.0999999999999997E-2</v>
      </c>
      <c r="FI19" s="814">
        <v>5.3999999999999999E-2</v>
      </c>
      <c r="FJ19" s="814">
        <v>5.7000000000000002E-2</v>
      </c>
      <c r="FK19" s="814">
        <v>5.7000000000000002E-2</v>
      </c>
      <c r="FL19" s="814">
        <v>5.8999999999999997E-2</v>
      </c>
      <c r="FM19" s="814">
        <v>6.0999999999999999E-2</v>
      </c>
      <c r="FN19" s="814">
        <v>6.2E-2</v>
      </c>
      <c r="FO19" s="814">
        <v>6.4000000000000001E-2</v>
      </c>
    </row>
    <row r="22" spans="1:171" s="817" customFormat="1" ht="16">
      <c r="A22" s="816" t="s">
        <v>2264</v>
      </c>
      <c r="B22" s="816"/>
      <c r="C22" s="816"/>
      <c r="D22" s="816"/>
      <c r="E22" s="816"/>
      <c r="F22" s="816"/>
      <c r="G22" s="816"/>
      <c r="H22" s="816"/>
      <c r="I22" s="816"/>
      <c r="J22" s="816"/>
    </row>
    <row r="23" spans="1:171" s="817" customFormat="1" ht="16">
      <c r="A23" s="816" t="s">
        <v>2265</v>
      </c>
      <c r="B23" s="816"/>
      <c r="C23" s="816"/>
      <c r="D23" s="816"/>
      <c r="E23" s="816"/>
      <c r="F23" s="816"/>
      <c r="G23" s="816"/>
      <c r="H23" s="816"/>
      <c r="I23" s="816"/>
      <c r="J23" s="816"/>
    </row>
    <row r="24" spans="1:171" s="817" customFormat="1" ht="16">
      <c r="A24" s="818" t="s">
        <v>2266</v>
      </c>
      <c r="B24" s="818"/>
      <c r="C24" s="818"/>
      <c r="D24" s="818"/>
      <c r="E24" s="818"/>
      <c r="F24" s="818"/>
      <c r="G24" s="818"/>
      <c r="H24" s="818"/>
      <c r="I24" s="818"/>
      <c r="J24" s="818"/>
    </row>
    <row r="25" spans="1:171" s="817" customFormat="1" ht="16">
      <c r="A25" s="818" t="s">
        <v>2267</v>
      </c>
      <c r="B25" s="818"/>
      <c r="C25" s="818"/>
      <c r="D25" s="818"/>
      <c r="E25" s="818"/>
      <c r="F25" s="818"/>
      <c r="G25" s="818"/>
      <c r="H25" s="818"/>
      <c r="I25" s="818"/>
      <c r="J25" s="818"/>
    </row>
    <row r="26" spans="1:171" s="817" customFormat="1" ht="16">
      <c r="A26" s="819" t="s">
        <v>2268</v>
      </c>
      <c r="B26" s="820"/>
      <c r="C26" s="820"/>
      <c r="D26" s="820"/>
      <c r="E26" s="820"/>
      <c r="F26" s="820"/>
      <c r="G26" s="820"/>
      <c r="H26" s="820"/>
      <c r="I26" s="820"/>
      <c r="J26" s="820"/>
    </row>
    <row r="27" spans="1:171" s="817" customFormat="1" ht="16"/>
    <row r="28" spans="1:171" s="817" customFormat="1" ht="16">
      <c r="A28" s="816" t="s">
        <v>2269</v>
      </c>
      <c r="B28" s="816"/>
      <c r="C28" s="816"/>
      <c r="D28" s="816"/>
      <c r="E28" s="816"/>
      <c r="F28" s="816"/>
      <c r="G28" s="816"/>
      <c r="H28" s="816"/>
      <c r="I28" s="816"/>
      <c r="J28" s="816"/>
    </row>
    <row r="29" spans="1:171" s="817" customFormat="1" ht="16">
      <c r="A29" s="818" t="s">
        <v>2270</v>
      </c>
      <c r="B29" s="818"/>
      <c r="C29" s="818"/>
      <c r="D29" s="818"/>
      <c r="E29" s="818"/>
      <c r="F29" s="818"/>
      <c r="G29" s="818"/>
      <c r="H29" s="818"/>
      <c r="I29" s="818"/>
      <c r="J29" s="818"/>
    </row>
    <row r="30" spans="1:171" s="817" customFormat="1" ht="16">
      <c r="A30" s="819" t="s">
        <v>2271</v>
      </c>
      <c r="B30" s="820"/>
      <c r="C30" s="820"/>
      <c r="D30" s="820"/>
      <c r="E30" s="820"/>
      <c r="F30" s="820"/>
      <c r="G30" s="820"/>
      <c r="H30" s="820"/>
      <c r="I30" s="820"/>
      <c r="J30" s="820"/>
    </row>
  </sheetData>
  <phoneticPr fontId="64" type="noConversion"/>
  <hyperlinks>
    <hyperlink ref="A26" r:id="rId1" xr:uid="{F15426A9-3EDA-436F-873D-982C6EBBBAC7}"/>
    <hyperlink ref="A30" r:id="rId2" xr:uid="{284D5593-CEA4-49CA-A2E9-754EF1D8866E}"/>
  </hyperlinks>
  <pageMargins left="0.7" right="0.7" top="0.75" bottom="0.75" header="0.3" footer="0.3"/>
  <pageSetup orientation="portrait" r:id="rId3"/>
  <drawing r:id="rId4"/>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EBB60C-F1E5-4100-84AF-881B4B3C65F1}">
  <dimension ref="A1:X1251"/>
  <sheetViews>
    <sheetView zoomScale="40" zoomScaleNormal="40" workbookViewId="0">
      <selection activeCell="AH67" sqref="AH67"/>
    </sheetView>
  </sheetViews>
  <sheetFormatPr baseColWidth="10" defaultColWidth="8.83203125" defaultRowHeight="15"/>
  <cols>
    <col min="1" max="1" width="20" customWidth="1"/>
    <col min="2" max="2" width="8.5" style="152"/>
    <col min="7" max="7" width="12.6640625" customWidth="1"/>
    <col min="12" max="12" width="14.83203125" customWidth="1"/>
  </cols>
  <sheetData>
    <row r="1" spans="1:24">
      <c r="B1" s="152" t="s">
        <v>1590</v>
      </c>
      <c r="C1">
        <f>_xlfn.STDEV.S(B3:B1251)</f>
        <v>15.243362674913138</v>
      </c>
      <c r="G1" t="s">
        <v>320</v>
      </c>
      <c r="H1" t="s">
        <v>2272</v>
      </c>
      <c r="I1" t="s">
        <v>2273</v>
      </c>
      <c r="L1" t="s">
        <v>320</v>
      </c>
      <c r="M1" t="s">
        <v>2274</v>
      </c>
      <c r="N1" t="s">
        <v>2275</v>
      </c>
      <c r="O1" t="s">
        <v>2276</v>
      </c>
      <c r="P1" t="s">
        <v>2277</v>
      </c>
      <c r="Q1" t="s">
        <v>2278</v>
      </c>
      <c r="R1" t="s">
        <v>2279</v>
      </c>
      <c r="S1" t="s">
        <v>2276</v>
      </c>
      <c r="T1" t="s">
        <v>2279</v>
      </c>
      <c r="U1" t="s">
        <v>2278</v>
      </c>
      <c r="V1" t="s">
        <v>2280</v>
      </c>
      <c r="W1" t="s">
        <v>2281</v>
      </c>
      <c r="X1" t="s">
        <v>2282</v>
      </c>
    </row>
    <row r="2" spans="1:24">
      <c r="A2" t="s">
        <v>320</v>
      </c>
      <c r="B2" s="152" t="s">
        <v>1649</v>
      </c>
      <c r="G2" s="39">
        <v>45271</v>
      </c>
      <c r="H2">
        <v>89.472800000000007</v>
      </c>
      <c r="I2">
        <v>33.076599999999999</v>
      </c>
      <c r="J2">
        <f>MEDIAN(I2:I934)</f>
        <v>28.366</v>
      </c>
      <c r="L2" t="s">
        <v>2283</v>
      </c>
      <c r="M2">
        <f>MEDIAN(M4:M300)</f>
        <v>34.200000000000003</v>
      </c>
      <c r="N2">
        <f t="shared" ref="N2:V2" si="0">MEDIAN(N4:N300)</f>
        <v>7.9</v>
      </c>
      <c r="O2">
        <f t="shared" si="0"/>
        <v>22.6</v>
      </c>
      <c r="P2">
        <f t="shared" si="0"/>
        <v>36.700000000000003</v>
      </c>
      <c r="Q2">
        <f t="shared" si="0"/>
        <v>17.7</v>
      </c>
      <c r="R2">
        <f t="shared" si="0"/>
        <v>16.8</v>
      </c>
      <c r="S2">
        <f t="shared" si="0"/>
        <v>22.6</v>
      </c>
      <c r="T2">
        <f t="shared" si="0"/>
        <v>16.8</v>
      </c>
      <c r="U2">
        <f t="shared" si="0"/>
        <v>17.7</v>
      </c>
      <c r="V2">
        <f t="shared" si="0"/>
        <v>35.549999999999997</v>
      </c>
      <c r="W2">
        <f>AVERAGE(M2:V2)</f>
        <v>22.855</v>
      </c>
      <c r="X2">
        <f>MEDIAN(X4:X300)</f>
        <v>101.1</v>
      </c>
    </row>
    <row r="3" spans="1:24">
      <c r="A3" s="39">
        <v>45250</v>
      </c>
      <c r="B3" s="152">
        <v>86.841200000000001</v>
      </c>
      <c r="C3">
        <f>AVERAGE($B$3:$B$1251)+$C$1</f>
        <v>34.141525685321461</v>
      </c>
      <c r="D3">
        <f>AVERAGE($B$3:$B$1251)-$C$1</f>
        <v>3.654800335495187</v>
      </c>
      <c r="E3">
        <f>AVERAGE($B$3:$B$1251)</f>
        <v>18.898163010408325</v>
      </c>
      <c r="G3" s="39">
        <v>45268</v>
      </c>
      <c r="H3">
        <v>89.683300000000003</v>
      </c>
      <c r="I3">
        <v>33.152999999999999</v>
      </c>
      <c r="L3" t="s">
        <v>2284</v>
      </c>
      <c r="M3" s="158">
        <f>W2</f>
        <v>22.855</v>
      </c>
      <c r="N3" s="158">
        <f>M3</f>
        <v>22.855</v>
      </c>
      <c r="O3" s="158">
        <f t="shared" ref="O3:V3" si="1">N3</f>
        <v>22.855</v>
      </c>
      <c r="P3" s="158">
        <f t="shared" si="1"/>
        <v>22.855</v>
      </c>
      <c r="Q3" s="158">
        <f t="shared" si="1"/>
        <v>22.855</v>
      </c>
      <c r="R3" s="158">
        <f t="shared" si="1"/>
        <v>22.855</v>
      </c>
      <c r="S3" s="158">
        <f t="shared" si="1"/>
        <v>22.855</v>
      </c>
      <c r="T3" s="158">
        <f t="shared" si="1"/>
        <v>22.855</v>
      </c>
      <c r="U3" s="158">
        <f t="shared" si="1"/>
        <v>22.855</v>
      </c>
      <c r="V3" s="158">
        <f t="shared" si="1"/>
        <v>22.855</v>
      </c>
    </row>
    <row r="4" spans="1:24">
      <c r="A4" s="39">
        <v>45247</v>
      </c>
      <c r="B4" s="152">
        <v>87.156999999999996</v>
      </c>
      <c r="C4">
        <f>AVERAGE($B$3:$B$1251)+$C$1</f>
        <v>34.141525685321461</v>
      </c>
      <c r="D4">
        <f t="shared" ref="D4:D67" si="2">AVERAGE($B$3:$B$1251)-$C$1</f>
        <v>3.654800335495187</v>
      </c>
      <c r="E4">
        <f t="shared" ref="E4:E67" si="3">AVERAGE($B$3:$B$1251)</f>
        <v>18.898163010408325</v>
      </c>
      <c r="G4" s="39">
        <v>45267</v>
      </c>
      <c r="H4">
        <v>85.999099999999999</v>
      </c>
      <c r="I4">
        <v>33.046300000000002</v>
      </c>
      <c r="L4" s="39">
        <v>45273</v>
      </c>
      <c r="M4">
        <v>29</v>
      </c>
      <c r="N4">
        <v>3.6</v>
      </c>
      <c r="O4">
        <v>23</v>
      </c>
      <c r="P4">
        <v>36.299999999999997</v>
      </c>
      <c r="Q4">
        <v>17.2</v>
      </c>
      <c r="R4">
        <v>16.7</v>
      </c>
      <c r="S4">
        <v>23</v>
      </c>
      <c r="T4">
        <v>16.7</v>
      </c>
      <c r="U4">
        <v>17.2</v>
      </c>
      <c r="V4">
        <v>42.9</v>
      </c>
      <c r="X4">
        <v>97.8</v>
      </c>
    </row>
    <row r="5" spans="1:24">
      <c r="A5" s="39">
        <v>45246</v>
      </c>
      <c r="B5" s="152">
        <v>87.367500000000007</v>
      </c>
      <c r="C5">
        <f t="shared" ref="C5:C67" si="4">AVERAGE($B$3:$B$1251)+$C$1</f>
        <v>34.141525685321461</v>
      </c>
      <c r="D5">
        <f t="shared" si="2"/>
        <v>3.654800335495187</v>
      </c>
      <c r="E5">
        <f t="shared" si="3"/>
        <v>18.898163010408325</v>
      </c>
      <c r="G5" s="39">
        <v>45266</v>
      </c>
      <c r="H5">
        <v>86.209599999999995</v>
      </c>
      <c r="I5">
        <v>33.094099999999997</v>
      </c>
      <c r="L5" s="39">
        <v>45268</v>
      </c>
      <c r="M5">
        <v>30</v>
      </c>
      <c r="N5">
        <v>3.8</v>
      </c>
      <c r="O5">
        <v>22.9</v>
      </c>
      <c r="P5">
        <v>35.9</v>
      </c>
      <c r="Q5">
        <v>17.2</v>
      </c>
      <c r="R5">
        <v>16.7</v>
      </c>
      <c r="S5">
        <v>22.9</v>
      </c>
      <c r="T5">
        <v>16.7</v>
      </c>
      <c r="U5">
        <v>17.2</v>
      </c>
      <c r="V5">
        <v>41.7</v>
      </c>
      <c r="X5">
        <v>98.1</v>
      </c>
    </row>
    <row r="6" spans="1:24">
      <c r="A6" s="39">
        <v>45245</v>
      </c>
      <c r="B6" s="152">
        <v>88.209599999999995</v>
      </c>
      <c r="C6">
        <f t="shared" si="4"/>
        <v>34.141525685321461</v>
      </c>
      <c r="D6">
        <f t="shared" si="2"/>
        <v>3.654800335495187</v>
      </c>
      <c r="E6">
        <f t="shared" si="3"/>
        <v>18.898163010408325</v>
      </c>
      <c r="G6" s="39">
        <v>45265</v>
      </c>
      <c r="H6">
        <v>84.209699999999998</v>
      </c>
      <c r="I6">
        <v>32.939599999999999</v>
      </c>
      <c r="L6" s="39">
        <v>45261</v>
      </c>
      <c r="M6">
        <v>30.3</v>
      </c>
      <c r="N6">
        <v>3.9</v>
      </c>
      <c r="O6">
        <v>23.4</v>
      </c>
      <c r="P6">
        <v>36.6</v>
      </c>
      <c r="Q6">
        <v>17.100000000000001</v>
      </c>
      <c r="R6">
        <v>16.600000000000001</v>
      </c>
      <c r="S6">
        <v>23.4</v>
      </c>
      <c r="T6">
        <v>16.600000000000001</v>
      </c>
      <c r="U6">
        <v>17.100000000000001</v>
      </c>
      <c r="V6">
        <v>40.700000000000003</v>
      </c>
      <c r="X6">
        <v>98.5</v>
      </c>
    </row>
    <row r="7" spans="1:24">
      <c r="A7" s="39">
        <v>45244</v>
      </c>
      <c r="B7" s="152">
        <v>87.367500000000007</v>
      </c>
      <c r="C7">
        <f t="shared" si="4"/>
        <v>34.141525685321461</v>
      </c>
      <c r="D7">
        <f t="shared" si="2"/>
        <v>3.654800335495187</v>
      </c>
      <c r="E7">
        <f t="shared" si="3"/>
        <v>18.898163010408325</v>
      </c>
      <c r="G7" s="39">
        <v>45264</v>
      </c>
      <c r="H7">
        <v>84.104399999999998</v>
      </c>
      <c r="I7">
        <v>32.892600000000002</v>
      </c>
      <c r="L7" s="39">
        <v>45254</v>
      </c>
      <c r="M7">
        <v>31.3</v>
      </c>
      <c r="N7">
        <v>4</v>
      </c>
      <c r="O7">
        <v>23.6</v>
      </c>
      <c r="P7">
        <v>36.200000000000003</v>
      </c>
      <c r="Q7">
        <v>17.3</v>
      </c>
      <c r="R7">
        <v>16.2</v>
      </c>
      <c r="S7">
        <v>23.6</v>
      </c>
      <c r="T7">
        <v>16.2</v>
      </c>
      <c r="U7">
        <v>17.3</v>
      </c>
      <c r="V7">
        <v>40.299999999999997</v>
      </c>
      <c r="X7">
        <v>98.4</v>
      </c>
    </row>
    <row r="8" spans="1:24">
      <c r="A8" s="39">
        <v>45243</v>
      </c>
      <c r="B8" s="152">
        <v>84.209699999999998</v>
      </c>
      <c r="C8">
        <f t="shared" si="4"/>
        <v>34.141525685321461</v>
      </c>
      <c r="D8">
        <f t="shared" si="2"/>
        <v>3.654800335495187</v>
      </c>
      <c r="E8">
        <f t="shared" si="3"/>
        <v>18.898163010408325</v>
      </c>
      <c r="G8" s="39">
        <v>45261</v>
      </c>
      <c r="H8">
        <v>81.578100000000006</v>
      </c>
      <c r="I8">
        <v>32.631799999999998</v>
      </c>
      <c r="L8" s="39">
        <v>45247</v>
      </c>
      <c r="M8">
        <v>32.299999999999997</v>
      </c>
      <c r="N8">
        <v>3.8</v>
      </c>
      <c r="O8">
        <v>23.5</v>
      </c>
      <c r="P8">
        <v>36.4</v>
      </c>
      <c r="Q8">
        <v>16.8</v>
      </c>
      <c r="R8">
        <v>16</v>
      </c>
      <c r="S8">
        <v>23.5</v>
      </c>
      <c r="T8">
        <v>16</v>
      </c>
      <c r="U8">
        <v>16.8</v>
      </c>
      <c r="V8">
        <v>39.4</v>
      </c>
      <c r="X8">
        <v>99</v>
      </c>
    </row>
    <row r="9" spans="1:24">
      <c r="A9" s="39">
        <v>45240</v>
      </c>
      <c r="B9" s="152">
        <v>82.9465</v>
      </c>
      <c r="C9">
        <f t="shared" si="4"/>
        <v>34.141525685321461</v>
      </c>
      <c r="D9">
        <f t="shared" si="2"/>
        <v>3.654800335495187</v>
      </c>
      <c r="E9">
        <f t="shared" si="3"/>
        <v>18.898163010408325</v>
      </c>
      <c r="G9" s="39">
        <v>45260</v>
      </c>
      <c r="H9">
        <v>81.0518</v>
      </c>
      <c r="I9">
        <v>32.126899999999999</v>
      </c>
      <c r="L9" s="39">
        <v>45240</v>
      </c>
      <c r="M9">
        <v>31.7</v>
      </c>
      <c r="N9">
        <v>4</v>
      </c>
      <c r="O9">
        <v>25.2</v>
      </c>
      <c r="P9">
        <v>36.6</v>
      </c>
      <c r="Q9">
        <v>17.8</v>
      </c>
      <c r="R9">
        <v>13.2</v>
      </c>
      <c r="S9">
        <v>25.2</v>
      </c>
      <c r="T9">
        <v>13.2</v>
      </c>
      <c r="U9">
        <v>17.8</v>
      </c>
      <c r="V9">
        <v>39.4</v>
      </c>
      <c r="X9">
        <v>100.2</v>
      </c>
    </row>
    <row r="10" spans="1:24">
      <c r="A10" s="39">
        <v>45239</v>
      </c>
      <c r="B10" s="152">
        <v>84.841200000000001</v>
      </c>
      <c r="C10">
        <f t="shared" si="4"/>
        <v>34.141525685321461</v>
      </c>
      <c r="D10">
        <f t="shared" si="2"/>
        <v>3.654800335495187</v>
      </c>
      <c r="E10">
        <f t="shared" si="3"/>
        <v>18.898163010408325</v>
      </c>
      <c r="G10" s="39">
        <v>45259</v>
      </c>
      <c r="H10">
        <v>81.683400000000006</v>
      </c>
      <c r="I10">
        <v>31.950399999999998</v>
      </c>
      <c r="L10" s="39">
        <v>45233</v>
      </c>
      <c r="M10">
        <v>32.299999999999997</v>
      </c>
      <c r="N10">
        <v>4.4000000000000004</v>
      </c>
      <c r="O10">
        <v>24.9</v>
      </c>
      <c r="P10">
        <v>36.6</v>
      </c>
      <c r="Q10">
        <v>17.899999999999999</v>
      </c>
      <c r="R10">
        <v>13.8</v>
      </c>
      <c r="S10">
        <v>24.9</v>
      </c>
      <c r="T10">
        <v>13.8</v>
      </c>
      <c r="U10">
        <v>17.899999999999999</v>
      </c>
      <c r="V10">
        <v>38.299999999999997</v>
      </c>
      <c r="X10">
        <v>101.9</v>
      </c>
    </row>
    <row r="11" spans="1:24">
      <c r="A11" s="39">
        <v>45238</v>
      </c>
      <c r="B11" s="152">
        <v>83.367599999999996</v>
      </c>
      <c r="C11">
        <f t="shared" si="4"/>
        <v>34.141525685321461</v>
      </c>
      <c r="D11">
        <f t="shared" si="2"/>
        <v>3.654800335495187</v>
      </c>
      <c r="E11">
        <f t="shared" si="3"/>
        <v>18.898163010408325</v>
      </c>
      <c r="G11" s="39">
        <v>45258</v>
      </c>
      <c r="H11">
        <v>79.999200000000002</v>
      </c>
      <c r="I11">
        <v>32.101100000000002</v>
      </c>
      <c r="L11" s="39">
        <v>45226</v>
      </c>
      <c r="M11">
        <v>31.3</v>
      </c>
      <c r="N11">
        <v>5</v>
      </c>
      <c r="O11">
        <v>29.4</v>
      </c>
      <c r="P11">
        <v>35.5</v>
      </c>
      <c r="Q11">
        <v>18.100000000000001</v>
      </c>
      <c r="R11">
        <v>13.1</v>
      </c>
      <c r="S11">
        <v>29.4</v>
      </c>
      <c r="T11">
        <v>13.1</v>
      </c>
      <c r="U11">
        <v>18.100000000000001</v>
      </c>
      <c r="V11">
        <v>37</v>
      </c>
      <c r="X11">
        <v>99.4</v>
      </c>
    </row>
    <row r="12" spans="1:24">
      <c r="A12" s="39">
        <v>45237</v>
      </c>
      <c r="B12" s="152">
        <v>80.420199999999994</v>
      </c>
      <c r="C12">
        <f t="shared" si="4"/>
        <v>34.141525685321461</v>
      </c>
      <c r="D12">
        <f t="shared" si="2"/>
        <v>3.654800335495187</v>
      </c>
      <c r="E12">
        <f t="shared" si="3"/>
        <v>18.898163010408325</v>
      </c>
      <c r="G12" s="39">
        <v>45257</v>
      </c>
      <c r="H12">
        <v>79.999200000000002</v>
      </c>
      <c r="I12">
        <v>32.029200000000003</v>
      </c>
      <c r="L12" s="39">
        <v>45219</v>
      </c>
      <c r="M12">
        <v>31.7</v>
      </c>
      <c r="N12">
        <v>6.2</v>
      </c>
      <c r="O12">
        <v>28.9</v>
      </c>
      <c r="P12">
        <v>35.299999999999997</v>
      </c>
      <c r="Q12">
        <v>17.7</v>
      </c>
      <c r="R12">
        <v>14.5</v>
      </c>
      <c r="S12">
        <v>28.9</v>
      </c>
      <c r="T12">
        <v>14.5</v>
      </c>
      <c r="U12">
        <v>17.7</v>
      </c>
      <c r="V12">
        <v>37.6</v>
      </c>
      <c r="X12">
        <v>98.1</v>
      </c>
    </row>
    <row r="13" spans="1:24">
      <c r="A13" s="39">
        <v>45236</v>
      </c>
      <c r="B13" s="152">
        <v>80.104399999999998</v>
      </c>
      <c r="C13">
        <f t="shared" si="4"/>
        <v>34.141525685321461</v>
      </c>
      <c r="D13">
        <f t="shared" si="2"/>
        <v>3.654800335495187</v>
      </c>
      <c r="E13">
        <f t="shared" si="3"/>
        <v>18.898163010408325</v>
      </c>
      <c r="G13" s="39">
        <v>45254</v>
      </c>
      <c r="H13">
        <v>81.1571</v>
      </c>
      <c r="I13">
        <v>32.172899999999998</v>
      </c>
      <c r="L13" s="39">
        <v>45212</v>
      </c>
      <c r="M13">
        <v>33.799999999999997</v>
      </c>
      <c r="N13">
        <v>5.7</v>
      </c>
      <c r="O13">
        <v>29.1</v>
      </c>
      <c r="P13">
        <v>35.4</v>
      </c>
      <c r="Q13">
        <v>17.7</v>
      </c>
      <c r="R13">
        <v>14.9</v>
      </c>
      <c r="S13">
        <v>29.1</v>
      </c>
      <c r="T13">
        <v>14.9</v>
      </c>
      <c r="U13">
        <v>17.7</v>
      </c>
      <c r="V13">
        <v>38.6</v>
      </c>
      <c r="X13">
        <v>97</v>
      </c>
    </row>
    <row r="14" spans="1:24">
      <c r="A14" s="39">
        <v>45233</v>
      </c>
      <c r="B14" s="152">
        <v>81.999200000000002</v>
      </c>
      <c r="C14">
        <f t="shared" si="4"/>
        <v>34.141525685321461</v>
      </c>
      <c r="D14">
        <f t="shared" si="2"/>
        <v>3.654800335495187</v>
      </c>
      <c r="E14">
        <f t="shared" si="3"/>
        <v>18.898163010408325</v>
      </c>
      <c r="G14" s="39">
        <v>45253</v>
      </c>
      <c r="H14">
        <v>78.525499999999994</v>
      </c>
      <c r="I14">
        <v>31.8963</v>
      </c>
      <c r="L14" s="39">
        <v>45205</v>
      </c>
      <c r="M14">
        <v>34.700000000000003</v>
      </c>
      <c r="N14">
        <v>5.9</v>
      </c>
      <c r="O14">
        <v>28.5</v>
      </c>
      <c r="P14">
        <v>34.4</v>
      </c>
      <c r="Q14">
        <v>17.5</v>
      </c>
      <c r="R14">
        <v>14</v>
      </c>
      <c r="S14">
        <v>28.5</v>
      </c>
      <c r="T14">
        <v>14</v>
      </c>
      <c r="U14">
        <v>17.5</v>
      </c>
      <c r="V14">
        <v>38</v>
      </c>
      <c r="X14">
        <v>97.7</v>
      </c>
    </row>
    <row r="15" spans="1:24">
      <c r="A15" s="39">
        <v>45232</v>
      </c>
      <c r="B15" s="152">
        <v>77.893900000000002</v>
      </c>
      <c r="C15">
        <f t="shared" si="4"/>
        <v>34.141525685321461</v>
      </c>
      <c r="D15">
        <f t="shared" si="2"/>
        <v>3.654800335495187</v>
      </c>
      <c r="E15">
        <f t="shared" si="3"/>
        <v>18.898163010408325</v>
      </c>
      <c r="G15" s="39">
        <v>45252</v>
      </c>
      <c r="H15">
        <v>83.788600000000002</v>
      </c>
      <c r="I15">
        <v>32.392099999999999</v>
      </c>
      <c r="L15" s="39">
        <v>45198</v>
      </c>
      <c r="M15">
        <v>34.4</v>
      </c>
      <c r="N15">
        <v>5.6</v>
      </c>
      <c r="O15">
        <v>29.1</v>
      </c>
      <c r="P15">
        <v>37.299999999999997</v>
      </c>
      <c r="Q15">
        <v>18.2</v>
      </c>
      <c r="R15">
        <v>14.7</v>
      </c>
      <c r="S15">
        <v>29.1</v>
      </c>
      <c r="T15">
        <v>14.7</v>
      </c>
      <c r="U15">
        <v>18.2</v>
      </c>
      <c r="V15">
        <v>38.5</v>
      </c>
      <c r="X15">
        <v>95</v>
      </c>
    </row>
    <row r="16" spans="1:24">
      <c r="A16" s="39">
        <v>45231</v>
      </c>
      <c r="B16" s="152">
        <v>73.894000000000005</v>
      </c>
      <c r="C16">
        <f t="shared" si="4"/>
        <v>34.141525685321461</v>
      </c>
      <c r="D16">
        <f t="shared" si="2"/>
        <v>3.654800335495187</v>
      </c>
      <c r="E16">
        <f t="shared" si="3"/>
        <v>18.898163010408325</v>
      </c>
      <c r="G16" s="39">
        <v>45251</v>
      </c>
      <c r="H16">
        <v>86.104399999999998</v>
      </c>
      <c r="I16">
        <v>32.520299999999999</v>
      </c>
      <c r="L16" s="39">
        <v>45191</v>
      </c>
      <c r="M16">
        <v>36.700000000000003</v>
      </c>
      <c r="N16">
        <v>4.7</v>
      </c>
      <c r="O16">
        <v>29.6</v>
      </c>
      <c r="P16">
        <v>37.5</v>
      </c>
      <c r="Q16">
        <v>18.600000000000001</v>
      </c>
      <c r="R16">
        <v>15</v>
      </c>
      <c r="S16">
        <v>29.6</v>
      </c>
      <c r="T16">
        <v>15</v>
      </c>
      <c r="U16">
        <v>18.600000000000001</v>
      </c>
      <c r="V16">
        <v>38</v>
      </c>
      <c r="X16">
        <v>94.7</v>
      </c>
    </row>
    <row r="17" spans="1:24">
      <c r="A17" s="39">
        <v>45230</v>
      </c>
      <c r="B17" s="152">
        <v>79.367599999999996</v>
      </c>
      <c r="C17">
        <f t="shared" si="4"/>
        <v>34.141525685321461</v>
      </c>
      <c r="D17">
        <f t="shared" si="2"/>
        <v>3.654800335495187</v>
      </c>
      <c r="E17">
        <f t="shared" si="3"/>
        <v>18.898163010408325</v>
      </c>
      <c r="G17" s="39">
        <v>45250</v>
      </c>
      <c r="H17">
        <v>85.367599999999996</v>
      </c>
      <c r="I17">
        <v>32.311</v>
      </c>
      <c r="L17" s="39">
        <v>45184</v>
      </c>
      <c r="M17">
        <v>38.200000000000003</v>
      </c>
      <c r="N17">
        <v>4.7</v>
      </c>
      <c r="O17">
        <v>30</v>
      </c>
      <c r="P17">
        <v>37.5</v>
      </c>
      <c r="Q17">
        <v>17.7</v>
      </c>
      <c r="R17">
        <v>16.3</v>
      </c>
      <c r="S17">
        <v>30</v>
      </c>
      <c r="T17">
        <v>16.3</v>
      </c>
      <c r="U17">
        <v>17.7</v>
      </c>
      <c r="V17">
        <v>37.9</v>
      </c>
      <c r="X17">
        <v>98.6</v>
      </c>
    </row>
    <row r="18" spans="1:24">
      <c r="A18" s="39">
        <v>45229</v>
      </c>
      <c r="B18" s="152">
        <v>85.262299999999996</v>
      </c>
      <c r="C18">
        <f t="shared" si="4"/>
        <v>34.141525685321461</v>
      </c>
      <c r="D18">
        <f t="shared" si="2"/>
        <v>3.654800335495187</v>
      </c>
      <c r="E18">
        <f t="shared" si="3"/>
        <v>18.898163010408325</v>
      </c>
      <c r="G18" s="39">
        <v>45247</v>
      </c>
      <c r="H18">
        <v>87.156999999999996</v>
      </c>
      <c r="I18">
        <v>32.413699999999999</v>
      </c>
      <c r="L18" s="39">
        <v>45177</v>
      </c>
      <c r="M18">
        <v>38.5</v>
      </c>
      <c r="N18">
        <v>4.8</v>
      </c>
      <c r="O18">
        <v>29.8</v>
      </c>
      <c r="P18">
        <v>37.1</v>
      </c>
      <c r="Q18">
        <v>17.100000000000001</v>
      </c>
      <c r="R18">
        <v>16.399999999999999</v>
      </c>
      <c r="S18">
        <v>29.8</v>
      </c>
      <c r="T18">
        <v>16.399999999999999</v>
      </c>
      <c r="U18">
        <v>17.100000000000001</v>
      </c>
      <c r="V18">
        <v>37.5</v>
      </c>
      <c r="X18">
        <v>96.5</v>
      </c>
    </row>
    <row r="19" spans="1:24">
      <c r="A19" s="39">
        <v>45226</v>
      </c>
      <c r="B19" s="152">
        <v>88.420199999999994</v>
      </c>
      <c r="C19">
        <f t="shared" si="4"/>
        <v>34.141525685321461</v>
      </c>
      <c r="D19">
        <f t="shared" si="2"/>
        <v>3.654800335495187</v>
      </c>
      <c r="E19">
        <f t="shared" si="3"/>
        <v>18.898163010408325</v>
      </c>
      <c r="G19" s="39">
        <v>45246</v>
      </c>
      <c r="H19">
        <v>87.367500000000007</v>
      </c>
      <c r="I19">
        <v>32.455100000000002</v>
      </c>
      <c r="L19" s="39">
        <v>45170</v>
      </c>
      <c r="M19">
        <v>39.1</v>
      </c>
      <c r="N19">
        <v>5.0999999999999996</v>
      </c>
      <c r="O19">
        <v>29.4</v>
      </c>
      <c r="P19">
        <v>37.200000000000003</v>
      </c>
      <c r="Q19">
        <v>16.8</v>
      </c>
      <c r="R19">
        <v>16.7</v>
      </c>
      <c r="S19">
        <v>29.4</v>
      </c>
      <c r="T19">
        <v>16.7</v>
      </c>
      <c r="U19">
        <v>16.8</v>
      </c>
      <c r="V19">
        <v>37.1</v>
      </c>
      <c r="X19">
        <v>97.2</v>
      </c>
    </row>
    <row r="20" spans="1:24">
      <c r="A20" s="39">
        <v>45225</v>
      </c>
      <c r="B20" s="152">
        <v>88.420199999999994</v>
      </c>
      <c r="C20">
        <f t="shared" si="4"/>
        <v>34.141525685321461</v>
      </c>
      <c r="D20">
        <f t="shared" si="2"/>
        <v>3.654800335495187</v>
      </c>
      <c r="E20">
        <f t="shared" si="3"/>
        <v>18.898163010408325</v>
      </c>
      <c r="G20" s="39">
        <v>45245</v>
      </c>
      <c r="H20">
        <v>88.209599999999995</v>
      </c>
      <c r="I20">
        <v>33.180700000000002</v>
      </c>
      <c r="L20" s="39">
        <v>45163</v>
      </c>
      <c r="M20">
        <v>39.200000000000003</v>
      </c>
      <c r="N20">
        <v>5.3</v>
      </c>
      <c r="O20">
        <v>28.8</v>
      </c>
      <c r="P20">
        <v>37.299999999999997</v>
      </c>
      <c r="Q20">
        <v>16.5</v>
      </c>
      <c r="R20">
        <v>16.2</v>
      </c>
      <c r="S20">
        <v>28.8</v>
      </c>
      <c r="T20">
        <v>16.2</v>
      </c>
      <c r="U20">
        <v>16.5</v>
      </c>
      <c r="V20">
        <v>38.1</v>
      </c>
      <c r="X20">
        <v>131.5</v>
      </c>
    </row>
    <row r="21" spans="1:24">
      <c r="A21" s="39">
        <v>45224</v>
      </c>
      <c r="B21" s="152">
        <v>91.578000000000003</v>
      </c>
      <c r="C21">
        <f t="shared" si="4"/>
        <v>34.141525685321461</v>
      </c>
      <c r="D21">
        <f t="shared" si="2"/>
        <v>3.654800335495187</v>
      </c>
      <c r="E21">
        <f t="shared" si="3"/>
        <v>18.898163010408325</v>
      </c>
      <c r="G21" s="39">
        <v>45244</v>
      </c>
      <c r="H21">
        <v>87.367500000000007</v>
      </c>
      <c r="I21">
        <v>32.587200000000003</v>
      </c>
      <c r="L21" s="39">
        <v>45156</v>
      </c>
      <c r="M21">
        <v>37.1</v>
      </c>
      <c r="N21">
        <v>5</v>
      </c>
      <c r="O21">
        <v>28.8</v>
      </c>
      <c r="P21">
        <v>37.5</v>
      </c>
      <c r="Q21">
        <v>17.7</v>
      </c>
      <c r="R21">
        <v>17.399999999999999</v>
      </c>
      <c r="S21">
        <v>28.8</v>
      </c>
      <c r="T21">
        <v>17.399999999999999</v>
      </c>
      <c r="U21">
        <v>17.7</v>
      </c>
      <c r="V21">
        <v>38.799999999999997</v>
      </c>
      <c r="X21">
        <v>131.4</v>
      </c>
    </row>
    <row r="22" spans="1:24">
      <c r="A22" s="39">
        <v>45223</v>
      </c>
      <c r="B22" s="152">
        <v>90.525400000000005</v>
      </c>
      <c r="C22">
        <f t="shared" si="4"/>
        <v>34.141525685321461</v>
      </c>
      <c r="D22">
        <f t="shared" si="2"/>
        <v>3.654800335495187</v>
      </c>
      <c r="E22">
        <f t="shared" si="3"/>
        <v>18.898163010408325</v>
      </c>
      <c r="G22" s="39">
        <v>45243</v>
      </c>
      <c r="H22">
        <v>84.209699999999998</v>
      </c>
      <c r="I22">
        <v>31.881499999999999</v>
      </c>
      <c r="L22" s="39">
        <v>45149</v>
      </c>
      <c r="M22">
        <v>36.799999999999997</v>
      </c>
      <c r="N22">
        <v>5.0999999999999996</v>
      </c>
      <c r="O22">
        <v>29.4</v>
      </c>
      <c r="P22">
        <v>36.6</v>
      </c>
      <c r="Q22">
        <v>17.8</v>
      </c>
      <c r="R22">
        <v>17.3</v>
      </c>
      <c r="S22">
        <v>29.4</v>
      </c>
      <c r="T22">
        <v>17.3</v>
      </c>
      <c r="U22">
        <v>17.8</v>
      </c>
      <c r="V22">
        <v>40.1</v>
      </c>
      <c r="X22">
        <v>133</v>
      </c>
    </row>
    <row r="23" spans="1:24">
      <c r="A23" s="39">
        <v>45222</v>
      </c>
      <c r="B23" s="152">
        <v>90.525400000000005</v>
      </c>
      <c r="C23">
        <f t="shared" si="4"/>
        <v>34.141525685321461</v>
      </c>
      <c r="D23">
        <f t="shared" si="2"/>
        <v>3.654800335495187</v>
      </c>
      <c r="E23">
        <f t="shared" si="3"/>
        <v>18.898163010408325</v>
      </c>
      <c r="G23" s="39">
        <v>45240</v>
      </c>
      <c r="H23">
        <v>82.9465</v>
      </c>
      <c r="I23">
        <v>31.852</v>
      </c>
      <c r="L23" s="39">
        <v>45142</v>
      </c>
      <c r="M23">
        <v>36.4</v>
      </c>
      <c r="N23">
        <v>5.6</v>
      </c>
      <c r="O23">
        <v>28.8</v>
      </c>
      <c r="P23">
        <v>36.4</v>
      </c>
      <c r="Q23">
        <v>17.399999999999999</v>
      </c>
      <c r="R23">
        <v>17.5</v>
      </c>
      <c r="S23">
        <v>28.8</v>
      </c>
      <c r="T23">
        <v>17.5</v>
      </c>
      <c r="U23">
        <v>17.399999999999999</v>
      </c>
      <c r="V23">
        <v>39.299999999999997</v>
      </c>
      <c r="X23">
        <v>131.1</v>
      </c>
    </row>
    <row r="24" spans="1:24">
      <c r="A24" s="39">
        <v>45219</v>
      </c>
      <c r="B24" s="152">
        <v>94.104299999999995</v>
      </c>
      <c r="C24">
        <f t="shared" si="4"/>
        <v>34.141525685321461</v>
      </c>
      <c r="D24">
        <f t="shared" si="2"/>
        <v>3.654800335495187</v>
      </c>
      <c r="E24">
        <f t="shared" si="3"/>
        <v>18.898163010408325</v>
      </c>
      <c r="G24" s="39">
        <v>45239</v>
      </c>
      <c r="H24">
        <v>84.841200000000001</v>
      </c>
      <c r="I24">
        <v>31.796399999999998</v>
      </c>
      <c r="L24" s="39">
        <v>45135</v>
      </c>
      <c r="M24">
        <v>37.6</v>
      </c>
      <c r="N24">
        <v>6.4</v>
      </c>
      <c r="O24">
        <v>29.4</v>
      </c>
      <c r="P24">
        <v>35.299999999999997</v>
      </c>
      <c r="Q24">
        <v>16.899999999999999</v>
      </c>
      <c r="R24">
        <v>17.8</v>
      </c>
      <c r="S24">
        <v>29.4</v>
      </c>
      <c r="T24">
        <v>17.8</v>
      </c>
      <c r="U24">
        <v>16.899999999999999</v>
      </c>
      <c r="V24">
        <v>40.1</v>
      </c>
      <c r="X24">
        <v>130.1</v>
      </c>
    </row>
    <row r="25" spans="1:24">
      <c r="A25" s="39">
        <v>45218</v>
      </c>
      <c r="B25" s="152">
        <v>90.525400000000005</v>
      </c>
      <c r="C25">
        <f t="shared" si="4"/>
        <v>34.141525685321461</v>
      </c>
      <c r="D25">
        <f t="shared" si="2"/>
        <v>3.654800335495187</v>
      </c>
      <c r="E25">
        <f t="shared" si="3"/>
        <v>18.898163010408325</v>
      </c>
      <c r="G25" s="39">
        <v>45238</v>
      </c>
      <c r="H25">
        <v>83.367599999999996</v>
      </c>
      <c r="I25">
        <v>31.8447</v>
      </c>
      <c r="L25" s="39">
        <v>45128</v>
      </c>
      <c r="M25">
        <v>38</v>
      </c>
      <c r="N25">
        <v>6.6</v>
      </c>
      <c r="O25">
        <v>29.1</v>
      </c>
      <c r="P25">
        <v>37.1</v>
      </c>
      <c r="Q25">
        <v>16.100000000000001</v>
      </c>
      <c r="R25">
        <v>21.8</v>
      </c>
      <c r="S25">
        <v>29.1</v>
      </c>
      <c r="T25">
        <v>21.8</v>
      </c>
      <c r="U25">
        <v>16.100000000000001</v>
      </c>
      <c r="V25">
        <v>39.700000000000003</v>
      </c>
      <c r="X25">
        <v>125.9</v>
      </c>
    </row>
    <row r="26" spans="1:24">
      <c r="A26" s="39">
        <v>45217</v>
      </c>
      <c r="B26" s="152">
        <v>94.104299999999995</v>
      </c>
      <c r="C26">
        <f t="shared" si="4"/>
        <v>34.141525685321461</v>
      </c>
      <c r="D26">
        <f t="shared" si="2"/>
        <v>3.654800335495187</v>
      </c>
      <c r="E26">
        <f t="shared" si="3"/>
        <v>18.898163010408325</v>
      </c>
      <c r="G26" s="39">
        <v>45237</v>
      </c>
      <c r="H26">
        <v>80.420199999999994</v>
      </c>
      <c r="I26">
        <v>31.688800000000001</v>
      </c>
      <c r="L26" s="39">
        <v>45121</v>
      </c>
      <c r="M26">
        <v>37.6</v>
      </c>
      <c r="N26">
        <v>6.7</v>
      </c>
      <c r="O26">
        <v>28.5</v>
      </c>
      <c r="P26">
        <v>35.799999999999997</v>
      </c>
      <c r="Q26">
        <v>15.6</v>
      </c>
      <c r="R26">
        <v>21.3</v>
      </c>
      <c r="S26">
        <v>28.5</v>
      </c>
      <c r="T26">
        <v>21.3</v>
      </c>
      <c r="U26">
        <v>15.6</v>
      </c>
      <c r="V26">
        <v>38.9</v>
      </c>
      <c r="X26">
        <v>124.4</v>
      </c>
    </row>
    <row r="27" spans="1:24">
      <c r="A27" s="39">
        <v>45216</v>
      </c>
      <c r="B27" s="152">
        <v>97.472700000000003</v>
      </c>
      <c r="C27">
        <f t="shared" si="4"/>
        <v>34.141525685321461</v>
      </c>
      <c r="D27">
        <f t="shared" si="2"/>
        <v>3.654800335495187</v>
      </c>
      <c r="E27">
        <f t="shared" si="3"/>
        <v>18.898163010408325</v>
      </c>
      <c r="G27" s="39">
        <v>45236</v>
      </c>
      <c r="H27">
        <v>80.104399999999998</v>
      </c>
      <c r="I27">
        <v>31.4955</v>
      </c>
      <c r="L27" s="39">
        <v>45114</v>
      </c>
      <c r="M27">
        <v>37.6</v>
      </c>
      <c r="N27">
        <v>6.8</v>
      </c>
      <c r="O27">
        <v>28.2</v>
      </c>
      <c r="P27">
        <v>34.6</v>
      </c>
      <c r="Q27">
        <v>15.8</v>
      </c>
      <c r="R27">
        <v>21.2</v>
      </c>
      <c r="S27">
        <v>28.2</v>
      </c>
      <c r="T27">
        <v>21.2</v>
      </c>
      <c r="U27">
        <v>15.8</v>
      </c>
      <c r="V27">
        <v>37.4</v>
      </c>
      <c r="X27">
        <v>127.5</v>
      </c>
    </row>
    <row r="28" spans="1:24">
      <c r="A28" s="39">
        <v>45215</v>
      </c>
      <c r="B28" s="152">
        <v>102.31480000000001</v>
      </c>
      <c r="C28">
        <f t="shared" si="4"/>
        <v>34.141525685321461</v>
      </c>
      <c r="D28">
        <f t="shared" si="2"/>
        <v>3.654800335495187</v>
      </c>
      <c r="E28">
        <f t="shared" si="3"/>
        <v>18.898163010408325</v>
      </c>
      <c r="G28" s="39">
        <v>45233</v>
      </c>
      <c r="H28">
        <v>81.999200000000002</v>
      </c>
      <c r="I28">
        <v>31.736000000000001</v>
      </c>
      <c r="L28" s="39">
        <v>45107</v>
      </c>
      <c r="M28">
        <v>37.4</v>
      </c>
      <c r="N28">
        <v>6.6</v>
      </c>
      <c r="O28">
        <v>28.9</v>
      </c>
      <c r="P28">
        <v>33.299999999999997</v>
      </c>
      <c r="Q28">
        <v>15.6</v>
      </c>
      <c r="R28">
        <v>21.5</v>
      </c>
      <c r="S28">
        <v>28.9</v>
      </c>
      <c r="T28">
        <v>21.5</v>
      </c>
      <c r="U28">
        <v>15.6</v>
      </c>
      <c r="V28">
        <v>38.299999999999997</v>
      </c>
      <c r="X28">
        <v>126.7</v>
      </c>
    </row>
    <row r="29" spans="1:24">
      <c r="A29" s="39">
        <v>45212</v>
      </c>
      <c r="B29" s="152">
        <v>104.20950000000001</v>
      </c>
      <c r="C29">
        <f t="shared" si="4"/>
        <v>34.141525685321461</v>
      </c>
      <c r="D29">
        <f t="shared" si="2"/>
        <v>3.654800335495187</v>
      </c>
      <c r="E29">
        <f t="shared" si="3"/>
        <v>18.898163010408325</v>
      </c>
      <c r="G29" s="39">
        <v>45232</v>
      </c>
      <c r="H29">
        <v>77.893900000000002</v>
      </c>
      <c r="I29">
        <v>31.032800000000002</v>
      </c>
      <c r="L29" s="39">
        <v>45100</v>
      </c>
      <c r="M29">
        <v>41.2</v>
      </c>
      <c r="N29">
        <v>6</v>
      </c>
      <c r="O29">
        <v>28.6</v>
      </c>
      <c r="P29">
        <v>36.700000000000003</v>
      </c>
      <c r="Q29">
        <v>15.6</v>
      </c>
      <c r="R29">
        <v>21.5</v>
      </c>
      <c r="S29">
        <v>28.6</v>
      </c>
      <c r="T29">
        <v>21.5</v>
      </c>
      <c r="U29">
        <v>15.6</v>
      </c>
      <c r="V29">
        <v>37.299999999999997</v>
      </c>
      <c r="X29">
        <v>123.1</v>
      </c>
    </row>
    <row r="30" spans="1:24">
      <c r="A30" s="39">
        <v>45211</v>
      </c>
      <c r="B30" s="152">
        <v>101.8937</v>
      </c>
      <c r="C30">
        <f t="shared" si="4"/>
        <v>34.141525685321461</v>
      </c>
      <c r="D30">
        <f t="shared" si="2"/>
        <v>3.654800335495187</v>
      </c>
      <c r="E30">
        <f t="shared" si="3"/>
        <v>18.898163010408325</v>
      </c>
      <c r="G30" s="39">
        <v>45231</v>
      </c>
      <c r="H30">
        <v>73.894000000000005</v>
      </c>
      <c r="I30">
        <v>30.510400000000001</v>
      </c>
      <c r="L30" s="39">
        <v>45093</v>
      </c>
      <c r="M30">
        <v>43</v>
      </c>
      <c r="N30">
        <v>6.2</v>
      </c>
      <c r="O30">
        <v>28.6</v>
      </c>
      <c r="P30">
        <v>36.299999999999997</v>
      </c>
      <c r="Q30">
        <v>15.1</v>
      </c>
      <c r="R30">
        <v>21.8</v>
      </c>
      <c r="S30">
        <v>28.6</v>
      </c>
      <c r="T30">
        <v>21.8</v>
      </c>
      <c r="U30">
        <v>15.1</v>
      </c>
      <c r="V30">
        <v>37.299999999999997</v>
      </c>
      <c r="X30">
        <v>121.4</v>
      </c>
    </row>
    <row r="31" spans="1:24">
      <c r="A31" s="39">
        <v>45210</v>
      </c>
      <c r="B31" s="152">
        <v>103.7884</v>
      </c>
      <c r="C31">
        <f t="shared" si="4"/>
        <v>34.141525685321461</v>
      </c>
      <c r="D31">
        <f t="shared" si="2"/>
        <v>3.654800335495187</v>
      </c>
      <c r="E31">
        <f t="shared" si="3"/>
        <v>18.898163010408325</v>
      </c>
      <c r="G31" s="39">
        <v>45230</v>
      </c>
      <c r="H31">
        <v>79.367599999999996</v>
      </c>
      <c r="I31">
        <v>30.9648</v>
      </c>
      <c r="L31" s="39">
        <v>45086</v>
      </c>
      <c r="M31">
        <v>42.2</v>
      </c>
      <c r="N31">
        <v>6</v>
      </c>
      <c r="O31">
        <v>28.2</v>
      </c>
      <c r="P31">
        <v>37.9</v>
      </c>
      <c r="Q31">
        <v>15.5</v>
      </c>
      <c r="R31">
        <v>20.7</v>
      </c>
      <c r="S31">
        <v>28.2</v>
      </c>
      <c r="T31">
        <v>20.7</v>
      </c>
      <c r="U31">
        <v>15.5</v>
      </c>
      <c r="V31">
        <v>36.799999999999997</v>
      </c>
      <c r="X31">
        <v>121.2</v>
      </c>
    </row>
    <row r="32" spans="1:24">
      <c r="A32" s="39">
        <v>45209</v>
      </c>
      <c r="B32" s="152">
        <v>102.8411</v>
      </c>
      <c r="C32">
        <f t="shared" si="4"/>
        <v>34.141525685321461</v>
      </c>
      <c r="D32">
        <f t="shared" si="2"/>
        <v>3.654800335495187</v>
      </c>
      <c r="E32">
        <f t="shared" si="3"/>
        <v>18.898163010408325</v>
      </c>
      <c r="G32" s="39">
        <v>45229</v>
      </c>
      <c r="H32">
        <v>85.262299999999996</v>
      </c>
      <c r="I32">
        <v>31.9788</v>
      </c>
      <c r="L32" s="39">
        <v>45079</v>
      </c>
      <c r="M32">
        <v>42.2</v>
      </c>
      <c r="N32">
        <v>6.4</v>
      </c>
      <c r="O32">
        <v>27.4</v>
      </c>
      <c r="P32">
        <v>37.1</v>
      </c>
      <c r="Q32">
        <v>15.4</v>
      </c>
      <c r="R32">
        <v>21.7</v>
      </c>
      <c r="S32">
        <v>27.4</v>
      </c>
      <c r="T32">
        <v>21.7</v>
      </c>
      <c r="U32">
        <v>15.4</v>
      </c>
      <c r="V32">
        <v>36.5</v>
      </c>
      <c r="X32">
        <v>120.2</v>
      </c>
    </row>
    <row r="33" spans="1:24">
      <c r="A33" s="39">
        <v>45208</v>
      </c>
      <c r="B33" s="152">
        <v>100.94629999999999</v>
      </c>
      <c r="C33">
        <f t="shared" si="4"/>
        <v>34.141525685321461</v>
      </c>
      <c r="D33">
        <f t="shared" si="2"/>
        <v>3.654800335495187</v>
      </c>
      <c r="E33">
        <f t="shared" si="3"/>
        <v>18.898163010408325</v>
      </c>
      <c r="G33" s="39">
        <v>45226</v>
      </c>
      <c r="H33">
        <v>88.420199999999994</v>
      </c>
      <c r="I33">
        <v>31.901700000000002</v>
      </c>
      <c r="L33" s="39">
        <v>45072</v>
      </c>
      <c r="M33">
        <v>42.2</v>
      </c>
      <c r="N33">
        <v>6.5</v>
      </c>
      <c r="O33">
        <v>26.9</v>
      </c>
      <c r="P33">
        <v>38.200000000000003</v>
      </c>
      <c r="Q33">
        <v>15.2</v>
      </c>
      <c r="R33">
        <v>22.6</v>
      </c>
      <c r="S33">
        <v>26.9</v>
      </c>
      <c r="T33">
        <v>22.6</v>
      </c>
      <c r="U33">
        <v>15.2</v>
      </c>
      <c r="V33">
        <v>36.1</v>
      </c>
      <c r="X33">
        <v>112</v>
      </c>
    </row>
    <row r="34" spans="1:24">
      <c r="A34" s="39">
        <v>45205</v>
      </c>
      <c r="B34" s="152">
        <v>101.6832</v>
      </c>
      <c r="C34">
        <f t="shared" si="4"/>
        <v>34.141525685321461</v>
      </c>
      <c r="D34">
        <f t="shared" si="2"/>
        <v>3.654800335495187</v>
      </c>
      <c r="E34">
        <f t="shared" si="3"/>
        <v>18.898163010408325</v>
      </c>
      <c r="G34" s="39">
        <v>45225</v>
      </c>
      <c r="H34">
        <v>88.420199999999994</v>
      </c>
      <c r="I34">
        <v>32.192799999999998</v>
      </c>
      <c r="L34" s="39">
        <v>45065</v>
      </c>
      <c r="M34">
        <v>41.2</v>
      </c>
      <c r="N34">
        <v>6.9</v>
      </c>
      <c r="O34">
        <v>27.6</v>
      </c>
      <c r="P34">
        <v>40.4</v>
      </c>
      <c r="Q34">
        <v>17.399999999999999</v>
      </c>
      <c r="R34">
        <v>24.8</v>
      </c>
      <c r="S34">
        <v>27.6</v>
      </c>
      <c r="T34">
        <v>24.8</v>
      </c>
      <c r="U34">
        <v>17.399999999999999</v>
      </c>
      <c r="V34">
        <v>35.299999999999997</v>
      </c>
      <c r="X34">
        <v>111.9</v>
      </c>
    </row>
    <row r="35" spans="1:24">
      <c r="A35" s="39">
        <v>45204</v>
      </c>
      <c r="B35" s="152">
        <v>98.946399999999997</v>
      </c>
      <c r="C35">
        <f t="shared" si="4"/>
        <v>34.141525685321461</v>
      </c>
      <c r="D35">
        <f t="shared" si="2"/>
        <v>3.654800335495187</v>
      </c>
      <c r="E35">
        <f t="shared" si="3"/>
        <v>18.898163010408325</v>
      </c>
      <c r="G35" s="39">
        <v>45224</v>
      </c>
      <c r="H35">
        <v>91.578000000000003</v>
      </c>
      <c r="I35">
        <v>32.685899999999997</v>
      </c>
      <c r="L35" s="39">
        <v>45058</v>
      </c>
      <c r="M35">
        <v>44.4</v>
      </c>
      <c r="N35">
        <v>7.2</v>
      </c>
      <c r="O35">
        <v>28.2</v>
      </c>
      <c r="P35">
        <v>40.9</v>
      </c>
      <c r="Q35">
        <v>17.600000000000001</v>
      </c>
      <c r="R35">
        <v>25.5</v>
      </c>
      <c r="S35">
        <v>28.2</v>
      </c>
      <c r="T35">
        <v>25.5</v>
      </c>
      <c r="U35">
        <v>17.600000000000001</v>
      </c>
      <c r="V35">
        <v>35.9</v>
      </c>
      <c r="X35">
        <v>110.6</v>
      </c>
    </row>
    <row r="36" spans="1:24">
      <c r="A36" s="39">
        <v>45203</v>
      </c>
      <c r="B36" s="152">
        <v>103.5779</v>
      </c>
      <c r="C36">
        <f t="shared" si="4"/>
        <v>34.141525685321461</v>
      </c>
      <c r="D36">
        <f t="shared" si="2"/>
        <v>3.654800335495187</v>
      </c>
      <c r="E36">
        <f t="shared" si="3"/>
        <v>18.898163010408325</v>
      </c>
      <c r="G36" s="39">
        <v>45223</v>
      </c>
      <c r="H36">
        <v>90.525400000000005</v>
      </c>
      <c r="I36">
        <v>32.3795</v>
      </c>
      <c r="L36" s="39">
        <v>45051</v>
      </c>
      <c r="M36">
        <v>42.9</v>
      </c>
      <c r="N36">
        <v>7</v>
      </c>
      <c r="O36">
        <v>27.9</v>
      </c>
      <c r="P36">
        <v>41.4</v>
      </c>
      <c r="Q36">
        <v>18.600000000000001</v>
      </c>
      <c r="R36">
        <v>25.3</v>
      </c>
      <c r="S36">
        <v>27.9</v>
      </c>
      <c r="T36">
        <v>25.3</v>
      </c>
      <c r="U36">
        <v>18.600000000000001</v>
      </c>
      <c r="V36">
        <v>35.5</v>
      </c>
      <c r="X36">
        <v>108.4</v>
      </c>
    </row>
    <row r="37" spans="1:24">
      <c r="A37" s="39">
        <v>45202</v>
      </c>
      <c r="B37" s="152">
        <v>103.1568</v>
      </c>
      <c r="C37">
        <f t="shared" si="4"/>
        <v>34.141525685321461</v>
      </c>
      <c r="D37">
        <f t="shared" si="2"/>
        <v>3.654800335495187</v>
      </c>
      <c r="E37">
        <f t="shared" si="3"/>
        <v>18.898163010408325</v>
      </c>
      <c r="G37" s="39">
        <v>45222</v>
      </c>
      <c r="H37">
        <v>90.525400000000005</v>
      </c>
      <c r="I37">
        <v>32.210099999999997</v>
      </c>
      <c r="L37" s="39">
        <v>45044</v>
      </c>
      <c r="M37">
        <v>42.7</v>
      </c>
      <c r="N37">
        <v>7</v>
      </c>
      <c r="O37">
        <v>27.7</v>
      </c>
      <c r="P37">
        <v>40.4</v>
      </c>
      <c r="Q37">
        <v>18.899999999999999</v>
      </c>
      <c r="R37">
        <v>25.5</v>
      </c>
      <c r="S37">
        <v>27.7</v>
      </c>
      <c r="T37">
        <v>25.5</v>
      </c>
      <c r="U37">
        <v>18.899999999999999</v>
      </c>
      <c r="V37">
        <v>36.4</v>
      </c>
      <c r="X37">
        <v>109.1</v>
      </c>
    </row>
    <row r="38" spans="1:24">
      <c r="A38" s="39">
        <v>45201</v>
      </c>
      <c r="B38" s="152">
        <v>109.262</v>
      </c>
      <c r="C38">
        <f t="shared" si="4"/>
        <v>34.141525685321461</v>
      </c>
      <c r="D38">
        <f t="shared" si="2"/>
        <v>3.654800335495187</v>
      </c>
      <c r="E38">
        <f t="shared" si="3"/>
        <v>18.898163010408325</v>
      </c>
      <c r="G38" s="39">
        <v>45219</v>
      </c>
      <c r="H38">
        <v>94.104299999999995</v>
      </c>
      <c r="I38">
        <v>32.565800000000003</v>
      </c>
      <c r="L38" s="39">
        <v>45037</v>
      </c>
      <c r="M38">
        <v>41.7</v>
      </c>
      <c r="N38">
        <v>7</v>
      </c>
      <c r="O38">
        <v>28.7</v>
      </c>
      <c r="P38">
        <v>37.9</v>
      </c>
      <c r="Q38">
        <v>19.100000000000001</v>
      </c>
      <c r="R38">
        <v>25.6</v>
      </c>
      <c r="S38">
        <v>28.7</v>
      </c>
      <c r="T38">
        <v>25.6</v>
      </c>
      <c r="U38">
        <v>19.100000000000001</v>
      </c>
      <c r="V38">
        <v>36.6</v>
      </c>
      <c r="X38">
        <v>107.3</v>
      </c>
    </row>
    <row r="39" spans="1:24">
      <c r="A39" s="39">
        <v>45198</v>
      </c>
      <c r="B39" s="152">
        <v>110.73569999999999</v>
      </c>
      <c r="C39">
        <f t="shared" si="4"/>
        <v>34.141525685321461</v>
      </c>
      <c r="D39">
        <f t="shared" si="2"/>
        <v>3.654800335495187</v>
      </c>
      <c r="E39">
        <f t="shared" si="3"/>
        <v>18.898163010408325</v>
      </c>
      <c r="G39" s="39">
        <v>45218</v>
      </c>
      <c r="H39">
        <v>90.525400000000005</v>
      </c>
      <c r="I39">
        <v>32.457900000000002</v>
      </c>
      <c r="L39" s="39">
        <v>45030</v>
      </c>
      <c r="M39">
        <v>40.700000000000003</v>
      </c>
      <c r="N39">
        <v>7.2</v>
      </c>
      <c r="O39">
        <v>28.1</v>
      </c>
      <c r="P39">
        <v>38.299999999999997</v>
      </c>
      <c r="Q39">
        <v>18.2</v>
      </c>
      <c r="R39">
        <v>25.4</v>
      </c>
      <c r="S39">
        <v>28.1</v>
      </c>
      <c r="T39">
        <v>25.4</v>
      </c>
      <c r="U39">
        <v>18.2</v>
      </c>
      <c r="V39">
        <v>35.6</v>
      </c>
      <c r="X39">
        <v>106.4</v>
      </c>
    </row>
    <row r="40" spans="1:24">
      <c r="A40" s="39">
        <v>45197</v>
      </c>
      <c r="B40" s="152">
        <v>49.618600000000001</v>
      </c>
      <c r="C40">
        <f t="shared" si="4"/>
        <v>34.141525685321461</v>
      </c>
      <c r="D40">
        <f t="shared" si="2"/>
        <v>3.654800335495187</v>
      </c>
      <c r="E40">
        <f t="shared" si="3"/>
        <v>18.898163010408325</v>
      </c>
      <c r="G40" s="39">
        <v>45217</v>
      </c>
      <c r="H40">
        <v>94.104299999999995</v>
      </c>
      <c r="I40">
        <v>32.9724</v>
      </c>
      <c r="L40" s="39">
        <v>45023</v>
      </c>
      <c r="M40">
        <v>40.200000000000003</v>
      </c>
      <c r="N40">
        <v>7.8</v>
      </c>
      <c r="O40">
        <v>28.5</v>
      </c>
      <c r="P40">
        <v>37.6</v>
      </c>
      <c r="Q40">
        <v>18.600000000000001</v>
      </c>
      <c r="R40">
        <v>26.2</v>
      </c>
      <c r="S40">
        <v>28.5</v>
      </c>
      <c r="T40">
        <v>26.2</v>
      </c>
      <c r="U40">
        <v>18.600000000000001</v>
      </c>
      <c r="V40">
        <v>35.200000000000003</v>
      </c>
      <c r="X40">
        <v>99.7</v>
      </c>
    </row>
    <row r="41" spans="1:24">
      <c r="A41" s="39">
        <v>45196</v>
      </c>
      <c r="B41" s="152">
        <v>48.682400000000001</v>
      </c>
      <c r="C41">
        <f t="shared" si="4"/>
        <v>34.141525685321461</v>
      </c>
      <c r="D41">
        <f t="shared" si="2"/>
        <v>3.654800335495187</v>
      </c>
      <c r="E41">
        <f t="shared" si="3"/>
        <v>18.898163010408325</v>
      </c>
      <c r="G41" s="39">
        <v>45216</v>
      </c>
      <c r="H41">
        <v>97.472700000000003</v>
      </c>
      <c r="I41">
        <v>33.337499999999999</v>
      </c>
      <c r="L41" s="39">
        <v>45016</v>
      </c>
      <c r="M41">
        <v>40.9</v>
      </c>
      <c r="N41">
        <v>7.6</v>
      </c>
      <c r="O41">
        <v>27.9</v>
      </c>
      <c r="P41">
        <v>40.1</v>
      </c>
      <c r="Q41">
        <v>18.7</v>
      </c>
      <c r="R41">
        <v>26.2</v>
      </c>
      <c r="S41">
        <v>27.9</v>
      </c>
      <c r="T41">
        <v>26.2</v>
      </c>
      <c r="U41">
        <v>18.7</v>
      </c>
      <c r="V41">
        <v>36</v>
      </c>
      <c r="X41">
        <v>101.1</v>
      </c>
    </row>
    <row r="42" spans="1:24">
      <c r="A42" s="39">
        <v>45195</v>
      </c>
      <c r="B42" s="152">
        <v>48.214300000000001</v>
      </c>
      <c r="C42">
        <f t="shared" si="4"/>
        <v>34.141525685321461</v>
      </c>
      <c r="D42">
        <f t="shared" si="2"/>
        <v>3.654800335495187</v>
      </c>
      <c r="E42">
        <f t="shared" si="3"/>
        <v>18.898163010408325</v>
      </c>
      <c r="G42" s="39">
        <v>45215</v>
      </c>
      <c r="H42">
        <v>102.31480000000001</v>
      </c>
      <c r="I42">
        <v>33.493499999999997</v>
      </c>
      <c r="L42" s="39">
        <v>45009</v>
      </c>
      <c r="M42">
        <v>44</v>
      </c>
      <c r="N42">
        <v>7.1</v>
      </c>
      <c r="O42">
        <v>26.8</v>
      </c>
      <c r="P42">
        <v>42.2</v>
      </c>
      <c r="Q42">
        <v>18.5</v>
      </c>
      <c r="R42">
        <v>24.7</v>
      </c>
      <c r="S42">
        <v>26.8</v>
      </c>
      <c r="T42">
        <v>24.7</v>
      </c>
      <c r="U42">
        <v>18.5</v>
      </c>
      <c r="V42">
        <v>35.799999999999997</v>
      </c>
      <c r="X42">
        <v>99.8</v>
      </c>
    </row>
    <row r="43" spans="1:24">
      <c r="A43" s="39">
        <v>45194</v>
      </c>
      <c r="B43" s="152">
        <v>47.746200000000002</v>
      </c>
      <c r="C43">
        <f t="shared" si="4"/>
        <v>34.141525685321461</v>
      </c>
      <c r="D43">
        <f t="shared" si="2"/>
        <v>3.654800335495187</v>
      </c>
      <c r="E43">
        <f t="shared" si="3"/>
        <v>18.898163010408325</v>
      </c>
      <c r="G43" s="39">
        <v>45212</v>
      </c>
      <c r="H43">
        <v>104.20950000000001</v>
      </c>
      <c r="I43">
        <v>33.565399999999997</v>
      </c>
      <c r="L43" s="39">
        <v>45002</v>
      </c>
      <c r="M43">
        <v>43</v>
      </c>
      <c r="N43">
        <v>7.2</v>
      </c>
      <c r="O43">
        <v>26.4</v>
      </c>
      <c r="P43">
        <v>41.2</v>
      </c>
      <c r="Q43">
        <v>18.5</v>
      </c>
      <c r="R43">
        <v>25.2</v>
      </c>
      <c r="S43">
        <v>26.4</v>
      </c>
      <c r="T43">
        <v>25.2</v>
      </c>
      <c r="U43">
        <v>18.5</v>
      </c>
      <c r="V43">
        <v>35.200000000000003</v>
      </c>
      <c r="X43">
        <v>100.4</v>
      </c>
    </row>
    <row r="44" spans="1:24">
      <c r="A44" s="39">
        <v>45191</v>
      </c>
      <c r="B44" s="152">
        <v>48.776000000000003</v>
      </c>
      <c r="C44">
        <f t="shared" si="4"/>
        <v>34.141525685321461</v>
      </c>
      <c r="D44">
        <f t="shared" si="2"/>
        <v>3.654800335495187</v>
      </c>
      <c r="E44">
        <f t="shared" si="3"/>
        <v>18.898163010408325</v>
      </c>
      <c r="G44" s="39">
        <v>45211</v>
      </c>
      <c r="H44">
        <v>101.8937</v>
      </c>
      <c r="I44">
        <v>33.229399999999998</v>
      </c>
      <c r="L44" s="39">
        <v>44995</v>
      </c>
      <c r="M44">
        <v>43.3</v>
      </c>
      <c r="N44">
        <v>7.6</v>
      </c>
      <c r="O44">
        <v>25.8</v>
      </c>
      <c r="P44">
        <v>40.5</v>
      </c>
      <c r="Q44">
        <v>18.399999999999999</v>
      </c>
      <c r="R44">
        <v>25</v>
      </c>
      <c r="S44">
        <v>25.8</v>
      </c>
      <c r="T44">
        <v>25</v>
      </c>
      <c r="U44">
        <v>18.399999999999999</v>
      </c>
      <c r="V44">
        <v>34.1</v>
      </c>
      <c r="X44">
        <v>101.4</v>
      </c>
    </row>
    <row r="45" spans="1:24">
      <c r="A45" s="39">
        <v>45190</v>
      </c>
      <c r="B45" s="152">
        <v>50.741999999999997</v>
      </c>
      <c r="C45">
        <f t="shared" si="4"/>
        <v>34.141525685321461</v>
      </c>
      <c r="D45">
        <f t="shared" si="2"/>
        <v>3.654800335495187</v>
      </c>
      <c r="E45">
        <f t="shared" si="3"/>
        <v>18.898163010408325</v>
      </c>
      <c r="G45" s="39">
        <v>45210</v>
      </c>
      <c r="H45">
        <v>103.7884</v>
      </c>
      <c r="I45">
        <v>33.5411</v>
      </c>
      <c r="L45" s="39">
        <v>44988</v>
      </c>
      <c r="M45">
        <v>43.5</v>
      </c>
      <c r="N45">
        <v>7.7</v>
      </c>
      <c r="O45">
        <v>26.5</v>
      </c>
      <c r="P45">
        <v>39.9</v>
      </c>
      <c r="Q45">
        <v>18.2</v>
      </c>
      <c r="R45">
        <v>26.2</v>
      </c>
      <c r="S45">
        <v>26.5</v>
      </c>
      <c r="T45">
        <v>26.2</v>
      </c>
      <c r="U45">
        <v>18.2</v>
      </c>
      <c r="V45">
        <v>34.4</v>
      </c>
      <c r="X45">
        <v>100.9</v>
      </c>
    </row>
    <row r="46" spans="1:24">
      <c r="A46" s="39">
        <v>45189</v>
      </c>
      <c r="B46" s="152">
        <v>52.239899999999999</v>
      </c>
      <c r="C46">
        <f t="shared" si="4"/>
        <v>34.141525685321461</v>
      </c>
      <c r="D46">
        <f t="shared" si="2"/>
        <v>3.654800335495187</v>
      </c>
      <c r="E46">
        <f t="shared" si="3"/>
        <v>18.898163010408325</v>
      </c>
      <c r="G46" s="39">
        <v>45209</v>
      </c>
      <c r="H46">
        <v>102.8411</v>
      </c>
      <c r="I46">
        <v>33.434899999999999</v>
      </c>
      <c r="L46" s="39">
        <v>44981</v>
      </c>
      <c r="M46">
        <v>43.3</v>
      </c>
      <c r="N46">
        <v>7.6</v>
      </c>
      <c r="O46">
        <v>26.8</v>
      </c>
      <c r="P46">
        <v>42</v>
      </c>
      <c r="Q46">
        <v>18.100000000000001</v>
      </c>
      <c r="R46">
        <v>26.4</v>
      </c>
      <c r="S46">
        <v>26.8</v>
      </c>
      <c r="T46">
        <v>26.4</v>
      </c>
      <c r="U46">
        <v>18.100000000000001</v>
      </c>
      <c r="V46">
        <v>35.4</v>
      </c>
      <c r="X46">
        <v>180.1</v>
      </c>
    </row>
    <row r="47" spans="1:24">
      <c r="A47" s="39">
        <v>45188</v>
      </c>
      <c r="B47" s="152">
        <v>51.959099999999999</v>
      </c>
      <c r="C47">
        <f t="shared" si="4"/>
        <v>34.141525685321461</v>
      </c>
      <c r="D47">
        <f t="shared" si="2"/>
        <v>3.654800335495187</v>
      </c>
      <c r="E47">
        <f t="shared" si="3"/>
        <v>18.898163010408325</v>
      </c>
      <c r="G47" s="39">
        <v>45208</v>
      </c>
      <c r="H47">
        <v>100.94629999999999</v>
      </c>
      <c r="I47">
        <v>32.965499999999999</v>
      </c>
      <c r="L47" s="39">
        <v>44974</v>
      </c>
      <c r="M47">
        <v>46.5</v>
      </c>
      <c r="N47">
        <v>7.8</v>
      </c>
      <c r="O47">
        <v>27.6</v>
      </c>
      <c r="P47">
        <v>43</v>
      </c>
      <c r="Q47">
        <v>18.5</v>
      </c>
      <c r="R47">
        <v>27.4</v>
      </c>
      <c r="S47">
        <v>27.6</v>
      </c>
      <c r="T47">
        <v>27.4</v>
      </c>
      <c r="U47">
        <v>18.5</v>
      </c>
      <c r="V47">
        <v>36.700000000000003</v>
      </c>
      <c r="X47">
        <v>182.4</v>
      </c>
    </row>
    <row r="48" spans="1:24">
      <c r="A48" s="39">
        <v>45187</v>
      </c>
      <c r="B48" s="152">
        <v>51.491</v>
      </c>
      <c r="C48">
        <f t="shared" si="4"/>
        <v>34.141525685321461</v>
      </c>
      <c r="D48">
        <f t="shared" si="2"/>
        <v>3.654800335495187</v>
      </c>
      <c r="E48">
        <f t="shared" si="3"/>
        <v>18.898163010408325</v>
      </c>
      <c r="G48" s="39">
        <v>45205</v>
      </c>
      <c r="H48">
        <v>101.6832</v>
      </c>
      <c r="I48">
        <v>32.923499999999997</v>
      </c>
      <c r="L48" s="39">
        <v>44967</v>
      </c>
      <c r="M48">
        <v>47</v>
      </c>
      <c r="N48">
        <v>7.3</v>
      </c>
      <c r="O48">
        <v>27.1</v>
      </c>
      <c r="P48">
        <v>42.5</v>
      </c>
      <c r="Q48">
        <v>18.5</v>
      </c>
      <c r="R48">
        <v>26.7</v>
      </c>
      <c r="S48">
        <v>27.1</v>
      </c>
      <c r="T48">
        <v>26.7</v>
      </c>
      <c r="U48">
        <v>18.5</v>
      </c>
      <c r="V48">
        <v>36.200000000000003</v>
      </c>
      <c r="X48">
        <v>184.8</v>
      </c>
    </row>
    <row r="49" spans="1:24">
      <c r="A49" s="39">
        <v>45184</v>
      </c>
      <c r="B49" s="152">
        <v>52.333599999999997</v>
      </c>
      <c r="C49">
        <f t="shared" si="4"/>
        <v>34.141525685321461</v>
      </c>
      <c r="D49">
        <f t="shared" si="2"/>
        <v>3.654800335495187</v>
      </c>
      <c r="E49">
        <f t="shared" si="3"/>
        <v>18.898163010408325</v>
      </c>
      <c r="G49" s="39">
        <v>45204</v>
      </c>
      <c r="H49">
        <v>98.946399999999997</v>
      </c>
      <c r="I49">
        <v>33.071399999999997</v>
      </c>
      <c r="L49" s="39">
        <v>44960</v>
      </c>
      <c r="M49">
        <v>47.3</v>
      </c>
      <c r="N49">
        <v>6.8</v>
      </c>
      <c r="O49">
        <v>26.7</v>
      </c>
      <c r="P49">
        <v>43.1</v>
      </c>
      <c r="Q49">
        <v>17.899999999999999</v>
      </c>
      <c r="R49">
        <v>27.7</v>
      </c>
      <c r="S49">
        <v>26.7</v>
      </c>
      <c r="T49">
        <v>27.7</v>
      </c>
      <c r="U49">
        <v>17.899999999999999</v>
      </c>
      <c r="V49">
        <v>38.299999999999997</v>
      </c>
      <c r="X49">
        <v>181.1</v>
      </c>
    </row>
    <row r="50" spans="1:24">
      <c r="A50" s="39">
        <v>45183</v>
      </c>
      <c r="B50" s="152">
        <v>53.644199999999998</v>
      </c>
      <c r="C50">
        <f t="shared" si="4"/>
        <v>34.141525685321461</v>
      </c>
      <c r="D50">
        <f t="shared" si="2"/>
        <v>3.654800335495187</v>
      </c>
      <c r="E50">
        <f t="shared" si="3"/>
        <v>18.898163010408325</v>
      </c>
      <c r="G50" s="39">
        <v>45203</v>
      </c>
      <c r="H50">
        <v>103.5779</v>
      </c>
      <c r="I50">
        <v>33.422600000000003</v>
      </c>
      <c r="L50" s="39">
        <v>44953</v>
      </c>
      <c r="M50">
        <v>48.2</v>
      </c>
      <c r="N50">
        <v>6.5</v>
      </c>
      <c r="O50">
        <v>28</v>
      </c>
      <c r="P50">
        <v>40.200000000000003</v>
      </c>
      <c r="Q50">
        <v>17.2</v>
      </c>
      <c r="R50">
        <v>26.5</v>
      </c>
      <c r="S50">
        <v>28</v>
      </c>
      <c r="T50">
        <v>26.5</v>
      </c>
      <c r="U50">
        <v>17.2</v>
      </c>
      <c r="V50">
        <v>37.4</v>
      </c>
      <c r="X50">
        <v>182.6</v>
      </c>
    </row>
    <row r="51" spans="1:24">
      <c r="A51" s="39">
        <v>45182</v>
      </c>
      <c r="B51" s="152">
        <v>53.831499999999998</v>
      </c>
      <c r="C51">
        <f t="shared" si="4"/>
        <v>34.141525685321461</v>
      </c>
      <c r="D51">
        <f t="shared" si="2"/>
        <v>3.654800335495187</v>
      </c>
      <c r="E51">
        <f t="shared" si="3"/>
        <v>18.898163010408325</v>
      </c>
      <c r="G51" s="39">
        <v>45202</v>
      </c>
      <c r="H51">
        <v>103.1568</v>
      </c>
      <c r="I51">
        <v>33.215499999999999</v>
      </c>
      <c r="L51" s="39">
        <v>44946</v>
      </c>
      <c r="M51">
        <v>47.7</v>
      </c>
      <c r="N51">
        <v>6.5</v>
      </c>
      <c r="O51">
        <v>27.4</v>
      </c>
      <c r="P51">
        <v>39.799999999999997</v>
      </c>
      <c r="Q51">
        <v>17.3</v>
      </c>
      <c r="R51">
        <v>21.4</v>
      </c>
      <c r="S51">
        <v>27.4</v>
      </c>
      <c r="T51">
        <v>21.4</v>
      </c>
      <c r="U51">
        <v>17.3</v>
      </c>
      <c r="V51">
        <v>35.700000000000003</v>
      </c>
      <c r="X51">
        <v>177.8</v>
      </c>
    </row>
    <row r="52" spans="1:24">
      <c r="A52" s="39">
        <v>45181</v>
      </c>
      <c r="B52" s="152">
        <v>52.239899999999999</v>
      </c>
      <c r="C52">
        <f t="shared" si="4"/>
        <v>34.141525685321461</v>
      </c>
      <c r="D52">
        <f t="shared" si="2"/>
        <v>3.654800335495187</v>
      </c>
      <c r="E52">
        <f t="shared" si="3"/>
        <v>18.898163010408325</v>
      </c>
      <c r="G52" s="39">
        <v>45201</v>
      </c>
      <c r="H52">
        <v>109.262</v>
      </c>
      <c r="I52">
        <v>33.945300000000003</v>
      </c>
      <c r="L52" s="39">
        <v>44939</v>
      </c>
      <c r="M52">
        <v>47.9</v>
      </c>
      <c r="N52">
        <v>6.2</v>
      </c>
      <c r="O52">
        <v>28.4</v>
      </c>
      <c r="P52">
        <v>39.799999999999997</v>
      </c>
      <c r="Q52">
        <v>17.600000000000001</v>
      </c>
      <c r="R52">
        <v>21.7</v>
      </c>
      <c r="S52">
        <v>28.4</v>
      </c>
      <c r="T52">
        <v>21.7</v>
      </c>
      <c r="U52">
        <v>17.600000000000001</v>
      </c>
      <c r="V52">
        <v>36</v>
      </c>
      <c r="X52">
        <v>181.6</v>
      </c>
    </row>
    <row r="53" spans="1:24">
      <c r="A53" s="39">
        <v>45180</v>
      </c>
      <c r="B53" s="152">
        <v>51.0229</v>
      </c>
      <c r="C53">
        <f t="shared" si="4"/>
        <v>34.141525685321461</v>
      </c>
      <c r="D53">
        <f t="shared" si="2"/>
        <v>3.654800335495187</v>
      </c>
      <c r="E53">
        <f t="shared" si="3"/>
        <v>18.898163010408325</v>
      </c>
      <c r="G53" s="39">
        <v>45198</v>
      </c>
      <c r="H53">
        <v>110.73569999999999</v>
      </c>
      <c r="I53">
        <v>34.210900000000002</v>
      </c>
      <c r="L53" s="39">
        <v>44932</v>
      </c>
      <c r="M53">
        <v>49.3</v>
      </c>
      <c r="N53">
        <v>6.4</v>
      </c>
      <c r="O53">
        <v>28.6</v>
      </c>
      <c r="P53">
        <v>40.4</v>
      </c>
      <c r="Q53">
        <v>17.5</v>
      </c>
      <c r="R53">
        <v>21.1</v>
      </c>
      <c r="S53">
        <v>28.6</v>
      </c>
      <c r="T53">
        <v>21.1</v>
      </c>
      <c r="U53">
        <v>17.5</v>
      </c>
      <c r="V53">
        <v>35.9</v>
      </c>
      <c r="X53">
        <v>189.2</v>
      </c>
    </row>
    <row r="54" spans="1:24">
      <c r="A54" s="39">
        <v>45177</v>
      </c>
      <c r="B54" s="152">
        <v>51.959099999999999</v>
      </c>
      <c r="C54">
        <f t="shared" si="4"/>
        <v>34.141525685321461</v>
      </c>
      <c r="D54">
        <f t="shared" si="2"/>
        <v>3.654800335495187</v>
      </c>
      <c r="E54">
        <f t="shared" si="3"/>
        <v>18.898163010408325</v>
      </c>
      <c r="G54" s="39">
        <v>45197</v>
      </c>
      <c r="H54">
        <v>49.618600000000001</v>
      </c>
      <c r="I54">
        <v>28.8813</v>
      </c>
      <c r="L54" s="39">
        <v>44925</v>
      </c>
      <c r="M54">
        <v>47.9</v>
      </c>
      <c r="N54">
        <v>7.2</v>
      </c>
      <c r="O54">
        <v>27.7</v>
      </c>
      <c r="P54">
        <v>38.200000000000003</v>
      </c>
      <c r="Q54">
        <v>16.899999999999999</v>
      </c>
      <c r="R54">
        <v>19.600000000000001</v>
      </c>
      <c r="S54">
        <v>27.7</v>
      </c>
      <c r="T54">
        <v>19.600000000000001</v>
      </c>
      <c r="U54">
        <v>16.899999999999999</v>
      </c>
      <c r="V54">
        <v>33.9</v>
      </c>
      <c r="X54">
        <v>194.2</v>
      </c>
    </row>
    <row r="55" spans="1:24">
      <c r="A55" s="39">
        <v>45176</v>
      </c>
      <c r="B55" s="152">
        <v>51.491</v>
      </c>
      <c r="C55">
        <f t="shared" si="4"/>
        <v>34.141525685321461</v>
      </c>
      <c r="D55">
        <f t="shared" si="2"/>
        <v>3.654800335495187</v>
      </c>
      <c r="E55">
        <f t="shared" si="3"/>
        <v>18.898163010408325</v>
      </c>
      <c r="G55" s="39">
        <v>45196</v>
      </c>
      <c r="H55">
        <v>48.682400000000001</v>
      </c>
      <c r="I55">
        <v>28.612300000000001</v>
      </c>
      <c r="L55" s="39">
        <v>44918</v>
      </c>
      <c r="M55">
        <v>35</v>
      </c>
      <c r="N55">
        <v>6.8</v>
      </c>
      <c r="O55">
        <v>28.1</v>
      </c>
      <c r="P55">
        <v>42</v>
      </c>
      <c r="Q55">
        <v>17</v>
      </c>
      <c r="R55">
        <v>18.899999999999999</v>
      </c>
      <c r="S55">
        <v>28.1</v>
      </c>
      <c r="T55">
        <v>18.899999999999999</v>
      </c>
      <c r="U55">
        <v>17</v>
      </c>
      <c r="V55">
        <v>34.4</v>
      </c>
      <c r="X55">
        <v>197.6</v>
      </c>
    </row>
    <row r="56" spans="1:24">
      <c r="A56" s="39">
        <v>45175</v>
      </c>
      <c r="B56" s="152">
        <v>51.491</v>
      </c>
      <c r="C56">
        <f t="shared" si="4"/>
        <v>34.141525685321461</v>
      </c>
      <c r="D56">
        <f t="shared" si="2"/>
        <v>3.654800335495187</v>
      </c>
      <c r="E56">
        <f t="shared" si="3"/>
        <v>18.898163010408325</v>
      </c>
      <c r="G56" s="39">
        <v>45195</v>
      </c>
      <c r="H56">
        <v>48.214300000000001</v>
      </c>
      <c r="I56">
        <v>28.5075</v>
      </c>
      <c r="L56" s="39">
        <v>44911</v>
      </c>
      <c r="M56">
        <v>35</v>
      </c>
      <c r="N56">
        <v>7</v>
      </c>
      <c r="O56">
        <v>27.9</v>
      </c>
      <c r="P56">
        <v>41</v>
      </c>
      <c r="Q56">
        <v>17.399999999999999</v>
      </c>
      <c r="R56">
        <v>19.3</v>
      </c>
      <c r="S56">
        <v>27.9</v>
      </c>
      <c r="T56">
        <v>19.3</v>
      </c>
      <c r="U56">
        <v>17.399999999999999</v>
      </c>
      <c r="V56">
        <v>34.299999999999997</v>
      </c>
      <c r="X56">
        <v>196.3</v>
      </c>
    </row>
    <row r="57" spans="1:24">
      <c r="A57" s="39">
        <v>45174</v>
      </c>
      <c r="B57" s="152">
        <v>50.835599999999999</v>
      </c>
      <c r="C57">
        <f t="shared" si="4"/>
        <v>34.141525685321461</v>
      </c>
      <c r="D57">
        <f t="shared" si="2"/>
        <v>3.654800335495187</v>
      </c>
      <c r="E57">
        <f t="shared" si="3"/>
        <v>18.898163010408325</v>
      </c>
      <c r="G57" s="39">
        <v>45194</v>
      </c>
      <c r="H57">
        <v>47.746200000000002</v>
      </c>
      <c r="I57">
        <v>28.557099999999998</v>
      </c>
      <c r="L57" s="39">
        <v>44904</v>
      </c>
      <c r="M57">
        <v>34.200000000000003</v>
      </c>
      <c r="N57">
        <v>7.1</v>
      </c>
      <c r="O57">
        <v>28.4</v>
      </c>
      <c r="P57">
        <v>40</v>
      </c>
      <c r="Q57">
        <v>17.899999999999999</v>
      </c>
      <c r="R57">
        <v>20.100000000000001</v>
      </c>
      <c r="S57">
        <v>28.4</v>
      </c>
      <c r="T57">
        <v>20.100000000000001</v>
      </c>
      <c r="U57">
        <v>17.899999999999999</v>
      </c>
      <c r="V57">
        <v>35.9</v>
      </c>
      <c r="X57">
        <v>197.3</v>
      </c>
    </row>
    <row r="58" spans="1:24">
      <c r="A58" s="39">
        <v>45169</v>
      </c>
      <c r="B58" s="152">
        <v>50.3675</v>
      </c>
      <c r="C58">
        <f t="shared" si="4"/>
        <v>34.141525685321461</v>
      </c>
      <c r="D58">
        <f t="shared" si="2"/>
        <v>3.654800335495187</v>
      </c>
      <c r="E58">
        <f t="shared" si="3"/>
        <v>18.898163010408325</v>
      </c>
      <c r="G58" s="39">
        <v>45191</v>
      </c>
      <c r="H58">
        <v>48.776000000000003</v>
      </c>
      <c r="I58">
        <v>28.609200000000001</v>
      </c>
      <c r="L58" s="39">
        <v>44897</v>
      </c>
      <c r="M58">
        <v>34.4</v>
      </c>
      <c r="N58">
        <v>7.5</v>
      </c>
      <c r="O58">
        <v>29.8</v>
      </c>
      <c r="P58">
        <v>47.2</v>
      </c>
      <c r="Q58">
        <v>18</v>
      </c>
      <c r="R58">
        <v>21.6</v>
      </c>
      <c r="S58">
        <v>29.8</v>
      </c>
      <c r="T58">
        <v>21.6</v>
      </c>
      <c r="U58">
        <v>18</v>
      </c>
      <c r="V58">
        <v>36.700000000000003</v>
      </c>
      <c r="X58">
        <v>194.6</v>
      </c>
    </row>
    <row r="59" spans="1:24">
      <c r="A59" s="39">
        <v>45168</v>
      </c>
      <c r="B59" s="152">
        <v>50.3675</v>
      </c>
      <c r="C59">
        <f t="shared" si="4"/>
        <v>34.141525685321461</v>
      </c>
      <c r="D59">
        <f t="shared" si="2"/>
        <v>3.654800335495187</v>
      </c>
      <c r="E59">
        <f t="shared" si="3"/>
        <v>18.898163010408325</v>
      </c>
      <c r="G59" s="39">
        <v>45190</v>
      </c>
      <c r="H59">
        <v>50.741999999999997</v>
      </c>
      <c r="I59">
        <v>28.882899999999999</v>
      </c>
      <c r="L59" s="39">
        <v>44890</v>
      </c>
      <c r="M59">
        <v>33.299999999999997</v>
      </c>
      <c r="N59">
        <v>7.1</v>
      </c>
      <c r="O59">
        <v>29.8</v>
      </c>
      <c r="P59">
        <v>44.4</v>
      </c>
      <c r="Q59">
        <v>18.7</v>
      </c>
      <c r="R59">
        <v>21.5</v>
      </c>
      <c r="S59">
        <v>29.8</v>
      </c>
      <c r="T59">
        <v>21.5</v>
      </c>
      <c r="U59">
        <v>18.7</v>
      </c>
      <c r="V59">
        <v>39.6</v>
      </c>
      <c r="X59">
        <v>119.6</v>
      </c>
    </row>
    <row r="60" spans="1:24">
      <c r="A60" s="39">
        <v>45167</v>
      </c>
      <c r="B60" s="152">
        <v>49.524999999999999</v>
      </c>
      <c r="C60">
        <f t="shared" si="4"/>
        <v>34.141525685321461</v>
      </c>
      <c r="D60">
        <f t="shared" si="2"/>
        <v>3.654800335495187</v>
      </c>
      <c r="E60">
        <f t="shared" si="3"/>
        <v>18.898163010408325</v>
      </c>
      <c r="G60" s="39">
        <v>45189</v>
      </c>
      <c r="H60">
        <v>52.239899999999999</v>
      </c>
      <c r="I60">
        <v>29.436900000000001</v>
      </c>
      <c r="L60" s="39">
        <v>44883</v>
      </c>
      <c r="M60">
        <v>33.299999999999997</v>
      </c>
      <c r="N60">
        <v>7.1</v>
      </c>
      <c r="O60">
        <v>29.2</v>
      </c>
      <c r="P60">
        <v>45.3</v>
      </c>
      <c r="Q60">
        <v>18.5</v>
      </c>
      <c r="R60">
        <v>21.5</v>
      </c>
      <c r="S60">
        <v>29.2</v>
      </c>
      <c r="T60">
        <v>21.5</v>
      </c>
      <c r="U60">
        <v>18.5</v>
      </c>
      <c r="V60">
        <v>38.9</v>
      </c>
      <c r="X60">
        <v>116.5</v>
      </c>
    </row>
    <row r="61" spans="1:24">
      <c r="A61" s="39">
        <v>45166</v>
      </c>
      <c r="B61" s="152">
        <v>48.401499999999999</v>
      </c>
      <c r="C61">
        <f t="shared" si="4"/>
        <v>34.141525685321461</v>
      </c>
      <c r="D61">
        <f t="shared" si="2"/>
        <v>3.654800335495187</v>
      </c>
      <c r="E61">
        <f t="shared" si="3"/>
        <v>18.898163010408325</v>
      </c>
      <c r="G61" s="39">
        <v>45188</v>
      </c>
      <c r="H61">
        <v>51.959099999999999</v>
      </c>
      <c r="I61">
        <v>29.4618</v>
      </c>
      <c r="L61" s="39">
        <v>44876</v>
      </c>
      <c r="M61">
        <v>32.700000000000003</v>
      </c>
      <c r="N61">
        <v>7</v>
      </c>
      <c r="O61">
        <v>27.7</v>
      </c>
      <c r="P61">
        <v>41.6</v>
      </c>
      <c r="Q61">
        <v>19.399999999999999</v>
      </c>
      <c r="R61">
        <v>22.7</v>
      </c>
      <c r="S61">
        <v>27.7</v>
      </c>
      <c r="T61">
        <v>22.7</v>
      </c>
      <c r="U61">
        <v>19.399999999999999</v>
      </c>
      <c r="V61">
        <v>38</v>
      </c>
      <c r="X61">
        <v>113.2</v>
      </c>
    </row>
    <row r="62" spans="1:24">
      <c r="A62" s="39">
        <v>45163</v>
      </c>
      <c r="B62" s="152">
        <v>47.278100000000002</v>
      </c>
      <c r="C62">
        <f t="shared" si="4"/>
        <v>34.141525685321461</v>
      </c>
      <c r="D62">
        <f t="shared" si="2"/>
        <v>3.654800335495187</v>
      </c>
      <c r="E62">
        <f t="shared" si="3"/>
        <v>18.898163010408325</v>
      </c>
      <c r="G62" s="39">
        <v>45187</v>
      </c>
      <c r="H62">
        <v>51.491</v>
      </c>
      <c r="I62">
        <v>29.451599999999999</v>
      </c>
      <c r="L62" s="39">
        <v>44869</v>
      </c>
      <c r="M62">
        <v>32.299999999999997</v>
      </c>
      <c r="N62">
        <v>6.8</v>
      </c>
      <c r="O62">
        <v>27.4</v>
      </c>
      <c r="P62">
        <v>42.1</v>
      </c>
      <c r="Q62">
        <v>19.5</v>
      </c>
      <c r="R62">
        <v>20.9</v>
      </c>
      <c r="S62">
        <v>27.4</v>
      </c>
      <c r="T62">
        <v>20.9</v>
      </c>
      <c r="U62">
        <v>19.5</v>
      </c>
      <c r="V62">
        <v>35.799999999999997</v>
      </c>
      <c r="X62">
        <v>113.8</v>
      </c>
    </row>
    <row r="63" spans="1:24">
      <c r="A63" s="39">
        <v>45162</v>
      </c>
      <c r="B63" s="152">
        <v>47.090800000000002</v>
      </c>
      <c r="C63">
        <f t="shared" si="4"/>
        <v>34.141525685321461</v>
      </c>
      <c r="D63">
        <f t="shared" si="2"/>
        <v>3.654800335495187</v>
      </c>
      <c r="E63">
        <f t="shared" si="3"/>
        <v>18.898163010408325</v>
      </c>
      <c r="G63" s="39">
        <v>45184</v>
      </c>
      <c r="H63">
        <v>52.333599999999997</v>
      </c>
      <c r="I63">
        <v>29.603999999999999</v>
      </c>
      <c r="L63" s="39">
        <v>44862</v>
      </c>
      <c r="M63">
        <v>31.9</v>
      </c>
      <c r="N63">
        <v>6.6</v>
      </c>
      <c r="O63">
        <v>23.1</v>
      </c>
      <c r="P63">
        <v>44.2</v>
      </c>
      <c r="Q63">
        <v>19.8</v>
      </c>
      <c r="R63">
        <v>21.9</v>
      </c>
      <c r="S63">
        <v>23.1</v>
      </c>
      <c r="T63">
        <v>21.9</v>
      </c>
      <c r="U63">
        <v>19.8</v>
      </c>
      <c r="V63">
        <v>37.6</v>
      </c>
      <c r="X63">
        <v>115.1</v>
      </c>
    </row>
    <row r="64" spans="1:24">
      <c r="A64" s="39">
        <v>45161</v>
      </c>
      <c r="B64" s="152">
        <v>46.5291</v>
      </c>
      <c r="C64">
        <f t="shared" si="4"/>
        <v>34.141525685321461</v>
      </c>
      <c r="D64">
        <f t="shared" si="2"/>
        <v>3.654800335495187</v>
      </c>
      <c r="E64">
        <f t="shared" si="3"/>
        <v>18.898163010408325</v>
      </c>
      <c r="G64" s="39">
        <v>45183</v>
      </c>
      <c r="H64">
        <v>53.644199999999998</v>
      </c>
      <c r="I64">
        <v>29.848600000000001</v>
      </c>
      <c r="L64" s="39">
        <v>44855</v>
      </c>
      <c r="M64">
        <v>31.1</v>
      </c>
      <c r="N64">
        <v>6.7</v>
      </c>
      <c r="O64">
        <v>22.2</v>
      </c>
      <c r="P64">
        <v>42.1</v>
      </c>
      <c r="Q64">
        <v>18.899999999999999</v>
      </c>
      <c r="R64">
        <v>17.3</v>
      </c>
      <c r="S64">
        <v>22.2</v>
      </c>
      <c r="T64">
        <v>17.3</v>
      </c>
      <c r="U64">
        <v>18.899999999999999</v>
      </c>
      <c r="V64">
        <v>35.1</v>
      </c>
      <c r="X64">
        <v>115.4</v>
      </c>
    </row>
    <row r="65" spans="1:24">
      <c r="A65" s="39">
        <v>45160</v>
      </c>
      <c r="B65" s="152">
        <v>46.81</v>
      </c>
      <c r="C65">
        <f t="shared" si="4"/>
        <v>34.141525685321461</v>
      </c>
      <c r="D65">
        <f t="shared" si="2"/>
        <v>3.654800335495187</v>
      </c>
      <c r="E65">
        <f t="shared" si="3"/>
        <v>18.898163010408325</v>
      </c>
      <c r="G65" s="39">
        <v>45182</v>
      </c>
      <c r="H65">
        <v>53.831499999999998</v>
      </c>
      <c r="I65">
        <v>29.885100000000001</v>
      </c>
      <c r="L65" s="39">
        <v>44848</v>
      </c>
      <c r="M65">
        <v>29.2</v>
      </c>
      <c r="N65">
        <v>5.9</v>
      </c>
      <c r="O65">
        <v>21.2</v>
      </c>
      <c r="P65">
        <v>40.200000000000003</v>
      </c>
      <c r="Q65">
        <v>18.899999999999999</v>
      </c>
      <c r="R65">
        <v>15.9</v>
      </c>
      <c r="S65">
        <v>21.2</v>
      </c>
      <c r="T65">
        <v>15.9</v>
      </c>
      <c r="U65">
        <v>18.899999999999999</v>
      </c>
      <c r="V65">
        <v>33.4</v>
      </c>
      <c r="X65">
        <v>118.2</v>
      </c>
    </row>
    <row r="66" spans="1:24">
      <c r="A66" s="39">
        <v>45159</v>
      </c>
      <c r="B66" s="152">
        <v>45.873800000000003</v>
      </c>
      <c r="C66">
        <f t="shared" si="4"/>
        <v>34.141525685321461</v>
      </c>
      <c r="D66">
        <f t="shared" si="2"/>
        <v>3.654800335495187</v>
      </c>
      <c r="E66">
        <f t="shared" si="3"/>
        <v>18.898163010408325</v>
      </c>
      <c r="G66" s="39">
        <v>45181</v>
      </c>
      <c r="H66">
        <v>52.239899999999999</v>
      </c>
      <c r="I66">
        <v>29.599</v>
      </c>
      <c r="L66" s="39">
        <v>44841</v>
      </c>
      <c r="M66">
        <v>28.5</v>
      </c>
      <c r="N66">
        <v>6.3</v>
      </c>
      <c r="O66">
        <v>20.9</v>
      </c>
      <c r="P66">
        <v>37.299999999999997</v>
      </c>
      <c r="Q66">
        <v>18.7</v>
      </c>
      <c r="R66">
        <v>16.600000000000001</v>
      </c>
      <c r="S66">
        <v>20.9</v>
      </c>
      <c r="T66">
        <v>16.600000000000001</v>
      </c>
      <c r="U66">
        <v>18.7</v>
      </c>
      <c r="V66">
        <v>34.4</v>
      </c>
      <c r="X66">
        <v>112</v>
      </c>
    </row>
    <row r="67" spans="1:24">
      <c r="A67" s="39">
        <v>45156</v>
      </c>
      <c r="B67" s="152">
        <v>46.997199999999999</v>
      </c>
      <c r="C67">
        <f t="shared" si="4"/>
        <v>34.141525685321461</v>
      </c>
      <c r="D67">
        <f t="shared" si="2"/>
        <v>3.654800335495187</v>
      </c>
      <c r="E67">
        <f t="shared" si="3"/>
        <v>18.898163010408325</v>
      </c>
      <c r="G67" s="39">
        <v>45180</v>
      </c>
      <c r="H67">
        <v>51.0229</v>
      </c>
      <c r="I67">
        <v>29.4818</v>
      </c>
      <c r="L67" s="39">
        <v>44834</v>
      </c>
      <c r="M67">
        <v>29.9</v>
      </c>
      <c r="N67">
        <v>5.5</v>
      </c>
      <c r="O67">
        <v>21</v>
      </c>
      <c r="P67">
        <v>38.299999999999997</v>
      </c>
      <c r="Q67">
        <v>19.3</v>
      </c>
      <c r="R67">
        <v>16.2</v>
      </c>
      <c r="S67">
        <v>21</v>
      </c>
      <c r="T67">
        <v>16.2</v>
      </c>
      <c r="U67">
        <v>19.3</v>
      </c>
      <c r="V67">
        <v>34.700000000000003</v>
      </c>
      <c r="X67">
        <v>113.3</v>
      </c>
    </row>
    <row r="68" spans="1:24">
      <c r="A68" s="39">
        <v>45155</v>
      </c>
      <c r="B68" s="152">
        <v>50.461199999999998</v>
      </c>
      <c r="C68">
        <f t="shared" ref="C68:C131" si="5">AVERAGE($B$3:$B$1251)+$C$1</f>
        <v>34.141525685321461</v>
      </c>
      <c r="D68">
        <f t="shared" ref="D68:D131" si="6">AVERAGE($B$3:$B$1251)-$C$1</f>
        <v>3.654800335495187</v>
      </c>
      <c r="E68">
        <f t="shared" ref="E68:E131" si="7">AVERAGE($B$3:$B$1251)</f>
        <v>18.898163010408325</v>
      </c>
      <c r="G68" s="39">
        <v>45177</v>
      </c>
      <c r="H68">
        <v>51.959099999999999</v>
      </c>
      <c r="I68">
        <v>29.4406</v>
      </c>
      <c r="L68" s="39">
        <v>44827</v>
      </c>
      <c r="M68">
        <v>34.799999999999997</v>
      </c>
      <c r="N68">
        <v>6.8</v>
      </c>
      <c r="O68">
        <v>21.1</v>
      </c>
      <c r="P68">
        <v>42.3</v>
      </c>
      <c r="Q68">
        <v>19.399999999999999</v>
      </c>
      <c r="R68">
        <v>16.600000000000001</v>
      </c>
      <c r="S68">
        <v>21.1</v>
      </c>
      <c r="T68">
        <v>16.600000000000001</v>
      </c>
      <c r="U68">
        <v>19.399999999999999</v>
      </c>
      <c r="V68">
        <v>34.299999999999997</v>
      </c>
      <c r="X68">
        <v>111.7</v>
      </c>
    </row>
    <row r="69" spans="1:24">
      <c r="A69" s="39">
        <v>45154</v>
      </c>
      <c r="B69" s="152">
        <v>50.3675</v>
      </c>
      <c r="C69">
        <f t="shared" si="5"/>
        <v>34.141525685321461</v>
      </c>
      <c r="D69">
        <f t="shared" si="6"/>
        <v>3.654800335495187</v>
      </c>
      <c r="E69">
        <f t="shared" si="7"/>
        <v>18.898163010408325</v>
      </c>
      <c r="G69" s="39">
        <v>45176</v>
      </c>
      <c r="H69">
        <v>51.491</v>
      </c>
      <c r="I69">
        <v>29.3553</v>
      </c>
      <c r="L69" s="39">
        <v>44820</v>
      </c>
      <c r="M69">
        <v>36.200000000000003</v>
      </c>
      <c r="N69">
        <v>6.9</v>
      </c>
      <c r="O69">
        <v>21.6</v>
      </c>
      <c r="P69">
        <v>39.5</v>
      </c>
      <c r="Q69">
        <v>20.8</v>
      </c>
      <c r="R69">
        <v>17.899999999999999</v>
      </c>
      <c r="S69">
        <v>21.6</v>
      </c>
      <c r="T69">
        <v>17.899999999999999</v>
      </c>
      <c r="U69">
        <v>20.8</v>
      </c>
      <c r="V69">
        <v>37.1</v>
      </c>
      <c r="X69">
        <v>112.6</v>
      </c>
    </row>
    <row r="70" spans="1:24">
      <c r="A70" s="39">
        <v>45153</v>
      </c>
      <c r="B70" s="152">
        <v>50.5548</v>
      </c>
      <c r="C70">
        <f t="shared" si="5"/>
        <v>34.141525685321461</v>
      </c>
      <c r="D70">
        <f t="shared" si="6"/>
        <v>3.654800335495187</v>
      </c>
      <c r="E70">
        <f t="shared" si="7"/>
        <v>18.898163010408325</v>
      </c>
      <c r="G70" s="39">
        <v>45175</v>
      </c>
      <c r="H70">
        <v>51.491</v>
      </c>
      <c r="I70">
        <v>29.264099999999999</v>
      </c>
      <c r="L70" s="39">
        <v>44813</v>
      </c>
      <c r="M70">
        <v>36.799999999999997</v>
      </c>
      <c r="N70">
        <v>6.3</v>
      </c>
      <c r="O70">
        <v>22.2</v>
      </c>
      <c r="P70">
        <v>37.299999999999997</v>
      </c>
      <c r="Q70">
        <v>21</v>
      </c>
      <c r="R70">
        <v>18.899999999999999</v>
      </c>
      <c r="S70">
        <v>22.2</v>
      </c>
      <c r="T70">
        <v>18.899999999999999</v>
      </c>
      <c r="U70">
        <v>21</v>
      </c>
      <c r="V70">
        <v>39.4</v>
      </c>
      <c r="X70">
        <v>111.8</v>
      </c>
    </row>
    <row r="71" spans="1:24">
      <c r="A71" s="39">
        <v>45152</v>
      </c>
      <c r="B71" s="152">
        <v>50.741999999999997</v>
      </c>
      <c r="C71">
        <f t="shared" si="5"/>
        <v>34.141525685321461</v>
      </c>
      <c r="D71">
        <f t="shared" si="6"/>
        <v>3.654800335495187</v>
      </c>
      <c r="E71">
        <f t="shared" si="7"/>
        <v>18.898163010408325</v>
      </c>
      <c r="G71" s="39">
        <v>45174</v>
      </c>
      <c r="H71">
        <v>50.835599999999999</v>
      </c>
      <c r="I71">
        <v>29.293500000000002</v>
      </c>
      <c r="L71" s="39">
        <v>44806</v>
      </c>
      <c r="M71">
        <v>36.799999999999997</v>
      </c>
      <c r="N71">
        <v>6.3</v>
      </c>
      <c r="O71">
        <v>21.6</v>
      </c>
      <c r="P71">
        <v>36.5</v>
      </c>
      <c r="Q71">
        <v>19.5</v>
      </c>
      <c r="R71">
        <v>17.899999999999999</v>
      </c>
      <c r="S71">
        <v>21.6</v>
      </c>
      <c r="T71">
        <v>17.899999999999999</v>
      </c>
      <c r="U71">
        <v>19.5</v>
      </c>
      <c r="V71">
        <v>38.200000000000003</v>
      </c>
      <c r="X71">
        <v>112.1</v>
      </c>
    </row>
    <row r="72" spans="1:24">
      <c r="A72" s="39">
        <v>45149</v>
      </c>
      <c r="B72" s="152">
        <v>49.8994</v>
      </c>
      <c r="C72">
        <f t="shared" si="5"/>
        <v>34.141525685321461</v>
      </c>
      <c r="D72">
        <f t="shared" si="6"/>
        <v>3.654800335495187</v>
      </c>
      <c r="E72">
        <f t="shared" si="7"/>
        <v>18.898163010408325</v>
      </c>
      <c r="G72" s="39">
        <v>45173</v>
      </c>
      <c r="I72">
        <v>29.452300000000001</v>
      </c>
      <c r="L72" s="39">
        <v>44799</v>
      </c>
      <c r="M72">
        <v>37.9</v>
      </c>
      <c r="N72">
        <v>6.4</v>
      </c>
      <c r="O72">
        <v>21.3</v>
      </c>
      <c r="P72">
        <v>35.700000000000003</v>
      </c>
      <c r="Q72">
        <v>18.899999999999999</v>
      </c>
      <c r="R72">
        <v>17.5</v>
      </c>
      <c r="S72">
        <v>21.3</v>
      </c>
      <c r="T72">
        <v>17.5</v>
      </c>
      <c r="U72">
        <v>18.899999999999999</v>
      </c>
      <c r="V72">
        <v>39.1</v>
      </c>
      <c r="X72">
        <v>110</v>
      </c>
    </row>
    <row r="73" spans="1:24">
      <c r="A73" s="39">
        <v>45148</v>
      </c>
      <c r="B73" s="152">
        <v>48.682400000000001</v>
      </c>
      <c r="C73">
        <f t="shared" si="5"/>
        <v>34.141525685321461</v>
      </c>
      <c r="D73">
        <f t="shared" si="6"/>
        <v>3.654800335495187</v>
      </c>
      <c r="E73">
        <f t="shared" si="7"/>
        <v>18.898163010408325</v>
      </c>
      <c r="G73" s="39">
        <v>45170</v>
      </c>
      <c r="I73">
        <v>29.528400000000001</v>
      </c>
      <c r="L73" s="39">
        <v>44792</v>
      </c>
      <c r="M73">
        <v>37.4</v>
      </c>
      <c r="N73">
        <v>6.8</v>
      </c>
      <c r="O73">
        <v>22.2</v>
      </c>
      <c r="P73">
        <v>37</v>
      </c>
      <c r="Q73">
        <v>19.600000000000001</v>
      </c>
      <c r="R73">
        <v>18.2</v>
      </c>
      <c r="S73">
        <v>22.2</v>
      </c>
      <c r="T73">
        <v>18.2</v>
      </c>
      <c r="U73">
        <v>19.600000000000001</v>
      </c>
      <c r="V73">
        <v>41.7</v>
      </c>
      <c r="X73">
        <v>112.5</v>
      </c>
    </row>
    <row r="74" spans="1:24">
      <c r="A74" s="39">
        <v>45147</v>
      </c>
      <c r="B74" s="152">
        <v>49.244100000000003</v>
      </c>
      <c r="C74">
        <f t="shared" si="5"/>
        <v>34.141525685321461</v>
      </c>
      <c r="D74">
        <f t="shared" si="6"/>
        <v>3.654800335495187</v>
      </c>
      <c r="E74">
        <f t="shared" si="7"/>
        <v>18.898163010408325</v>
      </c>
      <c r="G74" s="39">
        <v>45169</v>
      </c>
      <c r="H74">
        <v>50.3675</v>
      </c>
      <c r="I74">
        <v>29.9696</v>
      </c>
      <c r="L74" s="39">
        <v>44785</v>
      </c>
      <c r="M74">
        <v>36.799999999999997</v>
      </c>
      <c r="N74">
        <v>7.4</v>
      </c>
      <c r="O74">
        <v>21.4</v>
      </c>
      <c r="P74">
        <v>32.700000000000003</v>
      </c>
      <c r="Q74">
        <v>18.100000000000001</v>
      </c>
      <c r="R74">
        <v>18.7</v>
      </c>
      <c r="S74">
        <v>21.4</v>
      </c>
      <c r="T74">
        <v>18.7</v>
      </c>
      <c r="U74">
        <v>18.100000000000001</v>
      </c>
      <c r="V74">
        <v>40.4</v>
      </c>
      <c r="X74">
        <v>110.1</v>
      </c>
    </row>
    <row r="75" spans="1:24">
      <c r="A75" s="39">
        <v>45146</v>
      </c>
      <c r="B75" s="152">
        <v>50.180300000000003</v>
      </c>
      <c r="C75">
        <f t="shared" si="5"/>
        <v>34.141525685321461</v>
      </c>
      <c r="D75">
        <f t="shared" si="6"/>
        <v>3.654800335495187</v>
      </c>
      <c r="E75">
        <f t="shared" si="7"/>
        <v>18.898163010408325</v>
      </c>
      <c r="G75" s="39">
        <v>45168</v>
      </c>
      <c r="H75">
        <v>50.3675</v>
      </c>
      <c r="I75">
        <v>30.2942</v>
      </c>
      <c r="L75" s="39">
        <v>44778</v>
      </c>
      <c r="M75">
        <v>36.799999999999997</v>
      </c>
      <c r="N75">
        <v>7.5</v>
      </c>
      <c r="O75">
        <v>20.399999999999999</v>
      </c>
      <c r="P75">
        <v>32.700000000000003</v>
      </c>
      <c r="Q75">
        <v>18.7</v>
      </c>
      <c r="R75">
        <v>18</v>
      </c>
      <c r="S75">
        <v>20.399999999999999</v>
      </c>
      <c r="T75">
        <v>18</v>
      </c>
      <c r="U75">
        <v>18.7</v>
      </c>
      <c r="V75">
        <v>40.6</v>
      </c>
      <c r="X75">
        <v>108.5</v>
      </c>
    </row>
    <row r="76" spans="1:24">
      <c r="A76" s="39">
        <v>45145</v>
      </c>
      <c r="B76" s="152">
        <v>50.3675</v>
      </c>
      <c r="C76">
        <f t="shared" si="5"/>
        <v>34.141525685321461</v>
      </c>
      <c r="D76">
        <f t="shared" si="6"/>
        <v>3.654800335495187</v>
      </c>
      <c r="E76">
        <f t="shared" si="7"/>
        <v>18.898163010408325</v>
      </c>
      <c r="G76" s="39">
        <v>45167</v>
      </c>
      <c r="H76">
        <v>49.524999999999999</v>
      </c>
      <c r="I76">
        <v>30.164300000000001</v>
      </c>
      <c r="L76" s="39">
        <v>44771</v>
      </c>
      <c r="M76">
        <v>37.6</v>
      </c>
      <c r="N76">
        <v>7.6</v>
      </c>
      <c r="O76">
        <v>21.3</v>
      </c>
      <c r="P76">
        <v>33.200000000000003</v>
      </c>
      <c r="Q76">
        <v>18</v>
      </c>
      <c r="R76">
        <v>17.7</v>
      </c>
      <c r="S76">
        <v>21.3</v>
      </c>
      <c r="T76">
        <v>17.7</v>
      </c>
      <c r="U76">
        <v>18</v>
      </c>
      <c r="V76">
        <v>40.700000000000003</v>
      </c>
      <c r="X76">
        <v>106.6</v>
      </c>
    </row>
    <row r="77" spans="1:24">
      <c r="A77" s="39">
        <v>45142</v>
      </c>
      <c r="B77" s="152">
        <v>49.618600000000001</v>
      </c>
      <c r="C77">
        <f t="shared" si="5"/>
        <v>34.141525685321461</v>
      </c>
      <c r="D77">
        <f t="shared" si="6"/>
        <v>3.654800335495187</v>
      </c>
      <c r="E77">
        <f t="shared" si="7"/>
        <v>18.898163010408325</v>
      </c>
      <c r="G77" s="39">
        <v>45166</v>
      </c>
      <c r="H77">
        <v>48.401499999999999</v>
      </c>
      <c r="I77">
        <v>29.790299999999998</v>
      </c>
      <c r="L77" s="39">
        <v>44764</v>
      </c>
      <c r="M77">
        <v>37.4</v>
      </c>
      <c r="N77">
        <v>8</v>
      </c>
      <c r="O77">
        <v>21.3</v>
      </c>
      <c r="P77">
        <v>33.200000000000003</v>
      </c>
      <c r="Q77">
        <v>19.899999999999999</v>
      </c>
      <c r="R77">
        <v>12.5</v>
      </c>
      <c r="S77">
        <v>21.3</v>
      </c>
      <c r="T77">
        <v>12.5</v>
      </c>
      <c r="U77">
        <v>19.899999999999999</v>
      </c>
      <c r="V77">
        <v>39.700000000000003</v>
      </c>
      <c r="X77">
        <v>106.8</v>
      </c>
    </row>
    <row r="78" spans="1:24">
      <c r="A78" s="39">
        <v>45141</v>
      </c>
      <c r="B78" s="152">
        <v>49.337699999999998</v>
      </c>
      <c r="C78">
        <f t="shared" si="5"/>
        <v>34.141525685321461</v>
      </c>
      <c r="D78">
        <f t="shared" si="6"/>
        <v>3.654800335495187</v>
      </c>
      <c r="E78">
        <f t="shared" si="7"/>
        <v>18.898163010408325</v>
      </c>
      <c r="G78" s="39">
        <v>45163</v>
      </c>
      <c r="H78">
        <v>47.278100000000002</v>
      </c>
      <c r="I78">
        <v>29.616399999999999</v>
      </c>
      <c r="L78" s="39">
        <v>44757</v>
      </c>
      <c r="M78">
        <v>37.6</v>
      </c>
      <c r="N78">
        <v>7.9</v>
      </c>
      <c r="O78">
        <v>20.8</v>
      </c>
      <c r="P78">
        <v>32.9</v>
      </c>
      <c r="Q78">
        <v>20</v>
      </c>
      <c r="R78">
        <v>11.7</v>
      </c>
      <c r="S78">
        <v>20.8</v>
      </c>
      <c r="T78">
        <v>11.7</v>
      </c>
      <c r="U78">
        <v>20</v>
      </c>
      <c r="V78">
        <v>39.200000000000003</v>
      </c>
      <c r="X78">
        <v>104.6</v>
      </c>
    </row>
    <row r="79" spans="1:24">
      <c r="A79" s="39">
        <v>45140</v>
      </c>
      <c r="B79" s="152">
        <v>48.401499999999999</v>
      </c>
      <c r="C79">
        <f t="shared" si="5"/>
        <v>34.141525685321461</v>
      </c>
      <c r="D79">
        <f t="shared" si="6"/>
        <v>3.654800335495187</v>
      </c>
      <c r="E79">
        <f t="shared" si="7"/>
        <v>18.898163010408325</v>
      </c>
      <c r="G79" s="39">
        <v>45162</v>
      </c>
      <c r="H79">
        <v>47.090800000000002</v>
      </c>
      <c r="I79">
        <v>29.534400000000002</v>
      </c>
      <c r="L79" s="39">
        <v>44750</v>
      </c>
      <c r="M79">
        <v>38.9</v>
      </c>
      <c r="N79">
        <v>7.6</v>
      </c>
      <c r="O79">
        <v>20.2</v>
      </c>
      <c r="P79">
        <v>33.6</v>
      </c>
      <c r="Q79">
        <v>19.3</v>
      </c>
      <c r="R79">
        <v>11.8</v>
      </c>
      <c r="S79">
        <v>20.2</v>
      </c>
      <c r="T79">
        <v>11.8</v>
      </c>
      <c r="U79">
        <v>19.3</v>
      </c>
      <c r="V79">
        <v>37.6</v>
      </c>
      <c r="X79">
        <v>104.5</v>
      </c>
    </row>
    <row r="80" spans="1:24">
      <c r="A80" s="39">
        <v>45139</v>
      </c>
      <c r="B80" s="152">
        <v>48.401499999999999</v>
      </c>
      <c r="C80">
        <f t="shared" si="5"/>
        <v>34.141525685321461</v>
      </c>
      <c r="D80">
        <f t="shared" si="6"/>
        <v>3.654800335495187</v>
      </c>
      <c r="E80">
        <f t="shared" si="7"/>
        <v>18.898163010408325</v>
      </c>
      <c r="G80" s="39">
        <v>45161</v>
      </c>
      <c r="H80">
        <v>46.5291</v>
      </c>
      <c r="I80">
        <v>30.232800000000001</v>
      </c>
      <c r="L80" s="39">
        <v>44743</v>
      </c>
      <c r="M80">
        <v>38.200000000000003</v>
      </c>
      <c r="N80">
        <v>8</v>
      </c>
      <c r="O80">
        <v>19.8</v>
      </c>
      <c r="P80">
        <v>35.6</v>
      </c>
      <c r="Q80">
        <v>18.2</v>
      </c>
      <c r="R80">
        <v>11.3</v>
      </c>
      <c r="S80">
        <v>19.8</v>
      </c>
      <c r="T80">
        <v>11.3</v>
      </c>
      <c r="U80">
        <v>18.2</v>
      </c>
      <c r="V80">
        <v>36.5</v>
      </c>
      <c r="X80">
        <v>92.8</v>
      </c>
    </row>
    <row r="81" spans="1:24">
      <c r="A81" s="39">
        <v>45138</v>
      </c>
      <c r="B81" s="152">
        <v>50.273899999999998</v>
      </c>
      <c r="C81">
        <f t="shared" si="5"/>
        <v>34.141525685321461</v>
      </c>
      <c r="D81">
        <f t="shared" si="6"/>
        <v>3.654800335495187</v>
      </c>
      <c r="E81">
        <f t="shared" si="7"/>
        <v>18.898163010408325</v>
      </c>
      <c r="G81" s="39">
        <v>45160</v>
      </c>
      <c r="H81">
        <v>46.81</v>
      </c>
      <c r="I81">
        <v>30.116700000000002</v>
      </c>
      <c r="L81" s="39">
        <v>44736</v>
      </c>
      <c r="M81">
        <v>38.700000000000003</v>
      </c>
      <c r="N81">
        <v>9.6999999999999993</v>
      </c>
      <c r="O81">
        <v>19.899999999999999</v>
      </c>
      <c r="P81">
        <v>39</v>
      </c>
      <c r="Q81">
        <v>18.7</v>
      </c>
      <c r="R81">
        <v>11.9</v>
      </c>
      <c r="S81">
        <v>19.899999999999999</v>
      </c>
      <c r="T81">
        <v>11.9</v>
      </c>
      <c r="U81">
        <v>18.7</v>
      </c>
      <c r="V81">
        <v>36.299999999999997</v>
      </c>
      <c r="X81">
        <v>91.4</v>
      </c>
    </row>
    <row r="82" spans="1:24">
      <c r="A82" s="39">
        <v>45135</v>
      </c>
      <c r="B82" s="152">
        <v>51.0229</v>
      </c>
      <c r="C82">
        <f t="shared" si="5"/>
        <v>34.141525685321461</v>
      </c>
      <c r="D82">
        <f t="shared" si="6"/>
        <v>3.654800335495187</v>
      </c>
      <c r="E82">
        <f t="shared" si="7"/>
        <v>18.898163010408325</v>
      </c>
      <c r="G82" s="39">
        <v>45159</v>
      </c>
      <c r="H82">
        <v>45.873800000000003</v>
      </c>
      <c r="I82">
        <v>30.332599999999999</v>
      </c>
      <c r="L82" s="39">
        <v>44729</v>
      </c>
      <c r="M82">
        <v>39</v>
      </c>
      <c r="N82">
        <v>8.8000000000000007</v>
      </c>
      <c r="O82">
        <v>19.100000000000001</v>
      </c>
      <c r="P82">
        <v>35.299999999999997</v>
      </c>
      <c r="Q82">
        <v>16.600000000000001</v>
      </c>
      <c r="R82">
        <v>11.1</v>
      </c>
      <c r="S82">
        <v>19.100000000000001</v>
      </c>
      <c r="T82">
        <v>11.1</v>
      </c>
      <c r="U82">
        <v>16.600000000000001</v>
      </c>
      <c r="V82">
        <v>33.5</v>
      </c>
      <c r="X82">
        <v>88.9</v>
      </c>
    </row>
    <row r="83" spans="1:24">
      <c r="A83" s="39">
        <v>45134</v>
      </c>
      <c r="B83" s="152">
        <v>50.648400000000002</v>
      </c>
      <c r="C83">
        <f t="shared" si="5"/>
        <v>34.141525685321461</v>
      </c>
      <c r="D83">
        <f t="shared" si="6"/>
        <v>3.654800335495187</v>
      </c>
      <c r="E83">
        <f t="shared" si="7"/>
        <v>18.898163010408325</v>
      </c>
      <c r="G83" s="39">
        <v>45156</v>
      </c>
      <c r="H83">
        <v>46.997199999999999</v>
      </c>
      <c r="I83">
        <v>30.419599999999999</v>
      </c>
      <c r="L83" s="39">
        <v>44722</v>
      </c>
      <c r="M83">
        <v>41.3</v>
      </c>
      <c r="N83">
        <v>9.8000000000000007</v>
      </c>
      <c r="O83">
        <v>19.600000000000001</v>
      </c>
      <c r="P83">
        <v>35.1</v>
      </c>
      <c r="Q83">
        <v>17.600000000000001</v>
      </c>
      <c r="R83">
        <v>11.9</v>
      </c>
      <c r="S83">
        <v>19.600000000000001</v>
      </c>
      <c r="T83">
        <v>11.9</v>
      </c>
      <c r="U83">
        <v>17.600000000000001</v>
      </c>
      <c r="V83">
        <v>34.799999999999997</v>
      </c>
      <c r="X83">
        <v>91.2</v>
      </c>
    </row>
    <row r="84" spans="1:24">
      <c r="A84" s="39">
        <v>45133</v>
      </c>
      <c r="B84" s="152">
        <v>48.776000000000003</v>
      </c>
      <c r="C84">
        <f t="shared" si="5"/>
        <v>34.141525685321461</v>
      </c>
      <c r="D84">
        <f t="shared" si="6"/>
        <v>3.654800335495187</v>
      </c>
      <c r="E84">
        <f t="shared" si="7"/>
        <v>18.898163010408325</v>
      </c>
      <c r="G84" s="39">
        <v>45155</v>
      </c>
      <c r="H84">
        <v>50.461199999999998</v>
      </c>
      <c r="I84">
        <v>30.641200000000001</v>
      </c>
      <c r="L84" s="39">
        <v>44715</v>
      </c>
      <c r="M84">
        <v>42.2</v>
      </c>
      <c r="N84">
        <v>10.3</v>
      </c>
      <c r="O84">
        <v>20.2</v>
      </c>
      <c r="P84">
        <v>35.200000000000003</v>
      </c>
      <c r="Q84">
        <v>17.100000000000001</v>
      </c>
      <c r="R84">
        <v>12.8</v>
      </c>
      <c r="S84">
        <v>20.2</v>
      </c>
      <c r="T84">
        <v>12.8</v>
      </c>
      <c r="U84">
        <v>17.100000000000001</v>
      </c>
      <c r="V84">
        <v>35.700000000000003</v>
      </c>
      <c r="X84">
        <v>93.7</v>
      </c>
    </row>
    <row r="85" spans="1:24">
      <c r="A85" s="39">
        <v>45132</v>
      </c>
      <c r="B85" s="152">
        <v>49.703299999999999</v>
      </c>
      <c r="C85">
        <f t="shared" si="5"/>
        <v>34.141525685321461</v>
      </c>
      <c r="D85">
        <f t="shared" si="6"/>
        <v>3.654800335495187</v>
      </c>
      <c r="E85">
        <f t="shared" si="7"/>
        <v>18.898163010408325</v>
      </c>
      <c r="G85" s="39">
        <v>45154</v>
      </c>
      <c r="H85">
        <v>50.3675</v>
      </c>
      <c r="I85">
        <v>30.926200000000001</v>
      </c>
      <c r="L85" s="39">
        <v>44708</v>
      </c>
      <c r="M85">
        <v>42.2</v>
      </c>
      <c r="N85">
        <v>11.4</v>
      </c>
      <c r="O85">
        <v>20.7</v>
      </c>
      <c r="P85">
        <v>32.700000000000003</v>
      </c>
      <c r="Q85">
        <v>16.8</v>
      </c>
      <c r="R85">
        <v>13.3</v>
      </c>
      <c r="S85">
        <v>20.7</v>
      </c>
      <c r="T85">
        <v>13.3</v>
      </c>
      <c r="U85">
        <v>16.8</v>
      </c>
      <c r="V85">
        <v>35.299999999999997</v>
      </c>
      <c r="X85">
        <v>296.39999999999998</v>
      </c>
    </row>
    <row r="86" spans="1:24">
      <c r="A86" s="39">
        <v>45131</v>
      </c>
      <c r="B86" s="152">
        <v>50.5379</v>
      </c>
      <c r="C86">
        <f t="shared" si="5"/>
        <v>34.141525685321461</v>
      </c>
      <c r="D86">
        <f t="shared" si="6"/>
        <v>3.654800335495187</v>
      </c>
      <c r="E86">
        <f t="shared" si="7"/>
        <v>18.898163010408325</v>
      </c>
      <c r="G86" s="39">
        <v>45153</v>
      </c>
      <c r="H86">
        <v>50.5548</v>
      </c>
      <c r="I86">
        <v>30.8202</v>
      </c>
      <c r="L86" s="39">
        <v>44701</v>
      </c>
      <c r="M86">
        <v>42.1</v>
      </c>
      <c r="N86">
        <v>11.2</v>
      </c>
      <c r="O86">
        <v>19.2</v>
      </c>
      <c r="P86">
        <v>34.4</v>
      </c>
      <c r="Q86">
        <v>15</v>
      </c>
      <c r="R86">
        <v>12.3</v>
      </c>
      <c r="S86">
        <v>19.2</v>
      </c>
      <c r="T86">
        <v>12.3</v>
      </c>
      <c r="U86">
        <v>15</v>
      </c>
      <c r="V86">
        <v>31.2</v>
      </c>
      <c r="X86">
        <v>292</v>
      </c>
    </row>
    <row r="87" spans="1:24">
      <c r="A87" s="39">
        <v>45128</v>
      </c>
      <c r="B87" s="152">
        <v>48.683300000000003</v>
      </c>
      <c r="C87">
        <f t="shared" si="5"/>
        <v>34.141525685321461</v>
      </c>
      <c r="D87">
        <f t="shared" si="6"/>
        <v>3.654800335495187</v>
      </c>
      <c r="E87">
        <f t="shared" si="7"/>
        <v>18.898163010408325</v>
      </c>
      <c r="G87" s="39">
        <v>45152</v>
      </c>
      <c r="H87">
        <v>50.741999999999997</v>
      </c>
      <c r="I87">
        <v>30.888200000000001</v>
      </c>
      <c r="L87" s="39">
        <v>44694</v>
      </c>
      <c r="M87">
        <v>41.1</v>
      </c>
      <c r="N87">
        <v>10.9</v>
      </c>
      <c r="O87">
        <v>23.9</v>
      </c>
      <c r="P87">
        <v>30.5</v>
      </c>
      <c r="Q87">
        <v>17.899999999999999</v>
      </c>
      <c r="R87">
        <v>17.399999999999999</v>
      </c>
      <c r="S87">
        <v>23.9</v>
      </c>
      <c r="T87">
        <v>17.399999999999999</v>
      </c>
      <c r="U87">
        <v>17.899999999999999</v>
      </c>
      <c r="V87">
        <v>37.299999999999997</v>
      </c>
      <c r="X87">
        <v>306</v>
      </c>
    </row>
    <row r="88" spans="1:24">
      <c r="A88" s="39">
        <v>45127</v>
      </c>
      <c r="B88" s="152">
        <v>45.5304</v>
      </c>
      <c r="C88">
        <f t="shared" si="5"/>
        <v>34.141525685321461</v>
      </c>
      <c r="D88">
        <f t="shared" si="6"/>
        <v>3.654800335495187</v>
      </c>
      <c r="E88">
        <f t="shared" si="7"/>
        <v>18.898163010408325</v>
      </c>
      <c r="G88" s="39">
        <v>45149</v>
      </c>
      <c r="H88">
        <v>49.8994</v>
      </c>
      <c r="I88">
        <v>30.7806</v>
      </c>
      <c r="L88" s="39">
        <v>44687</v>
      </c>
      <c r="M88">
        <v>42.2</v>
      </c>
      <c r="O88">
        <v>24.1</v>
      </c>
      <c r="Q88">
        <v>17.7</v>
      </c>
      <c r="R88">
        <v>17.8</v>
      </c>
      <c r="S88">
        <v>24.1</v>
      </c>
      <c r="T88">
        <v>17.8</v>
      </c>
      <c r="U88">
        <v>17.7</v>
      </c>
      <c r="V88">
        <v>37.799999999999997</v>
      </c>
      <c r="X88">
        <v>316.3</v>
      </c>
    </row>
    <row r="89" spans="1:24">
      <c r="A89" s="39">
        <v>45126</v>
      </c>
      <c r="B89" s="152">
        <v>44.9741</v>
      </c>
      <c r="C89">
        <f t="shared" si="5"/>
        <v>34.141525685321461</v>
      </c>
      <c r="D89">
        <f t="shared" si="6"/>
        <v>3.654800335495187</v>
      </c>
      <c r="E89">
        <f t="shared" si="7"/>
        <v>18.898163010408325</v>
      </c>
      <c r="G89" s="39">
        <v>45148</v>
      </c>
      <c r="H89">
        <v>48.682400000000001</v>
      </c>
      <c r="I89">
        <v>30.5594</v>
      </c>
      <c r="L89" s="39">
        <v>44680</v>
      </c>
      <c r="M89">
        <v>42.2</v>
      </c>
      <c r="N89">
        <v>11.6</v>
      </c>
      <c r="O89">
        <v>24.6</v>
      </c>
      <c r="P89">
        <v>33.1</v>
      </c>
      <c r="Q89">
        <v>18.399999999999999</v>
      </c>
      <c r="R89">
        <v>18.100000000000001</v>
      </c>
      <c r="S89">
        <v>24.6</v>
      </c>
      <c r="T89">
        <v>18.100000000000001</v>
      </c>
      <c r="U89">
        <v>18.399999999999999</v>
      </c>
      <c r="V89">
        <v>41.1</v>
      </c>
      <c r="X89">
        <v>315.60000000000002</v>
      </c>
    </row>
    <row r="90" spans="1:24">
      <c r="A90" s="39">
        <v>45125</v>
      </c>
      <c r="B90" s="152">
        <v>44.556800000000003</v>
      </c>
      <c r="C90">
        <f t="shared" si="5"/>
        <v>34.141525685321461</v>
      </c>
      <c r="D90">
        <f t="shared" si="6"/>
        <v>3.654800335495187</v>
      </c>
      <c r="E90">
        <f t="shared" si="7"/>
        <v>18.898163010408325</v>
      </c>
      <c r="G90" s="39">
        <v>45147</v>
      </c>
      <c r="H90">
        <v>49.244100000000003</v>
      </c>
      <c r="I90">
        <v>30.670300000000001</v>
      </c>
      <c r="L90" s="39">
        <v>44673</v>
      </c>
      <c r="M90">
        <v>42.6</v>
      </c>
      <c r="N90">
        <v>11.5</v>
      </c>
      <c r="O90">
        <v>23.7</v>
      </c>
      <c r="P90">
        <v>33.1</v>
      </c>
      <c r="Q90">
        <v>20.8</v>
      </c>
      <c r="R90">
        <v>17</v>
      </c>
      <c r="S90">
        <v>23.7</v>
      </c>
      <c r="T90">
        <v>17</v>
      </c>
      <c r="U90">
        <v>20.8</v>
      </c>
      <c r="V90">
        <v>44.1</v>
      </c>
      <c r="X90">
        <v>312.60000000000002</v>
      </c>
    </row>
    <row r="91" spans="1:24">
      <c r="A91" s="39">
        <v>45124</v>
      </c>
      <c r="B91" s="152">
        <v>45.113199999999999</v>
      </c>
      <c r="C91">
        <f t="shared" si="5"/>
        <v>34.141525685321461</v>
      </c>
      <c r="D91">
        <f t="shared" si="6"/>
        <v>3.654800335495187</v>
      </c>
      <c r="E91">
        <f t="shared" si="7"/>
        <v>18.898163010408325</v>
      </c>
      <c r="G91" s="39">
        <v>45146</v>
      </c>
      <c r="H91">
        <v>50.180300000000003</v>
      </c>
      <c r="I91">
        <v>30.504300000000001</v>
      </c>
      <c r="L91" s="39">
        <v>44666</v>
      </c>
      <c r="M91">
        <v>43.4</v>
      </c>
      <c r="N91">
        <v>11.5</v>
      </c>
      <c r="O91">
        <v>23.7</v>
      </c>
      <c r="P91">
        <v>33.299999999999997</v>
      </c>
      <c r="Q91">
        <v>20.9</v>
      </c>
      <c r="R91">
        <v>16.7</v>
      </c>
      <c r="S91">
        <v>23.7</v>
      </c>
      <c r="T91">
        <v>16.7</v>
      </c>
      <c r="U91">
        <v>20.9</v>
      </c>
      <c r="V91">
        <v>45.5</v>
      </c>
      <c r="X91">
        <v>316.60000000000002</v>
      </c>
    </row>
    <row r="92" spans="1:24">
      <c r="A92" s="39">
        <v>45121</v>
      </c>
      <c r="B92" s="152">
        <v>45.854999999999997</v>
      </c>
      <c r="C92">
        <f t="shared" si="5"/>
        <v>34.141525685321461</v>
      </c>
      <c r="D92">
        <f t="shared" si="6"/>
        <v>3.654800335495187</v>
      </c>
      <c r="E92">
        <f t="shared" si="7"/>
        <v>18.898163010408325</v>
      </c>
      <c r="G92" s="39">
        <v>45145</v>
      </c>
      <c r="H92">
        <v>50.3675</v>
      </c>
      <c r="I92">
        <v>30.730599999999999</v>
      </c>
      <c r="L92" s="39">
        <v>44659</v>
      </c>
      <c r="M92">
        <v>43.3</v>
      </c>
      <c r="N92">
        <v>11.5</v>
      </c>
      <c r="O92">
        <v>23.8</v>
      </c>
      <c r="P92">
        <v>32.799999999999997</v>
      </c>
      <c r="Q92">
        <v>21.7</v>
      </c>
      <c r="R92">
        <v>16.399999999999999</v>
      </c>
      <c r="S92">
        <v>23.8</v>
      </c>
      <c r="T92">
        <v>16.399999999999999</v>
      </c>
      <c r="U92">
        <v>21.7</v>
      </c>
      <c r="V92">
        <v>46.3</v>
      </c>
      <c r="X92">
        <v>327.8</v>
      </c>
    </row>
    <row r="93" spans="1:24">
      <c r="A93" s="39">
        <v>45120</v>
      </c>
      <c r="B93" s="152">
        <v>45.762300000000003</v>
      </c>
      <c r="C93">
        <f t="shared" si="5"/>
        <v>34.141525685321461</v>
      </c>
      <c r="D93">
        <f t="shared" si="6"/>
        <v>3.654800335495187</v>
      </c>
      <c r="E93">
        <f t="shared" si="7"/>
        <v>18.898163010408325</v>
      </c>
      <c r="G93" s="39">
        <v>45142</v>
      </c>
      <c r="H93">
        <v>49.618600000000001</v>
      </c>
      <c r="I93">
        <v>30.724799999999998</v>
      </c>
      <c r="L93" s="39">
        <v>44652</v>
      </c>
      <c r="M93">
        <v>42</v>
      </c>
      <c r="N93">
        <v>11.6</v>
      </c>
      <c r="O93">
        <v>22.8</v>
      </c>
      <c r="P93">
        <v>28.8</v>
      </c>
      <c r="Q93">
        <v>21</v>
      </c>
      <c r="R93">
        <v>14.8</v>
      </c>
      <c r="S93">
        <v>22.8</v>
      </c>
      <c r="T93">
        <v>14.8</v>
      </c>
      <c r="U93">
        <v>21</v>
      </c>
      <c r="V93">
        <v>44.4</v>
      </c>
      <c r="X93">
        <v>331.7</v>
      </c>
    </row>
    <row r="94" spans="1:24">
      <c r="A94" s="39">
        <v>45119</v>
      </c>
      <c r="B94" s="152">
        <v>45.576799999999999</v>
      </c>
      <c r="C94">
        <f t="shared" si="5"/>
        <v>34.141525685321461</v>
      </c>
      <c r="D94">
        <f t="shared" si="6"/>
        <v>3.654800335495187</v>
      </c>
      <c r="E94">
        <f t="shared" si="7"/>
        <v>18.898163010408325</v>
      </c>
      <c r="G94" s="39">
        <v>45141</v>
      </c>
      <c r="H94">
        <v>49.337699999999998</v>
      </c>
      <c r="I94">
        <v>30.730899999999998</v>
      </c>
      <c r="L94" s="39">
        <v>44645</v>
      </c>
      <c r="M94">
        <v>44.3</v>
      </c>
      <c r="N94">
        <v>14.7</v>
      </c>
      <c r="O94">
        <v>21.7</v>
      </c>
      <c r="P94">
        <v>29.4</v>
      </c>
      <c r="Q94">
        <v>19.899999999999999</v>
      </c>
      <c r="R94">
        <v>15.4</v>
      </c>
      <c r="S94">
        <v>21.7</v>
      </c>
      <c r="T94">
        <v>15.4</v>
      </c>
      <c r="U94">
        <v>19.899999999999999</v>
      </c>
      <c r="V94">
        <v>42.9</v>
      </c>
      <c r="X94">
        <v>340.2</v>
      </c>
    </row>
    <row r="95" spans="1:24">
      <c r="A95" s="39">
        <v>45118</v>
      </c>
      <c r="B95" s="152">
        <v>45.252299999999998</v>
      </c>
      <c r="C95">
        <f t="shared" si="5"/>
        <v>34.141525685321461</v>
      </c>
      <c r="D95">
        <f t="shared" si="6"/>
        <v>3.654800335495187</v>
      </c>
      <c r="E95">
        <f t="shared" si="7"/>
        <v>18.898163010408325</v>
      </c>
      <c r="G95" s="39">
        <v>45140</v>
      </c>
      <c r="H95">
        <v>48.401499999999999</v>
      </c>
      <c r="I95">
        <v>30.741199999999999</v>
      </c>
      <c r="L95" s="39">
        <v>44638</v>
      </c>
      <c r="M95">
        <v>46.3</v>
      </c>
      <c r="N95">
        <v>14.6</v>
      </c>
      <c r="O95">
        <v>22</v>
      </c>
      <c r="P95">
        <v>28.8</v>
      </c>
      <c r="Q95">
        <v>20.399999999999999</v>
      </c>
      <c r="R95">
        <v>15.9</v>
      </c>
      <c r="S95">
        <v>22</v>
      </c>
      <c r="T95">
        <v>15.9</v>
      </c>
      <c r="U95">
        <v>20.399999999999999</v>
      </c>
      <c r="V95">
        <v>43.3</v>
      </c>
      <c r="X95">
        <v>339.4</v>
      </c>
    </row>
    <row r="96" spans="1:24">
      <c r="A96" s="39">
        <v>45117</v>
      </c>
      <c r="B96" s="152">
        <v>44.278599999999997</v>
      </c>
      <c r="C96">
        <f t="shared" si="5"/>
        <v>34.141525685321461</v>
      </c>
      <c r="D96">
        <f t="shared" si="6"/>
        <v>3.654800335495187</v>
      </c>
      <c r="E96">
        <f t="shared" si="7"/>
        <v>18.898163010408325</v>
      </c>
      <c r="G96" s="39">
        <v>45139</v>
      </c>
      <c r="H96">
        <v>48.401499999999999</v>
      </c>
      <c r="I96">
        <v>30.928100000000001</v>
      </c>
      <c r="L96" s="39">
        <v>44631</v>
      </c>
      <c r="M96">
        <v>45.5</v>
      </c>
      <c r="N96">
        <v>14.2</v>
      </c>
      <c r="O96">
        <v>21.4</v>
      </c>
      <c r="P96">
        <v>25.3</v>
      </c>
      <c r="Q96">
        <v>18.899999999999999</v>
      </c>
      <c r="R96">
        <v>14.6</v>
      </c>
      <c r="S96">
        <v>21.4</v>
      </c>
      <c r="T96">
        <v>14.6</v>
      </c>
      <c r="U96">
        <v>18.899999999999999</v>
      </c>
      <c r="V96">
        <v>40.700000000000003</v>
      </c>
      <c r="X96">
        <v>335.1</v>
      </c>
    </row>
    <row r="97" spans="1:24">
      <c r="A97" s="39">
        <v>45114</v>
      </c>
      <c r="B97" s="152">
        <v>42.1922</v>
      </c>
      <c r="C97">
        <f t="shared" si="5"/>
        <v>34.141525685321461</v>
      </c>
      <c r="D97">
        <f t="shared" si="6"/>
        <v>3.654800335495187</v>
      </c>
      <c r="E97">
        <f t="shared" si="7"/>
        <v>18.898163010408325</v>
      </c>
      <c r="G97" s="39">
        <v>45138</v>
      </c>
      <c r="H97">
        <v>50.273899999999998</v>
      </c>
      <c r="I97">
        <v>31.065100000000001</v>
      </c>
      <c r="L97" s="39">
        <v>44624</v>
      </c>
      <c r="M97">
        <v>46.5</v>
      </c>
      <c r="N97">
        <v>13.3</v>
      </c>
      <c r="O97">
        <v>21.5</v>
      </c>
      <c r="P97">
        <v>22.9</v>
      </c>
      <c r="Q97">
        <v>17.5</v>
      </c>
      <c r="R97">
        <v>15.8</v>
      </c>
      <c r="S97">
        <v>21.5</v>
      </c>
      <c r="T97">
        <v>15.8</v>
      </c>
      <c r="U97">
        <v>17.5</v>
      </c>
      <c r="V97">
        <v>40.5</v>
      </c>
      <c r="X97">
        <v>326.10000000000002</v>
      </c>
    </row>
    <row r="98" spans="1:24">
      <c r="A98" s="39">
        <v>45113</v>
      </c>
      <c r="B98" s="152">
        <v>40.059399999999997</v>
      </c>
      <c r="C98">
        <f t="shared" si="5"/>
        <v>34.141525685321461</v>
      </c>
      <c r="D98">
        <f t="shared" si="6"/>
        <v>3.654800335495187</v>
      </c>
      <c r="E98">
        <f t="shared" si="7"/>
        <v>18.898163010408325</v>
      </c>
      <c r="G98" s="39">
        <v>45135</v>
      </c>
      <c r="H98">
        <v>51.0229</v>
      </c>
      <c r="I98">
        <v>31.131</v>
      </c>
      <c r="L98" s="39">
        <v>44617</v>
      </c>
      <c r="M98">
        <v>46.7</v>
      </c>
      <c r="N98">
        <v>11.1</v>
      </c>
      <c r="O98">
        <v>20.5</v>
      </c>
      <c r="P98">
        <v>23.1</v>
      </c>
      <c r="Q98">
        <v>19.8</v>
      </c>
      <c r="R98">
        <v>14</v>
      </c>
      <c r="S98">
        <v>20.5</v>
      </c>
      <c r="T98">
        <v>14</v>
      </c>
      <c r="U98">
        <v>19.8</v>
      </c>
      <c r="V98">
        <v>39.9</v>
      </c>
    </row>
    <row r="99" spans="1:24">
      <c r="A99" s="39">
        <v>45112</v>
      </c>
      <c r="B99" s="152">
        <v>40.198500000000003</v>
      </c>
      <c r="C99">
        <f t="shared" si="5"/>
        <v>34.141525685321461</v>
      </c>
      <c r="D99">
        <f t="shared" si="6"/>
        <v>3.654800335495187</v>
      </c>
      <c r="E99">
        <f t="shared" si="7"/>
        <v>18.898163010408325</v>
      </c>
      <c r="G99" s="39">
        <v>45134</v>
      </c>
      <c r="H99">
        <v>50.648400000000002</v>
      </c>
      <c r="I99">
        <v>31.227399999999999</v>
      </c>
      <c r="L99" s="39">
        <v>44610</v>
      </c>
      <c r="M99">
        <v>45.3</v>
      </c>
      <c r="N99">
        <v>10.1</v>
      </c>
      <c r="O99">
        <v>20.7</v>
      </c>
      <c r="P99">
        <v>25.4</v>
      </c>
      <c r="Q99">
        <v>20.399999999999999</v>
      </c>
      <c r="R99">
        <v>14.4</v>
      </c>
      <c r="S99">
        <v>20.7</v>
      </c>
      <c r="T99">
        <v>14.4</v>
      </c>
      <c r="U99">
        <v>20.399999999999999</v>
      </c>
      <c r="V99">
        <v>39.5</v>
      </c>
    </row>
    <row r="100" spans="1:24">
      <c r="A100" s="39">
        <v>45111</v>
      </c>
      <c r="B100" s="152">
        <v>40.105699999999999</v>
      </c>
      <c r="C100">
        <f t="shared" si="5"/>
        <v>34.141525685321461</v>
      </c>
      <c r="D100">
        <f t="shared" si="6"/>
        <v>3.654800335495187</v>
      </c>
      <c r="E100">
        <f t="shared" si="7"/>
        <v>18.898163010408325</v>
      </c>
      <c r="G100" s="39">
        <v>45133</v>
      </c>
      <c r="H100">
        <v>48.776000000000003</v>
      </c>
      <c r="I100">
        <v>31.157499999999999</v>
      </c>
      <c r="L100" s="39">
        <v>44603</v>
      </c>
      <c r="M100">
        <v>44.3</v>
      </c>
      <c r="N100">
        <v>9.6999999999999993</v>
      </c>
      <c r="O100">
        <v>20.3</v>
      </c>
      <c r="P100">
        <v>26.1</v>
      </c>
      <c r="Q100">
        <v>19.8</v>
      </c>
      <c r="R100">
        <v>14.8</v>
      </c>
      <c r="S100">
        <v>20.3</v>
      </c>
      <c r="T100">
        <v>14.8</v>
      </c>
      <c r="U100">
        <v>19.8</v>
      </c>
      <c r="V100">
        <v>39.299999999999997</v>
      </c>
    </row>
    <row r="101" spans="1:24">
      <c r="A101" s="39">
        <v>45110</v>
      </c>
      <c r="B101" s="152">
        <v>39.873899999999999</v>
      </c>
      <c r="C101">
        <f t="shared" si="5"/>
        <v>34.141525685321461</v>
      </c>
      <c r="D101">
        <f t="shared" si="6"/>
        <v>3.654800335495187</v>
      </c>
      <c r="E101">
        <f t="shared" si="7"/>
        <v>18.898163010408325</v>
      </c>
      <c r="G101" s="39">
        <v>45132</v>
      </c>
      <c r="H101">
        <v>49.703299999999999</v>
      </c>
      <c r="I101">
        <v>31.106300000000001</v>
      </c>
      <c r="L101" s="39">
        <v>44596</v>
      </c>
      <c r="M101">
        <v>43.2</v>
      </c>
      <c r="N101">
        <v>9.5</v>
      </c>
      <c r="O101">
        <v>20.9</v>
      </c>
      <c r="P101">
        <v>26</v>
      </c>
      <c r="Q101">
        <v>18.5</v>
      </c>
      <c r="R101">
        <v>15</v>
      </c>
      <c r="S101">
        <v>20.9</v>
      </c>
      <c r="T101">
        <v>15</v>
      </c>
      <c r="U101">
        <v>18.5</v>
      </c>
      <c r="V101">
        <v>42.7</v>
      </c>
    </row>
    <row r="102" spans="1:24">
      <c r="A102" s="39">
        <v>45107</v>
      </c>
      <c r="B102" s="152">
        <v>40.152099999999997</v>
      </c>
      <c r="C102">
        <f t="shared" si="5"/>
        <v>34.141525685321461</v>
      </c>
      <c r="D102">
        <f t="shared" si="6"/>
        <v>3.654800335495187</v>
      </c>
      <c r="E102">
        <f t="shared" si="7"/>
        <v>18.898163010408325</v>
      </c>
      <c r="G102" s="39">
        <v>45131</v>
      </c>
      <c r="H102">
        <v>50.5379</v>
      </c>
      <c r="I102">
        <v>31.313199999999998</v>
      </c>
      <c r="L102" s="39">
        <v>44589</v>
      </c>
      <c r="M102">
        <v>42.4</v>
      </c>
      <c r="N102">
        <v>9</v>
      </c>
      <c r="O102">
        <v>21.1</v>
      </c>
      <c r="P102">
        <v>25.5</v>
      </c>
      <c r="Q102">
        <v>18</v>
      </c>
      <c r="R102">
        <v>15.2</v>
      </c>
      <c r="S102">
        <v>21.1</v>
      </c>
      <c r="T102">
        <v>15.2</v>
      </c>
      <c r="U102">
        <v>18</v>
      </c>
      <c r="V102">
        <v>40.4</v>
      </c>
    </row>
    <row r="103" spans="1:24">
      <c r="A103" s="39">
        <v>45106</v>
      </c>
      <c r="B103" s="152">
        <v>23.062899999999999</v>
      </c>
      <c r="C103">
        <f t="shared" si="5"/>
        <v>34.141525685321461</v>
      </c>
      <c r="D103">
        <f t="shared" si="6"/>
        <v>3.654800335495187</v>
      </c>
      <c r="E103">
        <f t="shared" si="7"/>
        <v>18.898163010408325</v>
      </c>
      <c r="G103" s="39">
        <v>45128</v>
      </c>
      <c r="H103">
        <v>48.683300000000003</v>
      </c>
      <c r="I103">
        <v>31.213799999999999</v>
      </c>
      <c r="L103" s="39">
        <v>44582</v>
      </c>
      <c r="M103">
        <v>40.5</v>
      </c>
      <c r="N103">
        <v>9</v>
      </c>
      <c r="O103">
        <v>21.5</v>
      </c>
      <c r="P103">
        <v>23.2</v>
      </c>
      <c r="Q103">
        <v>19.399999999999999</v>
      </c>
      <c r="R103">
        <v>15.8</v>
      </c>
      <c r="S103">
        <v>21.5</v>
      </c>
      <c r="T103">
        <v>15.8</v>
      </c>
      <c r="U103">
        <v>19.399999999999999</v>
      </c>
      <c r="V103">
        <v>39.5</v>
      </c>
    </row>
    <row r="104" spans="1:24">
      <c r="A104" s="39">
        <v>45105</v>
      </c>
      <c r="B104" s="152">
        <v>23.710999999999999</v>
      </c>
      <c r="C104">
        <f t="shared" si="5"/>
        <v>34.141525685321461</v>
      </c>
      <c r="D104">
        <f t="shared" si="6"/>
        <v>3.654800335495187</v>
      </c>
      <c r="E104">
        <f t="shared" si="7"/>
        <v>18.898163010408325</v>
      </c>
      <c r="G104" s="39">
        <v>45127</v>
      </c>
      <c r="H104">
        <v>45.5304</v>
      </c>
      <c r="I104">
        <v>30.757100000000001</v>
      </c>
      <c r="L104" s="39">
        <v>44575</v>
      </c>
      <c r="M104">
        <v>40</v>
      </c>
      <c r="N104">
        <v>9.4</v>
      </c>
      <c r="O104">
        <v>22.3</v>
      </c>
      <c r="P104">
        <v>23.1</v>
      </c>
      <c r="Q104">
        <v>19.5</v>
      </c>
      <c r="R104">
        <v>16.100000000000001</v>
      </c>
      <c r="S104">
        <v>22.3</v>
      </c>
      <c r="T104">
        <v>16.100000000000001</v>
      </c>
      <c r="U104">
        <v>19.5</v>
      </c>
      <c r="V104">
        <v>41.2</v>
      </c>
    </row>
    <row r="105" spans="1:24">
      <c r="A105" s="39">
        <v>45104</v>
      </c>
      <c r="B105" s="152">
        <v>23.873000000000001</v>
      </c>
      <c r="C105">
        <f t="shared" si="5"/>
        <v>34.141525685321461</v>
      </c>
      <c r="D105">
        <f t="shared" si="6"/>
        <v>3.654800335495187</v>
      </c>
      <c r="E105">
        <f t="shared" si="7"/>
        <v>18.898163010408325</v>
      </c>
      <c r="G105" s="39">
        <v>45126</v>
      </c>
      <c r="H105">
        <v>44.9741</v>
      </c>
      <c r="I105">
        <v>30.588999999999999</v>
      </c>
      <c r="L105" s="39">
        <v>44568</v>
      </c>
      <c r="M105">
        <v>40.1</v>
      </c>
      <c r="N105">
        <v>9.8000000000000007</v>
      </c>
      <c r="O105">
        <v>22.3</v>
      </c>
      <c r="P105">
        <v>24.4</v>
      </c>
      <c r="Q105">
        <v>21.1</v>
      </c>
      <c r="R105">
        <v>16.8</v>
      </c>
      <c r="S105">
        <v>22.3</v>
      </c>
      <c r="T105">
        <v>16.8</v>
      </c>
      <c r="U105">
        <v>21.1</v>
      </c>
      <c r="V105">
        <v>44</v>
      </c>
    </row>
    <row r="106" spans="1:24">
      <c r="A106" s="39">
        <v>45103</v>
      </c>
      <c r="B106" s="152">
        <v>23.9541</v>
      </c>
      <c r="C106">
        <f t="shared" si="5"/>
        <v>34.141525685321461</v>
      </c>
      <c r="D106">
        <f t="shared" si="6"/>
        <v>3.654800335495187</v>
      </c>
      <c r="E106">
        <f t="shared" si="7"/>
        <v>18.898163010408325</v>
      </c>
      <c r="G106" s="39">
        <v>45125</v>
      </c>
      <c r="H106">
        <v>44.556800000000003</v>
      </c>
      <c r="I106">
        <v>30.414000000000001</v>
      </c>
      <c r="L106" s="39">
        <v>44561</v>
      </c>
      <c r="M106">
        <v>40.6</v>
      </c>
      <c r="N106">
        <v>10.1</v>
      </c>
      <c r="O106">
        <v>22.2</v>
      </c>
      <c r="P106">
        <v>25.7</v>
      </c>
      <c r="Q106">
        <v>21.5</v>
      </c>
      <c r="R106">
        <v>16.8</v>
      </c>
      <c r="S106">
        <v>22.2</v>
      </c>
      <c r="T106">
        <v>16.8</v>
      </c>
      <c r="U106">
        <v>21.5</v>
      </c>
      <c r="V106">
        <v>46.6</v>
      </c>
    </row>
    <row r="107" spans="1:24">
      <c r="A107" s="39">
        <v>45100</v>
      </c>
      <c r="B107" s="152">
        <v>23.1709</v>
      </c>
      <c r="C107">
        <f t="shared" si="5"/>
        <v>34.141525685321461</v>
      </c>
      <c r="D107">
        <f t="shared" si="6"/>
        <v>3.654800335495187</v>
      </c>
      <c r="E107">
        <f t="shared" si="7"/>
        <v>18.898163010408325</v>
      </c>
      <c r="G107" s="39">
        <v>45124</v>
      </c>
      <c r="H107">
        <v>45.113199999999999</v>
      </c>
      <c r="I107">
        <v>30.4727</v>
      </c>
      <c r="L107" s="39">
        <v>44554</v>
      </c>
      <c r="M107">
        <v>51.8</v>
      </c>
      <c r="N107">
        <v>49.5</v>
      </c>
      <c r="O107">
        <v>21.4</v>
      </c>
      <c r="P107">
        <v>32.200000000000003</v>
      </c>
      <c r="Q107">
        <v>20.6</v>
      </c>
      <c r="R107">
        <v>16.100000000000001</v>
      </c>
      <c r="S107">
        <v>21.4</v>
      </c>
      <c r="T107">
        <v>16.100000000000001</v>
      </c>
      <c r="U107">
        <v>20.6</v>
      </c>
      <c r="V107">
        <v>45.1</v>
      </c>
    </row>
    <row r="108" spans="1:24">
      <c r="A108" s="39">
        <v>45099</v>
      </c>
      <c r="B108" s="152">
        <v>23.251899999999999</v>
      </c>
      <c r="C108">
        <f t="shared" si="5"/>
        <v>34.141525685321461</v>
      </c>
      <c r="D108">
        <f t="shared" si="6"/>
        <v>3.654800335495187</v>
      </c>
      <c r="E108">
        <f t="shared" si="7"/>
        <v>18.898163010408325</v>
      </c>
      <c r="G108" s="39">
        <v>45121</v>
      </c>
      <c r="H108">
        <v>45.854999999999997</v>
      </c>
      <c r="I108">
        <v>30.439299999999999</v>
      </c>
      <c r="L108" s="39">
        <v>44547</v>
      </c>
      <c r="M108">
        <v>53.8</v>
      </c>
      <c r="N108">
        <v>48</v>
      </c>
      <c r="O108">
        <v>21.3</v>
      </c>
      <c r="P108">
        <v>30.6</v>
      </c>
      <c r="Q108">
        <v>21</v>
      </c>
      <c r="R108">
        <v>16.2</v>
      </c>
      <c r="S108">
        <v>21.3</v>
      </c>
      <c r="T108">
        <v>16.2</v>
      </c>
      <c r="U108">
        <v>21</v>
      </c>
      <c r="V108">
        <v>44.9</v>
      </c>
    </row>
    <row r="109" spans="1:24">
      <c r="A109" s="39">
        <v>45098</v>
      </c>
      <c r="B109" s="152">
        <v>23.062899999999999</v>
      </c>
      <c r="C109">
        <f t="shared" si="5"/>
        <v>34.141525685321461</v>
      </c>
      <c r="D109">
        <f t="shared" si="6"/>
        <v>3.654800335495187</v>
      </c>
      <c r="E109">
        <f t="shared" si="7"/>
        <v>18.898163010408325</v>
      </c>
      <c r="G109" s="39">
        <v>45120</v>
      </c>
      <c r="H109">
        <v>45.762300000000003</v>
      </c>
      <c r="I109">
        <v>30.353100000000001</v>
      </c>
      <c r="L109" s="39">
        <v>44540</v>
      </c>
      <c r="M109">
        <v>52</v>
      </c>
      <c r="N109">
        <v>54</v>
      </c>
      <c r="O109">
        <v>21.7</v>
      </c>
      <c r="P109">
        <v>31</v>
      </c>
      <c r="Q109">
        <v>21.6</v>
      </c>
      <c r="R109">
        <v>17.3</v>
      </c>
      <c r="S109">
        <v>21.7</v>
      </c>
      <c r="T109">
        <v>17.3</v>
      </c>
      <c r="U109">
        <v>21.6</v>
      </c>
      <c r="V109">
        <v>45.8</v>
      </c>
    </row>
    <row r="110" spans="1:24">
      <c r="A110" s="39">
        <v>45097</v>
      </c>
      <c r="B110" s="152">
        <v>22.954899999999999</v>
      </c>
      <c r="C110">
        <f t="shared" si="5"/>
        <v>34.141525685321461</v>
      </c>
      <c r="D110">
        <f t="shared" si="6"/>
        <v>3.654800335495187</v>
      </c>
      <c r="E110">
        <f t="shared" si="7"/>
        <v>18.898163010408325</v>
      </c>
      <c r="G110" s="39">
        <v>45119</v>
      </c>
      <c r="H110">
        <v>45.576799999999999</v>
      </c>
      <c r="I110">
        <v>30.446200000000001</v>
      </c>
      <c r="L110" s="39">
        <v>44533</v>
      </c>
      <c r="M110">
        <v>52</v>
      </c>
      <c r="N110">
        <v>51.6</v>
      </c>
      <c r="O110">
        <v>21</v>
      </c>
      <c r="P110">
        <v>31.1</v>
      </c>
      <c r="Q110">
        <v>20.9</v>
      </c>
      <c r="R110">
        <v>18</v>
      </c>
      <c r="S110">
        <v>21</v>
      </c>
      <c r="T110">
        <v>18</v>
      </c>
      <c r="U110">
        <v>20.9</v>
      </c>
      <c r="V110">
        <v>43.4</v>
      </c>
    </row>
    <row r="111" spans="1:24">
      <c r="A111" s="39">
        <v>45096</v>
      </c>
      <c r="B111" s="152">
        <v>22.4147</v>
      </c>
      <c r="C111">
        <f t="shared" si="5"/>
        <v>34.141525685321461</v>
      </c>
      <c r="D111">
        <f t="shared" si="6"/>
        <v>3.654800335495187</v>
      </c>
      <c r="E111">
        <f t="shared" si="7"/>
        <v>18.898163010408325</v>
      </c>
      <c r="G111" s="39">
        <v>45118</v>
      </c>
      <c r="H111">
        <v>45.252299999999998</v>
      </c>
      <c r="I111">
        <v>30.312000000000001</v>
      </c>
      <c r="L111" s="39">
        <v>44526</v>
      </c>
      <c r="M111">
        <v>53.4</v>
      </c>
      <c r="N111">
        <v>52</v>
      </c>
      <c r="O111">
        <v>22.2</v>
      </c>
      <c r="P111">
        <v>31</v>
      </c>
      <c r="Q111">
        <v>21.3</v>
      </c>
      <c r="R111">
        <v>17.899999999999999</v>
      </c>
      <c r="S111">
        <v>22.2</v>
      </c>
      <c r="T111">
        <v>17.899999999999999</v>
      </c>
      <c r="U111">
        <v>21.3</v>
      </c>
      <c r="V111">
        <v>44.8</v>
      </c>
    </row>
    <row r="112" spans="1:24">
      <c r="A112" s="39">
        <v>45093</v>
      </c>
      <c r="B112" s="152">
        <v>22.3337</v>
      </c>
      <c r="C112">
        <f t="shared" si="5"/>
        <v>34.141525685321461</v>
      </c>
      <c r="D112">
        <f t="shared" si="6"/>
        <v>3.654800335495187</v>
      </c>
      <c r="E112">
        <f t="shared" si="7"/>
        <v>18.898163010408325</v>
      </c>
      <c r="G112" s="39">
        <v>45117</v>
      </c>
      <c r="H112">
        <v>44.278599999999997</v>
      </c>
      <c r="I112">
        <v>30.0535</v>
      </c>
      <c r="L112" s="39">
        <v>44519</v>
      </c>
      <c r="M112">
        <v>57.8</v>
      </c>
      <c r="N112">
        <v>56.2</v>
      </c>
      <c r="O112">
        <v>21.8</v>
      </c>
      <c r="P112">
        <v>33.700000000000003</v>
      </c>
      <c r="Q112">
        <v>22.3</v>
      </c>
      <c r="R112">
        <v>18.2</v>
      </c>
      <c r="S112">
        <v>21.8</v>
      </c>
      <c r="T112">
        <v>18.2</v>
      </c>
      <c r="U112">
        <v>22.3</v>
      </c>
      <c r="V112">
        <v>43.8</v>
      </c>
    </row>
    <row r="113" spans="1:22">
      <c r="A113" s="39">
        <v>45092</v>
      </c>
      <c r="B113" s="152">
        <v>22.5228</v>
      </c>
      <c r="C113">
        <f t="shared" si="5"/>
        <v>34.141525685321461</v>
      </c>
      <c r="D113">
        <f t="shared" si="6"/>
        <v>3.654800335495187</v>
      </c>
      <c r="E113">
        <f t="shared" si="7"/>
        <v>18.898163010408325</v>
      </c>
      <c r="G113" s="39">
        <v>45114</v>
      </c>
      <c r="H113">
        <v>42.1922</v>
      </c>
      <c r="I113">
        <v>29.6935</v>
      </c>
      <c r="L113" s="39">
        <v>44512</v>
      </c>
      <c r="M113">
        <v>58</v>
      </c>
      <c r="N113">
        <v>50.8</v>
      </c>
      <c r="O113">
        <v>22.6</v>
      </c>
      <c r="P113">
        <v>31.9</v>
      </c>
      <c r="Q113">
        <v>20</v>
      </c>
      <c r="R113">
        <v>18.899999999999999</v>
      </c>
      <c r="S113">
        <v>22.6</v>
      </c>
      <c r="T113">
        <v>18.899999999999999</v>
      </c>
      <c r="U113">
        <v>20</v>
      </c>
      <c r="V113">
        <v>44.5</v>
      </c>
    </row>
    <row r="114" spans="1:22">
      <c r="A114" s="39">
        <v>45091</v>
      </c>
      <c r="B114" s="152">
        <v>22.7118</v>
      </c>
      <c r="C114">
        <f t="shared" si="5"/>
        <v>34.141525685321461</v>
      </c>
      <c r="D114">
        <f t="shared" si="6"/>
        <v>3.654800335495187</v>
      </c>
      <c r="E114">
        <f t="shared" si="7"/>
        <v>18.898163010408325</v>
      </c>
      <c r="G114" s="39">
        <v>45113</v>
      </c>
      <c r="H114">
        <v>40.059399999999997</v>
      </c>
      <c r="I114">
        <v>29.747800000000002</v>
      </c>
      <c r="L114" s="39">
        <v>44505</v>
      </c>
      <c r="M114">
        <v>58</v>
      </c>
      <c r="N114">
        <v>42.3</v>
      </c>
      <c r="O114">
        <v>23</v>
      </c>
      <c r="P114">
        <v>31.8</v>
      </c>
      <c r="Q114">
        <v>19.899999999999999</v>
      </c>
      <c r="R114">
        <v>18.399999999999999</v>
      </c>
      <c r="S114">
        <v>23</v>
      </c>
      <c r="T114">
        <v>18.399999999999999</v>
      </c>
      <c r="U114">
        <v>19.899999999999999</v>
      </c>
      <c r="V114">
        <v>44.2</v>
      </c>
    </row>
    <row r="115" spans="1:22">
      <c r="A115" s="39">
        <v>45090</v>
      </c>
      <c r="B115" s="152">
        <v>23.224900000000002</v>
      </c>
      <c r="C115">
        <f t="shared" si="5"/>
        <v>34.141525685321461</v>
      </c>
      <c r="D115">
        <f t="shared" si="6"/>
        <v>3.654800335495187</v>
      </c>
      <c r="E115">
        <f t="shared" si="7"/>
        <v>18.898163010408325</v>
      </c>
      <c r="G115" s="39">
        <v>45112</v>
      </c>
      <c r="H115">
        <v>40.198500000000003</v>
      </c>
      <c r="I115">
        <v>29.8154</v>
      </c>
      <c r="L115" s="39">
        <v>44498</v>
      </c>
      <c r="M115">
        <v>56.9</v>
      </c>
      <c r="N115">
        <v>37.299999999999997</v>
      </c>
      <c r="O115">
        <v>22.9</v>
      </c>
      <c r="P115">
        <v>31.8</v>
      </c>
      <c r="Q115">
        <v>18.8</v>
      </c>
      <c r="R115">
        <v>18.8</v>
      </c>
      <c r="S115">
        <v>22.9</v>
      </c>
      <c r="T115">
        <v>18.8</v>
      </c>
      <c r="U115">
        <v>18.8</v>
      </c>
      <c r="V115">
        <v>42.3</v>
      </c>
    </row>
    <row r="116" spans="1:22">
      <c r="A116" s="39">
        <v>45089</v>
      </c>
      <c r="B116" s="152">
        <v>23.224900000000002</v>
      </c>
      <c r="C116">
        <f t="shared" si="5"/>
        <v>34.141525685321461</v>
      </c>
      <c r="D116">
        <f t="shared" si="6"/>
        <v>3.654800335495187</v>
      </c>
      <c r="E116">
        <f t="shared" si="7"/>
        <v>18.898163010408325</v>
      </c>
      <c r="G116" s="39">
        <v>45111</v>
      </c>
      <c r="H116">
        <v>40.105699999999999</v>
      </c>
      <c r="I116">
        <v>29.8569</v>
      </c>
      <c r="L116" s="39">
        <v>44491</v>
      </c>
      <c r="M116">
        <v>57.6</v>
      </c>
      <c r="N116">
        <v>37</v>
      </c>
      <c r="O116">
        <v>23.1</v>
      </c>
      <c r="P116">
        <v>33.1</v>
      </c>
      <c r="Q116">
        <v>19.7</v>
      </c>
      <c r="R116">
        <v>18.899999999999999</v>
      </c>
      <c r="S116">
        <v>23.1</v>
      </c>
      <c r="T116">
        <v>18.899999999999999</v>
      </c>
      <c r="U116">
        <v>19.7</v>
      </c>
      <c r="V116">
        <v>41.4</v>
      </c>
    </row>
    <row r="117" spans="1:22">
      <c r="A117" s="39">
        <v>45086</v>
      </c>
      <c r="B117" s="152">
        <v>22.360700000000001</v>
      </c>
      <c r="C117">
        <f t="shared" si="5"/>
        <v>34.141525685321461</v>
      </c>
      <c r="D117">
        <f t="shared" si="6"/>
        <v>3.654800335495187</v>
      </c>
      <c r="E117">
        <f t="shared" si="7"/>
        <v>18.898163010408325</v>
      </c>
      <c r="G117" s="39">
        <v>45110</v>
      </c>
      <c r="H117">
        <v>39.873899999999999</v>
      </c>
      <c r="I117">
        <v>29.790600000000001</v>
      </c>
      <c r="L117" s="39">
        <v>44484</v>
      </c>
      <c r="M117">
        <v>58</v>
      </c>
      <c r="N117">
        <v>32.799999999999997</v>
      </c>
      <c r="O117">
        <v>21.9</v>
      </c>
      <c r="P117">
        <v>33.700000000000003</v>
      </c>
      <c r="Q117">
        <v>18.600000000000001</v>
      </c>
      <c r="R117">
        <v>18.100000000000001</v>
      </c>
      <c r="S117">
        <v>21.9</v>
      </c>
      <c r="T117">
        <v>18.100000000000001</v>
      </c>
      <c r="U117">
        <v>18.600000000000001</v>
      </c>
      <c r="V117">
        <v>38.9</v>
      </c>
    </row>
    <row r="118" spans="1:22">
      <c r="A118" s="39">
        <v>45085</v>
      </c>
      <c r="B118" s="152">
        <v>21.9556</v>
      </c>
      <c r="C118">
        <f t="shared" si="5"/>
        <v>34.141525685321461</v>
      </c>
      <c r="D118">
        <f t="shared" si="6"/>
        <v>3.654800335495187</v>
      </c>
      <c r="E118">
        <f t="shared" si="7"/>
        <v>18.898163010408325</v>
      </c>
      <c r="G118" s="39">
        <v>45107</v>
      </c>
      <c r="H118">
        <v>40.152099999999997</v>
      </c>
      <c r="I118">
        <v>29.671700000000001</v>
      </c>
      <c r="L118" s="39">
        <v>44477</v>
      </c>
      <c r="M118">
        <v>56.5</v>
      </c>
      <c r="N118">
        <v>30.9</v>
      </c>
      <c r="O118">
        <v>21.8</v>
      </c>
      <c r="P118">
        <v>34.299999999999997</v>
      </c>
      <c r="Q118">
        <v>17.8</v>
      </c>
      <c r="R118">
        <v>16.899999999999999</v>
      </c>
      <c r="S118">
        <v>21.8</v>
      </c>
      <c r="T118">
        <v>16.899999999999999</v>
      </c>
      <c r="U118">
        <v>17.8</v>
      </c>
      <c r="V118">
        <v>38.799999999999997</v>
      </c>
    </row>
    <row r="119" spans="1:22">
      <c r="A119" s="39">
        <v>45084</v>
      </c>
      <c r="B119" s="152">
        <v>22.576799999999999</v>
      </c>
      <c r="C119">
        <f t="shared" si="5"/>
        <v>34.141525685321461</v>
      </c>
      <c r="D119">
        <f t="shared" si="6"/>
        <v>3.654800335495187</v>
      </c>
      <c r="E119">
        <f t="shared" si="7"/>
        <v>18.898163010408325</v>
      </c>
      <c r="G119" s="39">
        <v>45106</v>
      </c>
      <c r="H119">
        <v>23.062899999999999</v>
      </c>
      <c r="I119">
        <v>28.256399999999999</v>
      </c>
      <c r="L119" s="39">
        <v>44470</v>
      </c>
      <c r="M119">
        <v>56</v>
      </c>
      <c r="N119">
        <v>33.1</v>
      </c>
      <c r="O119">
        <v>21.3</v>
      </c>
      <c r="P119">
        <v>35.700000000000003</v>
      </c>
      <c r="Q119">
        <v>17.2</v>
      </c>
      <c r="R119">
        <v>16.899999999999999</v>
      </c>
      <c r="S119">
        <v>21.3</v>
      </c>
      <c r="T119">
        <v>16.899999999999999</v>
      </c>
      <c r="U119">
        <v>17.2</v>
      </c>
      <c r="V119">
        <v>38.5</v>
      </c>
    </row>
    <row r="120" spans="1:22">
      <c r="A120" s="39">
        <v>45083</v>
      </c>
      <c r="B120" s="152">
        <v>22.576799999999999</v>
      </c>
      <c r="C120">
        <f t="shared" si="5"/>
        <v>34.141525685321461</v>
      </c>
      <c r="D120">
        <f t="shared" si="6"/>
        <v>3.654800335495187</v>
      </c>
      <c r="E120">
        <f t="shared" si="7"/>
        <v>18.898163010408325</v>
      </c>
      <c r="G120" s="39">
        <v>45105</v>
      </c>
      <c r="H120">
        <v>23.710999999999999</v>
      </c>
      <c r="I120">
        <v>28.433399999999999</v>
      </c>
      <c r="L120" s="39">
        <v>44463</v>
      </c>
      <c r="M120">
        <v>45.6</v>
      </c>
      <c r="N120">
        <v>360.2</v>
      </c>
      <c r="O120">
        <v>22.3</v>
      </c>
      <c r="P120">
        <v>38.1</v>
      </c>
      <c r="Q120">
        <v>18.8</v>
      </c>
      <c r="R120">
        <v>17.8</v>
      </c>
      <c r="S120">
        <v>22.3</v>
      </c>
      <c r="T120">
        <v>17.8</v>
      </c>
      <c r="U120">
        <v>18.8</v>
      </c>
      <c r="V120">
        <v>40.200000000000003</v>
      </c>
    </row>
    <row r="121" spans="1:22">
      <c r="A121" s="39">
        <v>45082</v>
      </c>
      <c r="B121" s="152">
        <v>22.252700000000001</v>
      </c>
      <c r="C121">
        <f t="shared" si="5"/>
        <v>34.141525685321461</v>
      </c>
      <c r="D121">
        <f t="shared" si="6"/>
        <v>3.654800335495187</v>
      </c>
      <c r="E121">
        <f t="shared" si="7"/>
        <v>18.898163010408325</v>
      </c>
      <c r="G121" s="39">
        <v>45104</v>
      </c>
      <c r="H121">
        <v>23.873000000000001</v>
      </c>
      <c r="I121">
        <v>28.5153</v>
      </c>
      <c r="L121" s="39">
        <v>44456</v>
      </c>
      <c r="M121">
        <v>46.1</v>
      </c>
      <c r="N121">
        <v>383.3</v>
      </c>
      <c r="O121">
        <v>22.5</v>
      </c>
      <c r="P121">
        <v>41.1</v>
      </c>
      <c r="Q121">
        <v>18.899999999999999</v>
      </c>
      <c r="R121">
        <v>18.2</v>
      </c>
      <c r="S121">
        <v>22.5</v>
      </c>
      <c r="T121">
        <v>18.2</v>
      </c>
      <c r="U121">
        <v>18.899999999999999</v>
      </c>
      <c r="V121">
        <v>39.5</v>
      </c>
    </row>
    <row r="122" spans="1:22">
      <c r="A122" s="39">
        <v>45079</v>
      </c>
      <c r="B122" s="152">
        <v>22.0367</v>
      </c>
      <c r="C122">
        <f t="shared" si="5"/>
        <v>34.141525685321461</v>
      </c>
      <c r="D122">
        <f t="shared" si="6"/>
        <v>3.654800335495187</v>
      </c>
      <c r="E122">
        <f t="shared" si="7"/>
        <v>18.898163010408325</v>
      </c>
      <c r="G122" s="39">
        <v>45103</v>
      </c>
      <c r="H122">
        <v>23.9541</v>
      </c>
      <c r="I122">
        <v>28.6145</v>
      </c>
      <c r="L122" s="39">
        <v>44449</v>
      </c>
      <c r="M122">
        <v>43.8</v>
      </c>
      <c r="N122">
        <v>355.1</v>
      </c>
      <c r="O122">
        <v>22.7</v>
      </c>
      <c r="P122">
        <v>39.1</v>
      </c>
      <c r="Q122">
        <v>18.8</v>
      </c>
      <c r="R122">
        <v>18.100000000000001</v>
      </c>
      <c r="S122">
        <v>22.7</v>
      </c>
      <c r="T122">
        <v>18.100000000000001</v>
      </c>
      <c r="U122">
        <v>18.8</v>
      </c>
      <c r="V122">
        <v>40</v>
      </c>
    </row>
    <row r="123" spans="1:22">
      <c r="A123" s="39">
        <v>45078</v>
      </c>
      <c r="B123" s="152">
        <v>21.226500000000001</v>
      </c>
      <c r="C123">
        <f t="shared" si="5"/>
        <v>34.141525685321461</v>
      </c>
      <c r="D123">
        <f t="shared" si="6"/>
        <v>3.654800335495187</v>
      </c>
      <c r="E123">
        <f t="shared" si="7"/>
        <v>18.898163010408325</v>
      </c>
      <c r="G123" s="39">
        <v>45100</v>
      </c>
      <c r="H123">
        <v>23.1709</v>
      </c>
      <c r="I123">
        <v>28.5947</v>
      </c>
      <c r="L123" s="39">
        <v>44442</v>
      </c>
      <c r="M123">
        <v>44.7</v>
      </c>
      <c r="N123">
        <v>371.7</v>
      </c>
      <c r="O123">
        <v>23.3</v>
      </c>
      <c r="P123">
        <v>38.700000000000003</v>
      </c>
      <c r="Q123">
        <v>19.100000000000001</v>
      </c>
      <c r="R123">
        <v>18</v>
      </c>
      <c r="S123">
        <v>23.3</v>
      </c>
      <c r="T123">
        <v>18</v>
      </c>
      <c r="U123">
        <v>19.100000000000001</v>
      </c>
      <c r="V123">
        <v>39.799999999999997</v>
      </c>
    </row>
    <row r="124" spans="1:22">
      <c r="A124" s="39">
        <v>45077</v>
      </c>
      <c r="B124" s="152">
        <v>21.172499999999999</v>
      </c>
      <c r="C124">
        <f t="shared" si="5"/>
        <v>34.141525685321461</v>
      </c>
      <c r="D124">
        <f t="shared" si="6"/>
        <v>3.654800335495187</v>
      </c>
      <c r="E124">
        <f t="shared" si="7"/>
        <v>18.898163010408325</v>
      </c>
      <c r="G124" s="39">
        <v>45099</v>
      </c>
      <c r="H124">
        <v>23.251899999999999</v>
      </c>
      <c r="I124">
        <v>28.555299999999999</v>
      </c>
      <c r="L124" s="39">
        <v>44435</v>
      </c>
      <c r="M124">
        <v>44.1</v>
      </c>
      <c r="N124">
        <v>329.4</v>
      </c>
      <c r="O124">
        <v>22.8</v>
      </c>
      <c r="P124">
        <v>37</v>
      </c>
      <c r="Q124">
        <v>18.2</v>
      </c>
      <c r="R124">
        <v>18.399999999999999</v>
      </c>
      <c r="S124">
        <v>22.8</v>
      </c>
      <c r="T124">
        <v>18.399999999999999</v>
      </c>
      <c r="U124">
        <v>18.2</v>
      </c>
      <c r="V124">
        <v>38.700000000000003</v>
      </c>
    </row>
    <row r="125" spans="1:22">
      <c r="A125" s="39">
        <v>45076</v>
      </c>
      <c r="B125" s="152">
        <v>21.2805</v>
      </c>
      <c r="C125">
        <f t="shared" si="5"/>
        <v>34.141525685321461</v>
      </c>
      <c r="D125">
        <f t="shared" si="6"/>
        <v>3.654800335495187</v>
      </c>
      <c r="E125">
        <f t="shared" si="7"/>
        <v>18.898163010408325</v>
      </c>
      <c r="G125" s="39">
        <v>45098</v>
      </c>
      <c r="H125">
        <v>23.062899999999999</v>
      </c>
      <c r="I125">
        <v>28.459499999999998</v>
      </c>
      <c r="L125" s="39">
        <v>44428</v>
      </c>
      <c r="M125">
        <v>41.1</v>
      </c>
      <c r="N125">
        <v>271.7</v>
      </c>
      <c r="O125">
        <v>23.6</v>
      </c>
      <c r="P125">
        <v>37</v>
      </c>
      <c r="Q125">
        <v>18.3</v>
      </c>
      <c r="R125">
        <v>18.7</v>
      </c>
      <c r="S125">
        <v>23.6</v>
      </c>
      <c r="T125">
        <v>18.7</v>
      </c>
      <c r="U125">
        <v>18.3</v>
      </c>
      <c r="V125">
        <v>42.3</v>
      </c>
    </row>
    <row r="126" spans="1:22">
      <c r="A126" s="39">
        <v>45075</v>
      </c>
      <c r="B126" s="152">
        <v>20.9024</v>
      </c>
      <c r="C126">
        <f t="shared" si="5"/>
        <v>34.141525685321461</v>
      </c>
      <c r="D126">
        <f t="shared" si="6"/>
        <v>3.654800335495187</v>
      </c>
      <c r="E126">
        <f t="shared" si="7"/>
        <v>18.898163010408325</v>
      </c>
      <c r="G126" s="39">
        <v>45097</v>
      </c>
      <c r="H126">
        <v>22.954899999999999</v>
      </c>
      <c r="I126">
        <v>28.3582</v>
      </c>
      <c r="L126" s="39">
        <v>44421</v>
      </c>
      <c r="M126">
        <v>40.799999999999997</v>
      </c>
      <c r="N126">
        <v>270.5</v>
      </c>
      <c r="O126">
        <v>23.3</v>
      </c>
      <c r="P126">
        <v>40.299999999999997</v>
      </c>
      <c r="Q126">
        <v>16.2</v>
      </c>
      <c r="R126">
        <v>19.2</v>
      </c>
      <c r="S126">
        <v>23.3</v>
      </c>
      <c r="T126">
        <v>19.2</v>
      </c>
      <c r="U126">
        <v>16.2</v>
      </c>
      <c r="V126">
        <v>41.3</v>
      </c>
    </row>
    <row r="127" spans="1:22">
      <c r="A127" s="39">
        <v>45072</v>
      </c>
      <c r="B127" s="152">
        <v>20.632400000000001</v>
      </c>
      <c r="C127">
        <f t="shared" si="5"/>
        <v>34.141525685321461</v>
      </c>
      <c r="D127">
        <f t="shared" si="6"/>
        <v>3.654800335495187</v>
      </c>
      <c r="E127">
        <f t="shared" si="7"/>
        <v>18.898163010408325</v>
      </c>
      <c r="G127" s="39">
        <v>45096</v>
      </c>
      <c r="H127">
        <v>22.4147</v>
      </c>
      <c r="I127">
        <v>28.3248</v>
      </c>
      <c r="L127" s="39">
        <v>44414</v>
      </c>
      <c r="M127">
        <v>40.4</v>
      </c>
      <c r="N127">
        <v>247.4</v>
      </c>
      <c r="O127">
        <v>22.5</v>
      </c>
      <c r="P127">
        <v>39.1</v>
      </c>
      <c r="Q127">
        <v>16.7</v>
      </c>
      <c r="R127">
        <v>19.100000000000001</v>
      </c>
      <c r="S127">
        <v>22.5</v>
      </c>
      <c r="T127">
        <v>19.100000000000001</v>
      </c>
      <c r="U127">
        <v>16.7</v>
      </c>
      <c r="V127">
        <v>40.5</v>
      </c>
    </row>
    <row r="128" spans="1:22">
      <c r="A128" s="39">
        <v>45071</v>
      </c>
      <c r="B128" s="152">
        <v>20.5243</v>
      </c>
      <c r="C128">
        <f t="shared" si="5"/>
        <v>34.141525685321461</v>
      </c>
      <c r="D128">
        <f t="shared" si="6"/>
        <v>3.654800335495187</v>
      </c>
      <c r="E128">
        <f t="shared" si="7"/>
        <v>18.898163010408325</v>
      </c>
      <c r="G128" s="39">
        <v>45093</v>
      </c>
      <c r="H128">
        <v>22.3337</v>
      </c>
      <c r="I128">
        <v>28.335999999999999</v>
      </c>
      <c r="L128" s="39">
        <v>44407</v>
      </c>
      <c r="M128">
        <v>41.8</v>
      </c>
      <c r="N128">
        <v>231.4</v>
      </c>
      <c r="O128">
        <v>22.1</v>
      </c>
      <c r="P128">
        <v>38.700000000000003</v>
      </c>
      <c r="Q128">
        <v>16.3</v>
      </c>
      <c r="R128">
        <v>19.2</v>
      </c>
      <c r="S128">
        <v>22.1</v>
      </c>
      <c r="T128">
        <v>19.2</v>
      </c>
      <c r="U128">
        <v>16.3</v>
      </c>
      <c r="V128">
        <v>39.6</v>
      </c>
    </row>
    <row r="129" spans="1:22">
      <c r="A129" s="39">
        <v>45070</v>
      </c>
      <c r="B129" s="152">
        <v>20.497299999999999</v>
      </c>
      <c r="C129">
        <f t="shared" si="5"/>
        <v>34.141525685321461</v>
      </c>
      <c r="D129">
        <f t="shared" si="6"/>
        <v>3.654800335495187</v>
      </c>
      <c r="E129">
        <f t="shared" si="7"/>
        <v>18.898163010408325</v>
      </c>
      <c r="G129" s="39">
        <v>45092</v>
      </c>
      <c r="H129">
        <v>22.5228</v>
      </c>
      <c r="I129">
        <v>28.673200000000001</v>
      </c>
      <c r="L129" s="39">
        <v>44400</v>
      </c>
      <c r="M129">
        <v>42.7</v>
      </c>
      <c r="N129">
        <v>239.1</v>
      </c>
      <c r="O129">
        <v>23.1</v>
      </c>
      <c r="P129">
        <v>35.5</v>
      </c>
      <c r="Q129">
        <v>16.5</v>
      </c>
      <c r="R129">
        <v>19.600000000000001</v>
      </c>
      <c r="S129">
        <v>23.1</v>
      </c>
      <c r="T129">
        <v>19.600000000000001</v>
      </c>
      <c r="U129">
        <v>16.5</v>
      </c>
      <c r="V129">
        <v>38.9</v>
      </c>
    </row>
    <row r="130" spans="1:22">
      <c r="A130" s="39">
        <v>45069</v>
      </c>
      <c r="B130" s="152">
        <v>20.659400000000002</v>
      </c>
      <c r="C130">
        <f t="shared" si="5"/>
        <v>34.141525685321461</v>
      </c>
      <c r="D130">
        <f t="shared" si="6"/>
        <v>3.654800335495187</v>
      </c>
      <c r="E130">
        <f t="shared" si="7"/>
        <v>18.898163010408325</v>
      </c>
      <c r="G130" s="39">
        <v>45091</v>
      </c>
      <c r="H130">
        <v>22.7118</v>
      </c>
      <c r="I130">
        <v>28.552600000000002</v>
      </c>
      <c r="L130" s="39">
        <v>44393</v>
      </c>
      <c r="M130">
        <v>42.7</v>
      </c>
      <c r="N130">
        <v>275.60000000000002</v>
      </c>
      <c r="O130">
        <v>22.9</v>
      </c>
      <c r="P130">
        <v>37</v>
      </c>
      <c r="Q130">
        <v>15.5</v>
      </c>
      <c r="R130">
        <v>18.899999999999999</v>
      </c>
      <c r="S130">
        <v>22.9</v>
      </c>
      <c r="T130">
        <v>18.899999999999999</v>
      </c>
      <c r="U130">
        <v>15.5</v>
      </c>
      <c r="V130">
        <v>37.700000000000003</v>
      </c>
    </row>
    <row r="131" spans="1:22">
      <c r="A131" s="39">
        <v>45068</v>
      </c>
      <c r="B131" s="152">
        <v>20.821400000000001</v>
      </c>
      <c r="C131">
        <f t="shared" si="5"/>
        <v>34.141525685321461</v>
      </c>
      <c r="D131">
        <f t="shared" si="6"/>
        <v>3.654800335495187</v>
      </c>
      <c r="E131">
        <f t="shared" si="7"/>
        <v>18.898163010408325</v>
      </c>
      <c r="G131" s="39">
        <v>45090</v>
      </c>
      <c r="H131">
        <v>23.224900000000002</v>
      </c>
      <c r="I131">
        <v>28.421299999999999</v>
      </c>
      <c r="L131" s="39">
        <v>44386</v>
      </c>
      <c r="M131">
        <v>42.7</v>
      </c>
      <c r="N131">
        <v>324.3</v>
      </c>
      <c r="O131">
        <v>22.7</v>
      </c>
      <c r="P131">
        <v>38.799999999999997</v>
      </c>
      <c r="Q131">
        <v>15.9</v>
      </c>
      <c r="R131">
        <v>18.7</v>
      </c>
      <c r="S131">
        <v>22.7</v>
      </c>
      <c r="T131">
        <v>18.7</v>
      </c>
      <c r="U131">
        <v>15.9</v>
      </c>
      <c r="V131">
        <v>37.9</v>
      </c>
    </row>
    <row r="132" spans="1:22">
      <c r="A132" s="39">
        <v>45065</v>
      </c>
      <c r="B132" s="152">
        <v>20.686399999999999</v>
      </c>
      <c r="C132">
        <f t="shared" ref="C132:C195" si="8">AVERAGE($B$3:$B$1251)+$C$1</f>
        <v>34.141525685321461</v>
      </c>
      <c r="D132">
        <f t="shared" ref="D132:D195" si="9">AVERAGE($B$3:$B$1251)-$C$1</f>
        <v>3.654800335495187</v>
      </c>
      <c r="E132">
        <f t="shared" ref="E132:E195" si="10">AVERAGE($B$3:$B$1251)</f>
        <v>18.898163010408325</v>
      </c>
      <c r="G132" s="39">
        <v>45089</v>
      </c>
      <c r="H132">
        <v>23.224900000000002</v>
      </c>
      <c r="I132">
        <v>28.1265</v>
      </c>
      <c r="L132" s="39">
        <v>44379</v>
      </c>
      <c r="M132">
        <v>42.4</v>
      </c>
      <c r="N132">
        <v>253.8</v>
      </c>
      <c r="O132">
        <v>22.7</v>
      </c>
      <c r="P132">
        <v>35.700000000000003</v>
      </c>
      <c r="Q132">
        <v>15.4</v>
      </c>
      <c r="R132">
        <v>18.5</v>
      </c>
      <c r="S132">
        <v>22.7</v>
      </c>
      <c r="T132">
        <v>18.5</v>
      </c>
      <c r="U132">
        <v>15.4</v>
      </c>
      <c r="V132">
        <v>36.700000000000003</v>
      </c>
    </row>
    <row r="133" spans="1:22">
      <c r="A133" s="39">
        <v>45064</v>
      </c>
      <c r="B133" s="152">
        <v>20.578299999999999</v>
      </c>
      <c r="C133">
        <f t="shared" si="8"/>
        <v>34.141525685321461</v>
      </c>
      <c r="D133">
        <f t="shared" si="9"/>
        <v>3.654800335495187</v>
      </c>
      <c r="E133">
        <f t="shared" si="10"/>
        <v>18.898163010408325</v>
      </c>
      <c r="G133" s="39">
        <v>45086</v>
      </c>
      <c r="H133">
        <v>22.360700000000001</v>
      </c>
      <c r="I133">
        <v>27.870999999999999</v>
      </c>
      <c r="L133" s="39">
        <v>44372</v>
      </c>
      <c r="M133">
        <v>40.5</v>
      </c>
      <c r="O133">
        <v>22.5</v>
      </c>
      <c r="P133">
        <v>43.1</v>
      </c>
      <c r="Q133">
        <v>15.4</v>
      </c>
      <c r="R133">
        <v>18.100000000000001</v>
      </c>
      <c r="S133">
        <v>22.5</v>
      </c>
      <c r="T133">
        <v>18.100000000000001</v>
      </c>
      <c r="U133">
        <v>15.4</v>
      </c>
      <c r="V133">
        <v>36.299999999999997</v>
      </c>
    </row>
    <row r="134" spans="1:22">
      <c r="A134" s="39">
        <v>45063</v>
      </c>
      <c r="B134" s="152">
        <v>20.605399999999999</v>
      </c>
      <c r="C134">
        <f t="shared" si="8"/>
        <v>34.141525685321461</v>
      </c>
      <c r="D134">
        <f t="shared" si="9"/>
        <v>3.654800335495187</v>
      </c>
      <c r="E134">
        <f t="shared" si="10"/>
        <v>18.898163010408325</v>
      </c>
      <c r="G134" s="39">
        <v>45085</v>
      </c>
      <c r="H134">
        <v>21.9556</v>
      </c>
      <c r="I134">
        <v>28.043700000000001</v>
      </c>
      <c r="L134" s="39">
        <v>44365</v>
      </c>
      <c r="M134">
        <v>41.3</v>
      </c>
      <c r="O134">
        <v>21.9</v>
      </c>
      <c r="P134">
        <v>41.9</v>
      </c>
      <c r="Q134">
        <v>14.9</v>
      </c>
      <c r="R134">
        <v>17.3</v>
      </c>
      <c r="S134">
        <v>21.9</v>
      </c>
      <c r="T134">
        <v>17.3</v>
      </c>
      <c r="U134">
        <v>14.9</v>
      </c>
      <c r="V134">
        <v>35</v>
      </c>
    </row>
    <row r="135" spans="1:22">
      <c r="A135" s="39">
        <v>45062</v>
      </c>
      <c r="B135" s="152">
        <v>20.767399999999999</v>
      </c>
      <c r="C135">
        <f t="shared" si="8"/>
        <v>34.141525685321461</v>
      </c>
      <c r="D135">
        <f t="shared" si="9"/>
        <v>3.654800335495187</v>
      </c>
      <c r="E135">
        <f t="shared" si="10"/>
        <v>18.898163010408325</v>
      </c>
      <c r="G135" s="39">
        <v>45084</v>
      </c>
      <c r="H135">
        <v>22.576799999999999</v>
      </c>
      <c r="I135">
        <v>27.921399999999998</v>
      </c>
      <c r="L135" s="39">
        <v>44358</v>
      </c>
      <c r="M135">
        <v>41.8</v>
      </c>
      <c r="O135">
        <v>22.8</v>
      </c>
      <c r="P135">
        <v>40.9</v>
      </c>
      <c r="Q135">
        <v>15.6</v>
      </c>
      <c r="R135">
        <v>17.5</v>
      </c>
      <c r="S135">
        <v>22.8</v>
      </c>
      <c r="T135">
        <v>17.5</v>
      </c>
      <c r="U135">
        <v>15.6</v>
      </c>
      <c r="V135">
        <v>35.1</v>
      </c>
    </row>
    <row r="136" spans="1:22">
      <c r="A136" s="39">
        <v>45061</v>
      </c>
      <c r="B136" s="152">
        <v>21.010400000000001</v>
      </c>
      <c r="C136">
        <f t="shared" si="8"/>
        <v>34.141525685321461</v>
      </c>
      <c r="D136">
        <f t="shared" si="9"/>
        <v>3.654800335495187</v>
      </c>
      <c r="E136">
        <f t="shared" si="10"/>
        <v>18.898163010408325</v>
      </c>
      <c r="G136" s="39">
        <v>45083</v>
      </c>
      <c r="H136">
        <v>22.576799999999999</v>
      </c>
      <c r="I136">
        <v>28.057400000000001</v>
      </c>
      <c r="L136" s="39">
        <v>44351</v>
      </c>
      <c r="M136">
        <v>40.5</v>
      </c>
      <c r="O136">
        <v>23</v>
      </c>
      <c r="P136">
        <v>30.6</v>
      </c>
      <c r="Q136">
        <v>15.3</v>
      </c>
      <c r="R136">
        <v>17.399999999999999</v>
      </c>
      <c r="S136">
        <v>23</v>
      </c>
      <c r="T136">
        <v>17.399999999999999</v>
      </c>
      <c r="U136">
        <v>15.3</v>
      </c>
      <c r="V136">
        <v>35.6</v>
      </c>
    </row>
    <row r="137" spans="1:22">
      <c r="A137" s="39">
        <v>45058</v>
      </c>
      <c r="B137" s="152">
        <v>21.064499999999999</v>
      </c>
      <c r="C137">
        <f t="shared" si="8"/>
        <v>34.141525685321461</v>
      </c>
      <c r="D137">
        <f t="shared" si="9"/>
        <v>3.654800335495187</v>
      </c>
      <c r="E137">
        <f t="shared" si="10"/>
        <v>18.898163010408325</v>
      </c>
      <c r="G137" s="39">
        <v>45082</v>
      </c>
      <c r="H137">
        <v>22.252700000000001</v>
      </c>
      <c r="I137">
        <v>27.952200000000001</v>
      </c>
      <c r="L137" s="39">
        <v>44344</v>
      </c>
      <c r="M137">
        <v>41</v>
      </c>
      <c r="O137">
        <v>23</v>
      </c>
      <c r="P137">
        <v>30.6</v>
      </c>
      <c r="Q137">
        <v>14.6</v>
      </c>
      <c r="R137">
        <v>17</v>
      </c>
      <c r="S137">
        <v>23</v>
      </c>
      <c r="T137">
        <v>17</v>
      </c>
      <c r="U137">
        <v>14.6</v>
      </c>
      <c r="V137">
        <v>34.799999999999997</v>
      </c>
    </row>
    <row r="138" spans="1:22">
      <c r="A138" s="39">
        <v>45057</v>
      </c>
      <c r="B138" s="152">
        <v>20.9024</v>
      </c>
      <c r="C138">
        <f t="shared" si="8"/>
        <v>34.141525685321461</v>
      </c>
      <c r="D138">
        <f t="shared" si="9"/>
        <v>3.654800335495187</v>
      </c>
      <c r="E138">
        <f t="shared" si="10"/>
        <v>18.898163010408325</v>
      </c>
      <c r="G138" s="39">
        <v>45079</v>
      </c>
      <c r="H138">
        <v>22.0367</v>
      </c>
      <c r="I138">
        <v>27.851299999999998</v>
      </c>
      <c r="L138" s="39">
        <v>44337</v>
      </c>
      <c r="M138">
        <v>39</v>
      </c>
      <c r="O138">
        <v>23</v>
      </c>
      <c r="P138">
        <v>31.1</v>
      </c>
      <c r="Q138">
        <v>14.9</v>
      </c>
      <c r="R138">
        <v>16.899999999999999</v>
      </c>
      <c r="S138">
        <v>23</v>
      </c>
      <c r="T138">
        <v>16.899999999999999</v>
      </c>
      <c r="U138">
        <v>14.9</v>
      </c>
      <c r="V138">
        <v>35</v>
      </c>
    </row>
    <row r="139" spans="1:22">
      <c r="A139" s="39">
        <v>45056</v>
      </c>
      <c r="B139" s="152">
        <v>21.064499999999999</v>
      </c>
      <c r="C139">
        <f t="shared" si="8"/>
        <v>34.141525685321461</v>
      </c>
      <c r="D139">
        <f t="shared" si="9"/>
        <v>3.654800335495187</v>
      </c>
      <c r="E139">
        <f t="shared" si="10"/>
        <v>18.898163010408325</v>
      </c>
      <c r="G139" s="39">
        <v>45078</v>
      </c>
      <c r="H139">
        <v>21.226500000000001</v>
      </c>
      <c r="I139">
        <v>27.343</v>
      </c>
      <c r="L139" s="39">
        <v>44330</v>
      </c>
      <c r="M139">
        <v>38.6</v>
      </c>
      <c r="O139">
        <v>22.6</v>
      </c>
      <c r="P139">
        <v>30.1</v>
      </c>
      <c r="Q139">
        <v>15.5</v>
      </c>
      <c r="R139">
        <v>15.8</v>
      </c>
      <c r="S139">
        <v>22.6</v>
      </c>
      <c r="T139">
        <v>15.8</v>
      </c>
      <c r="U139">
        <v>15.5</v>
      </c>
      <c r="V139">
        <v>35.4</v>
      </c>
    </row>
    <row r="140" spans="1:22">
      <c r="A140" s="39">
        <v>45055</v>
      </c>
      <c r="B140" s="152">
        <v>20.497299999999999</v>
      </c>
      <c r="C140">
        <f t="shared" si="8"/>
        <v>34.141525685321461</v>
      </c>
      <c r="D140">
        <f t="shared" si="9"/>
        <v>3.654800335495187</v>
      </c>
      <c r="E140">
        <f t="shared" si="10"/>
        <v>18.898163010408325</v>
      </c>
      <c r="G140" s="39">
        <v>45077</v>
      </c>
      <c r="H140">
        <v>21.172499999999999</v>
      </c>
      <c r="I140">
        <v>27.839600000000001</v>
      </c>
      <c r="L140" s="39">
        <v>44323</v>
      </c>
      <c r="M140">
        <v>42.2</v>
      </c>
      <c r="O140">
        <v>22.7</v>
      </c>
      <c r="P140">
        <v>31.1</v>
      </c>
      <c r="Q140">
        <v>15</v>
      </c>
      <c r="R140">
        <v>16.100000000000001</v>
      </c>
      <c r="S140">
        <v>22.7</v>
      </c>
      <c r="T140">
        <v>16.100000000000001</v>
      </c>
      <c r="U140">
        <v>15</v>
      </c>
      <c r="V140">
        <v>35.299999999999997</v>
      </c>
    </row>
    <row r="141" spans="1:22">
      <c r="A141" s="39">
        <v>45054</v>
      </c>
      <c r="B141" s="152">
        <v>20.443300000000001</v>
      </c>
      <c r="C141">
        <f t="shared" si="8"/>
        <v>34.141525685321461</v>
      </c>
      <c r="D141">
        <f t="shared" si="9"/>
        <v>3.654800335495187</v>
      </c>
      <c r="E141">
        <f t="shared" si="10"/>
        <v>18.898163010408325</v>
      </c>
      <c r="G141" s="39">
        <v>45076</v>
      </c>
      <c r="H141">
        <v>21.2805</v>
      </c>
      <c r="I141">
        <v>27.970700000000001</v>
      </c>
      <c r="L141" s="39">
        <v>44316</v>
      </c>
      <c r="M141">
        <v>41.6</v>
      </c>
      <c r="O141">
        <v>22.6</v>
      </c>
      <c r="P141">
        <v>31.6</v>
      </c>
      <c r="Q141">
        <v>14.6</v>
      </c>
      <c r="R141">
        <v>15.5</v>
      </c>
      <c r="S141">
        <v>22.6</v>
      </c>
      <c r="T141">
        <v>15.5</v>
      </c>
      <c r="U141">
        <v>14.6</v>
      </c>
      <c r="V141">
        <v>37.4</v>
      </c>
    </row>
    <row r="142" spans="1:22">
      <c r="A142" s="39">
        <v>45051</v>
      </c>
      <c r="B142" s="152">
        <v>20.4163</v>
      </c>
      <c r="C142">
        <f t="shared" si="8"/>
        <v>34.141525685321461</v>
      </c>
      <c r="D142">
        <f t="shared" si="9"/>
        <v>3.654800335495187</v>
      </c>
      <c r="E142">
        <f t="shared" si="10"/>
        <v>18.898163010408325</v>
      </c>
      <c r="G142" s="39">
        <v>45075</v>
      </c>
      <c r="H142">
        <v>20.9024</v>
      </c>
      <c r="I142">
        <v>28.226199999999999</v>
      </c>
      <c r="L142" s="39">
        <v>44309</v>
      </c>
      <c r="M142">
        <v>41.4</v>
      </c>
      <c r="O142">
        <v>24.7</v>
      </c>
      <c r="P142">
        <v>32</v>
      </c>
      <c r="Q142">
        <v>14</v>
      </c>
      <c r="R142">
        <v>20.5</v>
      </c>
      <c r="S142">
        <v>24.7</v>
      </c>
      <c r="T142">
        <v>20.5</v>
      </c>
      <c r="U142">
        <v>14</v>
      </c>
      <c r="V142">
        <v>37.4</v>
      </c>
    </row>
    <row r="143" spans="1:22">
      <c r="A143" s="39">
        <v>45050</v>
      </c>
      <c r="B143" s="152">
        <v>20.470300000000002</v>
      </c>
      <c r="C143">
        <f t="shared" si="8"/>
        <v>34.141525685321461</v>
      </c>
      <c r="D143">
        <f t="shared" si="9"/>
        <v>3.654800335495187</v>
      </c>
      <c r="E143">
        <f t="shared" si="10"/>
        <v>18.898163010408325</v>
      </c>
      <c r="G143" s="39">
        <v>45072</v>
      </c>
      <c r="H143">
        <v>20.632400000000001</v>
      </c>
      <c r="I143">
        <v>28.185300000000002</v>
      </c>
      <c r="L143" s="39">
        <v>44302</v>
      </c>
      <c r="M143">
        <v>42.6</v>
      </c>
      <c r="O143">
        <v>24.8</v>
      </c>
      <c r="P143">
        <v>32.1</v>
      </c>
      <c r="Q143">
        <v>14.4</v>
      </c>
      <c r="R143">
        <v>20.7</v>
      </c>
      <c r="S143">
        <v>24.8</v>
      </c>
      <c r="T143">
        <v>20.7</v>
      </c>
      <c r="U143">
        <v>14.4</v>
      </c>
      <c r="V143">
        <v>37.200000000000003</v>
      </c>
    </row>
    <row r="144" spans="1:22">
      <c r="A144" s="39">
        <v>45044</v>
      </c>
      <c r="B144" s="152">
        <v>21.172499999999999</v>
      </c>
      <c r="C144">
        <f t="shared" si="8"/>
        <v>34.141525685321461</v>
      </c>
      <c r="D144">
        <f t="shared" si="9"/>
        <v>3.654800335495187</v>
      </c>
      <c r="E144">
        <f t="shared" si="10"/>
        <v>18.898163010408325</v>
      </c>
      <c r="G144" s="39">
        <v>45071</v>
      </c>
      <c r="H144">
        <v>20.5243</v>
      </c>
      <c r="I144">
        <v>27.9297</v>
      </c>
      <c r="L144" s="39">
        <v>44295</v>
      </c>
      <c r="M144">
        <v>43.1</v>
      </c>
      <c r="O144">
        <v>24.7</v>
      </c>
      <c r="P144">
        <v>32.5</v>
      </c>
      <c r="Q144">
        <v>14.2</v>
      </c>
      <c r="R144">
        <v>20.399999999999999</v>
      </c>
      <c r="S144">
        <v>24.7</v>
      </c>
      <c r="T144">
        <v>20.399999999999999</v>
      </c>
      <c r="U144">
        <v>14.2</v>
      </c>
      <c r="V144">
        <v>36.4</v>
      </c>
    </row>
    <row r="145" spans="1:22">
      <c r="A145" s="39">
        <v>45043</v>
      </c>
      <c r="B145" s="152">
        <v>20.875399999999999</v>
      </c>
      <c r="C145">
        <f t="shared" si="8"/>
        <v>34.141525685321461</v>
      </c>
      <c r="D145">
        <f t="shared" si="9"/>
        <v>3.654800335495187</v>
      </c>
      <c r="E145">
        <f t="shared" si="10"/>
        <v>18.898163010408325</v>
      </c>
      <c r="G145" s="39">
        <v>45070</v>
      </c>
      <c r="H145">
        <v>20.497299999999999</v>
      </c>
      <c r="I145">
        <v>28.561699999999998</v>
      </c>
      <c r="L145" s="39">
        <v>44288</v>
      </c>
      <c r="M145">
        <v>44.9</v>
      </c>
      <c r="O145">
        <v>24</v>
      </c>
      <c r="P145">
        <v>29.5</v>
      </c>
      <c r="Q145">
        <v>14.2</v>
      </c>
      <c r="R145">
        <v>20</v>
      </c>
      <c r="S145">
        <v>24</v>
      </c>
      <c r="T145">
        <v>20</v>
      </c>
      <c r="U145">
        <v>14.2</v>
      </c>
      <c r="V145">
        <v>35.6</v>
      </c>
    </row>
    <row r="146" spans="1:22">
      <c r="A146" s="39">
        <v>45042</v>
      </c>
      <c r="B146" s="152">
        <v>20.740400000000001</v>
      </c>
      <c r="C146">
        <f t="shared" si="8"/>
        <v>34.141525685321461</v>
      </c>
      <c r="D146">
        <f t="shared" si="9"/>
        <v>3.654800335495187</v>
      </c>
      <c r="E146">
        <f t="shared" si="10"/>
        <v>18.898163010408325</v>
      </c>
      <c r="G146" s="39">
        <v>45069</v>
      </c>
      <c r="H146">
        <v>20.659400000000002</v>
      </c>
      <c r="I146">
        <v>28.692399999999999</v>
      </c>
      <c r="L146" s="39">
        <v>44281</v>
      </c>
      <c r="M146">
        <v>36.5</v>
      </c>
      <c r="O146">
        <v>23.9</v>
      </c>
      <c r="P146">
        <v>33.799999999999997</v>
      </c>
      <c r="Q146">
        <v>14.6</v>
      </c>
      <c r="R146">
        <v>20</v>
      </c>
      <c r="S146">
        <v>23.9</v>
      </c>
      <c r="T146">
        <v>20</v>
      </c>
      <c r="U146">
        <v>14.6</v>
      </c>
      <c r="V146">
        <v>35.299999999999997</v>
      </c>
    </row>
    <row r="147" spans="1:22">
      <c r="A147" s="39">
        <v>45041</v>
      </c>
      <c r="B147" s="152">
        <v>20.362300000000001</v>
      </c>
      <c r="C147">
        <f t="shared" si="8"/>
        <v>34.141525685321461</v>
      </c>
      <c r="D147">
        <f t="shared" si="9"/>
        <v>3.654800335495187</v>
      </c>
      <c r="E147">
        <f t="shared" si="10"/>
        <v>18.898163010408325</v>
      </c>
      <c r="G147" s="39">
        <v>45068</v>
      </c>
      <c r="H147">
        <v>20.821400000000001</v>
      </c>
      <c r="I147">
        <v>29.122199999999999</v>
      </c>
      <c r="L147" s="39">
        <v>44274</v>
      </c>
      <c r="M147">
        <v>35.6</v>
      </c>
      <c r="O147">
        <v>23.3</v>
      </c>
      <c r="P147">
        <v>37.4</v>
      </c>
      <c r="Q147">
        <v>13.4</v>
      </c>
      <c r="R147">
        <v>18.7</v>
      </c>
      <c r="S147">
        <v>23.3</v>
      </c>
      <c r="T147">
        <v>18.7</v>
      </c>
      <c r="U147">
        <v>13.4</v>
      </c>
      <c r="V147">
        <v>33</v>
      </c>
    </row>
    <row r="148" spans="1:22">
      <c r="A148" s="39">
        <v>45040</v>
      </c>
      <c r="B148" s="152">
        <v>20.740400000000001</v>
      </c>
      <c r="C148">
        <f t="shared" si="8"/>
        <v>34.141525685321461</v>
      </c>
      <c r="D148">
        <f t="shared" si="9"/>
        <v>3.654800335495187</v>
      </c>
      <c r="E148">
        <f t="shared" si="10"/>
        <v>18.898163010408325</v>
      </c>
      <c r="G148" s="39">
        <v>45065</v>
      </c>
      <c r="H148">
        <v>20.686399999999999</v>
      </c>
      <c r="I148">
        <v>29.298400000000001</v>
      </c>
      <c r="L148" s="39">
        <v>44267</v>
      </c>
      <c r="M148">
        <v>36.4</v>
      </c>
      <c r="O148">
        <v>23.6</v>
      </c>
      <c r="P148">
        <v>37.4</v>
      </c>
      <c r="Q148">
        <v>13.5</v>
      </c>
      <c r="R148">
        <v>17.899999999999999</v>
      </c>
      <c r="S148">
        <v>23.6</v>
      </c>
      <c r="T148">
        <v>17.899999999999999</v>
      </c>
      <c r="U148">
        <v>13.5</v>
      </c>
      <c r="V148">
        <v>33.200000000000003</v>
      </c>
    </row>
    <row r="149" spans="1:22">
      <c r="A149" s="39">
        <v>45037</v>
      </c>
      <c r="B149" s="152">
        <v>21.226500000000001</v>
      </c>
      <c r="C149">
        <f t="shared" si="8"/>
        <v>34.141525685321461</v>
      </c>
      <c r="D149">
        <f t="shared" si="9"/>
        <v>3.654800335495187</v>
      </c>
      <c r="E149">
        <f t="shared" si="10"/>
        <v>18.898163010408325</v>
      </c>
      <c r="G149" s="39">
        <v>45064</v>
      </c>
      <c r="H149">
        <v>20.578299999999999</v>
      </c>
      <c r="I149">
        <v>29.676300000000001</v>
      </c>
      <c r="L149" s="39">
        <v>44260</v>
      </c>
      <c r="M149">
        <v>34.9</v>
      </c>
      <c r="O149">
        <v>22.7</v>
      </c>
      <c r="P149">
        <v>36.1</v>
      </c>
      <c r="Q149">
        <v>12.5</v>
      </c>
      <c r="R149">
        <v>17.2</v>
      </c>
      <c r="S149">
        <v>22.7</v>
      </c>
      <c r="T149">
        <v>17.2</v>
      </c>
      <c r="U149">
        <v>12.5</v>
      </c>
      <c r="V149">
        <v>31.8</v>
      </c>
    </row>
    <row r="150" spans="1:22">
      <c r="A150" s="39">
        <v>45036</v>
      </c>
      <c r="B150" s="152">
        <v>21.820599999999999</v>
      </c>
      <c r="C150">
        <f t="shared" si="8"/>
        <v>34.141525685321461</v>
      </c>
      <c r="D150">
        <f t="shared" si="9"/>
        <v>3.654800335495187</v>
      </c>
      <c r="E150">
        <f t="shared" si="10"/>
        <v>18.898163010408325</v>
      </c>
      <c r="G150" s="39">
        <v>45063</v>
      </c>
      <c r="H150">
        <v>20.605399999999999</v>
      </c>
      <c r="I150">
        <v>29.609100000000002</v>
      </c>
      <c r="L150" s="39">
        <v>44253</v>
      </c>
      <c r="M150">
        <v>32.1</v>
      </c>
      <c r="O150">
        <v>22.9</v>
      </c>
      <c r="P150">
        <v>38.700000000000003</v>
      </c>
      <c r="Q150">
        <v>12.8</v>
      </c>
      <c r="R150">
        <v>18.2</v>
      </c>
      <c r="S150">
        <v>22.9</v>
      </c>
      <c r="T150">
        <v>18.2</v>
      </c>
      <c r="U150">
        <v>12.8</v>
      </c>
      <c r="V150">
        <v>33.200000000000003</v>
      </c>
    </row>
    <row r="151" spans="1:22">
      <c r="A151" s="39">
        <v>45035</v>
      </c>
      <c r="B151" s="152">
        <v>21.874600000000001</v>
      </c>
      <c r="C151">
        <f t="shared" si="8"/>
        <v>34.141525685321461</v>
      </c>
      <c r="D151">
        <f t="shared" si="9"/>
        <v>3.654800335495187</v>
      </c>
      <c r="E151">
        <f t="shared" si="10"/>
        <v>18.898163010408325</v>
      </c>
      <c r="G151" s="39">
        <v>45062</v>
      </c>
      <c r="H151">
        <v>20.767399999999999</v>
      </c>
      <c r="I151">
        <v>29.604199999999999</v>
      </c>
      <c r="L151" s="39">
        <v>44246</v>
      </c>
      <c r="M151">
        <v>31.1</v>
      </c>
      <c r="O151">
        <v>24.3</v>
      </c>
      <c r="P151">
        <v>30.4</v>
      </c>
      <c r="Q151">
        <v>14.3</v>
      </c>
      <c r="R151">
        <v>18.8</v>
      </c>
      <c r="S151">
        <v>24.3</v>
      </c>
      <c r="T151">
        <v>18.8</v>
      </c>
      <c r="U151">
        <v>14.3</v>
      </c>
      <c r="V151">
        <v>35.6</v>
      </c>
    </row>
    <row r="152" spans="1:22">
      <c r="A152" s="39">
        <v>45034</v>
      </c>
      <c r="B152" s="152">
        <v>21.5776</v>
      </c>
      <c r="C152">
        <f t="shared" si="8"/>
        <v>34.141525685321461</v>
      </c>
      <c r="D152">
        <f t="shared" si="9"/>
        <v>3.654800335495187</v>
      </c>
      <c r="E152">
        <f t="shared" si="10"/>
        <v>18.898163010408325</v>
      </c>
      <c r="G152" s="39">
        <v>45061</v>
      </c>
      <c r="H152">
        <v>21.010400000000001</v>
      </c>
      <c r="I152">
        <v>29.907299999999999</v>
      </c>
      <c r="L152" s="39">
        <v>44239</v>
      </c>
      <c r="M152">
        <v>31.5</v>
      </c>
      <c r="O152">
        <v>25.4</v>
      </c>
      <c r="P152">
        <v>30.4</v>
      </c>
      <c r="Q152">
        <v>13.7</v>
      </c>
      <c r="R152">
        <v>19</v>
      </c>
      <c r="S152">
        <v>25.4</v>
      </c>
      <c r="T152">
        <v>19</v>
      </c>
      <c r="U152">
        <v>13.7</v>
      </c>
      <c r="V152">
        <v>35.4</v>
      </c>
    </row>
    <row r="153" spans="1:22">
      <c r="A153" s="39">
        <v>45033</v>
      </c>
      <c r="B153" s="152">
        <v>21.523499999999999</v>
      </c>
      <c r="C153">
        <f t="shared" si="8"/>
        <v>34.141525685321461</v>
      </c>
      <c r="D153">
        <f t="shared" si="9"/>
        <v>3.654800335495187</v>
      </c>
      <c r="E153">
        <f t="shared" si="10"/>
        <v>18.898163010408325</v>
      </c>
      <c r="G153" s="39">
        <v>45058</v>
      </c>
      <c r="H153">
        <v>21.064499999999999</v>
      </c>
      <c r="I153">
        <v>29.979299999999999</v>
      </c>
      <c r="L153" s="39">
        <v>44232</v>
      </c>
      <c r="M153">
        <v>32.1</v>
      </c>
      <c r="O153">
        <v>25.4</v>
      </c>
      <c r="P153">
        <v>29.6</v>
      </c>
      <c r="Q153">
        <v>13.4</v>
      </c>
      <c r="R153">
        <v>18.7</v>
      </c>
      <c r="S153">
        <v>25.4</v>
      </c>
      <c r="T153">
        <v>18.7</v>
      </c>
      <c r="U153">
        <v>13.4</v>
      </c>
      <c r="V153">
        <v>35.700000000000003</v>
      </c>
    </row>
    <row r="154" spans="1:22">
      <c r="A154" s="39">
        <v>45030</v>
      </c>
      <c r="B154" s="152">
        <v>21.604600000000001</v>
      </c>
      <c r="C154">
        <f t="shared" si="8"/>
        <v>34.141525685321461</v>
      </c>
      <c r="D154">
        <f t="shared" si="9"/>
        <v>3.654800335495187</v>
      </c>
      <c r="E154">
        <f t="shared" si="10"/>
        <v>18.898163010408325</v>
      </c>
      <c r="G154" s="39">
        <v>45057</v>
      </c>
      <c r="H154">
        <v>20.9024</v>
      </c>
      <c r="I154">
        <v>29.8355</v>
      </c>
      <c r="L154" s="39">
        <v>44225</v>
      </c>
      <c r="M154">
        <v>30.8</v>
      </c>
      <c r="O154">
        <v>24.7</v>
      </c>
      <c r="P154">
        <v>29.6</v>
      </c>
      <c r="Q154">
        <v>13.4</v>
      </c>
      <c r="R154">
        <v>18</v>
      </c>
      <c r="S154">
        <v>24.7</v>
      </c>
      <c r="T154">
        <v>18</v>
      </c>
      <c r="U154">
        <v>13.4</v>
      </c>
      <c r="V154">
        <v>35.4</v>
      </c>
    </row>
    <row r="155" spans="1:22">
      <c r="A155" s="39">
        <v>45029</v>
      </c>
      <c r="B155" s="152">
        <v>22.171700000000001</v>
      </c>
      <c r="C155">
        <f t="shared" si="8"/>
        <v>34.141525685321461</v>
      </c>
      <c r="D155">
        <f t="shared" si="9"/>
        <v>3.654800335495187</v>
      </c>
      <c r="E155">
        <f t="shared" si="10"/>
        <v>18.898163010408325</v>
      </c>
      <c r="G155" s="39">
        <v>45056</v>
      </c>
      <c r="H155">
        <v>21.064499999999999</v>
      </c>
      <c r="I155">
        <v>29.881699999999999</v>
      </c>
      <c r="L155" s="39">
        <v>44218</v>
      </c>
      <c r="M155">
        <v>31.3</v>
      </c>
      <c r="O155">
        <v>25.8</v>
      </c>
      <c r="P155">
        <v>30</v>
      </c>
      <c r="Q155">
        <v>15</v>
      </c>
      <c r="R155">
        <v>21.2</v>
      </c>
      <c r="S155">
        <v>25.8</v>
      </c>
      <c r="T155">
        <v>21.2</v>
      </c>
      <c r="U155">
        <v>15</v>
      </c>
      <c r="V155">
        <v>36.4</v>
      </c>
    </row>
    <row r="156" spans="1:22">
      <c r="A156" s="39">
        <v>45028</v>
      </c>
      <c r="B156" s="152">
        <v>22.009699999999999</v>
      </c>
      <c r="C156">
        <f t="shared" si="8"/>
        <v>34.141525685321461</v>
      </c>
      <c r="D156">
        <f t="shared" si="9"/>
        <v>3.654800335495187</v>
      </c>
      <c r="E156">
        <f t="shared" si="10"/>
        <v>18.898163010408325</v>
      </c>
      <c r="G156" s="39">
        <v>45055</v>
      </c>
      <c r="H156">
        <v>20.497299999999999</v>
      </c>
      <c r="I156">
        <v>29.953299999999999</v>
      </c>
      <c r="L156" s="39">
        <v>44211</v>
      </c>
      <c r="M156">
        <v>32.1</v>
      </c>
      <c r="O156">
        <v>25.5</v>
      </c>
      <c r="P156">
        <v>30.8</v>
      </c>
      <c r="Q156">
        <v>14.2</v>
      </c>
      <c r="R156">
        <v>21.5</v>
      </c>
      <c r="S156">
        <v>25.5</v>
      </c>
      <c r="T156">
        <v>21.5</v>
      </c>
      <c r="U156">
        <v>14.2</v>
      </c>
      <c r="V156">
        <v>36.4</v>
      </c>
    </row>
    <row r="157" spans="1:22">
      <c r="A157" s="39">
        <v>45027</v>
      </c>
      <c r="B157" s="152">
        <v>21.982600000000001</v>
      </c>
      <c r="C157">
        <f t="shared" si="8"/>
        <v>34.141525685321461</v>
      </c>
      <c r="D157">
        <f t="shared" si="9"/>
        <v>3.654800335495187</v>
      </c>
      <c r="E157">
        <f t="shared" si="10"/>
        <v>18.898163010408325</v>
      </c>
      <c r="G157" s="39">
        <v>45054</v>
      </c>
      <c r="H157">
        <v>20.443300000000001</v>
      </c>
      <c r="I157">
        <v>29.831700000000001</v>
      </c>
      <c r="L157" s="39">
        <v>44204</v>
      </c>
      <c r="M157">
        <v>31.4</v>
      </c>
      <c r="O157">
        <v>25.9</v>
      </c>
      <c r="P157">
        <v>29.4</v>
      </c>
      <c r="Q157">
        <v>13.6</v>
      </c>
      <c r="R157">
        <v>21.4</v>
      </c>
      <c r="S157">
        <v>25.9</v>
      </c>
      <c r="T157">
        <v>21.4</v>
      </c>
      <c r="U157">
        <v>13.6</v>
      </c>
      <c r="V157">
        <v>37.200000000000003</v>
      </c>
    </row>
    <row r="158" spans="1:22">
      <c r="A158" s="39">
        <v>45026</v>
      </c>
      <c r="B158" s="152">
        <v>22.1447</v>
      </c>
      <c r="C158">
        <f t="shared" si="8"/>
        <v>34.141525685321461</v>
      </c>
      <c r="D158">
        <f t="shared" si="9"/>
        <v>3.654800335495187</v>
      </c>
      <c r="E158">
        <f t="shared" si="10"/>
        <v>18.898163010408325</v>
      </c>
      <c r="G158" s="39">
        <v>45051</v>
      </c>
      <c r="H158">
        <v>20.4163</v>
      </c>
      <c r="I158">
        <v>29.737300000000001</v>
      </c>
      <c r="L158" s="39">
        <v>44197</v>
      </c>
      <c r="M158">
        <v>31.4</v>
      </c>
      <c r="O158">
        <v>25.4</v>
      </c>
      <c r="P158">
        <v>30.4</v>
      </c>
      <c r="Q158">
        <v>13.3</v>
      </c>
      <c r="R158">
        <v>19.5</v>
      </c>
      <c r="S158">
        <v>25.4</v>
      </c>
      <c r="T158">
        <v>19.5</v>
      </c>
      <c r="U158">
        <v>13.3</v>
      </c>
      <c r="V158">
        <v>37.799999999999997</v>
      </c>
    </row>
    <row r="159" spans="1:22">
      <c r="A159" s="39">
        <v>45023</v>
      </c>
      <c r="B159" s="152">
        <v>21.064499999999999</v>
      </c>
      <c r="C159">
        <f t="shared" si="8"/>
        <v>34.141525685321461</v>
      </c>
      <c r="D159">
        <f t="shared" si="9"/>
        <v>3.654800335495187</v>
      </c>
      <c r="E159">
        <f t="shared" si="10"/>
        <v>18.898163010408325</v>
      </c>
      <c r="G159" s="39">
        <v>45050</v>
      </c>
      <c r="H159">
        <v>20.470300000000002</v>
      </c>
      <c r="I159">
        <v>29.563099999999999</v>
      </c>
      <c r="L159" s="39">
        <v>44190</v>
      </c>
      <c r="M159">
        <v>28.9</v>
      </c>
      <c r="O159">
        <v>25.3</v>
      </c>
      <c r="P159">
        <v>28</v>
      </c>
      <c r="Q159">
        <v>13.6</v>
      </c>
      <c r="R159">
        <v>19.399999999999999</v>
      </c>
      <c r="S159">
        <v>25.3</v>
      </c>
      <c r="T159">
        <v>19.399999999999999</v>
      </c>
      <c r="U159">
        <v>13.6</v>
      </c>
      <c r="V159">
        <v>36.6</v>
      </c>
    </row>
    <row r="160" spans="1:22">
      <c r="A160" s="39">
        <v>45022</v>
      </c>
      <c r="B160" s="152">
        <v>21.118500000000001</v>
      </c>
      <c r="C160">
        <f t="shared" si="8"/>
        <v>34.141525685321461</v>
      </c>
      <c r="D160">
        <f t="shared" si="9"/>
        <v>3.654800335495187</v>
      </c>
      <c r="E160">
        <f t="shared" si="10"/>
        <v>18.898163010408325</v>
      </c>
      <c r="G160" s="39">
        <v>45049</v>
      </c>
      <c r="I160">
        <v>29.6936</v>
      </c>
      <c r="L160" s="39">
        <v>44183</v>
      </c>
      <c r="M160">
        <v>30.4</v>
      </c>
      <c r="O160">
        <v>25.8</v>
      </c>
      <c r="P160">
        <v>26.7</v>
      </c>
      <c r="Q160">
        <v>13.6</v>
      </c>
      <c r="R160">
        <v>18.899999999999999</v>
      </c>
      <c r="S160">
        <v>25.8</v>
      </c>
      <c r="T160">
        <v>18.899999999999999</v>
      </c>
      <c r="U160">
        <v>13.6</v>
      </c>
      <c r="V160">
        <v>36.9</v>
      </c>
    </row>
    <row r="161" spans="1:22">
      <c r="A161" s="39">
        <v>45021</v>
      </c>
      <c r="B161" s="152">
        <v>21.4695</v>
      </c>
      <c r="C161">
        <f t="shared" si="8"/>
        <v>34.141525685321461</v>
      </c>
      <c r="D161">
        <f t="shared" si="9"/>
        <v>3.654800335495187</v>
      </c>
      <c r="E161">
        <f t="shared" si="10"/>
        <v>18.898163010408325</v>
      </c>
      <c r="G161" s="39">
        <v>45048</v>
      </c>
      <c r="I161">
        <v>29.8489</v>
      </c>
      <c r="L161" s="39">
        <v>44176</v>
      </c>
      <c r="M161">
        <v>30.3</v>
      </c>
      <c r="O161">
        <v>25.9</v>
      </c>
      <c r="P161">
        <v>26.5</v>
      </c>
      <c r="Q161">
        <v>13.3</v>
      </c>
      <c r="R161">
        <v>19</v>
      </c>
      <c r="S161">
        <v>25.9</v>
      </c>
      <c r="T161">
        <v>19</v>
      </c>
      <c r="U161">
        <v>13.3</v>
      </c>
      <c r="V161">
        <v>37.700000000000003</v>
      </c>
    </row>
    <row r="162" spans="1:22">
      <c r="A162" s="39">
        <v>45020</v>
      </c>
      <c r="B162" s="152">
        <v>21.496500000000001</v>
      </c>
      <c r="C162">
        <f t="shared" si="8"/>
        <v>34.141525685321461</v>
      </c>
      <c r="D162">
        <f t="shared" si="9"/>
        <v>3.654800335495187</v>
      </c>
      <c r="E162">
        <f t="shared" si="10"/>
        <v>18.898163010408325</v>
      </c>
      <c r="G162" s="39">
        <v>45047</v>
      </c>
      <c r="I162">
        <v>29.808599999999998</v>
      </c>
      <c r="L162" s="39">
        <v>44169</v>
      </c>
      <c r="M162">
        <v>29.8</v>
      </c>
      <c r="O162">
        <v>26.2</v>
      </c>
      <c r="P162">
        <v>26</v>
      </c>
      <c r="Q162">
        <v>13.7</v>
      </c>
      <c r="R162">
        <v>19.399999999999999</v>
      </c>
      <c r="S162">
        <v>26.2</v>
      </c>
      <c r="T162">
        <v>19.399999999999999</v>
      </c>
      <c r="U162">
        <v>13.7</v>
      </c>
      <c r="V162">
        <v>37.5</v>
      </c>
    </row>
    <row r="163" spans="1:22">
      <c r="A163" s="39">
        <v>45019</v>
      </c>
      <c r="B163" s="152">
        <v>21.064499999999999</v>
      </c>
      <c r="C163">
        <f t="shared" si="8"/>
        <v>34.141525685321461</v>
      </c>
      <c r="D163">
        <f t="shared" si="9"/>
        <v>3.654800335495187</v>
      </c>
      <c r="E163">
        <f t="shared" si="10"/>
        <v>18.898163010408325</v>
      </c>
      <c r="G163" s="39">
        <v>45044</v>
      </c>
      <c r="H163">
        <v>21.172499999999999</v>
      </c>
      <c r="I163">
        <v>29.857199999999999</v>
      </c>
      <c r="L163" s="39">
        <v>44162</v>
      </c>
      <c r="M163">
        <v>30.3</v>
      </c>
      <c r="O163">
        <v>26.7</v>
      </c>
      <c r="P163">
        <v>26</v>
      </c>
      <c r="Q163">
        <v>14.8</v>
      </c>
      <c r="R163">
        <v>19.899999999999999</v>
      </c>
      <c r="S163">
        <v>26.7</v>
      </c>
      <c r="T163">
        <v>19.899999999999999</v>
      </c>
      <c r="U163">
        <v>14.8</v>
      </c>
      <c r="V163">
        <v>38</v>
      </c>
    </row>
    <row r="164" spans="1:22">
      <c r="A164" s="39">
        <v>45016</v>
      </c>
      <c r="B164" s="152">
        <v>20.821400000000001</v>
      </c>
      <c r="C164">
        <f t="shared" si="8"/>
        <v>34.141525685321461</v>
      </c>
      <c r="D164">
        <f t="shared" si="9"/>
        <v>3.654800335495187</v>
      </c>
      <c r="E164">
        <f t="shared" si="10"/>
        <v>18.898163010408325</v>
      </c>
      <c r="G164" s="39">
        <v>45043</v>
      </c>
      <c r="H164">
        <v>20.875399999999999</v>
      </c>
      <c r="I164">
        <v>29.687799999999999</v>
      </c>
      <c r="L164" s="39">
        <v>44155</v>
      </c>
      <c r="M164">
        <v>30.6</v>
      </c>
      <c r="O164">
        <v>26.4</v>
      </c>
      <c r="P164">
        <v>25.6</v>
      </c>
      <c r="Q164">
        <v>14.9</v>
      </c>
      <c r="R164">
        <v>19.100000000000001</v>
      </c>
      <c r="S164">
        <v>26.4</v>
      </c>
      <c r="T164">
        <v>19.100000000000001</v>
      </c>
      <c r="U164">
        <v>14.9</v>
      </c>
      <c r="V164">
        <v>37.299999999999997</v>
      </c>
    </row>
    <row r="165" spans="1:22">
      <c r="A165" s="39">
        <v>45015</v>
      </c>
      <c r="B165" s="152">
        <v>13.500999999999999</v>
      </c>
      <c r="C165">
        <f t="shared" si="8"/>
        <v>34.141525685321461</v>
      </c>
      <c r="D165">
        <f t="shared" si="9"/>
        <v>3.654800335495187</v>
      </c>
      <c r="E165">
        <f t="shared" si="10"/>
        <v>18.898163010408325</v>
      </c>
      <c r="G165" s="39">
        <v>45042</v>
      </c>
      <c r="H165">
        <v>20.740400000000001</v>
      </c>
      <c r="I165">
        <v>29.586300000000001</v>
      </c>
      <c r="L165" s="39">
        <v>44148</v>
      </c>
      <c r="M165">
        <v>30.5</v>
      </c>
      <c r="O165">
        <v>26.5</v>
      </c>
      <c r="P165">
        <v>26.3</v>
      </c>
      <c r="Q165">
        <v>14.4</v>
      </c>
      <c r="R165">
        <v>17.899999999999999</v>
      </c>
      <c r="S165">
        <v>26.5</v>
      </c>
      <c r="T165">
        <v>17.899999999999999</v>
      </c>
      <c r="U165">
        <v>14.4</v>
      </c>
      <c r="V165">
        <v>40</v>
      </c>
    </row>
    <row r="166" spans="1:22">
      <c r="A166" s="39">
        <v>45014</v>
      </c>
      <c r="B166" s="152">
        <v>13.536</v>
      </c>
      <c r="C166">
        <f t="shared" si="8"/>
        <v>34.141525685321461</v>
      </c>
      <c r="D166">
        <f t="shared" si="9"/>
        <v>3.654800335495187</v>
      </c>
      <c r="E166">
        <f t="shared" si="10"/>
        <v>18.898163010408325</v>
      </c>
      <c r="G166" s="39">
        <v>45041</v>
      </c>
      <c r="H166">
        <v>20.362300000000001</v>
      </c>
      <c r="I166">
        <v>29.354600000000001</v>
      </c>
      <c r="L166" s="39">
        <v>44141</v>
      </c>
      <c r="M166">
        <v>29.1</v>
      </c>
      <c r="O166">
        <v>25.6</v>
      </c>
      <c r="P166">
        <v>26</v>
      </c>
      <c r="Q166">
        <v>15.4</v>
      </c>
      <c r="R166">
        <v>17.8</v>
      </c>
      <c r="S166">
        <v>25.6</v>
      </c>
      <c r="T166">
        <v>17.8</v>
      </c>
      <c r="U166">
        <v>15.4</v>
      </c>
      <c r="V166">
        <v>40.799999999999997</v>
      </c>
    </row>
    <row r="167" spans="1:22">
      <c r="A167" s="39">
        <v>45013</v>
      </c>
      <c r="B167" s="152">
        <v>13.6759</v>
      </c>
      <c r="C167">
        <f t="shared" si="8"/>
        <v>34.141525685321461</v>
      </c>
      <c r="D167">
        <f t="shared" si="9"/>
        <v>3.654800335495187</v>
      </c>
      <c r="E167">
        <f t="shared" si="10"/>
        <v>18.898163010408325</v>
      </c>
      <c r="G167" s="39">
        <v>45040</v>
      </c>
      <c r="H167">
        <v>20.740400000000001</v>
      </c>
      <c r="I167">
        <v>29.758900000000001</v>
      </c>
      <c r="L167" s="39">
        <v>44134</v>
      </c>
      <c r="M167">
        <v>26.4</v>
      </c>
      <c r="O167">
        <v>24.4</v>
      </c>
      <c r="P167">
        <v>24.7</v>
      </c>
      <c r="Q167">
        <v>13.6</v>
      </c>
      <c r="R167">
        <v>16.8</v>
      </c>
      <c r="S167">
        <v>24.4</v>
      </c>
      <c r="T167">
        <v>16.8</v>
      </c>
      <c r="U167">
        <v>13.6</v>
      </c>
      <c r="V167">
        <v>37.799999999999997</v>
      </c>
    </row>
    <row r="168" spans="1:22">
      <c r="A168" s="39">
        <v>45012</v>
      </c>
      <c r="B168" s="152">
        <v>13.3262</v>
      </c>
      <c r="C168">
        <f t="shared" si="8"/>
        <v>34.141525685321461</v>
      </c>
      <c r="D168">
        <f t="shared" si="9"/>
        <v>3.654800335495187</v>
      </c>
      <c r="E168">
        <f t="shared" si="10"/>
        <v>18.898163010408325</v>
      </c>
      <c r="G168" s="39">
        <v>45037</v>
      </c>
      <c r="H168">
        <v>21.226500000000001</v>
      </c>
      <c r="I168">
        <v>29.594899999999999</v>
      </c>
      <c r="L168" s="39">
        <v>44127</v>
      </c>
      <c r="M168">
        <v>27.9</v>
      </c>
      <c r="O168">
        <v>26.2</v>
      </c>
      <c r="P168">
        <v>24.5</v>
      </c>
      <c r="Q168">
        <v>16.7</v>
      </c>
      <c r="R168">
        <v>21.2</v>
      </c>
      <c r="S168">
        <v>26.2</v>
      </c>
      <c r="T168">
        <v>21.2</v>
      </c>
      <c r="U168">
        <v>16.7</v>
      </c>
      <c r="V168">
        <v>39.5</v>
      </c>
    </row>
    <row r="169" spans="1:22">
      <c r="A169" s="39">
        <v>45009</v>
      </c>
      <c r="B169" s="152">
        <v>13.2737</v>
      </c>
      <c r="C169">
        <f t="shared" si="8"/>
        <v>34.141525685321461</v>
      </c>
      <c r="D169">
        <f t="shared" si="9"/>
        <v>3.654800335495187</v>
      </c>
      <c r="E169">
        <f t="shared" si="10"/>
        <v>18.898163010408325</v>
      </c>
      <c r="G169" s="39">
        <v>45036</v>
      </c>
      <c r="H169">
        <v>21.820599999999999</v>
      </c>
      <c r="I169">
        <v>29.632100000000001</v>
      </c>
      <c r="L169" s="39">
        <v>44120</v>
      </c>
      <c r="M169">
        <v>28.7</v>
      </c>
      <c r="O169">
        <v>26.3</v>
      </c>
      <c r="P169">
        <v>24.2</v>
      </c>
      <c r="Q169">
        <v>17.7</v>
      </c>
      <c r="R169">
        <v>21.8</v>
      </c>
      <c r="S169">
        <v>26.3</v>
      </c>
      <c r="T169">
        <v>21.8</v>
      </c>
      <c r="U169">
        <v>17.7</v>
      </c>
      <c r="V169">
        <v>40.299999999999997</v>
      </c>
    </row>
    <row r="170" spans="1:22">
      <c r="A170" s="39">
        <v>45008</v>
      </c>
      <c r="B170" s="152">
        <v>13.2212</v>
      </c>
      <c r="C170">
        <f t="shared" si="8"/>
        <v>34.141525685321461</v>
      </c>
      <c r="D170">
        <f t="shared" si="9"/>
        <v>3.654800335495187</v>
      </c>
      <c r="E170">
        <f t="shared" si="10"/>
        <v>18.898163010408325</v>
      </c>
      <c r="G170" s="39">
        <v>45035</v>
      </c>
      <c r="H170">
        <v>21.874600000000001</v>
      </c>
      <c r="I170">
        <v>29.496500000000001</v>
      </c>
      <c r="L170" s="39">
        <v>44113</v>
      </c>
      <c r="M170">
        <v>29.7</v>
      </c>
      <c r="O170">
        <v>26</v>
      </c>
      <c r="P170">
        <v>24.5</v>
      </c>
      <c r="Q170">
        <v>17.5</v>
      </c>
      <c r="R170">
        <v>21.7</v>
      </c>
      <c r="S170">
        <v>26</v>
      </c>
      <c r="T170">
        <v>21.7</v>
      </c>
      <c r="U170">
        <v>17.5</v>
      </c>
      <c r="V170">
        <v>39</v>
      </c>
    </row>
    <row r="171" spans="1:22">
      <c r="A171" s="39">
        <v>45007</v>
      </c>
      <c r="B171" s="152">
        <v>13.2737</v>
      </c>
      <c r="C171">
        <f t="shared" si="8"/>
        <v>34.141525685321461</v>
      </c>
      <c r="D171">
        <f t="shared" si="9"/>
        <v>3.654800335495187</v>
      </c>
      <c r="E171">
        <f t="shared" si="10"/>
        <v>18.898163010408325</v>
      </c>
      <c r="G171" s="39">
        <v>45034</v>
      </c>
      <c r="H171">
        <v>21.5776</v>
      </c>
      <c r="I171">
        <v>29.438500000000001</v>
      </c>
      <c r="L171" s="39">
        <v>44106</v>
      </c>
      <c r="M171">
        <v>29.7</v>
      </c>
      <c r="O171">
        <v>25.6</v>
      </c>
      <c r="P171">
        <v>24.5</v>
      </c>
      <c r="Q171">
        <v>16.899999999999999</v>
      </c>
      <c r="R171">
        <v>21.1</v>
      </c>
      <c r="S171">
        <v>25.6</v>
      </c>
      <c r="T171">
        <v>21.1</v>
      </c>
      <c r="U171">
        <v>16.899999999999999</v>
      </c>
      <c r="V171">
        <v>37.5</v>
      </c>
    </row>
    <row r="172" spans="1:22">
      <c r="A172" s="39">
        <v>45006</v>
      </c>
      <c r="B172" s="152">
        <v>13.466100000000001</v>
      </c>
      <c r="C172">
        <f t="shared" si="8"/>
        <v>34.141525685321461</v>
      </c>
      <c r="D172">
        <f t="shared" si="9"/>
        <v>3.654800335495187</v>
      </c>
      <c r="E172">
        <f t="shared" si="10"/>
        <v>18.898163010408325</v>
      </c>
      <c r="G172" s="39">
        <v>45033</v>
      </c>
      <c r="H172">
        <v>21.523499999999999</v>
      </c>
      <c r="I172">
        <v>29.272400000000001</v>
      </c>
      <c r="L172" s="39">
        <v>44099</v>
      </c>
      <c r="M172">
        <v>27.1</v>
      </c>
      <c r="O172">
        <v>25</v>
      </c>
      <c r="P172">
        <v>22.4</v>
      </c>
      <c r="Q172">
        <v>17.2</v>
      </c>
      <c r="R172">
        <v>20.399999999999999</v>
      </c>
      <c r="S172">
        <v>25</v>
      </c>
      <c r="T172">
        <v>20.399999999999999</v>
      </c>
      <c r="U172">
        <v>17.2</v>
      </c>
      <c r="V172">
        <v>36.1</v>
      </c>
    </row>
    <row r="173" spans="1:22">
      <c r="A173" s="39">
        <v>45005</v>
      </c>
      <c r="B173" s="152">
        <v>13.3262</v>
      </c>
      <c r="C173">
        <f t="shared" si="8"/>
        <v>34.141525685321461</v>
      </c>
      <c r="D173">
        <f t="shared" si="9"/>
        <v>3.654800335495187</v>
      </c>
      <c r="E173">
        <f t="shared" si="10"/>
        <v>18.898163010408325</v>
      </c>
      <c r="G173" s="39">
        <v>45030</v>
      </c>
      <c r="H173">
        <v>21.604600000000001</v>
      </c>
      <c r="I173">
        <v>29.279499999999999</v>
      </c>
      <c r="L173" s="39">
        <v>44092</v>
      </c>
      <c r="M173">
        <v>28.1</v>
      </c>
      <c r="O173">
        <v>24.6</v>
      </c>
      <c r="P173">
        <v>22.6</v>
      </c>
      <c r="Q173">
        <v>17.2</v>
      </c>
      <c r="R173">
        <v>19.7</v>
      </c>
      <c r="S173">
        <v>24.6</v>
      </c>
      <c r="T173">
        <v>19.7</v>
      </c>
      <c r="U173">
        <v>17.2</v>
      </c>
      <c r="V173">
        <v>35.4</v>
      </c>
    </row>
    <row r="174" spans="1:22">
      <c r="A174" s="39">
        <v>45002</v>
      </c>
      <c r="B174" s="152">
        <v>13.780900000000001</v>
      </c>
      <c r="C174">
        <f t="shared" si="8"/>
        <v>34.141525685321461</v>
      </c>
      <c r="D174">
        <f t="shared" si="9"/>
        <v>3.654800335495187</v>
      </c>
      <c r="E174">
        <f t="shared" si="10"/>
        <v>18.898163010408325</v>
      </c>
      <c r="G174" s="39">
        <v>45029</v>
      </c>
      <c r="H174">
        <v>22.171700000000001</v>
      </c>
      <c r="I174">
        <v>29.525700000000001</v>
      </c>
      <c r="L174" s="39">
        <v>44085</v>
      </c>
      <c r="M174">
        <v>28.3</v>
      </c>
      <c r="O174">
        <v>24.9</v>
      </c>
      <c r="P174">
        <v>23</v>
      </c>
      <c r="Q174">
        <v>17.399999999999999</v>
      </c>
      <c r="R174">
        <v>19.5</v>
      </c>
      <c r="S174">
        <v>24.9</v>
      </c>
      <c r="T174">
        <v>19.5</v>
      </c>
      <c r="U174">
        <v>17.399999999999999</v>
      </c>
      <c r="V174">
        <v>35.799999999999997</v>
      </c>
    </row>
    <row r="175" spans="1:22">
      <c r="A175" s="39">
        <v>45001</v>
      </c>
      <c r="B175" s="152">
        <v>13.780900000000001</v>
      </c>
      <c r="C175">
        <f t="shared" si="8"/>
        <v>34.141525685321461</v>
      </c>
      <c r="D175">
        <f t="shared" si="9"/>
        <v>3.654800335495187</v>
      </c>
      <c r="E175">
        <f t="shared" si="10"/>
        <v>18.898163010408325</v>
      </c>
      <c r="G175" s="39">
        <v>45028</v>
      </c>
      <c r="H175">
        <v>22.009699999999999</v>
      </c>
      <c r="I175">
        <v>29.602399999999999</v>
      </c>
      <c r="L175" s="39">
        <v>44078</v>
      </c>
      <c r="M175">
        <v>28.6</v>
      </c>
      <c r="O175">
        <v>26</v>
      </c>
      <c r="P175">
        <v>23.4</v>
      </c>
      <c r="Q175">
        <v>17.8</v>
      </c>
      <c r="R175">
        <v>19.5</v>
      </c>
      <c r="S175">
        <v>26</v>
      </c>
      <c r="T175">
        <v>19.5</v>
      </c>
      <c r="U175">
        <v>17.8</v>
      </c>
      <c r="V175">
        <v>36.6</v>
      </c>
    </row>
    <row r="176" spans="1:22">
      <c r="A176" s="39">
        <v>45000</v>
      </c>
      <c r="B176" s="152">
        <v>13.9907</v>
      </c>
      <c r="C176">
        <f t="shared" si="8"/>
        <v>34.141525685321461</v>
      </c>
      <c r="D176">
        <f t="shared" si="9"/>
        <v>3.654800335495187</v>
      </c>
      <c r="E176">
        <f t="shared" si="10"/>
        <v>18.898163010408325</v>
      </c>
      <c r="G176" s="39">
        <v>45027</v>
      </c>
      <c r="H176">
        <v>21.982600000000001</v>
      </c>
      <c r="I176">
        <v>29.970300000000002</v>
      </c>
      <c r="L176" s="39">
        <v>44071</v>
      </c>
      <c r="M176">
        <v>28.5</v>
      </c>
      <c r="O176">
        <v>25.5</v>
      </c>
      <c r="P176">
        <v>23.9</v>
      </c>
      <c r="Q176">
        <v>19.8</v>
      </c>
      <c r="R176">
        <v>20</v>
      </c>
      <c r="S176">
        <v>25.5</v>
      </c>
      <c r="T176">
        <v>20</v>
      </c>
      <c r="U176">
        <v>19.8</v>
      </c>
      <c r="V176">
        <v>36.799999999999997</v>
      </c>
    </row>
    <row r="177" spans="1:24">
      <c r="A177" s="39">
        <v>44999</v>
      </c>
      <c r="B177" s="152">
        <v>13.500999999999999</v>
      </c>
      <c r="C177">
        <f t="shared" si="8"/>
        <v>34.141525685321461</v>
      </c>
      <c r="D177">
        <f t="shared" si="9"/>
        <v>3.654800335495187</v>
      </c>
      <c r="E177">
        <f t="shared" si="10"/>
        <v>18.898163010408325</v>
      </c>
      <c r="G177" s="39">
        <v>45026</v>
      </c>
      <c r="H177">
        <v>22.1447</v>
      </c>
      <c r="I177">
        <v>29.899899999999999</v>
      </c>
      <c r="L177" s="39">
        <v>44064</v>
      </c>
      <c r="M177">
        <v>28.2</v>
      </c>
      <c r="O177">
        <v>23.9</v>
      </c>
      <c r="P177">
        <v>23.9</v>
      </c>
      <c r="Q177">
        <v>19.7</v>
      </c>
      <c r="R177">
        <v>20.3</v>
      </c>
      <c r="S177">
        <v>23.9</v>
      </c>
      <c r="T177">
        <v>20.3</v>
      </c>
      <c r="U177">
        <v>19.7</v>
      </c>
      <c r="V177">
        <v>38.200000000000003</v>
      </c>
    </row>
    <row r="178" spans="1:24">
      <c r="A178" s="39">
        <v>44998</v>
      </c>
      <c r="B178" s="152">
        <v>13.780900000000001</v>
      </c>
      <c r="C178">
        <f t="shared" si="8"/>
        <v>34.141525685321461</v>
      </c>
      <c r="D178">
        <f t="shared" si="9"/>
        <v>3.654800335495187</v>
      </c>
      <c r="E178">
        <f t="shared" si="10"/>
        <v>18.898163010408325</v>
      </c>
      <c r="G178" s="39">
        <v>45023</v>
      </c>
      <c r="H178">
        <v>21.064499999999999</v>
      </c>
      <c r="I178">
        <v>29.234200000000001</v>
      </c>
      <c r="L178" s="39">
        <v>44057</v>
      </c>
      <c r="M178">
        <v>29.5</v>
      </c>
      <c r="O178">
        <v>24.1</v>
      </c>
      <c r="P178">
        <v>24</v>
      </c>
      <c r="Q178">
        <v>17.8</v>
      </c>
      <c r="R178">
        <v>18</v>
      </c>
      <c r="S178">
        <v>24.1</v>
      </c>
      <c r="T178">
        <v>18</v>
      </c>
      <c r="U178">
        <v>17.8</v>
      </c>
      <c r="V178">
        <v>37.299999999999997</v>
      </c>
    </row>
    <row r="179" spans="1:24">
      <c r="A179" s="39">
        <v>44995</v>
      </c>
      <c r="B179" s="152">
        <v>13.9033</v>
      </c>
      <c r="C179">
        <f t="shared" si="8"/>
        <v>34.141525685321461</v>
      </c>
      <c r="D179">
        <f t="shared" si="9"/>
        <v>3.654800335495187</v>
      </c>
      <c r="E179">
        <f t="shared" si="10"/>
        <v>18.898163010408325</v>
      </c>
      <c r="G179" s="39">
        <v>45022</v>
      </c>
      <c r="H179">
        <v>21.118500000000001</v>
      </c>
      <c r="I179">
        <v>29.254100000000001</v>
      </c>
      <c r="L179" s="39">
        <v>44050</v>
      </c>
      <c r="M179">
        <v>30.7</v>
      </c>
      <c r="O179">
        <v>23.5</v>
      </c>
      <c r="P179">
        <v>24.4</v>
      </c>
      <c r="Q179">
        <v>18</v>
      </c>
      <c r="R179">
        <v>17.399999999999999</v>
      </c>
      <c r="S179">
        <v>23.5</v>
      </c>
      <c r="T179">
        <v>17.399999999999999</v>
      </c>
      <c r="U179">
        <v>18</v>
      </c>
      <c r="V179">
        <v>37.799999999999997</v>
      </c>
    </row>
    <row r="180" spans="1:24">
      <c r="A180" s="39">
        <v>44994</v>
      </c>
      <c r="B180" s="152">
        <v>13.9907</v>
      </c>
      <c r="C180">
        <f t="shared" si="8"/>
        <v>34.141525685321461</v>
      </c>
      <c r="D180">
        <f t="shared" si="9"/>
        <v>3.654800335495187</v>
      </c>
      <c r="E180">
        <f t="shared" si="10"/>
        <v>18.898163010408325</v>
      </c>
      <c r="G180" s="39">
        <v>45021</v>
      </c>
      <c r="H180">
        <v>21.4695</v>
      </c>
      <c r="I180">
        <v>29.450299999999999</v>
      </c>
      <c r="L180" s="39">
        <v>44043</v>
      </c>
      <c r="M180">
        <v>30.7</v>
      </c>
      <c r="O180">
        <v>23.4</v>
      </c>
      <c r="P180">
        <v>24.5</v>
      </c>
      <c r="Q180">
        <v>17.100000000000001</v>
      </c>
      <c r="R180">
        <v>16.600000000000001</v>
      </c>
      <c r="S180">
        <v>23.4</v>
      </c>
      <c r="T180">
        <v>16.600000000000001</v>
      </c>
      <c r="U180">
        <v>17.100000000000001</v>
      </c>
      <c r="V180">
        <v>36.1</v>
      </c>
    </row>
    <row r="181" spans="1:24">
      <c r="A181" s="39">
        <v>44993</v>
      </c>
      <c r="B181" s="152">
        <v>13.780900000000001</v>
      </c>
      <c r="C181">
        <f t="shared" si="8"/>
        <v>34.141525685321461</v>
      </c>
      <c r="D181">
        <f t="shared" si="9"/>
        <v>3.654800335495187</v>
      </c>
      <c r="E181">
        <f t="shared" si="10"/>
        <v>18.898163010408325</v>
      </c>
      <c r="G181" s="39">
        <v>45020</v>
      </c>
      <c r="H181">
        <v>21.496500000000001</v>
      </c>
      <c r="I181">
        <v>29.511800000000001</v>
      </c>
      <c r="L181" s="39">
        <v>44036</v>
      </c>
      <c r="M181">
        <v>30.1</v>
      </c>
      <c r="O181">
        <v>25</v>
      </c>
      <c r="P181">
        <v>24.7</v>
      </c>
      <c r="Q181">
        <v>20.399999999999999</v>
      </c>
      <c r="R181">
        <v>21</v>
      </c>
      <c r="S181">
        <v>25</v>
      </c>
      <c r="T181">
        <v>21</v>
      </c>
      <c r="U181">
        <v>20.399999999999999</v>
      </c>
      <c r="V181">
        <v>36.1</v>
      </c>
    </row>
    <row r="182" spans="1:24">
      <c r="A182" s="39">
        <v>44992</v>
      </c>
      <c r="B182" s="152">
        <v>13.8858</v>
      </c>
      <c r="C182">
        <f t="shared" si="8"/>
        <v>34.141525685321461</v>
      </c>
      <c r="D182">
        <f t="shared" si="9"/>
        <v>3.654800335495187</v>
      </c>
      <c r="E182">
        <f t="shared" si="10"/>
        <v>18.898163010408325</v>
      </c>
      <c r="G182" s="39">
        <v>45019</v>
      </c>
      <c r="H182">
        <v>21.064499999999999</v>
      </c>
      <c r="I182">
        <v>29.635000000000002</v>
      </c>
      <c r="L182" s="39">
        <v>44029</v>
      </c>
      <c r="M182">
        <v>30</v>
      </c>
      <c r="O182">
        <v>25.1</v>
      </c>
      <c r="P182">
        <v>24.7</v>
      </c>
      <c r="Q182">
        <v>20.2</v>
      </c>
      <c r="R182">
        <v>20.6</v>
      </c>
      <c r="S182">
        <v>25.1</v>
      </c>
      <c r="T182">
        <v>20.6</v>
      </c>
      <c r="U182">
        <v>20.2</v>
      </c>
      <c r="V182">
        <v>35.9</v>
      </c>
    </row>
    <row r="183" spans="1:24">
      <c r="A183" s="39">
        <v>44991</v>
      </c>
      <c r="B183" s="152">
        <v>13.780900000000001</v>
      </c>
      <c r="C183">
        <f t="shared" si="8"/>
        <v>34.141525685321461</v>
      </c>
      <c r="D183">
        <f t="shared" si="9"/>
        <v>3.654800335495187</v>
      </c>
      <c r="E183">
        <f t="shared" si="10"/>
        <v>18.898163010408325</v>
      </c>
      <c r="G183" s="39">
        <v>45016</v>
      </c>
      <c r="H183">
        <v>20.821400000000001</v>
      </c>
      <c r="I183">
        <v>29.373100000000001</v>
      </c>
      <c r="L183" s="39">
        <v>44022</v>
      </c>
      <c r="M183">
        <v>29.5</v>
      </c>
      <c r="O183">
        <v>24.9</v>
      </c>
      <c r="P183">
        <v>25.9</v>
      </c>
      <c r="Q183">
        <v>19.7</v>
      </c>
      <c r="R183">
        <v>20.100000000000001</v>
      </c>
      <c r="S183">
        <v>24.9</v>
      </c>
      <c r="T183">
        <v>20.100000000000001</v>
      </c>
      <c r="U183">
        <v>19.7</v>
      </c>
      <c r="V183">
        <v>36.1</v>
      </c>
    </row>
    <row r="184" spans="1:24">
      <c r="A184" s="39">
        <v>44988</v>
      </c>
      <c r="B184" s="152">
        <v>13.780900000000001</v>
      </c>
      <c r="C184">
        <f t="shared" si="8"/>
        <v>34.141525685321461</v>
      </c>
      <c r="D184">
        <f t="shared" si="9"/>
        <v>3.654800335495187</v>
      </c>
      <c r="E184">
        <f t="shared" si="10"/>
        <v>18.898163010408325</v>
      </c>
      <c r="G184" s="39">
        <v>45015</v>
      </c>
      <c r="H184">
        <v>13.500999999999999</v>
      </c>
      <c r="I184">
        <v>28.757899999999999</v>
      </c>
      <c r="L184" s="39">
        <v>44015</v>
      </c>
      <c r="M184">
        <v>30.2</v>
      </c>
      <c r="N184">
        <v>3.3</v>
      </c>
      <c r="O184">
        <v>22.7</v>
      </c>
      <c r="P184">
        <v>26.2</v>
      </c>
      <c r="Q184">
        <v>18.8</v>
      </c>
      <c r="R184">
        <v>20.2</v>
      </c>
      <c r="S184">
        <v>22.7</v>
      </c>
      <c r="T184">
        <v>20.2</v>
      </c>
      <c r="U184">
        <v>18.8</v>
      </c>
      <c r="V184">
        <v>33.799999999999997</v>
      </c>
    </row>
    <row r="185" spans="1:24">
      <c r="A185" s="39">
        <v>44987</v>
      </c>
      <c r="B185" s="152">
        <v>14.095599999999999</v>
      </c>
      <c r="C185">
        <f t="shared" si="8"/>
        <v>34.141525685321461</v>
      </c>
      <c r="D185">
        <f t="shared" si="9"/>
        <v>3.654800335495187</v>
      </c>
      <c r="E185">
        <f t="shared" si="10"/>
        <v>18.898163010408325</v>
      </c>
      <c r="G185" s="39">
        <v>45014</v>
      </c>
      <c r="H185">
        <v>13.536</v>
      </c>
      <c r="I185">
        <v>28.855399999999999</v>
      </c>
      <c r="L185" s="39">
        <v>44008</v>
      </c>
      <c r="M185">
        <v>27.5</v>
      </c>
      <c r="N185">
        <v>3.3</v>
      </c>
      <c r="O185">
        <v>22.5</v>
      </c>
      <c r="P185">
        <v>24.9</v>
      </c>
      <c r="Q185">
        <v>18.100000000000001</v>
      </c>
      <c r="R185">
        <v>19.8</v>
      </c>
      <c r="S185">
        <v>22.5</v>
      </c>
      <c r="T185">
        <v>19.8</v>
      </c>
      <c r="U185">
        <v>18.100000000000001</v>
      </c>
      <c r="V185">
        <v>32.799999999999997</v>
      </c>
    </row>
    <row r="186" spans="1:24">
      <c r="A186" s="39">
        <v>44986</v>
      </c>
      <c r="B186" s="152">
        <v>14.2705</v>
      </c>
      <c r="C186">
        <f t="shared" si="8"/>
        <v>34.141525685321461</v>
      </c>
      <c r="D186">
        <f t="shared" si="9"/>
        <v>3.654800335495187</v>
      </c>
      <c r="E186">
        <f t="shared" si="10"/>
        <v>18.898163010408325</v>
      </c>
      <c r="G186" s="39">
        <v>45013</v>
      </c>
      <c r="H186">
        <v>13.6759</v>
      </c>
      <c r="I186">
        <v>28.882000000000001</v>
      </c>
      <c r="L186" s="39">
        <v>44001</v>
      </c>
      <c r="M186">
        <v>28.1</v>
      </c>
      <c r="N186">
        <v>3.4</v>
      </c>
      <c r="O186">
        <v>22.8</v>
      </c>
      <c r="P186">
        <v>25</v>
      </c>
      <c r="Q186">
        <v>18.5</v>
      </c>
      <c r="R186">
        <v>20.399999999999999</v>
      </c>
      <c r="S186">
        <v>22.8</v>
      </c>
      <c r="T186">
        <v>20.399999999999999</v>
      </c>
      <c r="U186">
        <v>18.5</v>
      </c>
      <c r="V186">
        <v>33.200000000000003</v>
      </c>
    </row>
    <row r="187" spans="1:24">
      <c r="A187" s="39">
        <v>44985</v>
      </c>
      <c r="B187" s="152">
        <v>13.9907</v>
      </c>
      <c r="C187">
        <f t="shared" si="8"/>
        <v>34.141525685321461</v>
      </c>
      <c r="D187">
        <f t="shared" si="9"/>
        <v>3.654800335495187</v>
      </c>
      <c r="E187">
        <f t="shared" si="10"/>
        <v>18.898163010408325</v>
      </c>
      <c r="G187" s="39">
        <v>45012</v>
      </c>
      <c r="H187">
        <v>13.3262</v>
      </c>
      <c r="I187">
        <v>28.639199999999999</v>
      </c>
      <c r="L187" s="39">
        <v>43994</v>
      </c>
      <c r="M187">
        <v>28.7</v>
      </c>
      <c r="N187">
        <v>3.1</v>
      </c>
      <c r="O187">
        <v>22.4</v>
      </c>
      <c r="P187">
        <v>26.5</v>
      </c>
      <c r="Q187">
        <v>17</v>
      </c>
      <c r="R187">
        <v>19.8</v>
      </c>
      <c r="S187">
        <v>22.4</v>
      </c>
      <c r="T187">
        <v>19.8</v>
      </c>
      <c r="U187">
        <v>17</v>
      </c>
      <c r="V187">
        <v>33.1</v>
      </c>
    </row>
    <row r="188" spans="1:24">
      <c r="A188" s="39">
        <v>44984</v>
      </c>
      <c r="B188" s="152">
        <v>14.1656</v>
      </c>
      <c r="C188">
        <f t="shared" si="8"/>
        <v>34.141525685321461</v>
      </c>
      <c r="D188">
        <f t="shared" si="9"/>
        <v>3.654800335495187</v>
      </c>
      <c r="E188">
        <f t="shared" si="10"/>
        <v>18.898163010408325</v>
      </c>
      <c r="G188" s="39">
        <v>45009</v>
      </c>
      <c r="H188">
        <v>13.2737</v>
      </c>
      <c r="I188">
        <v>28.602799999999998</v>
      </c>
      <c r="L188" s="39">
        <v>43987</v>
      </c>
      <c r="M188">
        <v>29.6</v>
      </c>
      <c r="N188">
        <v>3.4</v>
      </c>
      <c r="O188">
        <v>23.1</v>
      </c>
      <c r="P188">
        <v>27.9</v>
      </c>
      <c r="Q188">
        <v>17.7</v>
      </c>
      <c r="R188">
        <v>20.6</v>
      </c>
      <c r="S188">
        <v>23.1</v>
      </c>
      <c r="T188">
        <v>20.6</v>
      </c>
      <c r="U188">
        <v>17.7</v>
      </c>
      <c r="V188">
        <v>34.5</v>
      </c>
    </row>
    <row r="189" spans="1:24">
      <c r="A189" s="39">
        <v>44981</v>
      </c>
      <c r="B189" s="152">
        <v>14.725199999999999</v>
      </c>
      <c r="C189">
        <f t="shared" si="8"/>
        <v>34.141525685321461</v>
      </c>
      <c r="D189">
        <f t="shared" si="9"/>
        <v>3.654800335495187</v>
      </c>
      <c r="E189">
        <f t="shared" si="10"/>
        <v>18.898163010408325</v>
      </c>
      <c r="G189" s="39">
        <v>45008</v>
      </c>
      <c r="H189">
        <v>13.2212</v>
      </c>
      <c r="I189">
        <v>28.451000000000001</v>
      </c>
      <c r="L189" s="39">
        <v>43980</v>
      </c>
      <c r="M189">
        <v>28.7</v>
      </c>
      <c r="N189">
        <v>3</v>
      </c>
      <c r="O189">
        <v>23.6</v>
      </c>
      <c r="P189">
        <v>28.8</v>
      </c>
      <c r="Q189">
        <v>18.3</v>
      </c>
      <c r="R189">
        <v>20.7</v>
      </c>
      <c r="S189">
        <v>23.6</v>
      </c>
      <c r="T189">
        <v>20.7</v>
      </c>
      <c r="U189">
        <v>18.3</v>
      </c>
      <c r="V189">
        <v>34.1</v>
      </c>
      <c r="X189">
        <v>71.7</v>
      </c>
    </row>
    <row r="190" spans="1:24">
      <c r="A190" s="39">
        <v>44980</v>
      </c>
      <c r="B190" s="152">
        <v>15.04</v>
      </c>
      <c r="C190">
        <f t="shared" si="8"/>
        <v>34.141525685321461</v>
      </c>
      <c r="D190">
        <f t="shared" si="9"/>
        <v>3.654800335495187</v>
      </c>
      <c r="E190">
        <f t="shared" si="10"/>
        <v>18.898163010408325</v>
      </c>
      <c r="G190" s="39">
        <v>45007</v>
      </c>
      <c r="H190">
        <v>13.2737</v>
      </c>
      <c r="I190">
        <v>28.45</v>
      </c>
      <c r="L190" s="39">
        <v>43973</v>
      </c>
      <c r="M190">
        <v>28</v>
      </c>
      <c r="N190">
        <v>2.8</v>
      </c>
      <c r="O190">
        <v>23.6</v>
      </c>
      <c r="P190">
        <v>28.4</v>
      </c>
      <c r="Q190">
        <v>18.899999999999999</v>
      </c>
      <c r="R190">
        <v>19.899999999999999</v>
      </c>
      <c r="S190">
        <v>23.6</v>
      </c>
      <c r="T190">
        <v>19.899999999999999</v>
      </c>
      <c r="U190">
        <v>18.899999999999999</v>
      </c>
      <c r="V190">
        <v>33.5</v>
      </c>
      <c r="X190">
        <v>68.5</v>
      </c>
    </row>
    <row r="191" spans="1:24">
      <c r="A191" s="39">
        <v>44979</v>
      </c>
      <c r="B191" s="152">
        <v>15.04</v>
      </c>
      <c r="C191">
        <f t="shared" si="8"/>
        <v>34.141525685321461</v>
      </c>
      <c r="D191">
        <f t="shared" si="9"/>
        <v>3.654800335495187</v>
      </c>
      <c r="E191">
        <f t="shared" si="10"/>
        <v>18.898163010408325</v>
      </c>
      <c r="G191" s="39">
        <v>45006</v>
      </c>
      <c r="H191">
        <v>13.466100000000001</v>
      </c>
      <c r="I191">
        <v>28.665600000000001</v>
      </c>
      <c r="L191" s="39">
        <v>43966</v>
      </c>
      <c r="M191">
        <v>28.3</v>
      </c>
      <c r="N191">
        <v>2.6</v>
      </c>
      <c r="O191">
        <v>23.9</v>
      </c>
      <c r="P191">
        <v>28.1</v>
      </c>
      <c r="Q191">
        <v>14.5</v>
      </c>
      <c r="R191">
        <v>20.399999999999999</v>
      </c>
      <c r="S191">
        <v>23.9</v>
      </c>
      <c r="T191">
        <v>20.399999999999999</v>
      </c>
      <c r="U191">
        <v>14.5</v>
      </c>
      <c r="V191">
        <v>33.1</v>
      </c>
      <c r="X191">
        <v>66.3</v>
      </c>
    </row>
    <row r="192" spans="1:24">
      <c r="A192" s="39">
        <v>44978</v>
      </c>
      <c r="B192" s="152">
        <v>15.5647</v>
      </c>
      <c r="C192">
        <f t="shared" si="8"/>
        <v>34.141525685321461</v>
      </c>
      <c r="D192">
        <f t="shared" si="9"/>
        <v>3.654800335495187</v>
      </c>
      <c r="E192">
        <f t="shared" si="10"/>
        <v>18.898163010408325</v>
      </c>
      <c r="G192" s="39">
        <v>45005</v>
      </c>
      <c r="H192">
        <v>13.3262</v>
      </c>
      <c r="I192">
        <v>28.558</v>
      </c>
      <c r="L192" s="39">
        <v>43959</v>
      </c>
      <c r="M192">
        <v>29.3</v>
      </c>
      <c r="N192">
        <v>2.6</v>
      </c>
      <c r="O192">
        <v>23.4</v>
      </c>
      <c r="P192">
        <v>26.5</v>
      </c>
      <c r="Q192">
        <v>13.9</v>
      </c>
      <c r="R192">
        <v>19.5</v>
      </c>
      <c r="S192">
        <v>23.4</v>
      </c>
      <c r="T192">
        <v>19.5</v>
      </c>
      <c r="U192">
        <v>13.9</v>
      </c>
      <c r="V192">
        <v>33.9</v>
      </c>
      <c r="X192">
        <v>65.2</v>
      </c>
    </row>
    <row r="193" spans="1:24">
      <c r="A193" s="39">
        <v>44977</v>
      </c>
      <c r="B193" s="152">
        <v>15.4947</v>
      </c>
      <c r="C193">
        <f t="shared" si="8"/>
        <v>34.141525685321461</v>
      </c>
      <c r="D193">
        <f t="shared" si="9"/>
        <v>3.654800335495187</v>
      </c>
      <c r="E193">
        <f t="shared" si="10"/>
        <v>18.898163010408325</v>
      </c>
      <c r="G193" s="39">
        <v>45002</v>
      </c>
      <c r="H193">
        <v>13.780900000000001</v>
      </c>
      <c r="I193">
        <v>28.278199999999998</v>
      </c>
      <c r="L193" s="39">
        <v>43952</v>
      </c>
      <c r="M193">
        <v>28.9</v>
      </c>
      <c r="N193">
        <v>2.6</v>
      </c>
      <c r="O193">
        <v>23.3</v>
      </c>
      <c r="P193">
        <v>27.2</v>
      </c>
      <c r="Q193">
        <v>13.3</v>
      </c>
      <c r="R193">
        <v>18.2</v>
      </c>
      <c r="S193">
        <v>23.3</v>
      </c>
      <c r="T193">
        <v>18.2</v>
      </c>
      <c r="U193">
        <v>13.3</v>
      </c>
      <c r="V193">
        <v>33.4</v>
      </c>
      <c r="X193">
        <v>63.4</v>
      </c>
    </row>
    <row r="194" spans="1:24">
      <c r="A194" s="39">
        <v>44974</v>
      </c>
      <c r="B194" s="152">
        <v>15.1275</v>
      </c>
      <c r="C194">
        <f t="shared" si="8"/>
        <v>34.141525685321461</v>
      </c>
      <c r="D194">
        <f t="shared" si="9"/>
        <v>3.654800335495187</v>
      </c>
      <c r="E194">
        <f t="shared" si="10"/>
        <v>18.898163010408325</v>
      </c>
      <c r="G194" s="39">
        <v>45001</v>
      </c>
      <c r="H194">
        <v>13.780900000000001</v>
      </c>
      <c r="I194">
        <v>28.296199999999999</v>
      </c>
      <c r="L194" s="39">
        <v>43945</v>
      </c>
      <c r="M194">
        <v>26.5</v>
      </c>
      <c r="N194">
        <v>2.6</v>
      </c>
      <c r="O194">
        <v>24.8</v>
      </c>
      <c r="P194">
        <v>25.9</v>
      </c>
      <c r="Q194">
        <v>17.5</v>
      </c>
      <c r="R194">
        <v>15.5</v>
      </c>
      <c r="S194">
        <v>24.8</v>
      </c>
      <c r="T194">
        <v>15.5</v>
      </c>
      <c r="U194">
        <v>17.5</v>
      </c>
      <c r="V194">
        <v>34.299999999999997</v>
      </c>
      <c r="X194">
        <v>64.2</v>
      </c>
    </row>
    <row r="195" spans="1:24">
      <c r="A195" s="39">
        <v>44973</v>
      </c>
      <c r="B195" s="152">
        <v>15.145</v>
      </c>
      <c r="C195">
        <f t="shared" si="8"/>
        <v>34.141525685321461</v>
      </c>
      <c r="D195">
        <f t="shared" si="9"/>
        <v>3.654800335495187</v>
      </c>
      <c r="E195">
        <f t="shared" si="10"/>
        <v>18.898163010408325</v>
      </c>
      <c r="G195" s="39">
        <v>45000</v>
      </c>
      <c r="H195">
        <v>13.9907</v>
      </c>
      <c r="I195">
        <v>28.407299999999999</v>
      </c>
      <c r="L195" s="39">
        <v>43938</v>
      </c>
      <c r="M195">
        <v>26.1</v>
      </c>
      <c r="N195">
        <v>3.1</v>
      </c>
      <c r="O195">
        <v>25.3</v>
      </c>
      <c r="P195">
        <v>26.5</v>
      </c>
      <c r="Q195">
        <v>17.600000000000001</v>
      </c>
      <c r="R195">
        <v>16.3</v>
      </c>
      <c r="S195">
        <v>25.3</v>
      </c>
      <c r="T195">
        <v>16.3</v>
      </c>
      <c r="U195">
        <v>17.600000000000001</v>
      </c>
      <c r="V195">
        <v>35.1</v>
      </c>
      <c r="X195">
        <v>66.2</v>
      </c>
    </row>
    <row r="196" spans="1:24">
      <c r="A196" s="39">
        <v>44972</v>
      </c>
      <c r="B196" s="152">
        <v>14.9526</v>
      </c>
      <c r="C196">
        <f t="shared" ref="C196:C259" si="11">AVERAGE($B$3:$B$1251)+$C$1</f>
        <v>34.141525685321461</v>
      </c>
      <c r="D196">
        <f t="shared" ref="D196:D259" si="12">AVERAGE($B$3:$B$1251)-$C$1</f>
        <v>3.654800335495187</v>
      </c>
      <c r="E196">
        <f t="shared" ref="E196:E259" si="13">AVERAGE($B$3:$B$1251)</f>
        <v>18.898163010408325</v>
      </c>
      <c r="G196" s="39">
        <v>44999</v>
      </c>
      <c r="H196">
        <v>13.500999999999999</v>
      </c>
      <c r="I196">
        <v>28.165099999999999</v>
      </c>
      <c r="L196" s="39">
        <v>43931</v>
      </c>
      <c r="M196">
        <v>25.7</v>
      </c>
      <c r="N196">
        <v>2.6</v>
      </c>
      <c r="O196">
        <v>23.3</v>
      </c>
      <c r="P196">
        <v>25.8</v>
      </c>
      <c r="Q196">
        <v>16.3</v>
      </c>
      <c r="R196">
        <v>15</v>
      </c>
      <c r="S196">
        <v>23.3</v>
      </c>
      <c r="T196">
        <v>15</v>
      </c>
      <c r="U196">
        <v>16.3</v>
      </c>
      <c r="V196">
        <v>33.1</v>
      </c>
      <c r="X196">
        <v>63.4</v>
      </c>
    </row>
    <row r="197" spans="1:24">
      <c r="A197" s="39">
        <v>44971</v>
      </c>
      <c r="B197" s="152">
        <v>14.8651</v>
      </c>
      <c r="C197">
        <f t="shared" si="11"/>
        <v>34.141525685321461</v>
      </c>
      <c r="D197">
        <f t="shared" si="12"/>
        <v>3.654800335495187</v>
      </c>
      <c r="E197">
        <f t="shared" si="13"/>
        <v>18.898163010408325</v>
      </c>
      <c r="G197" s="39">
        <v>44998</v>
      </c>
      <c r="H197">
        <v>13.780900000000001</v>
      </c>
      <c r="I197">
        <v>28.253399999999999</v>
      </c>
      <c r="L197" s="39">
        <v>43924</v>
      </c>
      <c r="M197">
        <v>24.3</v>
      </c>
      <c r="N197">
        <v>2.2999999999999998</v>
      </c>
      <c r="O197">
        <v>22.9</v>
      </c>
      <c r="P197">
        <v>24.8</v>
      </c>
      <c r="Q197">
        <v>16.899999999999999</v>
      </c>
      <c r="R197">
        <v>13.3</v>
      </c>
      <c r="S197">
        <v>22.9</v>
      </c>
      <c r="T197">
        <v>13.3</v>
      </c>
      <c r="U197">
        <v>16.899999999999999</v>
      </c>
      <c r="V197">
        <v>31.9</v>
      </c>
      <c r="X197">
        <v>61.3</v>
      </c>
    </row>
    <row r="198" spans="1:24">
      <c r="A198" s="39">
        <v>44970</v>
      </c>
      <c r="B198" s="152">
        <v>14.8651</v>
      </c>
      <c r="C198">
        <f t="shared" si="11"/>
        <v>34.141525685321461</v>
      </c>
      <c r="D198">
        <f t="shared" si="12"/>
        <v>3.654800335495187</v>
      </c>
      <c r="E198">
        <f t="shared" si="13"/>
        <v>18.898163010408325</v>
      </c>
      <c r="G198" s="39">
        <v>44995</v>
      </c>
      <c r="H198">
        <v>13.9033</v>
      </c>
      <c r="I198">
        <v>28.204499999999999</v>
      </c>
      <c r="L198" s="39">
        <v>43917</v>
      </c>
      <c r="M198">
        <v>24</v>
      </c>
      <c r="N198">
        <v>2.4</v>
      </c>
      <c r="O198">
        <v>21</v>
      </c>
      <c r="P198">
        <v>25.3</v>
      </c>
      <c r="Q198">
        <v>16</v>
      </c>
      <c r="R198">
        <v>13.6</v>
      </c>
      <c r="S198">
        <v>21</v>
      </c>
      <c r="T198">
        <v>13.6</v>
      </c>
      <c r="U198">
        <v>16</v>
      </c>
      <c r="V198">
        <v>31.4</v>
      </c>
      <c r="X198">
        <v>72.2</v>
      </c>
    </row>
    <row r="199" spans="1:24">
      <c r="A199" s="39">
        <v>44967</v>
      </c>
      <c r="B199" s="152">
        <v>14.725199999999999</v>
      </c>
      <c r="C199">
        <f t="shared" si="11"/>
        <v>34.141525685321461</v>
      </c>
      <c r="D199">
        <f t="shared" si="12"/>
        <v>3.654800335495187</v>
      </c>
      <c r="E199">
        <f t="shared" si="13"/>
        <v>18.898163010408325</v>
      </c>
      <c r="G199" s="39">
        <v>44994</v>
      </c>
      <c r="H199">
        <v>13.9907</v>
      </c>
      <c r="I199">
        <v>28.507300000000001</v>
      </c>
      <c r="L199" s="39">
        <v>43910</v>
      </c>
      <c r="M199">
        <v>23.6</v>
      </c>
      <c r="N199">
        <v>2.7</v>
      </c>
      <c r="O199">
        <v>21.8</v>
      </c>
      <c r="P199">
        <v>24.8</v>
      </c>
      <c r="Q199">
        <v>16.100000000000001</v>
      </c>
      <c r="R199">
        <v>14</v>
      </c>
      <c r="S199">
        <v>21.8</v>
      </c>
      <c r="T199">
        <v>14</v>
      </c>
      <c r="U199">
        <v>16.100000000000001</v>
      </c>
      <c r="V199">
        <v>32.1</v>
      </c>
      <c r="X199">
        <v>69</v>
      </c>
    </row>
    <row r="200" spans="1:24">
      <c r="A200" s="39">
        <v>44966</v>
      </c>
      <c r="B200" s="152">
        <v>15.389799999999999</v>
      </c>
      <c r="C200">
        <f t="shared" si="11"/>
        <v>34.141525685321461</v>
      </c>
      <c r="D200">
        <f t="shared" si="12"/>
        <v>3.654800335495187</v>
      </c>
      <c r="E200">
        <f t="shared" si="13"/>
        <v>18.898163010408325</v>
      </c>
      <c r="G200" s="39">
        <v>44993</v>
      </c>
      <c r="H200">
        <v>13.780900000000001</v>
      </c>
      <c r="I200">
        <v>28.607800000000001</v>
      </c>
      <c r="L200" s="39">
        <v>43903</v>
      </c>
      <c r="M200">
        <v>24.6</v>
      </c>
      <c r="N200">
        <v>3.7</v>
      </c>
      <c r="O200">
        <v>21.7</v>
      </c>
      <c r="P200">
        <v>25.3</v>
      </c>
      <c r="Q200">
        <v>15.5</v>
      </c>
      <c r="R200">
        <v>14.5</v>
      </c>
      <c r="S200">
        <v>21.7</v>
      </c>
      <c r="T200">
        <v>14.5</v>
      </c>
      <c r="U200">
        <v>15.5</v>
      </c>
      <c r="V200">
        <v>33.4</v>
      </c>
      <c r="X200">
        <v>56.5</v>
      </c>
    </row>
    <row r="201" spans="1:24">
      <c r="A201" s="39">
        <v>44965</v>
      </c>
      <c r="B201" s="152">
        <v>15.5647</v>
      </c>
      <c r="C201">
        <f t="shared" si="11"/>
        <v>34.141525685321461</v>
      </c>
      <c r="D201">
        <f t="shared" si="12"/>
        <v>3.654800335495187</v>
      </c>
      <c r="E201">
        <f t="shared" si="13"/>
        <v>18.898163010408325</v>
      </c>
      <c r="G201" s="39">
        <v>44992</v>
      </c>
      <c r="H201">
        <v>13.8858</v>
      </c>
      <c r="I201">
        <v>28.565300000000001</v>
      </c>
      <c r="L201" s="39">
        <v>43896</v>
      </c>
      <c r="M201">
        <v>27.6</v>
      </c>
      <c r="N201">
        <v>4.9000000000000004</v>
      </c>
      <c r="O201">
        <v>22.3</v>
      </c>
      <c r="P201">
        <v>27.4</v>
      </c>
      <c r="Q201">
        <v>15.5</v>
      </c>
      <c r="R201">
        <v>15.2</v>
      </c>
      <c r="S201">
        <v>22.3</v>
      </c>
      <c r="T201">
        <v>15.2</v>
      </c>
      <c r="U201">
        <v>15.5</v>
      </c>
      <c r="V201">
        <v>34.4</v>
      </c>
      <c r="X201">
        <v>59.5</v>
      </c>
    </row>
    <row r="202" spans="1:24">
      <c r="A202" s="39">
        <v>44964</v>
      </c>
      <c r="B202" s="152">
        <v>15.984400000000001</v>
      </c>
      <c r="C202">
        <f t="shared" si="11"/>
        <v>34.141525685321461</v>
      </c>
      <c r="D202">
        <f t="shared" si="12"/>
        <v>3.654800335495187</v>
      </c>
      <c r="E202">
        <f t="shared" si="13"/>
        <v>18.898163010408325</v>
      </c>
      <c r="G202" s="39">
        <v>44991</v>
      </c>
      <c r="H202">
        <v>13.780900000000001</v>
      </c>
      <c r="I202">
        <v>28.664100000000001</v>
      </c>
      <c r="L202" s="39">
        <v>43889</v>
      </c>
      <c r="M202">
        <v>26.2</v>
      </c>
      <c r="N202">
        <v>5.4</v>
      </c>
      <c r="O202">
        <v>20.5</v>
      </c>
      <c r="P202">
        <v>27.4</v>
      </c>
      <c r="Q202">
        <v>12.5</v>
      </c>
      <c r="R202">
        <v>14.8</v>
      </c>
      <c r="S202">
        <v>20.5</v>
      </c>
      <c r="T202">
        <v>14.8</v>
      </c>
      <c r="U202">
        <v>12.5</v>
      </c>
      <c r="V202">
        <v>31.1</v>
      </c>
      <c r="X202">
        <v>60.4</v>
      </c>
    </row>
    <row r="203" spans="1:24">
      <c r="A203" s="39">
        <v>44963</v>
      </c>
      <c r="B203" s="152">
        <v>16.491599999999998</v>
      </c>
      <c r="C203">
        <f t="shared" si="11"/>
        <v>34.141525685321461</v>
      </c>
      <c r="D203">
        <f t="shared" si="12"/>
        <v>3.654800335495187</v>
      </c>
      <c r="E203">
        <f t="shared" si="13"/>
        <v>18.898163010408325</v>
      </c>
      <c r="G203" s="39">
        <v>44988</v>
      </c>
      <c r="H203">
        <v>13.780900000000001</v>
      </c>
      <c r="I203">
        <v>28.657</v>
      </c>
      <c r="L203" s="39">
        <v>43882</v>
      </c>
      <c r="M203">
        <v>28.2</v>
      </c>
      <c r="N203">
        <v>6</v>
      </c>
      <c r="O203">
        <v>22.6</v>
      </c>
      <c r="P203">
        <v>28.3</v>
      </c>
      <c r="Q203">
        <v>13.9</v>
      </c>
      <c r="R203">
        <v>16.8</v>
      </c>
      <c r="S203">
        <v>22.6</v>
      </c>
      <c r="T203">
        <v>16.8</v>
      </c>
      <c r="U203">
        <v>13.9</v>
      </c>
      <c r="V203">
        <v>35.6</v>
      </c>
      <c r="X203">
        <v>110</v>
      </c>
    </row>
    <row r="204" spans="1:24">
      <c r="A204" s="39">
        <v>44960</v>
      </c>
      <c r="B204" s="152">
        <v>16.718900000000001</v>
      </c>
      <c r="C204">
        <f t="shared" si="11"/>
        <v>34.141525685321461</v>
      </c>
      <c r="D204">
        <f t="shared" si="12"/>
        <v>3.654800335495187</v>
      </c>
      <c r="E204">
        <f t="shared" si="13"/>
        <v>18.898163010408325</v>
      </c>
      <c r="G204" s="39">
        <v>44987</v>
      </c>
      <c r="H204">
        <v>14.095599999999999</v>
      </c>
      <c r="I204">
        <v>28.8567</v>
      </c>
      <c r="L204" s="39">
        <v>43875</v>
      </c>
      <c r="M204">
        <v>27.8</v>
      </c>
      <c r="N204">
        <v>5.7</v>
      </c>
      <c r="O204">
        <v>22.4</v>
      </c>
      <c r="P204">
        <v>28.7</v>
      </c>
      <c r="Q204">
        <v>14.2</v>
      </c>
      <c r="R204">
        <v>16.7</v>
      </c>
      <c r="S204">
        <v>22.4</v>
      </c>
      <c r="T204">
        <v>16.7</v>
      </c>
      <c r="U204">
        <v>14.2</v>
      </c>
      <c r="V204">
        <v>35.200000000000003</v>
      </c>
      <c r="X204">
        <v>110.8</v>
      </c>
    </row>
    <row r="205" spans="1:24">
      <c r="A205" s="39">
        <v>44959</v>
      </c>
      <c r="B205" s="152">
        <v>17.453399999999998</v>
      </c>
      <c r="C205">
        <f t="shared" si="11"/>
        <v>34.141525685321461</v>
      </c>
      <c r="D205">
        <f t="shared" si="12"/>
        <v>3.654800335495187</v>
      </c>
      <c r="E205">
        <f t="shared" si="13"/>
        <v>18.898163010408325</v>
      </c>
      <c r="G205" s="39">
        <v>44986</v>
      </c>
      <c r="H205">
        <v>14.2705</v>
      </c>
      <c r="I205">
        <v>28.562999999999999</v>
      </c>
      <c r="L205" s="39">
        <v>43868</v>
      </c>
      <c r="M205">
        <v>28.6</v>
      </c>
      <c r="N205">
        <v>5.6</v>
      </c>
      <c r="O205">
        <v>22.2</v>
      </c>
      <c r="P205">
        <v>28.3</v>
      </c>
      <c r="Q205">
        <v>13.8</v>
      </c>
      <c r="R205">
        <v>16.5</v>
      </c>
      <c r="S205">
        <v>22.2</v>
      </c>
      <c r="T205">
        <v>16.5</v>
      </c>
      <c r="U205">
        <v>13.8</v>
      </c>
      <c r="V205">
        <v>35</v>
      </c>
      <c r="X205">
        <v>112.3</v>
      </c>
    </row>
    <row r="206" spans="1:24">
      <c r="A206" s="39">
        <v>44958</v>
      </c>
      <c r="B206" s="152">
        <v>16.4741</v>
      </c>
      <c r="C206">
        <f t="shared" si="11"/>
        <v>34.141525685321461</v>
      </c>
      <c r="D206">
        <f t="shared" si="12"/>
        <v>3.654800335495187</v>
      </c>
      <c r="E206">
        <f t="shared" si="13"/>
        <v>18.898163010408325</v>
      </c>
      <c r="G206" s="39">
        <v>44985</v>
      </c>
      <c r="H206">
        <v>13.9907</v>
      </c>
      <c r="I206">
        <v>28.878399999999999</v>
      </c>
      <c r="L206" s="39">
        <v>43861</v>
      </c>
      <c r="M206">
        <v>28.2</v>
      </c>
      <c r="N206">
        <v>5.0999999999999996</v>
      </c>
      <c r="O206">
        <v>21.8</v>
      </c>
      <c r="P206">
        <v>28.3</v>
      </c>
      <c r="Q206">
        <v>13.3</v>
      </c>
      <c r="R206">
        <v>15.8</v>
      </c>
      <c r="S206">
        <v>21.8</v>
      </c>
      <c r="T206">
        <v>15.8</v>
      </c>
      <c r="U206">
        <v>13.3</v>
      </c>
      <c r="V206">
        <v>34</v>
      </c>
      <c r="X206">
        <v>108</v>
      </c>
    </row>
    <row r="207" spans="1:24">
      <c r="A207" s="39">
        <v>44957</v>
      </c>
      <c r="B207" s="152">
        <v>16.264199999999999</v>
      </c>
      <c r="C207">
        <f t="shared" si="11"/>
        <v>34.141525685321461</v>
      </c>
      <c r="D207">
        <f t="shared" si="12"/>
        <v>3.654800335495187</v>
      </c>
      <c r="E207">
        <f t="shared" si="13"/>
        <v>18.898163010408325</v>
      </c>
      <c r="G207" s="39">
        <v>44984</v>
      </c>
      <c r="H207">
        <v>14.1656</v>
      </c>
      <c r="I207">
        <v>28.9937</v>
      </c>
      <c r="L207" s="39">
        <v>43854</v>
      </c>
      <c r="M207">
        <v>29.3</v>
      </c>
      <c r="N207">
        <v>6.4</v>
      </c>
      <c r="O207">
        <v>21.6</v>
      </c>
      <c r="P207">
        <v>30.3</v>
      </c>
      <c r="Q207">
        <v>13.5</v>
      </c>
      <c r="R207">
        <v>16.8</v>
      </c>
      <c r="S207">
        <v>21.6</v>
      </c>
      <c r="T207">
        <v>16.8</v>
      </c>
      <c r="U207">
        <v>13.5</v>
      </c>
      <c r="V207">
        <v>34.6</v>
      </c>
      <c r="X207">
        <v>109.3</v>
      </c>
    </row>
    <row r="208" spans="1:24">
      <c r="A208" s="39">
        <v>44956</v>
      </c>
      <c r="B208" s="152">
        <v>16.159300000000002</v>
      </c>
      <c r="C208">
        <f t="shared" si="11"/>
        <v>34.141525685321461</v>
      </c>
      <c r="D208">
        <f t="shared" si="12"/>
        <v>3.654800335495187</v>
      </c>
      <c r="E208">
        <f t="shared" si="13"/>
        <v>18.898163010408325</v>
      </c>
      <c r="G208" s="39">
        <v>44981</v>
      </c>
      <c r="H208">
        <v>14.725199999999999</v>
      </c>
      <c r="I208">
        <v>29.0305</v>
      </c>
      <c r="L208" s="39">
        <v>43847</v>
      </c>
      <c r="M208">
        <v>29.6</v>
      </c>
      <c r="N208">
        <v>7.3</v>
      </c>
      <c r="O208">
        <v>21.7</v>
      </c>
      <c r="P208">
        <v>30.1</v>
      </c>
      <c r="Q208">
        <v>14.3</v>
      </c>
      <c r="R208">
        <v>17.2</v>
      </c>
      <c r="S208">
        <v>21.7</v>
      </c>
      <c r="T208">
        <v>17.2</v>
      </c>
      <c r="U208">
        <v>14.3</v>
      </c>
      <c r="V208">
        <v>33.9</v>
      </c>
      <c r="X208">
        <v>112.3</v>
      </c>
    </row>
    <row r="209" spans="1:24">
      <c r="A209" s="39">
        <v>44953</v>
      </c>
      <c r="B209" s="152">
        <v>16.054300000000001</v>
      </c>
      <c r="C209">
        <f t="shared" si="11"/>
        <v>34.141525685321461</v>
      </c>
      <c r="D209">
        <f t="shared" si="12"/>
        <v>3.654800335495187</v>
      </c>
      <c r="E209">
        <f t="shared" si="13"/>
        <v>18.898163010408325</v>
      </c>
      <c r="G209" s="39">
        <v>44980</v>
      </c>
      <c r="H209">
        <v>15.04</v>
      </c>
      <c r="I209">
        <v>29.328800000000001</v>
      </c>
      <c r="L209" s="39">
        <v>43840</v>
      </c>
      <c r="M209">
        <v>29.6</v>
      </c>
      <c r="N209">
        <v>7.1</v>
      </c>
      <c r="O209">
        <v>22</v>
      </c>
      <c r="P209">
        <v>30.1</v>
      </c>
      <c r="Q209">
        <v>14.4</v>
      </c>
      <c r="R209">
        <v>18.3</v>
      </c>
      <c r="S209">
        <v>22</v>
      </c>
      <c r="T209">
        <v>18.3</v>
      </c>
      <c r="U209">
        <v>14.4</v>
      </c>
      <c r="V209">
        <v>33.1</v>
      </c>
      <c r="X209">
        <v>109.2</v>
      </c>
    </row>
    <row r="210" spans="1:24">
      <c r="A210" s="39">
        <v>44945</v>
      </c>
      <c r="B210" s="152">
        <v>15.949400000000001</v>
      </c>
      <c r="C210">
        <f t="shared" si="11"/>
        <v>34.141525685321461</v>
      </c>
      <c r="D210">
        <f t="shared" si="12"/>
        <v>3.654800335495187</v>
      </c>
      <c r="E210">
        <f t="shared" si="13"/>
        <v>18.898163010408325</v>
      </c>
      <c r="G210" s="39">
        <v>44979</v>
      </c>
      <c r="H210">
        <v>15.04</v>
      </c>
      <c r="I210">
        <v>29.682700000000001</v>
      </c>
      <c r="L210" s="39">
        <v>43833</v>
      </c>
      <c r="M210">
        <v>28.6</v>
      </c>
      <c r="N210">
        <v>7</v>
      </c>
      <c r="O210">
        <v>22.3</v>
      </c>
      <c r="P210">
        <v>30.6</v>
      </c>
      <c r="Q210">
        <v>14.1</v>
      </c>
      <c r="R210">
        <v>18.3</v>
      </c>
      <c r="S210">
        <v>22.3</v>
      </c>
      <c r="T210">
        <v>18.3</v>
      </c>
      <c r="U210">
        <v>14.1</v>
      </c>
      <c r="V210">
        <v>32.5</v>
      </c>
      <c r="X210">
        <v>108.1</v>
      </c>
    </row>
    <row r="211" spans="1:24">
      <c r="A211" s="39">
        <v>44944</v>
      </c>
      <c r="B211" s="152">
        <v>15.722099999999999</v>
      </c>
      <c r="C211">
        <f t="shared" si="11"/>
        <v>34.141525685321461</v>
      </c>
      <c r="D211">
        <f t="shared" si="12"/>
        <v>3.654800335495187</v>
      </c>
      <c r="E211">
        <f t="shared" si="13"/>
        <v>18.898163010408325</v>
      </c>
      <c r="G211" s="39">
        <v>44978</v>
      </c>
      <c r="H211">
        <v>15.5647</v>
      </c>
      <c r="I211">
        <v>29.847899999999999</v>
      </c>
      <c r="L211" s="39">
        <v>43826</v>
      </c>
      <c r="M211">
        <v>30.6</v>
      </c>
      <c r="N211">
        <v>12.7</v>
      </c>
      <c r="O211">
        <v>22.6</v>
      </c>
      <c r="P211">
        <v>33.700000000000003</v>
      </c>
      <c r="Q211">
        <v>14.3</v>
      </c>
      <c r="R211">
        <v>19</v>
      </c>
      <c r="S211">
        <v>22.6</v>
      </c>
      <c r="T211">
        <v>19</v>
      </c>
      <c r="U211">
        <v>14.3</v>
      </c>
      <c r="V211">
        <v>32.799999999999997</v>
      </c>
      <c r="X211">
        <v>109</v>
      </c>
    </row>
    <row r="212" spans="1:24">
      <c r="A212" s="39">
        <v>44943</v>
      </c>
      <c r="B212" s="152">
        <v>15.057499999999999</v>
      </c>
      <c r="C212">
        <f t="shared" si="11"/>
        <v>34.141525685321461</v>
      </c>
      <c r="D212">
        <f t="shared" si="12"/>
        <v>3.654800335495187</v>
      </c>
      <c r="E212">
        <f t="shared" si="13"/>
        <v>18.898163010408325</v>
      </c>
      <c r="G212" s="39">
        <v>44977</v>
      </c>
      <c r="H212">
        <v>15.4947</v>
      </c>
      <c r="I212">
        <v>29.996400000000001</v>
      </c>
      <c r="L212" s="39">
        <v>43819</v>
      </c>
      <c r="M212">
        <v>30.8</v>
      </c>
      <c r="N212">
        <v>13.2</v>
      </c>
      <c r="O212">
        <v>22.7</v>
      </c>
      <c r="P212">
        <v>33.5</v>
      </c>
      <c r="Q212">
        <v>14.2</v>
      </c>
      <c r="R212">
        <v>19</v>
      </c>
      <c r="S212">
        <v>22.7</v>
      </c>
      <c r="T212">
        <v>19</v>
      </c>
      <c r="U212">
        <v>14.2</v>
      </c>
      <c r="V212">
        <v>32.9</v>
      </c>
      <c r="X212">
        <v>107.3</v>
      </c>
    </row>
    <row r="213" spans="1:24">
      <c r="A213" s="39">
        <v>44942</v>
      </c>
      <c r="B213" s="152">
        <v>14.6553</v>
      </c>
      <c r="C213">
        <f t="shared" si="11"/>
        <v>34.141525685321461</v>
      </c>
      <c r="D213">
        <f t="shared" si="12"/>
        <v>3.654800335495187</v>
      </c>
      <c r="E213">
        <f t="shared" si="13"/>
        <v>18.898163010408325</v>
      </c>
      <c r="G213" s="39">
        <v>44974</v>
      </c>
      <c r="H213">
        <v>15.1275</v>
      </c>
      <c r="I213">
        <v>30.011800000000001</v>
      </c>
      <c r="L213" s="39">
        <v>43812</v>
      </c>
      <c r="M213">
        <v>30.1</v>
      </c>
      <c r="N213">
        <v>11.2</v>
      </c>
      <c r="O213">
        <v>22.7</v>
      </c>
      <c r="P213">
        <v>34.9</v>
      </c>
      <c r="Q213">
        <v>14.9</v>
      </c>
      <c r="R213">
        <v>18.7</v>
      </c>
      <c r="S213">
        <v>22.7</v>
      </c>
      <c r="T213">
        <v>18.7</v>
      </c>
      <c r="U213">
        <v>14.9</v>
      </c>
      <c r="V213">
        <v>32.5</v>
      </c>
      <c r="X213">
        <v>107.8</v>
      </c>
    </row>
    <row r="214" spans="1:24">
      <c r="A214" s="39">
        <v>44939</v>
      </c>
      <c r="B214" s="152">
        <v>14.707700000000001</v>
      </c>
      <c r="C214">
        <f t="shared" si="11"/>
        <v>34.141525685321461</v>
      </c>
      <c r="D214">
        <f t="shared" si="12"/>
        <v>3.654800335495187</v>
      </c>
      <c r="E214">
        <f t="shared" si="13"/>
        <v>18.898163010408325</v>
      </c>
      <c r="G214" s="39">
        <v>44973</v>
      </c>
      <c r="H214">
        <v>15.145</v>
      </c>
      <c r="I214">
        <v>29.914300000000001</v>
      </c>
      <c r="L214" s="39">
        <v>43805</v>
      </c>
      <c r="M214">
        <v>30.8</v>
      </c>
      <c r="N214">
        <v>11.3</v>
      </c>
      <c r="O214">
        <v>22.6</v>
      </c>
      <c r="P214">
        <v>35.5</v>
      </c>
      <c r="Q214">
        <v>14.8</v>
      </c>
      <c r="R214">
        <v>18.399999999999999</v>
      </c>
      <c r="S214">
        <v>22.6</v>
      </c>
      <c r="T214">
        <v>18.399999999999999</v>
      </c>
      <c r="U214">
        <v>14.8</v>
      </c>
      <c r="V214">
        <v>32.9</v>
      </c>
      <c r="X214">
        <v>106.3</v>
      </c>
    </row>
    <row r="215" spans="1:24">
      <c r="A215" s="39">
        <v>44938</v>
      </c>
      <c r="B215" s="152">
        <v>14.725199999999999</v>
      </c>
      <c r="C215">
        <f t="shared" si="11"/>
        <v>34.141525685321461</v>
      </c>
      <c r="D215">
        <f t="shared" si="12"/>
        <v>3.654800335495187</v>
      </c>
      <c r="E215">
        <f t="shared" si="13"/>
        <v>18.898163010408325</v>
      </c>
      <c r="G215" s="39">
        <v>44972</v>
      </c>
      <c r="H215">
        <v>14.9526</v>
      </c>
      <c r="I215">
        <v>30.204499999999999</v>
      </c>
      <c r="L215" s="39">
        <v>43798</v>
      </c>
      <c r="M215">
        <v>31.2</v>
      </c>
      <c r="N215">
        <v>10.6</v>
      </c>
      <c r="O215">
        <v>22.4</v>
      </c>
      <c r="P215">
        <v>34.700000000000003</v>
      </c>
      <c r="Q215">
        <v>14.9</v>
      </c>
      <c r="R215">
        <v>18.399999999999999</v>
      </c>
      <c r="S215">
        <v>22.4</v>
      </c>
      <c r="T215">
        <v>18.399999999999999</v>
      </c>
      <c r="U215">
        <v>14.9</v>
      </c>
      <c r="V215">
        <v>33.4</v>
      </c>
      <c r="X215">
        <v>107</v>
      </c>
    </row>
    <row r="216" spans="1:24">
      <c r="A216" s="39">
        <v>44937</v>
      </c>
      <c r="B216" s="152">
        <v>14.8826</v>
      </c>
      <c r="C216">
        <f t="shared" si="11"/>
        <v>34.141525685321461</v>
      </c>
      <c r="D216">
        <f t="shared" si="12"/>
        <v>3.654800335495187</v>
      </c>
      <c r="E216">
        <f t="shared" si="13"/>
        <v>18.898163010408325</v>
      </c>
      <c r="G216" s="39">
        <v>44971</v>
      </c>
      <c r="H216">
        <v>14.8651</v>
      </c>
      <c r="I216">
        <v>29.877300000000002</v>
      </c>
      <c r="L216" s="39">
        <v>43791</v>
      </c>
      <c r="M216">
        <v>30.9</v>
      </c>
      <c r="N216">
        <v>10.9</v>
      </c>
      <c r="O216">
        <v>22.4</v>
      </c>
      <c r="P216">
        <v>35.700000000000003</v>
      </c>
      <c r="Q216">
        <v>14.7</v>
      </c>
      <c r="R216">
        <v>18.7</v>
      </c>
      <c r="S216">
        <v>22.4</v>
      </c>
      <c r="T216">
        <v>18.7</v>
      </c>
      <c r="U216">
        <v>14.7</v>
      </c>
      <c r="V216">
        <v>33.299999999999997</v>
      </c>
      <c r="X216">
        <v>106.3</v>
      </c>
    </row>
    <row r="217" spans="1:24">
      <c r="A217" s="39">
        <v>44936</v>
      </c>
      <c r="B217" s="152">
        <v>14.760199999999999</v>
      </c>
      <c r="C217">
        <f t="shared" si="11"/>
        <v>34.141525685321461</v>
      </c>
      <c r="D217">
        <f t="shared" si="12"/>
        <v>3.654800335495187</v>
      </c>
      <c r="E217">
        <f t="shared" si="13"/>
        <v>18.898163010408325</v>
      </c>
      <c r="G217" s="39">
        <v>44970</v>
      </c>
      <c r="H217">
        <v>14.8651</v>
      </c>
      <c r="I217">
        <v>29.962199999999999</v>
      </c>
      <c r="L217" s="39">
        <v>43784</v>
      </c>
      <c r="M217">
        <v>31.9</v>
      </c>
      <c r="N217">
        <v>10.6</v>
      </c>
      <c r="O217">
        <v>22.4</v>
      </c>
      <c r="P217">
        <v>35.9</v>
      </c>
      <c r="Q217">
        <v>16.8</v>
      </c>
      <c r="R217">
        <v>16.5</v>
      </c>
      <c r="S217">
        <v>22.4</v>
      </c>
      <c r="T217">
        <v>16.5</v>
      </c>
      <c r="U217">
        <v>16.8</v>
      </c>
      <c r="V217">
        <v>34.5</v>
      </c>
      <c r="X217">
        <v>108</v>
      </c>
    </row>
    <row r="218" spans="1:24">
      <c r="A218" s="39">
        <v>44935</v>
      </c>
      <c r="B218" s="152">
        <v>14.690300000000001</v>
      </c>
      <c r="C218">
        <f t="shared" si="11"/>
        <v>34.141525685321461</v>
      </c>
      <c r="D218">
        <f t="shared" si="12"/>
        <v>3.654800335495187</v>
      </c>
      <c r="E218">
        <f t="shared" si="13"/>
        <v>18.898163010408325</v>
      </c>
      <c r="G218" s="39">
        <v>44967</v>
      </c>
      <c r="H218">
        <v>14.725199999999999</v>
      </c>
      <c r="I218">
        <v>29.6219</v>
      </c>
      <c r="L218" s="39">
        <v>43777</v>
      </c>
      <c r="M218">
        <v>32.299999999999997</v>
      </c>
      <c r="N218">
        <v>11</v>
      </c>
      <c r="O218">
        <v>22.5</v>
      </c>
      <c r="P218">
        <v>36.1</v>
      </c>
      <c r="Q218">
        <v>16.899999999999999</v>
      </c>
      <c r="R218">
        <v>16.100000000000001</v>
      </c>
      <c r="S218">
        <v>22.5</v>
      </c>
      <c r="T218">
        <v>16.100000000000001</v>
      </c>
      <c r="U218">
        <v>16.899999999999999</v>
      </c>
      <c r="V218">
        <v>34.4</v>
      </c>
      <c r="X218">
        <v>107.5</v>
      </c>
    </row>
    <row r="219" spans="1:24">
      <c r="A219" s="39">
        <v>44932</v>
      </c>
      <c r="B219" s="152">
        <v>15.092499999999999</v>
      </c>
      <c r="C219">
        <f t="shared" si="11"/>
        <v>34.141525685321461</v>
      </c>
      <c r="D219">
        <f t="shared" si="12"/>
        <v>3.654800335495187</v>
      </c>
      <c r="E219">
        <f t="shared" si="13"/>
        <v>18.898163010408325</v>
      </c>
      <c r="G219" s="39">
        <v>44966</v>
      </c>
      <c r="H219">
        <v>15.389799999999999</v>
      </c>
      <c r="I219">
        <v>29.7653</v>
      </c>
      <c r="L219" s="39">
        <v>43770</v>
      </c>
      <c r="M219">
        <v>31.1</v>
      </c>
      <c r="N219">
        <v>10.9</v>
      </c>
      <c r="O219">
        <v>22.1</v>
      </c>
      <c r="P219">
        <v>36.700000000000003</v>
      </c>
      <c r="Q219">
        <v>17.100000000000001</v>
      </c>
      <c r="R219">
        <v>15.7</v>
      </c>
      <c r="S219">
        <v>22.1</v>
      </c>
      <c r="T219">
        <v>15.7</v>
      </c>
      <c r="U219">
        <v>17.100000000000001</v>
      </c>
      <c r="V219">
        <v>33.700000000000003</v>
      </c>
      <c r="X219">
        <v>103</v>
      </c>
    </row>
    <row r="220" spans="1:24">
      <c r="A220" s="39">
        <v>44931</v>
      </c>
      <c r="B220" s="152">
        <v>15.2499</v>
      </c>
      <c r="C220">
        <f t="shared" si="11"/>
        <v>34.141525685321461</v>
      </c>
      <c r="D220">
        <f t="shared" si="12"/>
        <v>3.654800335495187</v>
      </c>
      <c r="E220">
        <f t="shared" si="13"/>
        <v>18.898163010408325</v>
      </c>
      <c r="G220" s="39">
        <v>44965</v>
      </c>
      <c r="H220">
        <v>15.5647</v>
      </c>
      <c r="I220">
        <v>29.703099999999999</v>
      </c>
      <c r="L220" s="39">
        <v>43763</v>
      </c>
      <c r="M220">
        <v>32.200000000000003</v>
      </c>
      <c r="N220">
        <v>11.3</v>
      </c>
      <c r="O220">
        <v>22.8</v>
      </c>
      <c r="P220">
        <v>36.700000000000003</v>
      </c>
      <c r="Q220">
        <v>17.100000000000001</v>
      </c>
      <c r="R220">
        <v>16.7</v>
      </c>
      <c r="S220">
        <v>22.8</v>
      </c>
      <c r="T220">
        <v>16.7</v>
      </c>
      <c r="U220">
        <v>17.100000000000001</v>
      </c>
      <c r="V220">
        <v>33.6</v>
      </c>
      <c r="X220">
        <v>104.1</v>
      </c>
    </row>
    <row r="221" spans="1:24">
      <c r="A221" s="39">
        <v>44930</v>
      </c>
      <c r="B221" s="152">
        <v>15.2149</v>
      </c>
      <c r="C221">
        <f t="shared" si="11"/>
        <v>34.141525685321461</v>
      </c>
      <c r="D221">
        <f t="shared" si="12"/>
        <v>3.654800335495187</v>
      </c>
      <c r="E221">
        <f t="shared" si="13"/>
        <v>18.898163010408325</v>
      </c>
      <c r="G221" s="39">
        <v>44964</v>
      </c>
      <c r="H221">
        <v>15.984400000000001</v>
      </c>
      <c r="I221">
        <v>29.833500000000001</v>
      </c>
      <c r="L221" s="39">
        <v>43756</v>
      </c>
      <c r="M221">
        <v>33.9</v>
      </c>
      <c r="N221">
        <v>12.6</v>
      </c>
      <c r="O221">
        <v>22.8</v>
      </c>
      <c r="P221">
        <v>38</v>
      </c>
      <c r="Q221">
        <v>16.5</v>
      </c>
      <c r="R221">
        <v>17.2</v>
      </c>
      <c r="S221">
        <v>22.8</v>
      </c>
      <c r="T221">
        <v>17.2</v>
      </c>
      <c r="U221">
        <v>16.5</v>
      </c>
      <c r="V221">
        <v>34.4</v>
      </c>
      <c r="X221">
        <v>103</v>
      </c>
    </row>
    <row r="222" spans="1:24">
      <c r="A222" s="39">
        <v>44929</v>
      </c>
      <c r="B222" s="152">
        <v>15.372299999999999</v>
      </c>
      <c r="C222">
        <f t="shared" si="11"/>
        <v>34.141525685321461</v>
      </c>
      <c r="D222">
        <f t="shared" si="12"/>
        <v>3.654800335495187</v>
      </c>
      <c r="E222">
        <f t="shared" si="13"/>
        <v>18.898163010408325</v>
      </c>
      <c r="G222" s="39">
        <v>44963</v>
      </c>
      <c r="H222">
        <v>16.491599999999998</v>
      </c>
      <c r="I222">
        <v>29.863800000000001</v>
      </c>
      <c r="L222" s="39">
        <v>43749</v>
      </c>
      <c r="M222">
        <v>33.200000000000003</v>
      </c>
      <c r="N222">
        <v>12</v>
      </c>
      <c r="O222">
        <v>23</v>
      </c>
      <c r="P222">
        <v>36.9</v>
      </c>
      <c r="Q222">
        <v>16.399999999999999</v>
      </c>
      <c r="R222">
        <v>17.100000000000001</v>
      </c>
      <c r="S222">
        <v>23</v>
      </c>
      <c r="T222">
        <v>17.100000000000001</v>
      </c>
      <c r="U222">
        <v>16.399999999999999</v>
      </c>
      <c r="V222">
        <v>33.799999999999997</v>
      </c>
      <c r="X222">
        <v>102.8</v>
      </c>
    </row>
    <row r="223" spans="1:24">
      <c r="A223" s="39">
        <v>44925</v>
      </c>
      <c r="B223" s="152">
        <v>15.005000000000001</v>
      </c>
      <c r="C223">
        <f t="shared" si="11"/>
        <v>34.141525685321461</v>
      </c>
      <c r="D223">
        <f t="shared" si="12"/>
        <v>3.654800335495187</v>
      </c>
      <c r="E223">
        <f t="shared" si="13"/>
        <v>18.898163010408325</v>
      </c>
      <c r="G223" s="39">
        <v>44960</v>
      </c>
      <c r="H223">
        <v>16.718900000000001</v>
      </c>
      <c r="I223">
        <v>30.086300000000001</v>
      </c>
      <c r="L223" s="39">
        <v>43742</v>
      </c>
      <c r="M223">
        <v>33.1</v>
      </c>
      <c r="N223">
        <v>11.5</v>
      </c>
      <c r="O223">
        <v>22.6</v>
      </c>
      <c r="P223">
        <v>37.1</v>
      </c>
      <c r="Q223">
        <v>15.6</v>
      </c>
      <c r="R223">
        <v>16.7</v>
      </c>
      <c r="S223">
        <v>22.6</v>
      </c>
      <c r="T223">
        <v>16.7</v>
      </c>
      <c r="U223">
        <v>15.6</v>
      </c>
      <c r="V223">
        <v>33.1</v>
      </c>
      <c r="X223">
        <v>94.1</v>
      </c>
    </row>
    <row r="224" spans="1:24">
      <c r="A224" s="39">
        <v>44924</v>
      </c>
      <c r="B224" s="152">
        <v>12.1252</v>
      </c>
      <c r="C224">
        <f t="shared" si="11"/>
        <v>34.141525685321461</v>
      </c>
      <c r="D224">
        <f t="shared" si="12"/>
        <v>3.654800335495187</v>
      </c>
      <c r="E224">
        <f t="shared" si="13"/>
        <v>18.898163010408325</v>
      </c>
      <c r="G224" s="39">
        <v>44959</v>
      </c>
      <c r="H224">
        <v>17.453399999999998</v>
      </c>
      <c r="I224">
        <v>30.4559</v>
      </c>
      <c r="L224" s="39">
        <v>43735</v>
      </c>
      <c r="M224">
        <v>34.200000000000003</v>
      </c>
      <c r="N224">
        <v>8.5</v>
      </c>
      <c r="O224">
        <v>22.6</v>
      </c>
      <c r="P224">
        <v>43.8</v>
      </c>
      <c r="Q224">
        <v>16.8</v>
      </c>
      <c r="R224">
        <v>16.2</v>
      </c>
      <c r="S224">
        <v>22.6</v>
      </c>
      <c r="T224">
        <v>16.2</v>
      </c>
      <c r="U224">
        <v>16.8</v>
      </c>
      <c r="V224">
        <v>32.4</v>
      </c>
      <c r="X224">
        <v>95.7</v>
      </c>
    </row>
    <row r="225" spans="1:24">
      <c r="A225" s="39">
        <v>44923</v>
      </c>
      <c r="B225" s="152">
        <v>12.1534</v>
      </c>
      <c r="C225">
        <f t="shared" si="11"/>
        <v>34.141525685321461</v>
      </c>
      <c r="D225">
        <f t="shared" si="12"/>
        <v>3.654800335495187</v>
      </c>
      <c r="E225">
        <f t="shared" si="13"/>
        <v>18.898163010408325</v>
      </c>
      <c r="G225" s="39">
        <v>44958</v>
      </c>
      <c r="H225">
        <v>16.4741</v>
      </c>
      <c r="I225">
        <v>30.8582</v>
      </c>
      <c r="L225" s="39">
        <v>43728</v>
      </c>
      <c r="M225">
        <v>34.1</v>
      </c>
      <c r="N225">
        <v>8.4</v>
      </c>
      <c r="O225">
        <v>22.4</v>
      </c>
      <c r="P225">
        <v>42.6</v>
      </c>
      <c r="Q225">
        <v>17.3</v>
      </c>
      <c r="R225">
        <v>16.3</v>
      </c>
      <c r="S225">
        <v>22.4</v>
      </c>
      <c r="T225">
        <v>16.3</v>
      </c>
      <c r="U225">
        <v>17.3</v>
      </c>
      <c r="V225">
        <v>32.5</v>
      </c>
      <c r="X225">
        <v>94.3</v>
      </c>
    </row>
    <row r="226" spans="1:24">
      <c r="A226" s="39">
        <v>44922</v>
      </c>
      <c r="B226" s="152">
        <v>12.3795</v>
      </c>
      <c r="C226">
        <f t="shared" si="11"/>
        <v>34.141525685321461</v>
      </c>
      <c r="D226">
        <f t="shared" si="12"/>
        <v>3.654800335495187</v>
      </c>
      <c r="E226">
        <f t="shared" si="13"/>
        <v>18.898163010408325</v>
      </c>
      <c r="G226" s="39">
        <v>44957</v>
      </c>
      <c r="H226">
        <v>16.264199999999999</v>
      </c>
      <c r="I226">
        <v>30.335599999999999</v>
      </c>
      <c r="L226" s="39">
        <v>43721</v>
      </c>
      <c r="M226">
        <v>34.700000000000003</v>
      </c>
      <c r="N226">
        <v>7.9</v>
      </c>
      <c r="O226">
        <v>22.4</v>
      </c>
      <c r="P226">
        <v>41.6</v>
      </c>
      <c r="Q226">
        <v>18</v>
      </c>
      <c r="R226">
        <v>16.5</v>
      </c>
      <c r="S226">
        <v>22.4</v>
      </c>
      <c r="T226">
        <v>16.5</v>
      </c>
      <c r="U226">
        <v>18</v>
      </c>
      <c r="V226">
        <v>33.1</v>
      </c>
      <c r="X226">
        <v>94.3</v>
      </c>
    </row>
    <row r="227" spans="1:24">
      <c r="A227" s="39">
        <v>44921</v>
      </c>
      <c r="B227" s="152">
        <v>12.0404</v>
      </c>
      <c r="C227">
        <f t="shared" si="11"/>
        <v>34.141525685321461</v>
      </c>
      <c r="D227">
        <f t="shared" si="12"/>
        <v>3.654800335495187</v>
      </c>
      <c r="E227">
        <f t="shared" si="13"/>
        <v>18.898163010408325</v>
      </c>
      <c r="G227" s="39">
        <v>44956</v>
      </c>
      <c r="H227">
        <v>16.159300000000002</v>
      </c>
      <c r="I227">
        <v>30.2987</v>
      </c>
      <c r="L227" s="39">
        <v>43714</v>
      </c>
      <c r="M227">
        <v>35.4</v>
      </c>
      <c r="N227">
        <v>7.9</v>
      </c>
      <c r="O227">
        <v>21.9</v>
      </c>
      <c r="P227">
        <v>42.1</v>
      </c>
      <c r="Q227">
        <v>17.8</v>
      </c>
      <c r="R227">
        <v>16.8</v>
      </c>
      <c r="S227">
        <v>21.9</v>
      </c>
      <c r="T227">
        <v>16.8</v>
      </c>
      <c r="U227">
        <v>17.8</v>
      </c>
      <c r="V227">
        <v>34.5</v>
      </c>
      <c r="X227">
        <v>89.4</v>
      </c>
    </row>
    <row r="228" spans="1:24">
      <c r="A228" s="39">
        <v>44918</v>
      </c>
      <c r="B228" s="152">
        <v>12.944800000000001</v>
      </c>
      <c r="C228">
        <f t="shared" si="11"/>
        <v>34.141525685321461</v>
      </c>
      <c r="D228">
        <f t="shared" si="12"/>
        <v>3.654800335495187</v>
      </c>
      <c r="E228">
        <f t="shared" si="13"/>
        <v>18.898163010408325</v>
      </c>
      <c r="G228" s="39">
        <v>44953</v>
      </c>
      <c r="H228">
        <v>16.054300000000001</v>
      </c>
      <c r="I228">
        <v>30.3231</v>
      </c>
      <c r="L228" s="39">
        <v>43707</v>
      </c>
      <c r="M228">
        <v>35.200000000000003</v>
      </c>
      <c r="N228">
        <v>7.9</v>
      </c>
      <c r="O228">
        <v>21.8</v>
      </c>
      <c r="P228">
        <v>42.1</v>
      </c>
      <c r="Q228">
        <v>17.2</v>
      </c>
      <c r="R228">
        <v>16.399999999999999</v>
      </c>
      <c r="S228">
        <v>21.8</v>
      </c>
      <c r="T228">
        <v>16.399999999999999</v>
      </c>
      <c r="U228">
        <v>17.2</v>
      </c>
      <c r="V228">
        <v>33.4</v>
      </c>
      <c r="X228">
        <v>89.2</v>
      </c>
    </row>
    <row r="229" spans="1:24">
      <c r="A229" s="39">
        <v>44917</v>
      </c>
      <c r="B229" s="152">
        <v>13.1426</v>
      </c>
      <c r="C229">
        <f t="shared" si="11"/>
        <v>34.141525685321461</v>
      </c>
      <c r="D229">
        <f t="shared" si="12"/>
        <v>3.654800335495187</v>
      </c>
      <c r="E229">
        <f t="shared" si="13"/>
        <v>18.898163010408325</v>
      </c>
      <c r="G229" s="39">
        <v>44952</v>
      </c>
      <c r="I229">
        <v>30.122299999999999</v>
      </c>
      <c r="L229" s="39">
        <v>43700</v>
      </c>
      <c r="M229">
        <v>36.4</v>
      </c>
      <c r="N229">
        <v>8.1</v>
      </c>
      <c r="O229">
        <v>21.2</v>
      </c>
      <c r="P229">
        <v>41.2</v>
      </c>
      <c r="Q229">
        <v>16.399999999999999</v>
      </c>
      <c r="R229">
        <v>15.8</v>
      </c>
      <c r="S229">
        <v>21.2</v>
      </c>
      <c r="T229">
        <v>15.8</v>
      </c>
      <c r="U229">
        <v>16.399999999999999</v>
      </c>
      <c r="V229">
        <v>32.299999999999997</v>
      </c>
      <c r="X229">
        <v>117.4</v>
      </c>
    </row>
    <row r="230" spans="1:24">
      <c r="A230" s="39">
        <v>44916</v>
      </c>
      <c r="B230" s="152">
        <v>13.1144</v>
      </c>
      <c r="C230">
        <f t="shared" si="11"/>
        <v>34.141525685321461</v>
      </c>
      <c r="D230">
        <f t="shared" si="12"/>
        <v>3.654800335495187</v>
      </c>
      <c r="E230">
        <f t="shared" si="13"/>
        <v>18.898163010408325</v>
      </c>
      <c r="G230" s="39">
        <v>44951</v>
      </c>
      <c r="I230">
        <v>29.985399999999998</v>
      </c>
      <c r="L230" s="39">
        <v>43693</v>
      </c>
      <c r="M230">
        <v>35.4</v>
      </c>
      <c r="N230">
        <v>8.5</v>
      </c>
      <c r="O230">
        <v>21.6</v>
      </c>
      <c r="P230">
        <v>43.1</v>
      </c>
      <c r="Q230">
        <v>14.2</v>
      </c>
      <c r="R230">
        <v>12.8</v>
      </c>
      <c r="S230">
        <v>21.6</v>
      </c>
      <c r="T230">
        <v>12.8</v>
      </c>
      <c r="U230">
        <v>14.2</v>
      </c>
      <c r="V230">
        <v>32.299999999999997</v>
      </c>
      <c r="X230">
        <v>117.8</v>
      </c>
    </row>
    <row r="231" spans="1:24">
      <c r="A231" s="39">
        <v>44915</v>
      </c>
      <c r="B231" s="152">
        <v>13.1426</v>
      </c>
      <c r="C231">
        <f t="shared" si="11"/>
        <v>34.141525685321461</v>
      </c>
      <c r="D231">
        <f t="shared" si="12"/>
        <v>3.654800335495187</v>
      </c>
      <c r="E231">
        <f t="shared" si="13"/>
        <v>18.898163010408325</v>
      </c>
      <c r="G231" s="39">
        <v>44950</v>
      </c>
      <c r="I231">
        <v>29.973500000000001</v>
      </c>
      <c r="L231" s="39">
        <v>43686</v>
      </c>
      <c r="M231">
        <v>36.5</v>
      </c>
      <c r="N231">
        <v>8.5</v>
      </c>
      <c r="O231">
        <v>20.5</v>
      </c>
      <c r="P231">
        <v>43.5</v>
      </c>
      <c r="Q231">
        <v>15.2</v>
      </c>
      <c r="R231">
        <v>12.5</v>
      </c>
      <c r="S231">
        <v>20.5</v>
      </c>
      <c r="T231">
        <v>12.5</v>
      </c>
      <c r="U231">
        <v>15.2</v>
      </c>
      <c r="V231">
        <v>32.299999999999997</v>
      </c>
      <c r="X231">
        <v>118.4</v>
      </c>
    </row>
    <row r="232" spans="1:24">
      <c r="A232" s="39">
        <v>44914</v>
      </c>
      <c r="B232" s="152">
        <v>13.3264</v>
      </c>
      <c r="C232">
        <f t="shared" si="11"/>
        <v>34.141525685321461</v>
      </c>
      <c r="D232">
        <f t="shared" si="12"/>
        <v>3.654800335495187</v>
      </c>
      <c r="E232">
        <f t="shared" si="13"/>
        <v>18.898163010408325</v>
      </c>
      <c r="G232" s="39">
        <v>44949</v>
      </c>
      <c r="I232">
        <v>30.006699999999999</v>
      </c>
      <c r="L232" s="39">
        <v>43679</v>
      </c>
      <c r="M232">
        <v>36.4</v>
      </c>
      <c r="N232">
        <v>9</v>
      </c>
      <c r="O232">
        <v>20.8</v>
      </c>
      <c r="P232">
        <v>45</v>
      </c>
      <c r="Q232">
        <v>15.4</v>
      </c>
      <c r="R232">
        <v>12.4</v>
      </c>
      <c r="S232">
        <v>20.8</v>
      </c>
      <c r="T232">
        <v>12.4</v>
      </c>
      <c r="U232">
        <v>15.4</v>
      </c>
      <c r="V232">
        <v>32.1</v>
      </c>
      <c r="X232">
        <v>113.9</v>
      </c>
    </row>
    <row r="233" spans="1:24">
      <c r="A233" s="39">
        <v>44911</v>
      </c>
      <c r="B233" s="152">
        <v>13.5242</v>
      </c>
      <c r="C233">
        <f t="shared" si="11"/>
        <v>34.141525685321461</v>
      </c>
      <c r="D233">
        <f t="shared" si="12"/>
        <v>3.654800335495187</v>
      </c>
      <c r="E233">
        <f t="shared" si="13"/>
        <v>18.898163010408325</v>
      </c>
      <c r="G233" s="39">
        <v>44946</v>
      </c>
      <c r="I233">
        <v>29.578199999999999</v>
      </c>
      <c r="L233" s="39">
        <v>43672</v>
      </c>
      <c r="M233">
        <v>36.299999999999997</v>
      </c>
      <c r="N233">
        <v>9.6999999999999993</v>
      </c>
      <c r="O233">
        <v>21.4</v>
      </c>
      <c r="P233">
        <v>44</v>
      </c>
      <c r="Q233">
        <v>21.1</v>
      </c>
      <c r="R233">
        <v>14</v>
      </c>
      <c r="S233">
        <v>21.4</v>
      </c>
      <c r="T233">
        <v>14</v>
      </c>
      <c r="U233">
        <v>21.1</v>
      </c>
      <c r="V233">
        <v>33.200000000000003</v>
      </c>
      <c r="X233">
        <v>117.4</v>
      </c>
    </row>
    <row r="234" spans="1:24">
      <c r="A234" s="39">
        <v>44910</v>
      </c>
      <c r="B234" s="152">
        <v>13.284000000000001</v>
      </c>
      <c r="C234">
        <f t="shared" si="11"/>
        <v>34.141525685321461</v>
      </c>
      <c r="D234">
        <f t="shared" si="12"/>
        <v>3.654800335495187</v>
      </c>
      <c r="E234">
        <f t="shared" si="13"/>
        <v>18.898163010408325</v>
      </c>
      <c r="G234" s="39">
        <v>44945</v>
      </c>
      <c r="H234">
        <v>15.949400000000001</v>
      </c>
      <c r="I234">
        <v>29.1814</v>
      </c>
      <c r="L234" s="39">
        <v>43665</v>
      </c>
      <c r="M234">
        <v>36.799999999999997</v>
      </c>
      <c r="N234">
        <v>8.5</v>
      </c>
      <c r="O234">
        <v>21.6</v>
      </c>
      <c r="P234">
        <v>44.5</v>
      </c>
      <c r="Q234">
        <v>21.7</v>
      </c>
      <c r="R234">
        <v>14.2</v>
      </c>
      <c r="S234">
        <v>21.6</v>
      </c>
      <c r="T234">
        <v>14.2</v>
      </c>
      <c r="U234">
        <v>21.7</v>
      </c>
      <c r="V234">
        <v>33.200000000000003</v>
      </c>
      <c r="X234">
        <v>115.4</v>
      </c>
    </row>
    <row r="235" spans="1:24">
      <c r="A235" s="39">
        <v>44909</v>
      </c>
      <c r="B235" s="152">
        <v>13.128500000000001</v>
      </c>
      <c r="C235">
        <f t="shared" si="11"/>
        <v>34.141525685321461</v>
      </c>
      <c r="D235">
        <f t="shared" si="12"/>
        <v>3.654800335495187</v>
      </c>
      <c r="E235">
        <f t="shared" si="13"/>
        <v>18.898163010408325</v>
      </c>
      <c r="G235" s="39">
        <v>44944</v>
      </c>
      <c r="H235">
        <v>15.722099999999999</v>
      </c>
      <c r="I235">
        <v>29.4068</v>
      </c>
      <c r="L235" s="39">
        <v>43658</v>
      </c>
      <c r="M235">
        <v>36.6</v>
      </c>
      <c r="N235">
        <v>8.5</v>
      </c>
      <c r="O235">
        <v>21.7</v>
      </c>
      <c r="P235">
        <v>43.1</v>
      </c>
      <c r="Q235">
        <v>21.4</v>
      </c>
      <c r="R235">
        <v>14.1</v>
      </c>
      <c r="S235">
        <v>21.7</v>
      </c>
      <c r="T235">
        <v>14.1</v>
      </c>
      <c r="U235">
        <v>21.4</v>
      </c>
      <c r="V235">
        <v>32.9</v>
      </c>
      <c r="X235">
        <v>117.6</v>
      </c>
    </row>
    <row r="236" spans="1:24">
      <c r="A236" s="39">
        <v>44908</v>
      </c>
      <c r="B236" s="152">
        <v>13.1144</v>
      </c>
      <c r="C236">
        <f t="shared" si="11"/>
        <v>34.141525685321461</v>
      </c>
      <c r="D236">
        <f t="shared" si="12"/>
        <v>3.654800335495187</v>
      </c>
      <c r="E236">
        <f t="shared" si="13"/>
        <v>18.898163010408325</v>
      </c>
      <c r="G236" s="39">
        <v>44943</v>
      </c>
      <c r="H236">
        <v>15.057499999999999</v>
      </c>
      <c r="I236">
        <v>29.615100000000002</v>
      </c>
      <c r="L236" s="39">
        <v>43651</v>
      </c>
      <c r="M236">
        <v>36.299999999999997</v>
      </c>
      <c r="N236">
        <v>8.6999999999999993</v>
      </c>
      <c r="O236">
        <v>21.2</v>
      </c>
      <c r="P236">
        <v>43.1</v>
      </c>
      <c r="Q236">
        <v>23</v>
      </c>
      <c r="R236">
        <v>14.3</v>
      </c>
      <c r="S236">
        <v>21.2</v>
      </c>
      <c r="T236">
        <v>14.3</v>
      </c>
      <c r="U236">
        <v>23</v>
      </c>
      <c r="V236">
        <v>31.6</v>
      </c>
      <c r="X236">
        <v>122.5</v>
      </c>
    </row>
    <row r="237" spans="1:24">
      <c r="A237" s="39">
        <v>44907</v>
      </c>
      <c r="B237" s="152">
        <v>12.973100000000001</v>
      </c>
      <c r="C237">
        <f t="shared" si="11"/>
        <v>34.141525685321461</v>
      </c>
      <c r="D237">
        <f t="shared" si="12"/>
        <v>3.654800335495187</v>
      </c>
      <c r="E237">
        <f t="shared" si="13"/>
        <v>18.898163010408325</v>
      </c>
      <c r="G237" s="39">
        <v>44942</v>
      </c>
      <c r="H237">
        <v>14.6553</v>
      </c>
      <c r="I237">
        <v>29.614000000000001</v>
      </c>
      <c r="L237" s="39">
        <v>43644</v>
      </c>
      <c r="M237">
        <v>36.1</v>
      </c>
      <c r="N237">
        <v>9</v>
      </c>
      <c r="O237">
        <v>20.9</v>
      </c>
      <c r="P237">
        <v>43.3</v>
      </c>
      <c r="Q237">
        <v>23.3</v>
      </c>
      <c r="R237">
        <v>14</v>
      </c>
      <c r="S237">
        <v>20.9</v>
      </c>
      <c r="T237">
        <v>14</v>
      </c>
      <c r="U237">
        <v>23.3</v>
      </c>
      <c r="V237">
        <v>31.2</v>
      </c>
      <c r="X237">
        <v>114.9</v>
      </c>
    </row>
    <row r="238" spans="1:24">
      <c r="A238" s="39">
        <v>44904</v>
      </c>
      <c r="B238" s="152">
        <v>13.0579</v>
      </c>
      <c r="C238">
        <f t="shared" si="11"/>
        <v>34.141525685321461</v>
      </c>
      <c r="D238">
        <f t="shared" si="12"/>
        <v>3.654800335495187</v>
      </c>
      <c r="E238">
        <f t="shared" si="13"/>
        <v>18.898163010408325</v>
      </c>
      <c r="G238" s="39">
        <v>44939</v>
      </c>
      <c r="H238">
        <v>14.707700000000001</v>
      </c>
      <c r="I238">
        <v>29.713000000000001</v>
      </c>
      <c r="L238" s="39">
        <v>43637</v>
      </c>
      <c r="M238">
        <v>36</v>
      </c>
      <c r="N238">
        <v>8.6</v>
      </c>
      <c r="O238">
        <v>21.1</v>
      </c>
      <c r="P238">
        <v>48.5</v>
      </c>
      <c r="Q238">
        <v>22.3</v>
      </c>
      <c r="R238">
        <v>14.1</v>
      </c>
      <c r="S238">
        <v>21.1</v>
      </c>
      <c r="T238">
        <v>14.1</v>
      </c>
      <c r="U238">
        <v>22.3</v>
      </c>
      <c r="V238">
        <v>31.4</v>
      </c>
      <c r="X238">
        <v>115.2</v>
      </c>
    </row>
    <row r="239" spans="1:24">
      <c r="A239" s="39">
        <v>44903</v>
      </c>
      <c r="B239" s="152">
        <v>13.001300000000001</v>
      </c>
      <c r="C239">
        <f t="shared" si="11"/>
        <v>34.141525685321461</v>
      </c>
      <c r="D239">
        <f t="shared" si="12"/>
        <v>3.654800335495187</v>
      </c>
      <c r="E239">
        <f t="shared" si="13"/>
        <v>18.898163010408325</v>
      </c>
      <c r="G239" s="39">
        <v>44938</v>
      </c>
      <c r="H239">
        <v>14.725199999999999</v>
      </c>
      <c r="I239">
        <v>29.494499999999999</v>
      </c>
      <c r="L239" s="39">
        <v>43630</v>
      </c>
      <c r="M239">
        <v>35</v>
      </c>
      <c r="N239">
        <v>8.4</v>
      </c>
      <c r="O239">
        <v>20.7</v>
      </c>
      <c r="P239">
        <v>47.9</v>
      </c>
      <c r="Q239">
        <v>21.7</v>
      </c>
      <c r="R239">
        <v>14.2</v>
      </c>
      <c r="S239">
        <v>20.7</v>
      </c>
      <c r="T239">
        <v>14.2</v>
      </c>
      <c r="U239">
        <v>21.7</v>
      </c>
      <c r="V239">
        <v>30.7</v>
      </c>
      <c r="X239">
        <v>115.1</v>
      </c>
    </row>
    <row r="240" spans="1:24">
      <c r="A240" s="39">
        <v>44902</v>
      </c>
      <c r="B240" s="152">
        <v>12.676299999999999</v>
      </c>
      <c r="C240">
        <f t="shared" si="11"/>
        <v>34.141525685321461</v>
      </c>
      <c r="D240">
        <f t="shared" si="12"/>
        <v>3.654800335495187</v>
      </c>
      <c r="E240">
        <f t="shared" si="13"/>
        <v>18.898163010408325</v>
      </c>
      <c r="G240" s="39">
        <v>44937</v>
      </c>
      <c r="H240">
        <v>14.8826</v>
      </c>
      <c r="I240">
        <v>29.644100000000002</v>
      </c>
      <c r="L240" s="39">
        <v>43623</v>
      </c>
      <c r="M240">
        <v>34.200000000000003</v>
      </c>
      <c r="O240">
        <v>20.100000000000001</v>
      </c>
      <c r="Q240">
        <v>21.9</v>
      </c>
      <c r="R240">
        <v>14</v>
      </c>
      <c r="S240">
        <v>20.100000000000001</v>
      </c>
      <c r="T240">
        <v>14</v>
      </c>
      <c r="U240">
        <v>21.9</v>
      </c>
      <c r="V240">
        <v>30.2</v>
      </c>
      <c r="X240">
        <v>116.9</v>
      </c>
    </row>
    <row r="241" spans="1:24">
      <c r="A241" s="39">
        <v>44901</v>
      </c>
      <c r="B241" s="152">
        <v>12.535</v>
      </c>
      <c r="C241">
        <f t="shared" si="11"/>
        <v>34.141525685321461</v>
      </c>
      <c r="D241">
        <f t="shared" si="12"/>
        <v>3.654800335495187</v>
      </c>
      <c r="E241">
        <f t="shared" si="13"/>
        <v>18.898163010408325</v>
      </c>
      <c r="G241" s="39">
        <v>44936</v>
      </c>
      <c r="H241">
        <v>14.760199999999999</v>
      </c>
      <c r="I241">
        <v>29.701699999999999</v>
      </c>
      <c r="L241" s="39">
        <v>43616</v>
      </c>
      <c r="M241">
        <v>33.6</v>
      </c>
      <c r="N241">
        <v>9.1999999999999993</v>
      </c>
      <c r="O241">
        <v>19.2</v>
      </c>
      <c r="P241">
        <v>50.1</v>
      </c>
      <c r="Q241">
        <v>22.1</v>
      </c>
      <c r="R241">
        <v>13</v>
      </c>
      <c r="S241">
        <v>19.2</v>
      </c>
      <c r="T241">
        <v>13</v>
      </c>
      <c r="U241">
        <v>22.1</v>
      </c>
      <c r="V241">
        <v>28.2</v>
      </c>
      <c r="X241">
        <v>116.5</v>
      </c>
    </row>
    <row r="242" spans="1:24">
      <c r="A242" s="39">
        <v>44900</v>
      </c>
      <c r="B242" s="152">
        <v>13.4535</v>
      </c>
      <c r="C242">
        <f t="shared" si="11"/>
        <v>34.141525685321461</v>
      </c>
      <c r="D242">
        <f t="shared" si="12"/>
        <v>3.654800335495187</v>
      </c>
      <c r="E242">
        <f t="shared" si="13"/>
        <v>18.898163010408325</v>
      </c>
      <c r="G242" s="39">
        <v>44935</v>
      </c>
      <c r="H242">
        <v>14.690300000000001</v>
      </c>
      <c r="I242">
        <v>29.7501</v>
      </c>
      <c r="L242" s="39">
        <v>43609</v>
      </c>
      <c r="M242">
        <v>33.299999999999997</v>
      </c>
      <c r="N242">
        <v>9.3000000000000007</v>
      </c>
      <c r="O242">
        <v>19.5</v>
      </c>
      <c r="P242">
        <v>48.9</v>
      </c>
      <c r="Q242">
        <v>23.6</v>
      </c>
      <c r="R242">
        <v>13.1</v>
      </c>
      <c r="S242">
        <v>19.5</v>
      </c>
      <c r="T242">
        <v>13.1</v>
      </c>
      <c r="U242">
        <v>23.6</v>
      </c>
      <c r="V242">
        <v>29.2</v>
      </c>
      <c r="X242">
        <v>66.7</v>
      </c>
    </row>
    <row r="243" spans="1:24">
      <c r="A243" s="39">
        <v>44897</v>
      </c>
      <c r="B243" s="152">
        <v>13.284000000000001</v>
      </c>
      <c r="C243">
        <f t="shared" si="11"/>
        <v>34.141525685321461</v>
      </c>
      <c r="D243">
        <f t="shared" si="12"/>
        <v>3.654800335495187</v>
      </c>
      <c r="E243">
        <f t="shared" si="13"/>
        <v>18.898163010408325</v>
      </c>
      <c r="G243" s="39">
        <v>44932</v>
      </c>
      <c r="H243">
        <v>15.092499999999999</v>
      </c>
      <c r="I243">
        <v>29.7392</v>
      </c>
      <c r="L243" s="39">
        <v>43602</v>
      </c>
      <c r="M243">
        <v>32.299999999999997</v>
      </c>
      <c r="N243">
        <v>9</v>
      </c>
      <c r="O243">
        <v>19.100000000000001</v>
      </c>
      <c r="P243">
        <v>50</v>
      </c>
      <c r="Q243">
        <v>22.6</v>
      </c>
      <c r="R243">
        <v>11.4</v>
      </c>
      <c r="S243">
        <v>19.100000000000001</v>
      </c>
      <c r="T243">
        <v>11.4</v>
      </c>
      <c r="U243">
        <v>22.6</v>
      </c>
      <c r="V243">
        <v>29.3</v>
      </c>
      <c r="X243">
        <v>67.8</v>
      </c>
    </row>
    <row r="244" spans="1:24">
      <c r="A244" s="39">
        <v>44896</v>
      </c>
      <c r="B244" s="152">
        <v>12.450200000000001</v>
      </c>
      <c r="C244">
        <f t="shared" si="11"/>
        <v>34.141525685321461</v>
      </c>
      <c r="D244">
        <f t="shared" si="12"/>
        <v>3.654800335495187</v>
      </c>
      <c r="E244">
        <f t="shared" si="13"/>
        <v>18.898163010408325</v>
      </c>
      <c r="G244" s="39">
        <v>44931</v>
      </c>
      <c r="H244">
        <v>15.2499</v>
      </c>
      <c r="I244">
        <v>29.121300000000002</v>
      </c>
      <c r="L244" s="39">
        <v>43595</v>
      </c>
      <c r="M244">
        <v>32.299999999999997</v>
      </c>
      <c r="N244">
        <v>9.4</v>
      </c>
      <c r="O244">
        <v>19.3</v>
      </c>
      <c r="P244">
        <v>50</v>
      </c>
      <c r="Q244">
        <v>24.1</v>
      </c>
      <c r="R244">
        <v>11.9</v>
      </c>
      <c r="S244">
        <v>19.3</v>
      </c>
      <c r="T244">
        <v>11.9</v>
      </c>
      <c r="U244">
        <v>24.1</v>
      </c>
      <c r="V244">
        <v>29.1</v>
      </c>
      <c r="X244">
        <v>65.599999999999994</v>
      </c>
    </row>
    <row r="245" spans="1:24">
      <c r="A245" s="39">
        <v>44895</v>
      </c>
      <c r="B245" s="152">
        <v>12.4643</v>
      </c>
      <c r="C245">
        <f t="shared" si="11"/>
        <v>34.141525685321461</v>
      </c>
      <c r="D245">
        <f t="shared" si="12"/>
        <v>3.654800335495187</v>
      </c>
      <c r="E245">
        <f t="shared" si="13"/>
        <v>18.898163010408325</v>
      </c>
      <c r="G245" s="39">
        <v>44930</v>
      </c>
      <c r="H245">
        <v>15.2149</v>
      </c>
      <c r="I245">
        <v>28.950800000000001</v>
      </c>
      <c r="L245" s="39">
        <v>43588</v>
      </c>
      <c r="M245">
        <v>32.6</v>
      </c>
      <c r="N245">
        <v>9.3000000000000007</v>
      </c>
      <c r="O245">
        <v>19.2</v>
      </c>
      <c r="P245">
        <v>52.1</v>
      </c>
      <c r="Q245">
        <v>25.2</v>
      </c>
      <c r="R245">
        <v>12.1</v>
      </c>
      <c r="S245">
        <v>19.2</v>
      </c>
      <c r="T245">
        <v>12.1</v>
      </c>
      <c r="U245">
        <v>25.2</v>
      </c>
      <c r="V245">
        <v>29.4</v>
      </c>
    </row>
    <row r="246" spans="1:24">
      <c r="A246" s="39">
        <v>44894</v>
      </c>
      <c r="B246" s="152">
        <v>12.0969</v>
      </c>
      <c r="C246">
        <f t="shared" si="11"/>
        <v>34.141525685321461</v>
      </c>
      <c r="D246">
        <f t="shared" si="12"/>
        <v>3.654800335495187</v>
      </c>
      <c r="E246">
        <f t="shared" si="13"/>
        <v>18.898163010408325</v>
      </c>
      <c r="G246" s="39">
        <v>44929</v>
      </c>
      <c r="H246">
        <v>15.372299999999999</v>
      </c>
      <c r="I246">
        <v>28.988</v>
      </c>
      <c r="L246" s="39">
        <v>43581</v>
      </c>
      <c r="M246">
        <v>31.8</v>
      </c>
      <c r="N246">
        <v>9.8000000000000007</v>
      </c>
      <c r="O246">
        <v>19.100000000000001</v>
      </c>
      <c r="P246">
        <v>48.9</v>
      </c>
      <c r="Q246">
        <v>31.5</v>
      </c>
      <c r="R246">
        <v>12.8</v>
      </c>
      <c r="S246">
        <v>19.100000000000001</v>
      </c>
      <c r="T246">
        <v>12.8</v>
      </c>
      <c r="U246">
        <v>31.5</v>
      </c>
      <c r="V246">
        <v>29.3</v>
      </c>
      <c r="X246">
        <v>68.599999999999994</v>
      </c>
    </row>
    <row r="247" spans="1:24">
      <c r="A247" s="39">
        <v>44893</v>
      </c>
      <c r="B247" s="152">
        <v>11.347899999999999</v>
      </c>
      <c r="C247">
        <f t="shared" si="11"/>
        <v>34.141525685321461</v>
      </c>
      <c r="D247">
        <f t="shared" si="12"/>
        <v>3.654800335495187</v>
      </c>
      <c r="E247">
        <f t="shared" si="13"/>
        <v>18.898163010408325</v>
      </c>
      <c r="G247" s="39">
        <v>44928</v>
      </c>
      <c r="I247">
        <v>28.8507</v>
      </c>
      <c r="L247" s="39">
        <v>43574</v>
      </c>
      <c r="M247">
        <v>32</v>
      </c>
      <c r="N247">
        <v>8.1999999999999993</v>
      </c>
      <c r="O247">
        <v>19.399999999999999</v>
      </c>
      <c r="P247">
        <v>48.6</v>
      </c>
      <c r="Q247">
        <v>32.5</v>
      </c>
      <c r="R247">
        <v>13.8</v>
      </c>
      <c r="S247">
        <v>19.399999999999999</v>
      </c>
      <c r="T247">
        <v>13.8</v>
      </c>
      <c r="U247">
        <v>32.5</v>
      </c>
      <c r="V247">
        <v>29.6</v>
      </c>
      <c r="X247">
        <v>67.099999999999994</v>
      </c>
    </row>
    <row r="248" spans="1:24">
      <c r="A248" s="39">
        <v>44890</v>
      </c>
      <c r="B248" s="152">
        <v>10.6837</v>
      </c>
      <c r="C248">
        <f t="shared" si="11"/>
        <v>34.141525685321461</v>
      </c>
      <c r="D248">
        <f t="shared" si="12"/>
        <v>3.654800335495187</v>
      </c>
      <c r="E248">
        <f t="shared" si="13"/>
        <v>18.898163010408325</v>
      </c>
      <c r="G248" s="39">
        <v>44925</v>
      </c>
      <c r="H248">
        <v>15.005000000000001</v>
      </c>
      <c r="I248">
        <v>28.732700000000001</v>
      </c>
      <c r="L248" s="39">
        <v>43567</v>
      </c>
      <c r="M248">
        <v>31.9</v>
      </c>
      <c r="N248">
        <v>8.4</v>
      </c>
      <c r="O248">
        <v>19.100000000000001</v>
      </c>
      <c r="P248">
        <v>49.4</v>
      </c>
      <c r="Q248">
        <v>32.700000000000003</v>
      </c>
      <c r="R248">
        <v>13.4</v>
      </c>
      <c r="S248">
        <v>19.100000000000001</v>
      </c>
      <c r="T248">
        <v>13.4</v>
      </c>
      <c r="U248">
        <v>32.700000000000003</v>
      </c>
      <c r="V248">
        <v>29.1</v>
      </c>
      <c r="X248">
        <v>67.400000000000006</v>
      </c>
    </row>
    <row r="249" spans="1:24">
      <c r="A249" s="39">
        <v>44889</v>
      </c>
      <c r="B249" s="152">
        <v>10.6554</v>
      </c>
      <c r="C249">
        <f t="shared" si="11"/>
        <v>34.141525685321461</v>
      </c>
      <c r="D249">
        <f t="shared" si="12"/>
        <v>3.654800335495187</v>
      </c>
      <c r="E249">
        <f t="shared" si="13"/>
        <v>18.898163010408325</v>
      </c>
      <c r="G249" s="39">
        <v>44924</v>
      </c>
      <c r="H249">
        <v>12.1252</v>
      </c>
      <c r="I249">
        <v>27.993300000000001</v>
      </c>
      <c r="L249" s="39">
        <v>43560</v>
      </c>
      <c r="M249">
        <v>31.6</v>
      </c>
      <c r="N249">
        <v>8.9</v>
      </c>
      <c r="O249">
        <v>18.600000000000001</v>
      </c>
      <c r="P249">
        <v>49.2</v>
      </c>
      <c r="Q249">
        <v>32.200000000000003</v>
      </c>
      <c r="R249">
        <v>13.4</v>
      </c>
      <c r="S249">
        <v>18.600000000000001</v>
      </c>
      <c r="T249">
        <v>13.4</v>
      </c>
      <c r="U249">
        <v>32.200000000000003</v>
      </c>
      <c r="V249">
        <v>29.6</v>
      </c>
      <c r="X249">
        <v>74.8</v>
      </c>
    </row>
    <row r="250" spans="1:24">
      <c r="A250" s="39">
        <v>44888</v>
      </c>
      <c r="B250" s="152">
        <v>11.4468</v>
      </c>
      <c r="C250">
        <f t="shared" si="11"/>
        <v>34.141525685321461</v>
      </c>
      <c r="D250">
        <f t="shared" si="12"/>
        <v>3.654800335495187</v>
      </c>
      <c r="E250">
        <f t="shared" si="13"/>
        <v>18.898163010408325</v>
      </c>
      <c r="G250" s="39">
        <v>44923</v>
      </c>
      <c r="H250">
        <v>12.1534</v>
      </c>
      <c r="I250">
        <v>27.7821</v>
      </c>
      <c r="L250" s="39">
        <v>43553</v>
      </c>
      <c r="M250">
        <v>31</v>
      </c>
      <c r="N250">
        <v>9.3000000000000007</v>
      </c>
      <c r="O250">
        <v>18.3</v>
      </c>
      <c r="P250">
        <v>48.3</v>
      </c>
      <c r="Q250">
        <v>31.2</v>
      </c>
      <c r="R250">
        <v>13.3</v>
      </c>
      <c r="S250">
        <v>18.3</v>
      </c>
      <c r="T250">
        <v>13.3</v>
      </c>
      <c r="U250">
        <v>31.2</v>
      </c>
      <c r="V250">
        <v>29.1</v>
      </c>
      <c r="X250">
        <v>77.400000000000006</v>
      </c>
    </row>
    <row r="251" spans="1:24">
      <c r="A251" s="39">
        <v>44887</v>
      </c>
      <c r="B251" s="152">
        <v>11.362</v>
      </c>
      <c r="C251">
        <f t="shared" si="11"/>
        <v>34.141525685321461</v>
      </c>
      <c r="D251">
        <f t="shared" si="12"/>
        <v>3.654800335495187</v>
      </c>
      <c r="E251">
        <f t="shared" si="13"/>
        <v>18.898163010408325</v>
      </c>
      <c r="G251" s="39">
        <v>44922</v>
      </c>
      <c r="H251">
        <v>12.3795</v>
      </c>
      <c r="I251">
        <v>28.127300000000002</v>
      </c>
      <c r="L251" s="39">
        <v>43546</v>
      </c>
      <c r="M251">
        <v>31.9</v>
      </c>
      <c r="N251">
        <v>8.5</v>
      </c>
      <c r="O251">
        <v>18.5</v>
      </c>
      <c r="P251">
        <v>52.9</v>
      </c>
      <c r="Q251">
        <v>29.7</v>
      </c>
      <c r="R251">
        <v>13</v>
      </c>
      <c r="S251">
        <v>18.5</v>
      </c>
      <c r="T251">
        <v>13</v>
      </c>
      <c r="U251">
        <v>29.7</v>
      </c>
      <c r="V251">
        <v>28.6</v>
      </c>
      <c r="X251">
        <v>77.5</v>
      </c>
    </row>
    <row r="252" spans="1:24">
      <c r="A252" s="39">
        <v>44886</v>
      </c>
      <c r="B252" s="152">
        <v>11.4892</v>
      </c>
      <c r="C252">
        <f t="shared" si="11"/>
        <v>34.141525685321461</v>
      </c>
      <c r="D252">
        <f t="shared" si="12"/>
        <v>3.654800335495187</v>
      </c>
      <c r="E252">
        <f t="shared" si="13"/>
        <v>18.898163010408325</v>
      </c>
      <c r="G252" s="39">
        <v>44921</v>
      </c>
      <c r="H252">
        <v>12.0404</v>
      </c>
      <c r="I252">
        <v>27.697299999999998</v>
      </c>
      <c r="L252" s="39">
        <v>43539</v>
      </c>
      <c r="M252">
        <v>31.7</v>
      </c>
      <c r="N252">
        <v>7.9</v>
      </c>
      <c r="O252">
        <v>18.5</v>
      </c>
      <c r="P252">
        <v>54.7</v>
      </c>
      <c r="Q252">
        <v>28.9</v>
      </c>
      <c r="R252">
        <v>12.7</v>
      </c>
      <c r="S252">
        <v>18.5</v>
      </c>
      <c r="T252">
        <v>12.7</v>
      </c>
      <c r="U252">
        <v>28.9</v>
      </c>
      <c r="V252">
        <v>28.1</v>
      </c>
      <c r="X252">
        <v>77.400000000000006</v>
      </c>
    </row>
    <row r="253" spans="1:24">
      <c r="A253" s="39">
        <v>44883</v>
      </c>
      <c r="B253" s="152">
        <v>11.9132</v>
      </c>
      <c r="C253">
        <f t="shared" si="11"/>
        <v>34.141525685321461</v>
      </c>
      <c r="D253">
        <f t="shared" si="12"/>
        <v>3.654800335495187</v>
      </c>
      <c r="E253">
        <f t="shared" si="13"/>
        <v>18.898163010408325</v>
      </c>
      <c r="G253" s="39">
        <v>44918</v>
      </c>
      <c r="H253">
        <v>12.944800000000001</v>
      </c>
      <c r="I253">
        <v>27.735900000000001</v>
      </c>
      <c r="L253" s="39">
        <v>43532</v>
      </c>
      <c r="M253">
        <v>32.5</v>
      </c>
      <c r="N253">
        <v>8</v>
      </c>
      <c r="O253">
        <v>18.3</v>
      </c>
      <c r="P253">
        <v>54.4</v>
      </c>
      <c r="Q253">
        <v>28.2</v>
      </c>
      <c r="R253">
        <v>12.6</v>
      </c>
      <c r="S253">
        <v>18.3</v>
      </c>
      <c r="T253">
        <v>12.6</v>
      </c>
      <c r="U253">
        <v>28.2</v>
      </c>
      <c r="V253">
        <v>27.4</v>
      </c>
      <c r="X253">
        <v>74.8</v>
      </c>
    </row>
    <row r="254" spans="1:24">
      <c r="A254" s="39">
        <v>44882</v>
      </c>
      <c r="B254" s="152">
        <v>11.8142</v>
      </c>
      <c r="C254">
        <f t="shared" si="11"/>
        <v>34.141525685321461</v>
      </c>
      <c r="D254">
        <f t="shared" si="12"/>
        <v>3.654800335495187</v>
      </c>
      <c r="E254">
        <f t="shared" si="13"/>
        <v>18.898163010408325</v>
      </c>
      <c r="G254" s="39">
        <v>44917</v>
      </c>
      <c r="H254">
        <v>13.1426</v>
      </c>
      <c r="I254">
        <v>27.534800000000001</v>
      </c>
      <c r="L254" s="39">
        <v>43525</v>
      </c>
      <c r="M254">
        <v>32.700000000000003</v>
      </c>
      <c r="N254">
        <v>12.2</v>
      </c>
      <c r="O254">
        <v>18.3</v>
      </c>
      <c r="P254">
        <v>49.8</v>
      </c>
      <c r="Q254">
        <v>29.1</v>
      </c>
      <c r="R254">
        <v>12.1</v>
      </c>
      <c r="S254">
        <v>18.3</v>
      </c>
      <c r="T254">
        <v>12.1</v>
      </c>
      <c r="U254">
        <v>29.1</v>
      </c>
      <c r="V254">
        <v>26.4</v>
      </c>
      <c r="X254">
        <v>78.900000000000006</v>
      </c>
    </row>
    <row r="255" spans="1:24">
      <c r="A255" s="39">
        <v>44881</v>
      </c>
      <c r="B255" s="152">
        <v>11.432700000000001</v>
      </c>
      <c r="C255">
        <f t="shared" si="11"/>
        <v>34.141525685321461</v>
      </c>
      <c r="D255">
        <f t="shared" si="12"/>
        <v>3.654800335495187</v>
      </c>
      <c r="E255">
        <f t="shared" si="13"/>
        <v>18.898163010408325</v>
      </c>
      <c r="G255" s="39">
        <v>44916</v>
      </c>
      <c r="H255">
        <v>13.1144</v>
      </c>
      <c r="I255">
        <v>27.6509</v>
      </c>
      <c r="L255" s="39">
        <v>43518</v>
      </c>
      <c r="M255">
        <v>33.1</v>
      </c>
      <c r="N255">
        <v>11.8</v>
      </c>
      <c r="O255">
        <v>18.600000000000001</v>
      </c>
      <c r="P255">
        <v>50.4</v>
      </c>
      <c r="Q255">
        <v>29.4</v>
      </c>
      <c r="R255">
        <v>12</v>
      </c>
      <c r="S255">
        <v>18.600000000000001</v>
      </c>
      <c r="T255">
        <v>12</v>
      </c>
      <c r="U255">
        <v>29.4</v>
      </c>
      <c r="V255">
        <v>26</v>
      </c>
      <c r="X255">
        <v>63.2</v>
      </c>
    </row>
    <row r="256" spans="1:24">
      <c r="A256" s="39">
        <v>44880</v>
      </c>
      <c r="B256" s="152">
        <v>10.697800000000001</v>
      </c>
      <c r="C256">
        <f t="shared" si="11"/>
        <v>34.141525685321461</v>
      </c>
      <c r="D256">
        <f t="shared" si="12"/>
        <v>3.654800335495187</v>
      </c>
      <c r="E256">
        <f t="shared" si="13"/>
        <v>18.898163010408325</v>
      </c>
      <c r="G256" s="39">
        <v>44915</v>
      </c>
      <c r="H256">
        <v>13.1426</v>
      </c>
      <c r="I256">
        <v>27.3765</v>
      </c>
      <c r="L256" s="39">
        <v>43511</v>
      </c>
      <c r="M256">
        <v>32.4</v>
      </c>
      <c r="N256">
        <v>12.6</v>
      </c>
      <c r="O256">
        <v>18.7</v>
      </c>
      <c r="P256">
        <v>51.9</v>
      </c>
      <c r="Q256">
        <v>29.4</v>
      </c>
      <c r="R256">
        <v>12</v>
      </c>
      <c r="S256">
        <v>18.7</v>
      </c>
      <c r="T256">
        <v>12</v>
      </c>
      <c r="U256">
        <v>29.4</v>
      </c>
      <c r="V256">
        <v>26.1</v>
      </c>
      <c r="X256">
        <v>60.3</v>
      </c>
    </row>
    <row r="257" spans="1:24">
      <c r="A257" s="39">
        <v>44879</v>
      </c>
      <c r="B257" s="152">
        <v>11.4892</v>
      </c>
      <c r="C257">
        <f t="shared" si="11"/>
        <v>34.141525685321461</v>
      </c>
      <c r="D257">
        <f t="shared" si="12"/>
        <v>3.654800335495187</v>
      </c>
      <c r="E257">
        <f t="shared" si="13"/>
        <v>18.898163010408325</v>
      </c>
      <c r="G257" s="39">
        <v>44914</v>
      </c>
      <c r="H257">
        <v>13.3264</v>
      </c>
      <c r="I257">
        <v>27.445599999999999</v>
      </c>
      <c r="L257" s="39">
        <v>43504</v>
      </c>
      <c r="M257">
        <v>32.299999999999997</v>
      </c>
      <c r="N257">
        <v>13.7</v>
      </c>
      <c r="O257">
        <v>17.899999999999999</v>
      </c>
      <c r="P257">
        <v>49.5</v>
      </c>
      <c r="Q257">
        <v>29.9</v>
      </c>
      <c r="R257">
        <v>11.7</v>
      </c>
      <c r="S257">
        <v>17.899999999999999</v>
      </c>
      <c r="T257">
        <v>11.7</v>
      </c>
      <c r="U257">
        <v>29.9</v>
      </c>
      <c r="V257">
        <v>26.4</v>
      </c>
      <c r="X257">
        <v>58.7</v>
      </c>
    </row>
    <row r="258" spans="1:24">
      <c r="A258" s="39">
        <v>44876</v>
      </c>
      <c r="B258" s="152">
        <v>12.1534</v>
      </c>
      <c r="C258">
        <f t="shared" si="11"/>
        <v>34.141525685321461</v>
      </c>
      <c r="D258">
        <f t="shared" si="12"/>
        <v>3.654800335495187</v>
      </c>
      <c r="E258">
        <f t="shared" si="13"/>
        <v>18.898163010408325</v>
      </c>
      <c r="G258" s="39">
        <v>44911</v>
      </c>
      <c r="H258">
        <v>13.5242</v>
      </c>
      <c r="I258">
        <v>27.817399999999999</v>
      </c>
      <c r="L258" s="39">
        <v>43497</v>
      </c>
      <c r="M258">
        <v>32.5</v>
      </c>
      <c r="N258">
        <v>14.1</v>
      </c>
      <c r="O258">
        <v>17.600000000000001</v>
      </c>
      <c r="P258">
        <v>48.6</v>
      </c>
      <c r="Q258">
        <v>30.1</v>
      </c>
      <c r="R258">
        <v>11.7</v>
      </c>
      <c r="S258">
        <v>17.600000000000001</v>
      </c>
      <c r="T258">
        <v>11.7</v>
      </c>
      <c r="U258">
        <v>30.1</v>
      </c>
      <c r="V258">
        <v>26.7</v>
      </c>
      <c r="X258">
        <v>59.1</v>
      </c>
    </row>
    <row r="259" spans="1:24">
      <c r="A259" s="39">
        <v>44875</v>
      </c>
      <c r="B259" s="152">
        <v>11.9697</v>
      </c>
      <c r="C259">
        <f t="shared" si="11"/>
        <v>34.141525685321461</v>
      </c>
      <c r="D259">
        <f t="shared" si="12"/>
        <v>3.654800335495187</v>
      </c>
      <c r="E259">
        <f t="shared" si="13"/>
        <v>18.898163010408325</v>
      </c>
      <c r="G259" s="39">
        <v>44910</v>
      </c>
      <c r="H259">
        <v>13.284000000000001</v>
      </c>
      <c r="I259">
        <v>27.857900000000001</v>
      </c>
      <c r="L259" s="39">
        <v>43490</v>
      </c>
      <c r="M259">
        <v>32.5</v>
      </c>
      <c r="N259">
        <v>14.5</v>
      </c>
      <c r="O259">
        <v>18.399999999999999</v>
      </c>
      <c r="P259">
        <v>48.6</v>
      </c>
      <c r="R259">
        <v>12.3</v>
      </c>
      <c r="S259">
        <v>18.399999999999999</v>
      </c>
      <c r="T259">
        <v>12.3</v>
      </c>
      <c r="V259">
        <v>26.5</v>
      </c>
      <c r="X259">
        <v>57.4</v>
      </c>
    </row>
    <row r="260" spans="1:24">
      <c r="A260" s="39">
        <v>44874</v>
      </c>
      <c r="B260" s="152">
        <v>12.86</v>
      </c>
      <c r="C260">
        <f t="shared" ref="C260:C323" si="14">AVERAGE($B$3:$B$1251)+$C$1</f>
        <v>34.141525685321461</v>
      </c>
      <c r="D260">
        <f t="shared" ref="D260:D323" si="15">AVERAGE($B$3:$B$1251)-$C$1</f>
        <v>3.654800335495187</v>
      </c>
      <c r="E260">
        <f t="shared" ref="E260:E323" si="16">AVERAGE($B$3:$B$1251)</f>
        <v>18.898163010408325</v>
      </c>
      <c r="G260" s="39">
        <v>44909</v>
      </c>
      <c r="H260">
        <v>13.128500000000001</v>
      </c>
      <c r="I260">
        <v>28.288599999999999</v>
      </c>
      <c r="L260" s="39">
        <v>43483</v>
      </c>
      <c r="M260">
        <v>31.4</v>
      </c>
      <c r="N260">
        <v>12.3</v>
      </c>
      <c r="O260">
        <v>18.600000000000001</v>
      </c>
      <c r="P260">
        <v>51.6</v>
      </c>
      <c r="R260">
        <v>12</v>
      </c>
      <c r="S260">
        <v>18.600000000000001</v>
      </c>
      <c r="T260">
        <v>12</v>
      </c>
      <c r="V260">
        <v>27.1</v>
      </c>
      <c r="X260">
        <v>57.9</v>
      </c>
    </row>
    <row r="261" spans="1:24">
      <c r="A261" s="39">
        <v>44873</v>
      </c>
      <c r="B261" s="152">
        <v>12.605600000000001</v>
      </c>
      <c r="C261">
        <f t="shared" si="14"/>
        <v>34.141525685321461</v>
      </c>
      <c r="D261">
        <f t="shared" si="15"/>
        <v>3.654800335495187</v>
      </c>
      <c r="E261">
        <f t="shared" si="16"/>
        <v>18.898163010408325</v>
      </c>
      <c r="G261" s="39">
        <v>44908</v>
      </c>
      <c r="H261">
        <v>13.1144</v>
      </c>
      <c r="I261">
        <v>28.199100000000001</v>
      </c>
      <c r="L261" s="39">
        <v>43476</v>
      </c>
      <c r="M261">
        <v>31.4</v>
      </c>
      <c r="N261">
        <v>12.3</v>
      </c>
      <c r="O261">
        <v>18</v>
      </c>
      <c r="P261">
        <v>52.9</v>
      </c>
      <c r="R261">
        <v>11.8</v>
      </c>
      <c r="S261">
        <v>18</v>
      </c>
      <c r="T261">
        <v>11.8</v>
      </c>
      <c r="V261">
        <v>26.7</v>
      </c>
      <c r="X261">
        <v>55.6</v>
      </c>
    </row>
    <row r="262" spans="1:24">
      <c r="A262" s="39">
        <v>44872</v>
      </c>
      <c r="B262" s="152">
        <v>12.111000000000001</v>
      </c>
      <c r="C262">
        <f t="shared" si="14"/>
        <v>34.141525685321461</v>
      </c>
      <c r="D262">
        <f t="shared" si="15"/>
        <v>3.654800335495187</v>
      </c>
      <c r="E262">
        <f t="shared" si="16"/>
        <v>18.898163010408325</v>
      </c>
      <c r="G262" s="39">
        <v>44907</v>
      </c>
      <c r="H262">
        <v>12.973100000000001</v>
      </c>
      <c r="I262">
        <v>28.080400000000001</v>
      </c>
      <c r="L262" s="39">
        <v>43469</v>
      </c>
      <c r="M262">
        <v>30.4</v>
      </c>
      <c r="N262">
        <v>11.8</v>
      </c>
      <c r="O262">
        <v>17.8</v>
      </c>
      <c r="P262">
        <v>55.6</v>
      </c>
      <c r="R262">
        <v>11.3</v>
      </c>
      <c r="S262">
        <v>17.8</v>
      </c>
      <c r="T262">
        <v>11.3</v>
      </c>
      <c r="V262">
        <v>26.2</v>
      </c>
      <c r="X262">
        <v>57.7</v>
      </c>
    </row>
    <row r="263" spans="1:24">
      <c r="A263" s="39">
        <v>44869</v>
      </c>
      <c r="B263" s="152">
        <v>13.015499999999999</v>
      </c>
      <c r="C263">
        <f t="shared" si="14"/>
        <v>34.141525685321461</v>
      </c>
      <c r="D263">
        <f t="shared" si="15"/>
        <v>3.654800335495187</v>
      </c>
      <c r="E263">
        <f t="shared" si="16"/>
        <v>18.898163010408325</v>
      </c>
      <c r="G263" s="39">
        <v>44904</v>
      </c>
      <c r="H263">
        <v>13.0579</v>
      </c>
      <c r="I263">
        <v>27.952100000000002</v>
      </c>
      <c r="L263" s="39">
        <v>43462</v>
      </c>
      <c r="M263">
        <v>28.9</v>
      </c>
      <c r="N263">
        <v>11.5</v>
      </c>
      <c r="O263">
        <v>17.5</v>
      </c>
      <c r="P263">
        <v>56.5</v>
      </c>
      <c r="R263">
        <v>11</v>
      </c>
      <c r="S263">
        <v>17.5</v>
      </c>
      <c r="T263">
        <v>11</v>
      </c>
      <c r="V263">
        <v>25.6</v>
      </c>
      <c r="X263">
        <v>56.9</v>
      </c>
    </row>
    <row r="264" spans="1:24">
      <c r="A264" s="39">
        <v>44868</v>
      </c>
      <c r="B264" s="152">
        <v>13.990600000000001</v>
      </c>
      <c r="C264">
        <f t="shared" si="14"/>
        <v>34.141525685321461</v>
      </c>
      <c r="D264">
        <f t="shared" si="15"/>
        <v>3.654800335495187</v>
      </c>
      <c r="E264">
        <f t="shared" si="16"/>
        <v>18.898163010408325</v>
      </c>
      <c r="G264" s="39">
        <v>44903</v>
      </c>
      <c r="H264">
        <v>13.001300000000001</v>
      </c>
      <c r="I264">
        <v>28.578700000000001</v>
      </c>
      <c r="L264" s="39">
        <v>43455</v>
      </c>
      <c r="M264">
        <v>29.4</v>
      </c>
      <c r="N264">
        <v>6.9</v>
      </c>
      <c r="O264">
        <v>16.600000000000001</v>
      </c>
      <c r="P264">
        <v>69</v>
      </c>
      <c r="R264">
        <v>10.4</v>
      </c>
      <c r="S264">
        <v>16.600000000000001</v>
      </c>
      <c r="T264">
        <v>10.4</v>
      </c>
      <c r="V264">
        <v>24.7</v>
      </c>
      <c r="X264">
        <v>59.6</v>
      </c>
    </row>
    <row r="265" spans="1:24">
      <c r="A265" s="39">
        <v>44867</v>
      </c>
      <c r="B265" s="152">
        <v>13.566599999999999</v>
      </c>
      <c r="C265">
        <f t="shared" si="14"/>
        <v>34.141525685321461</v>
      </c>
      <c r="D265">
        <f t="shared" si="15"/>
        <v>3.654800335495187</v>
      </c>
      <c r="E265">
        <f t="shared" si="16"/>
        <v>18.898163010408325</v>
      </c>
      <c r="G265" s="39">
        <v>44902</v>
      </c>
      <c r="H265">
        <v>12.676299999999999</v>
      </c>
      <c r="I265">
        <v>28.709299999999999</v>
      </c>
      <c r="L265" s="39">
        <v>43448</v>
      </c>
      <c r="M265">
        <v>30.1</v>
      </c>
      <c r="N265">
        <v>6.6</v>
      </c>
      <c r="O265">
        <v>17.5</v>
      </c>
      <c r="P265">
        <v>63.5</v>
      </c>
      <c r="R265">
        <v>11.4</v>
      </c>
      <c r="S265">
        <v>17.5</v>
      </c>
      <c r="T265">
        <v>11.4</v>
      </c>
      <c r="V265">
        <v>26.3</v>
      </c>
      <c r="X265">
        <v>70.599999999999994</v>
      </c>
    </row>
    <row r="266" spans="1:24">
      <c r="A266" s="39">
        <v>44866</v>
      </c>
      <c r="B266" s="152">
        <v>14.1601</v>
      </c>
      <c r="C266">
        <f t="shared" si="14"/>
        <v>34.141525685321461</v>
      </c>
      <c r="D266">
        <f t="shared" si="15"/>
        <v>3.654800335495187</v>
      </c>
      <c r="E266">
        <f t="shared" si="16"/>
        <v>18.898163010408325</v>
      </c>
      <c r="G266" s="39">
        <v>44901</v>
      </c>
      <c r="H266">
        <v>12.535</v>
      </c>
      <c r="I266">
        <v>28.5932</v>
      </c>
      <c r="L266" s="39">
        <v>43441</v>
      </c>
      <c r="M266">
        <v>30.3</v>
      </c>
      <c r="N266">
        <v>5.8</v>
      </c>
      <c r="O266">
        <v>17.7</v>
      </c>
      <c r="P266">
        <v>62</v>
      </c>
      <c r="R266">
        <v>11.5</v>
      </c>
      <c r="S266">
        <v>17.7</v>
      </c>
      <c r="T266">
        <v>11.5</v>
      </c>
      <c r="V266">
        <v>28.5</v>
      </c>
      <c r="X266">
        <v>71</v>
      </c>
    </row>
    <row r="267" spans="1:24">
      <c r="A267" s="39">
        <v>44865</v>
      </c>
      <c r="B267" s="152">
        <v>14.584099999999999</v>
      </c>
      <c r="C267">
        <f t="shared" si="14"/>
        <v>34.141525685321461</v>
      </c>
      <c r="D267">
        <f t="shared" si="15"/>
        <v>3.654800335495187</v>
      </c>
      <c r="E267">
        <f t="shared" si="16"/>
        <v>18.898163010408325</v>
      </c>
      <c r="G267" s="39">
        <v>44900</v>
      </c>
      <c r="H267">
        <v>13.4535</v>
      </c>
      <c r="I267">
        <v>28.982399999999998</v>
      </c>
      <c r="L267" s="39">
        <v>43434</v>
      </c>
      <c r="M267">
        <v>28.9</v>
      </c>
      <c r="N267">
        <v>5.6</v>
      </c>
      <c r="O267">
        <v>18.5</v>
      </c>
      <c r="P267">
        <v>60.7</v>
      </c>
      <c r="R267">
        <v>12.1</v>
      </c>
      <c r="S267">
        <v>18.5</v>
      </c>
      <c r="T267">
        <v>12.1</v>
      </c>
      <c r="V267">
        <v>29.3</v>
      </c>
      <c r="X267">
        <v>72</v>
      </c>
    </row>
    <row r="268" spans="1:24">
      <c r="A268" s="39">
        <v>44862</v>
      </c>
      <c r="B268" s="152">
        <v>15.036300000000001</v>
      </c>
      <c r="C268">
        <f t="shared" si="14"/>
        <v>34.141525685321461</v>
      </c>
      <c r="D268">
        <f t="shared" si="15"/>
        <v>3.654800335495187</v>
      </c>
      <c r="E268">
        <f t="shared" si="16"/>
        <v>18.898163010408325</v>
      </c>
      <c r="G268" s="39">
        <v>44897</v>
      </c>
      <c r="H268">
        <v>13.284000000000001</v>
      </c>
      <c r="I268">
        <v>29.3324</v>
      </c>
      <c r="L268" s="39">
        <v>43427</v>
      </c>
      <c r="M268">
        <v>29</v>
      </c>
      <c r="N268">
        <v>5.3</v>
      </c>
      <c r="O268">
        <v>18</v>
      </c>
      <c r="P268">
        <v>58.1</v>
      </c>
      <c r="R268">
        <v>11.4</v>
      </c>
      <c r="S268">
        <v>18</v>
      </c>
      <c r="T268">
        <v>11.4</v>
      </c>
      <c r="V268">
        <v>27.9</v>
      </c>
      <c r="X268">
        <v>68.900000000000006</v>
      </c>
    </row>
    <row r="269" spans="1:24">
      <c r="A269" s="39">
        <v>44861</v>
      </c>
      <c r="B269" s="152">
        <v>15.0646</v>
      </c>
      <c r="C269">
        <f t="shared" si="14"/>
        <v>34.141525685321461</v>
      </c>
      <c r="D269">
        <f t="shared" si="15"/>
        <v>3.654800335495187</v>
      </c>
      <c r="E269">
        <f t="shared" si="16"/>
        <v>18.898163010408325</v>
      </c>
      <c r="G269" s="39">
        <v>44896</v>
      </c>
      <c r="H269">
        <v>12.450200000000001</v>
      </c>
      <c r="I269">
        <v>29.319900000000001</v>
      </c>
      <c r="L269" s="39">
        <v>43420</v>
      </c>
      <c r="M269">
        <v>29.4</v>
      </c>
      <c r="N269">
        <v>5.3</v>
      </c>
      <c r="O269">
        <v>18.5</v>
      </c>
      <c r="P269">
        <v>56.7</v>
      </c>
      <c r="R269">
        <v>13.4</v>
      </c>
      <c r="S269">
        <v>18.5</v>
      </c>
      <c r="T269">
        <v>13.4</v>
      </c>
      <c r="V269">
        <v>30.5</v>
      </c>
      <c r="X269">
        <v>68.099999999999994</v>
      </c>
    </row>
    <row r="270" spans="1:24">
      <c r="A270" s="39">
        <v>44860</v>
      </c>
      <c r="B270" s="152">
        <v>14.668900000000001</v>
      </c>
      <c r="C270">
        <f t="shared" si="14"/>
        <v>34.141525685321461</v>
      </c>
      <c r="D270">
        <f t="shared" si="15"/>
        <v>3.654800335495187</v>
      </c>
      <c r="E270">
        <f t="shared" si="16"/>
        <v>18.898163010408325</v>
      </c>
      <c r="G270" s="39">
        <v>44895</v>
      </c>
      <c r="H270">
        <v>12.4643</v>
      </c>
      <c r="I270">
        <v>29.423200000000001</v>
      </c>
      <c r="L270" s="39">
        <v>43413</v>
      </c>
      <c r="M270">
        <v>28.9</v>
      </c>
      <c r="N270">
        <v>6.2</v>
      </c>
      <c r="O270">
        <v>20</v>
      </c>
      <c r="P270">
        <v>56</v>
      </c>
      <c r="R270">
        <v>14.6</v>
      </c>
      <c r="S270">
        <v>20</v>
      </c>
      <c r="T270">
        <v>14.6</v>
      </c>
      <c r="V270">
        <v>31.3</v>
      </c>
      <c r="X270">
        <v>69.8</v>
      </c>
    </row>
    <row r="271" spans="1:24">
      <c r="A271" s="39">
        <v>44859</v>
      </c>
      <c r="B271" s="152">
        <v>14.6972</v>
      </c>
      <c r="C271">
        <f t="shared" si="14"/>
        <v>34.141525685321461</v>
      </c>
      <c r="D271">
        <f t="shared" si="15"/>
        <v>3.654800335495187</v>
      </c>
      <c r="E271">
        <f t="shared" si="16"/>
        <v>18.898163010408325</v>
      </c>
      <c r="G271" s="39">
        <v>44894</v>
      </c>
      <c r="H271">
        <v>12.0969</v>
      </c>
      <c r="I271">
        <v>28.694400000000002</v>
      </c>
      <c r="L271" s="39">
        <v>43406</v>
      </c>
      <c r="M271">
        <v>29</v>
      </c>
      <c r="N271">
        <v>5.7</v>
      </c>
      <c r="O271">
        <v>19.2</v>
      </c>
      <c r="P271">
        <v>53</v>
      </c>
      <c r="R271">
        <v>14.2</v>
      </c>
      <c r="S271">
        <v>19.2</v>
      </c>
      <c r="T271">
        <v>14.2</v>
      </c>
      <c r="V271">
        <v>30.3</v>
      </c>
      <c r="X271">
        <v>65.900000000000006</v>
      </c>
    </row>
    <row r="272" spans="1:24">
      <c r="A272" s="39">
        <v>44858</v>
      </c>
      <c r="B272" s="152">
        <v>14.301500000000001</v>
      </c>
      <c r="C272">
        <f t="shared" si="14"/>
        <v>34.141525685321461</v>
      </c>
      <c r="D272">
        <f t="shared" si="15"/>
        <v>3.654800335495187</v>
      </c>
      <c r="E272">
        <f t="shared" si="16"/>
        <v>18.898163010408325</v>
      </c>
      <c r="G272" s="39">
        <v>44893</v>
      </c>
      <c r="H272">
        <v>11.347899999999999</v>
      </c>
      <c r="I272">
        <v>28.736899999999999</v>
      </c>
      <c r="L272" s="39">
        <v>43399</v>
      </c>
      <c r="M272">
        <v>27</v>
      </c>
      <c r="N272">
        <v>6.1</v>
      </c>
      <c r="O272">
        <v>19</v>
      </c>
      <c r="P272">
        <v>56</v>
      </c>
      <c r="R272">
        <v>14.3</v>
      </c>
      <c r="S272">
        <v>19</v>
      </c>
      <c r="T272">
        <v>14.3</v>
      </c>
      <c r="V272">
        <v>28.7</v>
      </c>
      <c r="X272">
        <v>64.7</v>
      </c>
    </row>
    <row r="273" spans="1:24">
      <c r="A273" s="39">
        <v>44855</v>
      </c>
      <c r="B273" s="152">
        <v>15.375500000000001</v>
      </c>
      <c r="C273">
        <f t="shared" si="14"/>
        <v>34.141525685321461</v>
      </c>
      <c r="D273">
        <f t="shared" si="15"/>
        <v>3.654800335495187</v>
      </c>
      <c r="E273">
        <f t="shared" si="16"/>
        <v>18.898163010408325</v>
      </c>
      <c r="G273" s="39">
        <v>44890</v>
      </c>
      <c r="H273">
        <v>10.6837</v>
      </c>
      <c r="I273">
        <v>28.564299999999999</v>
      </c>
      <c r="L273" s="39">
        <v>43392</v>
      </c>
      <c r="M273">
        <v>27.7</v>
      </c>
      <c r="N273">
        <v>6.6</v>
      </c>
      <c r="O273">
        <v>18.7</v>
      </c>
      <c r="P273">
        <v>57</v>
      </c>
      <c r="R273">
        <v>14.3</v>
      </c>
      <c r="S273">
        <v>18.7</v>
      </c>
      <c r="T273">
        <v>14.3</v>
      </c>
      <c r="V273">
        <v>30.2</v>
      </c>
      <c r="X273">
        <v>66.5</v>
      </c>
    </row>
    <row r="274" spans="1:24">
      <c r="A274" s="39">
        <v>44854</v>
      </c>
      <c r="B274" s="152">
        <v>16.506</v>
      </c>
      <c r="C274">
        <f t="shared" si="14"/>
        <v>34.141525685321461</v>
      </c>
      <c r="D274">
        <f t="shared" si="15"/>
        <v>3.654800335495187</v>
      </c>
      <c r="E274">
        <f t="shared" si="16"/>
        <v>18.898163010408325</v>
      </c>
      <c r="G274" s="39">
        <v>44889</v>
      </c>
      <c r="H274">
        <v>10.6554</v>
      </c>
      <c r="I274">
        <v>28.6097</v>
      </c>
      <c r="L274" s="39">
        <v>43385</v>
      </c>
      <c r="M274">
        <v>28.5</v>
      </c>
      <c r="N274">
        <v>7.1</v>
      </c>
      <c r="O274">
        <v>18.2</v>
      </c>
      <c r="P274">
        <v>59.6</v>
      </c>
      <c r="R274">
        <v>14.8</v>
      </c>
      <c r="S274">
        <v>18.2</v>
      </c>
      <c r="T274">
        <v>14.8</v>
      </c>
      <c r="V274">
        <v>29.9</v>
      </c>
      <c r="X274">
        <v>64.8</v>
      </c>
    </row>
    <row r="275" spans="1:24">
      <c r="A275" s="39">
        <v>44853</v>
      </c>
      <c r="B275" s="152">
        <v>16.675599999999999</v>
      </c>
      <c r="C275">
        <f t="shared" si="14"/>
        <v>34.141525685321461</v>
      </c>
      <c r="D275">
        <f t="shared" si="15"/>
        <v>3.654800335495187</v>
      </c>
      <c r="E275">
        <f t="shared" si="16"/>
        <v>18.898163010408325</v>
      </c>
      <c r="G275" s="39">
        <v>44888</v>
      </c>
      <c r="H275">
        <v>11.4468</v>
      </c>
      <c r="I275">
        <v>28.5686</v>
      </c>
      <c r="L275" s="39">
        <v>43378</v>
      </c>
      <c r="M275">
        <v>29.4</v>
      </c>
      <c r="N275">
        <v>7.6</v>
      </c>
      <c r="O275">
        <v>18</v>
      </c>
      <c r="P275">
        <v>60.3</v>
      </c>
      <c r="R275">
        <v>14.8</v>
      </c>
      <c r="S275">
        <v>18</v>
      </c>
      <c r="T275">
        <v>14.8</v>
      </c>
      <c r="V275">
        <v>28.8</v>
      </c>
      <c r="X275">
        <v>68.3</v>
      </c>
    </row>
    <row r="276" spans="1:24">
      <c r="A276" s="39">
        <v>44852</v>
      </c>
      <c r="B276" s="152">
        <v>16.675599999999999</v>
      </c>
      <c r="C276">
        <f t="shared" si="14"/>
        <v>34.141525685321461</v>
      </c>
      <c r="D276">
        <f t="shared" si="15"/>
        <v>3.654800335495187</v>
      </c>
      <c r="E276">
        <f t="shared" si="16"/>
        <v>18.898163010408325</v>
      </c>
      <c r="G276" s="39">
        <v>44887</v>
      </c>
      <c r="H276">
        <v>11.362</v>
      </c>
      <c r="I276">
        <v>28.464400000000001</v>
      </c>
      <c r="L276" s="39">
        <v>43371</v>
      </c>
      <c r="M276">
        <v>29.3</v>
      </c>
      <c r="N276">
        <v>8.1999999999999993</v>
      </c>
      <c r="O276">
        <v>18.100000000000001</v>
      </c>
      <c r="P276">
        <v>67.599999999999994</v>
      </c>
      <c r="R276">
        <v>15.4</v>
      </c>
      <c r="S276">
        <v>18.100000000000001</v>
      </c>
      <c r="T276">
        <v>15.4</v>
      </c>
      <c r="V276">
        <v>30.9</v>
      </c>
      <c r="X276">
        <v>69.400000000000006</v>
      </c>
    </row>
    <row r="277" spans="1:24">
      <c r="A277" s="39">
        <v>44851</v>
      </c>
      <c r="B277" s="152">
        <v>16.647400000000001</v>
      </c>
      <c r="C277">
        <f t="shared" si="14"/>
        <v>34.141525685321461</v>
      </c>
      <c r="D277">
        <f t="shared" si="15"/>
        <v>3.654800335495187</v>
      </c>
      <c r="E277">
        <f t="shared" si="16"/>
        <v>18.898163010408325</v>
      </c>
      <c r="G277" s="39">
        <v>44886</v>
      </c>
      <c r="H277">
        <v>11.4892</v>
      </c>
      <c r="I277">
        <v>28.4343</v>
      </c>
      <c r="L277" s="39">
        <v>43364</v>
      </c>
      <c r="M277">
        <v>29.7</v>
      </c>
      <c r="N277">
        <v>7.8</v>
      </c>
      <c r="O277">
        <v>18.399999999999999</v>
      </c>
      <c r="P277">
        <v>74.599999999999994</v>
      </c>
      <c r="R277">
        <v>15.2</v>
      </c>
      <c r="S277">
        <v>18.399999999999999</v>
      </c>
      <c r="T277">
        <v>15.2</v>
      </c>
      <c r="V277">
        <v>30.9</v>
      </c>
      <c r="X277">
        <v>66.400000000000006</v>
      </c>
    </row>
    <row r="278" spans="1:24">
      <c r="A278" s="39">
        <v>44848</v>
      </c>
      <c r="B278" s="152">
        <v>16.93</v>
      </c>
      <c r="C278">
        <f t="shared" si="14"/>
        <v>34.141525685321461</v>
      </c>
      <c r="D278">
        <f t="shared" si="15"/>
        <v>3.654800335495187</v>
      </c>
      <c r="E278">
        <f t="shared" si="16"/>
        <v>18.898163010408325</v>
      </c>
      <c r="G278" s="39">
        <v>44883</v>
      </c>
      <c r="H278">
        <v>11.9132</v>
      </c>
      <c r="I278">
        <v>28.5199</v>
      </c>
      <c r="L278" s="39">
        <v>43357</v>
      </c>
      <c r="M278">
        <v>29.3</v>
      </c>
      <c r="N278">
        <v>7.6</v>
      </c>
      <c r="O278">
        <v>18.2</v>
      </c>
      <c r="P278">
        <v>72</v>
      </c>
      <c r="R278">
        <v>15.4</v>
      </c>
      <c r="S278">
        <v>18.2</v>
      </c>
      <c r="T278">
        <v>15.4</v>
      </c>
      <c r="V278">
        <v>31</v>
      </c>
      <c r="X278">
        <v>64.5</v>
      </c>
    </row>
    <row r="279" spans="1:24">
      <c r="A279" s="39">
        <v>44847</v>
      </c>
      <c r="B279" s="152">
        <v>16.279900000000001</v>
      </c>
      <c r="C279">
        <f t="shared" si="14"/>
        <v>34.141525685321461</v>
      </c>
      <c r="D279">
        <f t="shared" si="15"/>
        <v>3.654800335495187</v>
      </c>
      <c r="E279">
        <f t="shared" si="16"/>
        <v>18.898163010408325</v>
      </c>
      <c r="G279" s="39">
        <v>44882</v>
      </c>
      <c r="H279">
        <v>11.8142</v>
      </c>
      <c r="I279">
        <v>28.334199999999999</v>
      </c>
      <c r="L279" s="39">
        <v>43350</v>
      </c>
      <c r="M279">
        <v>28.7</v>
      </c>
      <c r="N279">
        <v>7.6</v>
      </c>
      <c r="O279">
        <v>18.399999999999999</v>
      </c>
      <c r="P279">
        <v>73.7</v>
      </c>
      <c r="R279">
        <v>15.5</v>
      </c>
      <c r="S279">
        <v>18.399999999999999</v>
      </c>
      <c r="T279">
        <v>15.5</v>
      </c>
      <c r="V279">
        <v>31.8</v>
      </c>
      <c r="X279">
        <v>61.1</v>
      </c>
    </row>
    <row r="280" spans="1:24">
      <c r="A280" s="39">
        <v>44846</v>
      </c>
      <c r="B280" s="152">
        <v>16.2517</v>
      </c>
      <c r="C280">
        <f t="shared" si="14"/>
        <v>34.141525685321461</v>
      </c>
      <c r="D280">
        <f t="shared" si="15"/>
        <v>3.654800335495187</v>
      </c>
      <c r="E280">
        <f t="shared" si="16"/>
        <v>18.898163010408325</v>
      </c>
      <c r="G280" s="39">
        <v>44881</v>
      </c>
      <c r="H280">
        <v>11.432700000000001</v>
      </c>
      <c r="I280">
        <v>28.2942</v>
      </c>
      <c r="L280" s="39">
        <v>43343</v>
      </c>
      <c r="M280">
        <v>28.9</v>
      </c>
      <c r="N280">
        <v>8.8000000000000007</v>
      </c>
      <c r="O280">
        <v>18.399999999999999</v>
      </c>
      <c r="P280">
        <v>75.099999999999994</v>
      </c>
      <c r="R280">
        <v>15.3</v>
      </c>
      <c r="S280">
        <v>18.399999999999999</v>
      </c>
      <c r="T280">
        <v>15.3</v>
      </c>
      <c r="V280">
        <v>30.7</v>
      </c>
      <c r="X280">
        <v>61</v>
      </c>
    </row>
    <row r="281" spans="1:24">
      <c r="A281" s="39">
        <v>44845</v>
      </c>
      <c r="B281" s="152">
        <v>15.658099999999999</v>
      </c>
      <c r="C281">
        <f t="shared" si="14"/>
        <v>34.141525685321461</v>
      </c>
      <c r="D281">
        <f t="shared" si="15"/>
        <v>3.654800335495187</v>
      </c>
      <c r="E281">
        <f t="shared" si="16"/>
        <v>18.898163010408325</v>
      </c>
      <c r="G281" s="39">
        <v>44880</v>
      </c>
      <c r="H281">
        <v>10.697800000000001</v>
      </c>
      <c r="I281">
        <v>28.603000000000002</v>
      </c>
      <c r="L281" s="39">
        <v>43336</v>
      </c>
      <c r="M281">
        <v>29.5</v>
      </c>
      <c r="N281">
        <v>7.6</v>
      </c>
      <c r="O281">
        <v>18.3</v>
      </c>
      <c r="P281">
        <v>70.599999999999994</v>
      </c>
      <c r="R281">
        <v>15.2</v>
      </c>
      <c r="S281">
        <v>18.3</v>
      </c>
      <c r="T281">
        <v>15.2</v>
      </c>
      <c r="V281">
        <v>31.6</v>
      </c>
      <c r="X281">
        <v>69.400000000000006</v>
      </c>
    </row>
    <row r="282" spans="1:24">
      <c r="A282" s="39">
        <v>44844</v>
      </c>
      <c r="B282" s="152">
        <v>16.1386</v>
      </c>
      <c r="C282">
        <f t="shared" si="14"/>
        <v>34.141525685321461</v>
      </c>
      <c r="D282">
        <f t="shared" si="15"/>
        <v>3.654800335495187</v>
      </c>
      <c r="E282">
        <f t="shared" si="16"/>
        <v>18.898163010408325</v>
      </c>
      <c r="G282" s="39">
        <v>44879</v>
      </c>
      <c r="H282">
        <v>11.4892</v>
      </c>
      <c r="I282">
        <v>27.821100000000001</v>
      </c>
      <c r="L282" s="39">
        <v>43329</v>
      </c>
      <c r="M282">
        <v>29.8</v>
      </c>
      <c r="N282">
        <v>7.5</v>
      </c>
      <c r="O282">
        <v>18.8</v>
      </c>
      <c r="P282">
        <v>70.599999999999994</v>
      </c>
      <c r="R282">
        <v>14.5</v>
      </c>
      <c r="S282">
        <v>18.8</v>
      </c>
      <c r="T282">
        <v>14.5</v>
      </c>
      <c r="V282">
        <v>30.8</v>
      </c>
      <c r="X282">
        <v>66.3</v>
      </c>
    </row>
    <row r="283" spans="1:24">
      <c r="A283" s="39">
        <v>44841</v>
      </c>
      <c r="B283" s="152">
        <v>15.2624</v>
      </c>
      <c r="C283">
        <f t="shared" si="14"/>
        <v>34.141525685321461</v>
      </c>
      <c r="D283">
        <f t="shared" si="15"/>
        <v>3.654800335495187</v>
      </c>
      <c r="E283">
        <f t="shared" si="16"/>
        <v>18.898163010408325</v>
      </c>
      <c r="G283" s="39">
        <v>44876</v>
      </c>
      <c r="H283">
        <v>12.1534</v>
      </c>
      <c r="I283">
        <v>28.055700000000002</v>
      </c>
      <c r="L283" s="39">
        <v>43322</v>
      </c>
      <c r="M283">
        <v>30.5</v>
      </c>
      <c r="N283">
        <v>7.8</v>
      </c>
      <c r="O283">
        <v>17.3</v>
      </c>
      <c r="P283">
        <v>71.5</v>
      </c>
      <c r="R283">
        <v>14.3</v>
      </c>
      <c r="S283">
        <v>17.3</v>
      </c>
      <c r="T283">
        <v>14.3</v>
      </c>
      <c r="V283">
        <v>30.1</v>
      </c>
      <c r="X283">
        <v>64.900000000000006</v>
      </c>
    </row>
    <row r="284" spans="1:24">
      <c r="A284" s="39">
        <v>44840</v>
      </c>
      <c r="B284" s="152">
        <v>16.393000000000001</v>
      </c>
      <c r="C284">
        <f t="shared" si="14"/>
        <v>34.141525685321461</v>
      </c>
      <c r="D284">
        <f t="shared" si="15"/>
        <v>3.654800335495187</v>
      </c>
      <c r="E284">
        <f t="shared" si="16"/>
        <v>18.898163010408325</v>
      </c>
      <c r="G284" s="39">
        <v>44875</v>
      </c>
      <c r="H284">
        <v>11.9697</v>
      </c>
      <c r="I284">
        <v>28.162600000000001</v>
      </c>
      <c r="L284" s="39">
        <v>43315</v>
      </c>
      <c r="M284">
        <v>31.6</v>
      </c>
      <c r="N284">
        <v>8.3000000000000007</v>
      </c>
      <c r="O284">
        <v>17.100000000000001</v>
      </c>
      <c r="P284">
        <v>72</v>
      </c>
      <c r="R284">
        <v>14.1</v>
      </c>
      <c r="S284">
        <v>17.100000000000001</v>
      </c>
      <c r="T284">
        <v>14.1</v>
      </c>
      <c r="V284">
        <v>30.3</v>
      </c>
      <c r="X284">
        <v>64.5</v>
      </c>
    </row>
    <row r="285" spans="1:24">
      <c r="A285" s="39">
        <v>44839</v>
      </c>
      <c r="B285" s="152">
        <v>17.580100000000002</v>
      </c>
      <c r="C285">
        <f t="shared" si="14"/>
        <v>34.141525685321461</v>
      </c>
      <c r="D285">
        <f t="shared" si="15"/>
        <v>3.654800335495187</v>
      </c>
      <c r="E285">
        <f t="shared" si="16"/>
        <v>18.898163010408325</v>
      </c>
      <c r="G285" s="39">
        <v>44874</v>
      </c>
      <c r="H285">
        <v>12.86</v>
      </c>
      <c r="I285">
        <v>27.3476</v>
      </c>
      <c r="L285" s="39">
        <v>43308</v>
      </c>
      <c r="M285">
        <v>32.5</v>
      </c>
      <c r="N285">
        <v>11.1</v>
      </c>
      <c r="O285">
        <v>17.600000000000001</v>
      </c>
      <c r="P285">
        <v>71.099999999999994</v>
      </c>
      <c r="R285">
        <v>14.6</v>
      </c>
      <c r="S285">
        <v>17.600000000000001</v>
      </c>
      <c r="T285">
        <v>14.6</v>
      </c>
      <c r="V285">
        <v>30</v>
      </c>
      <c r="X285">
        <v>64.8</v>
      </c>
    </row>
    <row r="286" spans="1:24">
      <c r="A286" s="39">
        <v>44838</v>
      </c>
      <c r="B286" s="152">
        <v>17.2409</v>
      </c>
      <c r="C286">
        <f t="shared" si="14"/>
        <v>34.141525685321461</v>
      </c>
      <c r="D286">
        <f t="shared" si="15"/>
        <v>3.654800335495187</v>
      </c>
      <c r="E286">
        <f t="shared" si="16"/>
        <v>18.898163010408325</v>
      </c>
      <c r="G286" s="39">
        <v>44873</v>
      </c>
      <c r="H286">
        <v>12.605600000000001</v>
      </c>
      <c r="I286">
        <v>27.842700000000001</v>
      </c>
      <c r="L286" s="39">
        <v>43301</v>
      </c>
      <c r="M286">
        <v>32</v>
      </c>
      <c r="N286">
        <v>10.199999999999999</v>
      </c>
      <c r="O286">
        <v>17.600000000000001</v>
      </c>
      <c r="P286">
        <v>75.099999999999994</v>
      </c>
      <c r="R286">
        <v>14.2</v>
      </c>
      <c r="S286">
        <v>17.600000000000001</v>
      </c>
      <c r="T286">
        <v>14.2</v>
      </c>
      <c r="V286">
        <v>29.9</v>
      </c>
      <c r="X286">
        <v>63.2</v>
      </c>
    </row>
    <row r="287" spans="1:24">
      <c r="A287" s="39">
        <v>44837</v>
      </c>
      <c r="B287" s="152">
        <v>16.845199999999998</v>
      </c>
      <c r="C287">
        <f t="shared" si="14"/>
        <v>34.141525685321461</v>
      </c>
      <c r="D287">
        <f t="shared" si="15"/>
        <v>3.654800335495187</v>
      </c>
      <c r="E287">
        <f t="shared" si="16"/>
        <v>18.898163010408325</v>
      </c>
      <c r="G287" s="39">
        <v>44872</v>
      </c>
      <c r="H287">
        <v>12.111000000000001</v>
      </c>
      <c r="I287">
        <v>27.7148</v>
      </c>
      <c r="L287" s="39">
        <v>43294</v>
      </c>
      <c r="M287">
        <v>32.5</v>
      </c>
      <c r="N287">
        <v>9.5</v>
      </c>
      <c r="O287">
        <v>17.5</v>
      </c>
      <c r="P287">
        <v>64.900000000000006</v>
      </c>
      <c r="R287">
        <v>14.2</v>
      </c>
      <c r="S287">
        <v>17.5</v>
      </c>
      <c r="T287">
        <v>14.2</v>
      </c>
      <c r="V287">
        <v>29.6</v>
      </c>
      <c r="X287">
        <v>62.5</v>
      </c>
    </row>
    <row r="288" spans="1:24">
      <c r="A288" s="39">
        <v>44834</v>
      </c>
      <c r="B288" s="152">
        <v>18.088799999999999</v>
      </c>
      <c r="C288">
        <f t="shared" si="14"/>
        <v>34.141525685321461</v>
      </c>
      <c r="D288">
        <f t="shared" si="15"/>
        <v>3.654800335495187</v>
      </c>
      <c r="E288">
        <f t="shared" si="16"/>
        <v>18.898163010408325</v>
      </c>
      <c r="G288" s="39">
        <v>44869</v>
      </c>
      <c r="H288">
        <v>13.015499999999999</v>
      </c>
      <c r="I288">
        <v>27.5931</v>
      </c>
      <c r="L288" s="39">
        <v>43287</v>
      </c>
      <c r="M288">
        <v>33.1</v>
      </c>
      <c r="N288">
        <v>10.199999999999999</v>
      </c>
      <c r="O288">
        <v>16.899999999999999</v>
      </c>
      <c r="P288">
        <v>63.6</v>
      </c>
      <c r="R288">
        <v>14</v>
      </c>
      <c r="S288">
        <v>16.899999999999999</v>
      </c>
      <c r="T288">
        <v>14</v>
      </c>
      <c r="V288">
        <v>28.6</v>
      </c>
      <c r="X288">
        <v>63.3</v>
      </c>
    </row>
    <row r="289" spans="1:24">
      <c r="A289" s="39">
        <v>44833</v>
      </c>
      <c r="B289" s="152">
        <v>17.936</v>
      </c>
      <c r="C289">
        <f t="shared" si="14"/>
        <v>34.141525685321461</v>
      </c>
      <c r="D289">
        <f t="shared" si="15"/>
        <v>3.654800335495187</v>
      </c>
      <c r="E289">
        <f t="shared" si="16"/>
        <v>18.898163010408325</v>
      </c>
      <c r="G289" s="39">
        <v>44868</v>
      </c>
      <c r="H289">
        <v>13.990600000000001</v>
      </c>
      <c r="I289">
        <v>27.714099999999998</v>
      </c>
      <c r="L289" s="39">
        <v>43280</v>
      </c>
      <c r="M289">
        <v>31.5</v>
      </c>
      <c r="N289">
        <v>10.3</v>
      </c>
      <c r="O289">
        <v>17.100000000000001</v>
      </c>
      <c r="P289">
        <v>66.2</v>
      </c>
      <c r="R289">
        <v>13.9</v>
      </c>
      <c r="S289">
        <v>17.100000000000001</v>
      </c>
      <c r="T289">
        <v>13.9</v>
      </c>
      <c r="V289">
        <v>28.5</v>
      </c>
      <c r="X289">
        <v>67.2</v>
      </c>
    </row>
    <row r="290" spans="1:24">
      <c r="A290" s="39">
        <v>44832</v>
      </c>
      <c r="B290" s="152">
        <v>18.216200000000001</v>
      </c>
      <c r="C290">
        <f t="shared" si="14"/>
        <v>34.141525685321461</v>
      </c>
      <c r="D290">
        <f t="shared" si="15"/>
        <v>3.654800335495187</v>
      </c>
      <c r="E290">
        <f t="shared" si="16"/>
        <v>18.898163010408325</v>
      </c>
      <c r="G290" s="39">
        <v>44867</v>
      </c>
      <c r="H290">
        <v>13.566599999999999</v>
      </c>
      <c r="I290">
        <v>27.501899999999999</v>
      </c>
      <c r="L290" s="39">
        <v>43273</v>
      </c>
      <c r="M290">
        <v>33.1</v>
      </c>
      <c r="N290">
        <v>9.9</v>
      </c>
      <c r="O290">
        <v>17</v>
      </c>
      <c r="P290">
        <v>81</v>
      </c>
      <c r="R290">
        <v>13.9</v>
      </c>
      <c r="S290">
        <v>17</v>
      </c>
      <c r="T290">
        <v>13.9</v>
      </c>
      <c r="V290">
        <v>28.8</v>
      </c>
      <c r="X290">
        <v>67.2</v>
      </c>
    </row>
    <row r="291" spans="1:24">
      <c r="A291" s="39">
        <v>44831</v>
      </c>
      <c r="B291" s="152">
        <v>18.8048</v>
      </c>
      <c r="C291">
        <f t="shared" si="14"/>
        <v>34.141525685321461</v>
      </c>
      <c r="D291">
        <f t="shared" si="15"/>
        <v>3.654800335495187</v>
      </c>
      <c r="E291">
        <f t="shared" si="16"/>
        <v>18.898163010408325</v>
      </c>
      <c r="G291" s="39">
        <v>44866</v>
      </c>
      <c r="H291">
        <v>14.1601</v>
      </c>
      <c r="I291">
        <v>28.097000000000001</v>
      </c>
      <c r="L291" s="39">
        <v>43266</v>
      </c>
      <c r="M291">
        <v>34</v>
      </c>
      <c r="O291">
        <v>16.7</v>
      </c>
      <c r="R291">
        <v>14.1</v>
      </c>
      <c r="S291">
        <v>16.7</v>
      </c>
      <c r="T291">
        <v>14.1</v>
      </c>
      <c r="V291">
        <v>28.3</v>
      </c>
      <c r="X291">
        <v>68.400000000000006</v>
      </c>
    </row>
    <row r="292" spans="1:24">
      <c r="A292" s="39">
        <v>44830</v>
      </c>
      <c r="B292" s="152">
        <v>19.056999999999999</v>
      </c>
      <c r="C292">
        <f t="shared" si="14"/>
        <v>34.141525685321461</v>
      </c>
      <c r="D292">
        <f t="shared" si="15"/>
        <v>3.654800335495187</v>
      </c>
      <c r="E292">
        <f t="shared" si="16"/>
        <v>18.898163010408325</v>
      </c>
      <c r="G292" s="39">
        <v>44865</v>
      </c>
      <c r="H292">
        <v>14.584099999999999</v>
      </c>
      <c r="I292">
        <v>28.251200000000001</v>
      </c>
      <c r="L292" s="39">
        <v>43259</v>
      </c>
      <c r="M292">
        <v>33.9</v>
      </c>
      <c r="N292">
        <v>10.6</v>
      </c>
      <c r="O292">
        <v>16.899999999999999</v>
      </c>
      <c r="P292">
        <v>84.9</v>
      </c>
      <c r="R292">
        <v>14.2</v>
      </c>
      <c r="S292">
        <v>16.899999999999999</v>
      </c>
      <c r="T292">
        <v>14.2</v>
      </c>
      <c r="V292">
        <v>27.8</v>
      </c>
      <c r="X292">
        <v>66.7</v>
      </c>
    </row>
    <row r="293" spans="1:24">
      <c r="A293" s="39">
        <v>44827</v>
      </c>
      <c r="B293" s="152">
        <v>19.449300000000001</v>
      </c>
      <c r="C293">
        <f t="shared" si="14"/>
        <v>34.141525685321461</v>
      </c>
      <c r="D293">
        <f t="shared" si="15"/>
        <v>3.654800335495187</v>
      </c>
      <c r="E293">
        <f t="shared" si="16"/>
        <v>18.898163010408325</v>
      </c>
      <c r="G293" s="39">
        <v>44862</v>
      </c>
      <c r="H293">
        <v>15.036300000000001</v>
      </c>
      <c r="I293">
        <v>28.063400000000001</v>
      </c>
      <c r="L293" s="39">
        <v>43252</v>
      </c>
      <c r="M293">
        <v>34.200000000000003</v>
      </c>
      <c r="N293">
        <v>10.7</v>
      </c>
      <c r="O293">
        <v>16.600000000000001</v>
      </c>
      <c r="P293">
        <v>75.7</v>
      </c>
      <c r="R293">
        <v>13.3</v>
      </c>
      <c r="S293">
        <v>16.600000000000001</v>
      </c>
      <c r="T293">
        <v>13.3</v>
      </c>
      <c r="V293">
        <v>26.9</v>
      </c>
      <c r="X293">
        <v>61.3</v>
      </c>
    </row>
    <row r="294" spans="1:24">
      <c r="A294" s="39">
        <v>44826</v>
      </c>
      <c r="B294" s="152">
        <v>19.645499999999998</v>
      </c>
      <c r="C294">
        <f t="shared" si="14"/>
        <v>34.141525685321461</v>
      </c>
      <c r="D294">
        <f t="shared" si="15"/>
        <v>3.654800335495187</v>
      </c>
      <c r="E294">
        <f t="shared" si="16"/>
        <v>18.898163010408325</v>
      </c>
      <c r="G294" s="39">
        <v>44861</v>
      </c>
      <c r="H294">
        <v>15.0646</v>
      </c>
      <c r="I294">
        <v>27.555199999999999</v>
      </c>
      <c r="L294" s="39">
        <v>43245</v>
      </c>
      <c r="M294">
        <v>34.4</v>
      </c>
      <c r="N294">
        <v>11</v>
      </c>
      <c r="O294">
        <v>16.5</v>
      </c>
      <c r="P294">
        <v>70.099999999999994</v>
      </c>
      <c r="R294">
        <v>13</v>
      </c>
      <c r="S294">
        <v>16.5</v>
      </c>
      <c r="T294">
        <v>13</v>
      </c>
      <c r="V294">
        <v>27.1</v>
      </c>
      <c r="X294">
        <v>68.900000000000006</v>
      </c>
    </row>
    <row r="295" spans="1:24">
      <c r="A295" s="39">
        <v>44825</v>
      </c>
      <c r="B295" s="152">
        <v>19.6175</v>
      </c>
      <c r="C295">
        <f t="shared" si="14"/>
        <v>34.141525685321461</v>
      </c>
      <c r="D295">
        <f t="shared" si="15"/>
        <v>3.654800335495187</v>
      </c>
      <c r="E295">
        <f t="shared" si="16"/>
        <v>18.898163010408325</v>
      </c>
      <c r="G295" s="39">
        <v>44860</v>
      </c>
      <c r="H295">
        <v>14.668900000000001</v>
      </c>
      <c r="I295">
        <v>27.344999999999999</v>
      </c>
      <c r="L295" s="39">
        <v>43238</v>
      </c>
      <c r="M295">
        <v>34.9</v>
      </c>
      <c r="N295">
        <v>10.3</v>
      </c>
      <c r="O295">
        <v>16.7</v>
      </c>
      <c r="P295">
        <v>69.5</v>
      </c>
      <c r="R295">
        <v>13.8</v>
      </c>
      <c r="S295">
        <v>16.7</v>
      </c>
      <c r="T295">
        <v>13.8</v>
      </c>
      <c r="V295">
        <v>27.2</v>
      </c>
      <c r="X295">
        <v>68.8</v>
      </c>
    </row>
    <row r="296" spans="1:24">
      <c r="A296" s="39">
        <v>44824</v>
      </c>
      <c r="B296" s="152">
        <v>20.093900000000001</v>
      </c>
      <c r="C296">
        <f t="shared" si="14"/>
        <v>34.141525685321461</v>
      </c>
      <c r="D296">
        <f t="shared" si="15"/>
        <v>3.654800335495187</v>
      </c>
      <c r="E296">
        <f t="shared" si="16"/>
        <v>18.898163010408325</v>
      </c>
      <c r="G296" s="39">
        <v>44859</v>
      </c>
      <c r="H296">
        <v>14.6972</v>
      </c>
      <c r="I296">
        <v>27.346399999999999</v>
      </c>
      <c r="L296" s="39">
        <v>43231</v>
      </c>
      <c r="M296">
        <v>36.6</v>
      </c>
      <c r="N296">
        <v>11</v>
      </c>
      <c r="O296">
        <v>16.7</v>
      </c>
      <c r="P296">
        <v>66.099999999999994</v>
      </c>
      <c r="R296">
        <v>12.7</v>
      </c>
      <c r="S296">
        <v>16.7</v>
      </c>
      <c r="T296">
        <v>12.7</v>
      </c>
      <c r="V296">
        <v>26.7</v>
      </c>
      <c r="X296">
        <v>68.2</v>
      </c>
    </row>
    <row r="297" spans="1:24">
      <c r="A297" s="39">
        <v>44823</v>
      </c>
      <c r="B297" s="152">
        <v>19.7576</v>
      </c>
      <c r="C297">
        <f t="shared" si="14"/>
        <v>34.141525685321461</v>
      </c>
      <c r="D297">
        <f t="shared" si="15"/>
        <v>3.654800335495187</v>
      </c>
      <c r="E297">
        <f t="shared" si="16"/>
        <v>18.898163010408325</v>
      </c>
      <c r="G297" s="39">
        <v>44858</v>
      </c>
      <c r="H297">
        <v>14.301500000000001</v>
      </c>
      <c r="I297">
        <v>26.710599999999999</v>
      </c>
      <c r="L297" s="39">
        <v>43224</v>
      </c>
      <c r="M297">
        <v>37.4</v>
      </c>
      <c r="N297">
        <v>10.7</v>
      </c>
      <c r="O297">
        <v>17.399999999999999</v>
      </c>
      <c r="P297">
        <v>67.3</v>
      </c>
      <c r="R297">
        <v>12.8</v>
      </c>
      <c r="S297">
        <v>17.399999999999999</v>
      </c>
      <c r="T297">
        <v>12.8</v>
      </c>
      <c r="V297">
        <v>27.8</v>
      </c>
      <c r="X297">
        <v>68.5</v>
      </c>
    </row>
    <row r="298" spans="1:24">
      <c r="A298" s="39">
        <v>44820</v>
      </c>
      <c r="B298" s="152">
        <v>20.178000000000001</v>
      </c>
      <c r="C298">
        <f t="shared" si="14"/>
        <v>34.141525685321461</v>
      </c>
      <c r="D298">
        <f t="shared" si="15"/>
        <v>3.654800335495187</v>
      </c>
      <c r="E298">
        <f t="shared" si="16"/>
        <v>18.898163010408325</v>
      </c>
      <c r="G298" s="39">
        <v>44855</v>
      </c>
      <c r="H298">
        <v>15.375500000000001</v>
      </c>
      <c r="I298">
        <v>26.4406</v>
      </c>
      <c r="L298" s="39">
        <v>43217</v>
      </c>
      <c r="M298">
        <v>37.200000000000003</v>
      </c>
      <c r="N298">
        <v>12</v>
      </c>
      <c r="O298">
        <v>17.899999999999999</v>
      </c>
      <c r="P298">
        <v>65.599999999999994</v>
      </c>
      <c r="R298">
        <v>13.5</v>
      </c>
      <c r="S298">
        <v>17.899999999999999</v>
      </c>
      <c r="T298">
        <v>13.5</v>
      </c>
      <c r="V298">
        <v>28</v>
      </c>
      <c r="X298">
        <v>69.3</v>
      </c>
    </row>
    <row r="299" spans="1:24">
      <c r="A299" s="39">
        <v>44819</v>
      </c>
      <c r="B299" s="152">
        <v>20.7105</v>
      </c>
      <c r="C299">
        <f t="shared" si="14"/>
        <v>34.141525685321461</v>
      </c>
      <c r="D299">
        <f t="shared" si="15"/>
        <v>3.654800335495187</v>
      </c>
      <c r="E299">
        <f t="shared" si="16"/>
        <v>18.898163010408325</v>
      </c>
      <c r="G299" s="39">
        <v>44854</v>
      </c>
      <c r="H299">
        <v>16.506</v>
      </c>
      <c r="I299">
        <v>26.076699999999999</v>
      </c>
      <c r="L299" s="39">
        <v>43210</v>
      </c>
      <c r="M299">
        <v>36.799999999999997</v>
      </c>
      <c r="N299">
        <v>12.3</v>
      </c>
      <c r="O299">
        <v>17.8</v>
      </c>
      <c r="P299">
        <v>65</v>
      </c>
      <c r="R299">
        <v>13</v>
      </c>
      <c r="S299">
        <v>17.8</v>
      </c>
      <c r="T299">
        <v>13</v>
      </c>
      <c r="V299">
        <v>27.6</v>
      </c>
      <c r="X299">
        <v>65.8</v>
      </c>
    </row>
    <row r="300" spans="1:24">
      <c r="A300" s="39">
        <v>44818</v>
      </c>
      <c r="B300" s="152">
        <v>20.654399999999999</v>
      </c>
      <c r="C300">
        <f t="shared" si="14"/>
        <v>34.141525685321461</v>
      </c>
      <c r="D300">
        <f t="shared" si="15"/>
        <v>3.654800335495187</v>
      </c>
      <c r="E300">
        <f t="shared" si="16"/>
        <v>18.898163010408325</v>
      </c>
      <c r="G300" s="39">
        <v>44853</v>
      </c>
      <c r="H300">
        <v>16.675599999999999</v>
      </c>
      <c r="I300">
        <v>26.279499999999999</v>
      </c>
      <c r="L300" s="39">
        <v>43203</v>
      </c>
      <c r="M300">
        <v>36.799999999999997</v>
      </c>
      <c r="N300">
        <v>11.9</v>
      </c>
      <c r="O300">
        <v>17.600000000000001</v>
      </c>
      <c r="P300">
        <v>62.8</v>
      </c>
      <c r="R300">
        <v>13.3</v>
      </c>
      <c r="S300" t="s">
        <v>1748</v>
      </c>
      <c r="X300">
        <v>63.5</v>
      </c>
    </row>
    <row r="301" spans="1:24">
      <c r="A301" s="39">
        <v>44817</v>
      </c>
      <c r="B301" s="152">
        <v>20.766500000000001</v>
      </c>
      <c r="C301">
        <f t="shared" si="14"/>
        <v>34.141525685321461</v>
      </c>
      <c r="D301">
        <f t="shared" si="15"/>
        <v>3.654800335495187</v>
      </c>
      <c r="E301">
        <f t="shared" si="16"/>
        <v>18.898163010408325</v>
      </c>
      <c r="G301" s="39">
        <v>44852</v>
      </c>
      <c r="H301">
        <v>16.675599999999999</v>
      </c>
      <c r="I301">
        <v>26.624199999999998</v>
      </c>
    </row>
    <row r="302" spans="1:24">
      <c r="A302" s="39">
        <v>44816</v>
      </c>
      <c r="B302" s="152">
        <v>20.738499999999998</v>
      </c>
      <c r="C302">
        <f t="shared" si="14"/>
        <v>34.141525685321461</v>
      </c>
      <c r="D302">
        <f t="shared" si="15"/>
        <v>3.654800335495187</v>
      </c>
      <c r="E302">
        <f t="shared" si="16"/>
        <v>18.898163010408325</v>
      </c>
      <c r="G302" s="39">
        <v>44851</v>
      </c>
      <c r="H302">
        <v>16.647400000000001</v>
      </c>
      <c r="I302">
        <v>25.8748</v>
      </c>
    </row>
    <row r="303" spans="1:24">
      <c r="A303" s="39">
        <v>44813</v>
      </c>
      <c r="B303" s="152">
        <v>20.178000000000001</v>
      </c>
      <c r="C303">
        <f t="shared" si="14"/>
        <v>34.141525685321461</v>
      </c>
      <c r="D303">
        <f t="shared" si="15"/>
        <v>3.654800335495187</v>
      </c>
      <c r="E303">
        <f t="shared" si="16"/>
        <v>18.898163010408325</v>
      </c>
      <c r="G303" s="39">
        <v>44848</v>
      </c>
      <c r="H303">
        <v>16.93</v>
      </c>
      <c r="I303">
        <v>25.586600000000001</v>
      </c>
    </row>
    <row r="304" spans="1:24">
      <c r="A304" s="39">
        <v>44812</v>
      </c>
      <c r="B304" s="152">
        <v>20.0379</v>
      </c>
      <c r="C304">
        <f t="shared" si="14"/>
        <v>34.141525685321461</v>
      </c>
      <c r="D304">
        <f t="shared" si="15"/>
        <v>3.654800335495187</v>
      </c>
      <c r="E304">
        <f t="shared" si="16"/>
        <v>18.898163010408325</v>
      </c>
      <c r="G304" s="39">
        <v>44847</v>
      </c>
      <c r="H304">
        <v>16.279900000000001</v>
      </c>
      <c r="I304">
        <v>25.9832</v>
      </c>
    </row>
    <row r="305" spans="1:9">
      <c r="A305" s="39">
        <v>44811</v>
      </c>
      <c r="B305" s="152">
        <v>19.813700000000001</v>
      </c>
      <c r="C305">
        <f t="shared" si="14"/>
        <v>34.141525685321461</v>
      </c>
      <c r="D305">
        <f t="shared" si="15"/>
        <v>3.654800335495187</v>
      </c>
      <c r="E305">
        <f t="shared" si="16"/>
        <v>18.898163010408325</v>
      </c>
      <c r="G305" s="39">
        <v>44846</v>
      </c>
      <c r="H305">
        <v>16.2517</v>
      </c>
      <c r="I305">
        <v>25.718800000000002</v>
      </c>
    </row>
    <row r="306" spans="1:9">
      <c r="A306" s="39">
        <v>44810</v>
      </c>
      <c r="B306" s="152">
        <v>20.430199999999999</v>
      </c>
      <c r="C306">
        <f t="shared" si="14"/>
        <v>34.141525685321461</v>
      </c>
      <c r="D306">
        <f t="shared" si="15"/>
        <v>3.654800335495187</v>
      </c>
      <c r="E306">
        <f t="shared" si="16"/>
        <v>18.898163010408325</v>
      </c>
      <c r="G306" s="39">
        <v>44845</v>
      </c>
      <c r="H306">
        <v>15.658099999999999</v>
      </c>
      <c r="I306">
        <v>25.819700000000001</v>
      </c>
    </row>
    <row r="307" spans="1:9">
      <c r="A307" s="39">
        <v>44809</v>
      </c>
      <c r="B307" s="152">
        <v>20.318100000000001</v>
      </c>
      <c r="C307">
        <f t="shared" si="14"/>
        <v>34.141525685321461</v>
      </c>
      <c r="D307">
        <f t="shared" si="15"/>
        <v>3.654800335495187</v>
      </c>
      <c r="E307">
        <f t="shared" si="16"/>
        <v>18.898163010408325</v>
      </c>
      <c r="G307" s="39">
        <v>44844</v>
      </c>
      <c r="H307">
        <v>16.1386</v>
      </c>
      <c r="I307">
        <v>25.799399999999999</v>
      </c>
    </row>
    <row r="308" spans="1:9">
      <c r="A308" s="39">
        <v>44804</v>
      </c>
      <c r="B308" s="152">
        <v>20.738499999999998</v>
      </c>
      <c r="C308">
        <f t="shared" si="14"/>
        <v>34.141525685321461</v>
      </c>
      <c r="D308">
        <f t="shared" si="15"/>
        <v>3.654800335495187</v>
      </c>
      <c r="E308">
        <f t="shared" si="16"/>
        <v>18.898163010408325</v>
      </c>
      <c r="G308" s="39">
        <v>44841</v>
      </c>
      <c r="H308">
        <v>15.2624</v>
      </c>
      <c r="I308">
        <v>25.5501</v>
      </c>
    </row>
    <row r="309" spans="1:9">
      <c r="A309" s="39">
        <v>44803</v>
      </c>
      <c r="B309" s="152">
        <v>20.542300000000001</v>
      </c>
      <c r="C309">
        <f t="shared" si="14"/>
        <v>34.141525685321461</v>
      </c>
      <c r="D309">
        <f t="shared" si="15"/>
        <v>3.654800335495187</v>
      </c>
      <c r="E309">
        <f t="shared" si="16"/>
        <v>18.898163010408325</v>
      </c>
      <c r="G309" s="39">
        <v>44840</v>
      </c>
      <c r="H309">
        <v>16.393000000000001</v>
      </c>
      <c r="I309">
        <v>26.097300000000001</v>
      </c>
    </row>
    <row r="310" spans="1:9">
      <c r="A310" s="39">
        <v>44802</v>
      </c>
      <c r="B310" s="152">
        <v>20.738499999999998</v>
      </c>
      <c r="C310">
        <f t="shared" si="14"/>
        <v>34.141525685321461</v>
      </c>
      <c r="D310">
        <f t="shared" si="15"/>
        <v>3.654800335495187</v>
      </c>
      <c r="E310">
        <f t="shared" si="16"/>
        <v>18.898163010408325</v>
      </c>
      <c r="G310" s="39">
        <v>44839</v>
      </c>
      <c r="H310">
        <v>17.580100000000002</v>
      </c>
      <c r="I310">
        <v>26.369800000000001</v>
      </c>
    </row>
    <row r="311" spans="1:9">
      <c r="A311" s="39">
        <v>44799</v>
      </c>
      <c r="B311" s="152">
        <v>20.234000000000002</v>
      </c>
      <c r="C311">
        <f t="shared" si="14"/>
        <v>34.141525685321461</v>
      </c>
      <c r="D311">
        <f t="shared" si="15"/>
        <v>3.654800335495187</v>
      </c>
      <c r="E311">
        <f t="shared" si="16"/>
        <v>18.898163010408325</v>
      </c>
      <c r="G311" s="39">
        <v>44838</v>
      </c>
      <c r="H311">
        <v>17.2409</v>
      </c>
      <c r="I311">
        <v>26.4221</v>
      </c>
    </row>
    <row r="312" spans="1:9">
      <c r="A312" s="39">
        <v>44798</v>
      </c>
      <c r="B312" s="152">
        <v>19.1691</v>
      </c>
      <c r="C312">
        <f t="shared" si="14"/>
        <v>34.141525685321461</v>
      </c>
      <c r="D312">
        <f t="shared" si="15"/>
        <v>3.654800335495187</v>
      </c>
      <c r="E312">
        <f t="shared" si="16"/>
        <v>18.898163010408325</v>
      </c>
      <c r="G312" s="39">
        <v>44837</v>
      </c>
      <c r="H312">
        <v>16.845199999999998</v>
      </c>
      <c r="I312">
        <v>26.094799999999999</v>
      </c>
    </row>
    <row r="313" spans="1:9">
      <c r="A313" s="39">
        <v>44797</v>
      </c>
      <c r="B313" s="152">
        <v>18.720700000000001</v>
      </c>
      <c r="C313">
        <f t="shared" si="14"/>
        <v>34.141525685321461</v>
      </c>
      <c r="D313">
        <f t="shared" si="15"/>
        <v>3.654800335495187</v>
      </c>
      <c r="E313">
        <f t="shared" si="16"/>
        <v>18.898163010408325</v>
      </c>
      <c r="G313" s="39">
        <v>44834</v>
      </c>
      <c r="H313">
        <v>18.088799999999999</v>
      </c>
      <c r="I313">
        <v>25.879300000000001</v>
      </c>
    </row>
    <row r="314" spans="1:9">
      <c r="A314" s="39">
        <v>44796</v>
      </c>
      <c r="B314" s="152">
        <v>18.748699999999999</v>
      </c>
      <c r="C314">
        <f t="shared" si="14"/>
        <v>34.141525685321461</v>
      </c>
      <c r="D314">
        <f t="shared" si="15"/>
        <v>3.654800335495187</v>
      </c>
      <c r="E314">
        <f t="shared" si="16"/>
        <v>18.898163010408325</v>
      </c>
      <c r="G314" s="39">
        <v>44833</v>
      </c>
      <c r="H314">
        <v>17.936</v>
      </c>
      <c r="I314">
        <v>26.834800000000001</v>
      </c>
    </row>
    <row r="315" spans="1:9">
      <c r="A315" s="39">
        <v>44795</v>
      </c>
      <c r="B315" s="152">
        <v>18.636600000000001</v>
      </c>
      <c r="C315">
        <f t="shared" si="14"/>
        <v>34.141525685321461</v>
      </c>
      <c r="D315">
        <f t="shared" si="15"/>
        <v>3.654800335495187</v>
      </c>
      <c r="E315">
        <f t="shared" si="16"/>
        <v>18.898163010408325</v>
      </c>
      <c r="G315" s="39">
        <v>44832</v>
      </c>
      <c r="H315">
        <v>18.216200000000001</v>
      </c>
      <c r="I315">
        <v>27.011700000000001</v>
      </c>
    </row>
    <row r="316" spans="1:9">
      <c r="A316" s="39">
        <v>44792</v>
      </c>
      <c r="B316" s="152">
        <v>17.963999999999999</v>
      </c>
      <c r="C316">
        <f t="shared" si="14"/>
        <v>34.141525685321461</v>
      </c>
      <c r="D316">
        <f t="shared" si="15"/>
        <v>3.654800335495187</v>
      </c>
      <c r="E316">
        <f t="shared" si="16"/>
        <v>18.898163010408325</v>
      </c>
      <c r="G316" s="39">
        <v>44831</v>
      </c>
      <c r="H316">
        <v>18.8048</v>
      </c>
      <c r="I316">
        <v>26.660299999999999</v>
      </c>
    </row>
    <row r="317" spans="1:9">
      <c r="A317" s="39">
        <v>44791</v>
      </c>
      <c r="B317" s="152">
        <v>18.0761</v>
      </c>
      <c r="C317">
        <f t="shared" si="14"/>
        <v>34.141525685321461</v>
      </c>
      <c r="D317">
        <f t="shared" si="15"/>
        <v>3.654800335495187</v>
      </c>
      <c r="E317">
        <f t="shared" si="16"/>
        <v>18.898163010408325</v>
      </c>
      <c r="G317" s="39">
        <v>44830</v>
      </c>
      <c r="H317">
        <v>19.056999999999999</v>
      </c>
      <c r="I317">
        <v>26.605499999999999</v>
      </c>
    </row>
    <row r="318" spans="1:9">
      <c r="A318" s="39">
        <v>44790</v>
      </c>
      <c r="B318" s="152">
        <v>18.216200000000001</v>
      </c>
      <c r="C318">
        <f t="shared" si="14"/>
        <v>34.141525685321461</v>
      </c>
      <c r="D318">
        <f t="shared" si="15"/>
        <v>3.654800335495187</v>
      </c>
      <c r="E318">
        <f t="shared" si="16"/>
        <v>18.898163010408325</v>
      </c>
      <c r="G318" s="39">
        <v>44827</v>
      </c>
      <c r="H318">
        <v>19.449300000000001</v>
      </c>
      <c r="I318">
        <v>26.714400000000001</v>
      </c>
    </row>
    <row r="319" spans="1:9">
      <c r="A319" s="39">
        <v>44789</v>
      </c>
      <c r="B319" s="152">
        <v>18.496500000000001</v>
      </c>
      <c r="C319">
        <f t="shared" si="14"/>
        <v>34.141525685321461</v>
      </c>
      <c r="D319">
        <f t="shared" si="15"/>
        <v>3.654800335495187</v>
      </c>
      <c r="E319">
        <f t="shared" si="16"/>
        <v>18.898163010408325</v>
      </c>
      <c r="G319" s="39">
        <v>44826</v>
      </c>
      <c r="H319">
        <v>19.645499999999998</v>
      </c>
      <c r="I319">
        <v>26.789300000000001</v>
      </c>
    </row>
    <row r="320" spans="1:9">
      <c r="A320" s="39">
        <v>44788</v>
      </c>
      <c r="B320" s="152">
        <v>18.216200000000001</v>
      </c>
      <c r="C320">
        <f t="shared" si="14"/>
        <v>34.141525685321461</v>
      </c>
      <c r="D320">
        <f t="shared" si="15"/>
        <v>3.654800335495187</v>
      </c>
      <c r="E320">
        <f t="shared" si="16"/>
        <v>18.898163010408325</v>
      </c>
      <c r="G320" s="39">
        <v>44825</v>
      </c>
      <c r="H320">
        <v>19.6175</v>
      </c>
      <c r="I320">
        <v>27.092199999999998</v>
      </c>
    </row>
    <row r="321" spans="1:9">
      <c r="A321" s="39">
        <v>44785</v>
      </c>
      <c r="B321" s="152">
        <v>17.6557</v>
      </c>
      <c r="C321">
        <f t="shared" si="14"/>
        <v>34.141525685321461</v>
      </c>
      <c r="D321">
        <f t="shared" si="15"/>
        <v>3.654800335495187</v>
      </c>
      <c r="E321">
        <f t="shared" si="16"/>
        <v>18.898163010408325</v>
      </c>
      <c r="G321" s="39">
        <v>44824</v>
      </c>
      <c r="H321">
        <v>20.093900000000001</v>
      </c>
      <c r="I321">
        <v>27.218499999999999</v>
      </c>
    </row>
    <row r="322" spans="1:9">
      <c r="A322" s="39">
        <v>44784</v>
      </c>
      <c r="B322" s="152">
        <v>17.6557</v>
      </c>
      <c r="C322">
        <f t="shared" si="14"/>
        <v>34.141525685321461</v>
      </c>
      <c r="D322">
        <f t="shared" si="15"/>
        <v>3.654800335495187</v>
      </c>
      <c r="E322">
        <f t="shared" si="16"/>
        <v>18.898163010408325</v>
      </c>
      <c r="G322" s="39">
        <v>44823</v>
      </c>
      <c r="H322">
        <v>19.7576</v>
      </c>
      <c r="I322">
        <v>27.441700000000001</v>
      </c>
    </row>
    <row r="323" spans="1:9">
      <c r="A323" s="39">
        <v>44783</v>
      </c>
      <c r="B323" s="152">
        <v>17.823899999999998</v>
      </c>
      <c r="C323">
        <f t="shared" si="14"/>
        <v>34.141525685321461</v>
      </c>
      <c r="D323">
        <f t="shared" si="15"/>
        <v>3.654800335495187</v>
      </c>
      <c r="E323">
        <f t="shared" si="16"/>
        <v>18.898163010408325</v>
      </c>
      <c r="G323" s="39">
        <v>44820</v>
      </c>
      <c r="H323">
        <v>20.178000000000001</v>
      </c>
      <c r="I323">
        <v>27.308299999999999</v>
      </c>
    </row>
    <row r="324" spans="1:9">
      <c r="A324" s="39">
        <v>44782</v>
      </c>
      <c r="B324" s="152">
        <v>17.739799999999999</v>
      </c>
      <c r="C324">
        <f t="shared" ref="C324:C387" si="17">AVERAGE($B$3:$B$1251)+$C$1</f>
        <v>34.141525685321461</v>
      </c>
      <c r="D324">
        <f t="shared" ref="D324:D387" si="18">AVERAGE($B$3:$B$1251)-$C$1</f>
        <v>3.654800335495187</v>
      </c>
      <c r="E324">
        <f t="shared" ref="E324:E387" si="19">AVERAGE($B$3:$B$1251)</f>
        <v>18.898163010408325</v>
      </c>
      <c r="G324" s="39">
        <v>44819</v>
      </c>
      <c r="H324">
        <v>20.7105</v>
      </c>
      <c r="I324">
        <v>27.390899999999998</v>
      </c>
    </row>
    <row r="325" spans="1:9">
      <c r="A325" s="39">
        <v>44781</v>
      </c>
      <c r="B325" s="152">
        <v>17.627700000000001</v>
      </c>
      <c r="C325">
        <f t="shared" si="17"/>
        <v>34.141525685321461</v>
      </c>
      <c r="D325">
        <f t="shared" si="18"/>
        <v>3.654800335495187</v>
      </c>
      <c r="E325">
        <f t="shared" si="19"/>
        <v>18.898163010408325</v>
      </c>
      <c r="G325" s="39">
        <v>44818</v>
      </c>
      <c r="H325">
        <v>20.654399999999999</v>
      </c>
      <c r="I325">
        <v>27.344899999999999</v>
      </c>
    </row>
    <row r="326" spans="1:9">
      <c r="A326" s="39">
        <v>44778</v>
      </c>
      <c r="B326" s="152">
        <v>17.5717</v>
      </c>
      <c r="C326">
        <f t="shared" si="17"/>
        <v>34.141525685321461</v>
      </c>
      <c r="D326">
        <f t="shared" si="18"/>
        <v>3.654800335495187</v>
      </c>
      <c r="E326">
        <f t="shared" si="19"/>
        <v>18.898163010408325</v>
      </c>
      <c r="G326" s="39">
        <v>44817</v>
      </c>
      <c r="H326">
        <v>20.766500000000001</v>
      </c>
      <c r="I326">
        <v>27.3277</v>
      </c>
    </row>
    <row r="327" spans="1:9">
      <c r="A327" s="39">
        <v>44777</v>
      </c>
      <c r="B327" s="152">
        <v>17.5717</v>
      </c>
      <c r="C327">
        <f t="shared" si="17"/>
        <v>34.141525685321461</v>
      </c>
      <c r="D327">
        <f t="shared" si="18"/>
        <v>3.654800335495187</v>
      </c>
      <c r="E327">
        <f t="shared" si="19"/>
        <v>18.898163010408325</v>
      </c>
      <c r="G327" s="39">
        <v>44816</v>
      </c>
      <c r="H327">
        <v>20.738499999999998</v>
      </c>
      <c r="I327">
        <v>27.9741</v>
      </c>
    </row>
    <row r="328" spans="1:9">
      <c r="A328" s="39">
        <v>44776</v>
      </c>
      <c r="B328" s="152">
        <v>17.319400000000002</v>
      </c>
      <c r="C328">
        <f t="shared" si="17"/>
        <v>34.141525685321461</v>
      </c>
      <c r="D328">
        <f t="shared" si="18"/>
        <v>3.654800335495187</v>
      </c>
      <c r="E328">
        <f t="shared" si="19"/>
        <v>18.898163010408325</v>
      </c>
      <c r="G328" s="39">
        <v>44813</v>
      </c>
      <c r="H328">
        <v>20.178000000000001</v>
      </c>
      <c r="I328">
        <v>27.8751</v>
      </c>
    </row>
    <row r="329" spans="1:9">
      <c r="A329" s="39">
        <v>44775</v>
      </c>
      <c r="B329" s="152">
        <v>17.375499999999999</v>
      </c>
      <c r="C329">
        <f t="shared" si="17"/>
        <v>34.141525685321461</v>
      </c>
      <c r="D329">
        <f t="shared" si="18"/>
        <v>3.654800335495187</v>
      </c>
      <c r="E329">
        <f t="shared" si="19"/>
        <v>18.898163010408325</v>
      </c>
      <c r="G329" s="39">
        <v>44812</v>
      </c>
      <c r="H329">
        <v>20.0379</v>
      </c>
      <c r="I329">
        <v>27.6462</v>
      </c>
    </row>
    <row r="330" spans="1:9">
      <c r="A330" s="39">
        <v>44774</v>
      </c>
      <c r="B330" s="152">
        <v>17.179300000000001</v>
      </c>
      <c r="C330">
        <f t="shared" si="17"/>
        <v>34.141525685321461</v>
      </c>
      <c r="D330">
        <f t="shared" si="18"/>
        <v>3.654800335495187</v>
      </c>
      <c r="E330">
        <f t="shared" si="19"/>
        <v>18.898163010408325</v>
      </c>
      <c r="G330" s="39">
        <v>44811</v>
      </c>
      <c r="H330">
        <v>19.813700000000001</v>
      </c>
      <c r="I330">
        <v>27.629899999999999</v>
      </c>
    </row>
    <row r="331" spans="1:9">
      <c r="A331" s="39">
        <v>44771</v>
      </c>
      <c r="B331" s="152">
        <v>17.095199999999998</v>
      </c>
      <c r="C331">
        <f t="shared" si="17"/>
        <v>34.141525685321461</v>
      </c>
      <c r="D331">
        <f t="shared" si="18"/>
        <v>3.654800335495187</v>
      </c>
      <c r="E331">
        <f t="shared" si="19"/>
        <v>18.898163010408325</v>
      </c>
      <c r="G331" s="39">
        <v>44810</v>
      </c>
      <c r="H331">
        <v>20.430199999999999</v>
      </c>
      <c r="I331">
        <v>27.0123</v>
      </c>
    </row>
    <row r="332" spans="1:9">
      <c r="A332" s="39">
        <v>44770</v>
      </c>
      <c r="B332" s="152">
        <v>17.375499999999999</v>
      </c>
      <c r="C332">
        <f t="shared" si="17"/>
        <v>34.141525685321461</v>
      </c>
      <c r="D332">
        <f t="shared" si="18"/>
        <v>3.654800335495187</v>
      </c>
      <c r="E332">
        <f t="shared" si="19"/>
        <v>18.898163010408325</v>
      </c>
      <c r="G332" s="39">
        <v>44809</v>
      </c>
      <c r="H332">
        <v>20.318100000000001</v>
      </c>
      <c r="I332">
        <v>27.030899999999999</v>
      </c>
    </row>
    <row r="333" spans="1:9">
      <c r="A333" s="39">
        <v>44769</v>
      </c>
      <c r="B333" s="152">
        <v>17.403500000000001</v>
      </c>
      <c r="C333">
        <f t="shared" si="17"/>
        <v>34.141525685321461</v>
      </c>
      <c r="D333">
        <f t="shared" si="18"/>
        <v>3.654800335495187</v>
      </c>
      <c r="E333">
        <f t="shared" si="19"/>
        <v>18.898163010408325</v>
      </c>
      <c r="G333" s="39">
        <v>44806</v>
      </c>
      <c r="I333">
        <v>27.018699999999999</v>
      </c>
    </row>
    <row r="334" spans="1:9">
      <c r="A334" s="39">
        <v>44768</v>
      </c>
      <c r="B334" s="152">
        <v>17.6557</v>
      </c>
      <c r="C334">
        <f t="shared" si="17"/>
        <v>34.141525685321461</v>
      </c>
      <c r="D334">
        <f t="shared" si="18"/>
        <v>3.654800335495187</v>
      </c>
      <c r="E334">
        <f t="shared" si="19"/>
        <v>18.898163010408325</v>
      </c>
      <c r="G334" s="39">
        <v>44805</v>
      </c>
      <c r="I334">
        <v>27.355499999999999</v>
      </c>
    </row>
    <row r="335" spans="1:9">
      <c r="A335" s="39">
        <v>44767</v>
      </c>
      <c r="B335" s="152">
        <v>17.739799999999999</v>
      </c>
      <c r="C335">
        <f t="shared" si="17"/>
        <v>34.141525685321461</v>
      </c>
      <c r="D335">
        <f t="shared" si="18"/>
        <v>3.654800335495187</v>
      </c>
      <c r="E335">
        <f t="shared" si="19"/>
        <v>18.898163010408325</v>
      </c>
      <c r="G335" s="39">
        <v>44804</v>
      </c>
      <c r="H335">
        <v>20.738499999999998</v>
      </c>
      <c r="I335">
        <v>27.1829</v>
      </c>
    </row>
    <row r="336" spans="1:9">
      <c r="A336" s="39">
        <v>44764</v>
      </c>
      <c r="B336" s="152">
        <v>18.0761</v>
      </c>
      <c r="C336">
        <f t="shared" si="17"/>
        <v>34.141525685321461</v>
      </c>
      <c r="D336">
        <f t="shared" si="18"/>
        <v>3.654800335495187</v>
      </c>
      <c r="E336">
        <f t="shared" si="19"/>
        <v>18.898163010408325</v>
      </c>
      <c r="G336" s="39">
        <v>44803</v>
      </c>
      <c r="H336">
        <v>20.542300000000001</v>
      </c>
      <c r="I336">
        <v>27.020700000000001</v>
      </c>
    </row>
    <row r="337" spans="1:9">
      <c r="A337" s="39">
        <v>44763</v>
      </c>
      <c r="B337" s="152">
        <v>17.963999999999999</v>
      </c>
      <c r="C337">
        <f t="shared" si="17"/>
        <v>34.141525685321461</v>
      </c>
      <c r="D337">
        <f t="shared" si="18"/>
        <v>3.654800335495187</v>
      </c>
      <c r="E337">
        <f t="shared" si="19"/>
        <v>18.898163010408325</v>
      </c>
      <c r="G337" s="39">
        <v>44802</v>
      </c>
      <c r="H337">
        <v>20.738499999999998</v>
      </c>
      <c r="I337">
        <v>26.910499999999999</v>
      </c>
    </row>
    <row r="338" spans="1:9">
      <c r="A338" s="39">
        <v>44762</v>
      </c>
      <c r="B338" s="152">
        <v>17.151299999999999</v>
      </c>
      <c r="C338">
        <f t="shared" si="17"/>
        <v>34.141525685321461</v>
      </c>
      <c r="D338">
        <f t="shared" si="18"/>
        <v>3.654800335495187</v>
      </c>
      <c r="E338">
        <f t="shared" si="19"/>
        <v>18.898163010408325</v>
      </c>
      <c r="G338" s="39">
        <v>44799</v>
      </c>
      <c r="H338">
        <v>20.234000000000002</v>
      </c>
      <c r="I338">
        <v>26.8963</v>
      </c>
    </row>
    <row r="339" spans="1:9">
      <c r="A339" s="39">
        <v>44761</v>
      </c>
      <c r="B339" s="152">
        <v>16.815000000000001</v>
      </c>
      <c r="C339">
        <f t="shared" si="17"/>
        <v>34.141525685321461</v>
      </c>
      <c r="D339">
        <f t="shared" si="18"/>
        <v>3.654800335495187</v>
      </c>
      <c r="E339">
        <f t="shared" si="19"/>
        <v>18.898163010408325</v>
      </c>
      <c r="G339" s="39">
        <v>44798</v>
      </c>
      <c r="H339">
        <v>19.1691</v>
      </c>
      <c r="I339">
        <v>27.5501</v>
      </c>
    </row>
    <row r="340" spans="1:9">
      <c r="A340" s="39">
        <v>44760</v>
      </c>
      <c r="B340" s="152">
        <v>17.095199999999998</v>
      </c>
      <c r="C340">
        <f t="shared" si="17"/>
        <v>34.141525685321461</v>
      </c>
      <c r="D340">
        <f t="shared" si="18"/>
        <v>3.654800335495187</v>
      </c>
      <c r="E340">
        <f t="shared" si="19"/>
        <v>18.898163010408325</v>
      </c>
      <c r="G340" s="39">
        <v>44797</v>
      </c>
      <c r="H340">
        <v>18.720700000000001</v>
      </c>
      <c r="I340">
        <v>27.593699999999998</v>
      </c>
    </row>
    <row r="341" spans="1:9">
      <c r="A341" s="39">
        <v>44757</v>
      </c>
      <c r="B341" s="152">
        <v>17.235399999999998</v>
      </c>
      <c r="C341">
        <f t="shared" si="17"/>
        <v>34.141525685321461</v>
      </c>
      <c r="D341">
        <f t="shared" si="18"/>
        <v>3.654800335495187</v>
      </c>
      <c r="E341">
        <f t="shared" si="19"/>
        <v>18.898163010408325</v>
      </c>
      <c r="G341" s="39">
        <v>44796</v>
      </c>
      <c r="H341">
        <v>18.748699999999999</v>
      </c>
      <c r="I341">
        <v>27.704999999999998</v>
      </c>
    </row>
    <row r="342" spans="1:9">
      <c r="A342" s="39">
        <v>44756</v>
      </c>
      <c r="B342" s="152">
        <v>17.543600000000001</v>
      </c>
      <c r="C342">
        <f t="shared" si="17"/>
        <v>34.141525685321461</v>
      </c>
      <c r="D342">
        <f t="shared" si="18"/>
        <v>3.654800335495187</v>
      </c>
      <c r="E342">
        <f t="shared" si="19"/>
        <v>18.898163010408325</v>
      </c>
      <c r="G342" s="39">
        <v>44795</v>
      </c>
      <c r="H342">
        <v>18.636600000000001</v>
      </c>
      <c r="I342">
        <v>27.642600000000002</v>
      </c>
    </row>
    <row r="343" spans="1:9">
      <c r="A343" s="39">
        <v>44755</v>
      </c>
      <c r="B343" s="152">
        <v>17.823899999999998</v>
      </c>
      <c r="C343">
        <f t="shared" si="17"/>
        <v>34.141525685321461</v>
      </c>
      <c r="D343">
        <f t="shared" si="18"/>
        <v>3.654800335495187</v>
      </c>
      <c r="E343">
        <f t="shared" si="19"/>
        <v>18.898163010408325</v>
      </c>
      <c r="G343" s="39">
        <v>44792</v>
      </c>
      <c r="H343">
        <v>17.963999999999999</v>
      </c>
      <c r="I343">
        <v>27.9224</v>
      </c>
    </row>
    <row r="344" spans="1:9">
      <c r="A344" s="39">
        <v>44754</v>
      </c>
      <c r="B344" s="152">
        <v>18.048100000000002</v>
      </c>
      <c r="C344">
        <f t="shared" si="17"/>
        <v>34.141525685321461</v>
      </c>
      <c r="D344">
        <f t="shared" si="18"/>
        <v>3.654800335495187</v>
      </c>
      <c r="E344">
        <f t="shared" si="19"/>
        <v>18.898163010408325</v>
      </c>
      <c r="G344" s="39">
        <v>44791</v>
      </c>
      <c r="H344">
        <v>18.0761</v>
      </c>
      <c r="I344">
        <v>28.0991</v>
      </c>
    </row>
    <row r="345" spans="1:9">
      <c r="A345" s="39">
        <v>44753</v>
      </c>
      <c r="B345" s="152">
        <v>18.0761</v>
      </c>
      <c r="C345">
        <f t="shared" si="17"/>
        <v>34.141525685321461</v>
      </c>
      <c r="D345">
        <f t="shared" si="18"/>
        <v>3.654800335495187</v>
      </c>
      <c r="E345">
        <f t="shared" si="19"/>
        <v>18.898163010408325</v>
      </c>
      <c r="G345" s="39">
        <v>44790</v>
      </c>
      <c r="H345">
        <v>18.216200000000001</v>
      </c>
      <c r="I345">
        <v>27.973700000000001</v>
      </c>
    </row>
    <row r="346" spans="1:9">
      <c r="A346" s="39">
        <v>44750</v>
      </c>
      <c r="B346" s="152">
        <v>18.216200000000001</v>
      </c>
      <c r="C346">
        <f t="shared" si="17"/>
        <v>34.141525685321461</v>
      </c>
      <c r="D346">
        <f t="shared" si="18"/>
        <v>3.654800335495187</v>
      </c>
      <c r="E346">
        <f t="shared" si="19"/>
        <v>18.898163010408325</v>
      </c>
      <c r="G346" s="39">
        <v>44789</v>
      </c>
      <c r="H346">
        <v>18.496500000000001</v>
      </c>
      <c r="I346">
        <v>28.056100000000001</v>
      </c>
    </row>
    <row r="347" spans="1:9">
      <c r="A347" s="39">
        <v>44749</v>
      </c>
      <c r="B347" s="152">
        <v>17.936</v>
      </c>
      <c r="C347">
        <f t="shared" si="17"/>
        <v>34.141525685321461</v>
      </c>
      <c r="D347">
        <f t="shared" si="18"/>
        <v>3.654800335495187</v>
      </c>
      <c r="E347">
        <f t="shared" si="19"/>
        <v>18.898163010408325</v>
      </c>
      <c r="G347" s="39">
        <v>44788</v>
      </c>
      <c r="H347">
        <v>18.216200000000001</v>
      </c>
      <c r="I347">
        <v>27.305599999999998</v>
      </c>
    </row>
    <row r="348" spans="1:9">
      <c r="A348" s="39">
        <v>44748</v>
      </c>
      <c r="B348" s="152">
        <v>17.936</v>
      </c>
      <c r="C348">
        <f t="shared" si="17"/>
        <v>34.141525685321461</v>
      </c>
      <c r="D348">
        <f t="shared" si="18"/>
        <v>3.654800335495187</v>
      </c>
      <c r="E348">
        <f t="shared" si="19"/>
        <v>18.898163010408325</v>
      </c>
      <c r="G348" s="39">
        <v>44785</v>
      </c>
      <c r="H348">
        <v>17.6557</v>
      </c>
      <c r="I348">
        <v>27.2088</v>
      </c>
    </row>
    <row r="349" spans="1:9">
      <c r="A349" s="39">
        <v>44747</v>
      </c>
      <c r="B349" s="152">
        <v>18.356400000000001</v>
      </c>
      <c r="C349">
        <f t="shared" si="17"/>
        <v>34.141525685321461</v>
      </c>
      <c r="D349">
        <f t="shared" si="18"/>
        <v>3.654800335495187</v>
      </c>
      <c r="E349">
        <f t="shared" si="19"/>
        <v>18.898163010408325</v>
      </c>
      <c r="G349" s="39">
        <v>44784</v>
      </c>
      <c r="H349">
        <v>17.6557</v>
      </c>
      <c r="I349">
        <v>27.059699999999999</v>
      </c>
    </row>
    <row r="350" spans="1:9">
      <c r="A350" s="39">
        <v>44746</v>
      </c>
      <c r="B350" s="152">
        <v>19.000900000000001</v>
      </c>
      <c r="C350">
        <f t="shared" si="17"/>
        <v>34.141525685321461</v>
      </c>
      <c r="D350">
        <f t="shared" si="18"/>
        <v>3.654800335495187</v>
      </c>
      <c r="E350">
        <f t="shared" si="19"/>
        <v>18.898163010408325</v>
      </c>
      <c r="G350" s="39">
        <v>44783</v>
      </c>
      <c r="H350">
        <v>17.823899999999998</v>
      </c>
      <c r="I350">
        <v>27.1629</v>
      </c>
    </row>
    <row r="351" spans="1:9">
      <c r="A351" s="39">
        <v>44743</v>
      </c>
      <c r="B351" s="152">
        <v>19.701599999999999</v>
      </c>
      <c r="C351">
        <f t="shared" si="17"/>
        <v>34.141525685321461</v>
      </c>
      <c r="D351">
        <f t="shared" si="18"/>
        <v>3.654800335495187</v>
      </c>
      <c r="E351">
        <f t="shared" si="19"/>
        <v>18.898163010408325</v>
      </c>
      <c r="G351" s="39">
        <v>44782</v>
      </c>
      <c r="H351">
        <v>17.739799999999999</v>
      </c>
      <c r="I351">
        <v>26.939699999999998</v>
      </c>
    </row>
    <row r="352" spans="1:9">
      <c r="A352" s="39">
        <v>44742</v>
      </c>
      <c r="B352" s="152">
        <v>20.0379</v>
      </c>
      <c r="C352">
        <f t="shared" si="17"/>
        <v>34.141525685321461</v>
      </c>
      <c r="D352">
        <f t="shared" si="18"/>
        <v>3.654800335495187</v>
      </c>
      <c r="E352">
        <f t="shared" si="19"/>
        <v>18.898163010408325</v>
      </c>
      <c r="G352" s="39">
        <v>44781</v>
      </c>
      <c r="H352">
        <v>17.627700000000001</v>
      </c>
      <c r="I352">
        <v>27.1343</v>
      </c>
    </row>
    <row r="353" spans="1:9">
      <c r="A353" s="39">
        <v>44741</v>
      </c>
      <c r="B353" s="152">
        <v>20.012499999999999</v>
      </c>
      <c r="C353">
        <f t="shared" si="17"/>
        <v>34.141525685321461</v>
      </c>
      <c r="D353">
        <f t="shared" si="18"/>
        <v>3.654800335495187</v>
      </c>
      <c r="E353">
        <f t="shared" si="19"/>
        <v>18.898163010408325</v>
      </c>
      <c r="G353" s="39">
        <v>44778</v>
      </c>
      <c r="H353">
        <v>17.5717</v>
      </c>
      <c r="I353">
        <v>26.948899999999998</v>
      </c>
    </row>
    <row r="354" spans="1:9">
      <c r="A354" s="39">
        <v>44740</v>
      </c>
      <c r="B354" s="152">
        <v>19.957699999999999</v>
      </c>
      <c r="C354">
        <f t="shared" si="17"/>
        <v>34.141525685321461</v>
      </c>
      <c r="D354">
        <f t="shared" si="18"/>
        <v>3.654800335495187</v>
      </c>
      <c r="E354">
        <f t="shared" si="19"/>
        <v>18.898163010408325</v>
      </c>
      <c r="G354" s="39">
        <v>44777</v>
      </c>
      <c r="H354">
        <v>17.5717</v>
      </c>
      <c r="I354">
        <v>26.954799999999999</v>
      </c>
    </row>
    <row r="355" spans="1:9">
      <c r="A355" s="39">
        <v>44739</v>
      </c>
      <c r="B355" s="152">
        <v>19.601299999999998</v>
      </c>
      <c r="C355">
        <f t="shared" si="17"/>
        <v>34.141525685321461</v>
      </c>
      <c r="D355">
        <f t="shared" si="18"/>
        <v>3.654800335495187</v>
      </c>
      <c r="E355">
        <f t="shared" si="19"/>
        <v>18.898163010408325</v>
      </c>
      <c r="G355" s="39">
        <v>44776</v>
      </c>
      <c r="H355">
        <v>17.319400000000002</v>
      </c>
      <c r="I355">
        <v>27.195599999999999</v>
      </c>
    </row>
    <row r="356" spans="1:9">
      <c r="A356" s="39">
        <v>44736</v>
      </c>
      <c r="B356" s="152">
        <v>19.710999999999999</v>
      </c>
      <c r="C356">
        <f t="shared" si="17"/>
        <v>34.141525685321461</v>
      </c>
      <c r="D356">
        <f t="shared" si="18"/>
        <v>3.654800335495187</v>
      </c>
      <c r="E356">
        <f t="shared" si="19"/>
        <v>18.898163010408325</v>
      </c>
      <c r="G356" s="39">
        <v>44775</v>
      </c>
      <c r="H356">
        <v>17.375499999999999</v>
      </c>
      <c r="I356">
        <v>26.960799999999999</v>
      </c>
    </row>
    <row r="357" spans="1:9">
      <c r="A357" s="39">
        <v>44735</v>
      </c>
      <c r="B357" s="152">
        <v>19.875499999999999</v>
      </c>
      <c r="C357">
        <f t="shared" si="17"/>
        <v>34.141525685321461</v>
      </c>
      <c r="D357">
        <f t="shared" si="18"/>
        <v>3.654800335495187</v>
      </c>
      <c r="E357">
        <f t="shared" si="19"/>
        <v>18.898163010408325</v>
      </c>
      <c r="G357" s="39">
        <v>44774</v>
      </c>
      <c r="H357">
        <v>17.179300000000001</v>
      </c>
      <c r="I357">
        <v>27.014900000000001</v>
      </c>
    </row>
    <row r="358" spans="1:9">
      <c r="A358" s="39">
        <v>44734</v>
      </c>
      <c r="B358" s="152">
        <v>19.135300000000001</v>
      </c>
      <c r="C358">
        <f t="shared" si="17"/>
        <v>34.141525685321461</v>
      </c>
      <c r="D358">
        <f t="shared" si="18"/>
        <v>3.654800335495187</v>
      </c>
      <c r="E358">
        <f t="shared" si="19"/>
        <v>18.898163010408325</v>
      </c>
      <c r="G358" s="39">
        <v>44771</v>
      </c>
      <c r="H358">
        <v>17.095199999999998</v>
      </c>
      <c r="I358">
        <v>26.781400000000001</v>
      </c>
    </row>
    <row r="359" spans="1:9">
      <c r="A359" s="39">
        <v>44733</v>
      </c>
      <c r="B359" s="152">
        <v>20.1496</v>
      </c>
      <c r="C359">
        <f t="shared" si="17"/>
        <v>34.141525685321461</v>
      </c>
      <c r="D359">
        <f t="shared" si="18"/>
        <v>3.654800335495187</v>
      </c>
      <c r="E359">
        <f t="shared" si="19"/>
        <v>18.898163010408325</v>
      </c>
      <c r="G359" s="39">
        <v>44770</v>
      </c>
      <c r="H359">
        <v>17.375499999999999</v>
      </c>
      <c r="I359">
        <v>26.539000000000001</v>
      </c>
    </row>
    <row r="360" spans="1:9">
      <c r="A360" s="39">
        <v>44732</v>
      </c>
      <c r="B360" s="152">
        <v>20.2593</v>
      </c>
      <c r="C360">
        <f t="shared" si="17"/>
        <v>34.141525685321461</v>
      </c>
      <c r="D360">
        <f t="shared" si="18"/>
        <v>3.654800335495187</v>
      </c>
      <c r="E360">
        <f t="shared" si="19"/>
        <v>18.898163010408325</v>
      </c>
      <c r="G360" s="39">
        <v>44769</v>
      </c>
      <c r="H360">
        <v>17.403500000000001</v>
      </c>
      <c r="I360">
        <v>26.214600000000001</v>
      </c>
    </row>
    <row r="361" spans="1:9">
      <c r="A361" s="39">
        <v>44729</v>
      </c>
      <c r="B361" s="152">
        <v>21.300999999999998</v>
      </c>
      <c r="C361">
        <f t="shared" si="17"/>
        <v>34.141525685321461</v>
      </c>
      <c r="D361">
        <f t="shared" si="18"/>
        <v>3.654800335495187</v>
      </c>
      <c r="E361">
        <f t="shared" si="19"/>
        <v>18.898163010408325</v>
      </c>
      <c r="G361" s="39">
        <v>44768</v>
      </c>
      <c r="H361">
        <v>17.6557</v>
      </c>
      <c r="I361">
        <v>25.794499999999999</v>
      </c>
    </row>
    <row r="362" spans="1:9">
      <c r="A362" s="39">
        <v>44728</v>
      </c>
      <c r="B362" s="152">
        <v>21.657399999999999</v>
      </c>
      <c r="C362">
        <f t="shared" si="17"/>
        <v>34.141525685321461</v>
      </c>
      <c r="D362">
        <f t="shared" si="18"/>
        <v>3.654800335495187</v>
      </c>
      <c r="E362">
        <f t="shared" si="19"/>
        <v>18.898163010408325</v>
      </c>
      <c r="G362" s="39">
        <v>44767</v>
      </c>
      <c r="H362">
        <v>17.739799999999999</v>
      </c>
      <c r="I362">
        <v>26.558499999999999</v>
      </c>
    </row>
    <row r="363" spans="1:9">
      <c r="A363" s="39">
        <v>44727</v>
      </c>
      <c r="B363" s="152">
        <v>20.2456</v>
      </c>
      <c r="C363">
        <f t="shared" si="17"/>
        <v>34.141525685321461</v>
      </c>
      <c r="D363">
        <f t="shared" si="18"/>
        <v>3.654800335495187</v>
      </c>
      <c r="E363">
        <f t="shared" si="19"/>
        <v>18.898163010408325</v>
      </c>
      <c r="G363" s="39">
        <v>44764</v>
      </c>
      <c r="H363">
        <v>18.0761</v>
      </c>
      <c r="I363">
        <v>26.662400000000002</v>
      </c>
    </row>
    <row r="364" spans="1:9">
      <c r="A364" s="39">
        <v>44726</v>
      </c>
      <c r="B364" s="152">
        <v>19.669899999999998</v>
      </c>
      <c r="C364">
        <f t="shared" si="17"/>
        <v>34.141525685321461</v>
      </c>
      <c r="D364">
        <f t="shared" si="18"/>
        <v>3.654800335495187</v>
      </c>
      <c r="E364">
        <f t="shared" si="19"/>
        <v>18.898163010408325</v>
      </c>
      <c r="G364" s="39">
        <v>44763</v>
      </c>
      <c r="H364">
        <v>17.963999999999999</v>
      </c>
      <c r="I364">
        <v>26.602799999999998</v>
      </c>
    </row>
    <row r="365" spans="1:9">
      <c r="A365" s="39">
        <v>44725</v>
      </c>
      <c r="B365" s="152">
        <v>19.190100000000001</v>
      </c>
      <c r="C365">
        <f t="shared" si="17"/>
        <v>34.141525685321461</v>
      </c>
      <c r="D365">
        <f t="shared" si="18"/>
        <v>3.654800335495187</v>
      </c>
      <c r="E365">
        <f t="shared" si="19"/>
        <v>18.898163010408325</v>
      </c>
      <c r="G365" s="39">
        <v>44762</v>
      </c>
      <c r="H365">
        <v>17.151299999999999</v>
      </c>
      <c r="I365">
        <v>26.4208</v>
      </c>
    </row>
    <row r="366" spans="1:9">
      <c r="A366" s="39">
        <v>44722</v>
      </c>
      <c r="B366" s="152">
        <v>20.5608</v>
      </c>
      <c r="C366">
        <f t="shared" si="17"/>
        <v>34.141525685321461</v>
      </c>
      <c r="D366">
        <f t="shared" si="18"/>
        <v>3.654800335495187</v>
      </c>
      <c r="E366">
        <f t="shared" si="19"/>
        <v>18.898163010408325</v>
      </c>
      <c r="G366" s="39">
        <v>44761</v>
      </c>
      <c r="H366">
        <v>16.815000000000001</v>
      </c>
      <c r="I366">
        <v>26.267600000000002</v>
      </c>
    </row>
    <row r="367" spans="1:9">
      <c r="A367" s="39">
        <v>44721</v>
      </c>
      <c r="B367" s="152">
        <v>20.944600000000001</v>
      </c>
      <c r="C367">
        <f t="shared" si="17"/>
        <v>34.141525685321461</v>
      </c>
      <c r="D367">
        <f t="shared" si="18"/>
        <v>3.654800335495187</v>
      </c>
      <c r="E367">
        <f t="shared" si="19"/>
        <v>18.898163010408325</v>
      </c>
      <c r="G367" s="39">
        <v>44760</v>
      </c>
      <c r="H367">
        <v>17.095199999999998</v>
      </c>
      <c r="I367">
        <v>26.174800000000001</v>
      </c>
    </row>
    <row r="368" spans="1:9">
      <c r="A368" s="39">
        <v>44720</v>
      </c>
      <c r="B368" s="152">
        <v>21.026900000000001</v>
      </c>
      <c r="C368">
        <f t="shared" si="17"/>
        <v>34.141525685321461</v>
      </c>
      <c r="D368">
        <f t="shared" si="18"/>
        <v>3.654800335495187</v>
      </c>
      <c r="E368">
        <f t="shared" si="19"/>
        <v>18.898163010408325</v>
      </c>
      <c r="G368" s="39">
        <v>44757</v>
      </c>
      <c r="H368">
        <v>17.235399999999998</v>
      </c>
      <c r="I368">
        <v>26.172899999999998</v>
      </c>
    </row>
    <row r="369" spans="1:9">
      <c r="A369" s="39">
        <v>44719</v>
      </c>
      <c r="B369" s="152">
        <v>20.972000000000001</v>
      </c>
      <c r="C369">
        <f t="shared" si="17"/>
        <v>34.141525685321461</v>
      </c>
      <c r="D369">
        <f t="shared" si="18"/>
        <v>3.654800335495187</v>
      </c>
      <c r="E369">
        <f t="shared" si="19"/>
        <v>18.898163010408325</v>
      </c>
      <c r="G369" s="39">
        <v>44756</v>
      </c>
      <c r="H369">
        <v>17.543600000000001</v>
      </c>
      <c r="I369">
        <v>26.2591</v>
      </c>
    </row>
    <row r="370" spans="1:9">
      <c r="A370" s="39">
        <v>44718</v>
      </c>
      <c r="B370" s="152">
        <v>21.068000000000001</v>
      </c>
      <c r="C370">
        <f t="shared" si="17"/>
        <v>34.141525685321461</v>
      </c>
      <c r="D370">
        <f t="shared" si="18"/>
        <v>3.654800335495187</v>
      </c>
      <c r="E370">
        <f t="shared" si="19"/>
        <v>18.898163010408325</v>
      </c>
      <c r="G370" s="39">
        <v>44755</v>
      </c>
      <c r="H370">
        <v>17.823899999999998</v>
      </c>
      <c r="I370">
        <v>26.137599999999999</v>
      </c>
    </row>
    <row r="371" spans="1:9">
      <c r="A371" s="39">
        <v>44715</v>
      </c>
      <c r="B371" s="152">
        <v>20.863700000000001</v>
      </c>
      <c r="C371">
        <f t="shared" si="17"/>
        <v>34.141525685321461</v>
      </c>
      <c r="D371">
        <f t="shared" si="18"/>
        <v>3.654800335495187</v>
      </c>
      <c r="E371">
        <f t="shared" si="19"/>
        <v>18.898163010408325</v>
      </c>
      <c r="G371" s="39">
        <v>44754</v>
      </c>
      <c r="H371">
        <v>18.048100000000002</v>
      </c>
      <c r="I371">
        <v>26.056100000000001</v>
      </c>
    </row>
    <row r="372" spans="1:9">
      <c r="A372" s="39">
        <v>44714</v>
      </c>
      <c r="B372" s="152">
        <v>20.114699999999999</v>
      </c>
      <c r="C372">
        <f t="shared" si="17"/>
        <v>34.141525685321461</v>
      </c>
      <c r="D372">
        <f t="shared" si="18"/>
        <v>3.654800335495187</v>
      </c>
      <c r="E372">
        <f t="shared" si="19"/>
        <v>18.898163010408325</v>
      </c>
      <c r="G372" s="39">
        <v>44753</v>
      </c>
      <c r="H372">
        <v>18.0761</v>
      </c>
      <c r="I372">
        <v>26.319400000000002</v>
      </c>
    </row>
    <row r="373" spans="1:9">
      <c r="A373" s="39">
        <v>44713</v>
      </c>
      <c r="B373" s="152">
        <v>19.815100000000001</v>
      </c>
      <c r="C373">
        <f t="shared" si="17"/>
        <v>34.141525685321461</v>
      </c>
      <c r="D373">
        <f t="shared" si="18"/>
        <v>3.654800335495187</v>
      </c>
      <c r="E373">
        <f t="shared" si="19"/>
        <v>18.898163010408325</v>
      </c>
      <c r="G373" s="39">
        <v>44750</v>
      </c>
      <c r="H373">
        <v>18.216200000000001</v>
      </c>
      <c r="I373">
        <v>26.426400000000001</v>
      </c>
    </row>
    <row r="374" spans="1:9">
      <c r="A374" s="39">
        <v>44712</v>
      </c>
      <c r="B374" s="152">
        <v>19.7334</v>
      </c>
      <c r="C374">
        <f t="shared" si="17"/>
        <v>34.141525685321461</v>
      </c>
      <c r="D374">
        <f t="shared" si="18"/>
        <v>3.654800335495187</v>
      </c>
      <c r="E374">
        <f t="shared" si="19"/>
        <v>18.898163010408325</v>
      </c>
      <c r="G374" s="39">
        <v>44749</v>
      </c>
      <c r="H374">
        <v>17.936</v>
      </c>
      <c r="I374">
        <v>26.403500000000001</v>
      </c>
    </row>
    <row r="375" spans="1:9">
      <c r="A375" s="39">
        <v>44711</v>
      </c>
      <c r="B375" s="152">
        <v>19.7742</v>
      </c>
      <c r="C375">
        <f t="shared" si="17"/>
        <v>34.141525685321461</v>
      </c>
      <c r="D375">
        <f t="shared" si="18"/>
        <v>3.654800335495187</v>
      </c>
      <c r="E375">
        <f t="shared" si="19"/>
        <v>18.898163010408325</v>
      </c>
      <c r="G375" s="39">
        <v>44748</v>
      </c>
      <c r="H375">
        <v>17.936</v>
      </c>
      <c r="I375">
        <v>26.143899999999999</v>
      </c>
    </row>
    <row r="376" spans="1:9">
      <c r="A376" s="39">
        <v>44708</v>
      </c>
      <c r="B376" s="152">
        <v>19.9785</v>
      </c>
      <c r="C376">
        <f t="shared" si="17"/>
        <v>34.141525685321461</v>
      </c>
      <c r="D376">
        <f t="shared" si="18"/>
        <v>3.654800335495187</v>
      </c>
      <c r="E376">
        <f t="shared" si="19"/>
        <v>18.898163010408325</v>
      </c>
      <c r="G376" s="39">
        <v>44747</v>
      </c>
      <c r="H376">
        <v>18.356400000000001</v>
      </c>
      <c r="I376">
        <v>26.046900000000001</v>
      </c>
    </row>
    <row r="377" spans="1:9">
      <c r="A377" s="39">
        <v>44707</v>
      </c>
      <c r="B377" s="152">
        <v>18.9299</v>
      </c>
      <c r="C377">
        <f t="shared" si="17"/>
        <v>34.141525685321461</v>
      </c>
      <c r="D377">
        <f t="shared" si="18"/>
        <v>3.654800335495187</v>
      </c>
      <c r="E377">
        <f t="shared" si="19"/>
        <v>18.898163010408325</v>
      </c>
      <c r="G377" s="39">
        <v>44746</v>
      </c>
      <c r="H377">
        <v>19.000900000000001</v>
      </c>
      <c r="I377">
        <v>25.6203</v>
      </c>
    </row>
    <row r="378" spans="1:9">
      <c r="A378" s="39">
        <v>44706</v>
      </c>
      <c r="B378" s="152">
        <v>18.9299</v>
      </c>
      <c r="C378">
        <f t="shared" si="17"/>
        <v>34.141525685321461</v>
      </c>
      <c r="D378">
        <f t="shared" si="18"/>
        <v>3.654800335495187</v>
      </c>
      <c r="E378">
        <f t="shared" si="19"/>
        <v>18.898163010408325</v>
      </c>
      <c r="G378" s="39">
        <v>44743</v>
      </c>
      <c r="H378">
        <v>19.701599999999999</v>
      </c>
      <c r="I378">
        <v>25.8169</v>
      </c>
    </row>
    <row r="379" spans="1:9">
      <c r="A379" s="39">
        <v>44705</v>
      </c>
      <c r="B379" s="152">
        <v>18.1128</v>
      </c>
      <c r="C379">
        <f t="shared" si="17"/>
        <v>34.141525685321461</v>
      </c>
      <c r="D379">
        <f t="shared" si="18"/>
        <v>3.654800335495187</v>
      </c>
      <c r="E379">
        <f t="shared" si="19"/>
        <v>18.898163010408325</v>
      </c>
      <c r="G379" s="39">
        <v>44742</v>
      </c>
      <c r="H379">
        <v>20.0379</v>
      </c>
      <c r="I379">
        <v>25.657699999999998</v>
      </c>
    </row>
    <row r="380" spans="1:9">
      <c r="A380" s="39">
        <v>44704</v>
      </c>
      <c r="B380" s="152">
        <v>17.813099999999999</v>
      </c>
      <c r="C380">
        <f t="shared" si="17"/>
        <v>34.141525685321461</v>
      </c>
      <c r="D380">
        <f t="shared" si="18"/>
        <v>3.654800335495187</v>
      </c>
      <c r="E380">
        <f t="shared" si="19"/>
        <v>18.898163010408325</v>
      </c>
      <c r="G380" s="39">
        <v>44741</v>
      </c>
      <c r="H380">
        <v>20.012499999999999</v>
      </c>
      <c r="I380">
        <v>26.224299999999999</v>
      </c>
    </row>
    <row r="381" spans="1:9">
      <c r="A381" s="39">
        <v>44701</v>
      </c>
      <c r="B381" s="152">
        <v>18.248899999999999</v>
      </c>
      <c r="C381">
        <f t="shared" si="17"/>
        <v>34.141525685321461</v>
      </c>
      <c r="D381">
        <f t="shared" si="18"/>
        <v>3.654800335495187</v>
      </c>
      <c r="E381">
        <f t="shared" si="19"/>
        <v>18.898163010408325</v>
      </c>
      <c r="G381" s="39">
        <v>44740</v>
      </c>
      <c r="H381">
        <v>19.957699999999999</v>
      </c>
      <c r="I381">
        <v>26.274100000000001</v>
      </c>
    </row>
    <row r="382" spans="1:9">
      <c r="A382" s="39">
        <v>44700</v>
      </c>
      <c r="B382" s="152">
        <v>18.1128</v>
      </c>
      <c r="C382">
        <f t="shared" si="17"/>
        <v>34.141525685321461</v>
      </c>
      <c r="D382">
        <f t="shared" si="18"/>
        <v>3.654800335495187</v>
      </c>
      <c r="E382">
        <f t="shared" si="19"/>
        <v>18.898163010408325</v>
      </c>
      <c r="G382" s="39">
        <v>44739</v>
      </c>
      <c r="H382">
        <v>19.601299999999998</v>
      </c>
      <c r="I382">
        <v>26.6052</v>
      </c>
    </row>
    <row r="383" spans="1:9">
      <c r="A383" s="39">
        <v>44699</v>
      </c>
      <c r="B383" s="152">
        <v>18.180900000000001</v>
      </c>
      <c r="C383">
        <f t="shared" si="17"/>
        <v>34.141525685321461</v>
      </c>
      <c r="D383">
        <f t="shared" si="18"/>
        <v>3.654800335495187</v>
      </c>
      <c r="E383">
        <f t="shared" si="19"/>
        <v>18.898163010408325</v>
      </c>
      <c r="G383" s="39">
        <v>44736</v>
      </c>
      <c r="H383">
        <v>19.710999999999999</v>
      </c>
      <c r="I383">
        <v>26.632300000000001</v>
      </c>
    </row>
    <row r="384" spans="1:9">
      <c r="A384" s="39">
        <v>44698</v>
      </c>
      <c r="B384" s="152">
        <v>17.9221</v>
      </c>
      <c r="C384">
        <f t="shared" si="17"/>
        <v>34.141525685321461</v>
      </c>
      <c r="D384">
        <f t="shared" si="18"/>
        <v>3.654800335495187</v>
      </c>
      <c r="E384">
        <f t="shared" si="19"/>
        <v>18.898163010408325</v>
      </c>
      <c r="G384" s="39">
        <v>44735</v>
      </c>
      <c r="H384">
        <v>19.875499999999999</v>
      </c>
      <c r="I384">
        <v>26.235499999999998</v>
      </c>
    </row>
    <row r="385" spans="1:9">
      <c r="A385" s="39">
        <v>44697</v>
      </c>
      <c r="B385" s="152">
        <v>16.750900000000001</v>
      </c>
      <c r="C385">
        <f t="shared" si="17"/>
        <v>34.141525685321461</v>
      </c>
      <c r="D385">
        <f t="shared" si="18"/>
        <v>3.654800335495187</v>
      </c>
      <c r="E385">
        <f t="shared" si="19"/>
        <v>18.898163010408325</v>
      </c>
      <c r="G385" s="39">
        <v>44734</v>
      </c>
      <c r="H385">
        <v>19.135300000000001</v>
      </c>
      <c r="I385">
        <v>25.738700000000001</v>
      </c>
    </row>
    <row r="386" spans="1:9">
      <c r="A386" s="39">
        <v>44694</v>
      </c>
      <c r="B386" s="152">
        <v>17.036899999999999</v>
      </c>
      <c r="C386">
        <f t="shared" si="17"/>
        <v>34.141525685321461</v>
      </c>
      <c r="D386">
        <f t="shared" si="18"/>
        <v>3.654800335495187</v>
      </c>
      <c r="E386">
        <f t="shared" si="19"/>
        <v>18.898163010408325</v>
      </c>
      <c r="G386" s="39">
        <v>44733</v>
      </c>
      <c r="H386">
        <v>20.1496</v>
      </c>
      <c r="I386">
        <v>25.72</v>
      </c>
    </row>
    <row r="387" spans="1:9">
      <c r="A387" s="39">
        <v>44693</v>
      </c>
      <c r="B387" s="152">
        <v>18.3034</v>
      </c>
      <c r="C387">
        <f t="shared" si="17"/>
        <v>34.141525685321461</v>
      </c>
      <c r="D387">
        <f t="shared" si="18"/>
        <v>3.654800335495187</v>
      </c>
      <c r="E387">
        <f t="shared" si="19"/>
        <v>18.898163010408325</v>
      </c>
      <c r="G387" s="39">
        <v>44732</v>
      </c>
      <c r="H387">
        <v>20.2593</v>
      </c>
      <c r="I387">
        <v>25.256</v>
      </c>
    </row>
    <row r="388" spans="1:9">
      <c r="A388" s="39">
        <v>44692</v>
      </c>
      <c r="B388" s="152">
        <v>19.202200000000001</v>
      </c>
      <c r="C388">
        <f t="shared" ref="C388:C451" si="20">AVERAGE($B$3:$B$1251)+$C$1</f>
        <v>34.141525685321461</v>
      </c>
      <c r="D388">
        <f t="shared" ref="D388:D451" si="21">AVERAGE($B$3:$B$1251)-$C$1</f>
        <v>3.654800335495187</v>
      </c>
      <c r="E388">
        <f t="shared" ref="E388:E451" si="22">AVERAGE($B$3:$B$1251)</f>
        <v>18.898163010408325</v>
      </c>
      <c r="G388" s="39">
        <v>44729</v>
      </c>
      <c r="H388">
        <v>21.300999999999998</v>
      </c>
      <c r="I388">
        <v>25.300699999999999</v>
      </c>
    </row>
    <row r="389" spans="1:9">
      <c r="A389" s="39">
        <v>44691</v>
      </c>
      <c r="B389" s="152">
        <v>19.079699999999999</v>
      </c>
      <c r="C389">
        <f t="shared" si="20"/>
        <v>34.141525685321461</v>
      </c>
      <c r="D389">
        <f t="shared" si="21"/>
        <v>3.654800335495187</v>
      </c>
      <c r="E389">
        <f t="shared" si="22"/>
        <v>18.898163010408325</v>
      </c>
      <c r="G389" s="39">
        <v>44728</v>
      </c>
      <c r="H389">
        <v>21.657399999999999</v>
      </c>
      <c r="I389">
        <v>25.405200000000001</v>
      </c>
    </row>
    <row r="390" spans="1:9">
      <c r="A390" s="39">
        <v>44690</v>
      </c>
      <c r="B390" s="152">
        <v>18.575800000000001</v>
      </c>
      <c r="C390">
        <f t="shared" si="20"/>
        <v>34.141525685321461</v>
      </c>
      <c r="D390">
        <f t="shared" si="21"/>
        <v>3.654800335495187</v>
      </c>
      <c r="E390">
        <f t="shared" si="22"/>
        <v>18.898163010408325</v>
      </c>
      <c r="G390" s="39">
        <v>44727</v>
      </c>
      <c r="H390">
        <v>20.2456</v>
      </c>
      <c r="I390">
        <v>25.657399999999999</v>
      </c>
    </row>
    <row r="391" spans="1:9">
      <c r="A391" s="39">
        <v>44687</v>
      </c>
      <c r="B391" s="152">
        <v>19.9649</v>
      </c>
      <c r="C391">
        <f t="shared" si="20"/>
        <v>34.141525685321461</v>
      </c>
      <c r="D391">
        <f t="shared" si="21"/>
        <v>3.654800335495187</v>
      </c>
      <c r="E391">
        <f t="shared" si="22"/>
        <v>18.898163010408325</v>
      </c>
      <c r="G391" s="39">
        <v>44726</v>
      </c>
      <c r="H391">
        <v>19.669899999999998</v>
      </c>
      <c r="I391">
        <v>25.596</v>
      </c>
    </row>
    <row r="392" spans="1:9">
      <c r="A392" s="39">
        <v>44686</v>
      </c>
      <c r="B392" s="152">
        <v>20.3462</v>
      </c>
      <c r="C392">
        <f t="shared" si="20"/>
        <v>34.141525685321461</v>
      </c>
      <c r="D392">
        <f t="shared" si="21"/>
        <v>3.654800335495187</v>
      </c>
      <c r="E392">
        <f t="shared" si="22"/>
        <v>18.898163010408325</v>
      </c>
      <c r="G392" s="39">
        <v>44725</v>
      </c>
      <c r="H392">
        <v>19.190100000000001</v>
      </c>
      <c r="I392">
        <v>25.437999999999999</v>
      </c>
    </row>
    <row r="393" spans="1:9">
      <c r="A393" s="39">
        <v>44685</v>
      </c>
      <c r="B393" s="152">
        <v>20.3598</v>
      </c>
      <c r="C393">
        <f t="shared" si="20"/>
        <v>34.141525685321461</v>
      </c>
      <c r="D393">
        <f t="shared" si="21"/>
        <v>3.654800335495187</v>
      </c>
      <c r="E393">
        <f t="shared" si="22"/>
        <v>18.898163010408325</v>
      </c>
      <c r="G393" s="39">
        <v>44722</v>
      </c>
      <c r="H393">
        <v>20.5608</v>
      </c>
      <c r="I393">
        <v>26.0121</v>
      </c>
    </row>
    <row r="394" spans="1:9">
      <c r="A394" s="39">
        <v>44680</v>
      </c>
      <c r="B394" s="152">
        <v>20.318999999999999</v>
      </c>
      <c r="C394">
        <f t="shared" si="20"/>
        <v>34.141525685321461</v>
      </c>
      <c r="D394">
        <f t="shared" si="21"/>
        <v>3.654800335495187</v>
      </c>
      <c r="E394">
        <f t="shared" si="22"/>
        <v>18.898163010408325</v>
      </c>
      <c r="G394" s="39">
        <v>44721</v>
      </c>
      <c r="H394">
        <v>20.944600000000001</v>
      </c>
      <c r="I394">
        <v>26.524699999999999</v>
      </c>
    </row>
    <row r="395" spans="1:9">
      <c r="A395" s="39">
        <v>44679</v>
      </c>
      <c r="B395" s="152">
        <v>19.747</v>
      </c>
      <c r="C395">
        <f t="shared" si="20"/>
        <v>34.141525685321461</v>
      </c>
      <c r="D395">
        <f t="shared" si="21"/>
        <v>3.654800335495187</v>
      </c>
      <c r="E395">
        <f t="shared" si="22"/>
        <v>18.898163010408325</v>
      </c>
      <c r="G395" s="39">
        <v>44720</v>
      </c>
      <c r="H395">
        <v>21.026900000000001</v>
      </c>
      <c r="I395">
        <v>26.541699999999999</v>
      </c>
    </row>
    <row r="396" spans="1:9">
      <c r="A396" s="39">
        <v>44678</v>
      </c>
      <c r="B396" s="152">
        <v>20.046600000000002</v>
      </c>
      <c r="C396">
        <f t="shared" si="20"/>
        <v>34.141525685321461</v>
      </c>
      <c r="D396">
        <f t="shared" si="21"/>
        <v>3.654800335495187</v>
      </c>
      <c r="E396">
        <f t="shared" si="22"/>
        <v>18.898163010408325</v>
      </c>
      <c r="G396" s="39">
        <v>44719</v>
      </c>
      <c r="H396">
        <v>20.972000000000001</v>
      </c>
      <c r="I396">
        <v>26.405999999999999</v>
      </c>
    </row>
    <row r="397" spans="1:9">
      <c r="A397" s="39">
        <v>44677</v>
      </c>
      <c r="B397" s="152">
        <v>20.264500000000002</v>
      </c>
      <c r="C397">
        <f t="shared" si="20"/>
        <v>34.141525685321461</v>
      </c>
      <c r="D397">
        <f t="shared" si="21"/>
        <v>3.654800335495187</v>
      </c>
      <c r="E397">
        <f t="shared" si="22"/>
        <v>18.898163010408325</v>
      </c>
      <c r="G397" s="39">
        <v>44718</v>
      </c>
      <c r="H397">
        <v>21.068000000000001</v>
      </c>
      <c r="I397">
        <v>26.442399999999999</v>
      </c>
    </row>
    <row r="398" spans="1:9">
      <c r="A398" s="39">
        <v>44676</v>
      </c>
      <c r="B398" s="152">
        <v>19.7334</v>
      </c>
      <c r="C398">
        <f t="shared" si="20"/>
        <v>34.141525685321461</v>
      </c>
      <c r="D398">
        <f t="shared" si="21"/>
        <v>3.654800335495187</v>
      </c>
      <c r="E398">
        <f t="shared" si="22"/>
        <v>18.898163010408325</v>
      </c>
      <c r="G398" s="39">
        <v>44715</v>
      </c>
      <c r="H398">
        <v>20.863700000000001</v>
      </c>
      <c r="I398">
        <v>26.3231</v>
      </c>
    </row>
    <row r="399" spans="1:9">
      <c r="A399" s="39">
        <v>44673</v>
      </c>
      <c r="B399" s="152">
        <v>21.2178</v>
      </c>
      <c r="C399">
        <f t="shared" si="20"/>
        <v>34.141525685321461</v>
      </c>
      <c r="D399">
        <f t="shared" si="21"/>
        <v>3.654800335495187</v>
      </c>
      <c r="E399">
        <f t="shared" si="22"/>
        <v>18.898163010408325</v>
      </c>
      <c r="G399" s="39">
        <v>44714</v>
      </c>
      <c r="H399">
        <v>20.114699999999999</v>
      </c>
      <c r="I399">
        <v>26.378299999999999</v>
      </c>
    </row>
    <row r="400" spans="1:9">
      <c r="A400" s="39">
        <v>44672</v>
      </c>
      <c r="B400" s="152">
        <v>21.1769</v>
      </c>
      <c r="C400">
        <f t="shared" si="20"/>
        <v>34.141525685321461</v>
      </c>
      <c r="D400">
        <f t="shared" si="21"/>
        <v>3.654800335495187</v>
      </c>
      <c r="E400">
        <f t="shared" si="22"/>
        <v>18.898163010408325</v>
      </c>
      <c r="G400" s="39">
        <v>44713</v>
      </c>
      <c r="H400">
        <v>19.815100000000001</v>
      </c>
      <c r="I400">
        <v>25.991499999999998</v>
      </c>
    </row>
    <row r="401" spans="1:9">
      <c r="A401" s="39">
        <v>44671</v>
      </c>
      <c r="B401" s="152">
        <v>21.245000000000001</v>
      </c>
      <c r="C401">
        <f t="shared" si="20"/>
        <v>34.141525685321461</v>
      </c>
      <c r="D401">
        <f t="shared" si="21"/>
        <v>3.654800335495187</v>
      </c>
      <c r="E401">
        <f t="shared" si="22"/>
        <v>18.898163010408325</v>
      </c>
      <c r="G401" s="39">
        <v>44712</v>
      </c>
      <c r="H401">
        <v>19.7334</v>
      </c>
      <c r="I401">
        <v>26.3066</v>
      </c>
    </row>
    <row r="402" spans="1:9">
      <c r="A402" s="39">
        <v>44670</v>
      </c>
      <c r="B402" s="152">
        <v>21.245000000000001</v>
      </c>
      <c r="C402">
        <f t="shared" si="20"/>
        <v>34.141525685321461</v>
      </c>
      <c r="D402">
        <f t="shared" si="21"/>
        <v>3.654800335495187</v>
      </c>
      <c r="E402">
        <f t="shared" si="22"/>
        <v>18.898163010408325</v>
      </c>
      <c r="G402" s="39">
        <v>44711</v>
      </c>
      <c r="H402">
        <v>19.7742</v>
      </c>
      <c r="I402">
        <v>26.381900000000002</v>
      </c>
    </row>
    <row r="403" spans="1:9">
      <c r="A403" s="39">
        <v>44669</v>
      </c>
      <c r="B403" s="152">
        <v>21.817</v>
      </c>
      <c r="C403">
        <f t="shared" si="20"/>
        <v>34.141525685321461</v>
      </c>
      <c r="D403">
        <f t="shared" si="21"/>
        <v>3.654800335495187</v>
      </c>
      <c r="E403">
        <f t="shared" si="22"/>
        <v>18.898163010408325</v>
      </c>
      <c r="G403" s="39">
        <v>44708</v>
      </c>
      <c r="H403">
        <v>19.9785</v>
      </c>
      <c r="I403">
        <v>26.322600000000001</v>
      </c>
    </row>
    <row r="404" spans="1:9">
      <c r="A404" s="39">
        <v>44666</v>
      </c>
      <c r="B404" s="152">
        <v>21.817</v>
      </c>
      <c r="C404">
        <f t="shared" si="20"/>
        <v>34.141525685321461</v>
      </c>
      <c r="D404">
        <f t="shared" si="21"/>
        <v>3.654800335495187</v>
      </c>
      <c r="E404">
        <f t="shared" si="22"/>
        <v>18.898163010408325</v>
      </c>
      <c r="G404" s="39">
        <v>44707</v>
      </c>
      <c r="H404">
        <v>18.9299</v>
      </c>
      <c r="I404">
        <v>25.972000000000001</v>
      </c>
    </row>
    <row r="405" spans="1:9">
      <c r="A405" s="39">
        <v>44665</v>
      </c>
      <c r="B405" s="152">
        <v>21.721699999999998</v>
      </c>
      <c r="C405">
        <f t="shared" si="20"/>
        <v>34.141525685321461</v>
      </c>
      <c r="D405">
        <f t="shared" si="21"/>
        <v>3.654800335495187</v>
      </c>
      <c r="E405">
        <f t="shared" si="22"/>
        <v>18.898163010408325</v>
      </c>
      <c r="G405" s="39">
        <v>44706</v>
      </c>
      <c r="H405">
        <v>18.9299</v>
      </c>
      <c r="I405">
        <v>24.6173</v>
      </c>
    </row>
    <row r="406" spans="1:9">
      <c r="A406" s="39">
        <v>44664</v>
      </c>
      <c r="B406" s="152">
        <v>21.272300000000001</v>
      </c>
      <c r="C406">
        <f t="shared" si="20"/>
        <v>34.141525685321461</v>
      </c>
      <c r="D406">
        <f t="shared" si="21"/>
        <v>3.654800335495187</v>
      </c>
      <c r="E406">
        <f t="shared" si="22"/>
        <v>18.898163010408325</v>
      </c>
      <c r="G406" s="39">
        <v>44705</v>
      </c>
      <c r="H406">
        <v>18.1128</v>
      </c>
      <c r="I406">
        <v>24.213200000000001</v>
      </c>
    </row>
    <row r="407" spans="1:9">
      <c r="A407" s="39">
        <v>44663</v>
      </c>
      <c r="B407" s="152">
        <v>20.7956</v>
      </c>
      <c r="C407">
        <f t="shared" si="20"/>
        <v>34.141525685321461</v>
      </c>
      <c r="D407">
        <f t="shared" si="21"/>
        <v>3.654800335495187</v>
      </c>
      <c r="E407">
        <f t="shared" si="22"/>
        <v>18.898163010408325</v>
      </c>
      <c r="G407" s="39">
        <v>44704</v>
      </c>
      <c r="H407">
        <v>17.813099999999999</v>
      </c>
      <c r="I407">
        <v>24.319600000000001</v>
      </c>
    </row>
    <row r="408" spans="1:9">
      <c r="A408" s="39">
        <v>44659</v>
      </c>
      <c r="B408" s="152">
        <v>20.427900000000001</v>
      </c>
      <c r="C408">
        <f t="shared" si="20"/>
        <v>34.141525685321461</v>
      </c>
      <c r="D408">
        <f t="shared" si="21"/>
        <v>3.654800335495187</v>
      </c>
      <c r="E408">
        <f t="shared" si="22"/>
        <v>18.898163010408325</v>
      </c>
      <c r="G408" s="39">
        <v>44701</v>
      </c>
      <c r="H408">
        <v>18.248899999999999</v>
      </c>
      <c r="I408">
        <v>24.132400000000001</v>
      </c>
    </row>
    <row r="409" spans="1:9">
      <c r="A409" s="39">
        <v>44658</v>
      </c>
      <c r="B409" s="152">
        <v>21.108899999999998</v>
      </c>
      <c r="C409">
        <f t="shared" si="20"/>
        <v>34.141525685321461</v>
      </c>
      <c r="D409">
        <f t="shared" si="21"/>
        <v>3.654800335495187</v>
      </c>
      <c r="E409">
        <f t="shared" si="22"/>
        <v>18.898163010408325</v>
      </c>
      <c r="G409" s="39">
        <v>44700</v>
      </c>
      <c r="H409">
        <v>18.1128</v>
      </c>
      <c r="I409">
        <v>24.361799999999999</v>
      </c>
    </row>
    <row r="410" spans="1:9">
      <c r="A410" s="39">
        <v>44657</v>
      </c>
      <c r="B410" s="152">
        <v>21.6264</v>
      </c>
      <c r="C410">
        <f t="shared" si="20"/>
        <v>34.141525685321461</v>
      </c>
      <c r="D410">
        <f t="shared" si="21"/>
        <v>3.654800335495187</v>
      </c>
      <c r="E410">
        <f t="shared" si="22"/>
        <v>18.898163010408325</v>
      </c>
      <c r="G410" s="39">
        <v>44699</v>
      </c>
      <c r="H410">
        <v>18.180900000000001</v>
      </c>
      <c r="I410">
        <v>24.462199999999999</v>
      </c>
    </row>
    <row r="411" spans="1:9">
      <c r="A411" s="39">
        <v>44656</v>
      </c>
      <c r="B411" s="152">
        <v>21.136099999999999</v>
      </c>
      <c r="C411">
        <f t="shared" si="20"/>
        <v>34.141525685321461</v>
      </c>
      <c r="D411">
        <f t="shared" si="21"/>
        <v>3.654800335495187</v>
      </c>
      <c r="E411">
        <f t="shared" si="22"/>
        <v>18.898163010408325</v>
      </c>
      <c r="G411" s="39">
        <v>44698</v>
      </c>
      <c r="H411">
        <v>17.9221</v>
      </c>
      <c r="I411">
        <v>26.598199999999999</v>
      </c>
    </row>
    <row r="412" spans="1:9">
      <c r="A412" s="39">
        <v>44655</v>
      </c>
      <c r="B412" s="152">
        <v>21.108899999999998</v>
      </c>
      <c r="C412">
        <f t="shared" si="20"/>
        <v>34.141525685321461</v>
      </c>
      <c r="D412">
        <f t="shared" si="21"/>
        <v>3.654800335495187</v>
      </c>
      <c r="E412">
        <f t="shared" si="22"/>
        <v>18.898163010408325</v>
      </c>
      <c r="G412" s="39">
        <v>44697</v>
      </c>
      <c r="H412">
        <v>16.750900000000001</v>
      </c>
      <c r="I412">
        <v>26.773499999999999</v>
      </c>
    </row>
    <row r="413" spans="1:9">
      <c r="A413" s="39">
        <v>44652</v>
      </c>
      <c r="B413" s="152">
        <v>21.245000000000001</v>
      </c>
      <c r="C413">
        <f t="shared" si="20"/>
        <v>34.141525685321461</v>
      </c>
      <c r="D413">
        <f t="shared" si="21"/>
        <v>3.654800335495187</v>
      </c>
      <c r="E413">
        <f t="shared" si="22"/>
        <v>18.898163010408325</v>
      </c>
      <c r="G413" s="39">
        <v>44694</v>
      </c>
      <c r="H413">
        <v>17.036899999999999</v>
      </c>
      <c r="I413">
        <v>26.7987</v>
      </c>
    </row>
    <row r="414" spans="1:9">
      <c r="A414" s="39">
        <v>44651</v>
      </c>
      <c r="B414" s="152">
        <v>19.855899999999998</v>
      </c>
      <c r="C414">
        <f t="shared" si="20"/>
        <v>34.141525685321461</v>
      </c>
      <c r="D414">
        <f t="shared" si="21"/>
        <v>3.654800335495187</v>
      </c>
      <c r="E414">
        <f t="shared" si="22"/>
        <v>18.898163010408325</v>
      </c>
      <c r="G414" s="39">
        <v>44693</v>
      </c>
      <c r="H414">
        <v>18.3034</v>
      </c>
      <c r="I414">
        <v>26.528600000000001</v>
      </c>
    </row>
    <row r="415" spans="1:9">
      <c r="A415" s="39">
        <v>44650</v>
      </c>
      <c r="B415" s="152">
        <v>19.926300000000001</v>
      </c>
      <c r="C415">
        <f t="shared" si="20"/>
        <v>34.141525685321461</v>
      </c>
      <c r="D415">
        <f t="shared" si="21"/>
        <v>3.654800335495187</v>
      </c>
      <c r="E415">
        <f t="shared" si="22"/>
        <v>18.898163010408325</v>
      </c>
      <c r="G415" s="39">
        <v>44692</v>
      </c>
      <c r="H415">
        <v>19.202200000000001</v>
      </c>
      <c r="I415">
        <v>26.552800000000001</v>
      </c>
    </row>
    <row r="416" spans="1:9">
      <c r="A416" s="39">
        <v>44649</v>
      </c>
      <c r="B416" s="152">
        <v>20.216100000000001</v>
      </c>
      <c r="C416">
        <f t="shared" si="20"/>
        <v>34.141525685321461</v>
      </c>
      <c r="D416">
        <f t="shared" si="21"/>
        <v>3.654800335495187</v>
      </c>
      <c r="E416">
        <f t="shared" si="22"/>
        <v>18.898163010408325</v>
      </c>
      <c r="G416" s="39">
        <v>44691</v>
      </c>
      <c r="H416">
        <v>19.079699999999999</v>
      </c>
      <c r="I416">
        <v>26.758400000000002</v>
      </c>
    </row>
    <row r="417" spans="1:9">
      <c r="A417" s="39">
        <v>44648</v>
      </c>
      <c r="B417" s="152">
        <v>19.871099999999998</v>
      </c>
      <c r="C417">
        <f t="shared" si="20"/>
        <v>34.141525685321461</v>
      </c>
      <c r="D417">
        <f t="shared" si="21"/>
        <v>3.654800335495187</v>
      </c>
      <c r="E417">
        <f t="shared" si="22"/>
        <v>18.898163010408325</v>
      </c>
      <c r="G417" s="39">
        <v>44690</v>
      </c>
      <c r="H417">
        <v>18.575800000000001</v>
      </c>
      <c r="I417">
        <v>27.056000000000001</v>
      </c>
    </row>
    <row r="418" spans="1:9">
      <c r="A418" s="39">
        <v>44645</v>
      </c>
      <c r="B418" s="152">
        <v>19.167400000000001</v>
      </c>
      <c r="C418">
        <f t="shared" si="20"/>
        <v>34.141525685321461</v>
      </c>
      <c r="D418">
        <f t="shared" si="21"/>
        <v>3.654800335495187</v>
      </c>
      <c r="E418">
        <f t="shared" si="22"/>
        <v>18.898163010408325</v>
      </c>
      <c r="G418" s="39">
        <v>44687</v>
      </c>
      <c r="H418">
        <v>19.9649</v>
      </c>
      <c r="I418">
        <v>27.548400000000001</v>
      </c>
    </row>
    <row r="419" spans="1:9">
      <c r="A419" s="39">
        <v>44644</v>
      </c>
      <c r="B419" s="152">
        <v>18.491199999999999</v>
      </c>
      <c r="C419">
        <f t="shared" si="20"/>
        <v>34.141525685321461</v>
      </c>
      <c r="D419">
        <f t="shared" si="21"/>
        <v>3.654800335495187</v>
      </c>
      <c r="E419">
        <f t="shared" si="22"/>
        <v>18.898163010408325</v>
      </c>
      <c r="G419" s="39">
        <v>44686</v>
      </c>
      <c r="H419">
        <v>20.3462</v>
      </c>
      <c r="I419">
        <v>28.050599999999999</v>
      </c>
    </row>
    <row r="420" spans="1:9">
      <c r="A420" s="39">
        <v>44643</v>
      </c>
      <c r="B420" s="152">
        <v>18.629200000000001</v>
      </c>
      <c r="C420">
        <f t="shared" si="20"/>
        <v>34.141525685321461</v>
      </c>
      <c r="D420">
        <f t="shared" si="21"/>
        <v>3.654800335495187</v>
      </c>
      <c r="E420">
        <f t="shared" si="22"/>
        <v>18.898163010408325</v>
      </c>
      <c r="G420" s="39">
        <v>44685</v>
      </c>
      <c r="H420">
        <v>20.3598</v>
      </c>
      <c r="I420">
        <v>28.758199999999999</v>
      </c>
    </row>
    <row r="421" spans="1:9">
      <c r="A421" s="39">
        <v>44642</v>
      </c>
      <c r="B421" s="152">
        <v>18.6568</v>
      </c>
      <c r="C421">
        <f t="shared" si="20"/>
        <v>34.141525685321461</v>
      </c>
      <c r="D421">
        <f t="shared" si="21"/>
        <v>3.654800335495187</v>
      </c>
      <c r="E421">
        <f t="shared" si="22"/>
        <v>18.898163010408325</v>
      </c>
      <c r="G421" s="39">
        <v>44684</v>
      </c>
      <c r="I421">
        <v>28.426500000000001</v>
      </c>
    </row>
    <row r="422" spans="1:9">
      <c r="A422" s="39">
        <v>44641</v>
      </c>
      <c r="B422" s="152">
        <v>18.615400000000001</v>
      </c>
      <c r="C422">
        <f t="shared" si="20"/>
        <v>34.141525685321461</v>
      </c>
      <c r="D422">
        <f t="shared" si="21"/>
        <v>3.654800335495187</v>
      </c>
      <c r="E422">
        <f t="shared" si="22"/>
        <v>18.898163010408325</v>
      </c>
      <c r="G422" s="39">
        <v>44683</v>
      </c>
      <c r="I422">
        <v>28.357900000000001</v>
      </c>
    </row>
    <row r="423" spans="1:9">
      <c r="A423" s="39">
        <v>44638</v>
      </c>
      <c r="B423" s="152">
        <v>18.16</v>
      </c>
      <c r="C423">
        <f t="shared" si="20"/>
        <v>34.141525685321461</v>
      </c>
      <c r="D423">
        <f t="shared" si="21"/>
        <v>3.654800335495187</v>
      </c>
      <c r="E423">
        <f t="shared" si="22"/>
        <v>18.898163010408325</v>
      </c>
      <c r="G423" s="39">
        <v>44680</v>
      </c>
      <c r="H423">
        <v>20.318999999999999</v>
      </c>
      <c r="I423">
        <v>28.2668</v>
      </c>
    </row>
    <row r="424" spans="1:9">
      <c r="A424" s="39">
        <v>44637</v>
      </c>
      <c r="B424" s="152">
        <v>18.049600000000002</v>
      </c>
      <c r="C424">
        <f t="shared" si="20"/>
        <v>34.141525685321461</v>
      </c>
      <c r="D424">
        <f t="shared" si="21"/>
        <v>3.654800335495187</v>
      </c>
      <c r="E424">
        <f t="shared" si="22"/>
        <v>18.898163010408325</v>
      </c>
      <c r="G424" s="39">
        <v>44679</v>
      </c>
      <c r="H424">
        <v>19.747</v>
      </c>
      <c r="I424">
        <v>29.038799999999998</v>
      </c>
    </row>
    <row r="425" spans="1:9">
      <c r="A425" s="39">
        <v>44636</v>
      </c>
      <c r="B425" s="152">
        <v>18.132400000000001</v>
      </c>
      <c r="C425">
        <f t="shared" si="20"/>
        <v>34.141525685321461</v>
      </c>
      <c r="D425">
        <f t="shared" si="21"/>
        <v>3.654800335495187</v>
      </c>
      <c r="E425">
        <f t="shared" si="22"/>
        <v>18.898163010408325</v>
      </c>
      <c r="G425" s="39">
        <v>44678</v>
      </c>
      <c r="H425">
        <v>20.046600000000002</v>
      </c>
      <c r="I425">
        <v>28.7437</v>
      </c>
    </row>
    <row r="426" spans="1:9">
      <c r="A426" s="39">
        <v>44635</v>
      </c>
      <c r="B426" s="152">
        <v>18.132400000000001</v>
      </c>
      <c r="C426">
        <f t="shared" si="20"/>
        <v>34.141525685321461</v>
      </c>
      <c r="D426">
        <f t="shared" si="21"/>
        <v>3.654800335495187</v>
      </c>
      <c r="E426">
        <f t="shared" si="22"/>
        <v>18.898163010408325</v>
      </c>
      <c r="G426" s="39">
        <v>44677</v>
      </c>
      <c r="H426">
        <v>20.264500000000002</v>
      </c>
      <c r="I426">
        <v>28.8535</v>
      </c>
    </row>
    <row r="427" spans="1:9">
      <c r="A427" s="39">
        <v>44634</v>
      </c>
      <c r="B427" s="152">
        <v>18.1738</v>
      </c>
      <c r="C427">
        <f t="shared" si="20"/>
        <v>34.141525685321461</v>
      </c>
      <c r="D427">
        <f t="shared" si="21"/>
        <v>3.654800335495187</v>
      </c>
      <c r="E427">
        <f t="shared" si="22"/>
        <v>18.898163010408325</v>
      </c>
      <c r="G427" s="39">
        <v>44676</v>
      </c>
      <c r="H427">
        <v>19.7334</v>
      </c>
      <c r="I427">
        <v>29.222100000000001</v>
      </c>
    </row>
    <row r="428" spans="1:9">
      <c r="A428" s="39">
        <v>44631</v>
      </c>
      <c r="B428" s="152">
        <v>18.353200000000001</v>
      </c>
      <c r="C428">
        <f t="shared" si="20"/>
        <v>34.141525685321461</v>
      </c>
      <c r="D428">
        <f t="shared" si="21"/>
        <v>3.654800335495187</v>
      </c>
      <c r="E428">
        <f t="shared" si="22"/>
        <v>18.898163010408325</v>
      </c>
      <c r="G428" s="39">
        <v>44673</v>
      </c>
      <c r="H428">
        <v>21.2178</v>
      </c>
      <c r="I428">
        <v>29.374099999999999</v>
      </c>
    </row>
    <row r="429" spans="1:9">
      <c r="A429" s="39">
        <v>44630</v>
      </c>
      <c r="B429" s="152">
        <v>18.4222</v>
      </c>
      <c r="C429">
        <f t="shared" si="20"/>
        <v>34.141525685321461</v>
      </c>
      <c r="D429">
        <f t="shared" si="21"/>
        <v>3.654800335495187</v>
      </c>
      <c r="E429">
        <f t="shared" si="22"/>
        <v>18.898163010408325</v>
      </c>
      <c r="G429" s="39">
        <v>44672</v>
      </c>
      <c r="H429">
        <v>21.1769</v>
      </c>
      <c r="I429">
        <v>30.004200000000001</v>
      </c>
    </row>
    <row r="430" spans="1:9">
      <c r="A430" s="39">
        <v>44629</v>
      </c>
      <c r="B430" s="152">
        <v>18.4636</v>
      </c>
      <c r="C430">
        <f t="shared" si="20"/>
        <v>34.141525685321461</v>
      </c>
      <c r="D430">
        <f t="shared" si="21"/>
        <v>3.654800335495187</v>
      </c>
      <c r="E430">
        <f t="shared" si="22"/>
        <v>18.898163010408325</v>
      </c>
      <c r="G430" s="39">
        <v>44671</v>
      </c>
      <c r="H430">
        <v>21.245000000000001</v>
      </c>
      <c r="I430">
        <v>30.403099999999998</v>
      </c>
    </row>
    <row r="431" spans="1:9">
      <c r="A431" s="39">
        <v>44628</v>
      </c>
      <c r="B431" s="152">
        <v>18.518799999999999</v>
      </c>
      <c r="C431">
        <f t="shared" si="20"/>
        <v>34.141525685321461</v>
      </c>
      <c r="D431">
        <f t="shared" si="21"/>
        <v>3.654800335495187</v>
      </c>
      <c r="E431">
        <f t="shared" si="22"/>
        <v>18.898163010408325</v>
      </c>
      <c r="G431" s="39">
        <v>44670</v>
      </c>
      <c r="H431">
        <v>21.245000000000001</v>
      </c>
      <c r="I431">
        <v>30.084099999999999</v>
      </c>
    </row>
    <row r="432" spans="1:9">
      <c r="A432" s="39">
        <v>44627</v>
      </c>
      <c r="B432" s="152">
        <v>18.518799999999999</v>
      </c>
      <c r="C432">
        <f t="shared" si="20"/>
        <v>34.141525685321461</v>
      </c>
      <c r="D432">
        <f t="shared" si="21"/>
        <v>3.654800335495187</v>
      </c>
      <c r="E432">
        <f t="shared" si="22"/>
        <v>18.898163010408325</v>
      </c>
      <c r="G432" s="39">
        <v>44669</v>
      </c>
      <c r="H432">
        <v>21.817</v>
      </c>
      <c r="I432">
        <v>29.675999999999998</v>
      </c>
    </row>
    <row r="433" spans="1:9">
      <c r="A433" s="39">
        <v>44624</v>
      </c>
      <c r="B433" s="152">
        <v>18.739599999999999</v>
      </c>
      <c r="C433">
        <f t="shared" si="20"/>
        <v>34.141525685321461</v>
      </c>
      <c r="D433">
        <f t="shared" si="21"/>
        <v>3.654800335495187</v>
      </c>
      <c r="E433">
        <f t="shared" si="22"/>
        <v>18.898163010408325</v>
      </c>
      <c r="G433" s="39">
        <v>44666</v>
      </c>
      <c r="H433">
        <v>21.817</v>
      </c>
      <c r="I433">
        <v>29.889800000000001</v>
      </c>
    </row>
    <row r="434" spans="1:9">
      <c r="A434" s="39">
        <v>44623</v>
      </c>
      <c r="B434" s="152">
        <v>18.836200000000002</v>
      </c>
      <c r="C434">
        <f t="shared" si="20"/>
        <v>34.141525685321461</v>
      </c>
      <c r="D434">
        <f t="shared" si="21"/>
        <v>3.654800335495187</v>
      </c>
      <c r="E434">
        <f t="shared" si="22"/>
        <v>18.898163010408325</v>
      </c>
      <c r="G434" s="39">
        <v>44665</v>
      </c>
      <c r="H434">
        <v>21.721699999999998</v>
      </c>
      <c r="I434">
        <v>29.8811</v>
      </c>
    </row>
    <row r="435" spans="1:9">
      <c r="A435" s="39">
        <v>44622</v>
      </c>
      <c r="B435" s="152">
        <v>18.560199999999998</v>
      </c>
      <c r="C435">
        <f t="shared" si="20"/>
        <v>34.141525685321461</v>
      </c>
      <c r="D435">
        <f t="shared" si="21"/>
        <v>3.654800335495187</v>
      </c>
      <c r="E435">
        <f t="shared" si="22"/>
        <v>18.898163010408325</v>
      </c>
      <c r="G435" s="39">
        <v>44664</v>
      </c>
      <c r="H435">
        <v>21.272300000000001</v>
      </c>
      <c r="I435">
        <v>29.7898</v>
      </c>
    </row>
    <row r="436" spans="1:9">
      <c r="A436" s="39">
        <v>44621</v>
      </c>
      <c r="B436" s="152">
        <v>18.767199999999999</v>
      </c>
      <c r="C436">
        <f t="shared" si="20"/>
        <v>34.141525685321461</v>
      </c>
      <c r="D436">
        <f t="shared" si="21"/>
        <v>3.654800335495187</v>
      </c>
      <c r="E436">
        <f t="shared" si="22"/>
        <v>18.898163010408325</v>
      </c>
      <c r="G436" s="39">
        <v>44663</v>
      </c>
      <c r="H436">
        <v>20.7956</v>
      </c>
      <c r="I436">
        <v>29.472200000000001</v>
      </c>
    </row>
    <row r="437" spans="1:9">
      <c r="A437" s="39">
        <v>44620</v>
      </c>
      <c r="B437" s="152">
        <v>18.767199999999999</v>
      </c>
      <c r="C437">
        <f t="shared" si="20"/>
        <v>34.141525685321461</v>
      </c>
      <c r="D437">
        <f t="shared" si="21"/>
        <v>3.654800335495187</v>
      </c>
      <c r="E437">
        <f t="shared" si="22"/>
        <v>18.898163010408325</v>
      </c>
      <c r="G437" s="39">
        <v>44662</v>
      </c>
      <c r="I437">
        <v>29.299900000000001</v>
      </c>
    </row>
    <row r="438" spans="1:9">
      <c r="A438" s="39">
        <v>44617</v>
      </c>
      <c r="B438" s="152">
        <v>18.988</v>
      </c>
      <c r="C438">
        <f t="shared" si="20"/>
        <v>34.141525685321461</v>
      </c>
      <c r="D438">
        <f t="shared" si="21"/>
        <v>3.654800335495187</v>
      </c>
      <c r="E438">
        <f t="shared" si="22"/>
        <v>18.898163010408325</v>
      </c>
      <c r="G438" s="39">
        <v>44659</v>
      </c>
      <c r="H438">
        <v>20.427900000000001</v>
      </c>
      <c r="I438">
        <v>29.497499999999999</v>
      </c>
    </row>
    <row r="439" spans="1:9">
      <c r="A439" s="39">
        <v>44616</v>
      </c>
      <c r="B439" s="152">
        <v>18.877600000000001</v>
      </c>
      <c r="C439">
        <f t="shared" si="20"/>
        <v>34.141525685321461</v>
      </c>
      <c r="D439">
        <f t="shared" si="21"/>
        <v>3.654800335495187</v>
      </c>
      <c r="E439">
        <f t="shared" si="22"/>
        <v>18.898163010408325</v>
      </c>
      <c r="G439" s="39">
        <v>44658</v>
      </c>
      <c r="H439">
        <v>21.108899999999998</v>
      </c>
      <c r="I439">
        <v>29.257999999999999</v>
      </c>
    </row>
    <row r="440" spans="1:9">
      <c r="A440" s="39">
        <v>44615</v>
      </c>
      <c r="B440" s="152">
        <v>19.015599999999999</v>
      </c>
      <c r="C440">
        <f t="shared" si="20"/>
        <v>34.141525685321461</v>
      </c>
      <c r="D440">
        <f t="shared" si="21"/>
        <v>3.654800335495187</v>
      </c>
      <c r="E440">
        <f t="shared" si="22"/>
        <v>18.898163010408325</v>
      </c>
      <c r="G440" s="39">
        <v>44657</v>
      </c>
      <c r="H440">
        <v>21.6264</v>
      </c>
      <c r="I440">
        <v>29.0366</v>
      </c>
    </row>
    <row r="441" spans="1:9">
      <c r="A441" s="39">
        <v>44614</v>
      </c>
      <c r="B441" s="152">
        <v>19.001799999999999</v>
      </c>
      <c r="C441">
        <f t="shared" si="20"/>
        <v>34.141525685321461</v>
      </c>
      <c r="D441">
        <f t="shared" si="21"/>
        <v>3.654800335495187</v>
      </c>
      <c r="E441">
        <f t="shared" si="22"/>
        <v>18.898163010408325</v>
      </c>
      <c r="G441" s="39">
        <v>44656</v>
      </c>
      <c r="H441">
        <v>21.136099999999999</v>
      </c>
      <c r="I441">
        <v>28.517800000000001</v>
      </c>
    </row>
    <row r="442" spans="1:9">
      <c r="A442" s="39">
        <v>44613</v>
      </c>
      <c r="B442" s="152">
        <v>18.477399999999999</v>
      </c>
      <c r="C442">
        <f t="shared" si="20"/>
        <v>34.141525685321461</v>
      </c>
      <c r="D442">
        <f t="shared" si="21"/>
        <v>3.654800335495187</v>
      </c>
      <c r="E442">
        <f t="shared" si="22"/>
        <v>18.898163010408325</v>
      </c>
      <c r="G442" s="39">
        <v>44655</v>
      </c>
      <c r="H442">
        <v>21.108899999999998</v>
      </c>
      <c r="I442">
        <v>28.366</v>
      </c>
    </row>
    <row r="443" spans="1:9">
      <c r="A443" s="39">
        <v>44610</v>
      </c>
      <c r="B443" s="152">
        <v>18.491199999999999</v>
      </c>
      <c r="C443">
        <f t="shared" si="20"/>
        <v>34.141525685321461</v>
      </c>
      <c r="D443">
        <f t="shared" si="21"/>
        <v>3.654800335495187</v>
      </c>
      <c r="E443">
        <f t="shared" si="22"/>
        <v>18.898163010408325</v>
      </c>
      <c r="G443" s="39">
        <v>44652</v>
      </c>
      <c r="H443">
        <v>21.245000000000001</v>
      </c>
      <c r="I443">
        <v>28.185300000000002</v>
      </c>
    </row>
    <row r="444" spans="1:9">
      <c r="A444" s="39">
        <v>44609</v>
      </c>
      <c r="B444" s="152">
        <v>18.560199999999998</v>
      </c>
      <c r="C444">
        <f t="shared" si="20"/>
        <v>34.141525685321461</v>
      </c>
      <c r="D444">
        <f t="shared" si="21"/>
        <v>3.654800335495187</v>
      </c>
      <c r="E444">
        <f t="shared" si="22"/>
        <v>18.898163010408325</v>
      </c>
      <c r="G444" s="39">
        <v>44651</v>
      </c>
      <c r="H444">
        <v>19.855899999999998</v>
      </c>
      <c r="I444">
        <v>27.9267</v>
      </c>
    </row>
    <row r="445" spans="1:9">
      <c r="A445" s="39">
        <v>44608</v>
      </c>
      <c r="B445" s="152">
        <v>18.339400000000001</v>
      </c>
      <c r="C445">
        <f t="shared" si="20"/>
        <v>34.141525685321461</v>
      </c>
      <c r="D445">
        <f t="shared" si="21"/>
        <v>3.654800335495187</v>
      </c>
      <c r="E445">
        <f t="shared" si="22"/>
        <v>18.898163010408325</v>
      </c>
      <c r="G445" s="39">
        <v>44650</v>
      </c>
      <c r="H445">
        <v>19.926300000000001</v>
      </c>
      <c r="I445">
        <v>28.530799999999999</v>
      </c>
    </row>
    <row r="446" spans="1:9">
      <c r="A446" s="39">
        <v>44607</v>
      </c>
      <c r="B446" s="152">
        <v>18.394600000000001</v>
      </c>
      <c r="C446">
        <f t="shared" si="20"/>
        <v>34.141525685321461</v>
      </c>
      <c r="D446">
        <f t="shared" si="21"/>
        <v>3.654800335495187</v>
      </c>
      <c r="E446">
        <f t="shared" si="22"/>
        <v>18.898163010408325</v>
      </c>
      <c r="G446" s="39">
        <v>44649</v>
      </c>
      <c r="H446">
        <v>20.216100000000001</v>
      </c>
      <c r="I446">
        <v>28.4359</v>
      </c>
    </row>
    <row r="447" spans="1:9">
      <c r="A447" s="39">
        <v>44606</v>
      </c>
      <c r="B447" s="152">
        <v>18.215199999999999</v>
      </c>
      <c r="C447">
        <f t="shared" si="20"/>
        <v>34.141525685321461</v>
      </c>
      <c r="D447">
        <f t="shared" si="21"/>
        <v>3.654800335495187</v>
      </c>
      <c r="E447">
        <f t="shared" si="22"/>
        <v>18.898163010408325</v>
      </c>
      <c r="G447" s="39">
        <v>44648</v>
      </c>
      <c r="H447">
        <v>19.871099999999998</v>
      </c>
      <c r="I447">
        <v>28.041699999999999</v>
      </c>
    </row>
    <row r="448" spans="1:9">
      <c r="A448" s="39">
        <v>44603</v>
      </c>
      <c r="B448" s="152">
        <v>18.6706</v>
      </c>
      <c r="C448">
        <f t="shared" si="20"/>
        <v>34.141525685321461</v>
      </c>
      <c r="D448">
        <f t="shared" si="21"/>
        <v>3.654800335495187</v>
      </c>
      <c r="E448">
        <f t="shared" si="22"/>
        <v>18.898163010408325</v>
      </c>
      <c r="G448" s="39">
        <v>44645</v>
      </c>
      <c r="H448">
        <v>19.167400000000001</v>
      </c>
      <c r="I448">
        <v>27.671700000000001</v>
      </c>
    </row>
    <row r="449" spans="1:9">
      <c r="A449" s="39">
        <v>44602</v>
      </c>
      <c r="B449" s="152">
        <v>18.808599999999998</v>
      </c>
      <c r="C449">
        <f t="shared" si="20"/>
        <v>34.141525685321461</v>
      </c>
      <c r="D449">
        <f t="shared" si="21"/>
        <v>3.654800335495187</v>
      </c>
      <c r="E449">
        <f t="shared" si="22"/>
        <v>18.898163010408325</v>
      </c>
      <c r="G449" s="39">
        <v>44644</v>
      </c>
      <c r="H449">
        <v>18.491199999999999</v>
      </c>
      <c r="I449">
        <v>27.7515</v>
      </c>
    </row>
    <row r="450" spans="1:9">
      <c r="A450" s="39">
        <v>44601</v>
      </c>
      <c r="B450" s="152">
        <v>18.905200000000001</v>
      </c>
      <c r="C450">
        <f t="shared" si="20"/>
        <v>34.141525685321461</v>
      </c>
      <c r="D450">
        <f t="shared" si="21"/>
        <v>3.654800335495187</v>
      </c>
      <c r="E450">
        <f t="shared" si="22"/>
        <v>18.898163010408325</v>
      </c>
      <c r="G450" s="39">
        <v>44643</v>
      </c>
      <c r="H450">
        <v>18.629200000000001</v>
      </c>
      <c r="I450">
        <v>27.677</v>
      </c>
    </row>
    <row r="451" spans="1:9">
      <c r="A451" s="39">
        <v>44600</v>
      </c>
      <c r="B451" s="152">
        <v>18.808599999999998</v>
      </c>
      <c r="C451">
        <f t="shared" si="20"/>
        <v>34.141525685321461</v>
      </c>
      <c r="D451">
        <f t="shared" si="21"/>
        <v>3.654800335495187</v>
      </c>
      <c r="E451">
        <f t="shared" si="22"/>
        <v>18.898163010408325</v>
      </c>
      <c r="G451" s="39">
        <v>44642</v>
      </c>
      <c r="H451">
        <v>18.6568</v>
      </c>
      <c r="I451">
        <v>28.0032</v>
      </c>
    </row>
    <row r="452" spans="1:9">
      <c r="A452" s="39">
        <v>44599</v>
      </c>
      <c r="B452" s="152">
        <v>18.477399999999999</v>
      </c>
      <c r="C452">
        <f t="shared" ref="C452:C515" si="23">AVERAGE($B$3:$B$1251)+$C$1</f>
        <v>34.141525685321461</v>
      </c>
      <c r="D452">
        <f t="shared" ref="D452:D515" si="24">AVERAGE($B$3:$B$1251)-$C$1</f>
        <v>3.654800335495187</v>
      </c>
      <c r="E452">
        <f t="shared" ref="E452:E515" si="25">AVERAGE($B$3:$B$1251)</f>
        <v>18.898163010408325</v>
      </c>
      <c r="G452" s="39">
        <v>44641</v>
      </c>
      <c r="H452">
        <v>18.615400000000001</v>
      </c>
      <c r="I452">
        <v>27.938800000000001</v>
      </c>
    </row>
    <row r="453" spans="1:9">
      <c r="A453" s="39">
        <v>44589</v>
      </c>
      <c r="B453" s="152">
        <v>18.284199999999998</v>
      </c>
      <c r="C453">
        <f t="shared" si="23"/>
        <v>34.141525685321461</v>
      </c>
      <c r="D453">
        <f t="shared" si="24"/>
        <v>3.654800335495187</v>
      </c>
      <c r="E453">
        <f t="shared" si="25"/>
        <v>18.898163010408325</v>
      </c>
      <c r="G453" s="39">
        <v>44638</v>
      </c>
      <c r="H453">
        <v>18.16</v>
      </c>
      <c r="I453">
        <v>28.055099999999999</v>
      </c>
    </row>
    <row r="454" spans="1:9">
      <c r="A454" s="39">
        <v>44588</v>
      </c>
      <c r="B454" s="152">
        <v>18.1462</v>
      </c>
      <c r="C454">
        <f t="shared" si="23"/>
        <v>34.141525685321461</v>
      </c>
      <c r="D454">
        <f t="shared" si="24"/>
        <v>3.654800335495187</v>
      </c>
      <c r="E454">
        <f t="shared" si="25"/>
        <v>18.898163010408325</v>
      </c>
      <c r="G454" s="39">
        <v>44637</v>
      </c>
      <c r="H454">
        <v>18.049600000000002</v>
      </c>
      <c r="I454">
        <v>27.844899999999999</v>
      </c>
    </row>
    <row r="455" spans="1:9">
      <c r="A455" s="39">
        <v>44587</v>
      </c>
      <c r="B455" s="152">
        <v>18.2014</v>
      </c>
      <c r="C455">
        <f t="shared" si="23"/>
        <v>34.141525685321461</v>
      </c>
      <c r="D455">
        <f t="shared" si="24"/>
        <v>3.654800335495187</v>
      </c>
      <c r="E455">
        <f t="shared" si="25"/>
        <v>18.898163010408325</v>
      </c>
      <c r="G455" s="39">
        <v>44636</v>
      </c>
      <c r="H455">
        <v>18.132400000000001</v>
      </c>
      <c r="I455">
        <v>27.4438</v>
      </c>
    </row>
    <row r="456" spans="1:9">
      <c r="A456" s="39">
        <v>44586</v>
      </c>
      <c r="B456" s="152">
        <v>18.077200000000001</v>
      </c>
      <c r="C456">
        <f t="shared" si="23"/>
        <v>34.141525685321461</v>
      </c>
      <c r="D456">
        <f t="shared" si="24"/>
        <v>3.654800335495187</v>
      </c>
      <c r="E456">
        <f t="shared" si="25"/>
        <v>18.898163010408325</v>
      </c>
      <c r="G456" s="39">
        <v>44635</v>
      </c>
      <c r="H456">
        <v>18.132400000000001</v>
      </c>
      <c r="I456">
        <v>27.194099999999999</v>
      </c>
    </row>
    <row r="457" spans="1:9">
      <c r="A457" s="39">
        <v>44585</v>
      </c>
      <c r="B457" s="152">
        <v>17.9254</v>
      </c>
      <c r="C457">
        <f t="shared" si="23"/>
        <v>34.141525685321461</v>
      </c>
      <c r="D457">
        <f t="shared" si="24"/>
        <v>3.654800335495187</v>
      </c>
      <c r="E457">
        <f t="shared" si="25"/>
        <v>18.898163010408325</v>
      </c>
      <c r="G457" s="39">
        <v>44634</v>
      </c>
      <c r="H457">
        <v>18.1738</v>
      </c>
      <c r="I457">
        <v>26.8018</v>
      </c>
    </row>
    <row r="458" spans="1:9">
      <c r="A458" s="39">
        <v>44582</v>
      </c>
      <c r="B458" s="152">
        <v>18.380800000000001</v>
      </c>
      <c r="C458">
        <f t="shared" si="23"/>
        <v>34.141525685321461</v>
      </c>
      <c r="D458">
        <f t="shared" si="24"/>
        <v>3.654800335495187</v>
      </c>
      <c r="E458">
        <f t="shared" si="25"/>
        <v>18.898163010408325</v>
      </c>
      <c r="G458" s="39">
        <v>44631</v>
      </c>
      <c r="H458">
        <v>18.353200000000001</v>
      </c>
      <c r="I458">
        <v>26.567900000000002</v>
      </c>
    </row>
    <row r="459" spans="1:9">
      <c r="A459" s="39">
        <v>44581</v>
      </c>
      <c r="B459" s="152">
        <v>18.491199999999999</v>
      </c>
      <c r="C459">
        <f t="shared" si="23"/>
        <v>34.141525685321461</v>
      </c>
      <c r="D459">
        <f t="shared" si="24"/>
        <v>3.654800335495187</v>
      </c>
      <c r="E459">
        <f t="shared" si="25"/>
        <v>18.898163010408325</v>
      </c>
      <c r="G459" s="39">
        <v>44630</v>
      </c>
      <c r="H459">
        <v>18.4222</v>
      </c>
      <c r="I459">
        <v>26.728300000000001</v>
      </c>
    </row>
    <row r="460" spans="1:9">
      <c r="A460" s="39">
        <v>44580</v>
      </c>
      <c r="B460" s="152">
        <v>18.4222</v>
      </c>
      <c r="C460">
        <f t="shared" si="23"/>
        <v>34.141525685321461</v>
      </c>
      <c r="D460">
        <f t="shared" si="24"/>
        <v>3.654800335495187</v>
      </c>
      <c r="E460">
        <f t="shared" si="25"/>
        <v>18.898163010408325</v>
      </c>
      <c r="G460" s="39">
        <v>44629</v>
      </c>
      <c r="H460">
        <v>18.4636</v>
      </c>
      <c r="I460">
        <v>26.411200000000001</v>
      </c>
    </row>
    <row r="461" spans="1:9">
      <c r="A461" s="39">
        <v>44579</v>
      </c>
      <c r="B461" s="152">
        <v>17.952999999999999</v>
      </c>
      <c r="C461">
        <f t="shared" si="23"/>
        <v>34.141525685321461</v>
      </c>
      <c r="D461">
        <f t="shared" si="24"/>
        <v>3.654800335495187</v>
      </c>
      <c r="E461">
        <f t="shared" si="25"/>
        <v>18.898163010408325</v>
      </c>
      <c r="G461" s="39">
        <v>44628</v>
      </c>
      <c r="H461">
        <v>18.518799999999999</v>
      </c>
      <c r="I461">
        <v>25.994299999999999</v>
      </c>
    </row>
    <row r="462" spans="1:9">
      <c r="A462" s="39">
        <v>44578</v>
      </c>
      <c r="B462" s="152">
        <v>17.9392</v>
      </c>
      <c r="C462">
        <f t="shared" si="23"/>
        <v>34.141525685321461</v>
      </c>
      <c r="D462">
        <f t="shared" si="24"/>
        <v>3.654800335495187</v>
      </c>
      <c r="E462">
        <f t="shared" si="25"/>
        <v>18.898163010408325</v>
      </c>
      <c r="G462" s="39">
        <v>44627</v>
      </c>
      <c r="H462">
        <v>18.518799999999999</v>
      </c>
      <c r="I462">
        <v>26.089700000000001</v>
      </c>
    </row>
    <row r="463" spans="1:9">
      <c r="A463" s="39">
        <v>44575</v>
      </c>
      <c r="B463" s="152">
        <v>18.491199999999999</v>
      </c>
      <c r="C463">
        <f t="shared" si="23"/>
        <v>34.141525685321461</v>
      </c>
      <c r="D463">
        <f t="shared" si="24"/>
        <v>3.654800335495187</v>
      </c>
      <c r="E463">
        <f t="shared" si="25"/>
        <v>18.898163010408325</v>
      </c>
      <c r="G463" s="39">
        <v>44624</v>
      </c>
      <c r="H463">
        <v>18.739599999999999</v>
      </c>
      <c r="I463">
        <v>26.279</v>
      </c>
    </row>
    <row r="464" spans="1:9">
      <c r="A464" s="39">
        <v>44574</v>
      </c>
      <c r="B464" s="152">
        <v>18.6982</v>
      </c>
      <c r="C464">
        <f t="shared" si="23"/>
        <v>34.141525685321461</v>
      </c>
      <c r="D464">
        <f t="shared" si="24"/>
        <v>3.654800335495187</v>
      </c>
      <c r="E464">
        <f t="shared" si="25"/>
        <v>18.898163010408325</v>
      </c>
      <c r="G464" s="39">
        <v>44623</v>
      </c>
      <c r="H464">
        <v>18.836200000000002</v>
      </c>
      <c r="I464">
        <v>26.511099999999999</v>
      </c>
    </row>
    <row r="465" spans="1:9">
      <c r="A465" s="39">
        <v>44573</v>
      </c>
      <c r="B465" s="152">
        <v>18.767199999999999</v>
      </c>
      <c r="C465">
        <f t="shared" si="23"/>
        <v>34.141525685321461</v>
      </c>
      <c r="D465">
        <f t="shared" si="24"/>
        <v>3.654800335495187</v>
      </c>
      <c r="E465">
        <f t="shared" si="25"/>
        <v>18.898163010408325</v>
      </c>
      <c r="G465" s="39">
        <v>44622</v>
      </c>
      <c r="H465">
        <v>18.560199999999998</v>
      </c>
      <c r="I465">
        <v>26.6722</v>
      </c>
    </row>
    <row r="466" spans="1:9">
      <c r="A466" s="39">
        <v>44572</v>
      </c>
      <c r="B466" s="152">
        <v>18.1876</v>
      </c>
      <c r="C466">
        <f t="shared" si="23"/>
        <v>34.141525685321461</v>
      </c>
      <c r="D466">
        <f t="shared" si="24"/>
        <v>3.654800335495187</v>
      </c>
      <c r="E466">
        <f t="shared" si="25"/>
        <v>18.898163010408325</v>
      </c>
      <c r="G466" s="39">
        <v>44621</v>
      </c>
      <c r="H466">
        <v>18.767199999999999</v>
      </c>
      <c r="I466">
        <v>26.339200000000002</v>
      </c>
    </row>
    <row r="467" spans="1:9">
      <c r="A467" s="39">
        <v>44571</v>
      </c>
      <c r="B467" s="152">
        <v>18.353200000000001</v>
      </c>
      <c r="C467">
        <f t="shared" si="23"/>
        <v>34.141525685321461</v>
      </c>
      <c r="D467">
        <f t="shared" si="24"/>
        <v>3.654800335495187</v>
      </c>
      <c r="E467">
        <f t="shared" si="25"/>
        <v>18.898163010408325</v>
      </c>
      <c r="G467" s="39">
        <v>44620</v>
      </c>
      <c r="H467">
        <v>18.767199999999999</v>
      </c>
      <c r="I467">
        <v>26.272400000000001</v>
      </c>
    </row>
    <row r="468" spans="1:9">
      <c r="A468" s="39">
        <v>44568</v>
      </c>
      <c r="B468" s="152">
        <v>18.6982</v>
      </c>
      <c r="C468">
        <f t="shared" si="23"/>
        <v>34.141525685321461</v>
      </c>
      <c r="D468">
        <f t="shared" si="24"/>
        <v>3.654800335495187</v>
      </c>
      <c r="E468">
        <f t="shared" si="25"/>
        <v>18.898163010408325</v>
      </c>
      <c r="G468" s="39">
        <v>44617</v>
      </c>
      <c r="H468">
        <v>18.988</v>
      </c>
      <c r="I468">
        <v>26.339099999999998</v>
      </c>
    </row>
    <row r="469" spans="1:9">
      <c r="A469" s="39">
        <v>44567</v>
      </c>
      <c r="B469" s="152">
        <v>18.9742</v>
      </c>
      <c r="C469">
        <f t="shared" si="23"/>
        <v>34.141525685321461</v>
      </c>
      <c r="D469">
        <f t="shared" si="24"/>
        <v>3.654800335495187</v>
      </c>
      <c r="E469">
        <f t="shared" si="25"/>
        <v>18.898163010408325</v>
      </c>
      <c r="G469" s="39">
        <v>44616</v>
      </c>
      <c r="H469">
        <v>18.877600000000001</v>
      </c>
      <c r="I469">
        <v>25.786100000000001</v>
      </c>
    </row>
    <row r="470" spans="1:9">
      <c r="A470" s="39">
        <v>44566</v>
      </c>
      <c r="B470" s="152">
        <v>18.919</v>
      </c>
      <c r="C470">
        <f t="shared" si="23"/>
        <v>34.141525685321461</v>
      </c>
      <c r="D470">
        <f t="shared" si="24"/>
        <v>3.654800335495187</v>
      </c>
      <c r="E470">
        <f t="shared" si="25"/>
        <v>18.898163010408325</v>
      </c>
      <c r="G470" s="39">
        <v>44615</v>
      </c>
      <c r="H470">
        <v>19.015599999999999</v>
      </c>
      <c r="I470">
        <v>25.6768</v>
      </c>
    </row>
    <row r="471" spans="1:9">
      <c r="A471" s="39">
        <v>44565</v>
      </c>
      <c r="B471" s="152">
        <v>19.015599999999999</v>
      </c>
      <c r="C471">
        <f t="shared" si="23"/>
        <v>34.141525685321461</v>
      </c>
      <c r="D471">
        <f t="shared" si="24"/>
        <v>3.654800335495187</v>
      </c>
      <c r="E471">
        <f t="shared" si="25"/>
        <v>18.898163010408325</v>
      </c>
      <c r="G471" s="39">
        <v>44614</v>
      </c>
      <c r="H471">
        <v>19.001799999999999</v>
      </c>
      <c r="I471">
        <v>26.0107</v>
      </c>
    </row>
    <row r="472" spans="1:9">
      <c r="A472" s="39">
        <v>44561</v>
      </c>
      <c r="B472" s="152">
        <v>18.753399999999999</v>
      </c>
      <c r="C472">
        <f t="shared" si="23"/>
        <v>34.141525685321461</v>
      </c>
      <c r="D472">
        <f t="shared" si="24"/>
        <v>3.654800335495187</v>
      </c>
      <c r="E472">
        <f t="shared" si="25"/>
        <v>18.898163010408325</v>
      </c>
      <c r="G472" s="39">
        <v>44613</v>
      </c>
      <c r="H472">
        <v>18.477399999999999</v>
      </c>
      <c r="I472">
        <v>26.449400000000001</v>
      </c>
    </row>
    <row r="473" spans="1:9">
      <c r="A473" s="39">
        <v>44560</v>
      </c>
      <c r="B473" s="152">
        <v>20.893599999999999</v>
      </c>
      <c r="C473">
        <f t="shared" si="23"/>
        <v>34.141525685321461</v>
      </c>
      <c r="D473">
        <f t="shared" si="24"/>
        <v>3.654800335495187</v>
      </c>
      <c r="E473">
        <f t="shared" si="25"/>
        <v>18.898163010408325</v>
      </c>
      <c r="G473" s="39">
        <v>44610</v>
      </c>
      <c r="H473">
        <v>18.491199999999999</v>
      </c>
      <c r="I473">
        <v>26.449300000000001</v>
      </c>
    </row>
    <row r="474" spans="1:9">
      <c r="A474" s="39">
        <v>44559</v>
      </c>
      <c r="B474" s="152">
        <v>20.909099999999999</v>
      </c>
      <c r="C474">
        <f t="shared" si="23"/>
        <v>34.141525685321461</v>
      </c>
      <c r="D474">
        <f t="shared" si="24"/>
        <v>3.654800335495187</v>
      </c>
      <c r="E474">
        <f t="shared" si="25"/>
        <v>18.898163010408325</v>
      </c>
      <c r="G474" s="39">
        <v>44609</v>
      </c>
      <c r="H474">
        <v>18.560199999999998</v>
      </c>
      <c r="I474">
        <v>26.172000000000001</v>
      </c>
    </row>
    <row r="475" spans="1:9">
      <c r="A475" s="39">
        <v>44558</v>
      </c>
      <c r="B475" s="152">
        <v>21.126899999999999</v>
      </c>
      <c r="C475">
        <f t="shared" si="23"/>
        <v>34.141525685321461</v>
      </c>
      <c r="D475">
        <f t="shared" si="24"/>
        <v>3.654800335495187</v>
      </c>
      <c r="E475">
        <f t="shared" si="25"/>
        <v>18.898163010408325</v>
      </c>
      <c r="G475" s="39">
        <v>44608</v>
      </c>
      <c r="H475">
        <v>18.339400000000001</v>
      </c>
      <c r="I475">
        <v>26.230399999999999</v>
      </c>
    </row>
    <row r="476" spans="1:9">
      <c r="A476" s="39">
        <v>44557</v>
      </c>
      <c r="B476" s="152">
        <v>20.986899999999999</v>
      </c>
      <c r="C476">
        <f t="shared" si="23"/>
        <v>34.141525685321461</v>
      </c>
      <c r="D476">
        <f t="shared" si="24"/>
        <v>3.654800335495187</v>
      </c>
      <c r="E476">
        <f t="shared" si="25"/>
        <v>18.898163010408325</v>
      </c>
      <c r="G476" s="39">
        <v>44607</v>
      </c>
      <c r="H476">
        <v>18.394600000000001</v>
      </c>
      <c r="I476">
        <v>26.313300000000002</v>
      </c>
    </row>
    <row r="477" spans="1:9">
      <c r="A477" s="39">
        <v>44554</v>
      </c>
      <c r="B477" s="152">
        <v>20.940200000000001</v>
      </c>
      <c r="C477">
        <f t="shared" si="23"/>
        <v>34.141525685321461</v>
      </c>
      <c r="D477">
        <f t="shared" si="24"/>
        <v>3.654800335495187</v>
      </c>
      <c r="E477">
        <f t="shared" si="25"/>
        <v>18.898163010408325</v>
      </c>
      <c r="G477" s="39">
        <v>44606</v>
      </c>
      <c r="H477">
        <v>18.215199999999999</v>
      </c>
      <c r="I477">
        <v>26.138300000000001</v>
      </c>
    </row>
    <row r="478" spans="1:9">
      <c r="A478" s="39">
        <v>44553</v>
      </c>
      <c r="B478" s="152">
        <v>20.784700000000001</v>
      </c>
      <c r="C478">
        <f t="shared" si="23"/>
        <v>34.141525685321461</v>
      </c>
      <c r="D478">
        <f t="shared" si="24"/>
        <v>3.654800335495187</v>
      </c>
      <c r="E478">
        <f t="shared" si="25"/>
        <v>18.898163010408325</v>
      </c>
      <c r="G478" s="39">
        <v>44603</v>
      </c>
      <c r="H478">
        <v>18.6706</v>
      </c>
      <c r="I478">
        <v>26.337299999999999</v>
      </c>
    </row>
    <row r="479" spans="1:9">
      <c r="A479" s="39">
        <v>44552</v>
      </c>
      <c r="B479" s="152">
        <v>20.971399999999999</v>
      </c>
      <c r="C479">
        <f t="shared" si="23"/>
        <v>34.141525685321461</v>
      </c>
      <c r="D479">
        <f t="shared" si="24"/>
        <v>3.654800335495187</v>
      </c>
      <c r="E479">
        <f t="shared" si="25"/>
        <v>18.898163010408325</v>
      </c>
      <c r="G479" s="39">
        <v>44602</v>
      </c>
      <c r="H479">
        <v>18.808599999999998</v>
      </c>
      <c r="I479">
        <v>26.895399999999999</v>
      </c>
    </row>
    <row r="480" spans="1:9">
      <c r="A480" s="39">
        <v>44551</v>
      </c>
      <c r="B480" s="152">
        <v>20.691299999999998</v>
      </c>
      <c r="C480">
        <f t="shared" si="23"/>
        <v>34.141525685321461</v>
      </c>
      <c r="D480">
        <f t="shared" si="24"/>
        <v>3.654800335495187</v>
      </c>
      <c r="E480">
        <f t="shared" si="25"/>
        <v>18.898163010408325</v>
      </c>
      <c r="G480" s="39">
        <v>44601</v>
      </c>
      <c r="H480">
        <v>18.905200000000001</v>
      </c>
      <c r="I480">
        <v>27.302199999999999</v>
      </c>
    </row>
    <row r="481" spans="1:9">
      <c r="A481" s="39">
        <v>44550</v>
      </c>
      <c r="B481" s="152">
        <v>20.691299999999998</v>
      </c>
      <c r="C481">
        <f t="shared" si="23"/>
        <v>34.141525685321461</v>
      </c>
      <c r="D481">
        <f t="shared" si="24"/>
        <v>3.654800335495187</v>
      </c>
      <c r="E481">
        <f t="shared" si="25"/>
        <v>18.898163010408325</v>
      </c>
      <c r="G481" s="39">
        <v>44600</v>
      </c>
      <c r="H481">
        <v>18.808599999999998</v>
      </c>
      <c r="I481">
        <v>26.793500000000002</v>
      </c>
    </row>
    <row r="482" spans="1:9">
      <c r="A482" s="39">
        <v>44547</v>
      </c>
      <c r="B482" s="152">
        <v>20.924700000000001</v>
      </c>
      <c r="C482">
        <f t="shared" si="23"/>
        <v>34.141525685321461</v>
      </c>
      <c r="D482">
        <f t="shared" si="24"/>
        <v>3.654800335495187</v>
      </c>
      <c r="E482">
        <f t="shared" si="25"/>
        <v>18.898163010408325</v>
      </c>
      <c r="G482" s="39">
        <v>44599</v>
      </c>
      <c r="H482">
        <v>18.477399999999999</v>
      </c>
      <c r="I482">
        <v>26.5382</v>
      </c>
    </row>
    <row r="483" spans="1:9">
      <c r="A483" s="39">
        <v>44546</v>
      </c>
      <c r="B483" s="152">
        <v>20.784700000000001</v>
      </c>
      <c r="C483">
        <f t="shared" si="23"/>
        <v>34.141525685321461</v>
      </c>
      <c r="D483">
        <f t="shared" si="24"/>
        <v>3.654800335495187</v>
      </c>
      <c r="E483">
        <f t="shared" si="25"/>
        <v>18.898163010408325</v>
      </c>
      <c r="G483" s="39">
        <v>44596</v>
      </c>
      <c r="I483">
        <v>26.572299999999998</v>
      </c>
    </row>
    <row r="484" spans="1:9">
      <c r="A484" s="39">
        <v>44545</v>
      </c>
      <c r="B484" s="152">
        <v>21.142499999999998</v>
      </c>
      <c r="C484">
        <f t="shared" si="23"/>
        <v>34.141525685321461</v>
      </c>
      <c r="D484">
        <f t="shared" si="24"/>
        <v>3.654800335495187</v>
      </c>
      <c r="E484">
        <f t="shared" si="25"/>
        <v>18.898163010408325</v>
      </c>
      <c r="G484" s="39">
        <v>44595</v>
      </c>
      <c r="I484">
        <v>26.608899999999998</v>
      </c>
    </row>
    <row r="485" spans="1:9">
      <c r="A485" s="39">
        <v>44544</v>
      </c>
      <c r="B485" s="152">
        <v>21.064699999999998</v>
      </c>
      <c r="C485">
        <f t="shared" si="23"/>
        <v>34.141525685321461</v>
      </c>
      <c r="D485">
        <f t="shared" si="24"/>
        <v>3.654800335495187</v>
      </c>
      <c r="E485">
        <f t="shared" si="25"/>
        <v>18.898163010408325</v>
      </c>
      <c r="G485" s="39">
        <v>44594</v>
      </c>
      <c r="I485">
        <v>26.6677</v>
      </c>
    </row>
    <row r="486" spans="1:9">
      <c r="A486" s="39">
        <v>44543</v>
      </c>
      <c r="B486" s="152">
        <v>20.986899999999999</v>
      </c>
      <c r="C486">
        <f t="shared" si="23"/>
        <v>34.141525685321461</v>
      </c>
      <c r="D486">
        <f t="shared" si="24"/>
        <v>3.654800335495187</v>
      </c>
      <c r="E486">
        <f t="shared" si="25"/>
        <v>18.898163010408325</v>
      </c>
      <c r="G486" s="39">
        <v>44593</v>
      </c>
      <c r="I486">
        <v>26.456</v>
      </c>
    </row>
    <row r="487" spans="1:9">
      <c r="A487" s="39">
        <v>44540</v>
      </c>
      <c r="B487" s="152">
        <v>20.862500000000001</v>
      </c>
      <c r="C487">
        <f t="shared" si="23"/>
        <v>34.141525685321461</v>
      </c>
      <c r="D487">
        <f t="shared" si="24"/>
        <v>3.654800335495187</v>
      </c>
      <c r="E487">
        <f t="shared" si="25"/>
        <v>18.898163010408325</v>
      </c>
      <c r="G487" s="39">
        <v>44592</v>
      </c>
      <c r="I487">
        <v>26.2486</v>
      </c>
    </row>
    <row r="488" spans="1:9">
      <c r="A488" s="39">
        <v>44539</v>
      </c>
      <c r="B488" s="152">
        <v>20.846900000000002</v>
      </c>
      <c r="C488">
        <f t="shared" si="23"/>
        <v>34.141525685321461</v>
      </c>
      <c r="D488">
        <f t="shared" si="24"/>
        <v>3.654800335495187</v>
      </c>
      <c r="E488">
        <f t="shared" si="25"/>
        <v>18.898163010408325</v>
      </c>
      <c r="G488" s="39">
        <v>44589</v>
      </c>
      <c r="H488">
        <v>18.284199999999998</v>
      </c>
      <c r="I488">
        <v>25.822199999999999</v>
      </c>
    </row>
    <row r="489" spans="1:9">
      <c r="A489" s="39">
        <v>44538</v>
      </c>
      <c r="B489" s="152">
        <v>20.831299999999999</v>
      </c>
      <c r="C489">
        <f t="shared" si="23"/>
        <v>34.141525685321461</v>
      </c>
      <c r="D489">
        <f t="shared" si="24"/>
        <v>3.654800335495187</v>
      </c>
      <c r="E489">
        <f t="shared" si="25"/>
        <v>18.898163010408325</v>
      </c>
      <c r="G489" s="39">
        <v>44588</v>
      </c>
      <c r="H489">
        <v>18.1462</v>
      </c>
      <c r="I489">
        <v>25.8642</v>
      </c>
    </row>
    <row r="490" spans="1:9">
      <c r="A490" s="39">
        <v>44537</v>
      </c>
      <c r="B490" s="152">
        <v>20.769100000000002</v>
      </c>
      <c r="C490">
        <f t="shared" si="23"/>
        <v>34.141525685321461</v>
      </c>
      <c r="D490">
        <f t="shared" si="24"/>
        <v>3.654800335495187</v>
      </c>
      <c r="E490">
        <f t="shared" si="25"/>
        <v>18.898163010408325</v>
      </c>
      <c r="G490" s="39">
        <v>44587</v>
      </c>
      <c r="H490">
        <v>18.2014</v>
      </c>
      <c r="I490">
        <v>25.784800000000001</v>
      </c>
    </row>
    <row r="491" spans="1:9">
      <c r="A491" s="39">
        <v>44536</v>
      </c>
      <c r="B491" s="152">
        <v>20.442399999999999</v>
      </c>
      <c r="C491">
        <f t="shared" si="23"/>
        <v>34.141525685321461</v>
      </c>
      <c r="D491">
        <f t="shared" si="24"/>
        <v>3.654800335495187</v>
      </c>
      <c r="E491">
        <f t="shared" si="25"/>
        <v>18.898163010408325</v>
      </c>
      <c r="G491" s="39">
        <v>44586</v>
      </c>
      <c r="H491">
        <v>18.077200000000001</v>
      </c>
      <c r="I491">
        <v>25.794599999999999</v>
      </c>
    </row>
    <row r="492" spans="1:9">
      <c r="A492" s="39">
        <v>44533</v>
      </c>
      <c r="B492" s="152">
        <v>20.769100000000002</v>
      </c>
      <c r="C492">
        <f t="shared" si="23"/>
        <v>34.141525685321461</v>
      </c>
      <c r="D492">
        <f t="shared" si="24"/>
        <v>3.654800335495187</v>
      </c>
      <c r="E492">
        <f t="shared" si="25"/>
        <v>18.898163010408325</v>
      </c>
      <c r="G492" s="39">
        <v>44585</v>
      </c>
      <c r="H492">
        <v>17.9254</v>
      </c>
      <c r="I492">
        <v>26.270199999999999</v>
      </c>
    </row>
    <row r="493" spans="1:9">
      <c r="A493" s="39">
        <v>44532</v>
      </c>
      <c r="B493" s="152">
        <v>21.313600000000001</v>
      </c>
      <c r="C493">
        <f t="shared" si="23"/>
        <v>34.141525685321461</v>
      </c>
      <c r="D493">
        <f t="shared" si="24"/>
        <v>3.654800335495187</v>
      </c>
      <c r="E493">
        <f t="shared" si="25"/>
        <v>18.898163010408325</v>
      </c>
      <c r="G493" s="39">
        <v>44582</v>
      </c>
      <c r="H493">
        <v>18.380800000000001</v>
      </c>
      <c r="I493">
        <v>25.8628</v>
      </c>
    </row>
    <row r="494" spans="1:9">
      <c r="A494" s="39">
        <v>44531</v>
      </c>
      <c r="B494" s="152">
        <v>21.609200000000001</v>
      </c>
      <c r="C494">
        <f t="shared" si="23"/>
        <v>34.141525685321461</v>
      </c>
      <c r="D494">
        <f t="shared" si="24"/>
        <v>3.654800335495187</v>
      </c>
      <c r="E494">
        <f t="shared" si="25"/>
        <v>18.898163010408325</v>
      </c>
      <c r="G494" s="39">
        <v>44581</v>
      </c>
      <c r="H494">
        <v>18.491199999999999</v>
      </c>
      <c r="I494">
        <v>25.9908</v>
      </c>
    </row>
    <row r="495" spans="1:9">
      <c r="A495" s="39">
        <v>44530</v>
      </c>
      <c r="B495" s="152">
        <v>21.609200000000001</v>
      </c>
      <c r="C495">
        <f t="shared" si="23"/>
        <v>34.141525685321461</v>
      </c>
      <c r="D495">
        <f t="shared" si="24"/>
        <v>3.654800335495187</v>
      </c>
      <c r="E495">
        <f t="shared" si="25"/>
        <v>18.898163010408325</v>
      </c>
      <c r="G495" s="39">
        <v>44580</v>
      </c>
      <c r="H495">
        <v>18.4222</v>
      </c>
      <c r="I495">
        <v>26.411100000000001</v>
      </c>
    </row>
    <row r="496" spans="1:9">
      <c r="A496" s="39">
        <v>44529</v>
      </c>
      <c r="B496" s="152">
        <v>21.391400000000001</v>
      </c>
      <c r="C496">
        <f t="shared" si="23"/>
        <v>34.141525685321461</v>
      </c>
      <c r="D496">
        <f t="shared" si="24"/>
        <v>3.654800335495187</v>
      </c>
      <c r="E496">
        <f t="shared" si="25"/>
        <v>18.898163010408325</v>
      </c>
      <c r="G496" s="39">
        <v>44579</v>
      </c>
      <c r="H496">
        <v>17.952999999999999</v>
      </c>
      <c r="I496">
        <v>26.257000000000001</v>
      </c>
    </row>
    <row r="497" spans="1:9">
      <c r="A497" s="39">
        <v>44526</v>
      </c>
      <c r="B497" s="152">
        <v>22.0137</v>
      </c>
      <c r="C497">
        <f t="shared" si="23"/>
        <v>34.141525685321461</v>
      </c>
      <c r="D497">
        <f t="shared" si="24"/>
        <v>3.654800335495187</v>
      </c>
      <c r="E497">
        <f t="shared" si="25"/>
        <v>18.898163010408325</v>
      </c>
      <c r="G497" s="39">
        <v>44578</v>
      </c>
      <c r="H497">
        <v>17.9392</v>
      </c>
      <c r="I497">
        <v>26.554600000000001</v>
      </c>
    </row>
    <row r="498" spans="1:9">
      <c r="A498" s="39">
        <v>44525</v>
      </c>
      <c r="B498" s="152">
        <v>22.558199999999999</v>
      </c>
      <c r="C498">
        <f t="shared" si="23"/>
        <v>34.141525685321461</v>
      </c>
      <c r="D498">
        <f t="shared" si="24"/>
        <v>3.654800335495187</v>
      </c>
      <c r="E498">
        <f t="shared" si="25"/>
        <v>18.898163010408325</v>
      </c>
      <c r="G498" s="39">
        <v>44575</v>
      </c>
      <c r="H498">
        <v>18.491199999999999</v>
      </c>
      <c r="I498">
        <v>26.550699999999999</v>
      </c>
    </row>
    <row r="499" spans="1:9">
      <c r="A499" s="39">
        <v>44524</v>
      </c>
      <c r="B499" s="152">
        <v>22.4026</v>
      </c>
      <c r="C499">
        <f t="shared" si="23"/>
        <v>34.141525685321461</v>
      </c>
      <c r="D499">
        <f t="shared" si="24"/>
        <v>3.654800335495187</v>
      </c>
      <c r="E499">
        <f t="shared" si="25"/>
        <v>18.898163010408325</v>
      </c>
      <c r="G499" s="39">
        <v>44574</v>
      </c>
      <c r="H499">
        <v>18.6982</v>
      </c>
      <c r="I499">
        <v>27.053599999999999</v>
      </c>
    </row>
    <row r="500" spans="1:9">
      <c r="A500" s="39">
        <v>44523</v>
      </c>
      <c r="B500" s="152">
        <v>22.2471</v>
      </c>
      <c r="C500">
        <f t="shared" si="23"/>
        <v>34.141525685321461</v>
      </c>
      <c r="D500">
        <f t="shared" si="24"/>
        <v>3.654800335495187</v>
      </c>
      <c r="E500">
        <f t="shared" si="25"/>
        <v>18.898163010408325</v>
      </c>
      <c r="G500" s="39">
        <v>44573</v>
      </c>
      <c r="H500">
        <v>18.767199999999999</v>
      </c>
      <c r="I500">
        <v>27.240200000000002</v>
      </c>
    </row>
    <row r="501" spans="1:9">
      <c r="A501" s="39">
        <v>44522</v>
      </c>
      <c r="B501" s="152">
        <v>21.5625</v>
      </c>
      <c r="C501">
        <f t="shared" si="23"/>
        <v>34.141525685321461</v>
      </c>
      <c r="D501">
        <f t="shared" si="24"/>
        <v>3.654800335495187</v>
      </c>
      <c r="E501">
        <f t="shared" si="25"/>
        <v>18.898163010408325</v>
      </c>
      <c r="G501" s="39">
        <v>44572</v>
      </c>
      <c r="H501">
        <v>18.1876</v>
      </c>
      <c r="I501">
        <v>27.161300000000001</v>
      </c>
    </row>
    <row r="502" spans="1:9">
      <c r="A502" s="39">
        <v>44519</v>
      </c>
      <c r="B502" s="152">
        <v>21.6248</v>
      </c>
      <c r="C502">
        <f t="shared" si="23"/>
        <v>34.141525685321461</v>
      </c>
      <c r="D502">
        <f t="shared" si="24"/>
        <v>3.654800335495187</v>
      </c>
      <c r="E502">
        <f t="shared" si="25"/>
        <v>18.898163010408325</v>
      </c>
      <c r="G502" s="39">
        <v>44571</v>
      </c>
      <c r="H502">
        <v>18.353200000000001</v>
      </c>
      <c r="I502">
        <v>27.254799999999999</v>
      </c>
    </row>
    <row r="503" spans="1:9">
      <c r="A503" s="39">
        <v>44518</v>
      </c>
      <c r="B503" s="152">
        <v>21.6248</v>
      </c>
      <c r="C503">
        <f t="shared" si="23"/>
        <v>34.141525685321461</v>
      </c>
      <c r="D503">
        <f t="shared" si="24"/>
        <v>3.654800335495187</v>
      </c>
      <c r="E503">
        <f t="shared" si="25"/>
        <v>18.898163010408325</v>
      </c>
      <c r="G503" s="39">
        <v>44568</v>
      </c>
      <c r="H503">
        <v>18.6982</v>
      </c>
      <c r="I503">
        <v>27.6999</v>
      </c>
    </row>
    <row r="504" spans="1:9">
      <c r="A504" s="39">
        <v>44517</v>
      </c>
      <c r="B504" s="152">
        <v>21.453600000000002</v>
      </c>
      <c r="C504">
        <f t="shared" si="23"/>
        <v>34.141525685321461</v>
      </c>
      <c r="D504">
        <f t="shared" si="24"/>
        <v>3.654800335495187</v>
      </c>
      <c r="E504">
        <f t="shared" si="25"/>
        <v>18.898163010408325</v>
      </c>
      <c r="G504" s="39">
        <v>44567</v>
      </c>
      <c r="H504">
        <v>18.9742</v>
      </c>
      <c r="I504">
        <v>27.924099999999999</v>
      </c>
    </row>
    <row r="505" spans="1:9">
      <c r="A505" s="39">
        <v>44516</v>
      </c>
      <c r="B505" s="152">
        <v>21.453600000000002</v>
      </c>
      <c r="C505">
        <f t="shared" si="23"/>
        <v>34.141525685321461</v>
      </c>
      <c r="D505">
        <f t="shared" si="24"/>
        <v>3.654800335495187</v>
      </c>
      <c r="E505">
        <f t="shared" si="25"/>
        <v>18.898163010408325</v>
      </c>
      <c r="G505" s="39">
        <v>44566</v>
      </c>
      <c r="H505">
        <v>18.919</v>
      </c>
      <c r="I505">
        <v>27.973099999999999</v>
      </c>
    </row>
    <row r="506" spans="1:9">
      <c r="A506" s="39">
        <v>44515</v>
      </c>
      <c r="B506" s="152">
        <v>21.687000000000001</v>
      </c>
      <c r="C506">
        <f t="shared" si="23"/>
        <v>34.141525685321461</v>
      </c>
      <c r="D506">
        <f t="shared" si="24"/>
        <v>3.654800335495187</v>
      </c>
      <c r="E506">
        <f t="shared" si="25"/>
        <v>18.898163010408325</v>
      </c>
      <c r="G506" s="39">
        <v>44565</v>
      </c>
      <c r="H506">
        <v>19.015599999999999</v>
      </c>
      <c r="I506">
        <v>28.4513</v>
      </c>
    </row>
    <row r="507" spans="1:9">
      <c r="A507" s="39">
        <v>44512</v>
      </c>
      <c r="B507" s="152">
        <v>21.158000000000001</v>
      </c>
      <c r="C507">
        <f t="shared" si="23"/>
        <v>34.141525685321461</v>
      </c>
      <c r="D507">
        <f t="shared" si="24"/>
        <v>3.654800335495187</v>
      </c>
      <c r="E507">
        <f t="shared" si="25"/>
        <v>18.898163010408325</v>
      </c>
      <c r="G507" s="39">
        <v>44564</v>
      </c>
      <c r="I507">
        <v>28.589600000000001</v>
      </c>
    </row>
    <row r="508" spans="1:9">
      <c r="A508" s="39">
        <v>44511</v>
      </c>
      <c r="B508" s="152">
        <v>21.002500000000001</v>
      </c>
      <c r="C508">
        <f t="shared" si="23"/>
        <v>34.141525685321461</v>
      </c>
      <c r="D508">
        <f t="shared" si="24"/>
        <v>3.654800335495187</v>
      </c>
      <c r="E508">
        <f t="shared" si="25"/>
        <v>18.898163010408325</v>
      </c>
      <c r="G508" s="39">
        <v>44561</v>
      </c>
      <c r="H508">
        <v>18.753399999999999</v>
      </c>
      <c r="I508">
        <v>28.5761</v>
      </c>
    </row>
    <row r="509" spans="1:9">
      <c r="A509" s="39">
        <v>44510</v>
      </c>
      <c r="B509" s="152">
        <v>20.457999999999998</v>
      </c>
      <c r="C509">
        <f t="shared" si="23"/>
        <v>34.141525685321461</v>
      </c>
      <c r="D509">
        <f t="shared" si="24"/>
        <v>3.654800335495187</v>
      </c>
      <c r="E509">
        <f t="shared" si="25"/>
        <v>18.898163010408325</v>
      </c>
      <c r="G509" s="39">
        <v>44560</v>
      </c>
      <c r="H509">
        <v>20.893599999999999</v>
      </c>
      <c r="I509">
        <v>28.7103</v>
      </c>
    </row>
    <row r="510" spans="1:9">
      <c r="A510" s="39">
        <v>44509</v>
      </c>
      <c r="B510" s="152">
        <v>20.224599999999999</v>
      </c>
      <c r="C510">
        <f t="shared" si="23"/>
        <v>34.141525685321461</v>
      </c>
      <c r="D510">
        <f t="shared" si="24"/>
        <v>3.654800335495187</v>
      </c>
      <c r="E510">
        <f t="shared" si="25"/>
        <v>18.898163010408325</v>
      </c>
      <c r="G510" s="39">
        <v>44559</v>
      </c>
      <c r="H510">
        <v>20.909099999999999</v>
      </c>
      <c r="I510">
        <v>30.425699999999999</v>
      </c>
    </row>
    <row r="511" spans="1:9">
      <c r="A511" s="39">
        <v>44508</v>
      </c>
      <c r="B511" s="152">
        <v>20.473500000000001</v>
      </c>
      <c r="C511">
        <f t="shared" si="23"/>
        <v>34.141525685321461</v>
      </c>
      <c r="D511">
        <f t="shared" si="24"/>
        <v>3.654800335495187</v>
      </c>
      <c r="E511">
        <f t="shared" si="25"/>
        <v>18.898163010408325</v>
      </c>
      <c r="G511" s="39">
        <v>44558</v>
      </c>
      <c r="H511">
        <v>21.126899999999999</v>
      </c>
      <c r="I511">
        <v>30.033200000000001</v>
      </c>
    </row>
    <row r="512" spans="1:9">
      <c r="A512" s="39">
        <v>44505</v>
      </c>
      <c r="B512" s="152">
        <v>20.535699999999999</v>
      </c>
      <c r="C512">
        <f t="shared" si="23"/>
        <v>34.141525685321461</v>
      </c>
      <c r="D512">
        <f t="shared" si="24"/>
        <v>3.654800335495187</v>
      </c>
      <c r="E512">
        <f t="shared" si="25"/>
        <v>18.898163010408325</v>
      </c>
      <c r="G512" s="39">
        <v>44557</v>
      </c>
      <c r="H512">
        <v>20.986899999999999</v>
      </c>
      <c r="I512">
        <v>29.8401</v>
      </c>
    </row>
    <row r="513" spans="1:9">
      <c r="A513" s="39">
        <v>44504</v>
      </c>
      <c r="B513" s="152">
        <v>20.209</v>
      </c>
      <c r="C513">
        <f t="shared" si="23"/>
        <v>34.141525685321461</v>
      </c>
      <c r="D513">
        <f t="shared" si="24"/>
        <v>3.654800335495187</v>
      </c>
      <c r="E513">
        <f t="shared" si="25"/>
        <v>18.898163010408325</v>
      </c>
      <c r="G513" s="39">
        <v>44554</v>
      </c>
      <c r="H513">
        <v>20.940200000000001</v>
      </c>
      <c r="I513">
        <v>29.5808</v>
      </c>
    </row>
    <row r="514" spans="1:9">
      <c r="A514" s="39">
        <v>44503</v>
      </c>
      <c r="B514" s="152">
        <v>20.0379</v>
      </c>
      <c r="C514">
        <f t="shared" si="23"/>
        <v>34.141525685321461</v>
      </c>
      <c r="D514">
        <f t="shared" si="24"/>
        <v>3.654800335495187</v>
      </c>
      <c r="E514">
        <f t="shared" si="25"/>
        <v>18.898163010408325</v>
      </c>
      <c r="G514" s="39">
        <v>44553</v>
      </c>
      <c r="H514">
        <v>20.784700000000001</v>
      </c>
      <c r="I514">
        <v>29.5931</v>
      </c>
    </row>
    <row r="515" spans="1:9">
      <c r="A515" s="39">
        <v>44502</v>
      </c>
      <c r="B515" s="152">
        <v>20.0535</v>
      </c>
      <c r="C515">
        <f t="shared" si="23"/>
        <v>34.141525685321461</v>
      </c>
      <c r="D515">
        <f t="shared" si="24"/>
        <v>3.654800335495187</v>
      </c>
      <c r="E515">
        <f t="shared" si="25"/>
        <v>18.898163010408325</v>
      </c>
      <c r="G515" s="39">
        <v>44552</v>
      </c>
      <c r="H515">
        <v>20.971399999999999</v>
      </c>
      <c r="I515">
        <v>29.487500000000001</v>
      </c>
    </row>
    <row r="516" spans="1:9">
      <c r="A516" s="39">
        <v>44501</v>
      </c>
      <c r="B516" s="152">
        <v>20.224599999999999</v>
      </c>
      <c r="C516">
        <f t="shared" ref="C516:C579" si="26">AVERAGE($B$3:$B$1251)+$C$1</f>
        <v>34.141525685321461</v>
      </c>
      <c r="D516">
        <f t="shared" ref="D516:D579" si="27">AVERAGE($B$3:$B$1251)-$C$1</f>
        <v>3.654800335495187</v>
      </c>
      <c r="E516">
        <f t="shared" ref="E516:E579" si="28">AVERAGE($B$3:$B$1251)</f>
        <v>18.898163010408325</v>
      </c>
      <c r="G516" s="39">
        <v>44551</v>
      </c>
      <c r="H516">
        <v>20.691299999999998</v>
      </c>
      <c r="I516">
        <v>29.3371</v>
      </c>
    </row>
    <row r="517" spans="1:9">
      <c r="A517" s="39">
        <v>44498</v>
      </c>
      <c r="B517" s="152">
        <v>20.442399999999999</v>
      </c>
      <c r="C517">
        <f t="shared" si="26"/>
        <v>34.141525685321461</v>
      </c>
      <c r="D517">
        <f t="shared" si="27"/>
        <v>3.654800335495187</v>
      </c>
      <c r="E517">
        <f t="shared" si="28"/>
        <v>18.898163010408325</v>
      </c>
      <c r="G517" s="39">
        <v>44550</v>
      </c>
      <c r="H517">
        <v>20.691299999999998</v>
      </c>
      <c r="I517">
        <v>29.173999999999999</v>
      </c>
    </row>
    <row r="518" spans="1:9">
      <c r="A518" s="39">
        <v>44497</v>
      </c>
      <c r="B518" s="152">
        <v>20.535699999999999</v>
      </c>
      <c r="C518">
        <f t="shared" si="26"/>
        <v>34.141525685321461</v>
      </c>
      <c r="D518">
        <f t="shared" si="27"/>
        <v>3.654800335495187</v>
      </c>
      <c r="E518">
        <f t="shared" si="28"/>
        <v>18.898163010408325</v>
      </c>
      <c r="G518" s="39">
        <v>44547</v>
      </c>
      <c r="H518">
        <v>20.924700000000001</v>
      </c>
      <c r="I518">
        <v>29.370699999999999</v>
      </c>
    </row>
    <row r="519" spans="1:9">
      <c r="A519" s="39">
        <v>44496</v>
      </c>
      <c r="B519" s="152">
        <v>20.535699999999999</v>
      </c>
      <c r="C519">
        <f t="shared" si="26"/>
        <v>34.141525685321461</v>
      </c>
      <c r="D519">
        <f t="shared" si="27"/>
        <v>3.654800335495187</v>
      </c>
      <c r="E519">
        <f t="shared" si="28"/>
        <v>18.898163010408325</v>
      </c>
      <c r="G519" s="39">
        <v>44546</v>
      </c>
      <c r="H519">
        <v>20.784700000000001</v>
      </c>
      <c r="I519">
        <v>29.373200000000001</v>
      </c>
    </row>
    <row r="520" spans="1:9">
      <c r="A520" s="39">
        <v>44495</v>
      </c>
      <c r="B520" s="152">
        <v>19.913499999999999</v>
      </c>
      <c r="C520">
        <f t="shared" si="26"/>
        <v>34.141525685321461</v>
      </c>
      <c r="D520">
        <f t="shared" si="27"/>
        <v>3.654800335495187</v>
      </c>
      <c r="E520">
        <f t="shared" si="28"/>
        <v>18.898163010408325</v>
      </c>
      <c r="G520" s="39">
        <v>44545</v>
      </c>
      <c r="H520">
        <v>21.142499999999998</v>
      </c>
      <c r="I520">
        <v>29.7987</v>
      </c>
    </row>
    <row r="521" spans="1:9">
      <c r="A521" s="39">
        <v>44494</v>
      </c>
      <c r="B521" s="152">
        <v>19.9757</v>
      </c>
      <c r="C521">
        <f t="shared" si="26"/>
        <v>34.141525685321461</v>
      </c>
      <c r="D521">
        <f t="shared" si="27"/>
        <v>3.654800335495187</v>
      </c>
      <c r="E521">
        <f t="shared" si="28"/>
        <v>18.898163010408325</v>
      </c>
      <c r="G521" s="39">
        <v>44544</v>
      </c>
      <c r="H521">
        <v>21.064699999999998</v>
      </c>
      <c r="I521">
        <v>29.5441</v>
      </c>
    </row>
    <row r="522" spans="1:9">
      <c r="A522" s="39">
        <v>44491</v>
      </c>
      <c r="B522" s="152">
        <v>19.851199999999999</v>
      </c>
      <c r="C522">
        <f t="shared" si="26"/>
        <v>34.141525685321461</v>
      </c>
      <c r="D522">
        <f t="shared" si="27"/>
        <v>3.654800335495187</v>
      </c>
      <c r="E522">
        <f t="shared" si="28"/>
        <v>18.898163010408325</v>
      </c>
      <c r="G522" s="39">
        <v>44543</v>
      </c>
      <c r="H522">
        <v>20.986899999999999</v>
      </c>
      <c r="I522">
        <v>29.752700000000001</v>
      </c>
    </row>
    <row r="523" spans="1:9">
      <c r="A523" s="39">
        <v>44490</v>
      </c>
      <c r="B523" s="152">
        <v>19.757899999999999</v>
      </c>
      <c r="C523">
        <f t="shared" si="26"/>
        <v>34.141525685321461</v>
      </c>
      <c r="D523">
        <f t="shared" si="27"/>
        <v>3.654800335495187</v>
      </c>
      <c r="E523">
        <f t="shared" si="28"/>
        <v>18.898163010408325</v>
      </c>
      <c r="G523" s="39">
        <v>44540</v>
      </c>
      <c r="H523">
        <v>20.862500000000001</v>
      </c>
      <c r="I523">
        <v>29.8035</v>
      </c>
    </row>
    <row r="524" spans="1:9">
      <c r="A524" s="39">
        <v>44489</v>
      </c>
      <c r="B524" s="152">
        <v>20.100100000000001</v>
      </c>
      <c r="C524">
        <f t="shared" si="26"/>
        <v>34.141525685321461</v>
      </c>
      <c r="D524">
        <f t="shared" si="27"/>
        <v>3.654800335495187</v>
      </c>
      <c r="E524">
        <f t="shared" si="28"/>
        <v>18.898163010408325</v>
      </c>
      <c r="G524" s="39">
        <v>44539</v>
      </c>
      <c r="H524">
        <v>20.846900000000002</v>
      </c>
      <c r="I524">
        <v>29.3886</v>
      </c>
    </row>
    <row r="525" spans="1:9">
      <c r="A525" s="39">
        <v>44488</v>
      </c>
      <c r="B525" s="152">
        <v>20.177900000000001</v>
      </c>
      <c r="C525">
        <f t="shared" si="26"/>
        <v>34.141525685321461</v>
      </c>
      <c r="D525">
        <f t="shared" si="27"/>
        <v>3.654800335495187</v>
      </c>
      <c r="E525">
        <f t="shared" si="28"/>
        <v>18.898163010408325</v>
      </c>
      <c r="G525" s="39">
        <v>44538</v>
      </c>
      <c r="H525">
        <v>20.831299999999999</v>
      </c>
      <c r="I525">
        <v>29.5077</v>
      </c>
    </row>
    <row r="526" spans="1:9">
      <c r="A526" s="39">
        <v>44487</v>
      </c>
      <c r="B526" s="152">
        <v>20.333500000000001</v>
      </c>
      <c r="C526">
        <f t="shared" si="26"/>
        <v>34.141525685321461</v>
      </c>
      <c r="D526">
        <f t="shared" si="27"/>
        <v>3.654800335495187</v>
      </c>
      <c r="E526">
        <f t="shared" si="28"/>
        <v>18.898163010408325</v>
      </c>
      <c r="G526" s="39">
        <v>44537</v>
      </c>
      <c r="H526">
        <v>20.769100000000002</v>
      </c>
      <c r="I526">
        <v>29.690799999999999</v>
      </c>
    </row>
    <row r="527" spans="1:9">
      <c r="A527" s="39">
        <v>44484</v>
      </c>
      <c r="B527" s="152">
        <v>20.597999999999999</v>
      </c>
      <c r="C527">
        <f t="shared" si="26"/>
        <v>34.141525685321461</v>
      </c>
      <c r="D527">
        <f t="shared" si="27"/>
        <v>3.654800335495187</v>
      </c>
      <c r="E527">
        <f t="shared" si="28"/>
        <v>18.898163010408325</v>
      </c>
      <c r="G527" s="39">
        <v>44536</v>
      </c>
      <c r="H527">
        <v>20.442399999999999</v>
      </c>
      <c r="I527">
        <v>29.4207</v>
      </c>
    </row>
    <row r="528" spans="1:9">
      <c r="A528" s="39">
        <v>44483</v>
      </c>
      <c r="B528" s="152">
        <v>20.769100000000002</v>
      </c>
      <c r="C528">
        <f t="shared" si="26"/>
        <v>34.141525685321461</v>
      </c>
      <c r="D528">
        <f t="shared" si="27"/>
        <v>3.654800335495187</v>
      </c>
      <c r="E528">
        <f t="shared" si="28"/>
        <v>18.898163010408325</v>
      </c>
      <c r="G528" s="39">
        <v>44533</v>
      </c>
      <c r="H528">
        <v>20.769100000000002</v>
      </c>
      <c r="I528">
        <v>29.157599999999999</v>
      </c>
    </row>
    <row r="529" spans="1:9">
      <c r="A529" s="39">
        <v>44482</v>
      </c>
      <c r="B529" s="152">
        <v>20.831299999999999</v>
      </c>
      <c r="C529">
        <f t="shared" si="26"/>
        <v>34.141525685321461</v>
      </c>
      <c r="D529">
        <f t="shared" si="27"/>
        <v>3.654800335495187</v>
      </c>
      <c r="E529">
        <f t="shared" si="28"/>
        <v>18.898163010408325</v>
      </c>
      <c r="G529" s="39">
        <v>44532</v>
      </c>
      <c r="H529">
        <v>21.313600000000001</v>
      </c>
      <c r="I529">
        <v>29.209900000000001</v>
      </c>
    </row>
    <row r="530" spans="1:9">
      <c r="A530" s="39">
        <v>44481</v>
      </c>
      <c r="B530" s="152">
        <v>20.551300000000001</v>
      </c>
      <c r="C530">
        <f t="shared" si="26"/>
        <v>34.141525685321461</v>
      </c>
      <c r="D530">
        <f t="shared" si="27"/>
        <v>3.654800335495187</v>
      </c>
      <c r="E530">
        <f t="shared" si="28"/>
        <v>18.898163010408325</v>
      </c>
      <c r="G530" s="39">
        <v>44531</v>
      </c>
      <c r="H530">
        <v>21.609200000000001</v>
      </c>
      <c r="I530">
        <v>29.0352</v>
      </c>
    </row>
    <row r="531" spans="1:9">
      <c r="A531" s="39">
        <v>44480</v>
      </c>
      <c r="B531" s="152">
        <v>20.146799999999999</v>
      </c>
      <c r="C531">
        <f t="shared" si="26"/>
        <v>34.141525685321461</v>
      </c>
      <c r="D531">
        <f t="shared" si="27"/>
        <v>3.654800335495187</v>
      </c>
      <c r="E531">
        <f t="shared" si="28"/>
        <v>18.898163010408325</v>
      </c>
      <c r="G531" s="39">
        <v>44530</v>
      </c>
      <c r="H531">
        <v>21.609200000000001</v>
      </c>
      <c r="I531">
        <v>29.508199999999999</v>
      </c>
    </row>
    <row r="532" spans="1:9">
      <c r="A532" s="39">
        <v>44477</v>
      </c>
      <c r="B532" s="152">
        <v>20.0379</v>
      </c>
      <c r="C532">
        <f t="shared" si="26"/>
        <v>34.141525685321461</v>
      </c>
      <c r="D532">
        <f t="shared" si="27"/>
        <v>3.654800335495187</v>
      </c>
      <c r="E532">
        <f t="shared" si="28"/>
        <v>18.898163010408325</v>
      </c>
      <c r="G532" s="39">
        <v>44529</v>
      </c>
      <c r="H532">
        <v>21.391400000000001</v>
      </c>
      <c r="I532">
        <v>30.0763</v>
      </c>
    </row>
    <row r="533" spans="1:9">
      <c r="A533" s="39">
        <v>44476</v>
      </c>
      <c r="B533" s="152">
        <v>19.913499999999999</v>
      </c>
      <c r="C533">
        <f t="shared" si="26"/>
        <v>34.141525685321461</v>
      </c>
      <c r="D533">
        <f t="shared" si="27"/>
        <v>3.654800335495187</v>
      </c>
      <c r="E533">
        <f t="shared" si="28"/>
        <v>18.898163010408325</v>
      </c>
      <c r="G533" s="39">
        <v>44526</v>
      </c>
      <c r="H533">
        <v>22.0137</v>
      </c>
      <c r="I533">
        <v>29.9636</v>
      </c>
    </row>
    <row r="534" spans="1:9">
      <c r="A534" s="39">
        <v>44475</v>
      </c>
      <c r="B534" s="152">
        <v>19.960100000000001</v>
      </c>
      <c r="C534">
        <f t="shared" si="26"/>
        <v>34.141525685321461</v>
      </c>
      <c r="D534">
        <f t="shared" si="27"/>
        <v>3.654800335495187</v>
      </c>
      <c r="E534">
        <f t="shared" si="28"/>
        <v>18.898163010408325</v>
      </c>
      <c r="G534" s="39">
        <v>44525</v>
      </c>
      <c r="H534">
        <v>22.558199999999999</v>
      </c>
      <c r="I534">
        <v>30.624500000000001</v>
      </c>
    </row>
    <row r="535" spans="1:9">
      <c r="A535" s="39">
        <v>44474</v>
      </c>
      <c r="B535" s="152">
        <v>19.726800000000001</v>
      </c>
      <c r="C535">
        <f t="shared" si="26"/>
        <v>34.141525685321461</v>
      </c>
      <c r="D535">
        <f t="shared" si="27"/>
        <v>3.654800335495187</v>
      </c>
      <c r="E535">
        <f t="shared" si="28"/>
        <v>18.898163010408325</v>
      </c>
      <c r="G535" s="39">
        <v>44524</v>
      </c>
      <c r="H535">
        <v>22.4026</v>
      </c>
      <c r="I535">
        <v>30.812200000000001</v>
      </c>
    </row>
    <row r="536" spans="1:9">
      <c r="A536" s="39">
        <v>44473</v>
      </c>
      <c r="B536" s="152">
        <v>19.633400000000002</v>
      </c>
      <c r="C536">
        <f t="shared" si="26"/>
        <v>34.141525685321461</v>
      </c>
      <c r="D536">
        <f t="shared" si="27"/>
        <v>3.654800335495187</v>
      </c>
      <c r="E536">
        <f t="shared" si="28"/>
        <v>18.898163010408325</v>
      </c>
      <c r="G536" s="39">
        <v>44523</v>
      </c>
      <c r="H536">
        <v>22.2471</v>
      </c>
      <c r="I536">
        <v>30.779399999999999</v>
      </c>
    </row>
    <row r="537" spans="1:9">
      <c r="A537" s="39">
        <v>44470</v>
      </c>
      <c r="B537" s="152">
        <v>19.633400000000002</v>
      </c>
      <c r="C537">
        <f t="shared" si="26"/>
        <v>34.141525685321461</v>
      </c>
      <c r="D537">
        <f t="shared" si="27"/>
        <v>3.654800335495187</v>
      </c>
      <c r="E537">
        <f t="shared" si="28"/>
        <v>18.898163010408325</v>
      </c>
      <c r="G537" s="39">
        <v>44522</v>
      </c>
      <c r="H537">
        <v>21.5625</v>
      </c>
      <c r="I537">
        <v>30.8096</v>
      </c>
    </row>
    <row r="538" spans="1:9">
      <c r="A538" s="39">
        <v>44469</v>
      </c>
      <c r="B538" s="152">
        <v>19.882300000000001</v>
      </c>
      <c r="C538">
        <f t="shared" si="26"/>
        <v>34.141525685321461</v>
      </c>
      <c r="D538">
        <f t="shared" si="27"/>
        <v>3.654800335495187</v>
      </c>
      <c r="E538">
        <f t="shared" si="28"/>
        <v>18.898163010408325</v>
      </c>
      <c r="G538" s="39">
        <v>44519</v>
      </c>
      <c r="H538">
        <v>21.6248</v>
      </c>
      <c r="I538">
        <v>30.751799999999999</v>
      </c>
    </row>
    <row r="539" spans="1:9">
      <c r="A539" s="39">
        <v>44468</v>
      </c>
      <c r="B539" s="152">
        <v>19.566800000000001</v>
      </c>
      <c r="C539">
        <f t="shared" si="26"/>
        <v>34.141525685321461</v>
      </c>
      <c r="D539">
        <f t="shared" si="27"/>
        <v>3.654800335495187</v>
      </c>
      <c r="E539">
        <f t="shared" si="28"/>
        <v>18.898163010408325</v>
      </c>
      <c r="G539" s="39">
        <v>44518</v>
      </c>
      <c r="H539">
        <v>21.6248</v>
      </c>
      <c r="I539">
        <v>30.874300000000002</v>
      </c>
    </row>
    <row r="540" spans="1:9">
      <c r="A540" s="39">
        <v>44467</v>
      </c>
      <c r="B540" s="152">
        <v>19.398399999999999</v>
      </c>
      <c r="C540">
        <f t="shared" si="26"/>
        <v>34.141525685321461</v>
      </c>
      <c r="D540">
        <f t="shared" si="27"/>
        <v>3.654800335495187</v>
      </c>
      <c r="E540">
        <f t="shared" si="28"/>
        <v>18.898163010408325</v>
      </c>
      <c r="G540" s="39">
        <v>44517</v>
      </c>
      <c r="H540">
        <v>21.453600000000002</v>
      </c>
      <c r="I540">
        <v>30.291799999999999</v>
      </c>
    </row>
    <row r="541" spans="1:9">
      <c r="A541" s="39">
        <v>44466</v>
      </c>
      <c r="B541" s="152">
        <v>19.2912</v>
      </c>
      <c r="C541">
        <f t="shared" si="26"/>
        <v>34.141525685321461</v>
      </c>
      <c r="D541">
        <f t="shared" si="27"/>
        <v>3.654800335495187</v>
      </c>
      <c r="E541">
        <f t="shared" si="28"/>
        <v>18.898163010408325</v>
      </c>
      <c r="G541" s="39">
        <v>44516</v>
      </c>
      <c r="H541">
        <v>21.453600000000002</v>
      </c>
      <c r="I541">
        <v>30.728200000000001</v>
      </c>
    </row>
    <row r="542" spans="1:9">
      <c r="A542" s="39">
        <v>44463</v>
      </c>
      <c r="B542" s="152">
        <v>19.9802</v>
      </c>
      <c r="C542">
        <f t="shared" si="26"/>
        <v>34.141525685321461</v>
      </c>
      <c r="D542">
        <f t="shared" si="27"/>
        <v>3.654800335495187</v>
      </c>
      <c r="E542">
        <f t="shared" si="28"/>
        <v>18.898163010408325</v>
      </c>
      <c r="G542" s="39">
        <v>44515</v>
      </c>
      <c r="H542">
        <v>21.687000000000001</v>
      </c>
      <c r="I542">
        <v>30.555499999999999</v>
      </c>
    </row>
    <row r="543" spans="1:9">
      <c r="A543" s="39">
        <v>44462</v>
      </c>
      <c r="B543" s="152">
        <v>20.209900000000001</v>
      </c>
      <c r="C543">
        <f t="shared" si="26"/>
        <v>34.141525685321461</v>
      </c>
      <c r="D543">
        <f t="shared" si="27"/>
        <v>3.654800335495187</v>
      </c>
      <c r="E543">
        <f t="shared" si="28"/>
        <v>18.898163010408325</v>
      </c>
      <c r="G543" s="39">
        <v>44512</v>
      </c>
      <c r="H543">
        <v>21.158000000000001</v>
      </c>
      <c r="I543">
        <v>30.139800000000001</v>
      </c>
    </row>
    <row r="544" spans="1:9">
      <c r="A544" s="39">
        <v>44461</v>
      </c>
      <c r="B544" s="152">
        <v>19.2453</v>
      </c>
      <c r="C544">
        <f t="shared" si="26"/>
        <v>34.141525685321461</v>
      </c>
      <c r="D544">
        <f t="shared" si="27"/>
        <v>3.654800335495187</v>
      </c>
      <c r="E544">
        <f t="shared" si="28"/>
        <v>18.898163010408325</v>
      </c>
      <c r="G544" s="39">
        <v>44511</v>
      </c>
      <c r="H544">
        <v>21.002500000000001</v>
      </c>
      <c r="I544">
        <v>30.0061</v>
      </c>
    </row>
    <row r="545" spans="1:9">
      <c r="A545" s="39">
        <v>44460</v>
      </c>
      <c r="B545" s="152">
        <v>18.9544</v>
      </c>
      <c r="C545">
        <f t="shared" si="26"/>
        <v>34.141525685321461</v>
      </c>
      <c r="D545">
        <f t="shared" si="27"/>
        <v>3.654800335495187</v>
      </c>
      <c r="E545">
        <f t="shared" si="28"/>
        <v>18.898163010408325</v>
      </c>
      <c r="G545" s="39">
        <v>44510</v>
      </c>
      <c r="H545">
        <v>20.457999999999998</v>
      </c>
      <c r="I545">
        <v>29.857399999999998</v>
      </c>
    </row>
    <row r="546" spans="1:9">
      <c r="A546" s="39">
        <v>44459</v>
      </c>
      <c r="B546" s="152">
        <v>18.831900000000001</v>
      </c>
      <c r="C546">
        <f t="shared" si="26"/>
        <v>34.141525685321461</v>
      </c>
      <c r="D546">
        <f t="shared" si="27"/>
        <v>3.654800335495187</v>
      </c>
      <c r="E546">
        <f t="shared" si="28"/>
        <v>18.898163010408325</v>
      </c>
      <c r="G546" s="39">
        <v>44509</v>
      </c>
      <c r="H546">
        <v>20.224599999999999</v>
      </c>
      <c r="I546">
        <v>29.981300000000001</v>
      </c>
    </row>
    <row r="547" spans="1:9">
      <c r="A547" s="39">
        <v>44456</v>
      </c>
      <c r="B547" s="152">
        <v>18.831900000000001</v>
      </c>
      <c r="C547">
        <f t="shared" si="26"/>
        <v>34.141525685321461</v>
      </c>
      <c r="D547">
        <f t="shared" si="27"/>
        <v>3.654800335495187</v>
      </c>
      <c r="E547">
        <f t="shared" si="28"/>
        <v>18.898163010408325</v>
      </c>
      <c r="G547" s="39">
        <v>44508</v>
      </c>
      <c r="H547">
        <v>20.473500000000001</v>
      </c>
      <c r="I547">
        <v>29.9526</v>
      </c>
    </row>
    <row r="548" spans="1:9">
      <c r="A548" s="39">
        <v>44455</v>
      </c>
      <c r="B548" s="152">
        <v>18.9238</v>
      </c>
      <c r="C548">
        <f t="shared" si="26"/>
        <v>34.141525685321461</v>
      </c>
      <c r="D548">
        <f t="shared" si="27"/>
        <v>3.654800335495187</v>
      </c>
      <c r="E548">
        <f t="shared" si="28"/>
        <v>18.898163010408325</v>
      </c>
      <c r="G548" s="39">
        <v>44505</v>
      </c>
      <c r="H548">
        <v>20.535699999999999</v>
      </c>
      <c r="I548">
        <v>29.9666</v>
      </c>
    </row>
    <row r="549" spans="1:9">
      <c r="A549" s="39">
        <v>44454</v>
      </c>
      <c r="B549" s="152">
        <v>19.076899999999998</v>
      </c>
      <c r="C549">
        <f t="shared" si="26"/>
        <v>34.141525685321461</v>
      </c>
      <c r="D549">
        <f t="shared" si="27"/>
        <v>3.654800335495187</v>
      </c>
      <c r="E549">
        <f t="shared" si="28"/>
        <v>18.898163010408325</v>
      </c>
      <c r="G549" s="39">
        <v>44504</v>
      </c>
      <c r="H549">
        <v>20.209</v>
      </c>
      <c r="I549">
        <v>29.917200000000001</v>
      </c>
    </row>
    <row r="550" spans="1:9">
      <c r="A550" s="39">
        <v>44453</v>
      </c>
      <c r="B550" s="152">
        <v>19.061599999999999</v>
      </c>
      <c r="C550">
        <f t="shared" si="26"/>
        <v>34.141525685321461</v>
      </c>
      <c r="D550">
        <f t="shared" si="27"/>
        <v>3.654800335495187</v>
      </c>
      <c r="E550">
        <f t="shared" si="28"/>
        <v>18.898163010408325</v>
      </c>
      <c r="G550" s="39">
        <v>44503</v>
      </c>
      <c r="H550">
        <v>20.0379</v>
      </c>
      <c r="I550">
        <v>29.621200000000002</v>
      </c>
    </row>
    <row r="551" spans="1:9">
      <c r="A551" s="39">
        <v>44452</v>
      </c>
      <c r="B551" s="152">
        <v>19.138100000000001</v>
      </c>
      <c r="C551">
        <f t="shared" si="26"/>
        <v>34.141525685321461</v>
      </c>
      <c r="D551">
        <f t="shared" si="27"/>
        <v>3.654800335495187</v>
      </c>
      <c r="E551">
        <f t="shared" si="28"/>
        <v>18.898163010408325</v>
      </c>
      <c r="G551" s="39">
        <v>44502</v>
      </c>
      <c r="H551">
        <v>20.0535</v>
      </c>
      <c r="I551">
        <v>29.4056</v>
      </c>
    </row>
    <row r="552" spans="1:9">
      <c r="A552" s="39">
        <v>44449</v>
      </c>
      <c r="B552" s="152">
        <v>18.2042</v>
      </c>
      <c r="C552">
        <f t="shared" si="26"/>
        <v>34.141525685321461</v>
      </c>
      <c r="D552">
        <f t="shared" si="27"/>
        <v>3.654800335495187</v>
      </c>
      <c r="E552">
        <f t="shared" si="28"/>
        <v>18.898163010408325</v>
      </c>
      <c r="G552" s="39">
        <v>44501</v>
      </c>
      <c r="H552">
        <v>20.224599999999999</v>
      </c>
      <c r="I552">
        <v>29.3535</v>
      </c>
    </row>
    <row r="553" spans="1:9">
      <c r="A553" s="39">
        <v>44448</v>
      </c>
      <c r="B553" s="152">
        <v>18.2042</v>
      </c>
      <c r="C553">
        <f t="shared" si="26"/>
        <v>34.141525685321461</v>
      </c>
      <c r="D553">
        <f t="shared" si="27"/>
        <v>3.654800335495187</v>
      </c>
      <c r="E553">
        <f t="shared" si="28"/>
        <v>18.898163010408325</v>
      </c>
      <c r="G553" s="39">
        <v>44498</v>
      </c>
      <c r="H553">
        <v>20.442399999999999</v>
      </c>
      <c r="I553">
        <v>29.220600000000001</v>
      </c>
    </row>
    <row r="554" spans="1:9">
      <c r="A554" s="39">
        <v>44447</v>
      </c>
      <c r="B554" s="152">
        <v>17.055900000000001</v>
      </c>
      <c r="C554">
        <f t="shared" si="26"/>
        <v>34.141525685321461</v>
      </c>
      <c r="D554">
        <f t="shared" si="27"/>
        <v>3.654800335495187</v>
      </c>
      <c r="E554">
        <f t="shared" si="28"/>
        <v>18.898163010408325</v>
      </c>
      <c r="G554" s="39">
        <v>44497</v>
      </c>
      <c r="H554">
        <v>20.535699999999999</v>
      </c>
      <c r="I554">
        <v>29.197700000000001</v>
      </c>
    </row>
    <row r="555" spans="1:9">
      <c r="A555" s="39">
        <v>44446</v>
      </c>
      <c r="B555" s="152">
        <v>16.887499999999999</v>
      </c>
      <c r="C555">
        <f t="shared" si="26"/>
        <v>34.141525685321461</v>
      </c>
      <c r="D555">
        <f t="shared" si="27"/>
        <v>3.654800335495187</v>
      </c>
      <c r="E555">
        <f t="shared" si="28"/>
        <v>18.898163010408325</v>
      </c>
      <c r="G555" s="39">
        <v>44496</v>
      </c>
      <c r="H555">
        <v>20.535699999999999</v>
      </c>
      <c r="I555">
        <v>29.172999999999998</v>
      </c>
    </row>
    <row r="556" spans="1:9">
      <c r="A556" s="39">
        <v>44445</v>
      </c>
      <c r="B556" s="152">
        <v>16.994700000000002</v>
      </c>
      <c r="C556">
        <f t="shared" si="26"/>
        <v>34.141525685321461</v>
      </c>
      <c r="D556">
        <f t="shared" si="27"/>
        <v>3.654800335495187</v>
      </c>
      <c r="E556">
        <f t="shared" si="28"/>
        <v>18.898163010408325</v>
      </c>
      <c r="G556" s="39">
        <v>44495</v>
      </c>
      <c r="H556">
        <v>19.913499999999999</v>
      </c>
      <c r="I556">
        <v>29.322099999999999</v>
      </c>
    </row>
    <row r="557" spans="1:9">
      <c r="A557" s="39">
        <v>44440</v>
      </c>
      <c r="B557" s="152">
        <v>16.872199999999999</v>
      </c>
      <c r="C557">
        <f t="shared" si="26"/>
        <v>34.141525685321461</v>
      </c>
      <c r="D557">
        <f t="shared" si="27"/>
        <v>3.654800335495187</v>
      </c>
      <c r="E557">
        <f t="shared" si="28"/>
        <v>18.898163010408325</v>
      </c>
      <c r="G557" s="39">
        <v>44494</v>
      </c>
      <c r="H557">
        <v>19.9757</v>
      </c>
      <c r="I557">
        <v>29.4404</v>
      </c>
    </row>
    <row r="558" spans="1:9">
      <c r="A558" s="39">
        <v>44439</v>
      </c>
      <c r="B558" s="152">
        <v>16.994700000000002</v>
      </c>
      <c r="C558">
        <f t="shared" si="26"/>
        <v>34.141525685321461</v>
      </c>
      <c r="D558">
        <f t="shared" si="27"/>
        <v>3.654800335495187</v>
      </c>
      <c r="E558">
        <f t="shared" si="28"/>
        <v>18.898163010408325</v>
      </c>
      <c r="G558" s="39">
        <v>44491</v>
      </c>
      <c r="H558">
        <v>19.851199999999999</v>
      </c>
      <c r="I558">
        <v>29.254200000000001</v>
      </c>
    </row>
    <row r="559" spans="1:9">
      <c r="A559" s="39">
        <v>44438</v>
      </c>
      <c r="B559" s="152">
        <v>16.933399999999999</v>
      </c>
      <c r="C559">
        <f t="shared" si="26"/>
        <v>34.141525685321461</v>
      </c>
      <c r="D559">
        <f t="shared" si="27"/>
        <v>3.654800335495187</v>
      </c>
      <c r="E559">
        <f t="shared" si="28"/>
        <v>18.898163010408325</v>
      </c>
      <c r="G559" s="39">
        <v>44490</v>
      </c>
      <c r="H559">
        <v>19.757899999999999</v>
      </c>
      <c r="I559">
        <v>29.235700000000001</v>
      </c>
    </row>
    <row r="560" spans="1:9">
      <c r="A560" s="39">
        <v>44435</v>
      </c>
      <c r="B560" s="152">
        <v>16.7395</v>
      </c>
      <c r="C560">
        <f t="shared" si="26"/>
        <v>34.141525685321461</v>
      </c>
      <c r="D560">
        <f t="shared" si="27"/>
        <v>3.654800335495187</v>
      </c>
      <c r="E560">
        <f t="shared" si="28"/>
        <v>18.898163010408325</v>
      </c>
      <c r="G560" s="39">
        <v>44489</v>
      </c>
      <c r="H560">
        <v>20.100100000000001</v>
      </c>
      <c r="I560">
        <v>28.828499999999998</v>
      </c>
    </row>
    <row r="561" spans="1:9">
      <c r="A561" s="39">
        <v>44434</v>
      </c>
      <c r="B561" s="152">
        <v>16.485099999999999</v>
      </c>
      <c r="C561">
        <f t="shared" si="26"/>
        <v>34.141525685321461</v>
      </c>
      <c r="D561">
        <f t="shared" si="27"/>
        <v>3.654800335495187</v>
      </c>
      <c r="E561">
        <f t="shared" si="28"/>
        <v>18.898163010408325</v>
      </c>
      <c r="G561" s="39">
        <v>44488</v>
      </c>
      <c r="H561">
        <v>20.177900000000001</v>
      </c>
      <c r="I561">
        <v>28.862100000000002</v>
      </c>
    </row>
    <row r="562" spans="1:9">
      <c r="A562" s="39">
        <v>44433</v>
      </c>
      <c r="B562" s="152">
        <v>16.434200000000001</v>
      </c>
      <c r="C562">
        <f t="shared" si="26"/>
        <v>34.141525685321461</v>
      </c>
      <c r="D562">
        <f t="shared" si="27"/>
        <v>3.654800335495187</v>
      </c>
      <c r="E562">
        <f t="shared" si="28"/>
        <v>18.898163010408325</v>
      </c>
      <c r="G562" s="39">
        <v>44487</v>
      </c>
      <c r="H562">
        <v>20.333500000000001</v>
      </c>
      <c r="I562">
        <v>28.9099</v>
      </c>
    </row>
    <row r="563" spans="1:9">
      <c r="A563" s="39">
        <v>44432</v>
      </c>
      <c r="B563" s="152">
        <v>16.3325</v>
      </c>
      <c r="C563">
        <f t="shared" si="26"/>
        <v>34.141525685321461</v>
      </c>
      <c r="D563">
        <f t="shared" si="27"/>
        <v>3.654800335495187</v>
      </c>
      <c r="E563">
        <f t="shared" si="28"/>
        <v>18.898163010408325</v>
      </c>
      <c r="G563" s="39">
        <v>44484</v>
      </c>
      <c r="H563">
        <v>20.597999999999999</v>
      </c>
      <c r="I563">
        <v>28.768000000000001</v>
      </c>
    </row>
    <row r="564" spans="1:9">
      <c r="A564" s="39">
        <v>44431</v>
      </c>
      <c r="B564" s="152">
        <v>16.088200000000001</v>
      </c>
      <c r="C564">
        <f t="shared" si="26"/>
        <v>34.141525685321461</v>
      </c>
      <c r="D564">
        <f t="shared" si="27"/>
        <v>3.654800335495187</v>
      </c>
      <c r="E564">
        <f t="shared" si="28"/>
        <v>18.898163010408325</v>
      </c>
      <c r="G564" s="39">
        <v>44483</v>
      </c>
      <c r="H564">
        <v>20.769100000000002</v>
      </c>
      <c r="I564">
        <v>28.568100000000001</v>
      </c>
    </row>
    <row r="565" spans="1:9">
      <c r="A565" s="39">
        <v>44428</v>
      </c>
      <c r="B565" s="152">
        <v>16.688600000000001</v>
      </c>
      <c r="C565">
        <f t="shared" si="26"/>
        <v>34.141525685321461</v>
      </c>
      <c r="D565">
        <f t="shared" si="27"/>
        <v>3.654800335495187</v>
      </c>
      <c r="E565">
        <f t="shared" si="28"/>
        <v>18.898163010408325</v>
      </c>
      <c r="G565" s="39">
        <v>44482</v>
      </c>
      <c r="H565">
        <v>20.831299999999999</v>
      </c>
      <c r="I565">
        <v>28.013100000000001</v>
      </c>
    </row>
    <row r="566" spans="1:9">
      <c r="A566" s="39">
        <v>44427</v>
      </c>
      <c r="B566" s="152">
        <v>17.553599999999999</v>
      </c>
      <c r="C566">
        <f t="shared" si="26"/>
        <v>34.141525685321461</v>
      </c>
      <c r="D566">
        <f t="shared" si="27"/>
        <v>3.654800335495187</v>
      </c>
      <c r="E566">
        <f t="shared" si="28"/>
        <v>18.898163010408325</v>
      </c>
      <c r="G566" s="39">
        <v>44481</v>
      </c>
      <c r="H566">
        <v>20.551300000000001</v>
      </c>
      <c r="I566">
        <v>28.092400000000001</v>
      </c>
    </row>
    <row r="567" spans="1:9">
      <c r="A567" s="39">
        <v>44426</v>
      </c>
      <c r="B567" s="152">
        <v>17.553599999999999</v>
      </c>
      <c r="C567">
        <f t="shared" si="26"/>
        <v>34.141525685321461</v>
      </c>
      <c r="D567">
        <f t="shared" si="27"/>
        <v>3.654800335495187</v>
      </c>
      <c r="E567">
        <f t="shared" si="28"/>
        <v>18.898163010408325</v>
      </c>
      <c r="G567" s="39">
        <v>44480</v>
      </c>
      <c r="H567">
        <v>20.146799999999999</v>
      </c>
      <c r="I567">
        <v>28.145099999999999</v>
      </c>
    </row>
    <row r="568" spans="1:9">
      <c r="A568" s="39">
        <v>44425</v>
      </c>
      <c r="B568" s="152">
        <v>17.289000000000001</v>
      </c>
      <c r="C568">
        <f t="shared" si="26"/>
        <v>34.141525685321461</v>
      </c>
      <c r="D568">
        <f t="shared" si="27"/>
        <v>3.654800335495187</v>
      </c>
      <c r="E568">
        <f t="shared" si="28"/>
        <v>18.898163010408325</v>
      </c>
      <c r="G568" s="39">
        <v>44477</v>
      </c>
      <c r="H568">
        <v>20.0379</v>
      </c>
      <c r="I568">
        <v>28.264600000000002</v>
      </c>
    </row>
    <row r="569" spans="1:9">
      <c r="A569" s="39">
        <v>44424</v>
      </c>
      <c r="B569" s="152">
        <v>17.3093</v>
      </c>
      <c r="C569">
        <f t="shared" si="26"/>
        <v>34.141525685321461</v>
      </c>
      <c r="D569">
        <f t="shared" si="27"/>
        <v>3.654800335495187</v>
      </c>
      <c r="E569">
        <f t="shared" si="28"/>
        <v>18.898163010408325</v>
      </c>
      <c r="G569" s="39">
        <v>44476</v>
      </c>
      <c r="H569">
        <v>19.913499999999999</v>
      </c>
      <c r="I569">
        <v>28.191800000000001</v>
      </c>
    </row>
    <row r="570" spans="1:9">
      <c r="A570" s="39">
        <v>44421</v>
      </c>
      <c r="B570" s="152">
        <v>17.4009</v>
      </c>
      <c r="C570">
        <f t="shared" si="26"/>
        <v>34.141525685321461</v>
      </c>
      <c r="D570">
        <f t="shared" si="27"/>
        <v>3.654800335495187</v>
      </c>
      <c r="E570">
        <f t="shared" si="28"/>
        <v>18.898163010408325</v>
      </c>
      <c r="G570" s="39">
        <v>44475</v>
      </c>
      <c r="H570">
        <v>19.960100000000001</v>
      </c>
      <c r="I570">
        <v>27.791</v>
      </c>
    </row>
    <row r="571" spans="1:9">
      <c r="A571" s="39">
        <v>44420</v>
      </c>
      <c r="B571" s="152">
        <v>17.299199999999999</v>
      </c>
      <c r="C571">
        <f t="shared" si="26"/>
        <v>34.141525685321461</v>
      </c>
      <c r="D571">
        <f t="shared" si="27"/>
        <v>3.654800335495187</v>
      </c>
      <c r="E571">
        <f t="shared" si="28"/>
        <v>18.898163010408325</v>
      </c>
      <c r="G571" s="39">
        <v>44474</v>
      </c>
      <c r="H571">
        <v>19.726800000000001</v>
      </c>
      <c r="I571">
        <v>27.7104</v>
      </c>
    </row>
    <row r="572" spans="1:9">
      <c r="A572" s="39">
        <v>44419</v>
      </c>
      <c r="B572" s="152">
        <v>17.808</v>
      </c>
      <c r="C572">
        <f t="shared" si="26"/>
        <v>34.141525685321461</v>
      </c>
      <c r="D572">
        <f t="shared" si="27"/>
        <v>3.654800335495187</v>
      </c>
      <c r="E572">
        <f t="shared" si="28"/>
        <v>18.898163010408325</v>
      </c>
      <c r="G572" s="39">
        <v>44473</v>
      </c>
      <c r="H572">
        <v>19.633400000000002</v>
      </c>
      <c r="I572">
        <v>27.671299999999999</v>
      </c>
    </row>
    <row r="573" spans="1:9">
      <c r="A573" s="39">
        <v>44418</v>
      </c>
      <c r="B573" s="152">
        <v>17.696000000000002</v>
      </c>
      <c r="C573">
        <f t="shared" si="26"/>
        <v>34.141525685321461</v>
      </c>
      <c r="D573">
        <f t="shared" si="27"/>
        <v>3.654800335495187</v>
      </c>
      <c r="E573">
        <f t="shared" si="28"/>
        <v>18.898163010408325</v>
      </c>
      <c r="G573" s="39">
        <v>44470</v>
      </c>
      <c r="H573">
        <v>19.633400000000002</v>
      </c>
      <c r="I573">
        <v>27.8476</v>
      </c>
    </row>
    <row r="574" spans="1:9">
      <c r="A574" s="39">
        <v>44417</v>
      </c>
      <c r="B574" s="152">
        <v>17.6859</v>
      </c>
      <c r="C574">
        <f t="shared" si="26"/>
        <v>34.141525685321461</v>
      </c>
      <c r="D574">
        <f t="shared" si="27"/>
        <v>3.654800335495187</v>
      </c>
      <c r="E574">
        <f t="shared" si="28"/>
        <v>18.898163010408325</v>
      </c>
      <c r="G574" s="39">
        <v>44469</v>
      </c>
      <c r="H574">
        <v>19.882300000000001</v>
      </c>
      <c r="I574">
        <v>28.177099999999999</v>
      </c>
    </row>
    <row r="575" spans="1:9">
      <c r="A575" s="39">
        <v>44414</v>
      </c>
      <c r="B575" s="152">
        <v>17.451799999999999</v>
      </c>
      <c r="C575">
        <f t="shared" si="26"/>
        <v>34.141525685321461</v>
      </c>
      <c r="D575">
        <f t="shared" si="27"/>
        <v>3.654800335495187</v>
      </c>
      <c r="E575">
        <f t="shared" si="28"/>
        <v>18.898163010408325</v>
      </c>
      <c r="G575" s="39">
        <v>44468</v>
      </c>
      <c r="H575">
        <v>19.566800000000001</v>
      </c>
      <c r="I575">
        <v>27.8489</v>
      </c>
    </row>
    <row r="576" spans="1:9">
      <c r="A576" s="39">
        <v>44413</v>
      </c>
      <c r="B576" s="152">
        <v>17.604399999999998</v>
      </c>
      <c r="C576">
        <f t="shared" si="26"/>
        <v>34.141525685321461</v>
      </c>
      <c r="D576">
        <f t="shared" si="27"/>
        <v>3.654800335495187</v>
      </c>
      <c r="E576">
        <f t="shared" si="28"/>
        <v>18.898163010408325</v>
      </c>
      <c r="G576" s="39">
        <v>44467</v>
      </c>
      <c r="H576">
        <v>19.398399999999999</v>
      </c>
      <c r="I576">
        <v>27.534600000000001</v>
      </c>
    </row>
    <row r="577" spans="1:9">
      <c r="A577" s="39">
        <v>44412</v>
      </c>
      <c r="B577" s="152">
        <v>17.299199999999999</v>
      </c>
      <c r="C577">
        <f t="shared" si="26"/>
        <v>34.141525685321461</v>
      </c>
      <c r="D577">
        <f t="shared" si="27"/>
        <v>3.654800335495187</v>
      </c>
      <c r="E577">
        <f t="shared" si="28"/>
        <v>18.898163010408325</v>
      </c>
      <c r="G577" s="39">
        <v>44466</v>
      </c>
      <c r="H577">
        <v>19.2912</v>
      </c>
      <c r="I577">
        <v>27.9894</v>
      </c>
    </row>
    <row r="578" spans="1:9">
      <c r="A578" s="39">
        <v>44411</v>
      </c>
      <c r="B578" s="152">
        <v>17.289000000000001</v>
      </c>
      <c r="C578">
        <f t="shared" si="26"/>
        <v>34.141525685321461</v>
      </c>
      <c r="D578">
        <f t="shared" si="27"/>
        <v>3.654800335495187</v>
      </c>
      <c r="E578">
        <f t="shared" si="28"/>
        <v>18.898163010408325</v>
      </c>
      <c r="G578" s="39">
        <v>44463</v>
      </c>
      <c r="H578">
        <v>19.9802</v>
      </c>
      <c r="I578">
        <v>28.025700000000001</v>
      </c>
    </row>
    <row r="579" spans="1:9">
      <c r="A579" s="39">
        <v>44410</v>
      </c>
      <c r="B579" s="152">
        <v>17.289000000000001</v>
      </c>
      <c r="C579">
        <f t="shared" si="26"/>
        <v>34.141525685321461</v>
      </c>
      <c r="D579">
        <f t="shared" si="27"/>
        <v>3.654800335495187</v>
      </c>
      <c r="E579">
        <f t="shared" si="28"/>
        <v>18.898163010408325</v>
      </c>
      <c r="G579" s="39">
        <v>44462</v>
      </c>
      <c r="H579">
        <v>20.209900000000001</v>
      </c>
      <c r="I579">
        <v>28.0611</v>
      </c>
    </row>
    <row r="580" spans="1:9">
      <c r="A580" s="39">
        <v>44407</v>
      </c>
      <c r="B580" s="152">
        <v>16.698799999999999</v>
      </c>
      <c r="C580">
        <f t="shared" ref="C580:C643" si="29">AVERAGE($B$3:$B$1251)+$C$1</f>
        <v>34.141525685321461</v>
      </c>
      <c r="D580">
        <f t="shared" ref="D580:D643" si="30">AVERAGE($B$3:$B$1251)-$C$1</f>
        <v>3.654800335495187</v>
      </c>
      <c r="E580">
        <f t="shared" ref="E580:E643" si="31">AVERAGE($B$3:$B$1251)</f>
        <v>18.898163010408325</v>
      </c>
      <c r="G580" s="39">
        <v>44461</v>
      </c>
      <c r="H580">
        <v>19.2453</v>
      </c>
      <c r="I580">
        <v>27.970800000000001</v>
      </c>
    </row>
    <row r="581" spans="1:9">
      <c r="A581" s="39">
        <v>44406</v>
      </c>
      <c r="B581" s="152">
        <v>16.566500000000001</v>
      </c>
      <c r="C581">
        <f t="shared" si="29"/>
        <v>34.141525685321461</v>
      </c>
      <c r="D581">
        <f t="shared" si="30"/>
        <v>3.654800335495187</v>
      </c>
      <c r="E581">
        <f t="shared" si="31"/>
        <v>18.898163010408325</v>
      </c>
      <c r="G581" s="39">
        <v>44460</v>
      </c>
      <c r="H581">
        <v>18.9544</v>
      </c>
      <c r="I581">
        <v>27.836300000000001</v>
      </c>
    </row>
    <row r="582" spans="1:9">
      <c r="A582" s="39">
        <v>44405</v>
      </c>
      <c r="B582" s="152">
        <v>15.986499999999999</v>
      </c>
      <c r="C582">
        <f t="shared" si="29"/>
        <v>34.141525685321461</v>
      </c>
      <c r="D582">
        <f t="shared" si="30"/>
        <v>3.654800335495187</v>
      </c>
      <c r="E582">
        <f t="shared" si="31"/>
        <v>18.898163010408325</v>
      </c>
      <c r="G582" s="39">
        <v>44459</v>
      </c>
      <c r="H582">
        <v>18.831900000000001</v>
      </c>
      <c r="I582">
        <v>27.7759</v>
      </c>
    </row>
    <row r="583" spans="1:9">
      <c r="A583" s="39">
        <v>44404</v>
      </c>
      <c r="B583" s="152">
        <v>16.078099999999999</v>
      </c>
      <c r="C583">
        <f t="shared" si="29"/>
        <v>34.141525685321461</v>
      </c>
      <c r="D583">
        <f t="shared" si="30"/>
        <v>3.654800335495187</v>
      </c>
      <c r="E583">
        <f t="shared" si="31"/>
        <v>18.898163010408325</v>
      </c>
      <c r="G583" s="39">
        <v>44456</v>
      </c>
      <c r="H583">
        <v>18.831900000000001</v>
      </c>
      <c r="I583">
        <v>28.260899999999999</v>
      </c>
    </row>
    <row r="584" spans="1:9">
      <c r="A584" s="39">
        <v>44403</v>
      </c>
      <c r="B584" s="152">
        <v>16.312100000000001</v>
      </c>
      <c r="C584">
        <f t="shared" si="29"/>
        <v>34.141525685321461</v>
      </c>
      <c r="D584">
        <f t="shared" si="30"/>
        <v>3.654800335495187</v>
      </c>
      <c r="E584">
        <f t="shared" si="31"/>
        <v>18.898163010408325</v>
      </c>
      <c r="G584" s="39">
        <v>44455</v>
      </c>
      <c r="H584">
        <v>18.9238</v>
      </c>
      <c r="I584">
        <v>28.013500000000001</v>
      </c>
    </row>
    <row r="585" spans="1:9">
      <c r="A585" s="39">
        <v>44400</v>
      </c>
      <c r="B585" s="152">
        <v>16.454599999999999</v>
      </c>
      <c r="C585">
        <f t="shared" si="29"/>
        <v>34.141525685321461</v>
      </c>
      <c r="D585">
        <f t="shared" si="30"/>
        <v>3.654800335495187</v>
      </c>
      <c r="E585">
        <f t="shared" si="31"/>
        <v>18.898163010408325</v>
      </c>
      <c r="G585" s="39">
        <v>44454</v>
      </c>
      <c r="H585">
        <v>19.076899999999998</v>
      </c>
      <c r="I585">
        <v>27.796099999999999</v>
      </c>
    </row>
    <row r="586" spans="1:9">
      <c r="A586" s="39">
        <v>44399</v>
      </c>
      <c r="B586" s="152">
        <v>16.810700000000001</v>
      </c>
      <c r="C586">
        <f t="shared" si="29"/>
        <v>34.141525685321461</v>
      </c>
      <c r="D586">
        <f t="shared" si="30"/>
        <v>3.654800335495187</v>
      </c>
      <c r="E586">
        <f t="shared" si="31"/>
        <v>18.898163010408325</v>
      </c>
      <c r="G586" s="39">
        <v>44453</v>
      </c>
      <c r="H586">
        <v>19.061599999999999</v>
      </c>
      <c r="I586">
        <v>27.687799999999999</v>
      </c>
    </row>
    <row r="587" spans="1:9">
      <c r="A587" s="39">
        <v>44398</v>
      </c>
      <c r="B587" s="152">
        <v>16.627600000000001</v>
      </c>
      <c r="C587">
        <f t="shared" si="29"/>
        <v>34.141525685321461</v>
      </c>
      <c r="D587">
        <f t="shared" si="30"/>
        <v>3.654800335495187</v>
      </c>
      <c r="E587">
        <f t="shared" si="31"/>
        <v>18.898163010408325</v>
      </c>
      <c r="G587" s="39">
        <v>44452</v>
      </c>
      <c r="H587">
        <v>19.138100000000001</v>
      </c>
      <c r="I587">
        <v>27.724</v>
      </c>
    </row>
    <row r="588" spans="1:9">
      <c r="A588" s="39">
        <v>44397</v>
      </c>
      <c r="B588" s="152">
        <v>16.749700000000001</v>
      </c>
      <c r="C588">
        <f t="shared" si="29"/>
        <v>34.141525685321461</v>
      </c>
      <c r="D588">
        <f t="shared" si="30"/>
        <v>3.654800335495187</v>
      </c>
      <c r="E588">
        <f t="shared" si="31"/>
        <v>18.898163010408325</v>
      </c>
      <c r="G588" s="39">
        <v>44449</v>
      </c>
      <c r="H588">
        <v>18.2042</v>
      </c>
      <c r="I588">
        <v>27.6876</v>
      </c>
    </row>
    <row r="589" spans="1:9">
      <c r="A589" s="39">
        <v>44396</v>
      </c>
      <c r="B589" s="152">
        <v>15.9254</v>
      </c>
      <c r="C589">
        <f t="shared" si="29"/>
        <v>34.141525685321461</v>
      </c>
      <c r="D589">
        <f t="shared" si="30"/>
        <v>3.654800335495187</v>
      </c>
      <c r="E589">
        <f t="shared" si="31"/>
        <v>18.898163010408325</v>
      </c>
      <c r="G589" s="39">
        <v>44448</v>
      </c>
      <c r="H589">
        <v>18.2042</v>
      </c>
      <c r="I589">
        <v>27.706399999999999</v>
      </c>
    </row>
    <row r="590" spans="1:9">
      <c r="A590" s="39">
        <v>44393</v>
      </c>
      <c r="B590" s="152">
        <v>17.105799999999999</v>
      </c>
      <c r="C590">
        <f t="shared" si="29"/>
        <v>34.141525685321461</v>
      </c>
      <c r="D590">
        <f t="shared" si="30"/>
        <v>3.654800335495187</v>
      </c>
      <c r="E590">
        <f t="shared" si="31"/>
        <v>18.898163010408325</v>
      </c>
      <c r="G590" s="39">
        <v>44447</v>
      </c>
      <c r="H590">
        <v>17.055900000000001</v>
      </c>
      <c r="I590">
        <v>27.758800000000001</v>
      </c>
    </row>
    <row r="591" spans="1:9">
      <c r="A591" s="39">
        <v>44392</v>
      </c>
      <c r="B591" s="152">
        <v>17.004100000000001</v>
      </c>
      <c r="C591">
        <f t="shared" si="29"/>
        <v>34.141525685321461</v>
      </c>
      <c r="D591">
        <f t="shared" si="30"/>
        <v>3.654800335495187</v>
      </c>
      <c r="E591">
        <f t="shared" si="31"/>
        <v>18.898163010408325</v>
      </c>
      <c r="G591" s="39">
        <v>44446</v>
      </c>
      <c r="H591">
        <v>16.887499999999999</v>
      </c>
      <c r="I591">
        <v>27.6919</v>
      </c>
    </row>
    <row r="592" spans="1:9">
      <c r="A592" s="39">
        <v>44391</v>
      </c>
      <c r="B592" s="152">
        <v>16.943000000000001</v>
      </c>
      <c r="C592">
        <f t="shared" si="29"/>
        <v>34.141525685321461</v>
      </c>
      <c r="D592">
        <f t="shared" si="30"/>
        <v>3.654800335495187</v>
      </c>
      <c r="E592">
        <f t="shared" si="31"/>
        <v>18.898163010408325</v>
      </c>
      <c r="G592" s="39">
        <v>44445</v>
      </c>
      <c r="H592">
        <v>16.994700000000002</v>
      </c>
      <c r="I592">
        <v>27.914000000000001</v>
      </c>
    </row>
    <row r="593" spans="1:9">
      <c r="A593" s="39">
        <v>44390</v>
      </c>
      <c r="B593" s="152">
        <v>17.808</v>
      </c>
      <c r="C593">
        <f t="shared" si="29"/>
        <v>34.141525685321461</v>
      </c>
      <c r="D593">
        <f t="shared" si="30"/>
        <v>3.654800335495187</v>
      </c>
      <c r="E593">
        <f t="shared" si="31"/>
        <v>18.898163010408325</v>
      </c>
      <c r="G593" s="39">
        <v>44442</v>
      </c>
      <c r="I593">
        <v>27.9481</v>
      </c>
    </row>
    <row r="594" spans="1:9">
      <c r="A594" s="39">
        <v>44389</v>
      </c>
      <c r="B594" s="152">
        <v>17.970800000000001</v>
      </c>
      <c r="C594">
        <f t="shared" si="29"/>
        <v>34.141525685321461</v>
      </c>
      <c r="D594">
        <f t="shared" si="30"/>
        <v>3.654800335495187</v>
      </c>
      <c r="E594">
        <f t="shared" si="31"/>
        <v>18.898163010408325</v>
      </c>
      <c r="G594" s="39">
        <v>44441</v>
      </c>
      <c r="I594">
        <v>27.787199999999999</v>
      </c>
    </row>
    <row r="595" spans="1:9">
      <c r="A595" s="39">
        <v>44386</v>
      </c>
      <c r="B595" s="152">
        <v>17.960599999999999</v>
      </c>
      <c r="C595">
        <f t="shared" si="29"/>
        <v>34.141525685321461</v>
      </c>
      <c r="D595">
        <f t="shared" si="30"/>
        <v>3.654800335495187</v>
      </c>
      <c r="E595">
        <f t="shared" si="31"/>
        <v>18.898163010408325</v>
      </c>
      <c r="G595" s="39">
        <v>44440</v>
      </c>
      <c r="H595">
        <v>16.872199999999999</v>
      </c>
      <c r="I595">
        <v>28.257400000000001</v>
      </c>
    </row>
    <row r="596" spans="1:9">
      <c r="A596" s="39">
        <v>44385</v>
      </c>
      <c r="B596" s="152">
        <v>17.553599999999999</v>
      </c>
      <c r="C596">
        <f t="shared" si="29"/>
        <v>34.141525685321461</v>
      </c>
      <c r="D596">
        <f t="shared" si="30"/>
        <v>3.654800335495187</v>
      </c>
      <c r="E596">
        <f t="shared" si="31"/>
        <v>18.898163010408325</v>
      </c>
      <c r="G596" s="39">
        <v>44439</v>
      </c>
      <c r="H596">
        <v>16.994700000000002</v>
      </c>
      <c r="I596">
        <v>28.345199999999998</v>
      </c>
    </row>
    <row r="597" spans="1:9">
      <c r="A597" s="39">
        <v>44384</v>
      </c>
      <c r="B597" s="152">
        <v>16.8718</v>
      </c>
      <c r="C597">
        <f t="shared" si="29"/>
        <v>34.141525685321461</v>
      </c>
      <c r="D597">
        <f t="shared" si="30"/>
        <v>3.654800335495187</v>
      </c>
      <c r="E597">
        <f t="shared" si="31"/>
        <v>18.898163010408325</v>
      </c>
      <c r="G597" s="39">
        <v>44438</v>
      </c>
      <c r="H597">
        <v>16.933399999999999</v>
      </c>
      <c r="I597">
        <v>28.328700000000001</v>
      </c>
    </row>
    <row r="598" spans="1:9">
      <c r="A598" s="39">
        <v>44383</v>
      </c>
      <c r="B598" s="152">
        <v>15.7728</v>
      </c>
      <c r="C598">
        <f t="shared" si="29"/>
        <v>34.141525685321461</v>
      </c>
      <c r="D598">
        <f t="shared" si="30"/>
        <v>3.654800335495187</v>
      </c>
      <c r="E598">
        <f t="shared" si="31"/>
        <v>18.898163010408325</v>
      </c>
      <c r="G598" s="39">
        <v>44435</v>
      </c>
      <c r="H598">
        <v>16.7395</v>
      </c>
      <c r="I598">
        <v>28.013300000000001</v>
      </c>
    </row>
    <row r="599" spans="1:9">
      <c r="A599" s="39">
        <v>44382</v>
      </c>
      <c r="B599" s="152">
        <v>16.943000000000001</v>
      </c>
      <c r="C599">
        <f t="shared" si="29"/>
        <v>34.141525685321461</v>
      </c>
      <c r="D599">
        <f t="shared" si="30"/>
        <v>3.654800335495187</v>
      </c>
      <c r="E599">
        <f t="shared" si="31"/>
        <v>18.898163010408325</v>
      </c>
      <c r="G599" s="39">
        <v>44434</v>
      </c>
      <c r="H599">
        <v>16.485099999999999</v>
      </c>
      <c r="I599">
        <v>28.381</v>
      </c>
    </row>
    <row r="600" spans="1:9">
      <c r="A600" s="39">
        <v>44379</v>
      </c>
      <c r="B600" s="152">
        <v>15.9559</v>
      </c>
      <c r="C600">
        <f t="shared" si="29"/>
        <v>34.141525685321461</v>
      </c>
      <c r="D600">
        <f t="shared" si="30"/>
        <v>3.654800335495187</v>
      </c>
      <c r="E600">
        <f t="shared" si="31"/>
        <v>18.898163010408325</v>
      </c>
      <c r="G600" s="39">
        <v>44433</v>
      </c>
      <c r="H600">
        <v>16.434200000000001</v>
      </c>
      <c r="I600">
        <v>28.9697</v>
      </c>
    </row>
    <row r="601" spans="1:9">
      <c r="A601" s="39">
        <v>44378</v>
      </c>
      <c r="B601" s="152">
        <v>15.3759</v>
      </c>
      <c r="C601">
        <f t="shared" si="29"/>
        <v>34.141525685321461</v>
      </c>
      <c r="D601">
        <f t="shared" si="30"/>
        <v>3.654800335495187</v>
      </c>
      <c r="E601">
        <f t="shared" si="31"/>
        <v>18.898163010408325</v>
      </c>
      <c r="G601" s="39">
        <v>44432</v>
      </c>
      <c r="H601">
        <v>16.3325</v>
      </c>
      <c r="I601">
        <v>28.880099999999999</v>
      </c>
    </row>
    <row r="602" spans="1:9">
      <c r="A602" s="39">
        <v>44377</v>
      </c>
      <c r="B602" s="152">
        <v>15.467499999999999</v>
      </c>
      <c r="C602">
        <f t="shared" si="29"/>
        <v>34.141525685321461</v>
      </c>
      <c r="D602">
        <f t="shared" si="30"/>
        <v>3.654800335495187</v>
      </c>
      <c r="E602">
        <f t="shared" si="31"/>
        <v>18.898163010408325</v>
      </c>
      <c r="G602" s="39">
        <v>44431</v>
      </c>
      <c r="H602">
        <v>16.088200000000001</v>
      </c>
      <c r="I602">
        <v>28.566700000000001</v>
      </c>
    </row>
    <row r="603" spans="1:9">
      <c r="A603" s="39">
        <v>44376</v>
      </c>
      <c r="B603" s="152">
        <v>15.9376</v>
      </c>
      <c r="C603">
        <f t="shared" si="29"/>
        <v>34.141525685321461</v>
      </c>
      <c r="D603">
        <f t="shared" si="30"/>
        <v>3.654800335495187</v>
      </c>
      <c r="E603">
        <f t="shared" si="31"/>
        <v>18.898163010408325</v>
      </c>
      <c r="G603" s="39">
        <v>44428</v>
      </c>
      <c r="H603">
        <v>16.688600000000001</v>
      </c>
      <c r="I603">
        <v>28.761099999999999</v>
      </c>
    </row>
    <row r="604" spans="1:9">
      <c r="A604" s="39">
        <v>44375</v>
      </c>
      <c r="B604" s="152">
        <v>15.774900000000001</v>
      </c>
      <c r="C604">
        <f t="shared" si="29"/>
        <v>34.141525685321461</v>
      </c>
      <c r="D604">
        <f t="shared" si="30"/>
        <v>3.654800335495187</v>
      </c>
      <c r="E604">
        <f t="shared" si="31"/>
        <v>18.898163010408325</v>
      </c>
      <c r="G604" s="39">
        <v>44427</v>
      </c>
      <c r="H604">
        <v>17.553599999999999</v>
      </c>
      <c r="I604">
        <v>28.226400000000002</v>
      </c>
    </row>
    <row r="605" spans="1:9">
      <c r="A605" s="39">
        <v>44372</v>
      </c>
      <c r="B605" s="152">
        <v>15.579800000000001</v>
      </c>
      <c r="C605">
        <f t="shared" si="29"/>
        <v>34.141525685321461</v>
      </c>
      <c r="D605">
        <f t="shared" si="30"/>
        <v>3.654800335495187</v>
      </c>
      <c r="E605">
        <f t="shared" si="31"/>
        <v>18.898163010408325</v>
      </c>
      <c r="G605" s="39">
        <v>44426</v>
      </c>
      <c r="H605">
        <v>17.553599999999999</v>
      </c>
      <c r="I605">
        <v>28.339700000000001</v>
      </c>
    </row>
    <row r="606" spans="1:9">
      <c r="A606" s="39">
        <v>44371</v>
      </c>
      <c r="B606" s="152">
        <v>15.612299999999999</v>
      </c>
      <c r="C606">
        <f t="shared" si="29"/>
        <v>34.141525685321461</v>
      </c>
      <c r="D606">
        <f t="shared" si="30"/>
        <v>3.654800335495187</v>
      </c>
      <c r="E606">
        <f t="shared" si="31"/>
        <v>18.898163010408325</v>
      </c>
      <c r="G606" s="39">
        <v>44425</v>
      </c>
      <c r="H606">
        <v>17.289000000000001</v>
      </c>
      <c r="I606">
        <v>28.724499999999999</v>
      </c>
    </row>
    <row r="607" spans="1:9">
      <c r="A607" s="39">
        <v>44370</v>
      </c>
      <c r="B607" s="152">
        <v>15.612299999999999</v>
      </c>
      <c r="C607">
        <f t="shared" si="29"/>
        <v>34.141525685321461</v>
      </c>
      <c r="D607">
        <f t="shared" si="30"/>
        <v>3.654800335495187</v>
      </c>
      <c r="E607">
        <f t="shared" si="31"/>
        <v>18.898163010408325</v>
      </c>
      <c r="G607" s="39">
        <v>44424</v>
      </c>
      <c r="H607">
        <v>17.3093</v>
      </c>
      <c r="I607">
        <v>28.944700000000001</v>
      </c>
    </row>
    <row r="608" spans="1:9">
      <c r="A608" s="39">
        <v>44369</v>
      </c>
      <c r="B608" s="152">
        <v>15.8292</v>
      </c>
      <c r="C608">
        <f t="shared" si="29"/>
        <v>34.141525685321461</v>
      </c>
      <c r="D608">
        <f t="shared" si="30"/>
        <v>3.654800335495187</v>
      </c>
      <c r="E608">
        <f t="shared" si="31"/>
        <v>18.898163010408325</v>
      </c>
      <c r="G608" s="39">
        <v>44421</v>
      </c>
      <c r="H608">
        <v>17.4009</v>
      </c>
      <c r="I608">
        <v>28.637799999999999</v>
      </c>
    </row>
    <row r="609" spans="1:9">
      <c r="A609" s="39">
        <v>44368</v>
      </c>
      <c r="B609" s="152">
        <v>15.807499999999999</v>
      </c>
      <c r="C609">
        <f t="shared" si="29"/>
        <v>34.141525685321461</v>
      </c>
      <c r="D609">
        <f t="shared" si="30"/>
        <v>3.654800335495187</v>
      </c>
      <c r="E609">
        <f t="shared" si="31"/>
        <v>18.898163010408325</v>
      </c>
      <c r="G609" s="39">
        <v>44420</v>
      </c>
      <c r="H609">
        <v>17.299199999999999</v>
      </c>
      <c r="I609">
        <v>28.607399999999998</v>
      </c>
    </row>
    <row r="610" spans="1:9">
      <c r="A610" s="39">
        <v>44365</v>
      </c>
      <c r="B610" s="152">
        <v>15.287100000000001</v>
      </c>
      <c r="C610">
        <f t="shared" si="29"/>
        <v>34.141525685321461</v>
      </c>
      <c r="D610">
        <f t="shared" si="30"/>
        <v>3.654800335495187</v>
      </c>
      <c r="E610">
        <f t="shared" si="31"/>
        <v>18.898163010408325</v>
      </c>
      <c r="G610" s="39">
        <v>44419</v>
      </c>
      <c r="H610">
        <v>17.808</v>
      </c>
      <c r="I610">
        <v>28.866499999999998</v>
      </c>
    </row>
    <row r="611" spans="1:9">
      <c r="A611" s="39">
        <v>44364</v>
      </c>
      <c r="B611" s="152">
        <v>15.0702</v>
      </c>
      <c r="C611">
        <f t="shared" si="29"/>
        <v>34.141525685321461</v>
      </c>
      <c r="D611">
        <f t="shared" si="30"/>
        <v>3.654800335495187</v>
      </c>
      <c r="E611">
        <f t="shared" si="31"/>
        <v>18.898163010408325</v>
      </c>
      <c r="G611" s="39">
        <v>44418</v>
      </c>
      <c r="H611">
        <v>17.696000000000002</v>
      </c>
      <c r="I611">
        <v>28.811299999999999</v>
      </c>
    </row>
    <row r="612" spans="1:9">
      <c r="A612" s="39">
        <v>44363</v>
      </c>
      <c r="B612" s="152">
        <v>14.853400000000001</v>
      </c>
      <c r="C612">
        <f t="shared" si="29"/>
        <v>34.141525685321461</v>
      </c>
      <c r="D612">
        <f t="shared" si="30"/>
        <v>3.654800335495187</v>
      </c>
      <c r="E612">
        <f t="shared" si="31"/>
        <v>18.898163010408325</v>
      </c>
      <c r="G612" s="39">
        <v>44417</v>
      </c>
      <c r="H612">
        <v>17.6859</v>
      </c>
      <c r="I612">
        <v>28.475300000000001</v>
      </c>
    </row>
    <row r="613" spans="1:9">
      <c r="A613" s="39">
        <v>44362</v>
      </c>
      <c r="B613" s="152">
        <v>14.951000000000001</v>
      </c>
      <c r="C613">
        <f t="shared" si="29"/>
        <v>34.141525685321461</v>
      </c>
      <c r="D613">
        <f t="shared" si="30"/>
        <v>3.654800335495187</v>
      </c>
      <c r="E613">
        <f t="shared" si="31"/>
        <v>18.898163010408325</v>
      </c>
      <c r="G613" s="39">
        <v>44414</v>
      </c>
      <c r="H613">
        <v>17.451799999999999</v>
      </c>
      <c r="I613">
        <v>28.062899999999999</v>
      </c>
    </row>
    <row r="614" spans="1:9">
      <c r="A614" s="39">
        <v>44361</v>
      </c>
      <c r="B614" s="152">
        <v>14.9726</v>
      </c>
      <c r="C614">
        <f t="shared" si="29"/>
        <v>34.141525685321461</v>
      </c>
      <c r="D614">
        <f t="shared" si="30"/>
        <v>3.654800335495187</v>
      </c>
      <c r="E614">
        <f t="shared" si="31"/>
        <v>18.898163010408325</v>
      </c>
      <c r="G614" s="39">
        <v>44413</v>
      </c>
      <c r="H614">
        <v>17.604399999999998</v>
      </c>
      <c r="I614">
        <v>28.031199999999998</v>
      </c>
    </row>
    <row r="615" spans="1:9">
      <c r="A615" s="39">
        <v>44358</v>
      </c>
      <c r="B615" s="152">
        <v>14.853400000000001</v>
      </c>
      <c r="C615">
        <f t="shared" si="29"/>
        <v>34.141525685321461</v>
      </c>
      <c r="D615">
        <f t="shared" si="30"/>
        <v>3.654800335495187</v>
      </c>
      <c r="E615">
        <f t="shared" si="31"/>
        <v>18.898163010408325</v>
      </c>
      <c r="G615" s="39">
        <v>44412</v>
      </c>
      <c r="H615">
        <v>17.299199999999999</v>
      </c>
      <c r="I615">
        <v>27.869399999999999</v>
      </c>
    </row>
    <row r="616" spans="1:9">
      <c r="A616" s="39">
        <v>44357</v>
      </c>
      <c r="B616" s="152">
        <v>14.6691</v>
      </c>
      <c r="C616">
        <f t="shared" si="29"/>
        <v>34.141525685321461</v>
      </c>
      <c r="D616">
        <f t="shared" si="30"/>
        <v>3.654800335495187</v>
      </c>
      <c r="E616">
        <f t="shared" si="31"/>
        <v>18.898163010408325</v>
      </c>
      <c r="G616" s="39">
        <v>44411</v>
      </c>
      <c r="H616">
        <v>17.289000000000001</v>
      </c>
      <c r="I616">
        <v>27.9209</v>
      </c>
    </row>
    <row r="617" spans="1:9">
      <c r="A617" s="39">
        <v>44356</v>
      </c>
      <c r="B617" s="152">
        <v>14.7883</v>
      </c>
      <c r="C617">
        <f t="shared" si="29"/>
        <v>34.141525685321461</v>
      </c>
      <c r="D617">
        <f t="shared" si="30"/>
        <v>3.654800335495187</v>
      </c>
      <c r="E617">
        <f t="shared" si="31"/>
        <v>18.898163010408325</v>
      </c>
      <c r="G617" s="39">
        <v>44410</v>
      </c>
      <c r="H617">
        <v>17.289000000000001</v>
      </c>
      <c r="I617">
        <v>27.785799999999998</v>
      </c>
    </row>
    <row r="618" spans="1:9">
      <c r="A618" s="39">
        <v>44355</v>
      </c>
      <c r="B618" s="152">
        <v>14.744999999999999</v>
      </c>
      <c r="C618">
        <f t="shared" si="29"/>
        <v>34.141525685321461</v>
      </c>
      <c r="D618">
        <f t="shared" si="30"/>
        <v>3.654800335495187</v>
      </c>
      <c r="E618">
        <f t="shared" si="31"/>
        <v>18.898163010408325</v>
      </c>
      <c r="G618" s="39">
        <v>44407</v>
      </c>
      <c r="H618">
        <v>16.698799999999999</v>
      </c>
      <c r="I618">
        <v>27.707000000000001</v>
      </c>
    </row>
    <row r="619" spans="1:9">
      <c r="A619" s="39">
        <v>44354</v>
      </c>
      <c r="B619" s="152">
        <v>14.755800000000001</v>
      </c>
      <c r="C619">
        <f t="shared" si="29"/>
        <v>34.141525685321461</v>
      </c>
      <c r="D619">
        <f t="shared" si="30"/>
        <v>3.654800335495187</v>
      </c>
      <c r="E619">
        <f t="shared" si="31"/>
        <v>18.898163010408325</v>
      </c>
      <c r="G619" s="39">
        <v>44406</v>
      </c>
      <c r="H619">
        <v>16.566500000000001</v>
      </c>
      <c r="I619">
        <v>28.4223</v>
      </c>
    </row>
    <row r="620" spans="1:9">
      <c r="A620" s="39">
        <v>44351</v>
      </c>
      <c r="B620" s="152">
        <v>14.9076</v>
      </c>
      <c r="C620">
        <f t="shared" si="29"/>
        <v>34.141525685321461</v>
      </c>
      <c r="D620">
        <f t="shared" si="30"/>
        <v>3.654800335495187</v>
      </c>
      <c r="E620">
        <f t="shared" si="31"/>
        <v>18.898163010408325</v>
      </c>
      <c r="G620" s="39">
        <v>44405</v>
      </c>
      <c r="H620">
        <v>15.986499999999999</v>
      </c>
      <c r="I620">
        <v>28.255800000000001</v>
      </c>
    </row>
    <row r="621" spans="1:9">
      <c r="A621" s="39">
        <v>44350</v>
      </c>
      <c r="B621" s="152">
        <v>15.0702</v>
      </c>
      <c r="C621">
        <f t="shared" si="29"/>
        <v>34.141525685321461</v>
      </c>
      <c r="D621">
        <f t="shared" si="30"/>
        <v>3.654800335495187</v>
      </c>
      <c r="E621">
        <f t="shared" si="31"/>
        <v>18.898163010408325</v>
      </c>
      <c r="G621" s="39">
        <v>44404</v>
      </c>
      <c r="H621">
        <v>16.078099999999999</v>
      </c>
      <c r="I621">
        <v>28.013400000000001</v>
      </c>
    </row>
    <row r="622" spans="1:9">
      <c r="A622" s="39">
        <v>44349</v>
      </c>
      <c r="B622" s="152">
        <v>15.048500000000001</v>
      </c>
      <c r="C622">
        <f t="shared" si="29"/>
        <v>34.141525685321461</v>
      </c>
      <c r="D622">
        <f t="shared" si="30"/>
        <v>3.654800335495187</v>
      </c>
      <c r="E622">
        <f t="shared" si="31"/>
        <v>18.898163010408325</v>
      </c>
      <c r="G622" s="39">
        <v>44403</v>
      </c>
      <c r="H622">
        <v>16.312100000000001</v>
      </c>
      <c r="I622">
        <v>28.186900000000001</v>
      </c>
    </row>
    <row r="623" spans="1:9">
      <c r="A623" s="39">
        <v>44348</v>
      </c>
      <c r="B623" s="152">
        <v>14.799200000000001</v>
      </c>
      <c r="C623">
        <f t="shared" si="29"/>
        <v>34.141525685321461</v>
      </c>
      <c r="D623">
        <f t="shared" si="30"/>
        <v>3.654800335495187</v>
      </c>
      <c r="E623">
        <f t="shared" si="31"/>
        <v>18.898163010408325</v>
      </c>
      <c r="G623" s="39">
        <v>44400</v>
      </c>
      <c r="H623">
        <v>16.454599999999999</v>
      </c>
      <c r="I623">
        <v>28.271699999999999</v>
      </c>
    </row>
    <row r="624" spans="1:9">
      <c r="A624" s="39">
        <v>44347</v>
      </c>
      <c r="B624" s="152">
        <v>15.016</v>
      </c>
      <c r="C624">
        <f t="shared" si="29"/>
        <v>34.141525685321461</v>
      </c>
      <c r="D624">
        <f t="shared" si="30"/>
        <v>3.654800335495187</v>
      </c>
      <c r="E624">
        <f t="shared" si="31"/>
        <v>18.898163010408325</v>
      </c>
      <c r="G624" s="39">
        <v>44399</v>
      </c>
      <c r="H624">
        <v>16.810700000000001</v>
      </c>
      <c r="I624">
        <v>27.9832</v>
      </c>
    </row>
    <row r="625" spans="1:9">
      <c r="A625" s="39">
        <v>44344</v>
      </c>
      <c r="B625" s="152">
        <v>15.471399999999999</v>
      </c>
      <c r="C625">
        <f t="shared" si="29"/>
        <v>34.141525685321461</v>
      </c>
      <c r="D625">
        <f t="shared" si="30"/>
        <v>3.654800335495187</v>
      </c>
      <c r="E625">
        <f t="shared" si="31"/>
        <v>18.898163010408325</v>
      </c>
      <c r="G625" s="39">
        <v>44398</v>
      </c>
      <c r="H625">
        <v>16.627600000000001</v>
      </c>
      <c r="I625">
        <v>27.779699999999998</v>
      </c>
    </row>
    <row r="626" spans="1:9">
      <c r="A626" s="39">
        <v>44343</v>
      </c>
      <c r="B626" s="152">
        <v>15.438800000000001</v>
      </c>
      <c r="C626">
        <f t="shared" si="29"/>
        <v>34.141525685321461</v>
      </c>
      <c r="D626">
        <f t="shared" si="30"/>
        <v>3.654800335495187</v>
      </c>
      <c r="E626">
        <f t="shared" si="31"/>
        <v>18.898163010408325</v>
      </c>
      <c r="G626" s="39">
        <v>44397</v>
      </c>
      <c r="H626">
        <v>16.749700000000001</v>
      </c>
      <c r="I626">
        <v>27.745200000000001</v>
      </c>
    </row>
    <row r="627" spans="1:9">
      <c r="A627" s="39">
        <v>44342</v>
      </c>
      <c r="B627" s="152">
        <v>15.709899999999999</v>
      </c>
      <c r="C627">
        <f t="shared" si="29"/>
        <v>34.141525685321461</v>
      </c>
      <c r="D627">
        <f t="shared" si="30"/>
        <v>3.654800335495187</v>
      </c>
      <c r="E627">
        <f t="shared" si="31"/>
        <v>18.898163010408325</v>
      </c>
      <c r="G627" s="39">
        <v>44396</v>
      </c>
      <c r="H627">
        <v>15.9254</v>
      </c>
      <c r="I627">
        <v>27.416799999999999</v>
      </c>
    </row>
    <row r="628" spans="1:9">
      <c r="A628" s="39">
        <v>44341</v>
      </c>
      <c r="B628" s="152">
        <v>15.8292</v>
      </c>
      <c r="C628">
        <f t="shared" si="29"/>
        <v>34.141525685321461</v>
      </c>
      <c r="D628">
        <f t="shared" si="30"/>
        <v>3.654800335495187</v>
      </c>
      <c r="E628">
        <f t="shared" si="31"/>
        <v>18.898163010408325</v>
      </c>
      <c r="G628" s="39">
        <v>44393</v>
      </c>
      <c r="H628">
        <v>17.105799999999999</v>
      </c>
      <c r="I628">
        <v>27.604600000000001</v>
      </c>
    </row>
    <row r="629" spans="1:9">
      <c r="A629" s="39">
        <v>44340</v>
      </c>
      <c r="B629" s="152">
        <v>15.8292</v>
      </c>
      <c r="C629">
        <f t="shared" si="29"/>
        <v>34.141525685321461</v>
      </c>
      <c r="D629">
        <f t="shared" si="30"/>
        <v>3.654800335495187</v>
      </c>
      <c r="E629">
        <f t="shared" si="31"/>
        <v>18.898163010408325</v>
      </c>
      <c r="G629" s="39">
        <v>44392</v>
      </c>
      <c r="H629">
        <v>17.004100000000001</v>
      </c>
      <c r="I629">
        <v>27.7227</v>
      </c>
    </row>
    <row r="630" spans="1:9">
      <c r="A630" s="39">
        <v>44337</v>
      </c>
      <c r="B630" s="152">
        <v>15.764099999999999</v>
      </c>
      <c r="C630">
        <f t="shared" si="29"/>
        <v>34.141525685321461</v>
      </c>
      <c r="D630">
        <f t="shared" si="30"/>
        <v>3.654800335495187</v>
      </c>
      <c r="E630">
        <f t="shared" si="31"/>
        <v>18.898163010408325</v>
      </c>
      <c r="G630" s="39">
        <v>44391</v>
      </c>
      <c r="H630">
        <v>16.943000000000001</v>
      </c>
      <c r="I630">
        <v>27.788599999999999</v>
      </c>
    </row>
    <row r="631" spans="1:9">
      <c r="A631" s="39">
        <v>44336</v>
      </c>
      <c r="B631" s="152">
        <v>16.262799999999999</v>
      </c>
      <c r="C631">
        <f t="shared" si="29"/>
        <v>34.141525685321461</v>
      </c>
      <c r="D631">
        <f t="shared" si="30"/>
        <v>3.654800335495187</v>
      </c>
      <c r="E631">
        <f t="shared" si="31"/>
        <v>18.898163010408325</v>
      </c>
      <c r="G631" s="39">
        <v>44390</v>
      </c>
      <c r="H631">
        <v>17.808</v>
      </c>
      <c r="I631">
        <v>27.846599999999999</v>
      </c>
    </row>
    <row r="632" spans="1:9">
      <c r="A632" s="39">
        <v>44335</v>
      </c>
      <c r="B632" s="152">
        <v>15.363</v>
      </c>
      <c r="C632">
        <f t="shared" si="29"/>
        <v>34.141525685321461</v>
      </c>
      <c r="D632">
        <f t="shared" si="30"/>
        <v>3.654800335495187</v>
      </c>
      <c r="E632">
        <f t="shared" si="31"/>
        <v>18.898163010408325</v>
      </c>
      <c r="G632" s="39">
        <v>44389</v>
      </c>
      <c r="H632">
        <v>17.970800000000001</v>
      </c>
      <c r="I632">
        <v>28.0701</v>
      </c>
    </row>
    <row r="633" spans="1:9">
      <c r="A633" s="39">
        <v>44334</v>
      </c>
      <c r="B633" s="152">
        <v>15.363</v>
      </c>
      <c r="C633">
        <f t="shared" si="29"/>
        <v>34.141525685321461</v>
      </c>
      <c r="D633">
        <f t="shared" si="30"/>
        <v>3.654800335495187</v>
      </c>
      <c r="E633">
        <f t="shared" si="31"/>
        <v>18.898163010408325</v>
      </c>
      <c r="G633" s="39">
        <v>44386</v>
      </c>
      <c r="H633">
        <v>17.960599999999999</v>
      </c>
      <c r="I633">
        <v>28.144500000000001</v>
      </c>
    </row>
    <row r="634" spans="1:9">
      <c r="A634" s="39">
        <v>44333</v>
      </c>
      <c r="B634" s="152">
        <v>15.3413</v>
      </c>
      <c r="C634">
        <f t="shared" si="29"/>
        <v>34.141525685321461</v>
      </c>
      <c r="D634">
        <f t="shared" si="30"/>
        <v>3.654800335495187</v>
      </c>
      <c r="E634">
        <f t="shared" si="31"/>
        <v>18.898163010408325</v>
      </c>
      <c r="G634" s="39">
        <v>44385</v>
      </c>
      <c r="H634">
        <v>17.553599999999999</v>
      </c>
      <c r="I634">
        <v>27.7835</v>
      </c>
    </row>
    <row r="635" spans="1:9">
      <c r="A635" s="39">
        <v>44330</v>
      </c>
      <c r="B635" s="152">
        <v>15.4497</v>
      </c>
      <c r="C635">
        <f t="shared" si="29"/>
        <v>34.141525685321461</v>
      </c>
      <c r="D635">
        <f t="shared" si="30"/>
        <v>3.654800335495187</v>
      </c>
      <c r="E635">
        <f t="shared" si="31"/>
        <v>18.898163010408325</v>
      </c>
      <c r="G635" s="39">
        <v>44384</v>
      </c>
      <c r="H635">
        <v>16.8718</v>
      </c>
      <c r="I635">
        <v>27.8858</v>
      </c>
    </row>
    <row r="636" spans="1:9">
      <c r="A636" s="39">
        <v>44329</v>
      </c>
      <c r="B636" s="152">
        <v>15.178599999999999</v>
      </c>
      <c r="C636">
        <f t="shared" si="29"/>
        <v>34.141525685321461</v>
      </c>
      <c r="D636">
        <f t="shared" si="30"/>
        <v>3.654800335495187</v>
      </c>
      <c r="E636">
        <f t="shared" si="31"/>
        <v>18.898163010408325</v>
      </c>
      <c r="G636" s="39">
        <v>44383</v>
      </c>
      <c r="H636">
        <v>15.7728</v>
      </c>
      <c r="I636">
        <v>27.675699999999999</v>
      </c>
    </row>
    <row r="637" spans="1:9">
      <c r="A637" s="39">
        <v>44328</v>
      </c>
      <c r="B637" s="152">
        <v>15.1244</v>
      </c>
      <c r="C637">
        <f t="shared" si="29"/>
        <v>34.141525685321461</v>
      </c>
      <c r="D637">
        <f t="shared" si="30"/>
        <v>3.654800335495187</v>
      </c>
      <c r="E637">
        <f t="shared" si="31"/>
        <v>18.898163010408325</v>
      </c>
      <c r="G637" s="39">
        <v>44382</v>
      </c>
      <c r="H637">
        <v>16.943000000000001</v>
      </c>
      <c r="I637">
        <v>27.5976</v>
      </c>
    </row>
    <row r="638" spans="1:9">
      <c r="A638" s="39">
        <v>44327</v>
      </c>
      <c r="B638" s="152">
        <v>14.9076</v>
      </c>
      <c r="C638">
        <f t="shared" si="29"/>
        <v>34.141525685321461</v>
      </c>
      <c r="D638">
        <f t="shared" si="30"/>
        <v>3.654800335495187</v>
      </c>
      <c r="E638">
        <f t="shared" si="31"/>
        <v>18.898163010408325</v>
      </c>
      <c r="G638" s="39">
        <v>44379</v>
      </c>
      <c r="H638">
        <v>15.9559</v>
      </c>
      <c r="I638">
        <v>27.518599999999999</v>
      </c>
    </row>
    <row r="639" spans="1:9">
      <c r="A639" s="39">
        <v>44326</v>
      </c>
      <c r="B639" s="152">
        <v>14.9726</v>
      </c>
      <c r="C639">
        <f t="shared" si="29"/>
        <v>34.141525685321461</v>
      </c>
      <c r="D639">
        <f t="shared" si="30"/>
        <v>3.654800335495187</v>
      </c>
      <c r="E639">
        <f t="shared" si="31"/>
        <v>18.898163010408325</v>
      </c>
      <c r="G639" s="39">
        <v>44378</v>
      </c>
      <c r="H639">
        <v>15.3759</v>
      </c>
      <c r="I639">
        <v>27.3813</v>
      </c>
    </row>
    <row r="640" spans="1:9">
      <c r="A640" s="39">
        <v>44323</v>
      </c>
      <c r="B640" s="152">
        <v>15.2003</v>
      </c>
      <c r="C640">
        <f t="shared" si="29"/>
        <v>34.141525685321461</v>
      </c>
      <c r="D640">
        <f t="shared" si="30"/>
        <v>3.654800335495187</v>
      </c>
      <c r="E640">
        <f t="shared" si="31"/>
        <v>18.898163010408325</v>
      </c>
      <c r="G640" s="39">
        <v>44377</v>
      </c>
      <c r="H640">
        <v>15.467499999999999</v>
      </c>
      <c r="I640">
        <v>27.3399</v>
      </c>
    </row>
    <row r="641" spans="1:9">
      <c r="A641" s="39">
        <v>44322</v>
      </c>
      <c r="B641" s="152">
        <v>15.3955</v>
      </c>
      <c r="C641">
        <f t="shared" si="29"/>
        <v>34.141525685321461</v>
      </c>
      <c r="D641">
        <f t="shared" si="30"/>
        <v>3.654800335495187</v>
      </c>
      <c r="E641">
        <f t="shared" si="31"/>
        <v>18.898163010408325</v>
      </c>
      <c r="G641" s="39">
        <v>44376</v>
      </c>
      <c r="H641">
        <v>15.9376</v>
      </c>
      <c r="I641">
        <v>27.793700000000001</v>
      </c>
    </row>
    <row r="642" spans="1:9">
      <c r="A642" s="39">
        <v>44321</v>
      </c>
      <c r="B642" s="152">
        <v>15.276199999999999</v>
      </c>
      <c r="C642">
        <f t="shared" si="29"/>
        <v>34.141525685321461</v>
      </c>
      <c r="D642">
        <f t="shared" si="30"/>
        <v>3.654800335495187</v>
      </c>
      <c r="E642">
        <f t="shared" si="31"/>
        <v>18.898163010408325</v>
      </c>
      <c r="G642" s="39">
        <v>44375</v>
      </c>
      <c r="H642">
        <v>15.774900000000001</v>
      </c>
      <c r="I642">
        <v>27.659500000000001</v>
      </c>
    </row>
    <row r="643" spans="1:9">
      <c r="A643" s="39">
        <v>44320</v>
      </c>
      <c r="B643" s="152">
        <v>15.1136</v>
      </c>
      <c r="C643">
        <f t="shared" si="29"/>
        <v>34.141525685321461</v>
      </c>
      <c r="D643">
        <f t="shared" si="30"/>
        <v>3.654800335495187</v>
      </c>
      <c r="E643">
        <f t="shared" si="31"/>
        <v>18.898163010408325</v>
      </c>
      <c r="G643" s="39">
        <v>44372</v>
      </c>
      <c r="H643">
        <v>15.579800000000001</v>
      </c>
      <c r="I643">
        <v>27.8079</v>
      </c>
    </row>
    <row r="644" spans="1:9">
      <c r="A644" s="39">
        <v>44315</v>
      </c>
      <c r="B644" s="152">
        <v>15.276199999999999</v>
      </c>
      <c r="C644">
        <f t="shared" ref="C644:C707" si="32">AVERAGE($B$3:$B$1251)+$C$1</f>
        <v>34.141525685321461</v>
      </c>
      <c r="D644">
        <f t="shared" ref="D644:D707" si="33">AVERAGE($B$3:$B$1251)-$C$1</f>
        <v>3.654800335495187</v>
      </c>
      <c r="E644">
        <f t="shared" ref="E644:E707" si="34">AVERAGE($B$3:$B$1251)</f>
        <v>18.898163010408325</v>
      </c>
      <c r="G644" s="39">
        <v>44371</v>
      </c>
      <c r="H644">
        <v>15.612299999999999</v>
      </c>
      <c r="I644">
        <v>27.7606</v>
      </c>
    </row>
    <row r="645" spans="1:9">
      <c r="A645" s="39">
        <v>44314</v>
      </c>
      <c r="B645" s="152">
        <v>15.178599999999999</v>
      </c>
      <c r="C645">
        <f t="shared" si="32"/>
        <v>34.141525685321461</v>
      </c>
      <c r="D645">
        <f t="shared" si="33"/>
        <v>3.654800335495187</v>
      </c>
      <c r="E645">
        <f t="shared" si="34"/>
        <v>18.898163010408325</v>
      </c>
      <c r="G645" s="39">
        <v>44370</v>
      </c>
      <c r="H645">
        <v>15.612299999999999</v>
      </c>
      <c r="I645">
        <v>27.752300000000002</v>
      </c>
    </row>
    <row r="646" spans="1:9">
      <c r="A646" s="39">
        <v>44313</v>
      </c>
      <c r="B646" s="152">
        <v>15.384600000000001</v>
      </c>
      <c r="C646">
        <f t="shared" si="32"/>
        <v>34.141525685321461</v>
      </c>
      <c r="D646">
        <f t="shared" si="33"/>
        <v>3.654800335495187</v>
      </c>
      <c r="E646">
        <f t="shared" si="34"/>
        <v>18.898163010408325</v>
      </c>
      <c r="G646" s="39">
        <v>44369</v>
      </c>
      <c r="H646">
        <v>15.8292</v>
      </c>
      <c r="I646">
        <v>27.699100000000001</v>
      </c>
    </row>
    <row r="647" spans="1:9">
      <c r="A647" s="39">
        <v>44312</v>
      </c>
      <c r="B647" s="152">
        <v>15.4497</v>
      </c>
      <c r="C647">
        <f t="shared" si="32"/>
        <v>34.141525685321461</v>
      </c>
      <c r="D647">
        <f t="shared" si="33"/>
        <v>3.654800335495187</v>
      </c>
      <c r="E647">
        <f t="shared" si="34"/>
        <v>18.898163010408325</v>
      </c>
      <c r="G647" s="39">
        <v>44368</v>
      </c>
      <c r="H647">
        <v>15.807499999999999</v>
      </c>
      <c r="I647">
        <v>27.326699999999999</v>
      </c>
    </row>
    <row r="648" spans="1:9">
      <c r="A648" s="39">
        <v>44309</v>
      </c>
      <c r="B648" s="152">
        <v>15.9918</v>
      </c>
      <c r="C648">
        <f t="shared" si="32"/>
        <v>34.141525685321461</v>
      </c>
      <c r="D648">
        <f t="shared" si="33"/>
        <v>3.654800335495187</v>
      </c>
      <c r="E648">
        <f t="shared" si="34"/>
        <v>18.898163010408325</v>
      </c>
      <c r="G648" s="39">
        <v>44365</v>
      </c>
      <c r="H648">
        <v>15.287100000000001</v>
      </c>
      <c r="I648">
        <v>27.130199999999999</v>
      </c>
    </row>
    <row r="649" spans="1:9">
      <c r="A649" s="39">
        <v>44308</v>
      </c>
      <c r="B649" s="152">
        <v>15.4497</v>
      </c>
      <c r="C649">
        <f t="shared" si="32"/>
        <v>34.141525685321461</v>
      </c>
      <c r="D649">
        <f t="shared" si="33"/>
        <v>3.654800335495187</v>
      </c>
      <c r="E649">
        <f t="shared" si="34"/>
        <v>18.898163010408325</v>
      </c>
      <c r="G649" s="39">
        <v>44364</v>
      </c>
      <c r="H649">
        <v>15.0702</v>
      </c>
      <c r="I649">
        <v>27.281099999999999</v>
      </c>
    </row>
    <row r="650" spans="1:9">
      <c r="A650" s="39">
        <v>44306</v>
      </c>
      <c r="B650" s="152">
        <v>15.4497</v>
      </c>
      <c r="C650">
        <f t="shared" si="32"/>
        <v>34.141525685321461</v>
      </c>
      <c r="D650">
        <f t="shared" si="33"/>
        <v>3.654800335495187</v>
      </c>
      <c r="E650">
        <f t="shared" si="34"/>
        <v>18.898163010408325</v>
      </c>
      <c r="G650" s="39">
        <v>44363</v>
      </c>
      <c r="H650">
        <v>14.853400000000001</v>
      </c>
      <c r="I650">
        <v>27.125299999999999</v>
      </c>
    </row>
    <row r="651" spans="1:9">
      <c r="A651" s="39">
        <v>44305</v>
      </c>
      <c r="B651" s="152">
        <v>14.896800000000001</v>
      </c>
      <c r="C651">
        <f t="shared" si="32"/>
        <v>34.141525685321461</v>
      </c>
      <c r="D651">
        <f t="shared" si="33"/>
        <v>3.654800335495187</v>
      </c>
      <c r="E651">
        <f t="shared" si="34"/>
        <v>18.898163010408325</v>
      </c>
      <c r="G651" s="39">
        <v>44362</v>
      </c>
      <c r="H651">
        <v>14.951000000000001</v>
      </c>
      <c r="I651">
        <v>27.1007</v>
      </c>
    </row>
    <row r="652" spans="1:9">
      <c r="A652" s="39">
        <v>44302</v>
      </c>
      <c r="B652" s="152">
        <v>14.5281</v>
      </c>
      <c r="C652">
        <f t="shared" si="32"/>
        <v>34.141525685321461</v>
      </c>
      <c r="D652">
        <f t="shared" si="33"/>
        <v>3.654800335495187</v>
      </c>
      <c r="E652">
        <f t="shared" si="34"/>
        <v>18.898163010408325</v>
      </c>
      <c r="G652" s="39">
        <v>44361</v>
      </c>
      <c r="H652">
        <v>14.9726</v>
      </c>
      <c r="I652">
        <v>27.238600000000002</v>
      </c>
    </row>
    <row r="653" spans="1:9">
      <c r="A653" s="39">
        <v>44301</v>
      </c>
      <c r="B653" s="152">
        <v>14.4956</v>
      </c>
      <c r="C653">
        <f t="shared" si="32"/>
        <v>34.141525685321461</v>
      </c>
      <c r="D653">
        <f t="shared" si="33"/>
        <v>3.654800335495187</v>
      </c>
      <c r="E653">
        <f t="shared" si="34"/>
        <v>18.898163010408325</v>
      </c>
      <c r="G653" s="39">
        <v>44358</v>
      </c>
      <c r="H653">
        <v>14.853400000000001</v>
      </c>
      <c r="I653">
        <v>27.3416</v>
      </c>
    </row>
    <row r="654" spans="1:9">
      <c r="A654" s="39">
        <v>44300</v>
      </c>
      <c r="B654" s="152">
        <v>14.6799</v>
      </c>
      <c r="C654">
        <f t="shared" si="32"/>
        <v>34.141525685321461</v>
      </c>
      <c r="D654">
        <f t="shared" si="33"/>
        <v>3.654800335495187</v>
      </c>
      <c r="E654">
        <f t="shared" si="34"/>
        <v>18.898163010408325</v>
      </c>
      <c r="G654" s="39">
        <v>44357</v>
      </c>
      <c r="H654">
        <v>14.6691</v>
      </c>
      <c r="I654">
        <v>27.151299999999999</v>
      </c>
    </row>
    <row r="655" spans="1:9">
      <c r="A655" s="39">
        <v>44299</v>
      </c>
      <c r="B655" s="152">
        <v>14.6257</v>
      </c>
      <c r="C655">
        <f t="shared" si="32"/>
        <v>34.141525685321461</v>
      </c>
      <c r="D655">
        <f t="shared" si="33"/>
        <v>3.654800335495187</v>
      </c>
      <c r="E655">
        <f t="shared" si="34"/>
        <v>18.898163010408325</v>
      </c>
      <c r="G655" s="39">
        <v>44356</v>
      </c>
      <c r="H655">
        <v>14.7883</v>
      </c>
      <c r="I655">
        <v>26.6159</v>
      </c>
    </row>
    <row r="656" spans="1:9">
      <c r="A656" s="39">
        <v>44298</v>
      </c>
      <c r="B656" s="152">
        <v>14.6257</v>
      </c>
      <c r="C656">
        <f t="shared" si="32"/>
        <v>34.141525685321461</v>
      </c>
      <c r="D656">
        <f t="shared" si="33"/>
        <v>3.654800335495187</v>
      </c>
      <c r="E656">
        <f t="shared" si="34"/>
        <v>18.898163010408325</v>
      </c>
      <c r="G656" s="39">
        <v>44355</v>
      </c>
      <c r="H656">
        <v>14.744999999999999</v>
      </c>
      <c r="I656">
        <v>26.338000000000001</v>
      </c>
    </row>
    <row r="657" spans="1:9">
      <c r="A657" s="39">
        <v>44295</v>
      </c>
      <c r="B657" s="152">
        <v>14.452199999999999</v>
      </c>
      <c r="C657">
        <f t="shared" si="32"/>
        <v>34.141525685321461</v>
      </c>
      <c r="D657">
        <f t="shared" si="33"/>
        <v>3.654800335495187</v>
      </c>
      <c r="E657">
        <f t="shared" si="34"/>
        <v>18.898163010408325</v>
      </c>
      <c r="G657" s="39">
        <v>44354</v>
      </c>
      <c r="H657">
        <v>14.755800000000001</v>
      </c>
      <c r="I657">
        <v>26.000900000000001</v>
      </c>
    </row>
    <row r="658" spans="1:9">
      <c r="A658" s="39">
        <v>44294</v>
      </c>
      <c r="B658" s="152">
        <v>14.5281</v>
      </c>
      <c r="C658">
        <f t="shared" si="32"/>
        <v>34.141525685321461</v>
      </c>
      <c r="D658">
        <f t="shared" si="33"/>
        <v>3.654800335495187</v>
      </c>
      <c r="E658">
        <f t="shared" si="34"/>
        <v>18.898163010408325</v>
      </c>
      <c r="G658" s="39">
        <v>44351</v>
      </c>
      <c r="H658">
        <v>14.9076</v>
      </c>
      <c r="I658">
        <v>26.231300000000001</v>
      </c>
    </row>
    <row r="659" spans="1:9">
      <c r="A659" s="39">
        <v>44293</v>
      </c>
      <c r="B659" s="152">
        <v>14.5823</v>
      </c>
      <c r="C659">
        <f t="shared" si="32"/>
        <v>34.141525685321461</v>
      </c>
      <c r="D659">
        <f t="shared" si="33"/>
        <v>3.654800335495187</v>
      </c>
      <c r="E659">
        <f t="shared" si="34"/>
        <v>18.898163010408325</v>
      </c>
      <c r="G659" s="39">
        <v>44350</v>
      </c>
      <c r="H659">
        <v>15.0702</v>
      </c>
      <c r="I659">
        <v>25.910499999999999</v>
      </c>
    </row>
    <row r="660" spans="1:9">
      <c r="A660" s="39">
        <v>44292</v>
      </c>
      <c r="B660" s="152">
        <v>14.452199999999999</v>
      </c>
      <c r="C660">
        <f t="shared" si="32"/>
        <v>34.141525685321461</v>
      </c>
      <c r="D660">
        <f t="shared" si="33"/>
        <v>3.654800335495187</v>
      </c>
      <c r="E660">
        <f t="shared" si="34"/>
        <v>18.898163010408325</v>
      </c>
      <c r="G660" s="39">
        <v>44349</v>
      </c>
      <c r="H660">
        <v>15.048500000000001</v>
      </c>
      <c r="I660">
        <v>25.7744</v>
      </c>
    </row>
    <row r="661" spans="1:9">
      <c r="A661" s="39">
        <v>44291</v>
      </c>
      <c r="B661" s="152">
        <v>14.539</v>
      </c>
      <c r="C661">
        <f t="shared" si="32"/>
        <v>34.141525685321461</v>
      </c>
      <c r="D661">
        <f t="shared" si="33"/>
        <v>3.654800335495187</v>
      </c>
      <c r="E661">
        <f t="shared" si="34"/>
        <v>18.898163010408325</v>
      </c>
      <c r="G661" s="39">
        <v>44348</v>
      </c>
      <c r="H661">
        <v>14.799200000000001</v>
      </c>
      <c r="I661">
        <v>25.799900000000001</v>
      </c>
    </row>
    <row r="662" spans="1:9">
      <c r="A662" s="39">
        <v>44288</v>
      </c>
      <c r="B662" s="152">
        <v>14.6149</v>
      </c>
      <c r="C662">
        <f t="shared" si="32"/>
        <v>34.141525685321461</v>
      </c>
      <c r="D662">
        <f t="shared" si="33"/>
        <v>3.654800335495187</v>
      </c>
      <c r="E662">
        <f t="shared" si="34"/>
        <v>18.898163010408325</v>
      </c>
      <c r="G662" s="39">
        <v>44347</v>
      </c>
      <c r="H662">
        <v>15.016</v>
      </c>
      <c r="I662">
        <v>25.8047</v>
      </c>
    </row>
    <row r="663" spans="1:9">
      <c r="A663" s="39">
        <v>44287</v>
      </c>
      <c r="B663" s="152">
        <v>14.560700000000001</v>
      </c>
      <c r="C663">
        <f t="shared" si="32"/>
        <v>34.141525685321461</v>
      </c>
      <c r="D663">
        <f t="shared" si="33"/>
        <v>3.654800335495187</v>
      </c>
      <c r="E663">
        <f t="shared" si="34"/>
        <v>18.898163010408325</v>
      </c>
      <c r="G663" s="39">
        <v>44344</v>
      </c>
      <c r="H663">
        <v>15.471399999999999</v>
      </c>
      <c r="I663">
        <v>25.877700000000001</v>
      </c>
    </row>
    <row r="664" spans="1:9">
      <c r="A664" s="39">
        <v>44286</v>
      </c>
      <c r="B664" s="152">
        <v>14.0619</v>
      </c>
      <c r="C664">
        <f t="shared" si="32"/>
        <v>34.141525685321461</v>
      </c>
      <c r="D664">
        <f t="shared" si="33"/>
        <v>3.654800335495187</v>
      </c>
      <c r="E664">
        <f t="shared" si="34"/>
        <v>18.898163010408325</v>
      </c>
      <c r="G664" s="39">
        <v>44343</v>
      </c>
      <c r="H664">
        <v>15.438800000000001</v>
      </c>
      <c r="I664">
        <v>26.0352</v>
      </c>
    </row>
    <row r="665" spans="1:9">
      <c r="A665" s="39">
        <v>44285</v>
      </c>
      <c r="B665" s="152">
        <v>14.6731</v>
      </c>
      <c r="C665">
        <f t="shared" si="32"/>
        <v>34.141525685321461</v>
      </c>
      <c r="D665">
        <f t="shared" si="33"/>
        <v>3.654800335495187</v>
      </c>
      <c r="E665">
        <f t="shared" si="34"/>
        <v>18.898163010408325</v>
      </c>
      <c r="G665" s="39">
        <v>44342</v>
      </c>
      <c r="H665">
        <v>15.709899999999999</v>
      </c>
      <c r="I665">
        <v>26.085000000000001</v>
      </c>
    </row>
    <row r="666" spans="1:9">
      <c r="A666" s="39">
        <v>44284</v>
      </c>
      <c r="B666" s="152">
        <v>14.7525</v>
      </c>
      <c r="C666">
        <f t="shared" si="32"/>
        <v>34.141525685321461</v>
      </c>
      <c r="D666">
        <f t="shared" si="33"/>
        <v>3.654800335495187</v>
      </c>
      <c r="E666">
        <f t="shared" si="34"/>
        <v>18.898163010408325</v>
      </c>
      <c r="G666" s="39">
        <v>44341</v>
      </c>
      <c r="H666">
        <v>15.8292</v>
      </c>
      <c r="I666">
        <v>25.924700000000001</v>
      </c>
    </row>
    <row r="667" spans="1:9">
      <c r="A667" s="39">
        <v>44281</v>
      </c>
      <c r="B667" s="152">
        <v>14.741199999999999</v>
      </c>
      <c r="C667">
        <f t="shared" si="32"/>
        <v>34.141525685321461</v>
      </c>
      <c r="D667">
        <f t="shared" si="33"/>
        <v>3.654800335495187</v>
      </c>
      <c r="E667">
        <f t="shared" si="34"/>
        <v>18.898163010408325</v>
      </c>
      <c r="G667" s="39">
        <v>44340</v>
      </c>
      <c r="H667">
        <v>15.8292</v>
      </c>
      <c r="I667">
        <v>25.7667</v>
      </c>
    </row>
    <row r="668" spans="1:9">
      <c r="A668" s="39">
        <v>44280</v>
      </c>
      <c r="B668" s="152">
        <v>14.6051</v>
      </c>
      <c r="C668">
        <f t="shared" si="32"/>
        <v>34.141525685321461</v>
      </c>
      <c r="D668">
        <f t="shared" si="33"/>
        <v>3.654800335495187</v>
      </c>
      <c r="E668">
        <f t="shared" si="34"/>
        <v>18.898163010408325</v>
      </c>
      <c r="G668" s="39">
        <v>44337</v>
      </c>
      <c r="H668">
        <v>15.764099999999999</v>
      </c>
      <c r="I668">
        <v>25.885200000000001</v>
      </c>
    </row>
    <row r="669" spans="1:9">
      <c r="A669" s="39">
        <v>44279</v>
      </c>
      <c r="B669" s="152">
        <v>14.729799999999999</v>
      </c>
      <c r="C669">
        <f t="shared" si="32"/>
        <v>34.141525685321461</v>
      </c>
      <c r="D669">
        <f t="shared" si="33"/>
        <v>3.654800335495187</v>
      </c>
      <c r="E669">
        <f t="shared" si="34"/>
        <v>18.898163010408325</v>
      </c>
      <c r="G669" s="39">
        <v>44336</v>
      </c>
      <c r="H669">
        <v>16.262799999999999</v>
      </c>
      <c r="I669">
        <v>26.033300000000001</v>
      </c>
    </row>
    <row r="670" spans="1:9">
      <c r="A670" s="39">
        <v>44278</v>
      </c>
      <c r="B670" s="152">
        <v>14.8546</v>
      </c>
      <c r="C670">
        <f t="shared" si="32"/>
        <v>34.141525685321461</v>
      </c>
      <c r="D670">
        <f t="shared" si="33"/>
        <v>3.654800335495187</v>
      </c>
      <c r="E670">
        <f t="shared" si="34"/>
        <v>18.898163010408325</v>
      </c>
      <c r="G670" s="39">
        <v>44335</v>
      </c>
      <c r="H670">
        <v>15.363</v>
      </c>
      <c r="I670">
        <v>25.799800000000001</v>
      </c>
    </row>
    <row r="671" spans="1:9">
      <c r="A671" s="39">
        <v>44277</v>
      </c>
      <c r="B671" s="152">
        <v>14.9566</v>
      </c>
      <c r="C671">
        <f t="shared" si="32"/>
        <v>34.141525685321461</v>
      </c>
      <c r="D671">
        <f t="shared" si="33"/>
        <v>3.654800335495187</v>
      </c>
      <c r="E671">
        <f t="shared" si="34"/>
        <v>18.898163010408325</v>
      </c>
      <c r="G671" s="39">
        <v>44334</v>
      </c>
      <c r="H671">
        <v>15.363</v>
      </c>
      <c r="I671">
        <v>25.8489</v>
      </c>
    </row>
    <row r="672" spans="1:9">
      <c r="A672" s="39">
        <v>44274</v>
      </c>
      <c r="B672" s="152">
        <v>15.0814</v>
      </c>
      <c r="C672">
        <f t="shared" si="32"/>
        <v>34.141525685321461</v>
      </c>
      <c r="D672">
        <f t="shared" si="33"/>
        <v>3.654800335495187</v>
      </c>
      <c r="E672">
        <f t="shared" si="34"/>
        <v>18.898163010408325</v>
      </c>
      <c r="G672" s="39">
        <v>44333</v>
      </c>
      <c r="H672">
        <v>15.3413</v>
      </c>
      <c r="I672">
        <v>25.6709</v>
      </c>
    </row>
    <row r="673" spans="1:9">
      <c r="A673" s="39">
        <v>44273</v>
      </c>
      <c r="B673" s="152">
        <v>15.1494</v>
      </c>
      <c r="C673">
        <f t="shared" si="32"/>
        <v>34.141525685321461</v>
      </c>
      <c r="D673">
        <f t="shared" si="33"/>
        <v>3.654800335495187</v>
      </c>
      <c r="E673">
        <f t="shared" si="34"/>
        <v>18.898163010408325</v>
      </c>
      <c r="G673" s="39">
        <v>44330</v>
      </c>
      <c r="H673">
        <v>15.4497</v>
      </c>
      <c r="I673">
        <v>25.831299999999999</v>
      </c>
    </row>
    <row r="674" spans="1:9">
      <c r="A674" s="39">
        <v>44272</v>
      </c>
      <c r="B674" s="152">
        <v>15.0587</v>
      </c>
      <c r="C674">
        <f t="shared" si="32"/>
        <v>34.141525685321461</v>
      </c>
      <c r="D674">
        <f t="shared" si="33"/>
        <v>3.654800335495187</v>
      </c>
      <c r="E674">
        <f t="shared" si="34"/>
        <v>18.898163010408325</v>
      </c>
      <c r="G674" s="39">
        <v>44329</v>
      </c>
      <c r="H674">
        <v>15.178599999999999</v>
      </c>
      <c r="I674">
        <v>25.593499999999999</v>
      </c>
    </row>
    <row r="675" spans="1:9">
      <c r="A675" s="39">
        <v>44271</v>
      </c>
      <c r="B675" s="152">
        <v>15.103999999999999</v>
      </c>
      <c r="C675">
        <f t="shared" si="32"/>
        <v>34.141525685321461</v>
      </c>
      <c r="D675">
        <f t="shared" si="33"/>
        <v>3.654800335495187</v>
      </c>
      <c r="E675">
        <f t="shared" si="34"/>
        <v>18.898163010408325</v>
      </c>
      <c r="G675" s="39">
        <v>44328</v>
      </c>
      <c r="H675">
        <v>15.1244</v>
      </c>
      <c r="I675">
        <v>25.553899999999999</v>
      </c>
    </row>
    <row r="676" spans="1:9">
      <c r="A676" s="39">
        <v>44270</v>
      </c>
      <c r="B676" s="152">
        <v>15.0473</v>
      </c>
      <c r="C676">
        <f t="shared" si="32"/>
        <v>34.141525685321461</v>
      </c>
      <c r="D676">
        <f t="shared" si="33"/>
        <v>3.654800335495187</v>
      </c>
      <c r="E676">
        <f t="shared" si="34"/>
        <v>18.898163010408325</v>
      </c>
      <c r="G676" s="39">
        <v>44327</v>
      </c>
      <c r="H676">
        <v>14.9076</v>
      </c>
      <c r="I676">
        <v>26.111000000000001</v>
      </c>
    </row>
    <row r="677" spans="1:9">
      <c r="A677" s="39">
        <v>44267</v>
      </c>
      <c r="B677" s="152">
        <v>14.8659</v>
      </c>
      <c r="C677">
        <f t="shared" si="32"/>
        <v>34.141525685321461</v>
      </c>
      <c r="D677">
        <f t="shared" si="33"/>
        <v>3.654800335495187</v>
      </c>
      <c r="E677">
        <f t="shared" si="34"/>
        <v>18.898163010408325</v>
      </c>
      <c r="G677" s="39">
        <v>44326</v>
      </c>
      <c r="H677">
        <v>14.9726</v>
      </c>
      <c r="I677">
        <v>26.545400000000001</v>
      </c>
    </row>
    <row r="678" spans="1:9">
      <c r="A678" s="39">
        <v>44266</v>
      </c>
      <c r="B678" s="152">
        <v>15.024699999999999</v>
      </c>
      <c r="C678">
        <f t="shared" si="32"/>
        <v>34.141525685321461</v>
      </c>
      <c r="D678">
        <f t="shared" si="33"/>
        <v>3.654800335495187</v>
      </c>
      <c r="E678">
        <f t="shared" si="34"/>
        <v>18.898163010408325</v>
      </c>
      <c r="G678" s="39">
        <v>44323</v>
      </c>
      <c r="H678">
        <v>15.2003</v>
      </c>
      <c r="I678">
        <v>26.732700000000001</v>
      </c>
    </row>
    <row r="679" spans="1:9">
      <c r="A679" s="39">
        <v>44265</v>
      </c>
      <c r="B679" s="152">
        <v>14.7979</v>
      </c>
      <c r="C679">
        <f t="shared" si="32"/>
        <v>34.141525685321461</v>
      </c>
      <c r="D679">
        <f t="shared" si="33"/>
        <v>3.654800335495187</v>
      </c>
      <c r="E679">
        <f t="shared" si="34"/>
        <v>18.898163010408325</v>
      </c>
      <c r="G679" s="39">
        <v>44322</v>
      </c>
      <c r="H679">
        <v>15.3955</v>
      </c>
      <c r="I679">
        <v>26.877700000000001</v>
      </c>
    </row>
    <row r="680" spans="1:9">
      <c r="A680" s="39">
        <v>44264</v>
      </c>
      <c r="B680" s="152">
        <v>14.525700000000001</v>
      </c>
      <c r="C680">
        <f t="shared" si="32"/>
        <v>34.141525685321461</v>
      </c>
      <c r="D680">
        <f t="shared" si="33"/>
        <v>3.654800335495187</v>
      </c>
      <c r="E680">
        <f t="shared" si="34"/>
        <v>18.898163010408325</v>
      </c>
      <c r="G680" s="39">
        <v>44321</v>
      </c>
      <c r="H680">
        <v>15.276199999999999</v>
      </c>
      <c r="I680">
        <v>26.793099999999999</v>
      </c>
    </row>
    <row r="681" spans="1:9">
      <c r="A681" s="39">
        <v>44263</v>
      </c>
      <c r="B681" s="152">
        <v>14.831899999999999</v>
      </c>
      <c r="C681">
        <f t="shared" si="32"/>
        <v>34.141525685321461</v>
      </c>
      <c r="D681">
        <f t="shared" si="33"/>
        <v>3.654800335495187</v>
      </c>
      <c r="E681">
        <f t="shared" si="34"/>
        <v>18.898163010408325</v>
      </c>
      <c r="G681" s="39">
        <v>44320</v>
      </c>
      <c r="H681">
        <v>15.1136</v>
      </c>
      <c r="I681">
        <v>26.8277</v>
      </c>
    </row>
    <row r="682" spans="1:9">
      <c r="A682" s="39">
        <v>44260</v>
      </c>
      <c r="B682" s="152">
        <v>14.990600000000001</v>
      </c>
      <c r="C682">
        <f t="shared" si="32"/>
        <v>34.141525685321461</v>
      </c>
      <c r="D682">
        <f t="shared" si="33"/>
        <v>3.654800335495187</v>
      </c>
      <c r="E682">
        <f t="shared" si="34"/>
        <v>18.898163010408325</v>
      </c>
      <c r="G682" s="39">
        <v>44319</v>
      </c>
      <c r="I682">
        <v>27.0731</v>
      </c>
    </row>
    <row r="683" spans="1:9">
      <c r="A683" s="39">
        <v>44259</v>
      </c>
      <c r="B683" s="152">
        <v>15.0587</v>
      </c>
      <c r="C683">
        <f t="shared" si="32"/>
        <v>34.141525685321461</v>
      </c>
      <c r="D683">
        <f t="shared" si="33"/>
        <v>3.654800335495187</v>
      </c>
      <c r="E683">
        <f t="shared" si="34"/>
        <v>18.898163010408325</v>
      </c>
      <c r="G683" s="39">
        <v>44316</v>
      </c>
      <c r="I683">
        <v>27.0137</v>
      </c>
    </row>
    <row r="684" spans="1:9">
      <c r="A684" s="39">
        <v>44258</v>
      </c>
      <c r="B684" s="152">
        <v>15.4442</v>
      </c>
      <c r="C684">
        <f t="shared" si="32"/>
        <v>34.141525685321461</v>
      </c>
      <c r="D684">
        <f t="shared" si="33"/>
        <v>3.654800335495187</v>
      </c>
      <c r="E684">
        <f t="shared" si="34"/>
        <v>18.898163010408325</v>
      </c>
      <c r="G684" s="39">
        <v>44315</v>
      </c>
      <c r="H684">
        <v>15.276199999999999</v>
      </c>
      <c r="I684">
        <v>31.8386</v>
      </c>
    </row>
    <row r="685" spans="1:9">
      <c r="A685" s="39">
        <v>44257</v>
      </c>
      <c r="B685" s="152">
        <v>15.398899999999999</v>
      </c>
      <c r="C685">
        <f t="shared" si="32"/>
        <v>34.141525685321461</v>
      </c>
      <c r="D685">
        <f t="shared" si="33"/>
        <v>3.654800335495187</v>
      </c>
      <c r="E685">
        <f t="shared" si="34"/>
        <v>18.898163010408325</v>
      </c>
      <c r="G685" s="39">
        <v>44314</v>
      </c>
      <c r="H685">
        <v>15.178599999999999</v>
      </c>
      <c r="I685">
        <v>31.3855</v>
      </c>
    </row>
    <row r="686" spans="1:9">
      <c r="A686" s="39">
        <v>44256</v>
      </c>
      <c r="B686" s="152">
        <v>15.285500000000001</v>
      </c>
      <c r="C686">
        <f t="shared" si="32"/>
        <v>34.141525685321461</v>
      </c>
      <c r="D686">
        <f t="shared" si="33"/>
        <v>3.654800335495187</v>
      </c>
      <c r="E686">
        <f t="shared" si="34"/>
        <v>18.898163010408325</v>
      </c>
      <c r="G686" s="39">
        <v>44313</v>
      </c>
      <c r="H686">
        <v>15.384600000000001</v>
      </c>
      <c r="I686">
        <v>31.506699999999999</v>
      </c>
    </row>
    <row r="687" spans="1:9">
      <c r="A687" s="39">
        <v>44253</v>
      </c>
      <c r="B687" s="152">
        <v>15.3081</v>
      </c>
      <c r="C687">
        <f t="shared" si="32"/>
        <v>34.141525685321461</v>
      </c>
      <c r="D687">
        <f t="shared" si="33"/>
        <v>3.654800335495187</v>
      </c>
      <c r="E687">
        <f t="shared" si="34"/>
        <v>18.898163010408325</v>
      </c>
      <c r="G687" s="39">
        <v>44312</v>
      </c>
      <c r="H687">
        <v>15.4497</v>
      </c>
      <c r="I687">
        <v>31.311900000000001</v>
      </c>
    </row>
    <row r="688" spans="1:9">
      <c r="A688" s="39">
        <v>44252</v>
      </c>
      <c r="B688" s="152">
        <v>15.387499999999999</v>
      </c>
      <c r="C688">
        <f t="shared" si="32"/>
        <v>34.141525685321461</v>
      </c>
      <c r="D688">
        <f t="shared" si="33"/>
        <v>3.654800335495187</v>
      </c>
      <c r="E688">
        <f t="shared" si="34"/>
        <v>18.898163010408325</v>
      </c>
      <c r="G688" s="39">
        <v>44309</v>
      </c>
      <c r="H688">
        <v>15.9918</v>
      </c>
      <c r="I688">
        <v>31.613800000000001</v>
      </c>
    </row>
    <row r="689" spans="1:9">
      <c r="A689" s="39">
        <v>44251</v>
      </c>
      <c r="B689" s="152">
        <v>15.1721</v>
      </c>
      <c r="C689">
        <f t="shared" si="32"/>
        <v>34.141525685321461</v>
      </c>
      <c r="D689">
        <f t="shared" si="33"/>
        <v>3.654800335495187</v>
      </c>
      <c r="E689">
        <f t="shared" si="34"/>
        <v>18.898163010408325</v>
      </c>
      <c r="G689" s="39">
        <v>44308</v>
      </c>
      <c r="H689">
        <v>15.4497</v>
      </c>
      <c r="I689">
        <v>31.549199999999999</v>
      </c>
    </row>
    <row r="690" spans="1:9">
      <c r="A690" s="39">
        <v>44250</v>
      </c>
      <c r="B690" s="152">
        <v>15.4442</v>
      </c>
      <c r="C690">
        <f t="shared" si="32"/>
        <v>34.141525685321461</v>
      </c>
      <c r="D690">
        <f t="shared" si="33"/>
        <v>3.654800335495187</v>
      </c>
      <c r="E690">
        <f t="shared" si="34"/>
        <v>18.898163010408325</v>
      </c>
      <c r="G690" s="39">
        <v>44307</v>
      </c>
      <c r="I690">
        <v>31.604500000000002</v>
      </c>
    </row>
    <row r="691" spans="1:9">
      <c r="A691" s="39">
        <v>44249</v>
      </c>
      <c r="B691" s="152">
        <v>15.5349</v>
      </c>
      <c r="C691">
        <f t="shared" si="32"/>
        <v>34.141525685321461</v>
      </c>
      <c r="D691">
        <f t="shared" si="33"/>
        <v>3.654800335495187</v>
      </c>
      <c r="E691">
        <f t="shared" si="34"/>
        <v>18.898163010408325</v>
      </c>
      <c r="G691" s="39">
        <v>44306</v>
      </c>
      <c r="H691">
        <v>15.4497</v>
      </c>
      <c r="I691">
        <v>31.445799999999998</v>
      </c>
    </row>
    <row r="692" spans="1:9">
      <c r="A692" s="39">
        <v>44246</v>
      </c>
      <c r="B692" s="152">
        <v>15.603</v>
      </c>
      <c r="C692">
        <f t="shared" si="32"/>
        <v>34.141525685321461</v>
      </c>
      <c r="D692">
        <f t="shared" si="33"/>
        <v>3.654800335495187</v>
      </c>
      <c r="E692">
        <f t="shared" si="34"/>
        <v>18.898163010408325</v>
      </c>
      <c r="G692" s="39">
        <v>44305</v>
      </c>
      <c r="H692">
        <v>14.896800000000001</v>
      </c>
      <c r="I692">
        <v>31.523700000000002</v>
      </c>
    </row>
    <row r="693" spans="1:9">
      <c r="A693" s="39">
        <v>44245</v>
      </c>
      <c r="B693" s="152">
        <v>15.8184</v>
      </c>
      <c r="C693">
        <f t="shared" si="32"/>
        <v>34.141525685321461</v>
      </c>
      <c r="D693">
        <f t="shared" si="33"/>
        <v>3.654800335495187</v>
      </c>
      <c r="E693">
        <f t="shared" si="34"/>
        <v>18.898163010408325</v>
      </c>
      <c r="G693" s="39">
        <v>44302</v>
      </c>
      <c r="H693">
        <v>14.5281</v>
      </c>
      <c r="I693">
        <v>31.902699999999999</v>
      </c>
    </row>
    <row r="694" spans="1:9">
      <c r="A694" s="39">
        <v>44244</v>
      </c>
      <c r="B694" s="152">
        <v>15.648300000000001</v>
      </c>
      <c r="C694">
        <f t="shared" si="32"/>
        <v>34.141525685321461</v>
      </c>
      <c r="D694">
        <f t="shared" si="33"/>
        <v>3.654800335495187</v>
      </c>
      <c r="E694">
        <f t="shared" si="34"/>
        <v>18.898163010408325</v>
      </c>
      <c r="G694" s="39">
        <v>44301</v>
      </c>
      <c r="H694">
        <v>14.4956</v>
      </c>
      <c r="I694">
        <v>31.636299999999999</v>
      </c>
    </row>
    <row r="695" spans="1:9">
      <c r="A695" s="39">
        <v>44236</v>
      </c>
      <c r="B695" s="152">
        <v>14.6845</v>
      </c>
      <c r="C695">
        <f t="shared" si="32"/>
        <v>34.141525685321461</v>
      </c>
      <c r="D695">
        <f t="shared" si="33"/>
        <v>3.654800335495187</v>
      </c>
      <c r="E695">
        <f t="shared" si="34"/>
        <v>18.898163010408325</v>
      </c>
      <c r="G695" s="39">
        <v>44300</v>
      </c>
      <c r="H695">
        <v>14.6799</v>
      </c>
      <c r="I695">
        <v>31.4771</v>
      </c>
    </row>
    <row r="696" spans="1:9">
      <c r="A696" s="39">
        <v>44235</v>
      </c>
      <c r="B696" s="152">
        <v>14.571099999999999</v>
      </c>
      <c r="C696">
        <f t="shared" si="32"/>
        <v>34.141525685321461</v>
      </c>
      <c r="D696">
        <f t="shared" si="33"/>
        <v>3.654800335495187</v>
      </c>
      <c r="E696">
        <f t="shared" si="34"/>
        <v>18.898163010408325</v>
      </c>
      <c r="G696" s="39">
        <v>44299</v>
      </c>
      <c r="H696">
        <v>14.6257</v>
      </c>
      <c r="I696">
        <v>31.6538</v>
      </c>
    </row>
    <row r="697" spans="1:9">
      <c r="A697" s="39">
        <v>44232</v>
      </c>
      <c r="B697" s="152">
        <v>14.7979</v>
      </c>
      <c r="C697">
        <f t="shared" si="32"/>
        <v>34.141525685321461</v>
      </c>
      <c r="D697">
        <f t="shared" si="33"/>
        <v>3.654800335495187</v>
      </c>
      <c r="E697">
        <f t="shared" si="34"/>
        <v>18.898163010408325</v>
      </c>
      <c r="G697" s="39">
        <v>44298</v>
      </c>
      <c r="H697">
        <v>14.6257</v>
      </c>
      <c r="I697">
        <v>31.496300000000002</v>
      </c>
    </row>
    <row r="698" spans="1:9">
      <c r="A698" s="39">
        <v>44231</v>
      </c>
      <c r="B698" s="152">
        <v>14.571099999999999</v>
      </c>
      <c r="C698">
        <f t="shared" si="32"/>
        <v>34.141525685321461</v>
      </c>
      <c r="D698">
        <f t="shared" si="33"/>
        <v>3.654800335495187</v>
      </c>
      <c r="E698">
        <f t="shared" si="34"/>
        <v>18.898163010408325</v>
      </c>
      <c r="G698" s="39">
        <v>44295</v>
      </c>
      <c r="H698">
        <v>14.452199999999999</v>
      </c>
      <c r="I698">
        <v>31.8003</v>
      </c>
    </row>
    <row r="699" spans="1:9">
      <c r="A699" s="39">
        <v>44230</v>
      </c>
      <c r="B699" s="152">
        <v>14.457700000000001</v>
      </c>
      <c r="C699">
        <f t="shared" si="32"/>
        <v>34.141525685321461</v>
      </c>
      <c r="D699">
        <f t="shared" si="33"/>
        <v>3.654800335495187</v>
      </c>
      <c r="E699">
        <f t="shared" si="34"/>
        <v>18.898163010408325</v>
      </c>
      <c r="G699" s="39">
        <v>44294</v>
      </c>
      <c r="H699">
        <v>14.5281</v>
      </c>
      <c r="I699">
        <v>31.610900000000001</v>
      </c>
    </row>
    <row r="700" spans="1:9">
      <c r="A700" s="39">
        <v>44229</v>
      </c>
      <c r="B700" s="152">
        <v>14.5144</v>
      </c>
      <c r="C700">
        <f t="shared" si="32"/>
        <v>34.141525685321461</v>
      </c>
      <c r="D700">
        <f t="shared" si="33"/>
        <v>3.654800335495187</v>
      </c>
      <c r="E700">
        <f t="shared" si="34"/>
        <v>18.898163010408325</v>
      </c>
      <c r="G700" s="39">
        <v>44293</v>
      </c>
      <c r="H700">
        <v>14.5823</v>
      </c>
      <c r="I700">
        <v>31.4192</v>
      </c>
    </row>
    <row r="701" spans="1:9">
      <c r="A701" s="39">
        <v>44228</v>
      </c>
      <c r="B701" s="152">
        <v>14.0268</v>
      </c>
      <c r="C701">
        <f t="shared" si="32"/>
        <v>34.141525685321461</v>
      </c>
      <c r="D701">
        <f t="shared" si="33"/>
        <v>3.654800335495187</v>
      </c>
      <c r="E701">
        <f t="shared" si="34"/>
        <v>18.898163010408325</v>
      </c>
      <c r="G701" s="39">
        <v>44292</v>
      </c>
      <c r="H701">
        <v>14.452199999999999</v>
      </c>
      <c r="I701">
        <v>31.4085</v>
      </c>
    </row>
    <row r="702" spans="1:9">
      <c r="A702" s="39">
        <v>44225</v>
      </c>
      <c r="B702" s="152">
        <v>15.0473</v>
      </c>
      <c r="C702">
        <f t="shared" si="32"/>
        <v>34.141525685321461</v>
      </c>
      <c r="D702">
        <f t="shared" si="33"/>
        <v>3.654800335495187</v>
      </c>
      <c r="E702">
        <f t="shared" si="34"/>
        <v>18.898163010408325</v>
      </c>
      <c r="G702" s="39">
        <v>44291</v>
      </c>
      <c r="H702">
        <v>14.539</v>
      </c>
      <c r="I702">
        <v>31.4864</v>
      </c>
    </row>
    <row r="703" spans="1:9">
      <c r="A703" s="39">
        <v>44224</v>
      </c>
      <c r="B703" s="152">
        <v>14.083500000000001</v>
      </c>
      <c r="C703">
        <f t="shared" si="32"/>
        <v>34.141525685321461</v>
      </c>
      <c r="D703">
        <f t="shared" si="33"/>
        <v>3.654800335495187</v>
      </c>
      <c r="E703">
        <f t="shared" si="34"/>
        <v>18.898163010408325</v>
      </c>
      <c r="G703" s="39">
        <v>44288</v>
      </c>
      <c r="H703">
        <v>14.6149</v>
      </c>
      <c r="I703">
        <v>31.179300000000001</v>
      </c>
    </row>
    <row r="704" spans="1:9">
      <c r="A704" s="39">
        <v>44223</v>
      </c>
      <c r="B704" s="152">
        <v>15.138</v>
      </c>
      <c r="C704">
        <f t="shared" si="32"/>
        <v>34.141525685321461</v>
      </c>
      <c r="D704">
        <f t="shared" si="33"/>
        <v>3.654800335495187</v>
      </c>
      <c r="E704">
        <f t="shared" si="34"/>
        <v>18.898163010408325</v>
      </c>
      <c r="G704" s="39">
        <v>44287</v>
      </c>
      <c r="H704">
        <v>14.560700000000001</v>
      </c>
      <c r="I704">
        <v>31.2348</v>
      </c>
    </row>
    <row r="705" spans="1:9">
      <c r="A705" s="39">
        <v>44222</v>
      </c>
      <c r="B705" s="152">
        <v>14.968</v>
      </c>
      <c r="C705">
        <f t="shared" si="32"/>
        <v>34.141525685321461</v>
      </c>
      <c r="D705">
        <f t="shared" si="33"/>
        <v>3.654800335495187</v>
      </c>
      <c r="E705">
        <f t="shared" si="34"/>
        <v>18.898163010408325</v>
      </c>
      <c r="G705" s="39">
        <v>44286</v>
      </c>
      <c r="H705">
        <v>14.0619</v>
      </c>
      <c r="I705">
        <v>30.951499999999999</v>
      </c>
    </row>
    <row r="706" spans="1:9">
      <c r="A706" s="39">
        <v>44221</v>
      </c>
      <c r="B706" s="152">
        <v>14.968</v>
      </c>
      <c r="C706">
        <f t="shared" si="32"/>
        <v>34.141525685321461</v>
      </c>
      <c r="D706">
        <f t="shared" si="33"/>
        <v>3.654800335495187</v>
      </c>
      <c r="E706">
        <f t="shared" si="34"/>
        <v>18.898163010408325</v>
      </c>
      <c r="G706" s="39">
        <v>44285</v>
      </c>
      <c r="H706">
        <v>14.6731</v>
      </c>
      <c r="I706">
        <v>30.3264</v>
      </c>
    </row>
    <row r="707" spans="1:9">
      <c r="A707" s="39">
        <v>44218</v>
      </c>
      <c r="B707" s="152">
        <v>14.4237</v>
      </c>
      <c r="C707">
        <f t="shared" si="32"/>
        <v>34.141525685321461</v>
      </c>
      <c r="D707">
        <f t="shared" si="33"/>
        <v>3.654800335495187</v>
      </c>
      <c r="E707">
        <f t="shared" si="34"/>
        <v>18.898163010408325</v>
      </c>
      <c r="G707" s="39">
        <v>44284</v>
      </c>
      <c r="H707">
        <v>14.7525</v>
      </c>
      <c r="I707">
        <v>30.613800000000001</v>
      </c>
    </row>
    <row r="708" spans="1:9">
      <c r="A708" s="39">
        <v>44217</v>
      </c>
      <c r="B708" s="152">
        <v>14.174200000000001</v>
      </c>
      <c r="C708">
        <f t="shared" ref="C708:C771" si="35">AVERAGE($B$3:$B$1251)+$C$1</f>
        <v>34.141525685321461</v>
      </c>
      <c r="D708">
        <f t="shared" ref="D708:D771" si="36">AVERAGE($B$3:$B$1251)-$C$1</f>
        <v>3.654800335495187</v>
      </c>
      <c r="E708">
        <f t="shared" ref="E708:E771" si="37">AVERAGE($B$3:$B$1251)</f>
        <v>18.898163010408325</v>
      </c>
      <c r="G708" s="39">
        <v>44281</v>
      </c>
      <c r="H708">
        <v>14.741199999999999</v>
      </c>
      <c r="I708">
        <v>30.7455</v>
      </c>
    </row>
    <row r="709" spans="1:9">
      <c r="A709" s="39">
        <v>44216</v>
      </c>
      <c r="B709" s="152">
        <v>13.9247</v>
      </c>
      <c r="C709">
        <f t="shared" si="35"/>
        <v>34.141525685321461</v>
      </c>
      <c r="D709">
        <f t="shared" si="36"/>
        <v>3.654800335495187</v>
      </c>
      <c r="E709">
        <f t="shared" si="37"/>
        <v>18.898163010408325</v>
      </c>
      <c r="G709" s="39">
        <v>44280</v>
      </c>
      <c r="H709">
        <v>14.6051</v>
      </c>
      <c r="I709">
        <v>30.223199999999999</v>
      </c>
    </row>
    <row r="710" spans="1:9">
      <c r="A710" s="39">
        <v>44215</v>
      </c>
      <c r="B710" s="152">
        <v>13.607200000000001</v>
      </c>
      <c r="C710">
        <f t="shared" si="35"/>
        <v>34.141525685321461</v>
      </c>
      <c r="D710">
        <f t="shared" si="36"/>
        <v>3.654800335495187</v>
      </c>
      <c r="E710">
        <f t="shared" si="37"/>
        <v>18.898163010408325</v>
      </c>
      <c r="G710" s="39">
        <v>44279</v>
      </c>
      <c r="H710">
        <v>14.729799999999999</v>
      </c>
      <c r="I710">
        <v>29.911899999999999</v>
      </c>
    </row>
    <row r="711" spans="1:9">
      <c r="A711" s="39">
        <v>44214</v>
      </c>
      <c r="B711" s="152">
        <v>14.333</v>
      </c>
      <c r="C711">
        <f t="shared" si="35"/>
        <v>34.141525685321461</v>
      </c>
      <c r="D711">
        <f t="shared" si="36"/>
        <v>3.654800335495187</v>
      </c>
      <c r="E711">
        <f t="shared" si="37"/>
        <v>18.898163010408325</v>
      </c>
      <c r="G711" s="39">
        <v>44278</v>
      </c>
      <c r="H711">
        <v>14.8546</v>
      </c>
      <c r="I711">
        <v>30.082699999999999</v>
      </c>
    </row>
    <row r="712" spans="1:9">
      <c r="A712" s="39">
        <v>44211</v>
      </c>
      <c r="B712" s="152">
        <v>14.4917</v>
      </c>
      <c r="C712">
        <f t="shared" si="35"/>
        <v>34.141525685321461</v>
      </c>
      <c r="D712">
        <f t="shared" si="36"/>
        <v>3.654800335495187</v>
      </c>
      <c r="E712">
        <f t="shared" si="37"/>
        <v>18.898163010408325</v>
      </c>
      <c r="G712" s="39">
        <v>44277</v>
      </c>
      <c r="H712">
        <v>14.9566</v>
      </c>
      <c r="I712">
        <v>30.287299999999998</v>
      </c>
    </row>
    <row r="713" spans="1:9">
      <c r="A713" s="39">
        <v>44210</v>
      </c>
      <c r="B713" s="152">
        <v>14.503</v>
      </c>
      <c r="C713">
        <f t="shared" si="35"/>
        <v>34.141525685321461</v>
      </c>
      <c r="D713">
        <f t="shared" si="36"/>
        <v>3.654800335495187</v>
      </c>
      <c r="E713">
        <f t="shared" si="37"/>
        <v>18.898163010408325</v>
      </c>
      <c r="G713" s="39">
        <v>44274</v>
      </c>
      <c r="H713">
        <v>15.0814</v>
      </c>
      <c r="I713">
        <v>30.111899999999999</v>
      </c>
    </row>
    <row r="714" spans="1:9">
      <c r="A714" s="39">
        <v>44209</v>
      </c>
      <c r="B714" s="152">
        <v>14.3103</v>
      </c>
      <c r="C714">
        <f t="shared" si="35"/>
        <v>34.141525685321461</v>
      </c>
      <c r="D714">
        <f t="shared" si="36"/>
        <v>3.654800335495187</v>
      </c>
      <c r="E714">
        <f t="shared" si="37"/>
        <v>18.898163010408325</v>
      </c>
      <c r="G714" s="39">
        <v>44273</v>
      </c>
      <c r="H714">
        <v>15.1494</v>
      </c>
      <c r="I714">
        <v>29.388100000000001</v>
      </c>
    </row>
    <row r="715" spans="1:9">
      <c r="A715" s="39">
        <v>44208</v>
      </c>
      <c r="B715" s="152">
        <v>14.3103</v>
      </c>
      <c r="C715">
        <f t="shared" si="35"/>
        <v>34.141525685321461</v>
      </c>
      <c r="D715">
        <f t="shared" si="36"/>
        <v>3.654800335495187</v>
      </c>
      <c r="E715">
        <f t="shared" si="37"/>
        <v>18.898163010408325</v>
      </c>
      <c r="G715" s="39">
        <v>44272</v>
      </c>
      <c r="H715">
        <v>15.0587</v>
      </c>
      <c r="I715">
        <v>29.979700000000001</v>
      </c>
    </row>
    <row r="716" spans="1:9">
      <c r="A716" s="39">
        <v>44207</v>
      </c>
      <c r="B716" s="152">
        <v>14.3103</v>
      </c>
      <c r="C716">
        <f t="shared" si="35"/>
        <v>34.141525685321461</v>
      </c>
      <c r="D716">
        <f t="shared" si="36"/>
        <v>3.654800335495187</v>
      </c>
      <c r="E716">
        <f t="shared" si="37"/>
        <v>18.898163010408325</v>
      </c>
      <c r="G716" s="39">
        <v>44271</v>
      </c>
      <c r="H716">
        <v>15.103999999999999</v>
      </c>
      <c r="I716">
        <v>30.11</v>
      </c>
    </row>
    <row r="717" spans="1:9">
      <c r="A717" s="39">
        <v>44204</v>
      </c>
      <c r="B717" s="152">
        <v>13.811299999999999</v>
      </c>
      <c r="C717">
        <f t="shared" si="35"/>
        <v>34.141525685321461</v>
      </c>
      <c r="D717">
        <f t="shared" si="36"/>
        <v>3.654800335495187</v>
      </c>
      <c r="E717">
        <f t="shared" si="37"/>
        <v>18.898163010408325</v>
      </c>
      <c r="G717" s="39">
        <v>44270</v>
      </c>
      <c r="H717">
        <v>15.0473</v>
      </c>
      <c r="I717">
        <v>30.2776</v>
      </c>
    </row>
    <row r="718" spans="1:9">
      <c r="A718" s="39">
        <v>44203</v>
      </c>
      <c r="B718" s="152">
        <v>13.697900000000001</v>
      </c>
      <c r="C718">
        <f t="shared" si="35"/>
        <v>34.141525685321461</v>
      </c>
      <c r="D718">
        <f t="shared" si="36"/>
        <v>3.654800335495187</v>
      </c>
      <c r="E718">
        <f t="shared" si="37"/>
        <v>18.898163010408325</v>
      </c>
      <c r="G718" s="39">
        <v>44267</v>
      </c>
      <c r="H718">
        <v>14.8659</v>
      </c>
      <c r="I718">
        <v>29.895800000000001</v>
      </c>
    </row>
    <row r="719" spans="1:9">
      <c r="A719" s="39">
        <v>44202</v>
      </c>
      <c r="B719" s="152">
        <v>13.7546</v>
      </c>
      <c r="C719">
        <f t="shared" si="35"/>
        <v>34.141525685321461</v>
      </c>
      <c r="D719">
        <f t="shared" si="36"/>
        <v>3.654800335495187</v>
      </c>
      <c r="E719">
        <f t="shared" si="37"/>
        <v>18.898163010408325</v>
      </c>
      <c r="G719" s="39">
        <v>44266</v>
      </c>
      <c r="H719">
        <v>15.024699999999999</v>
      </c>
      <c r="I719">
        <v>29.8873</v>
      </c>
    </row>
    <row r="720" spans="1:9">
      <c r="A720" s="39">
        <v>44201</v>
      </c>
      <c r="B720" s="152">
        <v>13.822699999999999</v>
      </c>
      <c r="C720">
        <f t="shared" si="35"/>
        <v>34.141525685321461</v>
      </c>
      <c r="D720">
        <f t="shared" si="36"/>
        <v>3.654800335495187</v>
      </c>
      <c r="E720">
        <f t="shared" si="37"/>
        <v>18.898163010408325</v>
      </c>
      <c r="G720" s="39">
        <v>44265</v>
      </c>
      <c r="H720">
        <v>14.7979</v>
      </c>
      <c r="I720">
        <v>29.4788</v>
      </c>
    </row>
    <row r="721" spans="1:9">
      <c r="A721" s="39">
        <v>44200</v>
      </c>
      <c r="B721" s="152">
        <v>13.6753</v>
      </c>
      <c r="C721">
        <f t="shared" si="35"/>
        <v>34.141525685321461</v>
      </c>
      <c r="D721">
        <f t="shared" si="36"/>
        <v>3.654800335495187</v>
      </c>
      <c r="E721">
        <f t="shared" si="37"/>
        <v>18.898163010408325</v>
      </c>
      <c r="G721" s="39">
        <v>44264</v>
      </c>
      <c r="H721">
        <v>14.525700000000001</v>
      </c>
      <c r="I721">
        <v>28.944800000000001</v>
      </c>
    </row>
    <row r="722" spans="1:9">
      <c r="A722" s="39">
        <v>44196</v>
      </c>
      <c r="B722" s="152">
        <v>13.4825</v>
      </c>
      <c r="C722">
        <f t="shared" si="35"/>
        <v>34.141525685321461</v>
      </c>
      <c r="D722">
        <f t="shared" si="36"/>
        <v>3.654800335495187</v>
      </c>
      <c r="E722">
        <f t="shared" si="37"/>
        <v>18.898163010408325</v>
      </c>
      <c r="G722" s="39">
        <v>44263</v>
      </c>
      <c r="H722">
        <v>14.831899999999999</v>
      </c>
      <c r="I722">
        <v>29.003</v>
      </c>
    </row>
    <row r="723" spans="1:9">
      <c r="A723" s="39">
        <v>44195</v>
      </c>
      <c r="B723" s="152">
        <v>13.514200000000001</v>
      </c>
      <c r="C723">
        <f t="shared" si="35"/>
        <v>34.141525685321461</v>
      </c>
      <c r="D723">
        <f t="shared" si="36"/>
        <v>3.654800335495187</v>
      </c>
      <c r="E723">
        <f t="shared" si="37"/>
        <v>18.898163010408325</v>
      </c>
      <c r="G723" s="39">
        <v>44260</v>
      </c>
      <c r="H723">
        <v>14.990600000000001</v>
      </c>
      <c r="I723">
        <v>28.782399999999999</v>
      </c>
    </row>
    <row r="724" spans="1:9">
      <c r="A724" s="39">
        <v>44194</v>
      </c>
      <c r="B724" s="152">
        <v>13.502700000000001</v>
      </c>
      <c r="C724">
        <f t="shared" si="35"/>
        <v>34.141525685321461</v>
      </c>
      <c r="D724">
        <f t="shared" si="36"/>
        <v>3.654800335495187</v>
      </c>
      <c r="E724">
        <f t="shared" si="37"/>
        <v>18.898163010408325</v>
      </c>
      <c r="G724" s="39">
        <v>44259</v>
      </c>
      <c r="H724">
        <v>15.0587</v>
      </c>
      <c r="I724">
        <v>28.513500000000001</v>
      </c>
    </row>
    <row r="725" spans="1:9">
      <c r="A725" s="39">
        <v>44193</v>
      </c>
      <c r="B725" s="152">
        <v>13.514200000000001</v>
      </c>
      <c r="C725">
        <f t="shared" si="35"/>
        <v>34.141525685321461</v>
      </c>
      <c r="D725">
        <f t="shared" si="36"/>
        <v>3.654800335495187</v>
      </c>
      <c r="E725">
        <f t="shared" si="37"/>
        <v>18.898163010408325</v>
      </c>
      <c r="G725" s="39">
        <v>44258</v>
      </c>
      <c r="H725">
        <v>15.4442</v>
      </c>
      <c r="I725">
        <v>29.159800000000001</v>
      </c>
    </row>
    <row r="726" spans="1:9">
      <c r="A726" s="39">
        <v>44190</v>
      </c>
      <c r="B726" s="152">
        <v>13.6525</v>
      </c>
      <c r="C726">
        <f t="shared" si="35"/>
        <v>34.141525685321461</v>
      </c>
      <c r="D726">
        <f t="shared" si="36"/>
        <v>3.654800335495187</v>
      </c>
      <c r="E726">
        <f t="shared" si="37"/>
        <v>18.898163010408325</v>
      </c>
      <c r="G726" s="39">
        <v>44257</v>
      </c>
      <c r="H726">
        <v>15.398899999999999</v>
      </c>
      <c r="I726">
        <v>29.317799999999998</v>
      </c>
    </row>
    <row r="727" spans="1:9">
      <c r="A727" s="39">
        <v>44189</v>
      </c>
      <c r="B727" s="152">
        <v>13.4451</v>
      </c>
      <c r="C727">
        <f t="shared" si="35"/>
        <v>34.141525685321461</v>
      </c>
      <c r="D727">
        <f t="shared" si="36"/>
        <v>3.654800335495187</v>
      </c>
      <c r="E727">
        <f t="shared" si="37"/>
        <v>18.898163010408325</v>
      </c>
      <c r="G727" s="39">
        <v>44256</v>
      </c>
      <c r="H727">
        <v>15.285500000000001</v>
      </c>
      <c r="I727">
        <v>29.725200000000001</v>
      </c>
    </row>
    <row r="728" spans="1:9">
      <c r="A728" s="39">
        <v>44188</v>
      </c>
      <c r="B728" s="152">
        <v>13.606400000000001</v>
      </c>
      <c r="C728">
        <f t="shared" si="35"/>
        <v>34.141525685321461</v>
      </c>
      <c r="D728">
        <f t="shared" si="36"/>
        <v>3.654800335495187</v>
      </c>
      <c r="E728">
        <f t="shared" si="37"/>
        <v>18.898163010408325</v>
      </c>
      <c r="G728" s="39">
        <v>44253</v>
      </c>
      <c r="H728">
        <v>15.3081</v>
      </c>
      <c r="I728">
        <v>29.095600000000001</v>
      </c>
    </row>
    <row r="729" spans="1:9">
      <c r="A729" s="39">
        <v>44187</v>
      </c>
      <c r="B729" s="152">
        <v>13.813800000000001</v>
      </c>
      <c r="C729">
        <f t="shared" si="35"/>
        <v>34.141525685321461</v>
      </c>
      <c r="D729">
        <f t="shared" si="36"/>
        <v>3.654800335495187</v>
      </c>
      <c r="E729">
        <f t="shared" si="37"/>
        <v>18.898163010408325</v>
      </c>
      <c r="G729" s="39">
        <v>44252</v>
      </c>
      <c r="H729">
        <v>15.387499999999999</v>
      </c>
      <c r="I729">
        <v>29.116700000000002</v>
      </c>
    </row>
    <row r="730" spans="1:9">
      <c r="A730" s="39">
        <v>44186</v>
      </c>
      <c r="B730" s="152">
        <v>13.387499999999999</v>
      </c>
      <c r="C730">
        <f t="shared" si="35"/>
        <v>34.141525685321461</v>
      </c>
      <c r="D730">
        <f t="shared" si="36"/>
        <v>3.654800335495187</v>
      </c>
      <c r="E730">
        <f t="shared" si="37"/>
        <v>18.898163010408325</v>
      </c>
      <c r="G730" s="39">
        <v>44251</v>
      </c>
      <c r="H730">
        <v>15.1721</v>
      </c>
      <c r="I730">
        <v>29.679400000000001</v>
      </c>
    </row>
    <row r="731" spans="1:9">
      <c r="A731" s="39">
        <v>44183</v>
      </c>
      <c r="B731" s="152">
        <v>13.2492</v>
      </c>
      <c r="C731">
        <f t="shared" si="35"/>
        <v>34.141525685321461</v>
      </c>
      <c r="D731">
        <f t="shared" si="36"/>
        <v>3.654800335495187</v>
      </c>
      <c r="E731">
        <f t="shared" si="37"/>
        <v>18.898163010408325</v>
      </c>
      <c r="G731" s="39">
        <v>44250</v>
      </c>
      <c r="H731">
        <v>15.4442</v>
      </c>
      <c r="I731">
        <v>29.068200000000001</v>
      </c>
    </row>
    <row r="732" spans="1:9">
      <c r="A732" s="39">
        <v>44182</v>
      </c>
      <c r="B732" s="152">
        <v>13.0764</v>
      </c>
      <c r="C732">
        <f t="shared" si="35"/>
        <v>34.141525685321461</v>
      </c>
      <c r="D732">
        <f t="shared" si="36"/>
        <v>3.654800335495187</v>
      </c>
      <c r="E732">
        <f t="shared" si="37"/>
        <v>18.898163010408325</v>
      </c>
      <c r="G732" s="39">
        <v>44249</v>
      </c>
      <c r="H732">
        <v>15.5349</v>
      </c>
      <c r="I732">
        <v>29.2685</v>
      </c>
    </row>
    <row r="733" spans="1:9">
      <c r="A733" s="39">
        <v>44181</v>
      </c>
      <c r="B733" s="152">
        <v>13.306800000000001</v>
      </c>
      <c r="C733">
        <f t="shared" si="35"/>
        <v>34.141525685321461</v>
      </c>
      <c r="D733">
        <f t="shared" si="36"/>
        <v>3.654800335495187</v>
      </c>
      <c r="E733">
        <f t="shared" si="37"/>
        <v>18.898163010408325</v>
      </c>
      <c r="G733" s="39">
        <v>44246</v>
      </c>
      <c r="H733">
        <v>15.603</v>
      </c>
      <c r="I733">
        <v>29.3949</v>
      </c>
    </row>
    <row r="734" spans="1:9">
      <c r="A734" s="39">
        <v>44180</v>
      </c>
      <c r="B734" s="152">
        <v>13.283799999999999</v>
      </c>
      <c r="C734">
        <f t="shared" si="35"/>
        <v>34.141525685321461</v>
      </c>
      <c r="D734">
        <f t="shared" si="36"/>
        <v>3.654800335495187</v>
      </c>
      <c r="E734">
        <f t="shared" si="37"/>
        <v>18.898163010408325</v>
      </c>
      <c r="G734" s="39">
        <v>44245</v>
      </c>
      <c r="H734">
        <v>15.8184</v>
      </c>
      <c r="I734">
        <v>29.4345</v>
      </c>
    </row>
    <row r="735" spans="1:9">
      <c r="A735" s="39">
        <v>44179</v>
      </c>
      <c r="B735" s="152">
        <v>13.3299</v>
      </c>
      <c r="C735">
        <f t="shared" si="35"/>
        <v>34.141525685321461</v>
      </c>
      <c r="D735">
        <f t="shared" si="36"/>
        <v>3.654800335495187</v>
      </c>
      <c r="E735">
        <f t="shared" si="37"/>
        <v>18.898163010408325</v>
      </c>
      <c r="G735" s="39">
        <v>44244</v>
      </c>
      <c r="H735">
        <v>15.648300000000001</v>
      </c>
      <c r="I735">
        <v>29.5884</v>
      </c>
    </row>
    <row r="736" spans="1:9">
      <c r="A736" s="39">
        <v>44176</v>
      </c>
      <c r="B736" s="152">
        <v>13.1686</v>
      </c>
      <c r="C736">
        <f t="shared" si="35"/>
        <v>34.141525685321461</v>
      </c>
      <c r="D736">
        <f t="shared" si="36"/>
        <v>3.654800335495187</v>
      </c>
      <c r="E736">
        <f t="shared" si="37"/>
        <v>18.898163010408325</v>
      </c>
      <c r="G736" s="39">
        <v>44243</v>
      </c>
      <c r="I736">
        <v>29.401599999999998</v>
      </c>
    </row>
    <row r="737" spans="1:9">
      <c r="A737" s="39">
        <v>44175</v>
      </c>
      <c r="B737" s="152">
        <v>13.111000000000001</v>
      </c>
      <c r="C737">
        <f t="shared" si="35"/>
        <v>34.141525685321461</v>
      </c>
      <c r="D737">
        <f t="shared" si="36"/>
        <v>3.654800335495187</v>
      </c>
      <c r="E737">
        <f t="shared" si="37"/>
        <v>18.898163010408325</v>
      </c>
      <c r="G737" s="39">
        <v>44242</v>
      </c>
      <c r="I737">
        <v>29.268000000000001</v>
      </c>
    </row>
    <row r="738" spans="1:9">
      <c r="A738" s="39">
        <v>44174</v>
      </c>
      <c r="B738" s="152">
        <v>13.2492</v>
      </c>
      <c r="C738">
        <f t="shared" si="35"/>
        <v>34.141525685321461</v>
      </c>
      <c r="D738">
        <f t="shared" si="36"/>
        <v>3.654800335495187</v>
      </c>
      <c r="E738">
        <f t="shared" si="37"/>
        <v>18.898163010408325</v>
      </c>
      <c r="G738" s="39">
        <v>44239</v>
      </c>
      <c r="I738">
        <v>29.327100000000002</v>
      </c>
    </row>
    <row r="739" spans="1:9">
      <c r="A739" s="39">
        <v>44173</v>
      </c>
      <c r="B739" s="152">
        <v>13.191599999999999</v>
      </c>
      <c r="C739">
        <f t="shared" si="35"/>
        <v>34.141525685321461</v>
      </c>
      <c r="D739">
        <f t="shared" si="36"/>
        <v>3.654800335495187</v>
      </c>
      <c r="E739">
        <f t="shared" si="37"/>
        <v>18.898163010408325</v>
      </c>
      <c r="G739" s="39">
        <v>44238</v>
      </c>
      <c r="I739">
        <v>29.180299999999999</v>
      </c>
    </row>
    <row r="740" spans="1:9">
      <c r="A740" s="39">
        <v>44172</v>
      </c>
      <c r="B740" s="152">
        <v>13.1686</v>
      </c>
      <c r="C740">
        <f t="shared" si="35"/>
        <v>34.141525685321461</v>
      </c>
      <c r="D740">
        <f t="shared" si="36"/>
        <v>3.654800335495187</v>
      </c>
      <c r="E740">
        <f t="shared" si="37"/>
        <v>18.898163010408325</v>
      </c>
      <c r="G740" s="39">
        <v>44237</v>
      </c>
      <c r="I740">
        <v>29.389299999999999</v>
      </c>
    </row>
    <row r="741" spans="1:9">
      <c r="A741" s="39">
        <v>44169</v>
      </c>
      <c r="B741" s="152">
        <v>13.1225</v>
      </c>
      <c r="C741">
        <f t="shared" si="35"/>
        <v>34.141525685321461</v>
      </c>
      <c r="D741">
        <f t="shared" si="36"/>
        <v>3.654800335495187</v>
      </c>
      <c r="E741">
        <f t="shared" si="37"/>
        <v>18.898163010408325</v>
      </c>
      <c r="G741" s="39">
        <v>44236</v>
      </c>
      <c r="H741">
        <v>14.6845</v>
      </c>
      <c r="I741">
        <v>29.5261</v>
      </c>
    </row>
    <row r="742" spans="1:9">
      <c r="A742" s="39">
        <v>44168</v>
      </c>
      <c r="B742" s="152">
        <v>13.214700000000001</v>
      </c>
      <c r="C742">
        <f t="shared" si="35"/>
        <v>34.141525685321461</v>
      </c>
      <c r="D742">
        <f t="shared" si="36"/>
        <v>3.654800335495187</v>
      </c>
      <c r="E742">
        <f t="shared" si="37"/>
        <v>18.898163010408325</v>
      </c>
      <c r="G742" s="39">
        <v>44235</v>
      </c>
      <c r="H742">
        <v>14.571099999999999</v>
      </c>
      <c r="I742">
        <v>29.457000000000001</v>
      </c>
    </row>
    <row r="743" spans="1:9">
      <c r="A743" s="39">
        <v>44167</v>
      </c>
      <c r="B743" s="152">
        <v>13.134</v>
      </c>
      <c r="C743">
        <f t="shared" si="35"/>
        <v>34.141525685321461</v>
      </c>
      <c r="D743">
        <f t="shared" si="36"/>
        <v>3.654800335495187</v>
      </c>
      <c r="E743">
        <f t="shared" si="37"/>
        <v>18.898163010408325</v>
      </c>
      <c r="G743" s="39">
        <v>44232</v>
      </c>
      <c r="H743">
        <v>14.7979</v>
      </c>
      <c r="I743">
        <v>29.2334</v>
      </c>
    </row>
    <row r="744" spans="1:9">
      <c r="A744" s="39">
        <v>44166</v>
      </c>
      <c r="B744" s="152">
        <v>13.3644</v>
      </c>
      <c r="C744">
        <f t="shared" si="35"/>
        <v>34.141525685321461</v>
      </c>
      <c r="D744">
        <f t="shared" si="36"/>
        <v>3.654800335495187</v>
      </c>
      <c r="E744">
        <f t="shared" si="37"/>
        <v>18.898163010408325</v>
      </c>
      <c r="G744" s="39">
        <v>44231</v>
      </c>
      <c r="H744">
        <v>14.571099999999999</v>
      </c>
      <c r="I744">
        <v>29.027200000000001</v>
      </c>
    </row>
    <row r="745" spans="1:9">
      <c r="A745" s="39">
        <v>44165</v>
      </c>
      <c r="B745" s="152">
        <v>13.3644</v>
      </c>
      <c r="C745">
        <f t="shared" si="35"/>
        <v>34.141525685321461</v>
      </c>
      <c r="D745">
        <f t="shared" si="36"/>
        <v>3.654800335495187</v>
      </c>
      <c r="E745">
        <f t="shared" si="37"/>
        <v>18.898163010408325</v>
      </c>
      <c r="G745" s="39">
        <v>44230</v>
      </c>
      <c r="H745">
        <v>14.457700000000001</v>
      </c>
      <c r="I745">
        <v>28.7407</v>
      </c>
    </row>
    <row r="746" spans="1:9">
      <c r="A746" s="39">
        <v>44162</v>
      </c>
      <c r="B746" s="152">
        <v>13.306800000000001</v>
      </c>
      <c r="C746">
        <f t="shared" si="35"/>
        <v>34.141525685321461</v>
      </c>
      <c r="D746">
        <f t="shared" si="36"/>
        <v>3.654800335495187</v>
      </c>
      <c r="E746">
        <f t="shared" si="37"/>
        <v>18.898163010408325</v>
      </c>
      <c r="G746" s="39">
        <v>44229</v>
      </c>
      <c r="H746">
        <v>14.5144</v>
      </c>
      <c r="I746">
        <v>28.7287</v>
      </c>
    </row>
    <row r="747" spans="1:9">
      <c r="A747" s="39">
        <v>44161</v>
      </c>
      <c r="B747" s="152">
        <v>12.995799999999999</v>
      </c>
      <c r="C747">
        <f t="shared" si="35"/>
        <v>34.141525685321461</v>
      </c>
      <c r="D747">
        <f t="shared" si="36"/>
        <v>3.654800335495187</v>
      </c>
      <c r="E747">
        <f t="shared" si="37"/>
        <v>18.898163010408325</v>
      </c>
      <c r="G747" s="39">
        <v>44228</v>
      </c>
      <c r="H747">
        <v>14.0268</v>
      </c>
      <c r="I747">
        <v>28.08</v>
      </c>
    </row>
    <row r="748" spans="1:9">
      <c r="A748" s="39">
        <v>44160</v>
      </c>
      <c r="B748" s="152">
        <v>12.903600000000001</v>
      </c>
      <c r="C748">
        <f t="shared" si="35"/>
        <v>34.141525685321461</v>
      </c>
      <c r="D748">
        <f t="shared" si="36"/>
        <v>3.654800335495187</v>
      </c>
      <c r="E748">
        <f t="shared" si="37"/>
        <v>18.898163010408325</v>
      </c>
      <c r="G748" s="39">
        <v>44225</v>
      </c>
      <c r="H748">
        <v>15.0473</v>
      </c>
      <c r="I748">
        <v>28.2804</v>
      </c>
    </row>
    <row r="749" spans="1:9">
      <c r="A749" s="39">
        <v>44159</v>
      </c>
      <c r="B749" s="152">
        <v>12.903600000000001</v>
      </c>
      <c r="C749">
        <f t="shared" si="35"/>
        <v>34.141525685321461</v>
      </c>
      <c r="D749">
        <f t="shared" si="36"/>
        <v>3.654800335495187</v>
      </c>
      <c r="E749">
        <f t="shared" si="37"/>
        <v>18.898163010408325</v>
      </c>
      <c r="G749" s="39">
        <v>44224</v>
      </c>
      <c r="H749">
        <v>14.083500000000001</v>
      </c>
      <c r="I749">
        <v>30.046399999999998</v>
      </c>
    </row>
    <row r="750" spans="1:9">
      <c r="A750" s="39">
        <v>44158</v>
      </c>
      <c r="B750" s="152">
        <v>13.0419</v>
      </c>
      <c r="C750">
        <f t="shared" si="35"/>
        <v>34.141525685321461</v>
      </c>
      <c r="D750">
        <f t="shared" si="36"/>
        <v>3.654800335495187</v>
      </c>
      <c r="E750">
        <f t="shared" si="37"/>
        <v>18.898163010408325</v>
      </c>
      <c r="G750" s="39">
        <v>44223</v>
      </c>
      <c r="H750">
        <v>15.138</v>
      </c>
      <c r="I750">
        <v>30.127600000000001</v>
      </c>
    </row>
    <row r="751" spans="1:9">
      <c r="A751" s="39">
        <v>44155</v>
      </c>
      <c r="B751" s="152">
        <v>12.7654</v>
      </c>
      <c r="C751">
        <f t="shared" si="35"/>
        <v>34.141525685321461</v>
      </c>
      <c r="D751">
        <f t="shared" si="36"/>
        <v>3.654800335495187</v>
      </c>
      <c r="E751">
        <f t="shared" si="37"/>
        <v>18.898163010408325</v>
      </c>
      <c r="G751" s="39">
        <v>44222</v>
      </c>
      <c r="H751">
        <v>14.968</v>
      </c>
      <c r="I751">
        <v>30.829499999999999</v>
      </c>
    </row>
    <row r="752" spans="1:9">
      <c r="A752" s="39">
        <v>44154</v>
      </c>
      <c r="B752" s="152">
        <v>12.903600000000001</v>
      </c>
      <c r="C752">
        <f t="shared" si="35"/>
        <v>34.141525685321461</v>
      </c>
      <c r="D752">
        <f t="shared" si="36"/>
        <v>3.654800335495187</v>
      </c>
      <c r="E752">
        <f t="shared" si="37"/>
        <v>18.898163010408325</v>
      </c>
      <c r="G752" s="39">
        <v>44221</v>
      </c>
      <c r="H752">
        <v>14.968</v>
      </c>
      <c r="I752">
        <v>30.943999999999999</v>
      </c>
    </row>
    <row r="753" spans="1:9">
      <c r="A753" s="39">
        <v>44153</v>
      </c>
      <c r="B753" s="152">
        <v>12.7423</v>
      </c>
      <c r="C753">
        <f t="shared" si="35"/>
        <v>34.141525685321461</v>
      </c>
      <c r="D753">
        <f t="shared" si="36"/>
        <v>3.654800335495187</v>
      </c>
      <c r="E753">
        <f t="shared" si="37"/>
        <v>18.898163010408325</v>
      </c>
      <c r="G753" s="39">
        <v>44218</v>
      </c>
      <c r="H753">
        <v>14.4237</v>
      </c>
      <c r="I753">
        <v>30.895900000000001</v>
      </c>
    </row>
    <row r="754" spans="1:9">
      <c r="A754" s="39">
        <v>44152</v>
      </c>
      <c r="B754" s="152">
        <v>12.903600000000001</v>
      </c>
      <c r="C754">
        <f t="shared" si="35"/>
        <v>34.141525685321461</v>
      </c>
      <c r="D754">
        <f t="shared" si="36"/>
        <v>3.654800335495187</v>
      </c>
      <c r="E754">
        <f t="shared" si="37"/>
        <v>18.898163010408325</v>
      </c>
      <c r="G754" s="39">
        <v>44217</v>
      </c>
      <c r="H754">
        <v>14.174200000000001</v>
      </c>
      <c r="I754">
        <v>30.812100000000001</v>
      </c>
    </row>
    <row r="755" spans="1:9">
      <c r="A755" s="39">
        <v>44151</v>
      </c>
      <c r="B755" s="152">
        <v>12.6386</v>
      </c>
      <c r="C755">
        <f t="shared" si="35"/>
        <v>34.141525685321461</v>
      </c>
      <c r="D755">
        <f t="shared" si="36"/>
        <v>3.654800335495187</v>
      </c>
      <c r="E755">
        <f t="shared" si="37"/>
        <v>18.898163010408325</v>
      </c>
      <c r="G755" s="39">
        <v>44216</v>
      </c>
      <c r="H755">
        <v>13.9247</v>
      </c>
      <c r="I755">
        <v>30.503499999999999</v>
      </c>
    </row>
    <row r="756" spans="1:9">
      <c r="A756" s="39">
        <v>44148</v>
      </c>
      <c r="B756" s="152">
        <v>12.799899999999999</v>
      </c>
      <c r="C756">
        <f t="shared" si="35"/>
        <v>34.141525685321461</v>
      </c>
      <c r="D756">
        <f t="shared" si="36"/>
        <v>3.654800335495187</v>
      </c>
      <c r="E756">
        <f t="shared" si="37"/>
        <v>18.898163010408325</v>
      </c>
      <c r="G756" s="39">
        <v>44215</v>
      </c>
      <c r="H756">
        <v>13.607200000000001</v>
      </c>
      <c r="I756">
        <v>30.359000000000002</v>
      </c>
    </row>
    <row r="757" spans="1:9">
      <c r="A757" s="39">
        <v>44147</v>
      </c>
      <c r="B757" s="152">
        <v>12.799899999999999</v>
      </c>
      <c r="C757">
        <f t="shared" si="35"/>
        <v>34.141525685321461</v>
      </c>
      <c r="D757">
        <f t="shared" si="36"/>
        <v>3.654800335495187</v>
      </c>
      <c r="E757">
        <f t="shared" si="37"/>
        <v>18.898163010408325</v>
      </c>
      <c r="G757" s="39">
        <v>44214</v>
      </c>
      <c r="H757">
        <v>14.333</v>
      </c>
      <c r="I757">
        <v>30.898499999999999</v>
      </c>
    </row>
    <row r="758" spans="1:9">
      <c r="A758" s="39">
        <v>44146</v>
      </c>
      <c r="B758" s="152">
        <v>12.4428</v>
      </c>
      <c r="C758">
        <f t="shared" si="35"/>
        <v>34.141525685321461</v>
      </c>
      <c r="D758">
        <f t="shared" si="36"/>
        <v>3.654800335495187</v>
      </c>
      <c r="E758">
        <f t="shared" si="37"/>
        <v>18.898163010408325</v>
      </c>
      <c r="G758" s="39">
        <v>44211</v>
      </c>
      <c r="H758">
        <v>14.4917</v>
      </c>
      <c r="I758">
        <v>31.020199999999999</v>
      </c>
    </row>
    <row r="759" spans="1:9">
      <c r="A759" s="39">
        <v>44145</v>
      </c>
      <c r="B759" s="152">
        <v>12.212300000000001</v>
      </c>
      <c r="C759">
        <f t="shared" si="35"/>
        <v>34.141525685321461</v>
      </c>
      <c r="D759">
        <f t="shared" si="36"/>
        <v>3.654800335495187</v>
      </c>
      <c r="E759">
        <f t="shared" si="37"/>
        <v>18.898163010408325</v>
      </c>
      <c r="G759" s="39">
        <v>44210</v>
      </c>
      <c r="H759">
        <v>14.503</v>
      </c>
      <c r="I759">
        <v>31.4831</v>
      </c>
    </row>
    <row r="760" spans="1:9">
      <c r="A760" s="39">
        <v>44144</v>
      </c>
      <c r="B760" s="152">
        <v>12.1778</v>
      </c>
      <c r="C760">
        <f t="shared" si="35"/>
        <v>34.141525685321461</v>
      </c>
      <c r="D760">
        <f t="shared" si="36"/>
        <v>3.654800335495187</v>
      </c>
      <c r="E760">
        <f t="shared" si="37"/>
        <v>18.898163010408325</v>
      </c>
      <c r="G760" s="39">
        <v>44209</v>
      </c>
      <c r="H760">
        <v>14.3103</v>
      </c>
      <c r="I760">
        <v>31.2652</v>
      </c>
    </row>
    <row r="761" spans="1:9">
      <c r="A761" s="39">
        <v>44141</v>
      </c>
      <c r="B761" s="152">
        <v>12.097099999999999</v>
      </c>
      <c r="C761">
        <f t="shared" si="35"/>
        <v>34.141525685321461</v>
      </c>
      <c r="D761">
        <f t="shared" si="36"/>
        <v>3.654800335495187</v>
      </c>
      <c r="E761">
        <f t="shared" si="37"/>
        <v>18.898163010408325</v>
      </c>
      <c r="G761" s="39">
        <v>44208</v>
      </c>
      <c r="H761">
        <v>14.3103</v>
      </c>
      <c r="I761">
        <v>31.203800000000001</v>
      </c>
    </row>
    <row r="762" spans="1:9">
      <c r="A762" s="39">
        <v>44140</v>
      </c>
      <c r="B762" s="152">
        <v>12.304500000000001</v>
      </c>
      <c r="C762">
        <f t="shared" si="35"/>
        <v>34.141525685321461</v>
      </c>
      <c r="D762">
        <f t="shared" si="36"/>
        <v>3.654800335495187</v>
      </c>
      <c r="E762">
        <f t="shared" si="37"/>
        <v>18.898163010408325</v>
      </c>
      <c r="G762" s="39">
        <v>44207</v>
      </c>
      <c r="H762">
        <v>14.3103</v>
      </c>
      <c r="I762">
        <v>31.032900000000001</v>
      </c>
    </row>
    <row r="763" spans="1:9">
      <c r="A763" s="39">
        <v>44139</v>
      </c>
      <c r="B763" s="152">
        <v>12.304500000000001</v>
      </c>
      <c r="C763">
        <f t="shared" si="35"/>
        <v>34.141525685321461</v>
      </c>
      <c r="D763">
        <f t="shared" si="36"/>
        <v>3.654800335495187</v>
      </c>
      <c r="E763">
        <f t="shared" si="37"/>
        <v>18.898163010408325</v>
      </c>
      <c r="G763" s="39">
        <v>44204</v>
      </c>
      <c r="H763">
        <v>13.811299999999999</v>
      </c>
      <c r="I763">
        <v>30.707599999999999</v>
      </c>
    </row>
    <row r="764" spans="1:9">
      <c r="A764" s="39">
        <v>44138</v>
      </c>
      <c r="B764" s="152">
        <v>12.3506</v>
      </c>
      <c r="C764">
        <f t="shared" si="35"/>
        <v>34.141525685321461</v>
      </c>
      <c r="D764">
        <f t="shared" si="36"/>
        <v>3.654800335495187</v>
      </c>
      <c r="E764">
        <f t="shared" si="37"/>
        <v>18.898163010408325</v>
      </c>
      <c r="G764" s="39">
        <v>44203</v>
      </c>
      <c r="H764">
        <v>13.697900000000001</v>
      </c>
      <c r="I764">
        <v>30.708500000000001</v>
      </c>
    </row>
    <row r="765" spans="1:9">
      <c r="A765" s="39">
        <v>44137</v>
      </c>
      <c r="B765" s="152">
        <v>12.2584</v>
      </c>
      <c r="C765">
        <f t="shared" si="35"/>
        <v>34.141525685321461</v>
      </c>
      <c r="D765">
        <f t="shared" si="36"/>
        <v>3.654800335495187</v>
      </c>
      <c r="E765">
        <f t="shared" si="37"/>
        <v>18.898163010408325</v>
      </c>
      <c r="G765" s="39">
        <v>44202</v>
      </c>
      <c r="H765">
        <v>13.7546</v>
      </c>
      <c r="I765">
        <v>30.610399999999998</v>
      </c>
    </row>
    <row r="766" spans="1:9">
      <c r="A766" s="39">
        <v>44134</v>
      </c>
      <c r="B766" s="152">
        <v>12.0626</v>
      </c>
      <c r="C766">
        <f t="shared" si="35"/>
        <v>34.141525685321461</v>
      </c>
      <c r="D766">
        <f t="shared" si="36"/>
        <v>3.654800335495187</v>
      </c>
      <c r="E766">
        <f t="shared" si="37"/>
        <v>18.898163010408325</v>
      </c>
      <c r="G766" s="39">
        <v>44201</v>
      </c>
      <c r="H766">
        <v>13.822699999999999</v>
      </c>
      <c r="I766">
        <v>29.927700000000002</v>
      </c>
    </row>
    <row r="767" spans="1:9">
      <c r="A767" s="39">
        <v>44133</v>
      </c>
      <c r="B767" s="152">
        <v>11.786099999999999</v>
      </c>
      <c r="C767">
        <f t="shared" si="35"/>
        <v>34.141525685321461</v>
      </c>
      <c r="D767">
        <f t="shared" si="36"/>
        <v>3.654800335495187</v>
      </c>
      <c r="E767">
        <f t="shared" si="37"/>
        <v>18.898163010408325</v>
      </c>
      <c r="G767" s="39">
        <v>44200</v>
      </c>
      <c r="H767">
        <v>13.6753</v>
      </c>
      <c r="I767">
        <v>29.718299999999999</v>
      </c>
    </row>
    <row r="768" spans="1:9">
      <c r="A768" s="39">
        <v>44132</v>
      </c>
      <c r="B768" s="152">
        <v>12.097099999999999</v>
      </c>
      <c r="C768">
        <f t="shared" si="35"/>
        <v>34.141525685321461</v>
      </c>
      <c r="D768">
        <f t="shared" si="36"/>
        <v>3.654800335495187</v>
      </c>
      <c r="E768">
        <f t="shared" si="37"/>
        <v>18.898163010408325</v>
      </c>
      <c r="G768" s="39">
        <v>44196</v>
      </c>
      <c r="H768">
        <v>13.4825</v>
      </c>
      <c r="I768">
        <v>30.002800000000001</v>
      </c>
    </row>
    <row r="769" spans="1:9">
      <c r="A769" s="39">
        <v>44131</v>
      </c>
      <c r="B769" s="152">
        <v>12.6732</v>
      </c>
      <c r="C769">
        <f t="shared" si="35"/>
        <v>34.141525685321461</v>
      </c>
      <c r="D769">
        <f t="shared" si="36"/>
        <v>3.654800335495187</v>
      </c>
      <c r="E769">
        <f t="shared" si="37"/>
        <v>18.898163010408325</v>
      </c>
      <c r="G769" s="39">
        <v>44195</v>
      </c>
      <c r="H769">
        <v>13.514200000000001</v>
      </c>
      <c r="I769">
        <v>29.9117</v>
      </c>
    </row>
    <row r="770" spans="1:9">
      <c r="A770" s="39">
        <v>44130</v>
      </c>
      <c r="B770" s="152">
        <v>12.6732</v>
      </c>
      <c r="C770">
        <f t="shared" si="35"/>
        <v>34.141525685321461</v>
      </c>
      <c r="D770">
        <f t="shared" si="36"/>
        <v>3.654800335495187</v>
      </c>
      <c r="E770">
        <f t="shared" si="37"/>
        <v>18.898163010408325</v>
      </c>
      <c r="G770" s="39">
        <v>44194</v>
      </c>
      <c r="H770">
        <v>13.502700000000001</v>
      </c>
      <c r="I770">
        <v>29.624300000000002</v>
      </c>
    </row>
    <row r="771" spans="1:9">
      <c r="A771" s="39">
        <v>44127</v>
      </c>
      <c r="B771" s="152">
        <v>12.6732</v>
      </c>
      <c r="C771">
        <f t="shared" si="35"/>
        <v>34.141525685321461</v>
      </c>
      <c r="D771">
        <f t="shared" si="36"/>
        <v>3.654800335495187</v>
      </c>
      <c r="E771">
        <f t="shared" si="37"/>
        <v>18.898163010408325</v>
      </c>
      <c r="G771" s="39">
        <v>44193</v>
      </c>
      <c r="H771">
        <v>13.514200000000001</v>
      </c>
      <c r="I771">
        <v>29.4269</v>
      </c>
    </row>
    <row r="772" spans="1:9">
      <c r="A772" s="39">
        <v>44126</v>
      </c>
      <c r="B772" s="152">
        <v>12.500400000000001</v>
      </c>
      <c r="C772">
        <f t="shared" ref="C772:C835" si="38">AVERAGE($B$3:$B$1251)+$C$1</f>
        <v>34.141525685321461</v>
      </c>
      <c r="D772">
        <f t="shared" ref="D772:D835" si="39">AVERAGE($B$3:$B$1251)-$C$1</f>
        <v>3.654800335495187</v>
      </c>
      <c r="E772">
        <f t="shared" ref="E772:E835" si="40">AVERAGE($B$3:$B$1251)</f>
        <v>18.898163010408325</v>
      </c>
      <c r="G772" s="39">
        <v>44190</v>
      </c>
      <c r="H772">
        <v>13.6525</v>
      </c>
      <c r="I772">
        <v>28.797000000000001</v>
      </c>
    </row>
    <row r="773" spans="1:9">
      <c r="A773" s="39">
        <v>44125</v>
      </c>
      <c r="B773" s="152">
        <v>12.189299999999999</v>
      </c>
      <c r="C773">
        <f t="shared" si="38"/>
        <v>34.141525685321461</v>
      </c>
      <c r="D773">
        <f t="shared" si="39"/>
        <v>3.654800335495187</v>
      </c>
      <c r="E773">
        <f t="shared" si="40"/>
        <v>18.898163010408325</v>
      </c>
      <c r="G773" s="39">
        <v>44189</v>
      </c>
      <c r="H773">
        <v>13.4451</v>
      </c>
      <c r="I773">
        <v>28.778099999999998</v>
      </c>
    </row>
    <row r="774" spans="1:9">
      <c r="A774" s="39">
        <v>44124</v>
      </c>
      <c r="B774" s="152">
        <v>12.304500000000001</v>
      </c>
      <c r="C774">
        <f t="shared" si="38"/>
        <v>34.141525685321461</v>
      </c>
      <c r="D774">
        <f t="shared" si="39"/>
        <v>3.654800335495187</v>
      </c>
      <c r="E774">
        <f t="shared" si="40"/>
        <v>18.898163010408325</v>
      </c>
      <c r="G774" s="39">
        <v>44188</v>
      </c>
      <c r="H774">
        <v>13.606400000000001</v>
      </c>
      <c r="I774">
        <v>28.592199999999998</v>
      </c>
    </row>
    <row r="775" spans="1:9">
      <c r="A775" s="39">
        <v>44123</v>
      </c>
      <c r="B775" s="152">
        <v>12.304500000000001</v>
      </c>
      <c r="C775">
        <f t="shared" si="38"/>
        <v>34.141525685321461</v>
      </c>
      <c r="D775">
        <f t="shared" si="39"/>
        <v>3.654800335495187</v>
      </c>
      <c r="E775">
        <f t="shared" si="40"/>
        <v>18.898163010408325</v>
      </c>
      <c r="G775" s="39">
        <v>44187</v>
      </c>
      <c r="H775">
        <v>13.813800000000001</v>
      </c>
      <c r="I775">
        <v>28.6189</v>
      </c>
    </row>
    <row r="776" spans="1:9">
      <c r="A776" s="39">
        <v>44120</v>
      </c>
      <c r="B776" s="152">
        <v>12.316000000000001</v>
      </c>
      <c r="C776">
        <f t="shared" si="38"/>
        <v>34.141525685321461</v>
      </c>
      <c r="D776">
        <f t="shared" si="39"/>
        <v>3.654800335495187</v>
      </c>
      <c r="E776">
        <f t="shared" si="40"/>
        <v>18.898163010408325</v>
      </c>
      <c r="G776" s="39">
        <v>44186</v>
      </c>
      <c r="H776">
        <v>13.387499999999999</v>
      </c>
      <c r="I776">
        <v>28.677700000000002</v>
      </c>
    </row>
    <row r="777" spans="1:9">
      <c r="A777" s="39">
        <v>44119</v>
      </c>
      <c r="B777" s="152">
        <v>12.429600000000001</v>
      </c>
      <c r="C777">
        <f t="shared" si="38"/>
        <v>34.141525685321461</v>
      </c>
      <c r="D777">
        <f t="shared" si="39"/>
        <v>3.654800335495187</v>
      </c>
      <c r="E777">
        <f t="shared" si="40"/>
        <v>18.898163010408325</v>
      </c>
      <c r="G777" s="39">
        <v>44183</v>
      </c>
      <c r="H777">
        <v>13.2492</v>
      </c>
      <c r="I777">
        <v>28.847799999999999</v>
      </c>
    </row>
    <row r="778" spans="1:9">
      <c r="A778" s="39">
        <v>44118</v>
      </c>
      <c r="B778" s="152">
        <v>12.3842</v>
      </c>
      <c r="C778">
        <f t="shared" si="38"/>
        <v>34.141525685321461</v>
      </c>
      <c r="D778">
        <f t="shared" si="39"/>
        <v>3.654800335495187</v>
      </c>
      <c r="E778">
        <f t="shared" si="40"/>
        <v>18.898163010408325</v>
      </c>
      <c r="G778" s="39">
        <v>44182</v>
      </c>
      <c r="H778">
        <v>13.0764</v>
      </c>
      <c r="I778">
        <v>29.183499999999999</v>
      </c>
    </row>
    <row r="779" spans="1:9">
      <c r="A779" s="39">
        <v>44117</v>
      </c>
      <c r="B779" s="152">
        <v>12.0661</v>
      </c>
      <c r="C779">
        <f t="shared" si="38"/>
        <v>34.141525685321461</v>
      </c>
      <c r="D779">
        <f t="shared" si="39"/>
        <v>3.654800335495187</v>
      </c>
      <c r="E779">
        <f t="shared" si="40"/>
        <v>18.898163010408325</v>
      </c>
      <c r="G779" s="39">
        <v>44181</v>
      </c>
      <c r="H779">
        <v>13.306800000000001</v>
      </c>
      <c r="I779">
        <v>29.137599999999999</v>
      </c>
    </row>
    <row r="780" spans="1:9">
      <c r="A780" s="39">
        <v>44116</v>
      </c>
      <c r="B780" s="152">
        <v>12.213800000000001</v>
      </c>
      <c r="C780">
        <f t="shared" si="38"/>
        <v>34.141525685321461</v>
      </c>
      <c r="D780">
        <f t="shared" si="39"/>
        <v>3.654800335495187</v>
      </c>
      <c r="E780">
        <f t="shared" si="40"/>
        <v>18.898163010408325</v>
      </c>
      <c r="G780" s="39">
        <v>44180</v>
      </c>
      <c r="H780">
        <v>13.283799999999999</v>
      </c>
      <c r="I780">
        <v>28.896899999999999</v>
      </c>
    </row>
    <row r="781" spans="1:9">
      <c r="A781" s="39">
        <v>44113</v>
      </c>
      <c r="B781" s="152">
        <v>12.3842</v>
      </c>
      <c r="C781">
        <f t="shared" si="38"/>
        <v>34.141525685321461</v>
      </c>
      <c r="D781">
        <f t="shared" si="39"/>
        <v>3.654800335495187</v>
      </c>
      <c r="E781">
        <f t="shared" si="40"/>
        <v>18.898163010408325</v>
      </c>
      <c r="G781" s="39">
        <v>44179</v>
      </c>
      <c r="H781">
        <v>13.3299</v>
      </c>
      <c r="I781">
        <v>28.9468</v>
      </c>
    </row>
    <row r="782" spans="1:9">
      <c r="A782" s="39">
        <v>44112</v>
      </c>
      <c r="B782" s="152">
        <v>12.441000000000001</v>
      </c>
      <c r="C782">
        <f t="shared" si="38"/>
        <v>34.141525685321461</v>
      </c>
      <c r="D782">
        <f t="shared" si="39"/>
        <v>3.654800335495187</v>
      </c>
      <c r="E782">
        <f t="shared" si="40"/>
        <v>18.898163010408325</v>
      </c>
      <c r="G782" s="39">
        <v>44176</v>
      </c>
      <c r="H782">
        <v>13.1686</v>
      </c>
      <c r="I782">
        <v>29.011099999999999</v>
      </c>
    </row>
    <row r="783" spans="1:9">
      <c r="A783" s="39">
        <v>44111</v>
      </c>
      <c r="B783" s="152">
        <v>12.225099999999999</v>
      </c>
      <c r="C783">
        <f t="shared" si="38"/>
        <v>34.141525685321461</v>
      </c>
      <c r="D783">
        <f t="shared" si="39"/>
        <v>3.654800335495187</v>
      </c>
      <c r="E783">
        <f t="shared" si="40"/>
        <v>18.898163010408325</v>
      </c>
      <c r="G783" s="39">
        <v>44175</v>
      </c>
      <c r="H783">
        <v>13.111000000000001</v>
      </c>
      <c r="I783">
        <v>29.132899999999999</v>
      </c>
    </row>
    <row r="784" spans="1:9">
      <c r="A784" s="39">
        <v>44110</v>
      </c>
      <c r="B784" s="152">
        <v>11.952500000000001</v>
      </c>
      <c r="C784">
        <f t="shared" si="38"/>
        <v>34.141525685321461</v>
      </c>
      <c r="D784">
        <f t="shared" si="39"/>
        <v>3.654800335495187</v>
      </c>
      <c r="E784">
        <f t="shared" si="40"/>
        <v>18.898163010408325</v>
      </c>
      <c r="G784" s="39">
        <v>44174</v>
      </c>
      <c r="H784">
        <v>13.2492</v>
      </c>
      <c r="I784">
        <v>29.249700000000001</v>
      </c>
    </row>
    <row r="785" spans="1:9">
      <c r="A785" s="39">
        <v>44109</v>
      </c>
      <c r="B785" s="152">
        <v>11.8161</v>
      </c>
      <c r="C785">
        <f t="shared" si="38"/>
        <v>34.141525685321461</v>
      </c>
      <c r="D785">
        <f t="shared" si="39"/>
        <v>3.654800335495187</v>
      </c>
      <c r="E785">
        <f t="shared" si="40"/>
        <v>18.898163010408325</v>
      </c>
      <c r="G785" s="39">
        <v>44173</v>
      </c>
      <c r="H785">
        <v>13.191599999999999</v>
      </c>
      <c r="I785">
        <v>29.280999999999999</v>
      </c>
    </row>
    <row r="786" spans="1:9">
      <c r="A786" s="39">
        <v>44106</v>
      </c>
      <c r="B786" s="152">
        <v>11.8161</v>
      </c>
      <c r="C786">
        <f t="shared" si="38"/>
        <v>34.141525685321461</v>
      </c>
      <c r="D786">
        <f t="shared" si="39"/>
        <v>3.654800335495187</v>
      </c>
      <c r="E786">
        <f t="shared" si="40"/>
        <v>18.898163010408325</v>
      </c>
      <c r="G786" s="39">
        <v>44172</v>
      </c>
      <c r="H786">
        <v>13.1686</v>
      </c>
      <c r="I786">
        <v>29.199300000000001</v>
      </c>
    </row>
    <row r="787" spans="1:9">
      <c r="A787" s="39">
        <v>44105</v>
      </c>
      <c r="B787" s="152">
        <v>11.9297</v>
      </c>
      <c r="C787">
        <f t="shared" si="38"/>
        <v>34.141525685321461</v>
      </c>
      <c r="D787">
        <f t="shared" si="39"/>
        <v>3.654800335495187</v>
      </c>
      <c r="E787">
        <f t="shared" si="40"/>
        <v>18.898163010408325</v>
      </c>
      <c r="G787" s="39">
        <v>44169</v>
      </c>
      <c r="H787">
        <v>13.1225</v>
      </c>
      <c r="I787">
        <v>29.075099999999999</v>
      </c>
    </row>
    <row r="788" spans="1:9">
      <c r="A788" s="39">
        <v>44104</v>
      </c>
      <c r="B788" s="152">
        <v>11.850199999999999</v>
      </c>
      <c r="C788">
        <f t="shared" si="38"/>
        <v>34.141525685321461</v>
      </c>
      <c r="D788">
        <f t="shared" si="39"/>
        <v>3.654800335495187</v>
      </c>
      <c r="E788">
        <f t="shared" si="40"/>
        <v>18.898163010408325</v>
      </c>
      <c r="G788" s="39">
        <v>44168</v>
      </c>
      <c r="H788">
        <v>13.214700000000001</v>
      </c>
      <c r="I788">
        <v>29.105399999999999</v>
      </c>
    </row>
    <row r="789" spans="1:9">
      <c r="A789" s="39">
        <v>44103</v>
      </c>
      <c r="B789" s="152">
        <v>11.9969</v>
      </c>
      <c r="C789">
        <f t="shared" si="38"/>
        <v>34.141525685321461</v>
      </c>
      <c r="D789">
        <f t="shared" si="39"/>
        <v>3.654800335495187</v>
      </c>
      <c r="E789">
        <f t="shared" si="40"/>
        <v>18.898163010408325</v>
      </c>
      <c r="G789" s="39">
        <v>44167</v>
      </c>
      <c r="H789">
        <v>13.134</v>
      </c>
      <c r="I789">
        <v>28.995100000000001</v>
      </c>
    </row>
    <row r="790" spans="1:9">
      <c r="A790" s="39">
        <v>44102</v>
      </c>
      <c r="B790" s="152">
        <v>11.9389</v>
      </c>
      <c r="C790">
        <f t="shared" si="38"/>
        <v>34.141525685321461</v>
      </c>
      <c r="D790">
        <f t="shared" si="39"/>
        <v>3.654800335495187</v>
      </c>
      <c r="E790">
        <f t="shared" si="40"/>
        <v>18.898163010408325</v>
      </c>
      <c r="G790" s="39">
        <v>44166</v>
      </c>
      <c r="H790">
        <v>13.3644</v>
      </c>
      <c r="I790">
        <v>29.3841</v>
      </c>
    </row>
    <row r="791" spans="1:9">
      <c r="A791" s="39">
        <v>44099</v>
      </c>
      <c r="B791" s="152">
        <v>11.6492</v>
      </c>
      <c r="C791">
        <f t="shared" si="38"/>
        <v>34.141525685321461</v>
      </c>
      <c r="D791">
        <f t="shared" si="39"/>
        <v>3.654800335495187</v>
      </c>
      <c r="E791">
        <f t="shared" si="40"/>
        <v>18.898163010408325</v>
      </c>
      <c r="G791" s="39">
        <v>44165</v>
      </c>
      <c r="H791">
        <v>13.3644</v>
      </c>
      <c r="I791">
        <v>29.0337</v>
      </c>
    </row>
    <row r="792" spans="1:9">
      <c r="A792" s="39">
        <v>44098</v>
      </c>
      <c r="B792" s="152">
        <v>11.7303</v>
      </c>
      <c r="C792">
        <f t="shared" si="38"/>
        <v>34.141525685321461</v>
      </c>
      <c r="D792">
        <f t="shared" si="39"/>
        <v>3.654800335495187</v>
      </c>
      <c r="E792">
        <f t="shared" si="40"/>
        <v>18.898163010408325</v>
      </c>
      <c r="G792" s="39">
        <v>44162</v>
      </c>
      <c r="H792">
        <v>13.306800000000001</v>
      </c>
      <c r="I792">
        <v>29.1355</v>
      </c>
    </row>
    <row r="793" spans="1:9">
      <c r="A793" s="39">
        <v>44097</v>
      </c>
      <c r="B793" s="152">
        <v>11.811400000000001</v>
      </c>
      <c r="C793">
        <f t="shared" si="38"/>
        <v>34.141525685321461</v>
      </c>
      <c r="D793">
        <f t="shared" si="39"/>
        <v>3.654800335495187</v>
      </c>
      <c r="E793">
        <f t="shared" si="40"/>
        <v>18.898163010408325</v>
      </c>
      <c r="G793" s="39">
        <v>44161</v>
      </c>
      <c r="H793">
        <v>12.995799999999999</v>
      </c>
      <c r="I793">
        <v>29.000399999999999</v>
      </c>
    </row>
    <row r="794" spans="1:9">
      <c r="A794" s="39">
        <v>44096</v>
      </c>
      <c r="B794" s="152">
        <v>11.5448</v>
      </c>
      <c r="C794">
        <f t="shared" si="38"/>
        <v>34.141525685321461</v>
      </c>
      <c r="D794">
        <f t="shared" si="39"/>
        <v>3.654800335495187</v>
      </c>
      <c r="E794">
        <f t="shared" si="40"/>
        <v>18.898163010408325</v>
      </c>
      <c r="G794" s="39">
        <v>44160</v>
      </c>
      <c r="H794">
        <v>12.903600000000001</v>
      </c>
      <c r="I794">
        <v>28.954899999999999</v>
      </c>
    </row>
    <row r="795" spans="1:9">
      <c r="A795" s="39">
        <v>44095</v>
      </c>
      <c r="B795" s="152">
        <v>11.4057</v>
      </c>
      <c r="C795">
        <f t="shared" si="38"/>
        <v>34.141525685321461</v>
      </c>
      <c r="D795">
        <f t="shared" si="39"/>
        <v>3.654800335495187</v>
      </c>
      <c r="E795">
        <f t="shared" si="40"/>
        <v>18.898163010408325</v>
      </c>
      <c r="G795" s="39">
        <v>44159</v>
      </c>
      <c r="H795">
        <v>12.903600000000001</v>
      </c>
      <c r="I795">
        <v>29.0472</v>
      </c>
    </row>
    <row r="796" spans="1:9">
      <c r="A796" s="39">
        <v>44092</v>
      </c>
      <c r="B796" s="152">
        <v>10.9537</v>
      </c>
      <c r="C796">
        <f t="shared" si="38"/>
        <v>34.141525685321461</v>
      </c>
      <c r="D796">
        <f t="shared" si="39"/>
        <v>3.654800335495187</v>
      </c>
      <c r="E796">
        <f t="shared" si="40"/>
        <v>18.898163010408325</v>
      </c>
      <c r="G796" s="39">
        <v>44158</v>
      </c>
      <c r="H796">
        <v>13.0419</v>
      </c>
      <c r="I796">
        <v>28.661899999999999</v>
      </c>
    </row>
    <row r="797" spans="1:9">
      <c r="A797" s="39">
        <v>44091</v>
      </c>
      <c r="B797" s="152">
        <v>10.918900000000001</v>
      </c>
      <c r="C797">
        <f t="shared" si="38"/>
        <v>34.141525685321461</v>
      </c>
      <c r="D797">
        <f t="shared" si="39"/>
        <v>3.654800335495187</v>
      </c>
      <c r="E797">
        <f t="shared" si="40"/>
        <v>18.898163010408325</v>
      </c>
      <c r="G797" s="39">
        <v>44155</v>
      </c>
      <c r="H797">
        <v>12.7654</v>
      </c>
      <c r="I797">
        <v>28.380700000000001</v>
      </c>
    </row>
    <row r="798" spans="1:9">
      <c r="A798" s="39">
        <v>44090</v>
      </c>
      <c r="B798" s="152">
        <v>10.965299999999999</v>
      </c>
      <c r="C798">
        <f t="shared" si="38"/>
        <v>34.141525685321461</v>
      </c>
      <c r="D798">
        <f t="shared" si="39"/>
        <v>3.654800335495187</v>
      </c>
      <c r="E798">
        <f t="shared" si="40"/>
        <v>18.898163010408325</v>
      </c>
      <c r="G798" s="39">
        <v>44154</v>
      </c>
      <c r="H798">
        <v>12.903600000000001</v>
      </c>
      <c r="I798">
        <v>28.778600000000001</v>
      </c>
    </row>
    <row r="799" spans="1:9">
      <c r="A799" s="39">
        <v>44089</v>
      </c>
      <c r="B799" s="152">
        <v>10.7682</v>
      </c>
      <c r="C799">
        <f t="shared" si="38"/>
        <v>34.141525685321461</v>
      </c>
      <c r="D799">
        <f t="shared" si="39"/>
        <v>3.654800335495187</v>
      </c>
      <c r="E799">
        <f t="shared" si="40"/>
        <v>18.898163010408325</v>
      </c>
      <c r="G799" s="39">
        <v>44153</v>
      </c>
      <c r="H799">
        <v>12.7423</v>
      </c>
      <c r="I799">
        <v>28.484000000000002</v>
      </c>
    </row>
    <row r="800" spans="1:9">
      <c r="A800" s="39">
        <v>44088</v>
      </c>
      <c r="B800" s="152">
        <v>10.7798</v>
      </c>
      <c r="C800">
        <f t="shared" si="38"/>
        <v>34.141525685321461</v>
      </c>
      <c r="D800">
        <f t="shared" si="39"/>
        <v>3.654800335495187</v>
      </c>
      <c r="E800">
        <f t="shared" si="40"/>
        <v>18.898163010408325</v>
      </c>
      <c r="G800" s="39">
        <v>44152</v>
      </c>
      <c r="H800">
        <v>12.903600000000001</v>
      </c>
      <c r="I800">
        <v>28.425599999999999</v>
      </c>
    </row>
    <row r="801" spans="1:9">
      <c r="A801" s="39">
        <v>44085</v>
      </c>
      <c r="B801" s="152">
        <v>10.8262</v>
      </c>
      <c r="C801">
        <f t="shared" si="38"/>
        <v>34.141525685321461</v>
      </c>
      <c r="D801">
        <f t="shared" si="39"/>
        <v>3.654800335495187</v>
      </c>
      <c r="E801">
        <f t="shared" si="40"/>
        <v>18.898163010408325</v>
      </c>
      <c r="G801" s="39">
        <v>44151</v>
      </c>
      <c r="H801">
        <v>12.6386</v>
      </c>
      <c r="I801">
        <v>28.507200000000001</v>
      </c>
    </row>
    <row r="802" spans="1:9">
      <c r="A802" s="39">
        <v>44084</v>
      </c>
      <c r="B802" s="152">
        <v>10.8841</v>
      </c>
      <c r="C802">
        <f t="shared" si="38"/>
        <v>34.141525685321461</v>
      </c>
      <c r="D802">
        <f t="shared" si="39"/>
        <v>3.654800335495187</v>
      </c>
      <c r="E802">
        <f t="shared" si="40"/>
        <v>18.898163010408325</v>
      </c>
      <c r="G802" s="39">
        <v>44148</v>
      </c>
      <c r="H802">
        <v>12.799899999999999</v>
      </c>
      <c r="I802">
        <v>28.079699999999999</v>
      </c>
    </row>
    <row r="803" spans="1:9">
      <c r="A803" s="39">
        <v>44083</v>
      </c>
      <c r="B803" s="152">
        <v>10.8262</v>
      </c>
      <c r="C803">
        <f t="shared" si="38"/>
        <v>34.141525685321461</v>
      </c>
      <c r="D803">
        <f t="shared" si="39"/>
        <v>3.654800335495187</v>
      </c>
      <c r="E803">
        <f t="shared" si="40"/>
        <v>18.898163010408325</v>
      </c>
      <c r="G803" s="39">
        <v>44147</v>
      </c>
      <c r="H803">
        <v>12.799899999999999</v>
      </c>
      <c r="I803">
        <v>27.7288</v>
      </c>
    </row>
    <row r="804" spans="1:9">
      <c r="A804" s="39">
        <v>44082</v>
      </c>
      <c r="B804" s="152">
        <v>10.791399999999999</v>
      </c>
      <c r="C804">
        <f t="shared" si="38"/>
        <v>34.141525685321461</v>
      </c>
      <c r="D804">
        <f t="shared" si="39"/>
        <v>3.654800335495187</v>
      </c>
      <c r="E804">
        <f t="shared" si="40"/>
        <v>18.898163010408325</v>
      </c>
      <c r="G804" s="39">
        <v>44146</v>
      </c>
      <c r="H804">
        <v>12.4428</v>
      </c>
      <c r="I804">
        <v>27.875800000000002</v>
      </c>
    </row>
    <row r="805" spans="1:9">
      <c r="A805" s="39">
        <v>44081</v>
      </c>
      <c r="B805" s="152">
        <v>10.466900000000001</v>
      </c>
      <c r="C805">
        <f t="shared" si="38"/>
        <v>34.141525685321461</v>
      </c>
      <c r="D805">
        <f t="shared" si="39"/>
        <v>3.654800335495187</v>
      </c>
      <c r="E805">
        <f t="shared" si="40"/>
        <v>18.898163010408325</v>
      </c>
      <c r="G805" s="39">
        <v>44145</v>
      </c>
      <c r="H805">
        <v>12.212300000000001</v>
      </c>
      <c r="I805">
        <v>27.700900000000001</v>
      </c>
    </row>
    <row r="806" spans="1:9">
      <c r="A806" s="39">
        <v>44078</v>
      </c>
      <c r="B806" s="152">
        <v>10.907299999999999</v>
      </c>
      <c r="C806">
        <f t="shared" si="38"/>
        <v>34.141525685321461</v>
      </c>
      <c r="D806">
        <f t="shared" si="39"/>
        <v>3.654800335495187</v>
      </c>
      <c r="E806">
        <f t="shared" si="40"/>
        <v>18.898163010408325</v>
      </c>
      <c r="G806" s="39">
        <v>44144</v>
      </c>
      <c r="H806">
        <v>12.1778</v>
      </c>
      <c r="I806">
        <v>27.485700000000001</v>
      </c>
    </row>
    <row r="807" spans="1:9">
      <c r="A807" s="39">
        <v>44077</v>
      </c>
      <c r="B807" s="152">
        <v>10.9885</v>
      </c>
      <c r="C807">
        <f t="shared" si="38"/>
        <v>34.141525685321461</v>
      </c>
      <c r="D807">
        <f t="shared" si="39"/>
        <v>3.654800335495187</v>
      </c>
      <c r="E807">
        <f t="shared" si="40"/>
        <v>18.898163010408325</v>
      </c>
      <c r="G807" s="39">
        <v>44141</v>
      </c>
      <c r="H807">
        <v>12.097099999999999</v>
      </c>
      <c r="I807">
        <v>27.7165</v>
      </c>
    </row>
    <row r="808" spans="1:9">
      <c r="A808" s="39">
        <v>44075</v>
      </c>
      <c r="B808" s="152">
        <v>10.8725</v>
      </c>
      <c r="C808">
        <f t="shared" si="38"/>
        <v>34.141525685321461</v>
      </c>
      <c r="D808">
        <f t="shared" si="39"/>
        <v>3.654800335495187</v>
      </c>
      <c r="E808">
        <f t="shared" si="40"/>
        <v>18.898163010408325</v>
      </c>
      <c r="G808" s="39">
        <v>44140</v>
      </c>
      <c r="H808">
        <v>12.304500000000001</v>
      </c>
      <c r="I808">
        <v>27.722000000000001</v>
      </c>
    </row>
    <row r="809" spans="1:9">
      <c r="A809" s="39">
        <v>44074</v>
      </c>
      <c r="B809" s="152">
        <v>10.8262</v>
      </c>
      <c r="C809">
        <f t="shared" si="38"/>
        <v>34.141525685321461</v>
      </c>
      <c r="D809">
        <f t="shared" si="39"/>
        <v>3.654800335495187</v>
      </c>
      <c r="E809">
        <f t="shared" si="40"/>
        <v>18.898163010408325</v>
      </c>
      <c r="G809" s="39">
        <v>44139</v>
      </c>
      <c r="H809">
        <v>12.304500000000001</v>
      </c>
      <c r="I809">
        <v>27.1721</v>
      </c>
    </row>
    <row r="810" spans="1:9">
      <c r="A810" s="39">
        <v>44071</v>
      </c>
      <c r="B810" s="152">
        <v>10.756600000000001</v>
      </c>
      <c r="C810">
        <f t="shared" si="38"/>
        <v>34.141525685321461</v>
      </c>
      <c r="D810">
        <f t="shared" si="39"/>
        <v>3.654800335495187</v>
      </c>
      <c r="E810">
        <f t="shared" si="40"/>
        <v>18.898163010408325</v>
      </c>
      <c r="G810" s="39">
        <v>44138</v>
      </c>
      <c r="H810">
        <v>12.3506</v>
      </c>
      <c r="I810">
        <v>26.742699999999999</v>
      </c>
    </row>
    <row r="811" spans="1:9">
      <c r="A811" s="39">
        <v>44070</v>
      </c>
      <c r="B811" s="152">
        <v>10.304600000000001</v>
      </c>
      <c r="C811">
        <f t="shared" si="38"/>
        <v>34.141525685321461</v>
      </c>
      <c r="D811">
        <f t="shared" si="39"/>
        <v>3.654800335495187</v>
      </c>
      <c r="E811">
        <f t="shared" si="40"/>
        <v>18.898163010408325</v>
      </c>
      <c r="G811" s="39">
        <v>44137</v>
      </c>
      <c r="H811">
        <v>12.2584</v>
      </c>
      <c r="I811">
        <v>26.202000000000002</v>
      </c>
    </row>
    <row r="812" spans="1:9">
      <c r="A812" s="39">
        <v>44069</v>
      </c>
      <c r="B812" s="152">
        <v>10.1191</v>
      </c>
      <c r="C812">
        <f t="shared" si="38"/>
        <v>34.141525685321461</v>
      </c>
      <c r="D812">
        <f t="shared" si="39"/>
        <v>3.654800335495187</v>
      </c>
      <c r="E812">
        <f t="shared" si="40"/>
        <v>18.898163010408325</v>
      </c>
      <c r="G812" s="39">
        <v>44134</v>
      </c>
      <c r="H812">
        <v>12.0626</v>
      </c>
      <c r="I812">
        <v>26.025200000000002</v>
      </c>
    </row>
    <row r="813" spans="1:9">
      <c r="A813" s="39">
        <v>44068</v>
      </c>
      <c r="B813" s="152">
        <v>10.1539</v>
      </c>
      <c r="C813">
        <f t="shared" si="38"/>
        <v>34.141525685321461</v>
      </c>
      <c r="D813">
        <f t="shared" si="39"/>
        <v>3.654800335495187</v>
      </c>
      <c r="E813">
        <f t="shared" si="40"/>
        <v>18.898163010408325</v>
      </c>
      <c r="G813" s="39">
        <v>44133</v>
      </c>
      <c r="H813">
        <v>11.786099999999999</v>
      </c>
      <c r="I813">
        <v>27.937100000000001</v>
      </c>
    </row>
    <row r="814" spans="1:9">
      <c r="A814" s="39">
        <v>44067</v>
      </c>
      <c r="B814" s="152">
        <v>9.7482000000000006</v>
      </c>
      <c r="C814">
        <f t="shared" si="38"/>
        <v>34.141525685321461</v>
      </c>
      <c r="D814">
        <f t="shared" si="39"/>
        <v>3.654800335495187</v>
      </c>
      <c r="E814">
        <f t="shared" si="40"/>
        <v>18.898163010408325</v>
      </c>
      <c r="G814" s="39">
        <v>44132</v>
      </c>
      <c r="H814">
        <v>12.097099999999999</v>
      </c>
      <c r="I814">
        <v>27.8888</v>
      </c>
    </row>
    <row r="815" spans="1:9">
      <c r="A815" s="39">
        <v>44064</v>
      </c>
      <c r="B815" s="152">
        <v>9.5047999999999995</v>
      </c>
      <c r="C815">
        <f t="shared" si="38"/>
        <v>34.141525685321461</v>
      </c>
      <c r="D815">
        <f t="shared" si="39"/>
        <v>3.654800335495187</v>
      </c>
      <c r="E815">
        <f t="shared" si="40"/>
        <v>18.898163010408325</v>
      </c>
      <c r="G815" s="39">
        <v>44131</v>
      </c>
      <c r="H815">
        <v>12.6732</v>
      </c>
      <c r="I815">
        <v>28.405100000000001</v>
      </c>
    </row>
    <row r="816" spans="1:9">
      <c r="A816" s="39">
        <v>44063</v>
      </c>
      <c r="B816" s="152">
        <v>9.4700000000000006</v>
      </c>
      <c r="C816">
        <f t="shared" si="38"/>
        <v>34.141525685321461</v>
      </c>
      <c r="D816">
        <f t="shared" si="39"/>
        <v>3.654800335495187</v>
      </c>
      <c r="E816">
        <f t="shared" si="40"/>
        <v>18.898163010408325</v>
      </c>
      <c r="G816" s="39">
        <v>44130</v>
      </c>
      <c r="H816">
        <v>12.6732</v>
      </c>
      <c r="I816">
        <v>28.253599999999999</v>
      </c>
    </row>
    <row r="817" spans="1:9">
      <c r="A817" s="39">
        <v>44062</v>
      </c>
      <c r="B817" s="152">
        <v>9.4816000000000003</v>
      </c>
      <c r="C817">
        <f t="shared" si="38"/>
        <v>34.141525685321461</v>
      </c>
      <c r="D817">
        <f t="shared" si="39"/>
        <v>3.654800335495187</v>
      </c>
      <c r="E817">
        <f t="shared" si="40"/>
        <v>18.898163010408325</v>
      </c>
      <c r="G817" s="39">
        <v>44127</v>
      </c>
      <c r="H817">
        <v>12.6732</v>
      </c>
      <c r="I817">
        <v>28.802800000000001</v>
      </c>
    </row>
    <row r="818" spans="1:9">
      <c r="A818" s="39">
        <v>44061</v>
      </c>
      <c r="B818" s="152">
        <v>9.4352</v>
      </c>
      <c r="C818">
        <f t="shared" si="38"/>
        <v>34.141525685321461</v>
      </c>
      <c r="D818">
        <f t="shared" si="39"/>
        <v>3.654800335495187</v>
      </c>
      <c r="E818">
        <f t="shared" si="40"/>
        <v>18.898163010408325</v>
      </c>
      <c r="G818" s="39">
        <v>44126</v>
      </c>
      <c r="H818">
        <v>12.500400000000001</v>
      </c>
      <c r="I818">
        <v>28.655000000000001</v>
      </c>
    </row>
    <row r="819" spans="1:9">
      <c r="A819" s="39">
        <v>44060</v>
      </c>
      <c r="B819" s="152">
        <v>9.5280000000000005</v>
      </c>
      <c r="C819">
        <f t="shared" si="38"/>
        <v>34.141525685321461</v>
      </c>
      <c r="D819">
        <f t="shared" si="39"/>
        <v>3.654800335495187</v>
      </c>
      <c r="E819">
        <f t="shared" si="40"/>
        <v>18.898163010408325</v>
      </c>
      <c r="G819" s="39">
        <v>44125</v>
      </c>
      <c r="H819">
        <v>12.189299999999999</v>
      </c>
      <c r="I819">
        <v>28.82</v>
      </c>
    </row>
    <row r="820" spans="1:9">
      <c r="A820" s="39">
        <v>44057</v>
      </c>
      <c r="B820" s="152">
        <v>9.6323000000000008</v>
      </c>
      <c r="C820">
        <f t="shared" si="38"/>
        <v>34.141525685321461</v>
      </c>
      <c r="D820">
        <f t="shared" si="39"/>
        <v>3.654800335495187</v>
      </c>
      <c r="E820">
        <f t="shared" si="40"/>
        <v>18.898163010408325</v>
      </c>
      <c r="G820" s="39">
        <v>44124</v>
      </c>
      <c r="H820">
        <v>12.304500000000001</v>
      </c>
      <c r="I820">
        <v>28.965900000000001</v>
      </c>
    </row>
    <row r="821" spans="1:9">
      <c r="A821" s="39">
        <v>44056</v>
      </c>
      <c r="B821" s="152">
        <v>9.5280000000000005</v>
      </c>
      <c r="C821">
        <f t="shared" si="38"/>
        <v>34.141525685321461</v>
      </c>
      <c r="D821">
        <f t="shared" si="39"/>
        <v>3.654800335495187</v>
      </c>
      <c r="E821">
        <f t="shared" si="40"/>
        <v>18.898163010408325</v>
      </c>
      <c r="G821" s="39">
        <v>44123</v>
      </c>
      <c r="H821">
        <v>12.304500000000001</v>
      </c>
      <c r="I821">
        <v>28.960799999999999</v>
      </c>
    </row>
    <row r="822" spans="1:9">
      <c r="A822" s="39">
        <v>44055</v>
      </c>
      <c r="B822" s="152">
        <v>9.2498000000000005</v>
      </c>
      <c r="C822">
        <f t="shared" si="38"/>
        <v>34.141525685321461</v>
      </c>
      <c r="D822">
        <f t="shared" si="39"/>
        <v>3.654800335495187</v>
      </c>
      <c r="E822">
        <f t="shared" si="40"/>
        <v>18.898163010408325</v>
      </c>
      <c r="G822" s="39">
        <v>44120</v>
      </c>
      <c r="H822">
        <v>12.316000000000001</v>
      </c>
      <c r="I822">
        <v>29.1661</v>
      </c>
    </row>
    <row r="823" spans="1:9">
      <c r="A823" s="39">
        <v>44054</v>
      </c>
      <c r="B823" s="152">
        <v>9.2149999999999999</v>
      </c>
      <c r="C823">
        <f t="shared" si="38"/>
        <v>34.141525685321461</v>
      </c>
      <c r="D823">
        <f t="shared" si="39"/>
        <v>3.654800335495187</v>
      </c>
      <c r="E823">
        <f t="shared" si="40"/>
        <v>18.898163010408325</v>
      </c>
      <c r="G823" s="39">
        <v>44119</v>
      </c>
      <c r="H823">
        <v>12.429600000000001</v>
      </c>
      <c r="I823">
        <v>29.2044</v>
      </c>
    </row>
    <row r="824" spans="1:9">
      <c r="A824" s="39">
        <v>44053</v>
      </c>
      <c r="B824" s="152">
        <v>9.157</v>
      </c>
      <c r="C824">
        <f t="shared" si="38"/>
        <v>34.141525685321461</v>
      </c>
      <c r="D824">
        <f t="shared" si="39"/>
        <v>3.654800335495187</v>
      </c>
      <c r="E824">
        <f t="shared" si="40"/>
        <v>18.898163010408325</v>
      </c>
      <c r="G824" s="39">
        <v>44118</v>
      </c>
      <c r="H824">
        <v>12.3842</v>
      </c>
      <c r="I824">
        <v>29.093499999999999</v>
      </c>
    </row>
    <row r="825" spans="1:9">
      <c r="A825" s="39">
        <v>44050</v>
      </c>
      <c r="B825" s="152">
        <v>9.1106999999999996</v>
      </c>
      <c r="C825">
        <f t="shared" si="38"/>
        <v>34.141525685321461</v>
      </c>
      <c r="D825">
        <f t="shared" si="39"/>
        <v>3.654800335495187</v>
      </c>
      <c r="E825">
        <f t="shared" si="40"/>
        <v>18.898163010408325</v>
      </c>
      <c r="G825" s="39">
        <v>44117</v>
      </c>
      <c r="H825">
        <v>12.0661</v>
      </c>
      <c r="I825">
        <v>29.196999999999999</v>
      </c>
    </row>
    <row r="826" spans="1:9">
      <c r="A826" s="39">
        <v>44049</v>
      </c>
      <c r="B826" s="152">
        <v>9.1918000000000006</v>
      </c>
      <c r="C826">
        <f t="shared" si="38"/>
        <v>34.141525685321461</v>
      </c>
      <c r="D826">
        <f t="shared" si="39"/>
        <v>3.654800335495187</v>
      </c>
      <c r="E826">
        <f t="shared" si="40"/>
        <v>18.898163010408325</v>
      </c>
      <c r="G826" s="39">
        <v>44116</v>
      </c>
      <c r="H826">
        <v>12.213800000000001</v>
      </c>
      <c r="I826">
        <v>28.979299999999999</v>
      </c>
    </row>
    <row r="827" spans="1:9">
      <c r="A827" s="39">
        <v>44048</v>
      </c>
      <c r="B827" s="152">
        <v>9.1801999999999992</v>
      </c>
      <c r="C827">
        <f t="shared" si="38"/>
        <v>34.141525685321461</v>
      </c>
      <c r="D827">
        <f t="shared" si="39"/>
        <v>3.654800335495187</v>
      </c>
      <c r="E827">
        <f t="shared" si="40"/>
        <v>18.898163010408325</v>
      </c>
      <c r="G827" s="39">
        <v>44113</v>
      </c>
      <c r="H827">
        <v>12.3842</v>
      </c>
      <c r="I827">
        <v>28.997399999999999</v>
      </c>
    </row>
    <row r="828" spans="1:9">
      <c r="A828" s="39">
        <v>44047</v>
      </c>
      <c r="B828" s="152">
        <v>8.9252000000000002</v>
      </c>
      <c r="C828">
        <f t="shared" si="38"/>
        <v>34.141525685321461</v>
      </c>
      <c r="D828">
        <f t="shared" si="39"/>
        <v>3.654800335495187</v>
      </c>
      <c r="E828">
        <f t="shared" si="40"/>
        <v>18.898163010408325</v>
      </c>
      <c r="G828" s="39">
        <v>44112</v>
      </c>
      <c r="H828">
        <v>12.441000000000001</v>
      </c>
      <c r="I828">
        <v>28.728999999999999</v>
      </c>
    </row>
    <row r="829" spans="1:9">
      <c r="A829" s="39">
        <v>44046</v>
      </c>
      <c r="B829" s="152">
        <v>8.8093000000000004</v>
      </c>
      <c r="C829">
        <f t="shared" si="38"/>
        <v>34.141525685321461</v>
      </c>
      <c r="D829">
        <f t="shared" si="39"/>
        <v>3.654800335495187</v>
      </c>
      <c r="E829">
        <f t="shared" si="40"/>
        <v>18.898163010408325</v>
      </c>
      <c r="G829" s="39">
        <v>44111</v>
      </c>
      <c r="H829">
        <v>12.225099999999999</v>
      </c>
      <c r="I829">
        <v>28.4117</v>
      </c>
    </row>
    <row r="830" spans="1:9">
      <c r="A830" s="39">
        <v>44043</v>
      </c>
      <c r="B830" s="152">
        <v>8.6354000000000006</v>
      </c>
      <c r="C830">
        <f t="shared" si="38"/>
        <v>34.141525685321461</v>
      </c>
      <c r="D830">
        <f t="shared" si="39"/>
        <v>3.654800335495187</v>
      </c>
      <c r="E830">
        <f t="shared" si="40"/>
        <v>18.898163010408325</v>
      </c>
      <c r="G830" s="39">
        <v>44110</v>
      </c>
      <c r="H830">
        <v>11.952500000000001</v>
      </c>
      <c r="I830">
        <v>28.073799999999999</v>
      </c>
    </row>
    <row r="831" spans="1:9">
      <c r="A831" s="39">
        <v>44042</v>
      </c>
      <c r="B831" s="152">
        <v>8.6122999999999994</v>
      </c>
      <c r="C831">
        <f t="shared" si="38"/>
        <v>34.141525685321461</v>
      </c>
      <c r="D831">
        <f t="shared" si="39"/>
        <v>3.654800335495187</v>
      </c>
      <c r="E831">
        <f t="shared" si="40"/>
        <v>18.898163010408325</v>
      </c>
      <c r="G831" s="39">
        <v>44109</v>
      </c>
      <c r="H831">
        <v>11.8161</v>
      </c>
      <c r="I831">
        <v>28.375399999999999</v>
      </c>
    </row>
    <row r="832" spans="1:9">
      <c r="A832" s="39">
        <v>44041</v>
      </c>
      <c r="B832" s="152">
        <v>8.4616000000000007</v>
      </c>
      <c r="C832">
        <f t="shared" si="38"/>
        <v>34.141525685321461</v>
      </c>
      <c r="D832">
        <f t="shared" si="39"/>
        <v>3.654800335495187</v>
      </c>
      <c r="E832">
        <f t="shared" si="40"/>
        <v>18.898163010408325</v>
      </c>
      <c r="G832" s="39">
        <v>44106</v>
      </c>
      <c r="H832">
        <v>11.8161</v>
      </c>
      <c r="I832">
        <v>28.158899999999999</v>
      </c>
    </row>
    <row r="833" spans="1:9">
      <c r="A833" s="39">
        <v>44040</v>
      </c>
      <c r="B833" s="152">
        <v>8.8093000000000004</v>
      </c>
      <c r="C833">
        <f t="shared" si="38"/>
        <v>34.141525685321461</v>
      </c>
      <c r="D833">
        <f t="shared" si="39"/>
        <v>3.654800335495187</v>
      </c>
      <c r="E833">
        <f t="shared" si="40"/>
        <v>18.898163010408325</v>
      </c>
      <c r="G833" s="39">
        <v>44105</v>
      </c>
      <c r="H833">
        <v>11.9297</v>
      </c>
      <c r="I833">
        <v>28.289899999999999</v>
      </c>
    </row>
    <row r="834" spans="1:9">
      <c r="A834" s="39">
        <v>44039</v>
      </c>
      <c r="B834" s="152">
        <v>8.5427</v>
      </c>
      <c r="C834">
        <f t="shared" si="38"/>
        <v>34.141525685321461</v>
      </c>
      <c r="D834">
        <f t="shared" si="39"/>
        <v>3.654800335495187</v>
      </c>
      <c r="E834">
        <f t="shared" si="40"/>
        <v>18.898163010408325</v>
      </c>
      <c r="G834" s="39">
        <v>44104</v>
      </c>
      <c r="H834">
        <v>11.850199999999999</v>
      </c>
      <c r="I834">
        <v>28.028400000000001</v>
      </c>
    </row>
    <row r="835" spans="1:9">
      <c r="A835" s="39">
        <v>44036</v>
      </c>
      <c r="B835" s="152">
        <v>9.1801999999999992</v>
      </c>
      <c r="C835">
        <f t="shared" si="38"/>
        <v>34.141525685321461</v>
      </c>
      <c r="D835">
        <f t="shared" si="39"/>
        <v>3.654800335495187</v>
      </c>
      <c r="E835">
        <f t="shared" si="40"/>
        <v>18.898163010408325</v>
      </c>
      <c r="G835" s="39">
        <v>44103</v>
      </c>
      <c r="H835">
        <v>11.9969</v>
      </c>
      <c r="I835">
        <v>27.3932</v>
      </c>
    </row>
    <row r="836" spans="1:9">
      <c r="A836" s="39">
        <v>44035</v>
      </c>
      <c r="B836" s="152">
        <v>9.6206999999999994</v>
      </c>
      <c r="C836">
        <f t="shared" ref="C836:C899" si="41">AVERAGE($B$3:$B$1251)+$C$1</f>
        <v>34.141525685321461</v>
      </c>
      <c r="D836">
        <f t="shared" ref="D836:D899" si="42">AVERAGE($B$3:$B$1251)-$C$1</f>
        <v>3.654800335495187</v>
      </c>
      <c r="E836">
        <f t="shared" ref="E836:E899" si="43">AVERAGE($B$3:$B$1251)</f>
        <v>18.898163010408325</v>
      </c>
      <c r="G836" s="39">
        <v>44102</v>
      </c>
      <c r="H836">
        <v>11.9389</v>
      </c>
      <c r="I836">
        <v>27.5504</v>
      </c>
    </row>
    <row r="837" spans="1:9">
      <c r="A837" s="39">
        <v>44034</v>
      </c>
      <c r="B837" s="152">
        <v>9.6439000000000004</v>
      </c>
      <c r="C837">
        <f t="shared" si="41"/>
        <v>34.141525685321461</v>
      </c>
      <c r="D837">
        <f t="shared" si="42"/>
        <v>3.654800335495187</v>
      </c>
      <c r="E837">
        <f t="shared" si="43"/>
        <v>18.898163010408325</v>
      </c>
      <c r="G837" s="39">
        <v>44099</v>
      </c>
      <c r="H837">
        <v>11.6492</v>
      </c>
      <c r="I837">
        <v>27.4284</v>
      </c>
    </row>
    <row r="838" spans="1:9">
      <c r="A838" s="39">
        <v>44033</v>
      </c>
      <c r="B838" s="152">
        <v>9.7018000000000004</v>
      </c>
      <c r="C838">
        <f t="shared" si="41"/>
        <v>34.141525685321461</v>
      </c>
      <c r="D838">
        <f t="shared" si="42"/>
        <v>3.654800335495187</v>
      </c>
      <c r="E838">
        <f t="shared" si="43"/>
        <v>18.898163010408325</v>
      </c>
      <c r="G838" s="39">
        <v>44098</v>
      </c>
      <c r="H838">
        <v>11.7303</v>
      </c>
      <c r="I838">
        <v>27.282800000000002</v>
      </c>
    </row>
    <row r="839" spans="1:9">
      <c r="A839" s="39">
        <v>44032</v>
      </c>
      <c r="B839" s="152">
        <v>9.6555</v>
      </c>
      <c r="C839">
        <f t="shared" si="41"/>
        <v>34.141525685321461</v>
      </c>
      <c r="D839">
        <f t="shared" si="42"/>
        <v>3.654800335495187</v>
      </c>
      <c r="E839">
        <f t="shared" si="43"/>
        <v>18.898163010408325</v>
      </c>
      <c r="G839" s="39">
        <v>44097</v>
      </c>
      <c r="H839">
        <v>11.811400000000001</v>
      </c>
      <c r="I839">
        <v>27.199000000000002</v>
      </c>
    </row>
    <row r="840" spans="1:9">
      <c r="A840" s="39">
        <v>44029</v>
      </c>
      <c r="B840" s="152">
        <v>9.7365999999999993</v>
      </c>
      <c r="C840">
        <f t="shared" si="41"/>
        <v>34.141525685321461</v>
      </c>
      <c r="D840">
        <f t="shared" si="42"/>
        <v>3.654800335495187</v>
      </c>
      <c r="E840">
        <f t="shared" si="43"/>
        <v>18.898163010408325</v>
      </c>
      <c r="G840" s="39">
        <v>44096</v>
      </c>
      <c r="H840">
        <v>11.5448</v>
      </c>
      <c r="I840">
        <v>27.423500000000001</v>
      </c>
    </row>
    <row r="841" spans="1:9">
      <c r="A841" s="39">
        <v>44028</v>
      </c>
      <c r="B841" s="152">
        <v>9.8292999999999999</v>
      </c>
      <c r="C841">
        <f t="shared" si="41"/>
        <v>34.141525685321461</v>
      </c>
      <c r="D841">
        <f t="shared" si="42"/>
        <v>3.654800335495187</v>
      </c>
      <c r="E841">
        <f t="shared" si="43"/>
        <v>18.898163010408325</v>
      </c>
      <c r="G841" s="39">
        <v>44095</v>
      </c>
      <c r="H841">
        <v>11.4057</v>
      </c>
      <c r="I841">
        <v>27.226600000000001</v>
      </c>
    </row>
    <row r="842" spans="1:9">
      <c r="A842" s="39">
        <v>44027</v>
      </c>
      <c r="B842" s="152">
        <v>9.8062000000000005</v>
      </c>
      <c r="C842">
        <f t="shared" si="41"/>
        <v>34.141525685321461</v>
      </c>
      <c r="D842">
        <f t="shared" si="42"/>
        <v>3.654800335495187</v>
      </c>
      <c r="E842">
        <f t="shared" si="43"/>
        <v>18.898163010408325</v>
      </c>
      <c r="G842" s="39">
        <v>44092</v>
      </c>
      <c r="H842">
        <v>10.9537</v>
      </c>
      <c r="I842">
        <v>27.576799999999999</v>
      </c>
    </row>
    <row r="843" spans="1:9">
      <c r="A843" s="39">
        <v>44026</v>
      </c>
      <c r="B843" s="152">
        <v>9.6090999999999998</v>
      </c>
      <c r="C843">
        <f t="shared" si="41"/>
        <v>34.141525685321461</v>
      </c>
      <c r="D843">
        <f t="shared" si="42"/>
        <v>3.654800335495187</v>
      </c>
      <c r="E843">
        <f t="shared" si="43"/>
        <v>18.898163010408325</v>
      </c>
      <c r="G843" s="39">
        <v>44091</v>
      </c>
      <c r="H843">
        <v>10.918900000000001</v>
      </c>
      <c r="I843">
        <v>27.396599999999999</v>
      </c>
    </row>
    <row r="844" spans="1:9">
      <c r="A844" s="39">
        <v>44025</v>
      </c>
      <c r="B844" s="152">
        <v>9.5975000000000001</v>
      </c>
      <c r="C844">
        <f t="shared" si="41"/>
        <v>34.141525685321461</v>
      </c>
      <c r="D844">
        <f t="shared" si="42"/>
        <v>3.654800335495187</v>
      </c>
      <c r="E844">
        <f t="shared" si="43"/>
        <v>18.898163010408325</v>
      </c>
      <c r="G844" s="39">
        <v>44090</v>
      </c>
      <c r="H844">
        <v>10.965299999999999</v>
      </c>
      <c r="I844">
        <v>27.4618</v>
      </c>
    </row>
    <row r="845" spans="1:9">
      <c r="A845" s="39">
        <v>44022</v>
      </c>
      <c r="B845" s="152">
        <v>9.6090999999999998</v>
      </c>
      <c r="C845">
        <f t="shared" si="41"/>
        <v>34.141525685321461</v>
      </c>
      <c r="D845">
        <f t="shared" si="42"/>
        <v>3.654800335495187</v>
      </c>
      <c r="E845">
        <f t="shared" si="43"/>
        <v>18.898163010408325</v>
      </c>
      <c r="G845" s="39">
        <v>44089</v>
      </c>
      <c r="H845">
        <v>10.7682</v>
      </c>
      <c r="I845">
        <v>27.528300000000002</v>
      </c>
    </row>
    <row r="846" spans="1:9">
      <c r="A846" s="39">
        <v>44021</v>
      </c>
      <c r="B846" s="152">
        <v>9.7365999999999993</v>
      </c>
      <c r="C846">
        <f t="shared" si="41"/>
        <v>34.141525685321461</v>
      </c>
      <c r="D846">
        <f t="shared" si="42"/>
        <v>3.654800335495187</v>
      </c>
      <c r="E846">
        <f t="shared" si="43"/>
        <v>18.898163010408325</v>
      </c>
      <c r="G846" s="39">
        <v>44088</v>
      </c>
      <c r="H846">
        <v>10.7798</v>
      </c>
      <c r="I846">
        <v>27.454899999999999</v>
      </c>
    </row>
    <row r="847" spans="1:9">
      <c r="A847" s="39">
        <v>44020</v>
      </c>
      <c r="B847" s="152">
        <v>9.6902000000000008</v>
      </c>
      <c r="C847">
        <f t="shared" si="41"/>
        <v>34.141525685321461</v>
      </c>
      <c r="D847">
        <f t="shared" si="42"/>
        <v>3.654800335495187</v>
      </c>
      <c r="E847">
        <f t="shared" si="43"/>
        <v>18.898163010408325</v>
      </c>
      <c r="G847" s="39">
        <v>44085</v>
      </c>
      <c r="H847">
        <v>10.8262</v>
      </c>
      <c r="I847">
        <v>27.3323</v>
      </c>
    </row>
    <row r="848" spans="1:9">
      <c r="A848" s="39">
        <v>44019</v>
      </c>
      <c r="B848" s="152">
        <v>9.7018000000000004</v>
      </c>
      <c r="C848">
        <f t="shared" si="41"/>
        <v>34.141525685321461</v>
      </c>
      <c r="D848">
        <f t="shared" si="42"/>
        <v>3.654800335495187</v>
      </c>
      <c r="E848">
        <f t="shared" si="43"/>
        <v>18.898163010408325</v>
      </c>
      <c r="G848" s="39">
        <v>44084</v>
      </c>
      <c r="H848">
        <v>10.8841</v>
      </c>
      <c r="I848">
        <v>27.218299999999999</v>
      </c>
    </row>
    <row r="849" spans="1:9">
      <c r="A849" s="39">
        <v>44018</v>
      </c>
      <c r="B849" s="152">
        <v>9.6785999999999994</v>
      </c>
      <c r="C849">
        <f t="shared" si="41"/>
        <v>34.141525685321461</v>
      </c>
      <c r="D849">
        <f t="shared" si="42"/>
        <v>3.654800335495187</v>
      </c>
      <c r="E849">
        <f t="shared" si="43"/>
        <v>18.898163010408325</v>
      </c>
      <c r="G849" s="39">
        <v>44083</v>
      </c>
      <c r="H849">
        <v>10.8262</v>
      </c>
      <c r="I849">
        <v>27.234300000000001</v>
      </c>
    </row>
    <row r="850" spans="1:9">
      <c r="A850" s="39">
        <v>44015</v>
      </c>
      <c r="B850" s="152">
        <v>9.4700000000000006</v>
      </c>
      <c r="C850">
        <f t="shared" si="41"/>
        <v>34.141525685321461</v>
      </c>
      <c r="D850">
        <f t="shared" si="42"/>
        <v>3.654800335495187</v>
      </c>
      <c r="E850">
        <f t="shared" si="43"/>
        <v>18.898163010408325</v>
      </c>
      <c r="G850" s="39">
        <v>44082</v>
      </c>
      <c r="H850">
        <v>10.791399999999999</v>
      </c>
      <c r="I850">
        <v>26.805</v>
      </c>
    </row>
    <row r="851" spans="1:9">
      <c r="A851" s="39">
        <v>44014</v>
      </c>
      <c r="B851" s="152">
        <v>9.4816000000000003</v>
      </c>
      <c r="C851">
        <f t="shared" si="41"/>
        <v>34.141525685321461</v>
      </c>
      <c r="D851">
        <f t="shared" si="42"/>
        <v>3.654800335495187</v>
      </c>
      <c r="E851">
        <f t="shared" si="43"/>
        <v>18.898163010408325</v>
      </c>
      <c r="G851" s="39">
        <v>44081</v>
      </c>
      <c r="H851">
        <v>10.466900000000001</v>
      </c>
      <c r="I851">
        <v>27.307200000000002</v>
      </c>
    </row>
    <row r="852" spans="1:9">
      <c r="A852" s="39">
        <v>44013</v>
      </c>
      <c r="B852" s="152">
        <v>9.5047999999999995</v>
      </c>
      <c r="C852">
        <f t="shared" si="41"/>
        <v>34.141525685321461</v>
      </c>
      <c r="D852">
        <f t="shared" si="42"/>
        <v>3.654800335495187</v>
      </c>
      <c r="E852">
        <f t="shared" si="43"/>
        <v>18.898163010408325</v>
      </c>
      <c r="G852" s="39">
        <v>44078</v>
      </c>
      <c r="H852">
        <v>10.907299999999999</v>
      </c>
      <c r="I852">
        <v>27.3322</v>
      </c>
    </row>
    <row r="853" spans="1:9">
      <c r="A853" s="39">
        <v>44012</v>
      </c>
      <c r="B853" s="152">
        <v>9.3657000000000004</v>
      </c>
      <c r="C853">
        <f t="shared" si="41"/>
        <v>34.141525685321461</v>
      </c>
      <c r="D853">
        <f t="shared" si="42"/>
        <v>3.654800335495187</v>
      </c>
      <c r="E853">
        <f t="shared" si="43"/>
        <v>18.898163010408325</v>
      </c>
      <c r="G853" s="39">
        <v>44077</v>
      </c>
      <c r="H853">
        <v>10.9885</v>
      </c>
      <c r="I853">
        <v>27.598299999999998</v>
      </c>
    </row>
    <row r="854" spans="1:9">
      <c r="A854" s="39">
        <v>44011</v>
      </c>
      <c r="B854" s="152">
        <v>8.9525000000000006</v>
      </c>
      <c r="C854">
        <f t="shared" si="41"/>
        <v>34.141525685321461</v>
      </c>
      <c r="D854">
        <f t="shared" si="42"/>
        <v>3.654800335495187</v>
      </c>
      <c r="E854">
        <f t="shared" si="43"/>
        <v>18.898163010408325</v>
      </c>
      <c r="G854" s="39">
        <v>44076</v>
      </c>
      <c r="I854">
        <v>27.461500000000001</v>
      </c>
    </row>
    <row r="855" spans="1:9">
      <c r="A855" s="39">
        <v>44008</v>
      </c>
      <c r="B855" s="152">
        <v>9.2491000000000003</v>
      </c>
      <c r="C855">
        <f t="shared" si="41"/>
        <v>34.141525685321461</v>
      </c>
      <c r="D855">
        <f t="shared" si="42"/>
        <v>3.654800335495187</v>
      </c>
      <c r="E855">
        <f t="shared" si="43"/>
        <v>18.898163010408325</v>
      </c>
      <c r="G855" s="39">
        <v>44075</v>
      </c>
      <c r="H855">
        <v>10.8725</v>
      </c>
      <c r="I855">
        <v>27.220600000000001</v>
      </c>
    </row>
    <row r="856" spans="1:9">
      <c r="A856" s="39">
        <v>44007</v>
      </c>
      <c r="B856" s="152">
        <v>9.1831999999999994</v>
      </c>
      <c r="C856">
        <f t="shared" si="41"/>
        <v>34.141525685321461</v>
      </c>
      <c r="D856">
        <f t="shared" si="42"/>
        <v>3.654800335495187</v>
      </c>
      <c r="E856">
        <f t="shared" si="43"/>
        <v>18.898163010408325</v>
      </c>
      <c r="G856" s="39">
        <v>44074</v>
      </c>
      <c r="H856">
        <v>10.8262</v>
      </c>
      <c r="I856">
        <v>26.8596</v>
      </c>
    </row>
    <row r="857" spans="1:9">
      <c r="A857" s="39">
        <v>44006</v>
      </c>
      <c r="B857" s="152">
        <v>9.3369999999999997</v>
      </c>
      <c r="C857">
        <f t="shared" si="41"/>
        <v>34.141525685321461</v>
      </c>
      <c r="D857">
        <f t="shared" si="42"/>
        <v>3.654800335495187</v>
      </c>
      <c r="E857">
        <f t="shared" si="43"/>
        <v>18.898163010408325</v>
      </c>
      <c r="G857" s="39">
        <v>44071</v>
      </c>
      <c r="H857">
        <v>10.756600000000001</v>
      </c>
      <c r="I857">
        <v>27.1142</v>
      </c>
    </row>
    <row r="858" spans="1:9">
      <c r="A858" s="39">
        <v>44005</v>
      </c>
      <c r="B858" s="152">
        <v>9.3698999999999995</v>
      </c>
      <c r="C858">
        <f t="shared" si="41"/>
        <v>34.141525685321461</v>
      </c>
      <c r="D858">
        <f t="shared" si="42"/>
        <v>3.654800335495187</v>
      </c>
      <c r="E858">
        <f t="shared" si="43"/>
        <v>18.898163010408325</v>
      </c>
      <c r="G858" s="39">
        <v>44070</v>
      </c>
      <c r="H858">
        <v>10.304600000000001</v>
      </c>
      <c r="I858">
        <v>27.163399999999999</v>
      </c>
    </row>
    <row r="859" spans="1:9">
      <c r="A859" s="39">
        <v>44004</v>
      </c>
      <c r="B859" s="152">
        <v>9.4358000000000004</v>
      </c>
      <c r="C859">
        <f t="shared" si="41"/>
        <v>34.141525685321461</v>
      </c>
      <c r="D859">
        <f t="shared" si="42"/>
        <v>3.654800335495187</v>
      </c>
      <c r="E859">
        <f t="shared" si="43"/>
        <v>18.898163010408325</v>
      </c>
      <c r="G859" s="39">
        <v>44069</v>
      </c>
      <c r="H859">
        <v>10.1191</v>
      </c>
      <c r="I859">
        <v>27.459700000000002</v>
      </c>
    </row>
    <row r="860" spans="1:9">
      <c r="A860" s="39">
        <v>44001</v>
      </c>
      <c r="B860" s="152">
        <v>9.282</v>
      </c>
      <c r="C860">
        <f t="shared" si="41"/>
        <v>34.141525685321461</v>
      </c>
      <c r="D860">
        <f t="shared" si="42"/>
        <v>3.654800335495187</v>
      </c>
      <c r="E860">
        <f t="shared" si="43"/>
        <v>18.898163010408325</v>
      </c>
      <c r="G860" s="39">
        <v>44068</v>
      </c>
      <c r="H860">
        <v>10.1539</v>
      </c>
      <c r="I860">
        <v>27.302600000000002</v>
      </c>
    </row>
    <row r="861" spans="1:9">
      <c r="A861" s="39">
        <v>44000</v>
      </c>
      <c r="B861" s="152">
        <v>9.2051999999999996</v>
      </c>
      <c r="C861">
        <f t="shared" si="41"/>
        <v>34.141525685321461</v>
      </c>
      <c r="D861">
        <f t="shared" si="42"/>
        <v>3.654800335495187</v>
      </c>
      <c r="E861">
        <f t="shared" si="43"/>
        <v>18.898163010408325</v>
      </c>
      <c r="G861" s="39">
        <v>44067</v>
      </c>
      <c r="H861">
        <v>9.7482000000000006</v>
      </c>
      <c r="I861">
        <v>27.290600000000001</v>
      </c>
    </row>
    <row r="862" spans="1:9">
      <c r="A862" s="39">
        <v>43999</v>
      </c>
      <c r="B862" s="152">
        <v>9.2051999999999996</v>
      </c>
      <c r="C862">
        <f t="shared" si="41"/>
        <v>34.141525685321461</v>
      </c>
      <c r="D862">
        <f t="shared" si="42"/>
        <v>3.654800335495187</v>
      </c>
      <c r="E862">
        <f t="shared" si="43"/>
        <v>18.898163010408325</v>
      </c>
      <c r="G862" s="39">
        <v>44064</v>
      </c>
      <c r="H862">
        <v>9.5047999999999995</v>
      </c>
      <c r="I862">
        <v>26.9846</v>
      </c>
    </row>
    <row r="863" spans="1:9">
      <c r="A863" s="39">
        <v>43998</v>
      </c>
      <c r="B863" s="152">
        <v>9.2711000000000006</v>
      </c>
      <c r="C863">
        <f t="shared" si="41"/>
        <v>34.141525685321461</v>
      </c>
      <c r="D863">
        <f t="shared" si="42"/>
        <v>3.654800335495187</v>
      </c>
      <c r="E863">
        <f t="shared" si="43"/>
        <v>18.898163010408325</v>
      </c>
      <c r="G863" s="39">
        <v>44063</v>
      </c>
      <c r="H863">
        <v>9.4700000000000006</v>
      </c>
      <c r="I863">
        <v>26.691800000000001</v>
      </c>
    </row>
    <row r="864" spans="1:9">
      <c r="A864" s="39">
        <v>43997</v>
      </c>
      <c r="B864" s="152">
        <v>9.0624000000000002</v>
      </c>
      <c r="C864">
        <f t="shared" si="41"/>
        <v>34.141525685321461</v>
      </c>
      <c r="D864">
        <f t="shared" si="42"/>
        <v>3.654800335495187</v>
      </c>
      <c r="E864">
        <f t="shared" si="43"/>
        <v>18.898163010408325</v>
      </c>
      <c r="G864" s="39">
        <v>44062</v>
      </c>
      <c r="H864">
        <v>9.4816000000000003</v>
      </c>
      <c r="I864">
        <v>26.745000000000001</v>
      </c>
    </row>
    <row r="865" spans="1:9">
      <c r="A865" s="39">
        <v>43994</v>
      </c>
      <c r="B865" s="152">
        <v>9.4467999999999996</v>
      </c>
      <c r="C865">
        <f t="shared" si="41"/>
        <v>34.141525685321461</v>
      </c>
      <c r="D865">
        <f t="shared" si="42"/>
        <v>3.654800335495187</v>
      </c>
      <c r="E865">
        <f t="shared" si="43"/>
        <v>18.898163010408325</v>
      </c>
      <c r="G865" s="39">
        <v>44061</v>
      </c>
      <c r="H865">
        <v>9.4352</v>
      </c>
      <c r="I865">
        <v>26.586200000000002</v>
      </c>
    </row>
    <row r="866" spans="1:9">
      <c r="A866" s="39">
        <v>43993</v>
      </c>
      <c r="B866" s="152">
        <v>9.1392000000000007</v>
      </c>
      <c r="C866">
        <f t="shared" si="41"/>
        <v>34.141525685321461</v>
      </c>
      <c r="D866">
        <f t="shared" si="42"/>
        <v>3.654800335495187</v>
      </c>
      <c r="E866">
        <f t="shared" si="43"/>
        <v>18.898163010408325</v>
      </c>
      <c r="G866" s="39">
        <v>44060</v>
      </c>
      <c r="H866">
        <v>9.5280000000000005</v>
      </c>
      <c r="I866">
        <v>26.767499999999998</v>
      </c>
    </row>
    <row r="867" spans="1:9">
      <c r="A867" s="39">
        <v>43992</v>
      </c>
      <c r="B867" s="152">
        <v>9.8202999999999996</v>
      </c>
      <c r="C867">
        <f t="shared" si="41"/>
        <v>34.141525685321461</v>
      </c>
      <c r="D867">
        <f t="shared" si="42"/>
        <v>3.654800335495187</v>
      </c>
      <c r="E867">
        <f t="shared" si="43"/>
        <v>18.898163010408325</v>
      </c>
      <c r="G867" s="39">
        <v>44057</v>
      </c>
      <c r="H867">
        <v>9.6323000000000008</v>
      </c>
      <c r="I867">
        <v>26.485499999999998</v>
      </c>
    </row>
    <row r="868" spans="1:9">
      <c r="A868" s="39">
        <v>43991</v>
      </c>
      <c r="B868" s="152">
        <v>9.7433999999999994</v>
      </c>
      <c r="C868">
        <f t="shared" si="41"/>
        <v>34.141525685321461</v>
      </c>
      <c r="D868">
        <f t="shared" si="42"/>
        <v>3.654800335495187</v>
      </c>
      <c r="E868">
        <f t="shared" si="43"/>
        <v>18.898163010408325</v>
      </c>
      <c r="G868" s="39">
        <v>44056</v>
      </c>
      <c r="H868">
        <v>9.5280000000000005</v>
      </c>
      <c r="I868">
        <v>26.348800000000001</v>
      </c>
    </row>
    <row r="869" spans="1:9">
      <c r="A869" s="39">
        <v>43990</v>
      </c>
      <c r="B869" s="152">
        <v>9.8971999999999998</v>
      </c>
      <c r="C869">
        <f t="shared" si="41"/>
        <v>34.141525685321461</v>
      </c>
      <c r="D869">
        <f t="shared" si="42"/>
        <v>3.654800335495187</v>
      </c>
      <c r="E869">
        <f t="shared" si="43"/>
        <v>18.898163010408325</v>
      </c>
      <c r="G869" s="39">
        <v>44055</v>
      </c>
      <c r="H869">
        <v>9.2498000000000005</v>
      </c>
      <c r="I869">
        <v>26.3827</v>
      </c>
    </row>
    <row r="870" spans="1:9">
      <c r="A870" s="39">
        <v>43987</v>
      </c>
      <c r="B870" s="152">
        <v>9.4578000000000007</v>
      </c>
      <c r="C870">
        <f t="shared" si="41"/>
        <v>34.141525685321461</v>
      </c>
      <c r="D870">
        <f t="shared" si="42"/>
        <v>3.654800335495187</v>
      </c>
      <c r="E870">
        <f t="shared" si="43"/>
        <v>18.898163010408325</v>
      </c>
      <c r="G870" s="39">
        <v>44054</v>
      </c>
      <c r="H870">
        <v>9.2149999999999999</v>
      </c>
      <c r="I870">
        <v>26.162600000000001</v>
      </c>
    </row>
    <row r="871" spans="1:9">
      <c r="A871" s="39">
        <v>43986</v>
      </c>
      <c r="B871" s="152">
        <v>9.3918999999999997</v>
      </c>
      <c r="C871">
        <f t="shared" si="41"/>
        <v>34.141525685321461</v>
      </c>
      <c r="D871">
        <f t="shared" si="42"/>
        <v>3.654800335495187</v>
      </c>
      <c r="E871">
        <f t="shared" si="43"/>
        <v>18.898163010408325</v>
      </c>
      <c r="G871" s="39">
        <v>44053</v>
      </c>
      <c r="H871">
        <v>9.157</v>
      </c>
      <c r="I871">
        <v>26.33</v>
      </c>
    </row>
    <row r="872" spans="1:9">
      <c r="A872" s="39">
        <v>43985</v>
      </c>
      <c r="B872" s="152">
        <v>9.3809000000000005</v>
      </c>
      <c r="C872">
        <f t="shared" si="41"/>
        <v>34.141525685321461</v>
      </c>
      <c r="D872">
        <f t="shared" si="42"/>
        <v>3.654800335495187</v>
      </c>
      <c r="E872">
        <f t="shared" si="43"/>
        <v>18.898163010408325</v>
      </c>
      <c r="G872" s="39">
        <v>44050</v>
      </c>
      <c r="H872">
        <v>9.1106999999999996</v>
      </c>
      <c r="I872">
        <v>26.108699999999999</v>
      </c>
    </row>
    <row r="873" spans="1:9">
      <c r="A873" s="39">
        <v>43984</v>
      </c>
      <c r="B873" s="152">
        <v>9.3698999999999995</v>
      </c>
      <c r="C873">
        <f t="shared" si="41"/>
        <v>34.141525685321461</v>
      </c>
      <c r="D873">
        <f t="shared" si="42"/>
        <v>3.654800335495187</v>
      </c>
      <c r="E873">
        <f t="shared" si="43"/>
        <v>18.898163010408325</v>
      </c>
      <c r="G873" s="39">
        <v>44049</v>
      </c>
      <c r="H873">
        <v>9.1918000000000006</v>
      </c>
      <c r="I873">
        <v>26.0627</v>
      </c>
    </row>
    <row r="874" spans="1:9">
      <c r="A874" s="39">
        <v>43983</v>
      </c>
      <c r="B874" s="152">
        <v>9.4467999999999996</v>
      </c>
      <c r="C874">
        <f t="shared" si="41"/>
        <v>34.141525685321461</v>
      </c>
      <c r="D874">
        <f t="shared" si="42"/>
        <v>3.654800335495187</v>
      </c>
      <c r="E874">
        <f t="shared" si="43"/>
        <v>18.898163010408325</v>
      </c>
      <c r="G874" s="39">
        <v>44048</v>
      </c>
      <c r="H874">
        <v>9.1801999999999992</v>
      </c>
      <c r="I874">
        <v>26.315999999999999</v>
      </c>
    </row>
    <row r="875" spans="1:9">
      <c r="A875" s="39">
        <v>43980</v>
      </c>
      <c r="B875" s="152">
        <v>9.2929999999999993</v>
      </c>
      <c r="C875">
        <f t="shared" si="41"/>
        <v>34.141525685321461</v>
      </c>
      <c r="D875">
        <f t="shared" si="42"/>
        <v>3.654800335495187</v>
      </c>
      <c r="E875">
        <f t="shared" si="43"/>
        <v>18.898163010408325</v>
      </c>
      <c r="G875" s="39">
        <v>44047</v>
      </c>
      <c r="H875">
        <v>8.9252000000000002</v>
      </c>
      <c r="I875">
        <v>26.385899999999999</v>
      </c>
    </row>
    <row r="876" spans="1:9">
      <c r="A876" s="39">
        <v>43979</v>
      </c>
      <c r="B876" s="152">
        <v>9.3040000000000003</v>
      </c>
      <c r="C876">
        <f t="shared" si="41"/>
        <v>34.141525685321461</v>
      </c>
      <c r="D876">
        <f t="shared" si="42"/>
        <v>3.654800335495187</v>
      </c>
      <c r="E876">
        <f t="shared" si="43"/>
        <v>18.898163010408325</v>
      </c>
      <c r="G876" s="39">
        <v>44046</v>
      </c>
      <c r="H876">
        <v>8.8093000000000004</v>
      </c>
      <c r="I876">
        <v>25.9772</v>
      </c>
    </row>
    <row r="877" spans="1:9">
      <c r="A877" s="39">
        <v>43978</v>
      </c>
      <c r="B877" s="152">
        <v>9.3149999999999995</v>
      </c>
      <c r="C877">
        <f t="shared" si="41"/>
        <v>34.141525685321461</v>
      </c>
      <c r="D877">
        <f t="shared" si="42"/>
        <v>3.654800335495187</v>
      </c>
      <c r="E877">
        <f t="shared" si="43"/>
        <v>18.898163010408325</v>
      </c>
      <c r="G877" s="39">
        <v>44043</v>
      </c>
      <c r="H877">
        <v>8.6354000000000006</v>
      </c>
      <c r="I877">
        <v>25.9392</v>
      </c>
    </row>
    <row r="878" spans="1:9">
      <c r="A878" s="39">
        <v>43977</v>
      </c>
      <c r="B878" s="152">
        <v>9.5016999999999996</v>
      </c>
      <c r="C878">
        <f t="shared" si="41"/>
        <v>34.141525685321461</v>
      </c>
      <c r="D878">
        <f t="shared" si="42"/>
        <v>3.654800335495187</v>
      </c>
      <c r="E878">
        <f t="shared" si="43"/>
        <v>18.898163010408325</v>
      </c>
      <c r="G878" s="39">
        <v>44042</v>
      </c>
      <c r="H878">
        <v>8.6122999999999994</v>
      </c>
      <c r="I878">
        <v>27.398399999999999</v>
      </c>
    </row>
    <row r="879" spans="1:9">
      <c r="A879" s="39">
        <v>43976</v>
      </c>
      <c r="B879" s="152">
        <v>9.4578000000000007</v>
      </c>
      <c r="C879">
        <f t="shared" si="41"/>
        <v>34.141525685321461</v>
      </c>
      <c r="D879">
        <f t="shared" si="42"/>
        <v>3.654800335495187</v>
      </c>
      <c r="E879">
        <f t="shared" si="43"/>
        <v>18.898163010408325</v>
      </c>
      <c r="G879" s="39">
        <v>44041</v>
      </c>
      <c r="H879">
        <v>8.4616000000000007</v>
      </c>
      <c r="I879">
        <v>27.550599999999999</v>
      </c>
    </row>
    <row r="880" spans="1:9">
      <c r="A880" s="39">
        <v>43973</v>
      </c>
      <c r="B880" s="152">
        <v>9.3369999999999997</v>
      </c>
      <c r="C880">
        <f t="shared" si="41"/>
        <v>34.141525685321461</v>
      </c>
      <c r="D880">
        <f t="shared" si="42"/>
        <v>3.654800335495187</v>
      </c>
      <c r="E880">
        <f t="shared" si="43"/>
        <v>18.898163010408325</v>
      </c>
      <c r="G880" s="39">
        <v>44040</v>
      </c>
      <c r="H880">
        <v>8.8093000000000004</v>
      </c>
      <c r="I880">
        <v>27.406500000000001</v>
      </c>
    </row>
    <row r="881" spans="1:9">
      <c r="A881" s="39">
        <v>43972</v>
      </c>
      <c r="B881" s="152">
        <v>9.5566999999999993</v>
      </c>
      <c r="C881">
        <f t="shared" si="41"/>
        <v>34.141525685321461</v>
      </c>
      <c r="D881">
        <f t="shared" si="42"/>
        <v>3.654800335495187</v>
      </c>
      <c r="E881">
        <f t="shared" si="43"/>
        <v>18.898163010408325</v>
      </c>
      <c r="G881" s="39">
        <v>44039</v>
      </c>
      <c r="H881">
        <v>8.5427</v>
      </c>
      <c r="I881">
        <v>27.413399999999999</v>
      </c>
    </row>
    <row r="882" spans="1:9">
      <c r="A882" s="39">
        <v>43971</v>
      </c>
      <c r="B882" s="152">
        <v>9.5016999999999996</v>
      </c>
      <c r="C882">
        <f t="shared" si="41"/>
        <v>34.141525685321461</v>
      </c>
      <c r="D882">
        <f t="shared" si="42"/>
        <v>3.654800335495187</v>
      </c>
      <c r="E882">
        <f t="shared" si="43"/>
        <v>18.898163010408325</v>
      </c>
      <c r="G882" s="39">
        <v>44036</v>
      </c>
      <c r="H882">
        <v>9.1801999999999992</v>
      </c>
      <c r="I882">
        <v>27.325700000000001</v>
      </c>
    </row>
    <row r="883" spans="1:9">
      <c r="A883" s="39">
        <v>43970</v>
      </c>
      <c r="B883" s="152">
        <v>9.5785999999999998</v>
      </c>
      <c r="C883">
        <f t="shared" si="41"/>
        <v>34.141525685321461</v>
      </c>
      <c r="D883">
        <f t="shared" si="42"/>
        <v>3.654800335495187</v>
      </c>
      <c r="E883">
        <f t="shared" si="43"/>
        <v>18.898163010408325</v>
      </c>
      <c r="G883" s="39">
        <v>44035</v>
      </c>
      <c r="H883">
        <v>9.6206999999999994</v>
      </c>
      <c r="I883">
        <v>27.3949</v>
      </c>
    </row>
    <row r="884" spans="1:9">
      <c r="A884" s="39">
        <v>43969</v>
      </c>
      <c r="B884" s="152">
        <v>9.3918999999999997</v>
      </c>
      <c r="C884">
        <f t="shared" si="41"/>
        <v>34.141525685321461</v>
      </c>
      <c r="D884">
        <f t="shared" si="42"/>
        <v>3.654800335495187</v>
      </c>
      <c r="E884">
        <f t="shared" si="43"/>
        <v>18.898163010408325</v>
      </c>
      <c r="G884" s="39">
        <v>44034</v>
      </c>
      <c r="H884">
        <v>9.6439000000000004</v>
      </c>
      <c r="I884">
        <v>27.4941</v>
      </c>
    </row>
    <row r="885" spans="1:9">
      <c r="A885" s="39">
        <v>43966</v>
      </c>
      <c r="B885" s="152">
        <v>9.0183999999999997</v>
      </c>
      <c r="C885">
        <f t="shared" si="41"/>
        <v>34.141525685321461</v>
      </c>
      <c r="D885">
        <f t="shared" si="42"/>
        <v>3.654800335495187</v>
      </c>
      <c r="E885">
        <f t="shared" si="43"/>
        <v>18.898163010408325</v>
      </c>
      <c r="G885" s="39">
        <v>44033</v>
      </c>
      <c r="H885">
        <v>9.7018000000000004</v>
      </c>
      <c r="I885">
        <v>27.159600000000001</v>
      </c>
    </row>
    <row r="886" spans="1:9">
      <c r="A886" s="39">
        <v>43965</v>
      </c>
      <c r="B886" s="152">
        <v>9.1173000000000002</v>
      </c>
      <c r="C886">
        <f t="shared" si="41"/>
        <v>34.141525685321461</v>
      </c>
      <c r="D886">
        <f t="shared" si="42"/>
        <v>3.654800335495187</v>
      </c>
      <c r="E886">
        <f t="shared" si="43"/>
        <v>18.898163010408325</v>
      </c>
      <c r="G886" s="39">
        <v>44032</v>
      </c>
      <c r="H886">
        <v>9.6555</v>
      </c>
      <c r="I886">
        <v>27.1417</v>
      </c>
    </row>
    <row r="887" spans="1:9">
      <c r="A887" s="39">
        <v>43964</v>
      </c>
      <c r="B887" s="152">
        <v>9.2161000000000008</v>
      </c>
      <c r="C887">
        <f t="shared" si="41"/>
        <v>34.141525685321461</v>
      </c>
      <c r="D887">
        <f t="shared" si="42"/>
        <v>3.654800335495187</v>
      </c>
      <c r="E887">
        <f t="shared" si="43"/>
        <v>18.898163010408325</v>
      </c>
      <c r="G887" s="39">
        <v>44029</v>
      </c>
      <c r="H887">
        <v>9.7365999999999993</v>
      </c>
      <c r="I887">
        <v>27.050699999999999</v>
      </c>
    </row>
    <row r="888" spans="1:9">
      <c r="A888" s="39">
        <v>43963</v>
      </c>
      <c r="B888" s="152">
        <v>9.1501999999999999</v>
      </c>
      <c r="C888">
        <f t="shared" si="41"/>
        <v>34.141525685321461</v>
      </c>
      <c r="D888">
        <f t="shared" si="42"/>
        <v>3.654800335495187</v>
      </c>
      <c r="E888">
        <f t="shared" si="43"/>
        <v>18.898163010408325</v>
      </c>
      <c r="G888" s="39">
        <v>44028</v>
      </c>
      <c r="H888">
        <v>9.8292999999999999</v>
      </c>
      <c r="I888">
        <v>27.085100000000001</v>
      </c>
    </row>
    <row r="889" spans="1:9">
      <c r="A889" s="39">
        <v>43962</v>
      </c>
      <c r="B889" s="152">
        <v>9.3369999999999997</v>
      </c>
      <c r="C889">
        <f t="shared" si="41"/>
        <v>34.141525685321461</v>
      </c>
      <c r="D889">
        <f t="shared" si="42"/>
        <v>3.654800335495187</v>
      </c>
      <c r="E889">
        <f t="shared" si="43"/>
        <v>18.898163010408325</v>
      </c>
      <c r="G889" s="39">
        <v>44027</v>
      </c>
      <c r="H889">
        <v>9.8062000000000005</v>
      </c>
      <c r="I889">
        <v>26.955300000000001</v>
      </c>
    </row>
    <row r="890" spans="1:9">
      <c r="A890" s="39">
        <v>43959</v>
      </c>
      <c r="B890" s="152">
        <v>9.2051999999999996</v>
      </c>
      <c r="C890">
        <f t="shared" si="41"/>
        <v>34.141525685321461</v>
      </c>
      <c r="D890">
        <f t="shared" si="42"/>
        <v>3.654800335495187</v>
      </c>
      <c r="E890">
        <f t="shared" si="43"/>
        <v>18.898163010408325</v>
      </c>
      <c r="G890" s="39">
        <v>44026</v>
      </c>
      <c r="H890">
        <v>9.6090999999999998</v>
      </c>
      <c r="I890">
        <v>26.707899999999999</v>
      </c>
    </row>
    <row r="891" spans="1:9">
      <c r="A891" s="39">
        <v>43958</v>
      </c>
      <c r="B891" s="152">
        <v>9.0732999999999997</v>
      </c>
      <c r="C891">
        <f t="shared" si="41"/>
        <v>34.141525685321461</v>
      </c>
      <c r="D891">
        <f t="shared" si="42"/>
        <v>3.654800335495187</v>
      </c>
      <c r="E891">
        <f t="shared" si="43"/>
        <v>18.898163010408325</v>
      </c>
      <c r="G891" s="39">
        <v>44025</v>
      </c>
      <c r="H891">
        <v>9.5975000000000001</v>
      </c>
      <c r="I891">
        <v>26.461400000000001</v>
      </c>
    </row>
    <row r="892" spans="1:9">
      <c r="A892" s="39">
        <v>43957</v>
      </c>
      <c r="B892" s="152">
        <v>8.9196000000000009</v>
      </c>
      <c r="C892">
        <f t="shared" si="41"/>
        <v>34.141525685321461</v>
      </c>
      <c r="D892">
        <f t="shared" si="42"/>
        <v>3.654800335495187</v>
      </c>
      <c r="E892">
        <f t="shared" si="43"/>
        <v>18.898163010408325</v>
      </c>
      <c r="G892" s="39">
        <v>44022</v>
      </c>
      <c r="H892">
        <v>9.6090999999999998</v>
      </c>
      <c r="I892">
        <v>26.661899999999999</v>
      </c>
    </row>
    <row r="893" spans="1:9">
      <c r="A893" s="39">
        <v>43956</v>
      </c>
      <c r="B893" s="152">
        <v>8.7108000000000008</v>
      </c>
      <c r="C893">
        <f t="shared" si="41"/>
        <v>34.141525685321461</v>
      </c>
      <c r="D893">
        <f t="shared" si="42"/>
        <v>3.654800335495187</v>
      </c>
      <c r="E893">
        <f t="shared" si="43"/>
        <v>18.898163010408325</v>
      </c>
      <c r="G893" s="39">
        <v>44021</v>
      </c>
      <c r="H893">
        <v>9.7365999999999993</v>
      </c>
      <c r="I893">
        <v>26.616099999999999</v>
      </c>
    </row>
    <row r="894" spans="1:9">
      <c r="A894" s="39">
        <v>43955</v>
      </c>
      <c r="B894" s="152">
        <v>8.7218</v>
      </c>
      <c r="C894">
        <f t="shared" si="41"/>
        <v>34.141525685321461</v>
      </c>
      <c r="D894">
        <f t="shared" si="42"/>
        <v>3.654800335495187</v>
      </c>
      <c r="E894">
        <f t="shared" si="43"/>
        <v>18.898163010408325</v>
      </c>
      <c r="G894" s="39">
        <v>44020</v>
      </c>
      <c r="H894">
        <v>9.6902000000000008</v>
      </c>
      <c r="I894">
        <v>26.5061</v>
      </c>
    </row>
    <row r="895" spans="1:9">
      <c r="A895" s="39">
        <v>43950</v>
      </c>
      <c r="B895" s="152">
        <v>8.9745000000000008</v>
      </c>
      <c r="C895">
        <f t="shared" si="41"/>
        <v>34.141525685321461</v>
      </c>
      <c r="D895">
        <f t="shared" si="42"/>
        <v>3.654800335495187</v>
      </c>
      <c r="E895">
        <f t="shared" si="43"/>
        <v>18.898163010408325</v>
      </c>
      <c r="G895" s="39">
        <v>44019</v>
      </c>
      <c r="H895">
        <v>9.7018000000000004</v>
      </c>
      <c r="I895">
        <v>26.2852</v>
      </c>
    </row>
    <row r="896" spans="1:9">
      <c r="A896" s="39">
        <v>43949</v>
      </c>
      <c r="B896" s="152">
        <v>8.8865999999999996</v>
      </c>
      <c r="C896">
        <f t="shared" si="41"/>
        <v>34.141525685321461</v>
      </c>
      <c r="D896">
        <f t="shared" si="42"/>
        <v>3.654800335495187</v>
      </c>
      <c r="E896">
        <f t="shared" si="43"/>
        <v>18.898163010408325</v>
      </c>
      <c r="G896" s="39">
        <v>44018</v>
      </c>
      <c r="H896">
        <v>9.6785999999999994</v>
      </c>
      <c r="I896">
        <v>26.332599999999999</v>
      </c>
    </row>
    <row r="897" spans="1:9">
      <c r="A897" s="39">
        <v>43948</v>
      </c>
      <c r="B897" s="152">
        <v>9.0294000000000008</v>
      </c>
      <c r="C897">
        <f t="shared" si="41"/>
        <v>34.141525685321461</v>
      </c>
      <c r="D897">
        <f t="shared" si="42"/>
        <v>3.654800335495187</v>
      </c>
      <c r="E897">
        <f t="shared" si="43"/>
        <v>18.898163010408325</v>
      </c>
      <c r="G897" s="39">
        <v>44015</v>
      </c>
      <c r="H897">
        <v>9.4700000000000006</v>
      </c>
      <c r="I897">
        <v>26.3583</v>
      </c>
    </row>
    <row r="898" spans="1:9">
      <c r="A898" s="39">
        <v>43945</v>
      </c>
      <c r="B898" s="152">
        <v>9.1173000000000002</v>
      </c>
      <c r="C898">
        <f t="shared" si="41"/>
        <v>34.141525685321461</v>
      </c>
      <c r="D898">
        <f t="shared" si="42"/>
        <v>3.654800335495187</v>
      </c>
      <c r="E898">
        <f t="shared" si="43"/>
        <v>18.898163010408325</v>
      </c>
      <c r="G898" s="39">
        <v>44014</v>
      </c>
      <c r="H898">
        <v>9.4816000000000003</v>
      </c>
      <c r="I898">
        <v>26.4</v>
      </c>
    </row>
    <row r="899" spans="1:9">
      <c r="A899" s="39">
        <v>43944</v>
      </c>
      <c r="B899" s="152">
        <v>9.1722000000000001</v>
      </c>
      <c r="C899">
        <f t="shared" si="41"/>
        <v>34.141525685321461</v>
      </c>
      <c r="D899">
        <f t="shared" si="42"/>
        <v>3.654800335495187</v>
      </c>
      <c r="E899">
        <f t="shared" si="43"/>
        <v>18.898163010408325</v>
      </c>
      <c r="G899" s="39">
        <v>44013</v>
      </c>
      <c r="H899">
        <v>9.5047999999999995</v>
      </c>
      <c r="I899">
        <v>26.514700000000001</v>
      </c>
    </row>
    <row r="900" spans="1:9">
      <c r="A900" s="39">
        <v>43943</v>
      </c>
      <c r="B900" s="152">
        <v>9.0074000000000005</v>
      </c>
      <c r="C900">
        <f t="shared" ref="C900:C963" si="44">AVERAGE($B$3:$B$1251)+$C$1</f>
        <v>34.141525685321461</v>
      </c>
      <c r="D900">
        <f t="shared" ref="D900:D963" si="45">AVERAGE($B$3:$B$1251)-$C$1</f>
        <v>3.654800335495187</v>
      </c>
      <c r="E900">
        <f t="shared" ref="E900:E963" si="46">AVERAGE($B$3:$B$1251)</f>
        <v>18.898163010408325</v>
      </c>
      <c r="G900" s="39">
        <v>44012</v>
      </c>
      <c r="H900">
        <v>9.3657000000000004</v>
      </c>
      <c r="I900">
        <v>26.553699999999999</v>
      </c>
    </row>
    <row r="901" spans="1:9">
      <c r="A901" s="39">
        <v>43942</v>
      </c>
      <c r="B901" s="152">
        <v>8.7218</v>
      </c>
      <c r="C901">
        <f t="shared" si="44"/>
        <v>34.141525685321461</v>
      </c>
      <c r="D901">
        <f t="shared" si="45"/>
        <v>3.654800335495187</v>
      </c>
      <c r="E901">
        <f t="shared" si="46"/>
        <v>18.898163010408325</v>
      </c>
      <c r="G901" s="39">
        <v>44011</v>
      </c>
      <c r="H901">
        <v>8.9525000000000006</v>
      </c>
      <c r="I901">
        <v>26.143000000000001</v>
      </c>
    </row>
    <row r="902" spans="1:9">
      <c r="A902" s="39">
        <v>43941</v>
      </c>
      <c r="B902" s="152">
        <v>9.2600999999999996</v>
      </c>
      <c r="C902">
        <f t="shared" si="44"/>
        <v>34.141525685321461</v>
      </c>
      <c r="D902">
        <f t="shared" si="45"/>
        <v>3.654800335495187</v>
      </c>
      <c r="E902">
        <f t="shared" si="46"/>
        <v>18.898163010408325</v>
      </c>
      <c r="G902" s="39">
        <v>44008</v>
      </c>
      <c r="H902">
        <v>9.2491000000000003</v>
      </c>
      <c r="I902">
        <v>25.7103</v>
      </c>
    </row>
    <row r="903" spans="1:9">
      <c r="A903" s="39">
        <v>43938</v>
      </c>
      <c r="B903" s="152">
        <v>9.0074000000000005</v>
      </c>
      <c r="C903">
        <f t="shared" si="44"/>
        <v>34.141525685321461</v>
      </c>
      <c r="D903">
        <f t="shared" si="45"/>
        <v>3.654800335495187</v>
      </c>
      <c r="E903">
        <f t="shared" si="46"/>
        <v>18.898163010408325</v>
      </c>
      <c r="G903" s="39">
        <v>44007</v>
      </c>
      <c r="H903">
        <v>9.1831999999999994</v>
      </c>
      <c r="I903">
        <v>25.981400000000001</v>
      </c>
    </row>
    <row r="904" spans="1:9">
      <c r="A904" s="39">
        <v>43937</v>
      </c>
      <c r="B904" s="152">
        <v>8.4472000000000005</v>
      </c>
      <c r="C904">
        <f t="shared" si="44"/>
        <v>34.141525685321461</v>
      </c>
      <c r="D904">
        <f t="shared" si="45"/>
        <v>3.654800335495187</v>
      </c>
      <c r="E904">
        <f t="shared" si="46"/>
        <v>18.898163010408325</v>
      </c>
      <c r="G904" s="39">
        <v>44006</v>
      </c>
      <c r="H904">
        <v>9.3369999999999997</v>
      </c>
      <c r="I904">
        <v>26.0562</v>
      </c>
    </row>
    <row r="905" spans="1:9">
      <c r="A905" s="39">
        <v>43936</v>
      </c>
      <c r="B905" s="152">
        <v>8.4361999999999995</v>
      </c>
      <c r="C905">
        <f t="shared" si="44"/>
        <v>34.141525685321461</v>
      </c>
      <c r="D905">
        <f t="shared" si="45"/>
        <v>3.654800335495187</v>
      </c>
      <c r="E905">
        <f t="shared" si="46"/>
        <v>18.898163010408325</v>
      </c>
      <c r="G905" s="39">
        <v>44005</v>
      </c>
      <c r="H905">
        <v>9.3698999999999995</v>
      </c>
      <c r="I905">
        <v>26.2227</v>
      </c>
    </row>
    <row r="906" spans="1:9">
      <c r="A906" s="39">
        <v>43935</v>
      </c>
      <c r="B906" s="152">
        <v>8.2164999999999999</v>
      </c>
      <c r="C906">
        <f t="shared" si="44"/>
        <v>34.141525685321461</v>
      </c>
      <c r="D906">
        <f t="shared" si="45"/>
        <v>3.654800335495187</v>
      </c>
      <c r="E906">
        <f t="shared" si="46"/>
        <v>18.898163010408325</v>
      </c>
      <c r="G906" s="39">
        <v>44004</v>
      </c>
      <c r="H906">
        <v>9.4358000000000004</v>
      </c>
      <c r="I906">
        <v>26.404199999999999</v>
      </c>
    </row>
    <row r="907" spans="1:9">
      <c r="A907" s="39">
        <v>43934</v>
      </c>
      <c r="B907" s="152">
        <v>8.2385000000000002</v>
      </c>
      <c r="C907">
        <f t="shared" si="44"/>
        <v>34.141525685321461</v>
      </c>
      <c r="D907">
        <f t="shared" si="45"/>
        <v>3.654800335495187</v>
      </c>
      <c r="E907">
        <f t="shared" si="46"/>
        <v>18.898163010408325</v>
      </c>
      <c r="G907" s="39">
        <v>44001</v>
      </c>
      <c r="H907">
        <v>9.282</v>
      </c>
      <c r="I907">
        <v>26.115200000000002</v>
      </c>
    </row>
    <row r="908" spans="1:9">
      <c r="A908" s="39">
        <v>43931</v>
      </c>
      <c r="B908" s="152">
        <v>7.8760000000000003</v>
      </c>
      <c r="C908">
        <f t="shared" si="44"/>
        <v>34.141525685321461</v>
      </c>
      <c r="D908">
        <f t="shared" si="45"/>
        <v>3.654800335495187</v>
      </c>
      <c r="E908">
        <f t="shared" si="46"/>
        <v>18.898163010408325</v>
      </c>
      <c r="G908" s="39">
        <v>44000</v>
      </c>
      <c r="H908">
        <v>9.2051999999999996</v>
      </c>
      <c r="I908">
        <v>26.263000000000002</v>
      </c>
    </row>
    <row r="909" spans="1:9">
      <c r="A909" s="39">
        <v>43930</v>
      </c>
      <c r="B909" s="152">
        <v>8.0188000000000006</v>
      </c>
      <c r="C909">
        <f t="shared" si="44"/>
        <v>34.141525685321461</v>
      </c>
      <c r="D909">
        <f t="shared" si="45"/>
        <v>3.654800335495187</v>
      </c>
      <c r="E909">
        <f t="shared" si="46"/>
        <v>18.898163010408325</v>
      </c>
      <c r="G909" s="39">
        <v>43999</v>
      </c>
      <c r="H909">
        <v>9.2051999999999996</v>
      </c>
      <c r="I909">
        <v>26.327400000000001</v>
      </c>
    </row>
    <row r="910" spans="1:9">
      <c r="A910" s="39">
        <v>43929</v>
      </c>
      <c r="B910" s="152">
        <v>8.1287000000000003</v>
      </c>
      <c r="C910">
        <f t="shared" si="44"/>
        <v>34.141525685321461</v>
      </c>
      <c r="D910">
        <f t="shared" si="45"/>
        <v>3.654800335495187</v>
      </c>
      <c r="E910">
        <f t="shared" si="46"/>
        <v>18.898163010408325</v>
      </c>
      <c r="G910" s="39">
        <v>43998</v>
      </c>
      <c r="H910">
        <v>9.2711000000000006</v>
      </c>
      <c r="I910">
        <v>26.489599999999999</v>
      </c>
    </row>
    <row r="911" spans="1:9">
      <c r="A911" s="39">
        <v>43928</v>
      </c>
      <c r="B911" s="152">
        <v>8.1945999999999994</v>
      </c>
      <c r="C911">
        <f t="shared" si="44"/>
        <v>34.141525685321461</v>
      </c>
      <c r="D911">
        <f t="shared" si="45"/>
        <v>3.654800335495187</v>
      </c>
      <c r="E911">
        <f t="shared" si="46"/>
        <v>18.898163010408325</v>
      </c>
      <c r="G911" s="39">
        <v>43997</v>
      </c>
      <c r="H911">
        <v>9.0624000000000002</v>
      </c>
      <c r="I911">
        <v>26.1174</v>
      </c>
    </row>
    <row r="912" spans="1:9">
      <c r="A912" s="39">
        <v>43927</v>
      </c>
      <c r="B912" s="152">
        <v>7.6783000000000001</v>
      </c>
      <c r="C912">
        <f t="shared" si="44"/>
        <v>34.141525685321461</v>
      </c>
      <c r="D912">
        <f t="shared" si="45"/>
        <v>3.654800335495187</v>
      </c>
      <c r="E912">
        <f t="shared" si="46"/>
        <v>18.898163010408325</v>
      </c>
      <c r="G912" s="39">
        <v>43994</v>
      </c>
      <c r="H912">
        <v>9.4467999999999996</v>
      </c>
      <c r="I912">
        <v>26.265499999999999</v>
      </c>
    </row>
    <row r="913" spans="1:9">
      <c r="A913" s="39">
        <v>43924</v>
      </c>
      <c r="B913" s="152">
        <v>7.1840000000000002</v>
      </c>
      <c r="C913">
        <f t="shared" si="44"/>
        <v>34.141525685321461</v>
      </c>
      <c r="D913">
        <f t="shared" si="45"/>
        <v>3.654800335495187</v>
      </c>
      <c r="E913">
        <f t="shared" si="46"/>
        <v>18.898163010408325</v>
      </c>
      <c r="G913" s="39">
        <v>43993</v>
      </c>
      <c r="H913">
        <v>9.1392000000000007</v>
      </c>
      <c r="I913">
        <v>26.157599999999999</v>
      </c>
    </row>
    <row r="914" spans="1:9">
      <c r="A914" s="39">
        <v>43922</v>
      </c>
      <c r="B914" s="152">
        <v>6.7225999999999999</v>
      </c>
      <c r="C914">
        <f t="shared" si="44"/>
        <v>34.141525685321461</v>
      </c>
      <c r="D914">
        <f t="shared" si="45"/>
        <v>3.654800335495187</v>
      </c>
      <c r="E914">
        <f t="shared" si="46"/>
        <v>18.898163010408325</v>
      </c>
      <c r="G914" s="39">
        <v>43992</v>
      </c>
      <c r="H914">
        <v>9.8202999999999996</v>
      </c>
      <c r="I914">
        <v>26.915099999999999</v>
      </c>
    </row>
    <row r="915" spans="1:9">
      <c r="A915" s="39">
        <v>43921</v>
      </c>
      <c r="B915" s="152">
        <v>6.47</v>
      </c>
      <c r="C915">
        <f t="shared" si="44"/>
        <v>34.141525685321461</v>
      </c>
      <c r="D915">
        <f t="shared" si="45"/>
        <v>3.654800335495187</v>
      </c>
      <c r="E915">
        <f t="shared" si="46"/>
        <v>18.898163010408325</v>
      </c>
      <c r="G915" s="39">
        <v>43991</v>
      </c>
      <c r="H915">
        <v>9.7433999999999994</v>
      </c>
      <c r="I915">
        <v>26.2819</v>
      </c>
    </row>
    <row r="916" spans="1:9">
      <c r="A916" s="39">
        <v>43920</v>
      </c>
      <c r="B916" s="152">
        <v>6.6513999999999998</v>
      </c>
      <c r="C916">
        <f t="shared" si="44"/>
        <v>34.141525685321461</v>
      </c>
      <c r="D916">
        <f t="shared" si="45"/>
        <v>3.654800335495187</v>
      </c>
      <c r="E916">
        <f t="shared" si="46"/>
        <v>18.898163010408325</v>
      </c>
      <c r="G916" s="39">
        <v>43990</v>
      </c>
      <c r="H916">
        <v>9.8971999999999998</v>
      </c>
      <c r="I916">
        <v>26.636399999999998</v>
      </c>
    </row>
    <row r="917" spans="1:9">
      <c r="A917" s="39">
        <v>43917</v>
      </c>
      <c r="B917" s="152">
        <v>7.0762</v>
      </c>
      <c r="C917">
        <f t="shared" si="44"/>
        <v>34.141525685321461</v>
      </c>
      <c r="D917">
        <f t="shared" si="45"/>
        <v>3.654800335495187</v>
      </c>
      <c r="E917">
        <f t="shared" si="46"/>
        <v>18.898163010408325</v>
      </c>
      <c r="G917" s="39">
        <v>43987</v>
      </c>
      <c r="H917">
        <v>9.4578000000000007</v>
      </c>
      <c r="I917">
        <v>26.8992</v>
      </c>
    </row>
    <row r="918" spans="1:9">
      <c r="A918" s="39">
        <v>43916</v>
      </c>
      <c r="B918" s="152">
        <v>7.6016000000000004</v>
      </c>
      <c r="C918">
        <f t="shared" si="44"/>
        <v>34.141525685321461</v>
      </c>
      <c r="D918">
        <f t="shared" si="45"/>
        <v>3.654800335495187</v>
      </c>
      <c r="E918">
        <f t="shared" si="46"/>
        <v>18.898163010408325</v>
      </c>
      <c r="G918" s="39">
        <v>43986</v>
      </c>
      <c r="H918">
        <v>9.3918999999999997</v>
      </c>
      <c r="I918">
        <v>26.627500000000001</v>
      </c>
    </row>
    <row r="919" spans="1:9">
      <c r="A919" s="39">
        <v>43915</v>
      </c>
      <c r="B919" s="152">
        <v>8.1606000000000005</v>
      </c>
      <c r="C919">
        <f t="shared" si="44"/>
        <v>34.141525685321461</v>
      </c>
      <c r="D919">
        <f t="shared" si="45"/>
        <v>3.654800335495187</v>
      </c>
      <c r="E919">
        <f t="shared" si="46"/>
        <v>18.898163010408325</v>
      </c>
      <c r="G919" s="39">
        <v>43985</v>
      </c>
      <c r="H919">
        <v>9.3809000000000005</v>
      </c>
      <c r="I919">
        <v>26.934899999999999</v>
      </c>
    </row>
    <row r="920" spans="1:9">
      <c r="A920" s="39">
        <v>43914</v>
      </c>
      <c r="B920" s="152">
        <v>7.6910999999999996</v>
      </c>
      <c r="C920">
        <f t="shared" si="44"/>
        <v>34.141525685321461</v>
      </c>
      <c r="D920">
        <f t="shared" si="45"/>
        <v>3.654800335495187</v>
      </c>
      <c r="E920">
        <f t="shared" si="46"/>
        <v>18.898163010408325</v>
      </c>
      <c r="G920" s="39">
        <v>43984</v>
      </c>
      <c r="H920">
        <v>9.3698999999999995</v>
      </c>
      <c r="I920">
        <v>26.864899999999999</v>
      </c>
    </row>
    <row r="921" spans="1:9">
      <c r="A921" s="39">
        <v>43913</v>
      </c>
      <c r="B921" s="152">
        <v>8.0264000000000006</v>
      </c>
      <c r="C921">
        <f t="shared" si="44"/>
        <v>34.141525685321461</v>
      </c>
      <c r="D921">
        <f t="shared" si="45"/>
        <v>3.654800335495187</v>
      </c>
      <c r="E921">
        <f t="shared" si="46"/>
        <v>18.898163010408325</v>
      </c>
      <c r="G921" s="39">
        <v>43983</v>
      </c>
      <c r="H921">
        <v>9.4467999999999996</v>
      </c>
      <c r="I921">
        <v>26.746099999999998</v>
      </c>
    </row>
    <row r="922" spans="1:9">
      <c r="A922" s="39">
        <v>43910</v>
      </c>
      <c r="B922" s="152">
        <v>8.6301000000000005</v>
      </c>
      <c r="C922">
        <f t="shared" si="44"/>
        <v>34.141525685321461</v>
      </c>
      <c r="D922">
        <f t="shared" si="45"/>
        <v>3.654800335495187</v>
      </c>
      <c r="E922">
        <f t="shared" si="46"/>
        <v>18.898163010408325</v>
      </c>
      <c r="G922" s="39">
        <v>43980</v>
      </c>
      <c r="H922">
        <v>9.2929999999999993</v>
      </c>
      <c r="I922">
        <v>26.796299999999999</v>
      </c>
    </row>
    <row r="923" spans="1:9">
      <c r="A923" s="39">
        <v>43909</v>
      </c>
      <c r="B923" s="152">
        <v>8.4512</v>
      </c>
      <c r="C923">
        <f t="shared" si="44"/>
        <v>34.141525685321461</v>
      </c>
      <c r="D923">
        <f t="shared" si="45"/>
        <v>3.654800335495187</v>
      </c>
      <c r="E923">
        <f t="shared" si="46"/>
        <v>18.898163010408325</v>
      </c>
      <c r="G923" s="39">
        <v>43979</v>
      </c>
      <c r="H923">
        <v>9.3040000000000003</v>
      </c>
      <c r="I923">
        <v>26.553799999999999</v>
      </c>
    </row>
    <row r="924" spans="1:9">
      <c r="A924" s="39">
        <v>43908</v>
      </c>
      <c r="B924" s="152">
        <v>8.8088999999999995</v>
      </c>
      <c r="C924">
        <f t="shared" si="44"/>
        <v>34.141525685321461</v>
      </c>
      <c r="D924">
        <f t="shared" si="45"/>
        <v>3.654800335495187</v>
      </c>
      <c r="E924">
        <f t="shared" si="46"/>
        <v>18.898163010408325</v>
      </c>
      <c r="G924" s="39">
        <v>43978</v>
      </c>
      <c r="H924">
        <v>9.3149999999999995</v>
      </c>
      <c r="I924">
        <v>26.296600000000002</v>
      </c>
    </row>
    <row r="925" spans="1:9">
      <c r="A925" s="39">
        <v>43907</v>
      </c>
      <c r="B925" s="152">
        <v>8.6412999999999993</v>
      </c>
      <c r="C925">
        <f t="shared" si="44"/>
        <v>34.141525685321461</v>
      </c>
      <c r="D925">
        <f t="shared" si="45"/>
        <v>3.654800335495187</v>
      </c>
      <c r="E925">
        <f t="shared" si="46"/>
        <v>18.898163010408325</v>
      </c>
      <c r="G925" s="39">
        <v>43977</v>
      </c>
      <c r="H925">
        <v>9.5016999999999996</v>
      </c>
      <c r="I925">
        <v>25.9192</v>
      </c>
    </row>
    <row r="926" spans="1:9">
      <c r="A926" s="39">
        <v>43906</v>
      </c>
      <c r="B926" s="152">
        <v>8.4959000000000007</v>
      </c>
      <c r="C926">
        <f t="shared" si="44"/>
        <v>34.141525685321461</v>
      </c>
      <c r="D926">
        <f t="shared" si="45"/>
        <v>3.654800335495187</v>
      </c>
      <c r="E926">
        <f t="shared" si="46"/>
        <v>18.898163010408325</v>
      </c>
      <c r="G926" s="39">
        <v>43976</v>
      </c>
      <c r="H926">
        <v>9.4578000000000007</v>
      </c>
      <c r="I926">
        <v>25.806799999999999</v>
      </c>
    </row>
    <row r="927" spans="1:9">
      <c r="A927" s="39">
        <v>43903</v>
      </c>
      <c r="B927" s="152">
        <v>8.8313000000000006</v>
      </c>
      <c r="C927">
        <f t="shared" si="44"/>
        <v>34.141525685321461</v>
      </c>
      <c r="D927">
        <f t="shared" si="45"/>
        <v>3.654800335495187</v>
      </c>
      <c r="E927">
        <f t="shared" si="46"/>
        <v>18.898163010408325</v>
      </c>
      <c r="G927" s="39">
        <v>43973</v>
      </c>
      <c r="H927">
        <v>9.3369999999999997</v>
      </c>
      <c r="I927">
        <v>25.757899999999999</v>
      </c>
    </row>
    <row r="928" spans="1:9">
      <c r="A928" s="39">
        <v>43902</v>
      </c>
      <c r="B928" s="152">
        <v>9.0884</v>
      </c>
      <c r="C928">
        <f t="shared" si="44"/>
        <v>34.141525685321461</v>
      </c>
      <c r="D928">
        <f t="shared" si="45"/>
        <v>3.654800335495187</v>
      </c>
      <c r="E928">
        <f t="shared" si="46"/>
        <v>18.898163010408325</v>
      </c>
      <c r="G928" s="39">
        <v>43972</v>
      </c>
      <c r="H928">
        <v>9.5566999999999993</v>
      </c>
      <c r="I928">
        <v>25.607299999999999</v>
      </c>
    </row>
    <row r="929" spans="1:9">
      <c r="A929" s="39">
        <v>43901</v>
      </c>
      <c r="B929" s="152">
        <v>9.7703000000000007</v>
      </c>
      <c r="C929">
        <f t="shared" si="44"/>
        <v>34.141525685321461</v>
      </c>
      <c r="D929">
        <f t="shared" si="45"/>
        <v>3.654800335495187</v>
      </c>
      <c r="E929">
        <f t="shared" si="46"/>
        <v>18.898163010408325</v>
      </c>
      <c r="G929" s="39">
        <v>43971</v>
      </c>
      <c r="H929">
        <v>9.5016999999999996</v>
      </c>
      <c r="I929">
        <v>25.0535</v>
      </c>
    </row>
    <row r="930" spans="1:9">
      <c r="A930" s="39">
        <v>43900</v>
      </c>
      <c r="B930" s="152">
        <v>10.4969</v>
      </c>
      <c r="C930">
        <f t="shared" si="44"/>
        <v>34.141525685321461</v>
      </c>
      <c r="D930">
        <f t="shared" si="45"/>
        <v>3.654800335495187</v>
      </c>
      <c r="E930">
        <f t="shared" si="46"/>
        <v>18.898163010408325</v>
      </c>
      <c r="G930" s="39">
        <v>43970</v>
      </c>
      <c r="H930">
        <v>9.5785999999999998</v>
      </c>
      <c r="I930">
        <v>25.2361</v>
      </c>
    </row>
    <row r="931" spans="1:9">
      <c r="A931" s="39">
        <v>43899</v>
      </c>
      <c r="B931" s="152">
        <v>10.720499999999999</v>
      </c>
      <c r="C931">
        <f t="shared" si="44"/>
        <v>34.141525685321461</v>
      </c>
      <c r="D931">
        <f t="shared" si="45"/>
        <v>3.654800335495187</v>
      </c>
      <c r="E931">
        <f t="shared" si="46"/>
        <v>18.898163010408325</v>
      </c>
      <c r="G931" s="39">
        <v>43969</v>
      </c>
      <c r="H931">
        <v>9.3918999999999997</v>
      </c>
      <c r="I931">
        <v>25.143699999999999</v>
      </c>
    </row>
    <row r="932" spans="1:9">
      <c r="A932" s="39">
        <v>43896</v>
      </c>
      <c r="B932" s="152">
        <v>11.525399999999999</v>
      </c>
      <c r="C932">
        <f t="shared" si="44"/>
        <v>34.141525685321461</v>
      </c>
      <c r="D932">
        <f t="shared" si="45"/>
        <v>3.654800335495187</v>
      </c>
      <c r="E932">
        <f t="shared" si="46"/>
        <v>18.898163010408325</v>
      </c>
      <c r="G932" s="39">
        <v>43966</v>
      </c>
      <c r="H932">
        <v>9.0183999999999997</v>
      </c>
      <c r="I932">
        <v>24.615100000000002</v>
      </c>
    </row>
    <row r="933" spans="1:9">
      <c r="A933" s="39">
        <v>43895</v>
      </c>
      <c r="B933" s="152">
        <v>11.793699999999999</v>
      </c>
      <c r="C933">
        <f t="shared" si="44"/>
        <v>34.141525685321461</v>
      </c>
      <c r="D933">
        <f t="shared" si="45"/>
        <v>3.654800335495187</v>
      </c>
      <c r="E933">
        <f t="shared" si="46"/>
        <v>18.898163010408325</v>
      </c>
      <c r="G933" s="39">
        <v>43965</v>
      </c>
      <c r="H933">
        <v>9.1173000000000002</v>
      </c>
      <c r="I933">
        <v>24.419799999999999</v>
      </c>
    </row>
    <row r="934" spans="1:9">
      <c r="A934" s="39">
        <v>43894</v>
      </c>
      <c r="B934" s="152">
        <v>11.849600000000001</v>
      </c>
      <c r="C934">
        <f t="shared" si="44"/>
        <v>34.141525685321461</v>
      </c>
      <c r="D934">
        <f t="shared" si="45"/>
        <v>3.654800335495187</v>
      </c>
      <c r="E934">
        <f t="shared" si="46"/>
        <v>18.898163010408325</v>
      </c>
      <c r="G934" s="39">
        <v>43964</v>
      </c>
      <c r="H934">
        <v>9.2161000000000008</v>
      </c>
      <c r="I934">
        <v>24.1373</v>
      </c>
    </row>
    <row r="935" spans="1:9">
      <c r="A935" s="39">
        <v>43893</v>
      </c>
      <c r="B935" s="152">
        <v>11.894299999999999</v>
      </c>
      <c r="C935">
        <f t="shared" si="44"/>
        <v>34.141525685321461</v>
      </c>
      <c r="D935">
        <f t="shared" si="45"/>
        <v>3.654800335495187</v>
      </c>
      <c r="E935">
        <f t="shared" si="46"/>
        <v>18.898163010408325</v>
      </c>
      <c r="G935" s="39">
        <v>43952</v>
      </c>
    </row>
    <row r="936" spans="1:9">
      <c r="A936" s="39">
        <v>43892</v>
      </c>
      <c r="B936" s="152">
        <v>11.9055</v>
      </c>
      <c r="C936">
        <f t="shared" si="44"/>
        <v>34.141525685321461</v>
      </c>
      <c r="D936">
        <f t="shared" si="45"/>
        <v>3.654800335495187</v>
      </c>
      <c r="E936">
        <f t="shared" si="46"/>
        <v>18.898163010408325</v>
      </c>
    </row>
    <row r="937" spans="1:9">
      <c r="A937" s="39">
        <v>43889</v>
      </c>
      <c r="B937" s="152">
        <v>11.9055</v>
      </c>
      <c r="C937">
        <f t="shared" si="44"/>
        <v>34.141525685321461</v>
      </c>
      <c r="D937">
        <f t="shared" si="45"/>
        <v>3.654800335495187</v>
      </c>
      <c r="E937">
        <f t="shared" si="46"/>
        <v>18.898163010408325</v>
      </c>
    </row>
    <row r="938" spans="1:9">
      <c r="A938" s="39">
        <v>43888</v>
      </c>
      <c r="B938" s="152">
        <v>12.117900000000001</v>
      </c>
      <c r="C938">
        <f t="shared" si="44"/>
        <v>34.141525685321461</v>
      </c>
      <c r="D938">
        <f t="shared" si="45"/>
        <v>3.654800335495187</v>
      </c>
      <c r="E938">
        <f t="shared" si="46"/>
        <v>18.898163010408325</v>
      </c>
    </row>
    <row r="939" spans="1:9">
      <c r="A939" s="39">
        <v>43887</v>
      </c>
      <c r="B939" s="152">
        <v>11.8719</v>
      </c>
      <c r="C939">
        <f t="shared" si="44"/>
        <v>34.141525685321461</v>
      </c>
      <c r="D939">
        <f t="shared" si="45"/>
        <v>3.654800335495187</v>
      </c>
      <c r="E939">
        <f t="shared" si="46"/>
        <v>18.898163010408325</v>
      </c>
    </row>
    <row r="940" spans="1:9">
      <c r="A940" s="39">
        <v>43886</v>
      </c>
      <c r="B940" s="152">
        <v>11.961399999999999</v>
      </c>
      <c r="C940">
        <f t="shared" si="44"/>
        <v>34.141525685321461</v>
      </c>
      <c r="D940">
        <f t="shared" si="45"/>
        <v>3.654800335495187</v>
      </c>
      <c r="E940">
        <f t="shared" si="46"/>
        <v>18.898163010408325</v>
      </c>
    </row>
    <row r="941" spans="1:9">
      <c r="A941" s="39">
        <v>43885</v>
      </c>
      <c r="B941" s="152">
        <v>11.8719</v>
      </c>
      <c r="C941">
        <f t="shared" si="44"/>
        <v>34.141525685321461</v>
      </c>
      <c r="D941">
        <f t="shared" si="45"/>
        <v>3.654800335495187</v>
      </c>
      <c r="E941">
        <f t="shared" si="46"/>
        <v>18.898163010408325</v>
      </c>
    </row>
    <row r="942" spans="1:9">
      <c r="A942" s="39">
        <v>43882</v>
      </c>
      <c r="B942" s="152">
        <v>12.363799999999999</v>
      </c>
      <c r="C942">
        <f t="shared" si="44"/>
        <v>34.141525685321461</v>
      </c>
      <c r="D942">
        <f t="shared" si="45"/>
        <v>3.654800335495187</v>
      </c>
      <c r="E942">
        <f t="shared" si="46"/>
        <v>18.898163010408325</v>
      </c>
    </row>
    <row r="943" spans="1:9">
      <c r="A943" s="39">
        <v>43881</v>
      </c>
      <c r="B943" s="152">
        <v>12.363799999999999</v>
      </c>
      <c r="C943">
        <f t="shared" si="44"/>
        <v>34.141525685321461</v>
      </c>
      <c r="D943">
        <f t="shared" si="45"/>
        <v>3.654800335495187</v>
      </c>
      <c r="E943">
        <f t="shared" si="46"/>
        <v>18.898163010408325</v>
      </c>
    </row>
    <row r="944" spans="1:9">
      <c r="A944" s="39">
        <v>43880</v>
      </c>
      <c r="B944" s="152">
        <v>12.352600000000001</v>
      </c>
      <c r="C944">
        <f t="shared" si="44"/>
        <v>34.141525685321461</v>
      </c>
      <c r="D944">
        <f t="shared" si="45"/>
        <v>3.654800335495187</v>
      </c>
      <c r="E944">
        <f t="shared" si="46"/>
        <v>18.898163010408325</v>
      </c>
    </row>
    <row r="945" spans="1:5">
      <c r="A945" s="39">
        <v>43879</v>
      </c>
      <c r="B945" s="152">
        <v>12.1738</v>
      </c>
      <c r="C945">
        <f t="shared" si="44"/>
        <v>34.141525685321461</v>
      </c>
      <c r="D945">
        <f t="shared" si="45"/>
        <v>3.654800335495187</v>
      </c>
      <c r="E945">
        <f t="shared" si="46"/>
        <v>18.898163010408325</v>
      </c>
    </row>
    <row r="946" spans="1:5">
      <c r="A946" s="39">
        <v>43878</v>
      </c>
      <c r="B946" s="152">
        <v>12.017300000000001</v>
      </c>
      <c r="C946">
        <f t="shared" si="44"/>
        <v>34.141525685321461</v>
      </c>
      <c r="D946">
        <f t="shared" si="45"/>
        <v>3.654800335495187</v>
      </c>
      <c r="E946">
        <f t="shared" si="46"/>
        <v>18.898163010408325</v>
      </c>
    </row>
    <row r="947" spans="1:5">
      <c r="A947" s="39">
        <v>43875</v>
      </c>
      <c r="B947" s="152">
        <v>11.9726</v>
      </c>
      <c r="C947">
        <f t="shared" si="44"/>
        <v>34.141525685321461</v>
      </c>
      <c r="D947">
        <f t="shared" si="45"/>
        <v>3.654800335495187</v>
      </c>
      <c r="E947">
        <f t="shared" si="46"/>
        <v>18.898163010408325</v>
      </c>
    </row>
    <row r="948" spans="1:5">
      <c r="A948" s="39">
        <v>43874</v>
      </c>
      <c r="B948" s="152">
        <v>12.0732</v>
      </c>
      <c r="C948">
        <f t="shared" si="44"/>
        <v>34.141525685321461</v>
      </c>
      <c r="D948">
        <f t="shared" si="45"/>
        <v>3.654800335495187</v>
      </c>
      <c r="E948">
        <f t="shared" si="46"/>
        <v>18.898163010408325</v>
      </c>
    </row>
    <row r="949" spans="1:5">
      <c r="A949" s="39">
        <v>43873</v>
      </c>
      <c r="B949" s="152">
        <v>12.185</v>
      </c>
      <c r="C949">
        <f t="shared" si="44"/>
        <v>34.141525685321461</v>
      </c>
      <c r="D949">
        <f t="shared" si="45"/>
        <v>3.654800335495187</v>
      </c>
      <c r="E949">
        <f t="shared" si="46"/>
        <v>18.898163010408325</v>
      </c>
    </row>
    <row r="950" spans="1:5">
      <c r="A950" s="39">
        <v>43872</v>
      </c>
      <c r="B950" s="152">
        <v>11.9055</v>
      </c>
      <c r="C950">
        <f t="shared" si="44"/>
        <v>34.141525685321461</v>
      </c>
      <c r="D950">
        <f t="shared" si="45"/>
        <v>3.654800335495187</v>
      </c>
      <c r="E950">
        <f t="shared" si="46"/>
        <v>18.898163010408325</v>
      </c>
    </row>
    <row r="951" spans="1:5">
      <c r="A951" s="39">
        <v>43871</v>
      </c>
      <c r="B951" s="152">
        <v>11.827199999999999</v>
      </c>
      <c r="C951">
        <f t="shared" si="44"/>
        <v>34.141525685321461</v>
      </c>
      <c r="D951">
        <f t="shared" si="45"/>
        <v>3.654800335495187</v>
      </c>
      <c r="E951">
        <f t="shared" si="46"/>
        <v>18.898163010408325</v>
      </c>
    </row>
    <row r="952" spans="1:5">
      <c r="A952" s="39">
        <v>43868</v>
      </c>
      <c r="B952" s="152">
        <v>12.151400000000001</v>
      </c>
      <c r="C952">
        <f t="shared" si="44"/>
        <v>34.141525685321461</v>
      </c>
      <c r="D952">
        <f t="shared" si="45"/>
        <v>3.654800335495187</v>
      </c>
      <c r="E952">
        <f t="shared" si="46"/>
        <v>18.898163010408325</v>
      </c>
    </row>
    <row r="953" spans="1:5">
      <c r="A953" s="39">
        <v>43867</v>
      </c>
      <c r="B953" s="152">
        <v>12.2408</v>
      </c>
      <c r="C953">
        <f t="shared" si="44"/>
        <v>34.141525685321461</v>
      </c>
      <c r="D953">
        <f t="shared" si="45"/>
        <v>3.654800335495187</v>
      </c>
      <c r="E953">
        <f t="shared" si="46"/>
        <v>18.898163010408325</v>
      </c>
    </row>
    <row r="954" spans="1:5">
      <c r="A954" s="39">
        <v>43866</v>
      </c>
      <c r="B954" s="152">
        <v>12.0732</v>
      </c>
      <c r="C954">
        <f t="shared" si="44"/>
        <v>34.141525685321461</v>
      </c>
      <c r="D954">
        <f t="shared" si="45"/>
        <v>3.654800335495187</v>
      </c>
      <c r="E954">
        <f t="shared" si="46"/>
        <v>18.898163010408325</v>
      </c>
    </row>
    <row r="955" spans="1:5">
      <c r="A955" s="39">
        <v>43865</v>
      </c>
      <c r="B955" s="152">
        <v>12.061999999999999</v>
      </c>
      <c r="C955">
        <f t="shared" si="44"/>
        <v>34.141525685321461</v>
      </c>
      <c r="D955">
        <f t="shared" si="45"/>
        <v>3.654800335495187</v>
      </c>
      <c r="E955">
        <f t="shared" si="46"/>
        <v>18.898163010408325</v>
      </c>
    </row>
    <row r="956" spans="1:5">
      <c r="A956" s="39">
        <v>43864</v>
      </c>
      <c r="B956" s="152">
        <v>12.162599999999999</v>
      </c>
      <c r="C956">
        <f t="shared" si="44"/>
        <v>34.141525685321461</v>
      </c>
      <c r="D956">
        <f t="shared" si="45"/>
        <v>3.654800335495187</v>
      </c>
      <c r="E956">
        <f t="shared" si="46"/>
        <v>18.898163010408325</v>
      </c>
    </row>
    <row r="957" spans="1:5">
      <c r="A957" s="39">
        <v>43861</v>
      </c>
      <c r="B957" s="152">
        <v>12.386200000000001</v>
      </c>
      <c r="C957">
        <f t="shared" si="44"/>
        <v>34.141525685321461</v>
      </c>
      <c r="D957">
        <f t="shared" si="45"/>
        <v>3.654800335495187</v>
      </c>
      <c r="E957">
        <f t="shared" si="46"/>
        <v>18.898163010408325</v>
      </c>
    </row>
    <row r="958" spans="1:5">
      <c r="A958" s="39">
        <v>43860</v>
      </c>
      <c r="B958" s="152">
        <v>12.7439</v>
      </c>
      <c r="C958">
        <f t="shared" si="44"/>
        <v>34.141525685321461</v>
      </c>
      <c r="D958">
        <f t="shared" si="45"/>
        <v>3.654800335495187</v>
      </c>
      <c r="E958">
        <f t="shared" si="46"/>
        <v>18.898163010408325</v>
      </c>
    </row>
    <row r="959" spans="1:5">
      <c r="A959" s="39">
        <v>43852</v>
      </c>
      <c r="B959" s="152">
        <v>13.325200000000001</v>
      </c>
      <c r="C959">
        <f t="shared" si="44"/>
        <v>34.141525685321461</v>
      </c>
      <c r="D959">
        <f t="shared" si="45"/>
        <v>3.654800335495187</v>
      </c>
      <c r="E959">
        <f t="shared" si="46"/>
        <v>18.898163010408325</v>
      </c>
    </row>
    <row r="960" spans="1:5">
      <c r="A960" s="39">
        <v>43851</v>
      </c>
      <c r="B960" s="152">
        <v>13.4146</v>
      </c>
      <c r="C960">
        <f t="shared" si="44"/>
        <v>34.141525685321461</v>
      </c>
      <c r="D960">
        <f t="shared" si="45"/>
        <v>3.654800335495187</v>
      </c>
      <c r="E960">
        <f t="shared" si="46"/>
        <v>18.898163010408325</v>
      </c>
    </row>
    <row r="961" spans="1:5">
      <c r="A961" s="39">
        <v>43850</v>
      </c>
      <c r="B961" s="152">
        <v>13.258100000000001</v>
      </c>
      <c r="C961">
        <f t="shared" si="44"/>
        <v>34.141525685321461</v>
      </c>
      <c r="D961">
        <f t="shared" si="45"/>
        <v>3.654800335495187</v>
      </c>
      <c r="E961">
        <f t="shared" si="46"/>
        <v>18.898163010408325</v>
      </c>
    </row>
    <row r="962" spans="1:5">
      <c r="A962" s="39">
        <v>43847</v>
      </c>
      <c r="B962" s="152">
        <v>12.9786</v>
      </c>
      <c r="C962">
        <f t="shared" si="44"/>
        <v>34.141525685321461</v>
      </c>
      <c r="D962">
        <f t="shared" si="45"/>
        <v>3.654800335495187</v>
      </c>
      <c r="E962">
        <f t="shared" si="46"/>
        <v>18.898163010408325</v>
      </c>
    </row>
    <row r="963" spans="1:5">
      <c r="A963" s="39">
        <v>43846</v>
      </c>
      <c r="B963" s="152">
        <v>12.900399999999999</v>
      </c>
      <c r="C963">
        <f t="shared" si="44"/>
        <v>34.141525685321461</v>
      </c>
      <c r="D963">
        <f t="shared" si="45"/>
        <v>3.654800335495187</v>
      </c>
      <c r="E963">
        <f t="shared" si="46"/>
        <v>18.898163010408325</v>
      </c>
    </row>
    <row r="964" spans="1:5">
      <c r="A964" s="39">
        <v>43845</v>
      </c>
      <c r="B964" s="152">
        <v>12.7439</v>
      </c>
      <c r="C964">
        <f t="shared" ref="C964:C1027" si="47">AVERAGE($B$3:$B$1251)+$C$1</f>
        <v>34.141525685321461</v>
      </c>
      <c r="D964">
        <f t="shared" ref="D964:D1027" si="48">AVERAGE($B$3:$B$1251)-$C$1</f>
        <v>3.654800335495187</v>
      </c>
      <c r="E964">
        <f t="shared" ref="E964:E1027" si="49">AVERAGE($B$3:$B$1251)</f>
        <v>18.898163010408325</v>
      </c>
    </row>
    <row r="965" spans="1:5">
      <c r="A965" s="39">
        <v>43844</v>
      </c>
      <c r="B965" s="152">
        <v>12.732699999999999</v>
      </c>
      <c r="C965">
        <f t="shared" si="47"/>
        <v>34.141525685321461</v>
      </c>
      <c r="D965">
        <f t="shared" si="48"/>
        <v>3.654800335495187</v>
      </c>
      <c r="E965">
        <f t="shared" si="49"/>
        <v>18.898163010408325</v>
      </c>
    </row>
    <row r="966" spans="1:5">
      <c r="A966" s="39">
        <v>43843</v>
      </c>
      <c r="B966" s="152">
        <v>12.799799999999999</v>
      </c>
      <c r="C966">
        <f t="shared" si="47"/>
        <v>34.141525685321461</v>
      </c>
      <c r="D966">
        <f t="shared" si="48"/>
        <v>3.654800335495187</v>
      </c>
      <c r="E966">
        <f t="shared" si="49"/>
        <v>18.898163010408325</v>
      </c>
    </row>
    <row r="967" spans="1:5">
      <c r="A967" s="39">
        <v>43840</v>
      </c>
      <c r="B967" s="152">
        <v>12.866899999999999</v>
      </c>
      <c r="C967">
        <f t="shared" si="47"/>
        <v>34.141525685321461</v>
      </c>
      <c r="D967">
        <f t="shared" si="48"/>
        <v>3.654800335495187</v>
      </c>
      <c r="E967">
        <f t="shared" si="49"/>
        <v>18.898163010408325</v>
      </c>
    </row>
    <row r="968" spans="1:5">
      <c r="A968" s="39">
        <v>43839</v>
      </c>
      <c r="B968" s="152">
        <v>12.799799999999999</v>
      </c>
      <c r="C968">
        <f t="shared" si="47"/>
        <v>34.141525685321461</v>
      </c>
      <c r="D968">
        <f t="shared" si="48"/>
        <v>3.654800335495187</v>
      </c>
      <c r="E968">
        <f t="shared" si="49"/>
        <v>18.898163010408325</v>
      </c>
    </row>
    <row r="969" spans="1:5">
      <c r="A969" s="39">
        <v>43838</v>
      </c>
      <c r="B969" s="152">
        <v>12.6097</v>
      </c>
      <c r="C969">
        <f t="shared" si="47"/>
        <v>34.141525685321461</v>
      </c>
      <c r="D969">
        <f t="shared" si="48"/>
        <v>3.654800335495187</v>
      </c>
      <c r="E969">
        <f t="shared" si="49"/>
        <v>18.898163010408325</v>
      </c>
    </row>
    <row r="970" spans="1:5">
      <c r="A970" s="39">
        <v>43837</v>
      </c>
      <c r="B970" s="152">
        <v>12.922800000000001</v>
      </c>
      <c r="C970">
        <f t="shared" si="47"/>
        <v>34.141525685321461</v>
      </c>
      <c r="D970">
        <f t="shared" si="48"/>
        <v>3.654800335495187</v>
      </c>
      <c r="E970">
        <f t="shared" si="49"/>
        <v>18.898163010408325</v>
      </c>
    </row>
    <row r="971" spans="1:5">
      <c r="A971" s="39">
        <v>43836</v>
      </c>
      <c r="B971" s="152">
        <v>12.822100000000001</v>
      </c>
      <c r="C971">
        <f t="shared" si="47"/>
        <v>34.141525685321461</v>
      </c>
      <c r="D971">
        <f t="shared" si="48"/>
        <v>3.654800335495187</v>
      </c>
      <c r="E971">
        <f t="shared" si="49"/>
        <v>18.898163010408325</v>
      </c>
    </row>
    <row r="972" spans="1:5">
      <c r="A972" s="39">
        <v>43833</v>
      </c>
      <c r="B972" s="152">
        <v>12.889200000000001</v>
      </c>
      <c r="C972">
        <f t="shared" si="47"/>
        <v>34.141525685321461</v>
      </c>
      <c r="D972">
        <f t="shared" si="48"/>
        <v>3.654800335495187</v>
      </c>
      <c r="E972">
        <f t="shared" si="49"/>
        <v>18.898163010408325</v>
      </c>
    </row>
    <row r="973" spans="1:5">
      <c r="A973" s="39">
        <v>43832</v>
      </c>
      <c r="B973" s="152">
        <v>13.0793</v>
      </c>
      <c r="C973">
        <f t="shared" si="47"/>
        <v>34.141525685321461</v>
      </c>
      <c r="D973">
        <f t="shared" si="48"/>
        <v>3.654800335495187</v>
      </c>
      <c r="E973">
        <f t="shared" si="49"/>
        <v>18.898163010408325</v>
      </c>
    </row>
    <row r="974" spans="1:5">
      <c r="A974" s="39">
        <v>43830</v>
      </c>
      <c r="B974" s="152">
        <v>12.7439</v>
      </c>
      <c r="C974">
        <f t="shared" si="47"/>
        <v>34.141525685321461</v>
      </c>
      <c r="D974">
        <f t="shared" si="48"/>
        <v>3.654800335495187</v>
      </c>
      <c r="E974">
        <f t="shared" si="49"/>
        <v>18.898163010408325</v>
      </c>
    </row>
    <row r="975" spans="1:5">
      <c r="A975" s="39">
        <v>43829</v>
      </c>
      <c r="B975" s="152">
        <v>13.2554</v>
      </c>
      <c r="C975">
        <f t="shared" si="47"/>
        <v>34.141525685321461</v>
      </c>
      <c r="D975">
        <f t="shared" si="48"/>
        <v>3.654800335495187</v>
      </c>
      <c r="E975">
        <f t="shared" si="49"/>
        <v>18.898163010408325</v>
      </c>
    </row>
    <row r="976" spans="1:5">
      <c r="A976" s="39">
        <v>43826</v>
      </c>
      <c r="B976" s="152">
        <v>13.1973</v>
      </c>
      <c r="C976">
        <f t="shared" si="47"/>
        <v>34.141525685321461</v>
      </c>
      <c r="D976">
        <f t="shared" si="48"/>
        <v>3.654800335495187</v>
      </c>
      <c r="E976">
        <f t="shared" si="49"/>
        <v>18.898163010408325</v>
      </c>
    </row>
    <row r="977" spans="1:5">
      <c r="A977" s="39">
        <v>43825</v>
      </c>
      <c r="B977" s="152">
        <v>13.173999999999999</v>
      </c>
      <c r="C977">
        <f t="shared" si="47"/>
        <v>34.141525685321461</v>
      </c>
      <c r="D977">
        <f t="shared" si="48"/>
        <v>3.654800335495187</v>
      </c>
      <c r="E977">
        <f t="shared" si="49"/>
        <v>18.898163010408325</v>
      </c>
    </row>
    <row r="978" spans="1:5">
      <c r="A978" s="39">
        <v>43824</v>
      </c>
      <c r="B978" s="152">
        <v>13.2438</v>
      </c>
      <c r="C978">
        <f t="shared" si="47"/>
        <v>34.141525685321461</v>
      </c>
      <c r="D978">
        <f t="shared" si="48"/>
        <v>3.654800335495187</v>
      </c>
      <c r="E978">
        <f t="shared" si="49"/>
        <v>18.898163010408325</v>
      </c>
    </row>
    <row r="979" spans="1:5">
      <c r="A979" s="39">
        <v>43823</v>
      </c>
      <c r="B979" s="152">
        <v>12.9415</v>
      </c>
      <c r="C979">
        <f t="shared" si="47"/>
        <v>34.141525685321461</v>
      </c>
      <c r="D979">
        <f t="shared" si="48"/>
        <v>3.654800335495187</v>
      </c>
      <c r="E979">
        <f t="shared" si="49"/>
        <v>18.898163010408325</v>
      </c>
    </row>
    <row r="980" spans="1:5">
      <c r="A980" s="39">
        <v>43822</v>
      </c>
      <c r="B980" s="152">
        <v>12.906599999999999</v>
      </c>
      <c r="C980">
        <f t="shared" si="47"/>
        <v>34.141525685321461</v>
      </c>
      <c r="D980">
        <f t="shared" si="48"/>
        <v>3.654800335495187</v>
      </c>
      <c r="E980">
        <f t="shared" si="49"/>
        <v>18.898163010408325</v>
      </c>
    </row>
    <row r="981" spans="1:5">
      <c r="A981" s="39">
        <v>43819</v>
      </c>
      <c r="B981" s="152">
        <v>12.871700000000001</v>
      </c>
      <c r="C981">
        <f t="shared" si="47"/>
        <v>34.141525685321461</v>
      </c>
      <c r="D981">
        <f t="shared" si="48"/>
        <v>3.654800335495187</v>
      </c>
      <c r="E981">
        <f t="shared" si="49"/>
        <v>18.898163010408325</v>
      </c>
    </row>
    <row r="982" spans="1:5">
      <c r="A982" s="39">
        <v>43818</v>
      </c>
      <c r="B982" s="152">
        <v>12.7903</v>
      </c>
      <c r="C982">
        <f t="shared" si="47"/>
        <v>34.141525685321461</v>
      </c>
      <c r="D982">
        <f t="shared" si="48"/>
        <v>3.654800335495187</v>
      </c>
      <c r="E982">
        <f t="shared" si="49"/>
        <v>18.898163010408325</v>
      </c>
    </row>
    <row r="983" spans="1:5">
      <c r="A983" s="39">
        <v>43817</v>
      </c>
      <c r="B983" s="152">
        <v>12.7903</v>
      </c>
      <c r="C983">
        <f t="shared" si="47"/>
        <v>34.141525685321461</v>
      </c>
      <c r="D983">
        <f t="shared" si="48"/>
        <v>3.654800335495187</v>
      </c>
      <c r="E983">
        <f t="shared" si="49"/>
        <v>18.898163010408325</v>
      </c>
    </row>
    <row r="984" spans="1:5">
      <c r="A984" s="39">
        <v>43816</v>
      </c>
      <c r="B984" s="152">
        <v>13.173999999999999</v>
      </c>
      <c r="C984">
        <f t="shared" si="47"/>
        <v>34.141525685321461</v>
      </c>
      <c r="D984">
        <f t="shared" si="48"/>
        <v>3.654800335495187</v>
      </c>
      <c r="E984">
        <f t="shared" si="49"/>
        <v>18.898163010408325</v>
      </c>
    </row>
    <row r="985" spans="1:5">
      <c r="A985" s="39">
        <v>43815</v>
      </c>
      <c r="B985" s="152">
        <v>13.1624</v>
      </c>
      <c r="C985">
        <f t="shared" si="47"/>
        <v>34.141525685321461</v>
      </c>
      <c r="D985">
        <f t="shared" si="48"/>
        <v>3.654800335495187</v>
      </c>
      <c r="E985">
        <f t="shared" si="49"/>
        <v>18.898163010408325</v>
      </c>
    </row>
    <row r="986" spans="1:5">
      <c r="A986" s="39">
        <v>43812</v>
      </c>
      <c r="B986" s="152">
        <v>13.139200000000001</v>
      </c>
      <c r="C986">
        <f t="shared" si="47"/>
        <v>34.141525685321461</v>
      </c>
      <c r="D986">
        <f t="shared" si="48"/>
        <v>3.654800335495187</v>
      </c>
      <c r="E986">
        <f t="shared" si="49"/>
        <v>18.898163010408325</v>
      </c>
    </row>
    <row r="987" spans="1:5">
      <c r="A987" s="39">
        <v>43811</v>
      </c>
      <c r="B987" s="152">
        <v>13.185700000000001</v>
      </c>
      <c r="C987">
        <f t="shared" si="47"/>
        <v>34.141525685321461</v>
      </c>
      <c r="D987">
        <f t="shared" si="48"/>
        <v>3.654800335495187</v>
      </c>
      <c r="E987">
        <f t="shared" si="49"/>
        <v>18.898163010408325</v>
      </c>
    </row>
    <row r="988" spans="1:5">
      <c r="A988" s="39">
        <v>43810</v>
      </c>
      <c r="B988" s="152">
        <v>13.139200000000001</v>
      </c>
      <c r="C988">
        <f t="shared" si="47"/>
        <v>34.141525685321461</v>
      </c>
      <c r="D988">
        <f t="shared" si="48"/>
        <v>3.654800335495187</v>
      </c>
      <c r="E988">
        <f t="shared" si="49"/>
        <v>18.898163010408325</v>
      </c>
    </row>
    <row r="989" spans="1:5">
      <c r="A989" s="39">
        <v>43809</v>
      </c>
      <c r="B989" s="152">
        <v>12.906599999999999</v>
      </c>
      <c r="C989">
        <f t="shared" si="47"/>
        <v>34.141525685321461</v>
      </c>
      <c r="D989">
        <f t="shared" si="48"/>
        <v>3.654800335495187</v>
      </c>
      <c r="E989">
        <f t="shared" si="49"/>
        <v>18.898163010408325</v>
      </c>
    </row>
    <row r="990" spans="1:5">
      <c r="A990" s="39">
        <v>43808</v>
      </c>
      <c r="B990" s="152">
        <v>12.895</v>
      </c>
      <c r="C990">
        <f t="shared" si="47"/>
        <v>34.141525685321461</v>
      </c>
      <c r="D990">
        <f t="shared" si="48"/>
        <v>3.654800335495187</v>
      </c>
      <c r="E990">
        <f t="shared" si="49"/>
        <v>18.898163010408325</v>
      </c>
    </row>
    <row r="991" spans="1:5">
      <c r="A991" s="39">
        <v>43805</v>
      </c>
      <c r="B991" s="152">
        <v>12.8833</v>
      </c>
      <c r="C991">
        <f t="shared" si="47"/>
        <v>34.141525685321461</v>
      </c>
      <c r="D991">
        <f t="shared" si="48"/>
        <v>3.654800335495187</v>
      </c>
      <c r="E991">
        <f t="shared" si="49"/>
        <v>18.898163010408325</v>
      </c>
    </row>
    <row r="992" spans="1:5">
      <c r="A992" s="39">
        <v>43804</v>
      </c>
      <c r="B992" s="152">
        <v>12.860099999999999</v>
      </c>
      <c r="C992">
        <f t="shared" si="47"/>
        <v>34.141525685321461</v>
      </c>
      <c r="D992">
        <f t="shared" si="48"/>
        <v>3.654800335495187</v>
      </c>
      <c r="E992">
        <f t="shared" si="49"/>
        <v>18.898163010408325</v>
      </c>
    </row>
    <row r="993" spans="1:5">
      <c r="A993" s="39">
        <v>43803</v>
      </c>
      <c r="B993" s="152">
        <v>13.139200000000001</v>
      </c>
      <c r="C993">
        <f t="shared" si="47"/>
        <v>34.141525685321461</v>
      </c>
      <c r="D993">
        <f t="shared" si="48"/>
        <v>3.654800335495187</v>
      </c>
      <c r="E993">
        <f t="shared" si="49"/>
        <v>18.898163010408325</v>
      </c>
    </row>
    <row r="994" spans="1:5">
      <c r="A994" s="39">
        <v>43802</v>
      </c>
      <c r="B994" s="152">
        <v>12.6973</v>
      </c>
      <c r="C994">
        <f t="shared" si="47"/>
        <v>34.141525685321461</v>
      </c>
      <c r="D994">
        <f t="shared" si="48"/>
        <v>3.654800335495187</v>
      </c>
      <c r="E994">
        <f t="shared" si="49"/>
        <v>18.898163010408325</v>
      </c>
    </row>
    <row r="995" spans="1:5">
      <c r="A995" s="39">
        <v>43801</v>
      </c>
      <c r="B995" s="152">
        <v>12.6043</v>
      </c>
      <c r="C995">
        <f t="shared" si="47"/>
        <v>34.141525685321461</v>
      </c>
      <c r="D995">
        <f t="shared" si="48"/>
        <v>3.654800335495187</v>
      </c>
      <c r="E995">
        <f t="shared" si="49"/>
        <v>18.898163010408325</v>
      </c>
    </row>
    <row r="996" spans="1:5">
      <c r="A996" s="39">
        <v>43798</v>
      </c>
      <c r="B996" s="152">
        <v>12.674099999999999</v>
      </c>
      <c r="C996">
        <f t="shared" si="47"/>
        <v>34.141525685321461</v>
      </c>
      <c r="D996">
        <f t="shared" si="48"/>
        <v>3.654800335495187</v>
      </c>
      <c r="E996">
        <f t="shared" si="49"/>
        <v>18.898163010408325</v>
      </c>
    </row>
    <row r="997" spans="1:5">
      <c r="A997" s="39">
        <v>43797</v>
      </c>
      <c r="B997" s="152">
        <v>12.674099999999999</v>
      </c>
      <c r="C997">
        <f t="shared" si="47"/>
        <v>34.141525685321461</v>
      </c>
      <c r="D997">
        <f t="shared" si="48"/>
        <v>3.654800335495187</v>
      </c>
      <c r="E997">
        <f t="shared" si="49"/>
        <v>18.898163010408325</v>
      </c>
    </row>
    <row r="998" spans="1:5">
      <c r="A998" s="39">
        <v>43796</v>
      </c>
      <c r="B998" s="152">
        <v>13.1624</v>
      </c>
      <c r="C998">
        <f t="shared" si="47"/>
        <v>34.141525685321461</v>
      </c>
      <c r="D998">
        <f t="shared" si="48"/>
        <v>3.654800335495187</v>
      </c>
      <c r="E998">
        <f t="shared" si="49"/>
        <v>18.898163010408325</v>
      </c>
    </row>
    <row r="999" spans="1:5">
      <c r="A999" s="39">
        <v>43795</v>
      </c>
      <c r="B999" s="152">
        <v>13.1973</v>
      </c>
      <c r="C999">
        <f t="shared" si="47"/>
        <v>34.141525685321461</v>
      </c>
      <c r="D999">
        <f t="shared" si="48"/>
        <v>3.654800335495187</v>
      </c>
      <c r="E999">
        <f t="shared" si="49"/>
        <v>18.898163010408325</v>
      </c>
    </row>
    <row r="1000" spans="1:5">
      <c r="A1000" s="39">
        <v>43794</v>
      </c>
      <c r="B1000" s="152">
        <v>13.0229</v>
      </c>
      <c r="C1000">
        <f t="shared" si="47"/>
        <v>34.141525685321461</v>
      </c>
      <c r="D1000">
        <f t="shared" si="48"/>
        <v>3.654800335495187</v>
      </c>
      <c r="E1000">
        <f t="shared" si="49"/>
        <v>18.898163010408325</v>
      </c>
    </row>
    <row r="1001" spans="1:5">
      <c r="A1001" s="39">
        <v>43791</v>
      </c>
      <c r="B1001" s="152">
        <v>13.0229</v>
      </c>
      <c r="C1001">
        <f t="shared" si="47"/>
        <v>34.141525685321461</v>
      </c>
      <c r="D1001">
        <f t="shared" si="48"/>
        <v>3.654800335495187</v>
      </c>
      <c r="E1001">
        <f t="shared" si="49"/>
        <v>18.898163010408325</v>
      </c>
    </row>
    <row r="1002" spans="1:5">
      <c r="A1002" s="39">
        <v>43790</v>
      </c>
      <c r="B1002" s="152">
        <v>13.1973</v>
      </c>
      <c r="C1002">
        <f t="shared" si="47"/>
        <v>34.141525685321461</v>
      </c>
      <c r="D1002">
        <f t="shared" si="48"/>
        <v>3.654800335495187</v>
      </c>
      <c r="E1002">
        <f t="shared" si="49"/>
        <v>18.898163010408325</v>
      </c>
    </row>
    <row r="1003" spans="1:5">
      <c r="A1003" s="39">
        <v>43789</v>
      </c>
      <c r="B1003" s="152">
        <v>13.6159</v>
      </c>
      <c r="C1003">
        <f t="shared" si="47"/>
        <v>34.141525685321461</v>
      </c>
      <c r="D1003">
        <f t="shared" si="48"/>
        <v>3.654800335495187</v>
      </c>
      <c r="E1003">
        <f t="shared" si="49"/>
        <v>18.898163010408325</v>
      </c>
    </row>
    <row r="1004" spans="1:5">
      <c r="A1004" s="39">
        <v>43788</v>
      </c>
      <c r="B1004" s="152">
        <v>13.8368</v>
      </c>
      <c r="C1004">
        <f t="shared" si="47"/>
        <v>34.141525685321461</v>
      </c>
      <c r="D1004">
        <f t="shared" si="48"/>
        <v>3.654800335495187</v>
      </c>
      <c r="E1004">
        <f t="shared" si="49"/>
        <v>18.898163010408325</v>
      </c>
    </row>
    <row r="1005" spans="1:5">
      <c r="A1005" s="39">
        <v>43787</v>
      </c>
      <c r="B1005" s="152">
        <v>13.6973</v>
      </c>
      <c r="C1005">
        <f t="shared" si="47"/>
        <v>34.141525685321461</v>
      </c>
      <c r="D1005">
        <f t="shared" si="48"/>
        <v>3.654800335495187</v>
      </c>
      <c r="E1005">
        <f t="shared" si="49"/>
        <v>18.898163010408325</v>
      </c>
    </row>
    <row r="1006" spans="1:5">
      <c r="A1006" s="39">
        <v>43784</v>
      </c>
      <c r="B1006" s="152">
        <v>13.778700000000001</v>
      </c>
      <c r="C1006">
        <f t="shared" si="47"/>
        <v>34.141525685321461</v>
      </c>
      <c r="D1006">
        <f t="shared" si="48"/>
        <v>3.654800335495187</v>
      </c>
      <c r="E1006">
        <f t="shared" si="49"/>
        <v>18.898163010408325</v>
      </c>
    </row>
    <row r="1007" spans="1:5">
      <c r="A1007" s="39">
        <v>43783</v>
      </c>
      <c r="B1007" s="152">
        <v>13.581</v>
      </c>
      <c r="C1007">
        <f t="shared" si="47"/>
        <v>34.141525685321461</v>
      </c>
      <c r="D1007">
        <f t="shared" si="48"/>
        <v>3.654800335495187</v>
      </c>
      <c r="E1007">
        <f t="shared" si="49"/>
        <v>18.898163010408325</v>
      </c>
    </row>
    <row r="1008" spans="1:5">
      <c r="A1008" s="39">
        <v>43782</v>
      </c>
      <c r="B1008" s="152">
        <v>13.9415</v>
      </c>
      <c r="C1008">
        <f t="shared" si="47"/>
        <v>34.141525685321461</v>
      </c>
      <c r="D1008">
        <f t="shared" si="48"/>
        <v>3.654800335495187</v>
      </c>
      <c r="E1008">
        <f t="shared" si="49"/>
        <v>18.898163010408325</v>
      </c>
    </row>
    <row r="1009" spans="1:5">
      <c r="A1009" s="39">
        <v>43781</v>
      </c>
      <c r="B1009" s="152">
        <v>14.220499999999999</v>
      </c>
      <c r="C1009">
        <f t="shared" si="47"/>
        <v>34.141525685321461</v>
      </c>
      <c r="D1009">
        <f t="shared" si="48"/>
        <v>3.654800335495187</v>
      </c>
      <c r="E1009">
        <f t="shared" si="49"/>
        <v>18.898163010408325</v>
      </c>
    </row>
    <row r="1010" spans="1:5">
      <c r="A1010" s="39">
        <v>43780</v>
      </c>
      <c r="B1010" s="152">
        <v>14.173999999999999</v>
      </c>
      <c r="C1010">
        <f t="shared" si="47"/>
        <v>34.141525685321461</v>
      </c>
      <c r="D1010">
        <f t="shared" si="48"/>
        <v>3.654800335495187</v>
      </c>
      <c r="E1010">
        <f t="shared" si="49"/>
        <v>18.898163010408325</v>
      </c>
    </row>
    <row r="1011" spans="1:5">
      <c r="A1011" s="39">
        <v>43777</v>
      </c>
      <c r="B1011" s="152">
        <v>14.488</v>
      </c>
      <c r="C1011">
        <f t="shared" si="47"/>
        <v>34.141525685321461</v>
      </c>
      <c r="D1011">
        <f t="shared" si="48"/>
        <v>3.654800335495187</v>
      </c>
      <c r="E1011">
        <f t="shared" si="49"/>
        <v>18.898163010408325</v>
      </c>
    </row>
    <row r="1012" spans="1:5">
      <c r="A1012" s="39">
        <v>43776</v>
      </c>
      <c r="B1012" s="152">
        <v>14.5693</v>
      </c>
      <c r="C1012">
        <f t="shared" si="47"/>
        <v>34.141525685321461</v>
      </c>
      <c r="D1012">
        <f t="shared" si="48"/>
        <v>3.654800335495187</v>
      </c>
      <c r="E1012">
        <f t="shared" si="49"/>
        <v>18.898163010408325</v>
      </c>
    </row>
    <row r="1013" spans="1:5">
      <c r="A1013" s="39">
        <v>43775</v>
      </c>
      <c r="B1013" s="152">
        <v>14.488</v>
      </c>
      <c r="C1013">
        <f t="shared" si="47"/>
        <v>34.141525685321461</v>
      </c>
      <c r="D1013">
        <f t="shared" si="48"/>
        <v>3.654800335495187</v>
      </c>
      <c r="E1013">
        <f t="shared" si="49"/>
        <v>18.898163010408325</v>
      </c>
    </row>
    <row r="1014" spans="1:5">
      <c r="A1014" s="39">
        <v>43774</v>
      </c>
      <c r="B1014" s="152">
        <v>14.604200000000001</v>
      </c>
      <c r="C1014">
        <f t="shared" si="47"/>
        <v>34.141525685321461</v>
      </c>
      <c r="D1014">
        <f t="shared" si="48"/>
        <v>3.654800335495187</v>
      </c>
      <c r="E1014">
        <f t="shared" si="49"/>
        <v>18.898163010408325</v>
      </c>
    </row>
    <row r="1015" spans="1:5">
      <c r="A1015" s="39">
        <v>43773</v>
      </c>
      <c r="B1015" s="152">
        <v>14.6624</v>
      </c>
      <c r="C1015">
        <f t="shared" si="47"/>
        <v>34.141525685321461</v>
      </c>
      <c r="D1015">
        <f t="shared" si="48"/>
        <v>3.654800335495187</v>
      </c>
      <c r="E1015">
        <f t="shared" si="49"/>
        <v>18.898163010408325</v>
      </c>
    </row>
    <row r="1016" spans="1:5">
      <c r="A1016" s="39">
        <v>43770</v>
      </c>
      <c r="B1016" s="152">
        <v>14.557700000000001</v>
      </c>
      <c r="C1016">
        <f t="shared" si="47"/>
        <v>34.141525685321461</v>
      </c>
      <c r="D1016">
        <f t="shared" si="48"/>
        <v>3.654800335495187</v>
      </c>
      <c r="E1016">
        <f t="shared" si="49"/>
        <v>18.898163010408325</v>
      </c>
    </row>
    <row r="1017" spans="1:5">
      <c r="A1017" s="39">
        <v>43769</v>
      </c>
      <c r="B1017" s="152">
        <v>14.488</v>
      </c>
      <c r="C1017">
        <f t="shared" si="47"/>
        <v>34.141525685321461</v>
      </c>
      <c r="D1017">
        <f t="shared" si="48"/>
        <v>3.654800335495187</v>
      </c>
      <c r="E1017">
        <f t="shared" si="49"/>
        <v>18.898163010408325</v>
      </c>
    </row>
    <row r="1018" spans="1:5">
      <c r="A1018" s="39">
        <v>43768</v>
      </c>
      <c r="B1018" s="152">
        <v>14.5228</v>
      </c>
      <c r="C1018">
        <f t="shared" si="47"/>
        <v>34.141525685321461</v>
      </c>
      <c r="D1018">
        <f t="shared" si="48"/>
        <v>3.654800335495187</v>
      </c>
      <c r="E1018">
        <f t="shared" si="49"/>
        <v>18.898163010408325</v>
      </c>
    </row>
    <row r="1019" spans="1:5">
      <c r="A1019" s="39">
        <v>43767</v>
      </c>
      <c r="B1019" s="152">
        <v>14.766999999999999</v>
      </c>
      <c r="C1019">
        <f t="shared" si="47"/>
        <v>34.141525685321461</v>
      </c>
      <c r="D1019">
        <f t="shared" si="48"/>
        <v>3.654800335495187</v>
      </c>
      <c r="E1019">
        <f t="shared" si="49"/>
        <v>18.898163010408325</v>
      </c>
    </row>
    <row r="1020" spans="1:5">
      <c r="A1020" s="39">
        <v>43766</v>
      </c>
      <c r="B1020" s="152">
        <v>14.8368</v>
      </c>
      <c r="C1020">
        <f t="shared" si="47"/>
        <v>34.141525685321461</v>
      </c>
      <c r="D1020">
        <f t="shared" si="48"/>
        <v>3.654800335495187</v>
      </c>
      <c r="E1020">
        <f t="shared" si="49"/>
        <v>18.898163010408325</v>
      </c>
    </row>
    <row r="1021" spans="1:5">
      <c r="A1021" s="39">
        <v>43763</v>
      </c>
      <c r="B1021" s="152">
        <v>14.871700000000001</v>
      </c>
      <c r="C1021">
        <f t="shared" si="47"/>
        <v>34.141525685321461</v>
      </c>
      <c r="D1021">
        <f t="shared" si="48"/>
        <v>3.654800335495187</v>
      </c>
      <c r="E1021">
        <f t="shared" si="49"/>
        <v>18.898163010408325</v>
      </c>
    </row>
    <row r="1022" spans="1:5">
      <c r="A1022" s="39">
        <v>43762</v>
      </c>
      <c r="B1022" s="152">
        <v>14.825200000000001</v>
      </c>
      <c r="C1022">
        <f t="shared" si="47"/>
        <v>34.141525685321461</v>
      </c>
      <c r="D1022">
        <f t="shared" si="48"/>
        <v>3.654800335495187</v>
      </c>
      <c r="E1022">
        <f t="shared" si="49"/>
        <v>18.898163010408325</v>
      </c>
    </row>
    <row r="1023" spans="1:5">
      <c r="A1023" s="39">
        <v>43761</v>
      </c>
      <c r="B1023" s="152">
        <v>14.325200000000001</v>
      </c>
      <c r="C1023">
        <f t="shared" si="47"/>
        <v>34.141525685321461</v>
      </c>
      <c r="D1023">
        <f t="shared" si="48"/>
        <v>3.654800335495187</v>
      </c>
      <c r="E1023">
        <f t="shared" si="49"/>
        <v>18.898163010408325</v>
      </c>
    </row>
    <row r="1024" spans="1:5">
      <c r="A1024" s="39">
        <v>43760</v>
      </c>
      <c r="B1024" s="152">
        <v>14.313499999999999</v>
      </c>
      <c r="C1024">
        <f t="shared" si="47"/>
        <v>34.141525685321461</v>
      </c>
      <c r="D1024">
        <f t="shared" si="48"/>
        <v>3.654800335495187</v>
      </c>
      <c r="E1024">
        <f t="shared" si="49"/>
        <v>18.898163010408325</v>
      </c>
    </row>
    <row r="1025" spans="1:5">
      <c r="A1025" s="39">
        <v>43759</v>
      </c>
      <c r="B1025" s="152">
        <v>14.2903</v>
      </c>
      <c r="C1025">
        <f t="shared" si="47"/>
        <v>34.141525685321461</v>
      </c>
      <c r="D1025">
        <f t="shared" si="48"/>
        <v>3.654800335495187</v>
      </c>
      <c r="E1025">
        <f t="shared" si="49"/>
        <v>18.898163010408325</v>
      </c>
    </row>
    <row r="1026" spans="1:5">
      <c r="A1026" s="39">
        <v>43756</v>
      </c>
      <c r="B1026" s="152">
        <v>14.2903</v>
      </c>
      <c r="C1026">
        <f t="shared" si="47"/>
        <v>34.141525685321461</v>
      </c>
      <c r="D1026">
        <f t="shared" si="48"/>
        <v>3.654800335495187</v>
      </c>
      <c r="E1026">
        <f t="shared" si="49"/>
        <v>18.898163010408325</v>
      </c>
    </row>
    <row r="1027" spans="1:5">
      <c r="A1027" s="39">
        <v>43755</v>
      </c>
      <c r="B1027" s="152">
        <v>14.2903</v>
      </c>
      <c r="C1027">
        <f t="shared" si="47"/>
        <v>34.141525685321461</v>
      </c>
      <c r="D1027">
        <f t="shared" si="48"/>
        <v>3.654800335495187</v>
      </c>
      <c r="E1027">
        <f t="shared" si="49"/>
        <v>18.898163010408325</v>
      </c>
    </row>
    <row r="1028" spans="1:5">
      <c r="A1028" s="39">
        <v>43754</v>
      </c>
      <c r="B1028" s="152">
        <v>14.546099999999999</v>
      </c>
      <c r="C1028">
        <f t="shared" ref="C1028:C1091" si="50">AVERAGE($B$3:$B$1251)+$C$1</f>
        <v>34.141525685321461</v>
      </c>
      <c r="D1028">
        <f t="shared" ref="D1028:D1091" si="51">AVERAGE($B$3:$B$1251)-$C$1</f>
        <v>3.654800335495187</v>
      </c>
      <c r="E1028">
        <f t="shared" ref="E1028:E1091" si="52">AVERAGE($B$3:$B$1251)</f>
        <v>18.898163010408325</v>
      </c>
    </row>
    <row r="1029" spans="1:5">
      <c r="A1029" s="39">
        <v>43753</v>
      </c>
      <c r="B1029" s="152">
        <v>14.592599999999999</v>
      </c>
      <c r="C1029">
        <f t="shared" si="50"/>
        <v>34.141525685321461</v>
      </c>
      <c r="D1029">
        <f t="shared" si="51"/>
        <v>3.654800335495187</v>
      </c>
      <c r="E1029">
        <f t="shared" si="52"/>
        <v>18.898163010408325</v>
      </c>
    </row>
    <row r="1030" spans="1:5">
      <c r="A1030" s="39">
        <v>43752</v>
      </c>
      <c r="B1030" s="152">
        <v>14.499599999999999</v>
      </c>
      <c r="C1030">
        <f t="shared" si="50"/>
        <v>34.141525685321461</v>
      </c>
      <c r="D1030">
        <f t="shared" si="51"/>
        <v>3.654800335495187</v>
      </c>
      <c r="E1030">
        <f t="shared" si="52"/>
        <v>18.898163010408325</v>
      </c>
    </row>
    <row r="1031" spans="1:5">
      <c r="A1031" s="39">
        <v>43749</v>
      </c>
      <c r="B1031" s="152">
        <v>14.3484</v>
      </c>
      <c r="C1031">
        <f t="shared" si="50"/>
        <v>34.141525685321461</v>
      </c>
      <c r="D1031">
        <f t="shared" si="51"/>
        <v>3.654800335495187</v>
      </c>
      <c r="E1031">
        <f t="shared" si="52"/>
        <v>18.898163010408325</v>
      </c>
    </row>
    <row r="1032" spans="1:5">
      <c r="A1032" s="39">
        <v>43748</v>
      </c>
      <c r="B1032" s="152">
        <v>14.371700000000001</v>
      </c>
      <c r="C1032">
        <f t="shared" si="50"/>
        <v>34.141525685321461</v>
      </c>
      <c r="D1032">
        <f t="shared" si="51"/>
        <v>3.654800335495187</v>
      </c>
      <c r="E1032">
        <f t="shared" si="52"/>
        <v>18.898163010408325</v>
      </c>
    </row>
    <row r="1033" spans="1:5">
      <c r="A1033" s="39">
        <v>43747</v>
      </c>
      <c r="B1033" s="152">
        <v>14.371700000000001</v>
      </c>
      <c r="C1033">
        <f t="shared" si="50"/>
        <v>34.141525685321461</v>
      </c>
      <c r="D1033">
        <f t="shared" si="51"/>
        <v>3.654800335495187</v>
      </c>
      <c r="E1033">
        <f t="shared" si="52"/>
        <v>18.898163010408325</v>
      </c>
    </row>
    <row r="1034" spans="1:5">
      <c r="A1034" s="39">
        <v>43746</v>
      </c>
      <c r="B1034" s="152">
        <v>14.3019</v>
      </c>
      <c r="C1034">
        <f t="shared" si="50"/>
        <v>34.141525685321461</v>
      </c>
      <c r="D1034">
        <f t="shared" si="51"/>
        <v>3.654800335495187</v>
      </c>
      <c r="E1034">
        <f t="shared" si="52"/>
        <v>18.898163010408325</v>
      </c>
    </row>
    <row r="1035" spans="1:5">
      <c r="A1035" s="39">
        <v>43745</v>
      </c>
      <c r="B1035" s="152">
        <v>14.0694</v>
      </c>
      <c r="C1035">
        <f t="shared" si="50"/>
        <v>34.141525685321461</v>
      </c>
      <c r="D1035">
        <f t="shared" si="51"/>
        <v>3.654800335495187</v>
      </c>
      <c r="E1035">
        <f t="shared" si="52"/>
        <v>18.898163010408325</v>
      </c>
    </row>
    <row r="1036" spans="1:5">
      <c r="A1036" s="39">
        <v>43742</v>
      </c>
      <c r="B1036" s="152">
        <v>14.3019</v>
      </c>
      <c r="C1036">
        <f t="shared" si="50"/>
        <v>34.141525685321461</v>
      </c>
      <c r="D1036">
        <f t="shared" si="51"/>
        <v>3.654800335495187</v>
      </c>
      <c r="E1036">
        <f t="shared" si="52"/>
        <v>18.898163010408325</v>
      </c>
    </row>
    <row r="1037" spans="1:5">
      <c r="A1037" s="39">
        <v>43741</v>
      </c>
      <c r="B1037" s="152">
        <v>14.546099999999999</v>
      </c>
      <c r="C1037">
        <f t="shared" si="50"/>
        <v>34.141525685321461</v>
      </c>
      <c r="D1037">
        <f t="shared" si="51"/>
        <v>3.654800335495187</v>
      </c>
      <c r="E1037">
        <f t="shared" si="52"/>
        <v>18.898163010408325</v>
      </c>
    </row>
    <row r="1038" spans="1:5">
      <c r="A1038" s="39">
        <v>43740</v>
      </c>
      <c r="B1038" s="152">
        <v>14.557700000000001</v>
      </c>
      <c r="C1038">
        <f t="shared" si="50"/>
        <v>34.141525685321461</v>
      </c>
      <c r="D1038">
        <f t="shared" si="51"/>
        <v>3.654800335495187</v>
      </c>
      <c r="E1038">
        <f t="shared" si="52"/>
        <v>18.898163010408325</v>
      </c>
    </row>
    <row r="1039" spans="1:5">
      <c r="A1039" s="39">
        <v>43739</v>
      </c>
      <c r="B1039" s="152">
        <v>14.825200000000001</v>
      </c>
      <c r="C1039">
        <f t="shared" si="50"/>
        <v>34.141525685321461</v>
      </c>
      <c r="D1039">
        <f t="shared" si="51"/>
        <v>3.654800335495187</v>
      </c>
      <c r="E1039">
        <f t="shared" si="52"/>
        <v>18.898163010408325</v>
      </c>
    </row>
    <row r="1040" spans="1:5">
      <c r="A1040" s="39">
        <v>43738</v>
      </c>
      <c r="B1040" s="152">
        <v>14.6624</v>
      </c>
      <c r="C1040">
        <f t="shared" si="50"/>
        <v>34.141525685321461</v>
      </c>
      <c r="D1040">
        <f t="shared" si="51"/>
        <v>3.654800335495187</v>
      </c>
      <c r="E1040">
        <f t="shared" si="52"/>
        <v>18.898163010408325</v>
      </c>
    </row>
    <row r="1041" spans="1:5">
      <c r="A1041" s="39">
        <v>43735</v>
      </c>
      <c r="B1041" s="152">
        <v>15.689399999999999</v>
      </c>
      <c r="C1041">
        <f t="shared" si="50"/>
        <v>34.141525685321461</v>
      </c>
      <c r="D1041">
        <f t="shared" si="51"/>
        <v>3.654800335495187</v>
      </c>
      <c r="E1041">
        <f t="shared" si="52"/>
        <v>18.898163010408325</v>
      </c>
    </row>
    <row r="1042" spans="1:5">
      <c r="A1042" s="39">
        <v>43734</v>
      </c>
      <c r="B1042" s="152">
        <v>15.4442</v>
      </c>
      <c r="C1042">
        <f t="shared" si="50"/>
        <v>34.141525685321461</v>
      </c>
      <c r="D1042">
        <f t="shared" si="51"/>
        <v>3.654800335495187</v>
      </c>
      <c r="E1042">
        <f t="shared" si="52"/>
        <v>18.898163010408325</v>
      </c>
    </row>
    <row r="1043" spans="1:5">
      <c r="A1043" s="39">
        <v>43733</v>
      </c>
      <c r="B1043" s="152">
        <v>15.382899999999999</v>
      </c>
      <c r="C1043">
        <f t="shared" si="50"/>
        <v>34.141525685321461</v>
      </c>
      <c r="D1043">
        <f t="shared" si="51"/>
        <v>3.654800335495187</v>
      </c>
      <c r="E1043">
        <f t="shared" si="52"/>
        <v>18.898163010408325</v>
      </c>
    </row>
    <row r="1044" spans="1:5">
      <c r="A1044" s="39">
        <v>43732</v>
      </c>
      <c r="B1044" s="152">
        <v>14.953900000000001</v>
      </c>
      <c r="C1044">
        <f t="shared" si="50"/>
        <v>34.141525685321461</v>
      </c>
      <c r="D1044">
        <f t="shared" si="51"/>
        <v>3.654800335495187</v>
      </c>
      <c r="E1044">
        <f t="shared" si="52"/>
        <v>18.898163010408325</v>
      </c>
    </row>
    <row r="1045" spans="1:5">
      <c r="A1045" s="39">
        <v>43731</v>
      </c>
      <c r="B1045" s="152">
        <v>15.1991</v>
      </c>
      <c r="C1045">
        <f t="shared" si="50"/>
        <v>34.141525685321461</v>
      </c>
      <c r="D1045">
        <f t="shared" si="51"/>
        <v>3.654800335495187</v>
      </c>
      <c r="E1045">
        <f t="shared" si="52"/>
        <v>18.898163010408325</v>
      </c>
    </row>
    <row r="1046" spans="1:5">
      <c r="A1046" s="39">
        <v>43728</v>
      </c>
      <c r="B1046" s="152">
        <v>15.5055</v>
      </c>
      <c r="C1046">
        <f t="shared" si="50"/>
        <v>34.141525685321461</v>
      </c>
      <c r="D1046">
        <f t="shared" si="51"/>
        <v>3.654800335495187</v>
      </c>
      <c r="E1046">
        <f t="shared" si="52"/>
        <v>18.898163010408325</v>
      </c>
    </row>
    <row r="1047" spans="1:5">
      <c r="A1047" s="39">
        <v>43727</v>
      </c>
      <c r="B1047" s="152">
        <v>15.3462</v>
      </c>
      <c r="C1047">
        <f t="shared" si="50"/>
        <v>34.141525685321461</v>
      </c>
      <c r="D1047">
        <f t="shared" si="51"/>
        <v>3.654800335495187</v>
      </c>
      <c r="E1047">
        <f t="shared" si="52"/>
        <v>18.898163010408325</v>
      </c>
    </row>
    <row r="1048" spans="1:5">
      <c r="A1048" s="39">
        <v>43726</v>
      </c>
      <c r="B1048" s="152">
        <v>14.953900000000001</v>
      </c>
      <c r="C1048">
        <f t="shared" si="50"/>
        <v>34.141525685321461</v>
      </c>
      <c r="D1048">
        <f t="shared" si="51"/>
        <v>3.654800335495187</v>
      </c>
      <c r="E1048">
        <f t="shared" si="52"/>
        <v>18.898163010408325</v>
      </c>
    </row>
    <row r="1049" spans="1:5">
      <c r="A1049" s="39">
        <v>43725</v>
      </c>
      <c r="B1049" s="152">
        <v>15.125500000000001</v>
      </c>
      <c r="C1049">
        <f t="shared" si="50"/>
        <v>34.141525685321461</v>
      </c>
      <c r="D1049">
        <f t="shared" si="51"/>
        <v>3.654800335495187</v>
      </c>
      <c r="E1049">
        <f t="shared" si="52"/>
        <v>18.898163010408325</v>
      </c>
    </row>
    <row r="1050" spans="1:5">
      <c r="A1050" s="39">
        <v>43724</v>
      </c>
      <c r="B1050" s="152">
        <v>15.1378</v>
      </c>
      <c r="C1050">
        <f t="shared" si="50"/>
        <v>34.141525685321461</v>
      </c>
      <c r="D1050">
        <f t="shared" si="51"/>
        <v>3.654800335495187</v>
      </c>
      <c r="E1050">
        <f t="shared" si="52"/>
        <v>18.898163010408325</v>
      </c>
    </row>
    <row r="1051" spans="1:5">
      <c r="A1051" s="39">
        <v>43721</v>
      </c>
      <c r="B1051" s="152">
        <v>15.003</v>
      </c>
      <c r="C1051">
        <f t="shared" si="50"/>
        <v>34.141525685321461</v>
      </c>
      <c r="D1051">
        <f t="shared" si="51"/>
        <v>3.654800335495187</v>
      </c>
      <c r="E1051">
        <f t="shared" si="52"/>
        <v>18.898163010408325</v>
      </c>
    </row>
    <row r="1052" spans="1:5">
      <c r="A1052" s="39">
        <v>43720</v>
      </c>
      <c r="B1052" s="152">
        <v>14.316599999999999</v>
      </c>
      <c r="C1052">
        <f t="shared" si="50"/>
        <v>34.141525685321461</v>
      </c>
      <c r="D1052">
        <f t="shared" si="51"/>
        <v>3.654800335495187</v>
      </c>
      <c r="E1052">
        <f t="shared" si="52"/>
        <v>18.898163010408325</v>
      </c>
    </row>
    <row r="1053" spans="1:5">
      <c r="A1053" s="39">
        <v>43719</v>
      </c>
      <c r="B1053" s="152">
        <v>14.1082</v>
      </c>
      <c r="C1053">
        <f t="shared" si="50"/>
        <v>34.141525685321461</v>
      </c>
      <c r="D1053">
        <f t="shared" si="51"/>
        <v>3.654800335495187</v>
      </c>
      <c r="E1053">
        <f t="shared" si="52"/>
        <v>18.898163010408325</v>
      </c>
    </row>
    <row r="1054" spans="1:5">
      <c r="A1054" s="39">
        <v>43718</v>
      </c>
      <c r="B1054" s="152">
        <v>14.0837</v>
      </c>
      <c r="C1054">
        <f t="shared" si="50"/>
        <v>34.141525685321461</v>
      </c>
      <c r="D1054">
        <f t="shared" si="51"/>
        <v>3.654800335495187</v>
      </c>
      <c r="E1054">
        <f t="shared" si="52"/>
        <v>18.898163010408325</v>
      </c>
    </row>
    <row r="1055" spans="1:5">
      <c r="A1055" s="39">
        <v>43717</v>
      </c>
      <c r="B1055" s="152">
        <v>14.2308</v>
      </c>
      <c r="C1055">
        <f t="shared" si="50"/>
        <v>34.141525685321461</v>
      </c>
      <c r="D1055">
        <f t="shared" si="51"/>
        <v>3.654800335495187</v>
      </c>
      <c r="E1055">
        <f t="shared" si="52"/>
        <v>18.898163010408325</v>
      </c>
    </row>
    <row r="1056" spans="1:5">
      <c r="A1056" s="39">
        <v>43714</v>
      </c>
      <c r="B1056" s="152">
        <v>14.341100000000001</v>
      </c>
      <c r="C1056">
        <f t="shared" si="50"/>
        <v>34.141525685321461</v>
      </c>
      <c r="D1056">
        <f t="shared" si="51"/>
        <v>3.654800335495187</v>
      </c>
      <c r="E1056">
        <f t="shared" si="52"/>
        <v>18.898163010408325</v>
      </c>
    </row>
    <row r="1057" spans="1:5">
      <c r="A1057" s="39">
        <v>43713</v>
      </c>
      <c r="B1057" s="152">
        <v>14.243</v>
      </c>
      <c r="C1057">
        <f t="shared" si="50"/>
        <v>34.141525685321461</v>
      </c>
      <c r="D1057">
        <f t="shared" si="51"/>
        <v>3.654800335495187</v>
      </c>
      <c r="E1057">
        <f t="shared" si="52"/>
        <v>18.898163010408325</v>
      </c>
    </row>
    <row r="1058" spans="1:5">
      <c r="A1058" s="39">
        <v>43712</v>
      </c>
      <c r="B1058" s="152">
        <v>14.4514</v>
      </c>
      <c r="C1058">
        <f t="shared" si="50"/>
        <v>34.141525685321461</v>
      </c>
      <c r="D1058">
        <f t="shared" si="51"/>
        <v>3.654800335495187</v>
      </c>
      <c r="E1058">
        <f t="shared" si="52"/>
        <v>18.898163010408325</v>
      </c>
    </row>
    <row r="1059" spans="1:5">
      <c r="A1059" s="39">
        <v>43711</v>
      </c>
      <c r="B1059" s="152">
        <v>14.4146</v>
      </c>
      <c r="C1059">
        <f t="shared" si="50"/>
        <v>34.141525685321461</v>
      </c>
      <c r="D1059">
        <f t="shared" si="51"/>
        <v>3.654800335495187</v>
      </c>
      <c r="E1059">
        <f t="shared" si="52"/>
        <v>18.898163010408325</v>
      </c>
    </row>
    <row r="1060" spans="1:5">
      <c r="A1060" s="39">
        <v>43707</v>
      </c>
      <c r="B1060" s="152">
        <v>14.328799999999999</v>
      </c>
      <c r="C1060">
        <f t="shared" si="50"/>
        <v>34.141525685321461</v>
      </c>
      <c r="D1060">
        <f t="shared" si="51"/>
        <v>3.654800335495187</v>
      </c>
      <c r="E1060">
        <f t="shared" si="52"/>
        <v>18.898163010408325</v>
      </c>
    </row>
    <row r="1061" spans="1:5">
      <c r="A1061" s="39">
        <v>43706</v>
      </c>
      <c r="B1061" s="152">
        <v>14.0959</v>
      </c>
      <c r="C1061">
        <f t="shared" si="50"/>
        <v>34.141525685321461</v>
      </c>
      <c r="D1061">
        <f t="shared" si="51"/>
        <v>3.654800335495187</v>
      </c>
      <c r="E1061">
        <f t="shared" si="52"/>
        <v>18.898163010408325</v>
      </c>
    </row>
    <row r="1062" spans="1:5">
      <c r="A1062" s="39">
        <v>43705</v>
      </c>
      <c r="B1062" s="152">
        <v>13.9488</v>
      </c>
      <c r="C1062">
        <f t="shared" si="50"/>
        <v>34.141525685321461</v>
      </c>
      <c r="D1062">
        <f t="shared" si="51"/>
        <v>3.654800335495187</v>
      </c>
      <c r="E1062">
        <f t="shared" si="52"/>
        <v>18.898163010408325</v>
      </c>
    </row>
    <row r="1063" spans="1:5">
      <c r="A1063" s="39">
        <v>43704</v>
      </c>
      <c r="B1063" s="152">
        <v>13.9734</v>
      </c>
      <c r="C1063">
        <f t="shared" si="50"/>
        <v>34.141525685321461</v>
      </c>
      <c r="D1063">
        <f t="shared" si="51"/>
        <v>3.654800335495187</v>
      </c>
      <c r="E1063">
        <f t="shared" si="52"/>
        <v>18.898163010408325</v>
      </c>
    </row>
    <row r="1064" spans="1:5">
      <c r="A1064" s="39">
        <v>43703</v>
      </c>
      <c r="B1064" s="152">
        <v>14.2675</v>
      </c>
      <c r="C1064">
        <f t="shared" si="50"/>
        <v>34.141525685321461</v>
      </c>
      <c r="D1064">
        <f t="shared" si="51"/>
        <v>3.654800335495187</v>
      </c>
      <c r="E1064">
        <f t="shared" si="52"/>
        <v>18.898163010408325</v>
      </c>
    </row>
    <row r="1065" spans="1:5">
      <c r="A1065" s="39">
        <v>43700</v>
      </c>
      <c r="B1065" s="152">
        <v>14.2798</v>
      </c>
      <c r="C1065">
        <f t="shared" si="50"/>
        <v>34.141525685321461</v>
      </c>
      <c r="D1065">
        <f t="shared" si="51"/>
        <v>3.654800335495187</v>
      </c>
      <c r="E1065">
        <f t="shared" si="52"/>
        <v>18.898163010408325</v>
      </c>
    </row>
    <row r="1066" spans="1:5">
      <c r="A1066" s="39">
        <v>43699</v>
      </c>
      <c r="B1066" s="152">
        <v>14.4024</v>
      </c>
      <c r="C1066">
        <f t="shared" si="50"/>
        <v>34.141525685321461</v>
      </c>
      <c r="D1066">
        <f t="shared" si="51"/>
        <v>3.654800335495187</v>
      </c>
      <c r="E1066">
        <f t="shared" si="52"/>
        <v>18.898163010408325</v>
      </c>
    </row>
    <row r="1067" spans="1:5">
      <c r="A1067" s="39">
        <v>43698</v>
      </c>
      <c r="B1067" s="152">
        <v>14.7456</v>
      </c>
      <c r="C1067">
        <f t="shared" si="50"/>
        <v>34.141525685321461</v>
      </c>
      <c r="D1067">
        <f t="shared" si="51"/>
        <v>3.654800335495187</v>
      </c>
      <c r="E1067">
        <f t="shared" si="52"/>
        <v>18.898163010408325</v>
      </c>
    </row>
    <row r="1068" spans="1:5">
      <c r="A1068" s="39">
        <v>43697</v>
      </c>
      <c r="B1068" s="152">
        <v>14.7088</v>
      </c>
      <c r="C1068">
        <f t="shared" si="50"/>
        <v>34.141525685321461</v>
      </c>
      <c r="D1068">
        <f t="shared" si="51"/>
        <v>3.654800335495187</v>
      </c>
      <c r="E1068">
        <f t="shared" si="52"/>
        <v>18.898163010408325</v>
      </c>
    </row>
    <row r="1069" spans="1:5">
      <c r="A1069" s="39">
        <v>43696</v>
      </c>
      <c r="B1069" s="152">
        <v>14.4514</v>
      </c>
      <c r="C1069">
        <f t="shared" si="50"/>
        <v>34.141525685321461</v>
      </c>
      <c r="D1069">
        <f t="shared" si="51"/>
        <v>3.654800335495187</v>
      </c>
      <c r="E1069">
        <f t="shared" si="52"/>
        <v>18.898163010408325</v>
      </c>
    </row>
    <row r="1070" spans="1:5">
      <c r="A1070" s="39">
        <v>43693</v>
      </c>
      <c r="B1070" s="152">
        <v>14.377800000000001</v>
      </c>
      <c r="C1070">
        <f t="shared" si="50"/>
        <v>34.141525685321461</v>
      </c>
      <c r="D1070">
        <f t="shared" si="51"/>
        <v>3.654800335495187</v>
      </c>
      <c r="E1070">
        <f t="shared" si="52"/>
        <v>18.898163010408325</v>
      </c>
    </row>
    <row r="1071" spans="1:5">
      <c r="A1071" s="39">
        <v>43692</v>
      </c>
      <c r="B1071" s="152">
        <v>14.7088</v>
      </c>
      <c r="C1071">
        <f t="shared" si="50"/>
        <v>34.141525685321461</v>
      </c>
      <c r="D1071">
        <f t="shared" si="51"/>
        <v>3.654800335495187</v>
      </c>
      <c r="E1071">
        <f t="shared" si="52"/>
        <v>18.898163010408325</v>
      </c>
    </row>
    <row r="1072" spans="1:5">
      <c r="A1072" s="39">
        <v>43691</v>
      </c>
      <c r="B1072" s="152">
        <v>14.574</v>
      </c>
      <c r="C1072">
        <f t="shared" si="50"/>
        <v>34.141525685321461</v>
      </c>
      <c r="D1072">
        <f t="shared" si="51"/>
        <v>3.654800335495187</v>
      </c>
      <c r="E1072">
        <f t="shared" si="52"/>
        <v>18.898163010408325</v>
      </c>
    </row>
    <row r="1073" spans="1:5">
      <c r="A1073" s="39">
        <v>43690</v>
      </c>
      <c r="B1073" s="152">
        <v>14.4391</v>
      </c>
      <c r="C1073">
        <f t="shared" si="50"/>
        <v>34.141525685321461</v>
      </c>
      <c r="D1073">
        <f t="shared" si="51"/>
        <v>3.654800335495187</v>
      </c>
      <c r="E1073">
        <f t="shared" si="52"/>
        <v>18.898163010408325</v>
      </c>
    </row>
    <row r="1074" spans="1:5">
      <c r="A1074" s="39">
        <v>43689</v>
      </c>
      <c r="B1074" s="152">
        <v>14.341100000000001</v>
      </c>
      <c r="C1074">
        <f t="shared" si="50"/>
        <v>34.141525685321461</v>
      </c>
      <c r="D1074">
        <f t="shared" si="51"/>
        <v>3.654800335495187</v>
      </c>
      <c r="E1074">
        <f t="shared" si="52"/>
        <v>18.898163010408325</v>
      </c>
    </row>
    <row r="1075" spans="1:5">
      <c r="A1075" s="39">
        <v>43686</v>
      </c>
      <c r="B1075" s="152">
        <v>14.206200000000001</v>
      </c>
      <c r="C1075">
        <f t="shared" si="50"/>
        <v>34.141525685321461</v>
      </c>
      <c r="D1075">
        <f t="shared" si="51"/>
        <v>3.654800335495187</v>
      </c>
      <c r="E1075">
        <f t="shared" si="52"/>
        <v>18.898163010408325</v>
      </c>
    </row>
    <row r="1076" spans="1:5">
      <c r="A1076" s="39">
        <v>43685</v>
      </c>
      <c r="B1076" s="152">
        <v>13.8508</v>
      </c>
      <c r="C1076">
        <f t="shared" si="50"/>
        <v>34.141525685321461</v>
      </c>
      <c r="D1076">
        <f t="shared" si="51"/>
        <v>3.654800335495187</v>
      </c>
      <c r="E1076">
        <f t="shared" si="52"/>
        <v>18.898163010408325</v>
      </c>
    </row>
    <row r="1077" spans="1:5">
      <c r="A1077" s="39">
        <v>43684</v>
      </c>
      <c r="B1077" s="152">
        <v>13.9734</v>
      </c>
      <c r="C1077">
        <f t="shared" si="50"/>
        <v>34.141525685321461</v>
      </c>
      <c r="D1077">
        <f t="shared" si="51"/>
        <v>3.654800335495187</v>
      </c>
      <c r="E1077">
        <f t="shared" si="52"/>
        <v>18.898163010408325</v>
      </c>
    </row>
    <row r="1078" spans="1:5">
      <c r="A1078" s="39">
        <v>43683</v>
      </c>
      <c r="B1078" s="152">
        <v>13.4831</v>
      </c>
      <c r="C1078">
        <f t="shared" si="50"/>
        <v>34.141525685321461</v>
      </c>
      <c r="D1078">
        <f t="shared" si="51"/>
        <v>3.654800335495187</v>
      </c>
      <c r="E1078">
        <f t="shared" si="52"/>
        <v>18.898163010408325</v>
      </c>
    </row>
    <row r="1079" spans="1:5">
      <c r="A1079" s="39">
        <v>43682</v>
      </c>
      <c r="B1079" s="152">
        <v>13.421799999999999</v>
      </c>
      <c r="C1079">
        <f t="shared" si="50"/>
        <v>34.141525685321461</v>
      </c>
      <c r="D1079">
        <f t="shared" si="51"/>
        <v>3.654800335495187</v>
      </c>
      <c r="E1079">
        <f t="shared" si="52"/>
        <v>18.898163010408325</v>
      </c>
    </row>
    <row r="1080" spans="1:5">
      <c r="A1080" s="39">
        <v>43679</v>
      </c>
      <c r="B1080" s="152">
        <v>13.2379</v>
      </c>
      <c r="C1080">
        <f t="shared" si="50"/>
        <v>34.141525685321461</v>
      </c>
      <c r="D1080">
        <f t="shared" si="51"/>
        <v>3.654800335495187</v>
      </c>
      <c r="E1080">
        <f t="shared" si="52"/>
        <v>18.898163010408325</v>
      </c>
    </row>
    <row r="1081" spans="1:5">
      <c r="A1081" s="39">
        <v>43678</v>
      </c>
      <c r="B1081" s="152">
        <v>13.299200000000001</v>
      </c>
      <c r="C1081">
        <f t="shared" si="50"/>
        <v>34.141525685321461</v>
      </c>
      <c r="D1081">
        <f t="shared" si="51"/>
        <v>3.654800335495187</v>
      </c>
      <c r="E1081">
        <f t="shared" si="52"/>
        <v>18.898163010408325</v>
      </c>
    </row>
    <row r="1082" spans="1:5">
      <c r="A1082" s="39">
        <v>43677</v>
      </c>
      <c r="B1082" s="152">
        <v>13.0908</v>
      </c>
      <c r="C1082">
        <f t="shared" si="50"/>
        <v>34.141525685321461</v>
      </c>
      <c r="D1082">
        <f t="shared" si="51"/>
        <v>3.654800335495187</v>
      </c>
      <c r="E1082">
        <f t="shared" si="52"/>
        <v>18.898163010408325</v>
      </c>
    </row>
    <row r="1083" spans="1:5">
      <c r="A1083" s="39">
        <v>43676</v>
      </c>
      <c r="B1083" s="152">
        <v>12.710800000000001</v>
      </c>
      <c r="C1083">
        <f t="shared" si="50"/>
        <v>34.141525685321461</v>
      </c>
      <c r="D1083">
        <f t="shared" si="51"/>
        <v>3.654800335495187</v>
      </c>
      <c r="E1083">
        <f t="shared" si="52"/>
        <v>18.898163010408325</v>
      </c>
    </row>
    <row r="1084" spans="1:5">
      <c r="A1084" s="39">
        <v>43675</v>
      </c>
      <c r="B1084" s="152">
        <v>12.992800000000001</v>
      </c>
      <c r="C1084">
        <f t="shared" si="50"/>
        <v>34.141525685321461</v>
      </c>
      <c r="D1084">
        <f t="shared" si="51"/>
        <v>3.654800335495187</v>
      </c>
      <c r="E1084">
        <f t="shared" si="52"/>
        <v>18.898163010408325</v>
      </c>
    </row>
    <row r="1085" spans="1:5">
      <c r="A1085" s="39">
        <v>43672</v>
      </c>
      <c r="B1085" s="152">
        <v>13.0786</v>
      </c>
      <c r="C1085">
        <f t="shared" si="50"/>
        <v>34.141525685321461</v>
      </c>
      <c r="D1085">
        <f t="shared" si="51"/>
        <v>3.654800335495187</v>
      </c>
      <c r="E1085">
        <f t="shared" si="52"/>
        <v>18.898163010408325</v>
      </c>
    </row>
    <row r="1086" spans="1:5">
      <c r="A1086" s="39">
        <v>43671</v>
      </c>
      <c r="B1086" s="152">
        <v>13.2257</v>
      </c>
      <c r="C1086">
        <f t="shared" si="50"/>
        <v>34.141525685321461</v>
      </c>
      <c r="D1086">
        <f t="shared" si="51"/>
        <v>3.654800335495187</v>
      </c>
      <c r="E1086">
        <f t="shared" si="52"/>
        <v>18.898163010408325</v>
      </c>
    </row>
    <row r="1087" spans="1:5">
      <c r="A1087" s="39">
        <v>43670</v>
      </c>
      <c r="B1087" s="152">
        <v>13.164400000000001</v>
      </c>
      <c r="C1087">
        <f t="shared" si="50"/>
        <v>34.141525685321461</v>
      </c>
      <c r="D1087">
        <f t="shared" si="51"/>
        <v>3.654800335495187</v>
      </c>
      <c r="E1087">
        <f t="shared" si="52"/>
        <v>18.898163010408325</v>
      </c>
    </row>
    <row r="1088" spans="1:5">
      <c r="A1088" s="39">
        <v>43669</v>
      </c>
      <c r="B1088" s="152">
        <v>13.3482</v>
      </c>
      <c r="C1088">
        <f t="shared" si="50"/>
        <v>34.141525685321461</v>
      </c>
      <c r="D1088">
        <f t="shared" si="51"/>
        <v>3.654800335495187</v>
      </c>
      <c r="E1088">
        <f t="shared" si="52"/>
        <v>18.898163010408325</v>
      </c>
    </row>
    <row r="1089" spans="1:5">
      <c r="A1089" s="39">
        <v>43668</v>
      </c>
      <c r="B1089" s="152">
        <v>13.0541</v>
      </c>
      <c r="C1089">
        <f t="shared" si="50"/>
        <v>34.141525685321461</v>
      </c>
      <c r="D1089">
        <f t="shared" si="51"/>
        <v>3.654800335495187</v>
      </c>
      <c r="E1089">
        <f t="shared" si="52"/>
        <v>18.898163010408325</v>
      </c>
    </row>
    <row r="1090" spans="1:5">
      <c r="A1090" s="39">
        <v>43665</v>
      </c>
      <c r="B1090" s="152">
        <v>12.980499999999999</v>
      </c>
      <c r="C1090">
        <f t="shared" si="50"/>
        <v>34.141525685321461</v>
      </c>
      <c r="D1090">
        <f t="shared" si="51"/>
        <v>3.654800335495187</v>
      </c>
      <c r="E1090">
        <f t="shared" si="52"/>
        <v>18.898163010408325</v>
      </c>
    </row>
    <row r="1091" spans="1:5">
      <c r="A1091" s="39">
        <v>43664</v>
      </c>
      <c r="B1091" s="152">
        <v>12.7354</v>
      </c>
      <c r="C1091">
        <f t="shared" si="50"/>
        <v>34.141525685321461</v>
      </c>
      <c r="D1091">
        <f t="shared" si="51"/>
        <v>3.654800335495187</v>
      </c>
      <c r="E1091">
        <f t="shared" si="52"/>
        <v>18.898163010408325</v>
      </c>
    </row>
    <row r="1092" spans="1:5">
      <c r="A1092" s="39">
        <v>43663</v>
      </c>
      <c r="B1092" s="152">
        <v>12.4534</v>
      </c>
      <c r="C1092">
        <f t="shared" ref="C1092:C1155" si="53">AVERAGE($B$3:$B$1251)+$C$1</f>
        <v>34.141525685321461</v>
      </c>
      <c r="D1092">
        <f t="shared" ref="D1092:D1155" si="54">AVERAGE($B$3:$B$1251)-$C$1</f>
        <v>3.654800335495187</v>
      </c>
      <c r="E1092">
        <f t="shared" ref="E1092:E1155" si="55">AVERAGE($B$3:$B$1251)</f>
        <v>18.898163010408325</v>
      </c>
    </row>
    <row r="1093" spans="1:5">
      <c r="A1093" s="39">
        <v>43662</v>
      </c>
      <c r="B1093" s="152">
        <v>12.526999999999999</v>
      </c>
      <c r="C1093">
        <f t="shared" si="53"/>
        <v>34.141525685321461</v>
      </c>
      <c r="D1093">
        <f t="shared" si="54"/>
        <v>3.654800335495187</v>
      </c>
      <c r="E1093">
        <f t="shared" si="55"/>
        <v>18.898163010408325</v>
      </c>
    </row>
    <row r="1094" spans="1:5">
      <c r="A1094" s="39">
        <v>43661</v>
      </c>
      <c r="B1094" s="152">
        <v>12.404400000000001</v>
      </c>
      <c r="C1094">
        <f t="shared" si="53"/>
        <v>34.141525685321461</v>
      </c>
      <c r="D1094">
        <f t="shared" si="54"/>
        <v>3.654800335495187</v>
      </c>
      <c r="E1094">
        <f t="shared" si="55"/>
        <v>18.898163010408325</v>
      </c>
    </row>
    <row r="1095" spans="1:5">
      <c r="A1095" s="39">
        <v>43658</v>
      </c>
      <c r="B1095" s="152">
        <v>12.0244</v>
      </c>
      <c r="C1095">
        <f t="shared" si="53"/>
        <v>34.141525685321461</v>
      </c>
      <c r="D1095">
        <f t="shared" si="54"/>
        <v>3.654800335495187</v>
      </c>
      <c r="E1095">
        <f t="shared" si="55"/>
        <v>18.898163010408325</v>
      </c>
    </row>
    <row r="1096" spans="1:5">
      <c r="A1096" s="39">
        <v>43657</v>
      </c>
      <c r="B1096" s="152">
        <v>12.0122</v>
      </c>
      <c r="C1096">
        <f t="shared" si="53"/>
        <v>34.141525685321461</v>
      </c>
      <c r="D1096">
        <f t="shared" si="54"/>
        <v>3.654800335495187</v>
      </c>
      <c r="E1096">
        <f t="shared" si="55"/>
        <v>18.898163010408325</v>
      </c>
    </row>
    <row r="1097" spans="1:5">
      <c r="A1097" s="39">
        <v>43656</v>
      </c>
      <c r="B1097" s="152">
        <v>12.061199999999999</v>
      </c>
      <c r="C1097">
        <f t="shared" si="53"/>
        <v>34.141525685321461</v>
      </c>
      <c r="D1097">
        <f t="shared" si="54"/>
        <v>3.654800335495187</v>
      </c>
      <c r="E1097">
        <f t="shared" si="55"/>
        <v>18.898163010408325</v>
      </c>
    </row>
    <row r="1098" spans="1:5">
      <c r="A1098" s="39">
        <v>43655</v>
      </c>
      <c r="B1098" s="152">
        <v>11.8896</v>
      </c>
      <c r="C1098">
        <f t="shared" si="53"/>
        <v>34.141525685321461</v>
      </c>
      <c r="D1098">
        <f t="shared" si="54"/>
        <v>3.654800335495187</v>
      </c>
      <c r="E1098">
        <f t="shared" si="55"/>
        <v>18.898163010408325</v>
      </c>
    </row>
    <row r="1099" spans="1:5">
      <c r="A1099" s="39">
        <v>43654</v>
      </c>
      <c r="B1099" s="152">
        <v>11.5587</v>
      </c>
      <c r="C1099">
        <f t="shared" si="53"/>
        <v>34.141525685321461</v>
      </c>
      <c r="D1099">
        <f t="shared" si="54"/>
        <v>3.654800335495187</v>
      </c>
      <c r="E1099">
        <f t="shared" si="55"/>
        <v>18.898163010408325</v>
      </c>
    </row>
    <row r="1100" spans="1:5">
      <c r="A1100" s="39">
        <v>43651</v>
      </c>
      <c r="B1100" s="152">
        <v>11.6935</v>
      </c>
      <c r="C1100">
        <f t="shared" si="53"/>
        <v>34.141525685321461</v>
      </c>
      <c r="D1100">
        <f t="shared" si="54"/>
        <v>3.654800335495187</v>
      </c>
      <c r="E1100">
        <f t="shared" si="55"/>
        <v>18.898163010408325</v>
      </c>
    </row>
    <row r="1101" spans="1:5">
      <c r="A1101" s="39">
        <v>43650</v>
      </c>
      <c r="B1101" s="152">
        <v>11.7057</v>
      </c>
      <c r="C1101">
        <f t="shared" si="53"/>
        <v>34.141525685321461</v>
      </c>
      <c r="D1101">
        <f t="shared" si="54"/>
        <v>3.654800335495187</v>
      </c>
      <c r="E1101">
        <f t="shared" si="55"/>
        <v>18.898163010408325</v>
      </c>
    </row>
    <row r="1102" spans="1:5">
      <c r="A1102" s="39">
        <v>43649</v>
      </c>
      <c r="B1102" s="152">
        <v>11.718</v>
      </c>
      <c r="C1102">
        <f t="shared" si="53"/>
        <v>34.141525685321461</v>
      </c>
      <c r="D1102">
        <f t="shared" si="54"/>
        <v>3.654800335495187</v>
      </c>
      <c r="E1102">
        <f t="shared" si="55"/>
        <v>18.898163010408325</v>
      </c>
    </row>
    <row r="1103" spans="1:5">
      <c r="A1103" s="39">
        <v>43648</v>
      </c>
      <c r="B1103" s="152">
        <v>11.7057</v>
      </c>
      <c r="C1103">
        <f t="shared" si="53"/>
        <v>34.141525685321461</v>
      </c>
      <c r="D1103">
        <f t="shared" si="54"/>
        <v>3.654800335495187</v>
      </c>
      <c r="E1103">
        <f t="shared" si="55"/>
        <v>18.898163010408325</v>
      </c>
    </row>
    <row r="1104" spans="1:5">
      <c r="A1104" s="39">
        <v>43647</v>
      </c>
      <c r="B1104" s="152">
        <v>11.607699999999999</v>
      </c>
      <c r="C1104">
        <f t="shared" si="53"/>
        <v>34.141525685321461</v>
      </c>
      <c r="D1104">
        <f t="shared" si="54"/>
        <v>3.654800335495187</v>
      </c>
      <c r="E1104">
        <f t="shared" si="55"/>
        <v>18.898163010408325</v>
      </c>
    </row>
    <row r="1105" spans="1:5">
      <c r="A1105" s="39">
        <v>43644</v>
      </c>
      <c r="B1105" s="152">
        <v>11.3748</v>
      </c>
      <c r="C1105">
        <f t="shared" si="53"/>
        <v>34.141525685321461</v>
      </c>
      <c r="D1105">
        <f t="shared" si="54"/>
        <v>3.654800335495187</v>
      </c>
      <c r="E1105">
        <f t="shared" si="55"/>
        <v>18.898163010408325</v>
      </c>
    </row>
    <row r="1106" spans="1:5">
      <c r="A1106" s="39">
        <v>43643</v>
      </c>
      <c r="B1106" s="152">
        <v>12.299099999999999</v>
      </c>
      <c r="C1106">
        <f t="shared" si="53"/>
        <v>34.141525685321461</v>
      </c>
      <c r="D1106">
        <f t="shared" si="54"/>
        <v>3.654800335495187</v>
      </c>
      <c r="E1106">
        <f t="shared" si="55"/>
        <v>18.898163010408325</v>
      </c>
    </row>
    <row r="1107" spans="1:5">
      <c r="A1107" s="39">
        <v>43642</v>
      </c>
      <c r="B1107" s="152">
        <v>12.542299999999999</v>
      </c>
      <c r="C1107">
        <f t="shared" si="53"/>
        <v>34.141525685321461</v>
      </c>
      <c r="D1107">
        <f t="shared" si="54"/>
        <v>3.654800335495187</v>
      </c>
      <c r="E1107">
        <f t="shared" si="55"/>
        <v>18.898163010408325</v>
      </c>
    </row>
    <row r="1108" spans="1:5">
      <c r="A1108" s="39">
        <v>43641</v>
      </c>
      <c r="B1108" s="152">
        <v>12.4072</v>
      </c>
      <c r="C1108">
        <f t="shared" si="53"/>
        <v>34.141525685321461</v>
      </c>
      <c r="D1108">
        <f t="shared" si="54"/>
        <v>3.654800335495187</v>
      </c>
      <c r="E1108">
        <f t="shared" si="55"/>
        <v>18.898163010408325</v>
      </c>
    </row>
    <row r="1109" spans="1:5">
      <c r="A1109" s="39">
        <v>43640</v>
      </c>
      <c r="B1109" s="152">
        <v>12.3531</v>
      </c>
      <c r="C1109">
        <f t="shared" si="53"/>
        <v>34.141525685321461</v>
      </c>
      <c r="D1109">
        <f t="shared" si="54"/>
        <v>3.654800335495187</v>
      </c>
      <c r="E1109">
        <f t="shared" si="55"/>
        <v>18.898163010408325</v>
      </c>
    </row>
    <row r="1110" spans="1:5">
      <c r="A1110" s="39">
        <v>43637</v>
      </c>
      <c r="B1110" s="152">
        <v>12.299099999999999</v>
      </c>
      <c r="C1110">
        <f t="shared" si="53"/>
        <v>34.141525685321461</v>
      </c>
      <c r="D1110">
        <f t="shared" si="54"/>
        <v>3.654800335495187</v>
      </c>
      <c r="E1110">
        <f t="shared" si="55"/>
        <v>18.898163010408325</v>
      </c>
    </row>
    <row r="1111" spans="1:5">
      <c r="A1111" s="39">
        <v>43636</v>
      </c>
      <c r="B1111" s="152">
        <v>12.2585</v>
      </c>
      <c r="C1111">
        <f t="shared" si="53"/>
        <v>34.141525685321461</v>
      </c>
      <c r="D1111">
        <f t="shared" si="54"/>
        <v>3.654800335495187</v>
      </c>
      <c r="E1111">
        <f t="shared" si="55"/>
        <v>18.898163010408325</v>
      </c>
    </row>
    <row r="1112" spans="1:5">
      <c r="A1112" s="39">
        <v>43635</v>
      </c>
      <c r="B1112" s="152">
        <v>11.9747</v>
      </c>
      <c r="C1112">
        <f t="shared" si="53"/>
        <v>34.141525685321461</v>
      </c>
      <c r="D1112">
        <f t="shared" si="54"/>
        <v>3.654800335495187</v>
      </c>
      <c r="E1112">
        <f t="shared" si="55"/>
        <v>18.898163010408325</v>
      </c>
    </row>
    <row r="1113" spans="1:5">
      <c r="A1113" s="39">
        <v>43634</v>
      </c>
      <c r="B1113" s="152">
        <v>11.934100000000001</v>
      </c>
      <c r="C1113">
        <f t="shared" si="53"/>
        <v>34.141525685321461</v>
      </c>
      <c r="D1113">
        <f t="shared" si="54"/>
        <v>3.654800335495187</v>
      </c>
      <c r="E1113">
        <f t="shared" si="55"/>
        <v>18.898163010408325</v>
      </c>
    </row>
    <row r="1114" spans="1:5">
      <c r="A1114" s="39">
        <v>43633</v>
      </c>
      <c r="B1114" s="152">
        <v>11.8666</v>
      </c>
      <c r="C1114">
        <f t="shared" si="53"/>
        <v>34.141525685321461</v>
      </c>
      <c r="D1114">
        <f t="shared" si="54"/>
        <v>3.654800335495187</v>
      </c>
      <c r="E1114">
        <f t="shared" si="55"/>
        <v>18.898163010408325</v>
      </c>
    </row>
    <row r="1115" spans="1:5">
      <c r="A1115" s="39">
        <v>43630</v>
      </c>
      <c r="B1115" s="152">
        <v>12.042299999999999</v>
      </c>
      <c r="C1115">
        <f t="shared" si="53"/>
        <v>34.141525685321461</v>
      </c>
      <c r="D1115">
        <f t="shared" si="54"/>
        <v>3.654800335495187</v>
      </c>
      <c r="E1115">
        <f t="shared" si="55"/>
        <v>18.898163010408325</v>
      </c>
    </row>
    <row r="1116" spans="1:5">
      <c r="A1116" s="39">
        <v>43629</v>
      </c>
      <c r="B1116" s="152">
        <v>12.082800000000001</v>
      </c>
      <c r="C1116">
        <f t="shared" si="53"/>
        <v>34.141525685321461</v>
      </c>
      <c r="D1116">
        <f t="shared" si="54"/>
        <v>3.654800335495187</v>
      </c>
      <c r="E1116">
        <f t="shared" si="55"/>
        <v>18.898163010408325</v>
      </c>
    </row>
    <row r="1117" spans="1:5">
      <c r="A1117" s="39">
        <v>43628</v>
      </c>
      <c r="B1117" s="152">
        <v>12.2585</v>
      </c>
      <c r="C1117">
        <f t="shared" si="53"/>
        <v>34.141525685321461</v>
      </c>
      <c r="D1117">
        <f t="shared" si="54"/>
        <v>3.654800335495187</v>
      </c>
      <c r="E1117">
        <f t="shared" si="55"/>
        <v>18.898163010408325</v>
      </c>
    </row>
    <row r="1118" spans="1:5">
      <c r="A1118" s="39">
        <v>43627</v>
      </c>
      <c r="B1118" s="152">
        <v>12.1098</v>
      </c>
      <c r="C1118">
        <f t="shared" si="53"/>
        <v>34.141525685321461</v>
      </c>
      <c r="D1118">
        <f t="shared" si="54"/>
        <v>3.654800335495187</v>
      </c>
      <c r="E1118">
        <f t="shared" si="55"/>
        <v>18.898163010408325</v>
      </c>
    </row>
    <row r="1119" spans="1:5">
      <c r="A1119" s="39">
        <v>43626</v>
      </c>
      <c r="B1119" s="152">
        <v>11.9747</v>
      </c>
      <c r="C1119">
        <f t="shared" si="53"/>
        <v>34.141525685321461</v>
      </c>
      <c r="D1119">
        <f t="shared" si="54"/>
        <v>3.654800335495187</v>
      </c>
      <c r="E1119">
        <f t="shared" si="55"/>
        <v>18.898163010408325</v>
      </c>
    </row>
    <row r="1120" spans="1:5">
      <c r="A1120" s="39">
        <v>43623</v>
      </c>
      <c r="B1120" s="152">
        <v>11.934100000000001</v>
      </c>
      <c r="C1120">
        <f t="shared" si="53"/>
        <v>34.141525685321461</v>
      </c>
      <c r="D1120">
        <f t="shared" si="54"/>
        <v>3.654800335495187</v>
      </c>
      <c r="E1120">
        <f t="shared" si="55"/>
        <v>18.898163010408325</v>
      </c>
    </row>
    <row r="1121" spans="1:5">
      <c r="A1121" s="39">
        <v>43622</v>
      </c>
      <c r="B1121" s="152">
        <v>11.690899999999999</v>
      </c>
      <c r="C1121">
        <f t="shared" si="53"/>
        <v>34.141525685321461</v>
      </c>
      <c r="D1121">
        <f t="shared" si="54"/>
        <v>3.654800335495187</v>
      </c>
      <c r="E1121">
        <f t="shared" si="55"/>
        <v>18.898163010408325</v>
      </c>
    </row>
    <row r="1122" spans="1:5">
      <c r="A1122" s="39">
        <v>43621</v>
      </c>
      <c r="B1122" s="152">
        <v>11.7044</v>
      </c>
      <c r="C1122">
        <f t="shared" si="53"/>
        <v>34.141525685321461</v>
      </c>
      <c r="D1122">
        <f t="shared" si="54"/>
        <v>3.654800335495187</v>
      </c>
      <c r="E1122">
        <f t="shared" si="55"/>
        <v>18.898163010408325</v>
      </c>
    </row>
    <row r="1123" spans="1:5">
      <c r="A1123" s="39">
        <v>43620</v>
      </c>
      <c r="B1123" s="152">
        <v>11.6233</v>
      </c>
      <c r="C1123">
        <f t="shared" si="53"/>
        <v>34.141525685321461</v>
      </c>
      <c r="D1123">
        <f t="shared" si="54"/>
        <v>3.654800335495187</v>
      </c>
      <c r="E1123">
        <f t="shared" si="55"/>
        <v>18.898163010408325</v>
      </c>
    </row>
    <row r="1124" spans="1:5">
      <c r="A1124" s="39">
        <v>43619</v>
      </c>
      <c r="B1124" s="152">
        <v>11.488099999999999</v>
      </c>
      <c r="C1124">
        <f t="shared" si="53"/>
        <v>34.141525685321461</v>
      </c>
      <c r="D1124">
        <f t="shared" si="54"/>
        <v>3.654800335495187</v>
      </c>
      <c r="E1124">
        <f t="shared" si="55"/>
        <v>18.898163010408325</v>
      </c>
    </row>
    <row r="1125" spans="1:5">
      <c r="A1125" s="39">
        <v>43616</v>
      </c>
      <c r="B1125" s="152">
        <v>11.636799999999999</v>
      </c>
      <c r="C1125">
        <f t="shared" si="53"/>
        <v>34.141525685321461</v>
      </c>
      <c r="D1125">
        <f t="shared" si="54"/>
        <v>3.654800335495187</v>
      </c>
      <c r="E1125">
        <f t="shared" si="55"/>
        <v>18.898163010408325</v>
      </c>
    </row>
    <row r="1126" spans="1:5">
      <c r="A1126" s="39">
        <v>43615</v>
      </c>
      <c r="B1126" s="152">
        <v>11.839499999999999</v>
      </c>
      <c r="C1126">
        <f t="shared" si="53"/>
        <v>34.141525685321461</v>
      </c>
      <c r="D1126">
        <f t="shared" si="54"/>
        <v>3.654800335495187</v>
      </c>
      <c r="E1126">
        <f t="shared" si="55"/>
        <v>18.898163010408325</v>
      </c>
    </row>
    <row r="1127" spans="1:5">
      <c r="A1127" s="39">
        <v>43614</v>
      </c>
      <c r="B1127" s="152">
        <v>11.826000000000001</v>
      </c>
      <c r="C1127">
        <f t="shared" si="53"/>
        <v>34.141525685321461</v>
      </c>
      <c r="D1127">
        <f t="shared" si="54"/>
        <v>3.654800335495187</v>
      </c>
      <c r="E1127">
        <f t="shared" si="55"/>
        <v>18.898163010408325</v>
      </c>
    </row>
    <row r="1128" spans="1:5">
      <c r="A1128" s="39">
        <v>43613</v>
      </c>
      <c r="B1128" s="152">
        <v>11.9206</v>
      </c>
      <c r="C1128">
        <f t="shared" si="53"/>
        <v>34.141525685321461</v>
      </c>
      <c r="D1128">
        <f t="shared" si="54"/>
        <v>3.654800335495187</v>
      </c>
      <c r="E1128">
        <f t="shared" si="55"/>
        <v>18.898163010408325</v>
      </c>
    </row>
    <row r="1129" spans="1:5">
      <c r="A1129" s="39">
        <v>43612</v>
      </c>
      <c r="B1129" s="152">
        <v>11.853</v>
      </c>
      <c r="C1129">
        <f t="shared" si="53"/>
        <v>34.141525685321461</v>
      </c>
      <c r="D1129">
        <f t="shared" si="54"/>
        <v>3.654800335495187</v>
      </c>
      <c r="E1129">
        <f t="shared" si="55"/>
        <v>18.898163010408325</v>
      </c>
    </row>
    <row r="1130" spans="1:5">
      <c r="A1130" s="39">
        <v>43609</v>
      </c>
      <c r="B1130" s="152">
        <v>11.988200000000001</v>
      </c>
      <c r="C1130">
        <f t="shared" si="53"/>
        <v>34.141525685321461</v>
      </c>
      <c r="D1130">
        <f t="shared" si="54"/>
        <v>3.654800335495187</v>
      </c>
      <c r="E1130">
        <f t="shared" si="55"/>
        <v>18.898163010408325</v>
      </c>
    </row>
    <row r="1131" spans="1:5">
      <c r="A1131" s="39">
        <v>43608</v>
      </c>
      <c r="B1131" s="152">
        <v>11.839499999999999</v>
      </c>
      <c r="C1131">
        <f t="shared" si="53"/>
        <v>34.141525685321461</v>
      </c>
      <c r="D1131">
        <f t="shared" si="54"/>
        <v>3.654800335495187</v>
      </c>
      <c r="E1131">
        <f t="shared" si="55"/>
        <v>18.898163010408325</v>
      </c>
    </row>
    <row r="1132" spans="1:5">
      <c r="A1132" s="39">
        <v>43607</v>
      </c>
      <c r="B1132" s="152">
        <v>11.7584</v>
      </c>
      <c r="C1132">
        <f t="shared" si="53"/>
        <v>34.141525685321461</v>
      </c>
      <c r="D1132">
        <f t="shared" si="54"/>
        <v>3.654800335495187</v>
      </c>
      <c r="E1132">
        <f t="shared" si="55"/>
        <v>18.898163010408325</v>
      </c>
    </row>
    <row r="1133" spans="1:5">
      <c r="A1133" s="39">
        <v>43606</v>
      </c>
      <c r="B1133" s="152">
        <v>11.7186</v>
      </c>
      <c r="C1133">
        <f t="shared" si="53"/>
        <v>34.141525685321461</v>
      </c>
      <c r="D1133">
        <f t="shared" si="54"/>
        <v>3.654800335495187</v>
      </c>
      <c r="E1133">
        <f t="shared" si="55"/>
        <v>18.898163010408325</v>
      </c>
    </row>
    <row r="1134" spans="1:5">
      <c r="A1134" s="39">
        <v>43605</v>
      </c>
      <c r="B1134" s="152">
        <v>11.7319</v>
      </c>
      <c r="C1134">
        <f t="shared" si="53"/>
        <v>34.141525685321461</v>
      </c>
      <c r="D1134">
        <f t="shared" si="54"/>
        <v>3.654800335495187</v>
      </c>
      <c r="E1134">
        <f t="shared" si="55"/>
        <v>18.898163010408325</v>
      </c>
    </row>
    <row r="1135" spans="1:5">
      <c r="A1135" s="39">
        <v>43602</v>
      </c>
      <c r="B1135" s="152">
        <v>11.492699999999999</v>
      </c>
      <c r="C1135">
        <f t="shared" si="53"/>
        <v>34.141525685321461</v>
      </c>
      <c r="D1135">
        <f t="shared" si="54"/>
        <v>3.654800335495187</v>
      </c>
      <c r="E1135">
        <f t="shared" si="55"/>
        <v>18.898163010408325</v>
      </c>
    </row>
    <row r="1136" spans="1:5">
      <c r="A1136" s="39">
        <v>43601</v>
      </c>
      <c r="B1136" s="152">
        <v>11.426299999999999</v>
      </c>
      <c r="C1136">
        <f t="shared" si="53"/>
        <v>34.141525685321461</v>
      </c>
      <c r="D1136">
        <f t="shared" si="54"/>
        <v>3.654800335495187</v>
      </c>
      <c r="E1136">
        <f t="shared" si="55"/>
        <v>18.898163010408325</v>
      </c>
    </row>
    <row r="1137" spans="1:5">
      <c r="A1137" s="39">
        <v>43600</v>
      </c>
      <c r="B1137" s="152">
        <v>11.559100000000001</v>
      </c>
      <c r="C1137">
        <f t="shared" si="53"/>
        <v>34.141525685321461</v>
      </c>
      <c r="D1137">
        <f t="shared" si="54"/>
        <v>3.654800335495187</v>
      </c>
      <c r="E1137">
        <f t="shared" si="55"/>
        <v>18.898163010408325</v>
      </c>
    </row>
    <row r="1138" spans="1:5">
      <c r="A1138" s="39">
        <v>43599</v>
      </c>
      <c r="B1138" s="152">
        <v>11.3599</v>
      </c>
      <c r="C1138">
        <f t="shared" si="53"/>
        <v>34.141525685321461</v>
      </c>
      <c r="D1138">
        <f t="shared" si="54"/>
        <v>3.654800335495187</v>
      </c>
      <c r="E1138">
        <f t="shared" si="55"/>
        <v>18.898163010408325</v>
      </c>
    </row>
    <row r="1139" spans="1:5">
      <c r="A1139" s="39">
        <v>43598</v>
      </c>
      <c r="B1139" s="152">
        <v>11.32</v>
      </c>
      <c r="C1139">
        <f t="shared" si="53"/>
        <v>34.141525685321461</v>
      </c>
      <c r="D1139">
        <f t="shared" si="54"/>
        <v>3.654800335495187</v>
      </c>
      <c r="E1139">
        <f t="shared" si="55"/>
        <v>18.898163010408325</v>
      </c>
    </row>
    <row r="1140" spans="1:5">
      <c r="A1140" s="39">
        <v>43595</v>
      </c>
      <c r="B1140" s="152">
        <v>11.2934</v>
      </c>
      <c r="C1140">
        <f t="shared" si="53"/>
        <v>34.141525685321461</v>
      </c>
      <c r="D1140">
        <f t="shared" si="54"/>
        <v>3.654800335495187</v>
      </c>
      <c r="E1140">
        <f t="shared" si="55"/>
        <v>18.898163010408325</v>
      </c>
    </row>
    <row r="1141" spans="1:5">
      <c r="A1141" s="39">
        <v>43594</v>
      </c>
      <c r="B1141" s="152">
        <v>11.1738</v>
      </c>
      <c r="C1141">
        <f t="shared" si="53"/>
        <v>34.141525685321461</v>
      </c>
      <c r="D1141">
        <f t="shared" si="54"/>
        <v>3.654800335495187</v>
      </c>
      <c r="E1141">
        <f t="shared" si="55"/>
        <v>18.898163010408325</v>
      </c>
    </row>
    <row r="1142" spans="1:5">
      <c r="A1142" s="39">
        <v>43593</v>
      </c>
      <c r="B1142" s="152">
        <v>11.094099999999999</v>
      </c>
      <c r="C1142">
        <f t="shared" si="53"/>
        <v>34.141525685321461</v>
      </c>
      <c r="D1142">
        <f t="shared" si="54"/>
        <v>3.654800335495187</v>
      </c>
      <c r="E1142">
        <f t="shared" si="55"/>
        <v>18.898163010408325</v>
      </c>
    </row>
    <row r="1143" spans="1:5">
      <c r="A1143" s="39">
        <v>43592</v>
      </c>
      <c r="B1143" s="152">
        <v>11.1473</v>
      </c>
      <c r="C1143">
        <f t="shared" si="53"/>
        <v>34.141525685321461</v>
      </c>
      <c r="D1143">
        <f t="shared" si="54"/>
        <v>3.654800335495187</v>
      </c>
      <c r="E1143">
        <f t="shared" si="55"/>
        <v>18.898163010408325</v>
      </c>
    </row>
    <row r="1144" spans="1:5">
      <c r="A1144" s="39">
        <v>43591</v>
      </c>
      <c r="B1144" s="152">
        <v>11.134</v>
      </c>
      <c r="C1144">
        <f t="shared" si="53"/>
        <v>34.141525685321461</v>
      </c>
      <c r="D1144">
        <f t="shared" si="54"/>
        <v>3.654800335495187</v>
      </c>
      <c r="E1144">
        <f t="shared" si="55"/>
        <v>18.898163010408325</v>
      </c>
    </row>
    <row r="1145" spans="1:5">
      <c r="A1145" s="39">
        <v>43588</v>
      </c>
      <c r="B1145" s="152">
        <v>11.413</v>
      </c>
      <c r="C1145">
        <f t="shared" si="53"/>
        <v>34.141525685321461</v>
      </c>
      <c r="D1145">
        <f t="shared" si="54"/>
        <v>3.654800335495187</v>
      </c>
      <c r="E1145">
        <f t="shared" si="55"/>
        <v>18.898163010408325</v>
      </c>
    </row>
    <row r="1146" spans="1:5">
      <c r="A1146" s="39">
        <v>43587</v>
      </c>
      <c r="B1146" s="152">
        <v>11.426299999999999</v>
      </c>
      <c r="C1146">
        <f t="shared" si="53"/>
        <v>34.141525685321461</v>
      </c>
      <c r="D1146">
        <f t="shared" si="54"/>
        <v>3.654800335495187</v>
      </c>
      <c r="E1146">
        <f t="shared" si="55"/>
        <v>18.898163010408325</v>
      </c>
    </row>
    <row r="1147" spans="1:5">
      <c r="A1147" s="39">
        <v>43581</v>
      </c>
      <c r="B1147" s="152">
        <v>11.280099999999999</v>
      </c>
      <c r="C1147">
        <f t="shared" si="53"/>
        <v>34.141525685321461</v>
      </c>
      <c r="D1147">
        <f t="shared" si="54"/>
        <v>3.654800335495187</v>
      </c>
      <c r="E1147">
        <f t="shared" si="55"/>
        <v>18.898163010408325</v>
      </c>
    </row>
    <row r="1148" spans="1:5">
      <c r="A1148" s="39">
        <v>43580</v>
      </c>
      <c r="B1148" s="152">
        <v>11.094099999999999</v>
      </c>
      <c r="C1148">
        <f t="shared" si="53"/>
        <v>34.141525685321461</v>
      </c>
      <c r="D1148">
        <f t="shared" si="54"/>
        <v>3.654800335495187</v>
      </c>
      <c r="E1148">
        <f t="shared" si="55"/>
        <v>18.898163010408325</v>
      </c>
    </row>
    <row r="1149" spans="1:5">
      <c r="A1149" s="39">
        <v>43579</v>
      </c>
      <c r="B1149" s="152">
        <v>11.027699999999999</v>
      </c>
      <c r="C1149">
        <f t="shared" si="53"/>
        <v>34.141525685321461</v>
      </c>
      <c r="D1149">
        <f t="shared" si="54"/>
        <v>3.654800335495187</v>
      </c>
      <c r="E1149">
        <f t="shared" si="55"/>
        <v>18.898163010408325</v>
      </c>
    </row>
    <row r="1150" spans="1:5">
      <c r="A1150" s="39">
        <v>43578</v>
      </c>
      <c r="B1150" s="152">
        <v>11.001099999999999</v>
      </c>
      <c r="C1150">
        <f t="shared" si="53"/>
        <v>34.141525685321461</v>
      </c>
      <c r="D1150">
        <f t="shared" si="54"/>
        <v>3.654800335495187</v>
      </c>
      <c r="E1150">
        <f t="shared" si="55"/>
        <v>18.898163010408325</v>
      </c>
    </row>
    <row r="1151" spans="1:5">
      <c r="A1151" s="39">
        <v>43577</v>
      </c>
      <c r="B1151" s="152">
        <v>11.027699999999999</v>
      </c>
      <c r="C1151">
        <f t="shared" si="53"/>
        <v>34.141525685321461</v>
      </c>
      <c r="D1151">
        <f t="shared" si="54"/>
        <v>3.654800335495187</v>
      </c>
      <c r="E1151">
        <f t="shared" si="55"/>
        <v>18.898163010408325</v>
      </c>
    </row>
    <row r="1152" spans="1:5">
      <c r="A1152" s="39">
        <v>43574</v>
      </c>
      <c r="B1152" s="152">
        <v>10.9214</v>
      </c>
      <c r="C1152">
        <f t="shared" si="53"/>
        <v>34.141525685321461</v>
      </c>
      <c r="D1152">
        <f t="shared" si="54"/>
        <v>3.654800335495187</v>
      </c>
      <c r="E1152">
        <f t="shared" si="55"/>
        <v>18.898163010408325</v>
      </c>
    </row>
    <row r="1153" spans="1:5">
      <c r="A1153" s="39">
        <v>43573</v>
      </c>
      <c r="B1153" s="152">
        <v>10.815099999999999</v>
      </c>
      <c r="C1153">
        <f t="shared" si="53"/>
        <v>34.141525685321461</v>
      </c>
      <c r="D1153">
        <f t="shared" si="54"/>
        <v>3.654800335495187</v>
      </c>
      <c r="E1153">
        <f t="shared" si="55"/>
        <v>18.898163010408325</v>
      </c>
    </row>
    <row r="1154" spans="1:5">
      <c r="A1154" s="39">
        <v>43572</v>
      </c>
      <c r="B1154" s="152">
        <v>10.8683</v>
      </c>
      <c r="C1154">
        <f t="shared" si="53"/>
        <v>34.141525685321461</v>
      </c>
      <c r="D1154">
        <f t="shared" si="54"/>
        <v>3.654800335495187</v>
      </c>
      <c r="E1154">
        <f t="shared" si="55"/>
        <v>18.898163010408325</v>
      </c>
    </row>
    <row r="1155" spans="1:5">
      <c r="A1155" s="39">
        <v>43571</v>
      </c>
      <c r="B1155" s="152">
        <v>10.855</v>
      </c>
      <c r="C1155">
        <f t="shared" si="53"/>
        <v>34.141525685321461</v>
      </c>
      <c r="D1155">
        <f t="shared" si="54"/>
        <v>3.654800335495187</v>
      </c>
      <c r="E1155">
        <f t="shared" si="55"/>
        <v>18.898163010408325</v>
      </c>
    </row>
    <row r="1156" spans="1:5">
      <c r="A1156" s="39">
        <v>43567</v>
      </c>
      <c r="B1156" s="152">
        <v>10.9613</v>
      </c>
      <c r="C1156">
        <f t="shared" ref="C1156:C1219" si="56">AVERAGE($B$3:$B$1251)+$C$1</f>
        <v>34.141525685321461</v>
      </c>
      <c r="D1156">
        <f t="shared" ref="D1156:D1219" si="57">AVERAGE($B$3:$B$1251)-$C$1</f>
        <v>3.654800335495187</v>
      </c>
      <c r="E1156">
        <f t="shared" ref="E1156:E1219" si="58">AVERAGE($B$3:$B$1251)</f>
        <v>18.898163010408325</v>
      </c>
    </row>
    <row r="1157" spans="1:5">
      <c r="A1157" s="39">
        <v>43566</v>
      </c>
      <c r="B1157" s="152">
        <v>10.9613</v>
      </c>
      <c r="C1157">
        <f t="shared" si="56"/>
        <v>34.141525685321461</v>
      </c>
      <c r="D1157">
        <f t="shared" si="57"/>
        <v>3.654800335495187</v>
      </c>
      <c r="E1157">
        <f t="shared" si="58"/>
        <v>18.898163010408325</v>
      </c>
    </row>
    <row r="1158" spans="1:5">
      <c r="A1158" s="39">
        <v>43565</v>
      </c>
      <c r="B1158" s="152">
        <v>11.001099999999999</v>
      </c>
      <c r="C1158">
        <f t="shared" si="56"/>
        <v>34.141525685321461</v>
      </c>
      <c r="D1158">
        <f t="shared" si="57"/>
        <v>3.654800335495187</v>
      </c>
      <c r="E1158">
        <f t="shared" si="58"/>
        <v>18.898163010408325</v>
      </c>
    </row>
    <row r="1159" spans="1:5">
      <c r="A1159" s="39">
        <v>43564</v>
      </c>
      <c r="B1159" s="152">
        <v>11.120699999999999</v>
      </c>
      <c r="C1159">
        <f t="shared" si="56"/>
        <v>34.141525685321461</v>
      </c>
      <c r="D1159">
        <f t="shared" si="57"/>
        <v>3.654800335495187</v>
      </c>
      <c r="E1159">
        <f t="shared" si="58"/>
        <v>18.898163010408325</v>
      </c>
    </row>
    <row r="1160" spans="1:5">
      <c r="A1160" s="39">
        <v>43563</v>
      </c>
      <c r="B1160" s="152">
        <v>11.160600000000001</v>
      </c>
      <c r="C1160">
        <f t="shared" si="56"/>
        <v>34.141525685321461</v>
      </c>
      <c r="D1160">
        <f t="shared" si="57"/>
        <v>3.654800335495187</v>
      </c>
      <c r="E1160">
        <f t="shared" si="58"/>
        <v>18.898163010408325</v>
      </c>
    </row>
    <row r="1161" spans="1:5">
      <c r="A1161" s="39">
        <v>43560</v>
      </c>
      <c r="B1161" s="152">
        <v>11.1738</v>
      </c>
      <c r="C1161">
        <f t="shared" si="56"/>
        <v>34.141525685321461</v>
      </c>
      <c r="D1161">
        <f t="shared" si="57"/>
        <v>3.654800335495187</v>
      </c>
      <c r="E1161">
        <f t="shared" si="58"/>
        <v>18.898163010408325</v>
      </c>
    </row>
    <row r="1162" spans="1:5">
      <c r="A1162" s="39">
        <v>43559</v>
      </c>
      <c r="B1162" s="152">
        <v>11.094099999999999</v>
      </c>
      <c r="C1162">
        <f t="shared" si="56"/>
        <v>34.141525685321461</v>
      </c>
      <c r="D1162">
        <f t="shared" si="57"/>
        <v>3.654800335495187</v>
      </c>
      <c r="E1162">
        <f t="shared" si="58"/>
        <v>18.898163010408325</v>
      </c>
    </row>
    <row r="1163" spans="1:5">
      <c r="A1163" s="39">
        <v>43558</v>
      </c>
      <c r="B1163" s="152">
        <v>11.134</v>
      </c>
      <c r="C1163">
        <f t="shared" si="56"/>
        <v>34.141525685321461</v>
      </c>
      <c r="D1163">
        <f t="shared" si="57"/>
        <v>3.654800335495187</v>
      </c>
      <c r="E1163">
        <f t="shared" si="58"/>
        <v>18.898163010408325</v>
      </c>
    </row>
    <row r="1164" spans="1:5">
      <c r="A1164" s="39">
        <v>43557</v>
      </c>
      <c r="B1164" s="152">
        <v>11.1738</v>
      </c>
      <c r="C1164">
        <f t="shared" si="56"/>
        <v>34.141525685321461</v>
      </c>
      <c r="D1164">
        <f t="shared" si="57"/>
        <v>3.654800335495187</v>
      </c>
      <c r="E1164">
        <f t="shared" si="58"/>
        <v>18.898163010408325</v>
      </c>
    </row>
    <row r="1165" spans="1:5">
      <c r="A1165" s="39">
        <v>43556</v>
      </c>
      <c r="B1165" s="152">
        <v>11.1738</v>
      </c>
      <c r="C1165">
        <f t="shared" si="56"/>
        <v>34.141525685321461</v>
      </c>
      <c r="D1165">
        <f t="shared" si="57"/>
        <v>3.654800335495187</v>
      </c>
      <c r="E1165">
        <f t="shared" si="58"/>
        <v>18.898163010408325</v>
      </c>
    </row>
    <row r="1166" spans="1:5">
      <c r="A1166" s="39">
        <v>43553</v>
      </c>
      <c r="B1166" s="152">
        <v>11.2668</v>
      </c>
      <c r="C1166">
        <f t="shared" si="56"/>
        <v>34.141525685321461</v>
      </c>
      <c r="D1166">
        <f t="shared" si="57"/>
        <v>3.654800335495187</v>
      </c>
      <c r="E1166">
        <f t="shared" si="58"/>
        <v>18.898163010408325</v>
      </c>
    </row>
    <row r="1167" spans="1:5">
      <c r="A1167" s="39">
        <v>43552</v>
      </c>
      <c r="B1167" s="152">
        <v>11.9422</v>
      </c>
      <c r="C1167">
        <f t="shared" si="56"/>
        <v>34.141525685321461</v>
      </c>
      <c r="D1167">
        <f t="shared" si="57"/>
        <v>3.654800335495187</v>
      </c>
      <c r="E1167">
        <f t="shared" si="58"/>
        <v>18.898163010408325</v>
      </c>
    </row>
    <row r="1168" spans="1:5">
      <c r="A1168" s="39">
        <v>43551</v>
      </c>
      <c r="B1168" s="152">
        <v>11.9422</v>
      </c>
      <c r="C1168">
        <f t="shared" si="56"/>
        <v>34.141525685321461</v>
      </c>
      <c r="D1168">
        <f t="shared" si="57"/>
        <v>3.654800335495187</v>
      </c>
      <c r="E1168">
        <f t="shared" si="58"/>
        <v>18.898163010408325</v>
      </c>
    </row>
    <row r="1169" spans="1:5">
      <c r="A1169" s="39">
        <v>43550</v>
      </c>
      <c r="B1169" s="152">
        <v>11.899800000000001</v>
      </c>
      <c r="C1169">
        <f t="shared" si="56"/>
        <v>34.141525685321461</v>
      </c>
      <c r="D1169">
        <f t="shared" si="57"/>
        <v>3.654800335495187</v>
      </c>
      <c r="E1169">
        <f t="shared" si="58"/>
        <v>18.898163010408325</v>
      </c>
    </row>
    <row r="1170" spans="1:5">
      <c r="A1170" s="39">
        <v>43549</v>
      </c>
      <c r="B1170" s="152">
        <v>11.8573</v>
      </c>
      <c r="C1170">
        <f t="shared" si="56"/>
        <v>34.141525685321461</v>
      </c>
      <c r="D1170">
        <f t="shared" si="57"/>
        <v>3.654800335495187</v>
      </c>
      <c r="E1170">
        <f t="shared" si="58"/>
        <v>18.898163010408325</v>
      </c>
    </row>
    <row r="1171" spans="1:5">
      <c r="A1171" s="39">
        <v>43546</v>
      </c>
      <c r="B1171" s="152">
        <v>12.3384</v>
      </c>
      <c r="C1171">
        <f t="shared" si="56"/>
        <v>34.141525685321461</v>
      </c>
      <c r="D1171">
        <f t="shared" si="57"/>
        <v>3.654800335495187</v>
      </c>
      <c r="E1171">
        <f t="shared" si="58"/>
        <v>18.898163010408325</v>
      </c>
    </row>
    <row r="1172" spans="1:5">
      <c r="A1172" s="39">
        <v>43545</v>
      </c>
      <c r="B1172" s="152">
        <v>12.4375</v>
      </c>
      <c r="C1172">
        <f t="shared" si="56"/>
        <v>34.141525685321461</v>
      </c>
      <c r="D1172">
        <f t="shared" si="57"/>
        <v>3.654800335495187</v>
      </c>
      <c r="E1172">
        <f t="shared" si="58"/>
        <v>18.898163010408325</v>
      </c>
    </row>
    <row r="1173" spans="1:5">
      <c r="A1173" s="39">
        <v>43544</v>
      </c>
      <c r="B1173" s="152">
        <v>12.5223</v>
      </c>
      <c r="C1173">
        <f t="shared" si="56"/>
        <v>34.141525685321461</v>
      </c>
      <c r="D1173">
        <f t="shared" si="57"/>
        <v>3.654800335495187</v>
      </c>
      <c r="E1173">
        <f t="shared" si="58"/>
        <v>18.898163010408325</v>
      </c>
    </row>
    <row r="1174" spans="1:5">
      <c r="A1174" s="39">
        <v>43543</v>
      </c>
      <c r="B1174" s="152">
        <v>12.607200000000001</v>
      </c>
      <c r="C1174">
        <f t="shared" si="56"/>
        <v>34.141525685321461</v>
      </c>
      <c r="D1174">
        <f t="shared" si="57"/>
        <v>3.654800335495187</v>
      </c>
      <c r="E1174">
        <f t="shared" si="58"/>
        <v>18.898163010408325</v>
      </c>
    </row>
    <row r="1175" spans="1:5">
      <c r="A1175" s="39">
        <v>43542</v>
      </c>
      <c r="B1175" s="152">
        <v>12.6214</v>
      </c>
      <c r="C1175">
        <f t="shared" si="56"/>
        <v>34.141525685321461</v>
      </c>
      <c r="D1175">
        <f t="shared" si="57"/>
        <v>3.654800335495187</v>
      </c>
      <c r="E1175">
        <f t="shared" si="58"/>
        <v>18.898163010408325</v>
      </c>
    </row>
    <row r="1176" spans="1:5">
      <c r="A1176" s="39">
        <v>43539</v>
      </c>
      <c r="B1176" s="152">
        <v>12.5365</v>
      </c>
      <c r="C1176">
        <f t="shared" si="56"/>
        <v>34.141525685321461</v>
      </c>
      <c r="D1176">
        <f t="shared" si="57"/>
        <v>3.654800335495187</v>
      </c>
      <c r="E1176">
        <f t="shared" si="58"/>
        <v>18.898163010408325</v>
      </c>
    </row>
    <row r="1177" spans="1:5">
      <c r="A1177" s="39">
        <v>43538</v>
      </c>
      <c r="B1177" s="152">
        <v>12.5931</v>
      </c>
      <c r="C1177">
        <f t="shared" si="56"/>
        <v>34.141525685321461</v>
      </c>
      <c r="D1177">
        <f t="shared" si="57"/>
        <v>3.654800335495187</v>
      </c>
      <c r="E1177">
        <f t="shared" si="58"/>
        <v>18.898163010408325</v>
      </c>
    </row>
    <row r="1178" spans="1:5">
      <c r="A1178" s="39">
        <v>43537</v>
      </c>
      <c r="B1178" s="152">
        <v>12.649699999999999</v>
      </c>
      <c r="C1178">
        <f t="shared" si="56"/>
        <v>34.141525685321461</v>
      </c>
      <c r="D1178">
        <f t="shared" si="57"/>
        <v>3.654800335495187</v>
      </c>
      <c r="E1178">
        <f t="shared" si="58"/>
        <v>18.898163010408325</v>
      </c>
    </row>
    <row r="1179" spans="1:5">
      <c r="A1179" s="39">
        <v>43536</v>
      </c>
      <c r="B1179" s="152">
        <v>12.5223</v>
      </c>
      <c r="C1179">
        <f t="shared" si="56"/>
        <v>34.141525685321461</v>
      </c>
      <c r="D1179">
        <f t="shared" si="57"/>
        <v>3.654800335495187</v>
      </c>
      <c r="E1179">
        <f t="shared" si="58"/>
        <v>18.898163010408325</v>
      </c>
    </row>
    <row r="1180" spans="1:5">
      <c r="A1180" s="39">
        <v>43535</v>
      </c>
      <c r="B1180" s="152">
        <v>12.3667</v>
      </c>
      <c r="C1180">
        <f t="shared" si="56"/>
        <v>34.141525685321461</v>
      </c>
      <c r="D1180">
        <f t="shared" si="57"/>
        <v>3.654800335495187</v>
      </c>
      <c r="E1180">
        <f t="shared" si="58"/>
        <v>18.898163010408325</v>
      </c>
    </row>
    <row r="1181" spans="1:5">
      <c r="A1181" s="39">
        <v>43532</v>
      </c>
      <c r="B1181" s="152">
        <v>12.253500000000001</v>
      </c>
      <c r="C1181">
        <f t="shared" si="56"/>
        <v>34.141525685321461</v>
      </c>
      <c r="D1181">
        <f t="shared" si="57"/>
        <v>3.654800335495187</v>
      </c>
      <c r="E1181">
        <f t="shared" si="58"/>
        <v>18.898163010408325</v>
      </c>
    </row>
    <row r="1182" spans="1:5">
      <c r="A1182" s="39">
        <v>43531</v>
      </c>
      <c r="B1182" s="152">
        <v>12.4092</v>
      </c>
      <c r="C1182">
        <f t="shared" si="56"/>
        <v>34.141525685321461</v>
      </c>
      <c r="D1182">
        <f t="shared" si="57"/>
        <v>3.654800335495187</v>
      </c>
      <c r="E1182">
        <f t="shared" si="58"/>
        <v>18.898163010408325</v>
      </c>
    </row>
    <row r="1183" spans="1:5">
      <c r="A1183" s="39">
        <v>43530</v>
      </c>
      <c r="B1183" s="152">
        <v>12.4657</v>
      </c>
      <c r="C1183">
        <f t="shared" si="56"/>
        <v>34.141525685321461</v>
      </c>
      <c r="D1183">
        <f t="shared" si="57"/>
        <v>3.654800335495187</v>
      </c>
      <c r="E1183">
        <f t="shared" si="58"/>
        <v>18.898163010408325</v>
      </c>
    </row>
    <row r="1184" spans="1:5">
      <c r="A1184" s="39">
        <v>43529</v>
      </c>
      <c r="B1184" s="152">
        <v>12.423299999999999</v>
      </c>
      <c r="C1184">
        <f t="shared" si="56"/>
        <v>34.141525685321461</v>
      </c>
      <c r="D1184">
        <f t="shared" si="57"/>
        <v>3.654800335495187</v>
      </c>
      <c r="E1184">
        <f t="shared" si="58"/>
        <v>18.898163010408325</v>
      </c>
    </row>
    <row r="1185" spans="1:5">
      <c r="A1185" s="39">
        <v>43528</v>
      </c>
      <c r="B1185" s="152">
        <v>12.5931</v>
      </c>
      <c r="C1185">
        <f t="shared" si="56"/>
        <v>34.141525685321461</v>
      </c>
      <c r="D1185">
        <f t="shared" si="57"/>
        <v>3.654800335495187</v>
      </c>
      <c r="E1185">
        <f t="shared" si="58"/>
        <v>18.898163010408325</v>
      </c>
    </row>
    <row r="1186" spans="1:5">
      <c r="A1186" s="39">
        <v>43525</v>
      </c>
      <c r="B1186" s="152">
        <v>12.3809</v>
      </c>
      <c r="C1186">
        <f t="shared" si="56"/>
        <v>34.141525685321461</v>
      </c>
      <c r="D1186">
        <f t="shared" si="57"/>
        <v>3.654800335495187</v>
      </c>
      <c r="E1186">
        <f t="shared" si="58"/>
        <v>18.898163010408325</v>
      </c>
    </row>
    <row r="1187" spans="1:5">
      <c r="A1187" s="39">
        <v>43524</v>
      </c>
      <c r="B1187" s="152">
        <v>12.2818</v>
      </c>
      <c r="C1187">
        <f t="shared" si="56"/>
        <v>34.141525685321461</v>
      </c>
      <c r="D1187">
        <f t="shared" si="57"/>
        <v>3.654800335495187</v>
      </c>
      <c r="E1187">
        <f t="shared" si="58"/>
        <v>18.898163010408325</v>
      </c>
    </row>
    <row r="1188" spans="1:5">
      <c r="A1188" s="39">
        <v>43523</v>
      </c>
      <c r="B1188" s="152">
        <v>12.479900000000001</v>
      </c>
      <c r="C1188">
        <f t="shared" si="56"/>
        <v>34.141525685321461</v>
      </c>
      <c r="D1188">
        <f t="shared" si="57"/>
        <v>3.654800335495187</v>
      </c>
      <c r="E1188">
        <f t="shared" si="58"/>
        <v>18.898163010408325</v>
      </c>
    </row>
    <row r="1189" spans="1:5">
      <c r="A1189" s="39">
        <v>43522</v>
      </c>
      <c r="B1189" s="152">
        <v>12.5223</v>
      </c>
      <c r="C1189">
        <f t="shared" si="56"/>
        <v>34.141525685321461</v>
      </c>
      <c r="D1189">
        <f t="shared" si="57"/>
        <v>3.654800335495187</v>
      </c>
      <c r="E1189">
        <f t="shared" si="58"/>
        <v>18.898163010408325</v>
      </c>
    </row>
    <row r="1190" spans="1:5">
      <c r="A1190" s="39">
        <v>43521</v>
      </c>
      <c r="B1190" s="152">
        <v>12.678000000000001</v>
      </c>
      <c r="C1190">
        <f t="shared" si="56"/>
        <v>34.141525685321461</v>
      </c>
      <c r="D1190">
        <f t="shared" si="57"/>
        <v>3.654800335495187</v>
      </c>
      <c r="E1190">
        <f t="shared" si="58"/>
        <v>18.898163010408325</v>
      </c>
    </row>
    <row r="1191" spans="1:5">
      <c r="A1191" s="39">
        <v>43518</v>
      </c>
      <c r="B1191" s="152">
        <v>12.5931</v>
      </c>
      <c r="C1191">
        <f t="shared" si="56"/>
        <v>34.141525685321461</v>
      </c>
      <c r="D1191">
        <f t="shared" si="57"/>
        <v>3.654800335495187</v>
      </c>
      <c r="E1191">
        <f t="shared" si="58"/>
        <v>18.898163010408325</v>
      </c>
    </row>
    <row r="1192" spans="1:5">
      <c r="A1192" s="39">
        <v>43517</v>
      </c>
      <c r="B1192" s="152">
        <v>12.4375</v>
      </c>
      <c r="C1192">
        <f t="shared" si="56"/>
        <v>34.141525685321461</v>
      </c>
      <c r="D1192">
        <f t="shared" si="57"/>
        <v>3.654800335495187</v>
      </c>
      <c r="E1192">
        <f t="shared" si="58"/>
        <v>18.898163010408325</v>
      </c>
    </row>
    <row r="1193" spans="1:5">
      <c r="A1193" s="39">
        <v>43516</v>
      </c>
      <c r="B1193" s="152">
        <v>12.324299999999999</v>
      </c>
      <c r="C1193">
        <f t="shared" si="56"/>
        <v>34.141525685321461</v>
      </c>
      <c r="D1193">
        <f t="shared" si="57"/>
        <v>3.654800335495187</v>
      </c>
      <c r="E1193">
        <f t="shared" si="58"/>
        <v>18.898163010408325</v>
      </c>
    </row>
    <row r="1194" spans="1:5">
      <c r="A1194" s="39">
        <v>43515</v>
      </c>
      <c r="B1194" s="152">
        <v>12.3101</v>
      </c>
      <c r="C1194">
        <f t="shared" si="56"/>
        <v>34.141525685321461</v>
      </c>
      <c r="D1194">
        <f t="shared" si="57"/>
        <v>3.654800335495187</v>
      </c>
      <c r="E1194">
        <f t="shared" si="58"/>
        <v>18.898163010408325</v>
      </c>
    </row>
    <row r="1195" spans="1:5">
      <c r="A1195" s="39">
        <v>43514</v>
      </c>
      <c r="B1195" s="152">
        <v>12.1828</v>
      </c>
      <c r="C1195">
        <f t="shared" si="56"/>
        <v>34.141525685321461</v>
      </c>
      <c r="D1195">
        <f t="shared" si="57"/>
        <v>3.654800335495187</v>
      </c>
      <c r="E1195">
        <f t="shared" si="58"/>
        <v>18.898163010408325</v>
      </c>
    </row>
    <row r="1196" spans="1:5">
      <c r="A1196" s="39">
        <v>43511</v>
      </c>
      <c r="B1196" s="152">
        <v>12.1828</v>
      </c>
      <c r="C1196">
        <f t="shared" si="56"/>
        <v>34.141525685321461</v>
      </c>
      <c r="D1196">
        <f t="shared" si="57"/>
        <v>3.654800335495187</v>
      </c>
      <c r="E1196">
        <f t="shared" si="58"/>
        <v>18.898163010408325</v>
      </c>
    </row>
    <row r="1197" spans="1:5">
      <c r="A1197" s="39">
        <v>43510</v>
      </c>
      <c r="B1197" s="152">
        <v>12.126200000000001</v>
      </c>
      <c r="C1197">
        <f t="shared" si="56"/>
        <v>34.141525685321461</v>
      </c>
      <c r="D1197">
        <f t="shared" si="57"/>
        <v>3.654800335495187</v>
      </c>
      <c r="E1197">
        <f t="shared" si="58"/>
        <v>18.898163010408325</v>
      </c>
    </row>
    <row r="1198" spans="1:5">
      <c r="A1198" s="39">
        <v>43509</v>
      </c>
      <c r="B1198" s="152">
        <v>12.196899999999999</v>
      </c>
      <c r="C1198">
        <f t="shared" si="56"/>
        <v>34.141525685321461</v>
      </c>
      <c r="D1198">
        <f t="shared" si="57"/>
        <v>3.654800335495187</v>
      </c>
      <c r="E1198">
        <f t="shared" si="58"/>
        <v>18.898163010408325</v>
      </c>
    </row>
    <row r="1199" spans="1:5">
      <c r="A1199" s="39">
        <v>43508</v>
      </c>
      <c r="B1199" s="152">
        <v>11.970499999999999</v>
      </c>
      <c r="C1199">
        <f t="shared" si="56"/>
        <v>34.141525685321461</v>
      </c>
      <c r="D1199">
        <f t="shared" si="57"/>
        <v>3.654800335495187</v>
      </c>
      <c r="E1199">
        <f t="shared" si="58"/>
        <v>18.898163010408325</v>
      </c>
    </row>
    <row r="1200" spans="1:5">
      <c r="A1200" s="39">
        <v>43507</v>
      </c>
      <c r="B1200" s="152">
        <v>11.970499999999999</v>
      </c>
      <c r="C1200">
        <f t="shared" si="56"/>
        <v>34.141525685321461</v>
      </c>
      <c r="D1200">
        <f t="shared" si="57"/>
        <v>3.654800335495187</v>
      </c>
      <c r="E1200">
        <f t="shared" si="58"/>
        <v>18.898163010408325</v>
      </c>
    </row>
    <row r="1201" spans="1:5">
      <c r="A1201" s="39">
        <v>43497</v>
      </c>
      <c r="B1201" s="152">
        <v>11.7441</v>
      </c>
      <c r="C1201">
        <f t="shared" si="56"/>
        <v>34.141525685321461</v>
      </c>
      <c r="D1201">
        <f t="shared" si="57"/>
        <v>3.654800335495187</v>
      </c>
      <c r="E1201">
        <f t="shared" si="58"/>
        <v>18.898163010408325</v>
      </c>
    </row>
    <row r="1202" spans="1:5">
      <c r="A1202" s="39">
        <v>43496</v>
      </c>
      <c r="B1202" s="152">
        <v>11.7441</v>
      </c>
      <c r="C1202">
        <f t="shared" si="56"/>
        <v>34.141525685321461</v>
      </c>
      <c r="D1202">
        <f t="shared" si="57"/>
        <v>3.654800335495187</v>
      </c>
      <c r="E1202">
        <f t="shared" si="58"/>
        <v>18.898163010408325</v>
      </c>
    </row>
    <row r="1203" spans="1:5">
      <c r="A1203" s="39">
        <v>43495</v>
      </c>
      <c r="B1203" s="152">
        <v>11.829000000000001</v>
      </c>
      <c r="C1203">
        <f t="shared" si="56"/>
        <v>34.141525685321461</v>
      </c>
      <c r="D1203">
        <f t="shared" si="57"/>
        <v>3.654800335495187</v>
      </c>
      <c r="E1203">
        <f t="shared" si="58"/>
        <v>18.898163010408325</v>
      </c>
    </row>
    <row r="1204" spans="1:5">
      <c r="A1204" s="39">
        <v>43494</v>
      </c>
      <c r="B1204" s="152">
        <v>12.097899999999999</v>
      </c>
      <c r="C1204">
        <f t="shared" si="56"/>
        <v>34.141525685321461</v>
      </c>
      <c r="D1204">
        <f t="shared" si="57"/>
        <v>3.654800335495187</v>
      </c>
      <c r="E1204">
        <f t="shared" si="58"/>
        <v>18.898163010408325</v>
      </c>
    </row>
    <row r="1205" spans="1:5">
      <c r="A1205" s="39">
        <v>43493</v>
      </c>
      <c r="B1205" s="152">
        <v>11.829000000000001</v>
      </c>
      <c r="C1205">
        <f t="shared" si="56"/>
        <v>34.141525685321461</v>
      </c>
      <c r="D1205">
        <f t="shared" si="57"/>
        <v>3.654800335495187</v>
      </c>
      <c r="E1205">
        <f t="shared" si="58"/>
        <v>18.898163010408325</v>
      </c>
    </row>
    <row r="1206" spans="1:5">
      <c r="A1206" s="39">
        <v>43490</v>
      </c>
      <c r="B1206" s="152">
        <v>11.772399999999999</v>
      </c>
      <c r="C1206">
        <f t="shared" si="56"/>
        <v>34.141525685321461</v>
      </c>
      <c r="D1206">
        <f t="shared" si="57"/>
        <v>3.654800335495187</v>
      </c>
      <c r="E1206">
        <f t="shared" si="58"/>
        <v>18.898163010408325</v>
      </c>
    </row>
    <row r="1207" spans="1:5">
      <c r="A1207" s="39">
        <v>43489</v>
      </c>
      <c r="B1207" s="152">
        <v>11.829000000000001</v>
      </c>
      <c r="C1207">
        <f t="shared" si="56"/>
        <v>34.141525685321461</v>
      </c>
      <c r="D1207">
        <f t="shared" si="57"/>
        <v>3.654800335495187</v>
      </c>
      <c r="E1207">
        <f t="shared" si="58"/>
        <v>18.898163010408325</v>
      </c>
    </row>
    <row r="1208" spans="1:5">
      <c r="A1208" s="39">
        <v>43488</v>
      </c>
      <c r="B1208" s="152">
        <v>11.829000000000001</v>
      </c>
      <c r="C1208">
        <f t="shared" si="56"/>
        <v>34.141525685321461</v>
      </c>
      <c r="D1208">
        <f t="shared" si="57"/>
        <v>3.654800335495187</v>
      </c>
      <c r="E1208">
        <f t="shared" si="58"/>
        <v>18.898163010408325</v>
      </c>
    </row>
    <row r="1209" spans="1:5">
      <c r="A1209" s="39">
        <v>43487</v>
      </c>
      <c r="B1209" s="152">
        <v>11.8573</v>
      </c>
      <c r="C1209">
        <f t="shared" si="56"/>
        <v>34.141525685321461</v>
      </c>
      <c r="D1209">
        <f t="shared" si="57"/>
        <v>3.654800335495187</v>
      </c>
      <c r="E1209">
        <f t="shared" si="58"/>
        <v>18.898163010408325</v>
      </c>
    </row>
    <row r="1210" spans="1:5">
      <c r="A1210" s="39">
        <v>43486</v>
      </c>
      <c r="B1210" s="152">
        <v>11.8432</v>
      </c>
      <c r="C1210">
        <f t="shared" si="56"/>
        <v>34.141525685321461</v>
      </c>
      <c r="D1210">
        <f t="shared" si="57"/>
        <v>3.654800335495187</v>
      </c>
      <c r="E1210">
        <f t="shared" si="58"/>
        <v>18.898163010408325</v>
      </c>
    </row>
    <row r="1211" spans="1:5">
      <c r="A1211" s="39">
        <v>43483</v>
      </c>
      <c r="B1211" s="152">
        <v>11.9422</v>
      </c>
      <c r="C1211">
        <f t="shared" si="56"/>
        <v>34.141525685321461</v>
      </c>
      <c r="D1211">
        <f t="shared" si="57"/>
        <v>3.654800335495187</v>
      </c>
      <c r="E1211">
        <f t="shared" si="58"/>
        <v>18.898163010408325</v>
      </c>
    </row>
    <row r="1212" spans="1:5">
      <c r="A1212" s="39">
        <v>43482</v>
      </c>
      <c r="B1212" s="152">
        <v>12.069599999999999</v>
      </c>
      <c r="C1212">
        <f t="shared" si="56"/>
        <v>34.141525685321461</v>
      </c>
      <c r="D1212">
        <f t="shared" si="57"/>
        <v>3.654800335495187</v>
      </c>
      <c r="E1212">
        <f t="shared" si="58"/>
        <v>18.898163010408325</v>
      </c>
    </row>
    <row r="1213" spans="1:5">
      <c r="A1213" s="39">
        <v>43481</v>
      </c>
      <c r="B1213" s="152">
        <v>12.069599999999999</v>
      </c>
      <c r="C1213">
        <f t="shared" si="56"/>
        <v>34.141525685321461</v>
      </c>
      <c r="D1213">
        <f t="shared" si="57"/>
        <v>3.654800335495187</v>
      </c>
      <c r="E1213">
        <f t="shared" si="58"/>
        <v>18.898163010408325</v>
      </c>
    </row>
    <row r="1214" spans="1:5">
      <c r="A1214" s="39">
        <v>43480</v>
      </c>
      <c r="B1214" s="152">
        <v>12.126200000000001</v>
      </c>
      <c r="C1214">
        <f t="shared" si="56"/>
        <v>34.141525685321461</v>
      </c>
      <c r="D1214">
        <f t="shared" si="57"/>
        <v>3.654800335495187</v>
      </c>
      <c r="E1214">
        <f t="shared" si="58"/>
        <v>18.898163010408325</v>
      </c>
    </row>
    <row r="1215" spans="1:5">
      <c r="A1215" s="39">
        <v>43479</v>
      </c>
      <c r="B1215" s="152">
        <v>12.027100000000001</v>
      </c>
      <c r="C1215">
        <f t="shared" si="56"/>
        <v>34.141525685321461</v>
      </c>
      <c r="D1215">
        <f t="shared" si="57"/>
        <v>3.654800335495187</v>
      </c>
      <c r="E1215">
        <f t="shared" si="58"/>
        <v>18.898163010408325</v>
      </c>
    </row>
    <row r="1216" spans="1:5">
      <c r="A1216" s="39">
        <v>43476</v>
      </c>
      <c r="B1216" s="152">
        <v>12.027100000000001</v>
      </c>
      <c r="C1216">
        <f t="shared" si="56"/>
        <v>34.141525685321461</v>
      </c>
      <c r="D1216">
        <f t="shared" si="57"/>
        <v>3.654800335495187</v>
      </c>
      <c r="E1216">
        <f t="shared" si="58"/>
        <v>18.898163010408325</v>
      </c>
    </row>
    <row r="1217" spans="1:5">
      <c r="A1217" s="39">
        <v>43475</v>
      </c>
      <c r="B1217" s="152">
        <v>12.1686</v>
      </c>
      <c r="C1217">
        <f t="shared" si="56"/>
        <v>34.141525685321461</v>
      </c>
      <c r="D1217">
        <f t="shared" si="57"/>
        <v>3.654800335495187</v>
      </c>
      <c r="E1217">
        <f t="shared" si="58"/>
        <v>18.898163010408325</v>
      </c>
    </row>
    <row r="1218" spans="1:5">
      <c r="A1218" s="39">
        <v>43474</v>
      </c>
      <c r="B1218" s="152">
        <v>12.0837</v>
      </c>
      <c r="C1218">
        <f t="shared" si="56"/>
        <v>34.141525685321461</v>
      </c>
      <c r="D1218">
        <f t="shared" si="57"/>
        <v>3.654800335495187</v>
      </c>
      <c r="E1218">
        <f t="shared" si="58"/>
        <v>18.898163010408325</v>
      </c>
    </row>
    <row r="1219" spans="1:5">
      <c r="A1219" s="39">
        <v>43473</v>
      </c>
      <c r="B1219" s="152">
        <v>11.8856</v>
      </c>
      <c r="C1219">
        <f t="shared" si="56"/>
        <v>34.141525685321461</v>
      </c>
      <c r="D1219">
        <f t="shared" si="57"/>
        <v>3.654800335495187</v>
      </c>
      <c r="E1219">
        <f t="shared" si="58"/>
        <v>18.898163010408325</v>
      </c>
    </row>
    <row r="1220" spans="1:5">
      <c r="A1220" s="39">
        <v>43472</v>
      </c>
      <c r="B1220" s="152">
        <v>12.027100000000001</v>
      </c>
      <c r="C1220">
        <f t="shared" ref="C1220:C1251" si="59">AVERAGE($B$3:$B$1251)+$C$1</f>
        <v>34.141525685321461</v>
      </c>
      <c r="D1220">
        <f t="shared" ref="D1220:D1251" si="60">AVERAGE($B$3:$B$1251)-$C$1</f>
        <v>3.654800335495187</v>
      </c>
      <c r="E1220">
        <f t="shared" ref="E1220:E1251" si="61">AVERAGE($B$3:$B$1251)</f>
        <v>18.898163010408325</v>
      </c>
    </row>
    <row r="1221" spans="1:5">
      <c r="A1221" s="39">
        <v>43469</v>
      </c>
      <c r="B1221" s="152">
        <v>11.829000000000001</v>
      </c>
      <c r="C1221">
        <f t="shared" si="59"/>
        <v>34.141525685321461</v>
      </c>
      <c r="D1221">
        <f t="shared" si="60"/>
        <v>3.654800335495187</v>
      </c>
      <c r="E1221">
        <f t="shared" si="61"/>
        <v>18.898163010408325</v>
      </c>
    </row>
    <row r="1222" spans="1:5">
      <c r="A1222" s="39">
        <v>43468</v>
      </c>
      <c r="B1222" s="152">
        <v>11.7441</v>
      </c>
      <c r="C1222">
        <f t="shared" si="59"/>
        <v>34.141525685321461</v>
      </c>
      <c r="D1222">
        <f t="shared" si="60"/>
        <v>3.654800335495187</v>
      </c>
      <c r="E1222">
        <f t="shared" si="61"/>
        <v>18.898163010408325</v>
      </c>
    </row>
    <row r="1223" spans="1:5">
      <c r="A1223" s="39">
        <v>43467</v>
      </c>
      <c r="B1223" s="152">
        <v>12.097899999999999</v>
      </c>
      <c r="C1223">
        <f t="shared" si="59"/>
        <v>34.141525685321461</v>
      </c>
      <c r="D1223">
        <f t="shared" si="60"/>
        <v>3.654800335495187</v>
      </c>
      <c r="E1223">
        <f t="shared" si="61"/>
        <v>18.898163010408325</v>
      </c>
    </row>
    <row r="1224" spans="1:5">
      <c r="A1224" s="39">
        <v>43462</v>
      </c>
      <c r="B1224" s="152">
        <v>12.3101</v>
      </c>
      <c r="C1224">
        <f t="shared" si="59"/>
        <v>34.141525685321461</v>
      </c>
      <c r="D1224">
        <f t="shared" si="60"/>
        <v>3.654800335495187</v>
      </c>
      <c r="E1224">
        <f t="shared" si="61"/>
        <v>18.898163010408325</v>
      </c>
    </row>
    <row r="1225" spans="1:5">
      <c r="A1225" s="39">
        <v>43461</v>
      </c>
      <c r="B1225" s="152">
        <v>12.704000000000001</v>
      </c>
      <c r="C1225">
        <f t="shared" si="59"/>
        <v>34.141525685321461</v>
      </c>
      <c r="D1225">
        <f t="shared" si="60"/>
        <v>3.654800335495187</v>
      </c>
      <c r="E1225">
        <f t="shared" si="61"/>
        <v>18.898163010408325</v>
      </c>
    </row>
    <row r="1226" spans="1:5">
      <c r="A1226" s="39">
        <v>43460</v>
      </c>
      <c r="B1226" s="152">
        <v>12.557</v>
      </c>
      <c r="C1226">
        <f t="shared" si="59"/>
        <v>34.141525685321461</v>
      </c>
      <c r="D1226">
        <f t="shared" si="60"/>
        <v>3.654800335495187</v>
      </c>
      <c r="E1226">
        <f t="shared" si="61"/>
        <v>18.898163010408325</v>
      </c>
    </row>
    <row r="1227" spans="1:5">
      <c r="A1227" s="39">
        <v>43459</v>
      </c>
      <c r="B1227" s="152">
        <v>12.557</v>
      </c>
      <c r="C1227">
        <f t="shared" si="59"/>
        <v>34.141525685321461</v>
      </c>
      <c r="D1227">
        <f t="shared" si="60"/>
        <v>3.654800335495187</v>
      </c>
      <c r="E1227">
        <f t="shared" si="61"/>
        <v>18.898163010408325</v>
      </c>
    </row>
    <row r="1228" spans="1:5">
      <c r="A1228" s="39">
        <v>43458</v>
      </c>
      <c r="B1228" s="152">
        <v>12.7187</v>
      </c>
      <c r="C1228">
        <f t="shared" si="59"/>
        <v>34.141525685321461</v>
      </c>
      <c r="D1228">
        <f t="shared" si="60"/>
        <v>3.654800335495187</v>
      </c>
      <c r="E1228">
        <f t="shared" si="61"/>
        <v>18.898163010408325</v>
      </c>
    </row>
    <row r="1229" spans="1:5">
      <c r="A1229" s="39">
        <v>43455</v>
      </c>
      <c r="B1229" s="152">
        <v>12.792199999999999</v>
      </c>
      <c r="C1229">
        <f t="shared" si="59"/>
        <v>34.141525685321461</v>
      </c>
      <c r="D1229">
        <f t="shared" si="60"/>
        <v>3.654800335495187</v>
      </c>
      <c r="E1229">
        <f t="shared" si="61"/>
        <v>18.898163010408325</v>
      </c>
    </row>
    <row r="1230" spans="1:5">
      <c r="A1230" s="39">
        <v>43454</v>
      </c>
      <c r="B1230" s="152">
        <v>12.5717</v>
      </c>
      <c r="C1230">
        <f t="shared" si="59"/>
        <v>34.141525685321461</v>
      </c>
      <c r="D1230">
        <f t="shared" si="60"/>
        <v>3.654800335495187</v>
      </c>
      <c r="E1230">
        <f t="shared" si="61"/>
        <v>18.898163010408325</v>
      </c>
    </row>
    <row r="1231" spans="1:5">
      <c r="A1231" s="39">
        <v>43453</v>
      </c>
      <c r="B1231" s="152">
        <v>12.6158</v>
      </c>
      <c r="C1231">
        <f t="shared" si="59"/>
        <v>34.141525685321461</v>
      </c>
      <c r="D1231">
        <f t="shared" si="60"/>
        <v>3.654800335495187</v>
      </c>
      <c r="E1231">
        <f t="shared" si="61"/>
        <v>18.898163010408325</v>
      </c>
    </row>
    <row r="1232" spans="1:5">
      <c r="A1232" s="39">
        <v>43452</v>
      </c>
      <c r="B1232" s="152">
        <v>12.542299999999999</v>
      </c>
      <c r="C1232">
        <f t="shared" si="59"/>
        <v>34.141525685321461</v>
      </c>
      <c r="D1232">
        <f t="shared" si="60"/>
        <v>3.654800335495187</v>
      </c>
      <c r="E1232">
        <f t="shared" si="61"/>
        <v>18.898163010408325</v>
      </c>
    </row>
    <row r="1233" spans="1:5">
      <c r="A1233" s="39">
        <v>43451</v>
      </c>
      <c r="B1233" s="152">
        <v>12.498200000000001</v>
      </c>
      <c r="C1233">
        <f t="shared" si="59"/>
        <v>34.141525685321461</v>
      </c>
      <c r="D1233">
        <f t="shared" si="60"/>
        <v>3.654800335495187</v>
      </c>
      <c r="E1233">
        <f t="shared" si="61"/>
        <v>18.898163010408325</v>
      </c>
    </row>
    <row r="1234" spans="1:5">
      <c r="A1234" s="39">
        <v>43448</v>
      </c>
      <c r="B1234" s="152">
        <v>12.9246</v>
      </c>
      <c r="C1234">
        <f t="shared" si="59"/>
        <v>34.141525685321461</v>
      </c>
      <c r="D1234">
        <f t="shared" si="60"/>
        <v>3.654800335495187</v>
      </c>
      <c r="E1234">
        <f t="shared" si="61"/>
        <v>18.898163010408325</v>
      </c>
    </row>
    <row r="1235" spans="1:5">
      <c r="A1235" s="39">
        <v>43447</v>
      </c>
      <c r="B1235" s="152">
        <v>13.0863</v>
      </c>
      <c r="C1235">
        <f t="shared" si="59"/>
        <v>34.141525685321461</v>
      </c>
      <c r="D1235">
        <f t="shared" si="60"/>
        <v>3.654800335495187</v>
      </c>
      <c r="E1235">
        <f t="shared" si="61"/>
        <v>18.898163010408325</v>
      </c>
    </row>
    <row r="1236" spans="1:5">
      <c r="A1236" s="39">
        <v>43446</v>
      </c>
      <c r="B1236" s="152">
        <v>13.159800000000001</v>
      </c>
      <c r="C1236">
        <f t="shared" si="59"/>
        <v>34.141525685321461</v>
      </c>
      <c r="D1236">
        <f t="shared" si="60"/>
        <v>3.654800335495187</v>
      </c>
      <c r="E1236">
        <f t="shared" si="61"/>
        <v>18.898163010408325</v>
      </c>
    </row>
    <row r="1237" spans="1:5">
      <c r="A1237" s="39">
        <v>43445</v>
      </c>
      <c r="B1237" s="152">
        <v>12.9099</v>
      </c>
      <c r="C1237">
        <f t="shared" si="59"/>
        <v>34.141525685321461</v>
      </c>
      <c r="D1237">
        <f t="shared" si="60"/>
        <v>3.654800335495187</v>
      </c>
      <c r="E1237">
        <f t="shared" si="61"/>
        <v>18.898163010408325</v>
      </c>
    </row>
    <row r="1238" spans="1:5">
      <c r="A1238" s="39">
        <v>43444</v>
      </c>
      <c r="B1238" s="152">
        <v>12.939299999999999</v>
      </c>
      <c r="C1238">
        <f t="shared" si="59"/>
        <v>34.141525685321461</v>
      </c>
      <c r="D1238">
        <f t="shared" si="60"/>
        <v>3.654800335495187</v>
      </c>
      <c r="E1238">
        <f t="shared" si="61"/>
        <v>18.898163010408325</v>
      </c>
    </row>
    <row r="1239" spans="1:5">
      <c r="A1239" s="39">
        <v>43441</v>
      </c>
      <c r="B1239" s="152">
        <v>13.0275</v>
      </c>
      <c r="C1239">
        <f t="shared" si="59"/>
        <v>34.141525685321461</v>
      </c>
      <c r="D1239">
        <f t="shared" si="60"/>
        <v>3.654800335495187</v>
      </c>
      <c r="E1239">
        <f t="shared" si="61"/>
        <v>18.898163010408325</v>
      </c>
    </row>
    <row r="1240" spans="1:5">
      <c r="A1240" s="39">
        <v>43440</v>
      </c>
      <c r="B1240" s="152">
        <v>12.9246</v>
      </c>
      <c r="C1240">
        <f t="shared" si="59"/>
        <v>34.141525685321461</v>
      </c>
      <c r="D1240">
        <f t="shared" si="60"/>
        <v>3.654800335495187</v>
      </c>
      <c r="E1240">
        <f t="shared" si="61"/>
        <v>18.898163010408325</v>
      </c>
    </row>
    <row r="1241" spans="1:5">
      <c r="A1241" s="39">
        <v>43439</v>
      </c>
      <c r="B1241" s="152">
        <v>13.056900000000001</v>
      </c>
      <c r="C1241">
        <f t="shared" si="59"/>
        <v>34.141525685321461</v>
      </c>
      <c r="D1241">
        <f t="shared" si="60"/>
        <v>3.654800335495187</v>
      </c>
      <c r="E1241">
        <f t="shared" si="61"/>
        <v>18.898163010408325</v>
      </c>
    </row>
    <row r="1242" spans="1:5">
      <c r="A1242" s="39">
        <v>43438</v>
      </c>
      <c r="B1242" s="152">
        <v>12.939299999999999</v>
      </c>
      <c r="C1242">
        <f t="shared" si="59"/>
        <v>34.141525685321461</v>
      </c>
      <c r="D1242">
        <f t="shared" si="60"/>
        <v>3.654800335495187</v>
      </c>
      <c r="E1242">
        <f t="shared" si="61"/>
        <v>18.898163010408325</v>
      </c>
    </row>
    <row r="1243" spans="1:5">
      <c r="A1243" s="39">
        <v>43437</v>
      </c>
      <c r="B1243" s="152">
        <v>12.939299999999999</v>
      </c>
      <c r="C1243">
        <f t="shared" si="59"/>
        <v>34.141525685321461</v>
      </c>
      <c r="D1243">
        <f t="shared" si="60"/>
        <v>3.654800335495187</v>
      </c>
      <c r="E1243">
        <f t="shared" si="61"/>
        <v>18.898163010408325</v>
      </c>
    </row>
    <row r="1244" spans="1:5">
      <c r="A1244" s="39">
        <v>43434</v>
      </c>
      <c r="B1244" s="152">
        <v>12.4246</v>
      </c>
      <c r="C1244">
        <f t="shared" si="59"/>
        <v>34.141525685321461</v>
      </c>
      <c r="D1244">
        <f t="shared" si="60"/>
        <v>3.654800335495187</v>
      </c>
      <c r="E1244">
        <f t="shared" si="61"/>
        <v>18.898163010408325</v>
      </c>
    </row>
    <row r="1245" spans="1:5">
      <c r="A1245" s="39">
        <v>43433</v>
      </c>
      <c r="B1245" s="152">
        <v>12.498200000000001</v>
      </c>
      <c r="C1245">
        <f t="shared" si="59"/>
        <v>34.141525685321461</v>
      </c>
      <c r="D1245">
        <f t="shared" si="60"/>
        <v>3.654800335495187</v>
      </c>
      <c r="E1245">
        <f t="shared" si="61"/>
        <v>18.898163010408325</v>
      </c>
    </row>
    <row r="1246" spans="1:5">
      <c r="A1246" s="39">
        <v>43432</v>
      </c>
      <c r="B1246" s="152">
        <v>12.439299999999999</v>
      </c>
      <c r="C1246">
        <f t="shared" si="59"/>
        <v>34.141525685321461</v>
      </c>
      <c r="D1246">
        <f t="shared" si="60"/>
        <v>3.654800335495187</v>
      </c>
      <c r="E1246">
        <f t="shared" si="61"/>
        <v>18.898163010408325</v>
      </c>
    </row>
    <row r="1247" spans="1:5">
      <c r="A1247" s="39">
        <v>43431</v>
      </c>
      <c r="B1247" s="152">
        <v>12.4099</v>
      </c>
      <c r="C1247">
        <f t="shared" si="59"/>
        <v>34.141525685321461</v>
      </c>
      <c r="D1247">
        <f t="shared" si="60"/>
        <v>3.654800335495187</v>
      </c>
      <c r="E1247">
        <f t="shared" si="61"/>
        <v>18.898163010408325</v>
      </c>
    </row>
    <row r="1248" spans="1:5">
      <c r="A1248" s="39">
        <v>43430</v>
      </c>
      <c r="B1248" s="152">
        <v>12.498200000000001</v>
      </c>
      <c r="C1248">
        <f t="shared" si="59"/>
        <v>34.141525685321461</v>
      </c>
      <c r="D1248">
        <f t="shared" si="60"/>
        <v>3.654800335495187</v>
      </c>
      <c r="E1248">
        <f t="shared" si="61"/>
        <v>18.898163010408325</v>
      </c>
    </row>
    <row r="1249" spans="1:5">
      <c r="A1249" s="39">
        <v>43427</v>
      </c>
      <c r="B1249" s="152">
        <v>12.351100000000001</v>
      </c>
      <c r="C1249">
        <f t="shared" si="59"/>
        <v>34.141525685321461</v>
      </c>
      <c r="D1249">
        <f t="shared" si="60"/>
        <v>3.654800335495187</v>
      </c>
      <c r="E1249">
        <f t="shared" si="61"/>
        <v>18.898163010408325</v>
      </c>
    </row>
    <row r="1250" spans="1:5">
      <c r="A1250" s="39">
        <v>43426</v>
      </c>
      <c r="B1250" s="152">
        <v>12.6158</v>
      </c>
      <c r="C1250">
        <f t="shared" si="59"/>
        <v>34.141525685321461</v>
      </c>
      <c r="D1250">
        <f t="shared" si="60"/>
        <v>3.654800335495187</v>
      </c>
      <c r="E1250">
        <f t="shared" si="61"/>
        <v>18.898163010408325</v>
      </c>
    </row>
    <row r="1251" spans="1:5">
      <c r="A1251" s="39">
        <v>43425</v>
      </c>
      <c r="B1251" s="152">
        <v>12.4688</v>
      </c>
      <c r="C1251">
        <f t="shared" si="59"/>
        <v>34.141525685321461</v>
      </c>
      <c r="D1251">
        <f t="shared" si="60"/>
        <v>3.654800335495187</v>
      </c>
      <c r="E1251">
        <f t="shared" si="61"/>
        <v>18.898163010408325</v>
      </c>
    </row>
  </sheetData>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158D75-74F4-4DD4-8CA7-2D16C0DCD380}">
  <sheetPr>
    <tabColor rgb="FFFFFF00"/>
  </sheetPr>
  <dimension ref="A1:AU49"/>
  <sheetViews>
    <sheetView zoomScaleNormal="100" workbookViewId="0">
      <pane xSplit="5" topLeftCell="N1" activePane="topRight" state="frozen"/>
      <selection activeCell="M19" sqref="M19"/>
      <selection pane="topRight" activeCell="X37" sqref="X37"/>
    </sheetView>
  </sheetViews>
  <sheetFormatPr baseColWidth="10" defaultColWidth="8.6640625" defaultRowHeight="14" outlineLevelCol="2"/>
  <cols>
    <col min="1" max="1" width="4.5" style="446" customWidth="1"/>
    <col min="2" max="2" width="13.6640625" style="445" customWidth="1"/>
    <col min="3" max="3" width="9.83203125" style="836" hidden="1" customWidth="1" outlineLevel="2"/>
    <col min="4" max="4" width="9.1640625" style="836" hidden="1" customWidth="1" outlineLevel="2"/>
    <col min="5" max="5" width="7.1640625" style="836" hidden="1" customWidth="1" outlineLevel="2"/>
    <col min="6" max="6" width="9.1640625" style="836" hidden="1" customWidth="1" outlineLevel="2" collapsed="1"/>
    <col min="7" max="7" width="9.1640625" style="836" hidden="1" customWidth="1" outlineLevel="2"/>
    <col min="8" max="8" width="8.6640625" style="445" hidden="1" customWidth="1" outlineLevel="2"/>
    <col min="9" max="9" width="11.1640625" style="445" hidden="1" customWidth="1" outlineLevel="2"/>
    <col min="10" max="10" width="8.83203125" style="445" hidden="1" customWidth="1" outlineLevel="2"/>
    <col min="11" max="11" width="8.6640625" style="445" hidden="1" customWidth="1" outlineLevel="2"/>
    <col min="12" max="12" width="10.5" style="445" hidden="1" customWidth="1" outlineLevel="2"/>
    <col min="13" max="13" width="9.1640625" style="445" hidden="1" customWidth="1" outlineLevel="2"/>
    <col min="14" max="14" width="8.83203125" style="445" hidden="1" customWidth="1" outlineLevel="1" collapsed="1"/>
    <col min="15" max="15" width="8.83203125" style="445" hidden="1" customWidth="1" outlineLevel="1"/>
    <col min="16" max="16" width="8.6640625" style="837" hidden="1" customWidth="1" outlineLevel="1"/>
    <col min="17" max="18" width="10.5" style="445" hidden="1" customWidth="1" outlineLevel="1"/>
    <col min="19" max="19" width="8.6640625" style="837" hidden="1" customWidth="1" outlineLevel="1"/>
    <col min="20" max="20" width="14" style="839" hidden="1" customWidth="1" outlineLevel="1"/>
    <col min="21" max="21" width="8.1640625" style="946" customWidth="1" collapsed="1"/>
    <col min="22" max="22" width="8.1640625" style="946" customWidth="1"/>
    <col min="23" max="23" width="8.1640625" style="932" customWidth="1"/>
    <col min="24" max="25" width="8.1640625" style="946" customWidth="1"/>
    <col min="26" max="26" width="8.1640625" style="933" customWidth="1"/>
    <col min="27" max="27" width="8.6640625" style="878"/>
    <col min="28" max="28" width="14" style="838" customWidth="1"/>
    <col min="29" max="29" width="48.83203125" style="838" customWidth="1"/>
    <col min="30" max="31" width="9.83203125" style="838" bestFit="1" customWidth="1"/>
    <col min="32" max="32" width="26.1640625" style="445" customWidth="1"/>
    <col min="33" max="38" width="13.33203125" style="445" bestFit="1" customWidth="1"/>
    <col min="39" max="40" width="12.83203125" style="445" customWidth="1"/>
    <col min="41" max="41" width="9.83203125" style="445" customWidth="1"/>
    <col min="42" max="42" width="9.83203125" style="445" bestFit="1" customWidth="1"/>
    <col min="43" max="43" width="10.5" style="446" bestFit="1" customWidth="1"/>
    <col min="44" max="44" width="9.1640625" style="446" customWidth="1"/>
    <col min="45" max="45" width="8.6640625" style="446"/>
    <col min="46" max="16384" width="8.6640625" style="445"/>
  </cols>
  <sheetData>
    <row r="1" spans="1:47" s="827" customFormat="1" ht="18.5" customHeight="1">
      <c r="A1" s="826"/>
      <c r="C1" s="828">
        <v>21</v>
      </c>
      <c r="D1" s="828">
        <v>17</v>
      </c>
      <c r="E1" s="828"/>
      <c r="F1" s="828">
        <v>22</v>
      </c>
      <c r="G1" s="828">
        <v>18</v>
      </c>
      <c r="N1" s="827">
        <v>23</v>
      </c>
      <c r="O1" s="827">
        <v>19</v>
      </c>
      <c r="P1" s="829"/>
      <c r="S1" s="829"/>
      <c r="T1" s="831"/>
      <c r="U1" s="927">
        <v>24</v>
      </c>
      <c r="V1" s="927">
        <v>20</v>
      </c>
      <c r="W1" s="928"/>
      <c r="X1" s="927"/>
      <c r="Y1" s="927"/>
      <c r="Z1" s="929"/>
      <c r="AA1" s="445"/>
      <c r="AB1" s="830"/>
      <c r="AC1" s="830"/>
      <c r="AD1" s="830"/>
      <c r="AE1" s="830"/>
      <c r="AF1" s="830"/>
      <c r="AQ1" s="826"/>
      <c r="AR1" s="826"/>
      <c r="AS1" s="826"/>
    </row>
    <row r="2" spans="1:47" s="441" customFormat="1" ht="18.5" customHeight="1">
      <c r="A2" s="488"/>
      <c r="B2" s="441" t="s">
        <v>1250</v>
      </c>
      <c r="C2" s="832" t="str">
        <f>C11</f>
        <v>Q1/2023</v>
      </c>
      <c r="D2" s="832" t="str">
        <f>D11</f>
        <v>Q1/2022</v>
      </c>
      <c r="E2" s="832" t="s">
        <v>31</v>
      </c>
      <c r="F2" s="832" t="str">
        <f>F11</f>
        <v>Q2/2023</v>
      </c>
      <c r="G2" s="832" t="str">
        <f>G11</f>
        <v>Q2/2022</v>
      </c>
      <c r="H2" s="832" t="str">
        <f>H11</f>
        <v>%YoY</v>
      </c>
      <c r="I2" s="832" t="str">
        <f>I11</f>
        <v>1H/2022</v>
      </c>
      <c r="J2" s="832" t="str">
        <f>J11</f>
        <v>1H/2021</v>
      </c>
      <c r="K2" s="441" t="s">
        <v>31</v>
      </c>
      <c r="N2" s="441" t="str">
        <f t="shared" ref="N2:S2" si="0">N11</f>
        <v>Q3/2023</v>
      </c>
      <c r="O2" s="441" t="str">
        <f t="shared" si="0"/>
        <v>Q3/2022</v>
      </c>
      <c r="P2" s="450" t="str">
        <f t="shared" si="0"/>
        <v>%YoY</v>
      </c>
      <c r="Q2" s="441" t="str">
        <f t="shared" si="0"/>
        <v>9T/2023</v>
      </c>
      <c r="R2" s="441" t="str">
        <f t="shared" si="0"/>
        <v>9T/2022</v>
      </c>
      <c r="S2" s="450" t="str">
        <f t="shared" si="0"/>
        <v>%YoY</v>
      </c>
      <c r="T2" s="833"/>
      <c r="U2" s="930" t="str">
        <f t="shared" ref="U2:Z2" si="1">U11</f>
        <v>Q4/2023</v>
      </c>
      <c r="V2" s="930" t="str">
        <f t="shared" si="1"/>
        <v>Q4/2022</v>
      </c>
      <c r="W2" s="930" t="str">
        <f t="shared" si="1"/>
        <v>%YoY</v>
      </c>
      <c r="X2" s="930">
        <f t="shared" si="1"/>
        <v>2023</v>
      </c>
      <c r="Y2" s="930">
        <f t="shared" si="1"/>
        <v>2022</v>
      </c>
      <c r="Z2" s="930" t="str">
        <f t="shared" si="1"/>
        <v>%YoY</v>
      </c>
      <c r="AA2" s="440"/>
      <c r="AC2" s="441" t="str">
        <f>"Doanh thu thuần và Lợi nhuận sau thuế " &amp;U2 &amp;" lần lượt đạt: "</f>
        <v xml:space="preserve">Doanh thu thuần và Lợi nhuận sau thuế Q4/2023 lần lượt đạt: </v>
      </c>
      <c r="AD2" s="834"/>
      <c r="AE2" s="834"/>
      <c r="AF2" s="834"/>
      <c r="AG2" s="835"/>
      <c r="AH2" s="489" t="e">
        <f>'FS Quarter'!#REF!</f>
        <v>#REF!</v>
      </c>
      <c r="AI2" s="489" t="e">
        <f>'FS Quarter'!#REF!</f>
        <v>#REF!</v>
      </c>
      <c r="AJ2" s="489" t="e">
        <f>'FS Quarter'!#REF!</f>
        <v>#REF!</v>
      </c>
      <c r="AK2" s="489" t="e">
        <f>'FS Quarter'!#REF!</f>
        <v>#REF!</v>
      </c>
      <c r="AL2" s="489" t="e">
        <f>'FS Quarter'!#REF!</f>
        <v>#REF!</v>
      </c>
      <c r="AM2" s="489" t="e">
        <f>'FS Quarter'!#REF!</f>
        <v>#REF!</v>
      </c>
      <c r="AN2" s="489" t="e">
        <f>'FS Quarter'!#REF!</f>
        <v>#REF!</v>
      </c>
      <c r="AO2" s="489"/>
      <c r="AQ2" s="488"/>
      <c r="AR2" s="488"/>
      <c r="AS2" s="488"/>
    </row>
    <row r="3" spans="1:47" ht="18.5" customHeight="1">
      <c r="A3" s="446">
        <v>5</v>
      </c>
      <c r="B3" s="445" t="s">
        <v>513</v>
      </c>
      <c r="C3" s="836">
        <f ca="1">OFFSET(Rev_Year!$T$3,$A3,C$1)</f>
        <v>5706.7949636169196</v>
      </c>
      <c r="D3" s="836">
        <f ca="1">OFFSET(Rev_Year!$T$3,$A3,D$1)</f>
        <v>9604.3690000000006</v>
      </c>
      <c r="E3" s="463">
        <f ca="1">C3/D3-1</f>
        <v>-0.40581260844758049</v>
      </c>
      <c r="F3" s="836">
        <f ca="1">OFFSET(Rev_Year!$T$3,$A3,F$1)</f>
        <v>5719.7407833691668</v>
      </c>
      <c r="G3" s="836">
        <f ca="1">OFFSET(Rev_Year!$T$3,$A3,G$1)</f>
        <v>8395.6309999999994</v>
      </c>
      <c r="H3" s="837">
        <f ca="1">F3/G3-1</f>
        <v>-0.31872413361554752</v>
      </c>
      <c r="I3" s="836" t="e">
        <f>SUM(#REF!)</f>
        <v>#REF!</v>
      </c>
      <c r="J3" s="836" t="e">
        <f>SUM(#REF!)</f>
        <v>#REF!</v>
      </c>
      <c r="K3" s="837" t="e">
        <f>I3/J3-1</f>
        <v>#REF!</v>
      </c>
      <c r="N3" s="446">
        <f ca="1">OFFSET(Rev_Year!$T$3,$A3,N$1)</f>
        <v>6373.5489140912687</v>
      </c>
      <c r="O3" s="446">
        <f ca="1">OFFSET(Rev_Year!$T$3,$A3,O$1)</f>
        <v>7529.5768730895661</v>
      </c>
      <c r="P3" s="837">
        <f ca="1">N3/O3-1</f>
        <v>-0.15353159659341542</v>
      </c>
      <c r="Q3" s="446">
        <f>0.526*$Q$12</f>
        <v>45687.465670232123</v>
      </c>
      <c r="R3" s="446">
        <f>0.5*$R$12</f>
        <v>51408.198195211502</v>
      </c>
      <c r="S3" s="837">
        <f>Q3/R3-1</f>
        <v>-0.11128054913062968</v>
      </c>
      <c r="T3" s="839" t="e">
        <f>#REF!/10^3-Q3</f>
        <v>#REF!</v>
      </c>
      <c r="U3" s="931">
        <f ca="1">OFFSET(Rev_Year!$T$3,$A3,U$1)</f>
        <v>6511.4930894849967</v>
      </c>
      <c r="V3" s="931">
        <f ca="1">OFFSET(Rev_Year!$T$3,$A3,V$1)</f>
        <v>6552.4664335500038</v>
      </c>
      <c r="W3" s="932">
        <f ca="1">U3/V3-1</f>
        <v>-6.2531177352110889E-3</v>
      </c>
      <c r="X3" s="931">
        <f ca="1">Q3+U3</f>
        <v>52198.958759717119</v>
      </c>
      <c r="Y3" s="931">
        <f ca="1">R3+V3</f>
        <v>57960.664628761508</v>
      </c>
      <c r="Z3" s="933">
        <f ca="1">X3/Y3-1</f>
        <v>-9.9407173916105984E-2</v>
      </c>
      <c r="AA3" s="445"/>
      <c r="AB3" s="838" t="s">
        <v>1251</v>
      </c>
      <c r="AC3" s="838" t="str">
        <f>CONCATENATE(TEXT(U12,"#,##0")," tỷ VND"," (",TEXT(W12,"+#,##0%;-#,##0%")," YoY)")</f>
        <v>31,421 tỷ VND (+3% YoY)</v>
      </c>
      <c r="AF3" s="838"/>
    </row>
    <row r="4" spans="1:47" s="837" customFormat="1" ht="18.5" customHeight="1">
      <c r="A4" s="840">
        <v>6</v>
      </c>
      <c r="B4" s="837" t="s">
        <v>1252</v>
      </c>
      <c r="C4" s="837">
        <f ca="1">OFFSET(Rev_Year!$T$3,$A4,C$1)</f>
        <v>0.21073579550941809</v>
      </c>
      <c r="D4" s="837">
        <f ca="1">OFFSET(Rev_Year!$T$3,$A4,D$1)</f>
        <v>0.26085237626016694</v>
      </c>
      <c r="F4" s="837">
        <f ca="1">OFFSET(Rev_Year!$T$3,$A4,F$1)</f>
        <v>0.19227879979927831</v>
      </c>
      <c r="G4" s="837">
        <f ca="1">OFFSET(Rev_Year!$T$3,$A4,G$1)</f>
        <v>0.241929217241341</v>
      </c>
      <c r="I4" s="837" t="e">
        <f>I3/I12</f>
        <v>#REF!</v>
      </c>
      <c r="J4" s="837" t="e">
        <f>J3/J12</f>
        <v>#REF!</v>
      </c>
      <c r="L4" s="837">
        <f>L3/L12</f>
        <v>0</v>
      </c>
      <c r="M4" s="837" t="e">
        <f>M3/M12</f>
        <v>#DIV/0!</v>
      </c>
      <c r="N4" s="837">
        <f ca="1">OFFSET(Rev_Year!$T$3,$A4,N$1)</f>
        <v>0.21090950493813698</v>
      </c>
      <c r="O4" s="837">
        <f ca="1">OFFSET(Rev_Year!$T$3,$A4,O$1)</f>
        <v>0.2329518761451054</v>
      </c>
      <c r="Q4" s="837">
        <f>Q3/Q12</f>
        <v>0.52600000000000002</v>
      </c>
      <c r="R4" s="837">
        <f>R3/R12</f>
        <v>0.5</v>
      </c>
      <c r="T4" s="837" t="e">
        <f ca="1">T3/T12</f>
        <v>#REF!</v>
      </c>
      <c r="U4" s="932">
        <f ca="1">OFFSET(Rev_Year!$T$3,$A4,U$1)</f>
        <v>0.2084799312457962</v>
      </c>
      <c r="V4" s="932">
        <f ca="1">OFFSET(Rev_Year!$T$3,$A4,V$1)</f>
        <v>0.2122065386415587</v>
      </c>
      <c r="W4" s="932"/>
      <c r="X4" s="932">
        <f ca="1">X3/X12</f>
        <v>0.44131765402490003</v>
      </c>
      <c r="Y4" s="932">
        <f ca="1">Y3/Y12</f>
        <v>0.43447218080419908</v>
      </c>
      <c r="Z4" s="932"/>
      <c r="AA4" s="445"/>
      <c r="AB4" s="837" t="b">
        <v>1</v>
      </c>
      <c r="AC4" s="837" t="s">
        <v>1253</v>
      </c>
      <c r="AQ4" s="840"/>
      <c r="AR4" s="840"/>
      <c r="AS4" s="840"/>
    </row>
    <row r="5" spans="1:47" ht="18.5" customHeight="1">
      <c r="A5" s="446">
        <v>12</v>
      </c>
      <c r="B5" s="445" t="s">
        <v>1254</v>
      </c>
      <c r="C5" s="836">
        <f ca="1">OFFSET(Rev_Year!$T$3,$A5,C$1)</f>
        <v>13306.07</v>
      </c>
      <c r="D5" s="836">
        <f ca="1">OFFSET(Rev_Year!$T$3,$A5,D$1)</f>
        <v>20213.726463204832</v>
      </c>
      <c r="E5" s="463">
        <f ca="1">C5/D5-1</f>
        <v>-0.34173097552194942</v>
      </c>
      <c r="F5" s="836">
        <f ca="1">OFFSET(Rev_Year!$T$3,$A5,F$1)</f>
        <v>14922.36</v>
      </c>
      <c r="G5" s="836">
        <f ca="1">OFFSET(Rev_Year!$T$3,$A5,G$1)</f>
        <v>18265.117191273552</v>
      </c>
      <c r="H5" s="837">
        <f ca="1">F5/G5-1</f>
        <v>-0.18301318060365945</v>
      </c>
      <c r="I5" s="836" t="e">
        <f>SUM(#REF!)</f>
        <v>#REF!</v>
      </c>
      <c r="J5" s="836" t="e">
        <f>SUM(#REF!)</f>
        <v>#REF!</v>
      </c>
      <c r="K5" s="837" t="e">
        <f>I5/J5-1</f>
        <v>#REF!</v>
      </c>
      <c r="N5" s="446">
        <f ca="1">OFFSET(Rev_Year!$T$3,$A5,N$1)</f>
        <v>13463.409999999996</v>
      </c>
      <c r="O5" s="446">
        <f ca="1">OFFSET(Rev_Year!$T$3,$A5,O$1)</f>
        <v>15521.156345521616</v>
      </c>
      <c r="P5" s="837">
        <f ca="1">N5/O5-1</f>
        <v>-0.13257687118881123</v>
      </c>
      <c r="Q5" s="446">
        <f>0.265*$Q$12</f>
        <v>23017.449434622646</v>
      </c>
      <c r="R5" s="446">
        <f>0.236*$R$12</f>
        <v>24264.669548139827</v>
      </c>
      <c r="S5" s="837">
        <f>Q5/R5-1</f>
        <v>-5.1400663464332919E-2</v>
      </c>
      <c r="T5" s="839" t="e">
        <f>#REF!/10^3-'2023_quater'!Q5</f>
        <v>#REF!</v>
      </c>
      <c r="U5" s="931">
        <f ca="1">OFFSET(Rev_Year!$T$3,$A5,U$1)</f>
        <v>13544.920000000006</v>
      </c>
      <c r="V5" s="931">
        <f ca="1">OFFSET(Rev_Year!$T$3,$A5,V$1)</f>
        <v>14970.269709</v>
      </c>
      <c r="W5" s="932">
        <f ca="1">U5/V5-1</f>
        <v>-9.5212026016009976E-2</v>
      </c>
      <c r="X5" s="931">
        <f ca="1">Q5+U5</f>
        <v>36562.369434622655</v>
      </c>
      <c r="Y5" s="931">
        <f ca="1">R5+V5</f>
        <v>39234.939257139828</v>
      </c>
      <c r="Z5" s="933">
        <f ca="1">X5/Y5-1</f>
        <v>-6.8117088317674157E-2</v>
      </c>
      <c r="AA5" s="461"/>
      <c r="AC5" s="838" t="str">
        <f>CONCATENATE(TEXT(U24,"#,##0")," tỷ VND"," (",TEXT(W24,"+#,##0%;-#,##0%")," YoY)")</f>
        <v>90 tỷ VND (-85% YoY)</v>
      </c>
      <c r="AF5" s="838"/>
    </row>
    <row r="6" spans="1:47" s="837" customFormat="1" ht="18.5" customHeight="1">
      <c r="A6" s="840">
        <v>13</v>
      </c>
      <c r="B6" s="837" t="str">
        <f>B4</f>
        <v>%Tỷ trọng</v>
      </c>
      <c r="C6" s="837">
        <f ca="1">OFFSET(Rev_Year!$T$3,$A6,C$1)</f>
        <v>0.49135552695182327</v>
      </c>
      <c r="D6" s="837">
        <f ca="1">OFFSET(Rev_Year!$T$3,$A6,D$1)</f>
        <v>0.54900000000000004</v>
      </c>
      <c r="F6" s="837">
        <f ca="1">OFFSET(Rev_Year!$T$3,$A6,F$1)</f>
        <v>0.50164047281923296</v>
      </c>
      <c r="G6" s="837">
        <f ca="1">OFFSET(Rev_Year!$T$3,$A6,G$1)</f>
        <v>0.52632917107792987</v>
      </c>
      <c r="I6" s="837" t="e">
        <f>I5/I12</f>
        <v>#REF!</v>
      </c>
      <c r="J6" s="837" t="e">
        <f>J5/J12</f>
        <v>#REF!</v>
      </c>
      <c r="L6" s="837">
        <f>L5/L12</f>
        <v>0</v>
      </c>
      <c r="M6" s="837" t="e">
        <f>M5/M12</f>
        <v>#DIV/0!</v>
      </c>
      <c r="N6" s="837">
        <f ca="1">OFFSET(Rev_Year!$T$3,$A6,N$1)</f>
        <v>0.44552276544095881</v>
      </c>
      <c r="O6" s="837">
        <f ca="1">OFFSET(Rev_Year!$T$3,$A6,O$1)</f>
        <v>0.48019730080093692</v>
      </c>
      <c r="Q6" s="837">
        <f>Q5/Q12</f>
        <v>0.26500000000000001</v>
      </c>
      <c r="R6" s="837">
        <f>R5/R12</f>
        <v>0.23599999999999999</v>
      </c>
      <c r="T6" s="837" t="e">
        <f ca="1">T5/T12</f>
        <v>#REF!</v>
      </c>
      <c r="U6" s="932">
        <f ca="1">OFFSET(Rev_Year!$T$3,$A6,U$1)</f>
        <v>0.43367073442646514</v>
      </c>
      <c r="V6" s="932">
        <f ca="1">OFFSET(Rev_Year!$T$3,$A6,V$1)</f>
        <v>0.48482340958080106</v>
      </c>
      <c r="W6" s="932"/>
      <c r="X6" s="932">
        <f ca="1">X5/X12</f>
        <v>0.30911764310769224</v>
      </c>
      <c r="Y6" s="932">
        <f ca="1">Y5/Y12</f>
        <v>0.2941044539767223</v>
      </c>
      <c r="Z6" s="932"/>
      <c r="AA6" s="445"/>
      <c r="AC6" s="837" t="str">
        <f>"- "&amp;CONCATENATE(AC2,AC3,AC4,AC5)</f>
        <v>- Doanh thu thuần và Lợi nhuận sau thuế Q4/2023 lần lượt đạt: 31,421 tỷ VND (+3% YoY) và 90 tỷ VND (-85% YoY)</v>
      </c>
      <c r="AQ6" s="840"/>
      <c r="AR6" s="840"/>
      <c r="AS6" s="840"/>
    </row>
    <row r="7" spans="1:47" ht="18.5" customHeight="1">
      <c r="A7" s="446">
        <v>20</v>
      </c>
      <c r="B7" s="445" t="str">
        <f>FS!AA63</f>
        <v>BHX</v>
      </c>
      <c r="C7" s="836">
        <f ca="1">OFFSET(Rev_Year!$T$3,$A7,C$1)</f>
        <v>6369.64</v>
      </c>
      <c r="D7" s="836">
        <f ca="1">OFFSET(Rev_Year!$T$3,$A7,D$1)</f>
        <v>6040</v>
      </c>
      <c r="E7" s="463">
        <f ca="1">C7/D7-1</f>
        <v>5.4576158940397468E-2</v>
      </c>
      <c r="F7" s="836">
        <f ca="1">OFFSET(Rev_Year!$T$3,$A7,F$1)</f>
        <v>7320.2999999999984</v>
      </c>
      <c r="G7" s="836">
        <f ca="1">OFFSET(Rev_Year!$T$3,$A7,G$1)</f>
        <v>6775.5240000000013</v>
      </c>
      <c r="H7" s="837">
        <f ca="1">F7/G7-1</f>
        <v>8.0403523033790059E-2</v>
      </c>
      <c r="I7" s="836" t="e">
        <f>SUM(#REF!)</f>
        <v>#REF!</v>
      </c>
      <c r="J7" s="446" t="e">
        <f>SUM(#REF!)</f>
        <v>#REF!</v>
      </c>
      <c r="K7" s="837" t="e">
        <f>I7/J7-1</f>
        <v>#REF!</v>
      </c>
      <c r="N7" s="446">
        <f ca="1">OFFSET(Rev_Year!$T$3,$A7,N$1)</f>
        <v>8632.5660000000025</v>
      </c>
      <c r="O7" s="446">
        <f ca="1">OFFSET(Rev_Year!$T$3,$A7,O$1)</f>
        <v>7121.2509999999984</v>
      </c>
      <c r="P7" s="837">
        <f ca="1">N7/O7-1</f>
        <v>0.21222605410201156</v>
      </c>
      <c r="Q7" s="446">
        <f>0.194*$Q$12</f>
        <v>16850.510152138842</v>
      </c>
      <c r="R7" s="446">
        <f>0.26*$R$12</f>
        <v>26732.263061509981</v>
      </c>
      <c r="S7" s="837">
        <f>Q7/R7-1</f>
        <v>-0.36965642926053732</v>
      </c>
      <c r="T7" s="839" t="e">
        <f>#REF!/10^3-Q7</f>
        <v>#REF!</v>
      </c>
      <c r="U7" s="931">
        <f ca="1">OFFSET(Rev_Year!$T$3,$A7,U$1)</f>
        <v>9258.2540000000008</v>
      </c>
      <c r="V7" s="931">
        <f ca="1">OFFSET(Rev_Year!$T$3,$A7,V$1)</f>
        <v>7144.3947310000003</v>
      </c>
      <c r="W7" s="932">
        <f ca="1">U7/V7-1</f>
        <v>0.29587660656931858</v>
      </c>
      <c r="X7" s="931">
        <f ca="1">Q7+U7</f>
        <v>26108.764152138843</v>
      </c>
      <c r="Y7" s="931">
        <f ca="1">R7+V7</f>
        <v>33876.657792509985</v>
      </c>
      <c r="Z7" s="933">
        <f ca="1">X7/Y7-1</f>
        <v>-0.22929929179993069</v>
      </c>
      <c r="AA7" s="445"/>
      <c r="AF7" s="838"/>
    </row>
    <row r="8" spans="1:47" s="837" customFormat="1" ht="18.5" customHeight="1">
      <c r="A8" s="840">
        <v>21</v>
      </c>
      <c r="B8" s="837" t="str">
        <f>B6</f>
        <v>%Tỷ trọng</v>
      </c>
      <c r="C8" s="837">
        <f ca="1">OFFSET(Rev_Year!$T$3,$A8,C$1)</f>
        <v>0.23521278774975721</v>
      </c>
      <c r="D8" s="837">
        <f ca="1">OFFSET(Rev_Year!$T$3,$A8,D$1)</f>
        <v>0.16404496251772588</v>
      </c>
      <c r="F8" s="837">
        <f ca="1">OFFSET(Rev_Year!$T$3,$A8,F$1)</f>
        <v>0.24608431596467514</v>
      </c>
      <c r="G8" s="837">
        <f ca="1">OFFSET(Rev_Year!$T$3,$A8,G$1)</f>
        <v>0.19524407608194311</v>
      </c>
      <c r="I8" s="837" t="e">
        <f>I7/I12</f>
        <v>#REF!</v>
      </c>
      <c r="J8" s="837" t="e">
        <f>J7/J12</f>
        <v>#REF!</v>
      </c>
      <c r="L8" s="837">
        <f>L7/L12</f>
        <v>0</v>
      </c>
      <c r="M8" s="837" t="e">
        <f>M7/M12</f>
        <v>#DIV/0!</v>
      </c>
      <c r="N8" s="837">
        <f ca="1">OFFSET(Rev_Year!$T$3,$A8,N$1)</f>
        <v>0.28566348920307694</v>
      </c>
      <c r="O8" s="837">
        <f ca="1">OFFSET(Rev_Year!$T$3,$A8,O$1)</f>
        <v>0.22031899121437851</v>
      </c>
      <c r="Q8" s="837">
        <f>Q7/Q12</f>
        <v>0.19400000000000001</v>
      </c>
      <c r="R8" s="837">
        <f>R7/R12</f>
        <v>0.26</v>
      </c>
      <c r="T8" s="837" t="e">
        <f ca="1">T7/T12</f>
        <v>#REF!</v>
      </c>
      <c r="U8" s="932">
        <f ca="1">OFFSET(Rev_Year!$T$3,$A8,U$1)</f>
        <v>0.29642358992794032</v>
      </c>
      <c r="V8" s="932">
        <f ca="1">OFFSET(Rev_Year!$T$3,$A8,V$1)</f>
        <v>0.23137658039601924</v>
      </c>
      <c r="W8" s="932"/>
      <c r="X8" s="932">
        <f ca="1">X7/X12</f>
        <v>0.22073732539667551</v>
      </c>
      <c r="Y8" s="932">
        <f ca="1">Y7/Y12</f>
        <v>0.25393886498267848</v>
      </c>
      <c r="Z8" s="932"/>
      <c r="AA8" s="445"/>
      <c r="AC8" s="837" t="str">
        <f>" Lũy kế cả năm " &amp;X2&amp; "," &amp;"  Doanh thu thuần và Lợi nhuận sau thuế lần lượt đạt: "</f>
        <v xml:space="preserve"> Lũy kế cả năm 2023,  Doanh thu thuần và Lợi nhuận sau thuế lần lượt đạt: </v>
      </c>
      <c r="AQ8" s="840"/>
      <c r="AR8" s="840"/>
      <c r="AS8" s="840"/>
    </row>
    <row r="9" spans="1:47" ht="18.5" customHeight="1">
      <c r="B9" s="445" t="str">
        <f>FS!AA65</f>
        <v>Khác</v>
      </c>
      <c r="C9" s="836" t="e">
        <f>#REF!</f>
        <v>#REF!</v>
      </c>
      <c r="D9" s="836" t="e">
        <f>#REF!</f>
        <v>#REF!</v>
      </c>
      <c r="E9" s="463" t="e">
        <f>C9/D9-1</f>
        <v>#REF!</v>
      </c>
      <c r="F9" s="836">
        <f ca="1">F12-SUM(F3:F7)</f>
        <v>1501.7357412492165</v>
      </c>
      <c r="G9" s="836">
        <f ca="1">G12-SUM(G3:G7)</f>
        <v>900.69952211112832</v>
      </c>
      <c r="H9" s="837">
        <f ca="1">F9/G9-1</f>
        <v>0.66729936497505138</v>
      </c>
      <c r="I9" s="836" t="e">
        <f>SUM(#REF!)</f>
        <v>#REF!</v>
      </c>
      <c r="J9" s="446" t="e">
        <f>SUM(#REF!)</f>
        <v>#REF!</v>
      </c>
      <c r="K9" s="837" t="e">
        <f>I9/J9-1</f>
        <v>#REF!</v>
      </c>
      <c r="N9" s="446">
        <f ca="1">N12-SUM(N3:N7)</f>
        <v>1817.4759405913537</v>
      </c>
      <c r="O9" s="446">
        <f ca="1">O12-SUM(O3:O7)</f>
        <v>1839.2824322118759</v>
      </c>
      <c r="P9" s="837">
        <f ca="1">N9/O9-1</f>
        <v>-1.1855977765360515E-2</v>
      </c>
      <c r="Q9" s="446">
        <f>Q12-SUM(Q3:Q7)</f>
        <v>1302.0834962993977</v>
      </c>
      <c r="R9" s="446">
        <f>R12-SUM(R3:R7)</f>
        <v>410.52958556170051</v>
      </c>
      <c r="S9" s="837">
        <f>Q9/R9-1</f>
        <v>2.1717165877773286</v>
      </c>
      <c r="T9" s="839" t="e">
        <f>#REF!/10^3-'2023_quater'!Q9</f>
        <v>#REF!</v>
      </c>
      <c r="U9" s="931">
        <f ca="1">U12-SUM(U3:U7)</f>
        <v>2106.1794619983229</v>
      </c>
      <c r="V9" s="931">
        <f ca="1">V12-SUM(V3:V7)</f>
        <v>1920.5532489757752</v>
      </c>
      <c r="W9" s="932">
        <f ca="1">U9/V9-1</f>
        <v>9.6652468824564686E-2</v>
      </c>
      <c r="X9" s="931">
        <v>60661.266521362508</v>
      </c>
      <c r="Y9" s="931">
        <v>54520.574096835502</v>
      </c>
      <c r="Z9" s="933">
        <f>X9/Y9-1</f>
        <v>0.1126307366760364</v>
      </c>
      <c r="AA9" s="445"/>
      <c r="AB9" s="838" t="s">
        <v>1255</v>
      </c>
      <c r="AC9" s="838" t="str">
        <f>CONCATENATE(TEXT(X12,"#,##0")," tỷ VND"," (",TEXT(Z12,"+#,##0%;-#,##0%")," YoY)")</f>
        <v>118,280 tỷ VND (-11% YoY)</v>
      </c>
      <c r="AE9" s="840"/>
      <c r="AF9" s="838"/>
    </row>
    <row r="10" spans="1:47" s="837" customFormat="1" ht="18.5" customHeight="1">
      <c r="A10" s="840"/>
      <c r="B10" s="841" t="str">
        <f>B8</f>
        <v>%Tỷ trọng</v>
      </c>
      <c r="C10" s="838" t="e">
        <f>C9/C$12</f>
        <v>#REF!</v>
      </c>
      <c r="D10" s="838" t="e">
        <f>D9/D$12</f>
        <v>#REF!</v>
      </c>
      <c r="F10" s="837">
        <f ca="1">F9/F12</f>
        <v>5.0967058646711957E-2</v>
      </c>
      <c r="G10" s="837">
        <f ca="1">G9/G12</f>
        <v>2.6230600000219567E-2</v>
      </c>
      <c r="I10" s="837" t="e">
        <f>I9/I12</f>
        <v>#REF!</v>
      </c>
      <c r="J10" s="837" t="e">
        <f>J9/J12</f>
        <v>#REF!</v>
      </c>
      <c r="L10" s="837">
        <f>L9/L12</f>
        <v>0</v>
      </c>
      <c r="M10" s="837" t="e">
        <f>M9/M12</f>
        <v>#DIV/0!</v>
      </c>
      <c r="N10" s="837">
        <f ca="1">N9/N12</f>
        <v>6.0007148237716856E-2</v>
      </c>
      <c r="O10" s="837">
        <f ca="1">O9/O12</f>
        <v>5.7456066250918848E-2</v>
      </c>
      <c r="Q10" s="838">
        <f>Q9/Q12</f>
        <v>1.4990893213403392E-2</v>
      </c>
      <c r="R10" s="838">
        <f>R9/R12</f>
        <v>3.9928416086749755E-3</v>
      </c>
      <c r="T10" s="837" t="e">
        <f ca="1">T9/T12</f>
        <v>#REF!</v>
      </c>
      <c r="U10" s="932">
        <f ca="1">U9/U12</f>
        <v>6.7029906888347895E-2</v>
      </c>
      <c r="V10" s="932">
        <f ca="1">V9/V12</f>
        <v>6.2787018358454058E-2</v>
      </c>
      <c r="W10" s="932"/>
      <c r="X10" s="932">
        <f>X9/X12</f>
        <v>0.51286248744192364</v>
      </c>
      <c r="Y10" s="932">
        <f>Y9/Y12</f>
        <v>0.40868531922932166</v>
      </c>
      <c r="Z10" s="933"/>
      <c r="AA10" s="445"/>
      <c r="AB10" s="838" t="b">
        <v>1</v>
      </c>
      <c r="AC10" s="838" t="s">
        <v>1253</v>
      </c>
      <c r="AD10" s="838"/>
      <c r="AE10" s="838"/>
      <c r="AF10" s="838"/>
      <c r="AQ10" s="840"/>
      <c r="AR10" s="840"/>
      <c r="AS10" s="840"/>
    </row>
    <row r="11" spans="1:47" s="441" customFormat="1" ht="18.5" customHeight="1">
      <c r="A11" s="488"/>
      <c r="C11" s="832" t="s">
        <v>95</v>
      </c>
      <c r="D11" s="832" t="s">
        <v>91</v>
      </c>
      <c r="E11" s="832" t="s">
        <v>31</v>
      </c>
      <c r="F11" s="832" t="s">
        <v>96</v>
      </c>
      <c r="G11" s="832" t="s">
        <v>92</v>
      </c>
      <c r="H11" s="441" t="s">
        <v>31</v>
      </c>
      <c r="I11" s="441" t="s">
        <v>1976</v>
      </c>
      <c r="J11" s="441" t="s">
        <v>2039</v>
      </c>
      <c r="K11" s="441" t="s">
        <v>31</v>
      </c>
      <c r="N11" s="441" t="s">
        <v>97</v>
      </c>
      <c r="O11" s="441" t="s">
        <v>93</v>
      </c>
      <c r="P11" s="450" t="s">
        <v>31</v>
      </c>
      <c r="Q11" s="441" t="s">
        <v>2285</v>
      </c>
      <c r="R11" s="441" t="s">
        <v>2286</v>
      </c>
      <c r="S11" s="450" t="s">
        <v>31</v>
      </c>
      <c r="T11" s="833"/>
      <c r="U11" s="930" t="s">
        <v>98</v>
      </c>
      <c r="V11" s="930" t="s">
        <v>94</v>
      </c>
      <c r="W11" s="934" t="s">
        <v>31</v>
      </c>
      <c r="X11" s="930">
        <v>2023</v>
      </c>
      <c r="Y11" s="930">
        <v>2022</v>
      </c>
      <c r="Z11" s="935" t="s">
        <v>31</v>
      </c>
      <c r="AA11" s="842"/>
      <c r="AB11" s="834"/>
      <c r="AC11" s="834" t="str">
        <f>CONCATENATE(TEXT(X24,"#,##0")," tỷ VND"," (",TEXT(Z24,"+#,##0%;-#,##0%")," YoY)")</f>
        <v>168 tỷ VND (-96% YoY)</v>
      </c>
      <c r="AD11" s="834"/>
      <c r="AE11" s="834"/>
      <c r="AF11" s="834"/>
      <c r="AG11" s="835"/>
      <c r="AH11" s="489" t="s">
        <v>87</v>
      </c>
      <c r="AI11" s="489" t="s">
        <v>88</v>
      </c>
      <c r="AJ11" s="489" t="s">
        <v>89</v>
      </c>
      <c r="AK11" s="489" t="s">
        <v>90</v>
      </c>
      <c r="AL11" s="489" t="s">
        <v>91</v>
      </c>
      <c r="AM11" s="489" t="s">
        <v>92</v>
      </c>
      <c r="AN11" s="489" t="s">
        <v>93</v>
      </c>
      <c r="AO11" s="489" t="s">
        <v>94</v>
      </c>
      <c r="AP11" s="489" t="s">
        <v>95</v>
      </c>
      <c r="AQ11" s="488" t="s">
        <v>96</v>
      </c>
      <c r="AR11" s="488" t="s">
        <v>97</v>
      </c>
      <c r="AS11" s="488" t="s">
        <v>98</v>
      </c>
      <c r="AT11" s="489" t="s">
        <v>99</v>
      </c>
      <c r="AU11" s="489" t="s">
        <v>100</v>
      </c>
    </row>
    <row r="12" spans="1:47" ht="18.5" customHeight="1">
      <c r="B12" s="843" t="s">
        <v>394</v>
      </c>
      <c r="C12" s="836">
        <f>INDEX($AH$12:$BI$36,MATCH('2023_quater'!B12,$AG$12:$AG$36,0),MATCH('2023_quater'!$C$11,$AH$11:$BI$11,0))</f>
        <v>27105.812022449001</v>
      </c>
      <c r="D12" s="836">
        <f>INDEX($AH$12:$BI$36,MATCH('2023_quater'!B12,$AG$12:$AG$36,0),MATCH('2023_quater'!$D$11,$AH$11:$BI$11,0))</f>
        <v>36466.676618650003</v>
      </c>
      <c r="E12" s="463">
        <f>C12/D12-1</f>
        <v>-0.25669639967722235</v>
      </c>
      <c r="F12" s="836">
        <f>INDEX($AH$12:$BI$36,MATCH('2023_quater'!B12,$AG$12:$AG$36,0),MATCH('2023_quater'!$F$11,$AH$11:$BI$11,0))</f>
        <v>29464.830443891002</v>
      </c>
      <c r="G12" s="836">
        <f>INDEX($AH$12:$BI$36,MATCH('2023_quater'!B12,$AG$12:$AG$36,0),MATCH('2023_quater'!$G$11,$AH$11:$BI$11,0))</f>
        <v>34337.739971773</v>
      </c>
      <c r="H12" s="463">
        <f>F12/G12-1</f>
        <v>-0.14191118960909266</v>
      </c>
      <c r="I12" s="836">
        <f>C12+F12</f>
        <v>56570.642466340003</v>
      </c>
      <c r="J12" s="836">
        <f>D12+G12</f>
        <v>70804.416590423003</v>
      </c>
      <c r="K12" s="463">
        <f>I12/J12-1</f>
        <v>-0.20102946693876522</v>
      </c>
      <c r="L12" s="446">
        <f>25834.93</f>
        <v>25834.93</v>
      </c>
      <c r="M12" s="463"/>
      <c r="N12" s="446">
        <f>INDEX($AH$12:$BI$36,MATCH('2023_quater'!B12,$AG$12:$AG$36,0),MATCH('2023_quater'!$N$11,$AH$11:$BI$11,0))</f>
        <v>30287.657286952999</v>
      </c>
      <c r="O12" s="446">
        <f>INDEX($AH$12:$BI$36,MATCH('2023_quater'!B12,$AG$12:$AG$36,0),MATCH('2023_quater'!$O$11,$AH$11:$BI$11,0))</f>
        <v>32011.979800000001</v>
      </c>
      <c r="P12" s="837">
        <f>N12/O12-1</f>
        <v>-5.3864913192498087E-2</v>
      </c>
      <c r="Q12" s="836">
        <f>I12+N12</f>
        <v>86858.299753293002</v>
      </c>
      <c r="R12" s="836">
        <f>J12+O12</f>
        <v>102816.396390423</v>
      </c>
      <c r="S12" s="837">
        <f>Q12/R12-1</f>
        <v>-0.15520964746257582</v>
      </c>
      <c r="T12" s="839">
        <f ca="1">FS!AB67-'2023_quater'!Q12</f>
        <v>46546.481706706996</v>
      </c>
      <c r="U12" s="931">
        <f>INDEX($AH$12:$BI$36,MATCH('2023_quater'!B12,$AG$12:$AG$36,0),MATCH('2023_quater'!$U$11,$AH$11:$BI$11,0))</f>
        <v>31421.488702148999</v>
      </c>
      <c r="V12" s="931">
        <f>INDEX($AH$12:$BI$36,MATCH('2023_quater'!B12,$AG$12:$AG$36,0),MATCH('2023_quater'!$V$11,$AH$11:$BI$11,0))</f>
        <v>30588.381152474001</v>
      </c>
      <c r="W12" s="932">
        <f>U12/V12-1</f>
        <v>2.7236078480982862E-2</v>
      </c>
      <c r="X12" s="936">
        <f>Q12+U12</f>
        <v>118279.788455442</v>
      </c>
      <c r="Y12" s="936">
        <f>V12+R12</f>
        <v>133404.77754289701</v>
      </c>
      <c r="Z12" s="933">
        <f>X12/Y12-1</f>
        <v>-0.11337666735804486</v>
      </c>
      <c r="AA12" s="445"/>
      <c r="AC12" s="838" t="str">
        <f>"- "&amp;CONCATENATE(AC8,AC9,AC10,AC11)</f>
        <v>-  Lũy kế cả năm 2023,  Doanh thu thuần và Lợi nhuận sau thuế lần lượt đạt: 118,280 tỷ VND (-11% YoY) và 168 tỷ VND (-96% YoY)</v>
      </c>
      <c r="AE12" s="838" t="e">
        <f>C12/FS!#REF!</f>
        <v>#REF!</v>
      </c>
      <c r="AF12" s="838"/>
      <c r="AG12" s="844" t="str">
        <f>'FS Quarter'!C2</f>
        <v>Doanh số</v>
      </c>
      <c r="AH12" s="487">
        <v>31156.445464032</v>
      </c>
      <c r="AI12" s="487">
        <v>31982.973207654999</v>
      </c>
      <c r="AJ12" s="487">
        <v>24504.825927283</v>
      </c>
      <c r="AK12" s="487">
        <v>36497.281090978002</v>
      </c>
      <c r="AL12" s="487">
        <v>36819.173885618999</v>
      </c>
      <c r="AM12" s="487">
        <v>34702.840342035997</v>
      </c>
      <c r="AN12" s="446">
        <v>32322.455999999998</v>
      </c>
      <c r="AO12" s="446">
        <v>30877.778203704998</v>
      </c>
      <c r="AP12" s="446">
        <v>27335.086613676001</v>
      </c>
      <c r="AQ12" s="446">
        <v>29725.046708024001</v>
      </c>
      <c r="AR12" s="446">
        <v>30520.841321411001</v>
      </c>
      <c r="AS12" s="446">
        <v>31653.210181974999</v>
      </c>
    </row>
    <row r="13" spans="1:47" ht="18.5" customHeight="1">
      <c r="B13" s="845" t="s">
        <v>529</v>
      </c>
      <c r="C13" s="836">
        <f>INDEX($AH$12:$BI$36,MATCH('2023_quater'!B13,$AG$12:$AG$36,0),MATCH('2023_quater'!$C$11,$AH$11:$BI$11,0))</f>
        <v>5214.4998517869999</v>
      </c>
      <c r="D13" s="836">
        <f>INDEX($AH$12:$BI$36,MATCH('2023_quater'!B13,$AG$12:$AG$36,0),MATCH('2023_quater'!$D$11,$AH$11:$BI$11,0))</f>
        <v>8124.2640914989997</v>
      </c>
      <c r="E13" s="463">
        <f t="shared" ref="E13:E27" si="2">C13/D13-1</f>
        <v>-0.35815726900811795</v>
      </c>
      <c r="F13" s="836">
        <f>INDEX($AH$12:$BI$36,MATCH('2023_quater'!B13,$AG$12:$AG$36,0),MATCH('2023_quater'!$F$11,$AH$11:$BI$11,0))</f>
        <v>5441.1680076490002</v>
      </c>
      <c r="G13" s="836">
        <f>INDEX($AH$12:$BI$36,MATCH('2023_quater'!B13,$AG$12:$AG$36,0),MATCH('2023_quater'!$G$11,$AH$11:$BI$11,0))</f>
        <v>7336.4182392599996</v>
      </c>
      <c r="H13" s="463">
        <f t="shared" ref="H13:H27" si="3">F13/G13-1</f>
        <v>-0.25833454007144596</v>
      </c>
      <c r="I13" s="836">
        <f t="shared" ref="I13:J24" si="4">C13+F13</f>
        <v>10655.667859436</v>
      </c>
      <c r="J13" s="836">
        <f t="shared" si="4"/>
        <v>15460.682330758998</v>
      </c>
      <c r="K13" s="463">
        <f t="shared" ref="K13:K27" si="5">I13/J13-1</f>
        <v>-0.31078928914821768</v>
      </c>
      <c r="L13" s="846">
        <v>1319.5730000000001</v>
      </c>
      <c r="M13" s="463"/>
      <c r="N13" s="446">
        <f>INDEX($AH$12:$BI$36,MATCH('2023_quater'!B13,$AG$12:$AG$36,0),MATCH('2023_quater'!$N$11,$AH$11:$BI$11,0))</f>
        <v>5678.4847730000001</v>
      </c>
      <c r="O13" s="446">
        <f>INDEX($AH$12:$BI$36,MATCH('2023_quater'!B13,$AG$12:$AG$36,0),MATCH('2023_quater'!$O$11,$AH$11:$BI$11,0))</f>
        <v>7392.0243790000004</v>
      </c>
      <c r="P13" s="837">
        <f t="shared" ref="P13:P27" si="6">N13/O13-1</f>
        <v>-0.23180924712153206</v>
      </c>
      <c r="Q13" s="836">
        <f>I13+N13</f>
        <v>16334.152632436</v>
      </c>
      <c r="R13" s="836">
        <f>J13+O13</f>
        <v>22852.706709758997</v>
      </c>
      <c r="S13" s="837">
        <f>Q13/R13-1</f>
        <v>-0.28524210108290238</v>
      </c>
      <c r="T13" s="839">
        <f>FS!AB69-'2023_quater'!Q13</f>
        <v>14448.062735425001</v>
      </c>
      <c r="U13" s="931">
        <f>INDEX($AH$12:$BI$36,MATCH('2023_quater'!B13,$AG$12:$AG$36,0),MATCH('2023_quater'!$U$11,$AH$11:$BI$11,0))</f>
        <v>6186.460530542</v>
      </c>
      <c r="V13" s="931">
        <f>INDEX($AH$12:$BI$36,MATCH('2023_quater'!B13,$AG$12:$AG$36,0),MATCH('2023_quater'!$V$11,$AH$11:$BI$11,0))</f>
        <v>7929.5086575129999</v>
      </c>
      <c r="W13" s="932">
        <f>U13/V13-1</f>
        <v>-0.21981792343709816</v>
      </c>
      <c r="X13" s="936">
        <f>Q13+U13</f>
        <v>22520.613162977999</v>
      </c>
      <c r="Y13" s="936">
        <f>V13+R13</f>
        <v>30782.215367271998</v>
      </c>
      <c r="Z13" s="933">
        <f>X13/Y13-1</f>
        <v>-0.26838881171229245</v>
      </c>
      <c r="AA13" s="445"/>
      <c r="AB13" s="838" t="s">
        <v>1261</v>
      </c>
      <c r="AC13" s="838" t="str">
        <f>"Biên lợi nhuận gộp " &amp;U11 &amp;" đạt " &amp;TEXT(U14,"0%")</f>
        <v>Biên lợi nhuận gộp Q4/2023 đạt 20%</v>
      </c>
      <c r="AD13" s="838">
        <f>Q12/140000</f>
        <v>0.6204164268092357</v>
      </c>
      <c r="AF13" s="838"/>
      <c r="AG13" s="844" t="str">
        <f>'FS Quarter'!C3</f>
        <v>Các khoản giảm trừ</v>
      </c>
      <c r="AH13" s="487">
        <v>-328.30164915900002</v>
      </c>
      <c r="AI13" s="487">
        <v>-324.55435455000003</v>
      </c>
      <c r="AJ13" s="487">
        <v>-171.61240158999999</v>
      </c>
      <c r="AK13" s="487">
        <v>-358.951181475</v>
      </c>
      <c r="AL13" s="487">
        <v>-352.49726696900001</v>
      </c>
      <c r="AM13" s="487">
        <v>-365.100370263</v>
      </c>
      <c r="AN13" s="446">
        <v>-310.476</v>
      </c>
      <c r="AO13" s="446">
        <v>-289.39705123099998</v>
      </c>
      <c r="AP13" s="446">
        <v>-229.274591227</v>
      </c>
      <c r="AQ13" s="446">
        <v>-260.21626413299998</v>
      </c>
      <c r="AR13" s="446">
        <v>-233.18403445800001</v>
      </c>
      <c r="AS13" s="446">
        <v>-231.72147982600001</v>
      </c>
    </row>
    <row r="14" spans="1:47" s="907" customFormat="1" ht="18.5" customHeight="1">
      <c r="A14" s="904"/>
      <c r="B14" s="905" t="s">
        <v>243</v>
      </c>
      <c r="C14" s="906">
        <f>C13/C12</f>
        <v>0.19237571069512166</v>
      </c>
      <c r="D14" s="906">
        <f>D13/D12</f>
        <v>0.22278597461617988</v>
      </c>
      <c r="F14" s="906">
        <f>F13/F12</f>
        <v>0.18466653042550013</v>
      </c>
      <c r="G14" s="907">
        <f>G13/G12</f>
        <v>0.21365466234210026</v>
      </c>
      <c r="I14" s="906">
        <f>I13/I12</f>
        <v>0.1883603826096939</v>
      </c>
      <c r="J14" s="906">
        <f>J13/J12</f>
        <v>0.21835759794750159</v>
      </c>
      <c r="L14" s="907">
        <f>I12/L12</f>
        <v>2.1896959839387993</v>
      </c>
      <c r="N14" s="907">
        <f>N13/N12</f>
        <v>0.1874851104923892</v>
      </c>
      <c r="O14" s="907">
        <f>O13/O12</f>
        <v>0.23091431474038354</v>
      </c>
      <c r="P14" s="907">
        <f>N14-O14</f>
        <v>-4.3429204247994346E-2</v>
      </c>
      <c r="Q14" s="907">
        <f>Q13/Q12</f>
        <v>0.1880551735278094</v>
      </c>
      <c r="R14" s="907">
        <f>R13/R12</f>
        <v>0.22226714329668579</v>
      </c>
      <c r="S14" s="907">
        <f>Q14-R14</f>
        <v>-3.4211969768876388E-2</v>
      </c>
      <c r="T14" s="908">
        <f ca="1">T13/T12</f>
        <v>0.31040074793328887</v>
      </c>
      <c r="U14" s="937">
        <f>U13/U12</f>
        <v>0.19688629616453823</v>
      </c>
      <c r="V14" s="937">
        <f>V13/V12</f>
        <v>0.25923270074302895</v>
      </c>
      <c r="W14" s="938">
        <f>U14-V14</f>
        <v>-6.2346404578490722E-2</v>
      </c>
      <c r="X14" s="937">
        <f>X13/X12</f>
        <v>0.19040119581767678</v>
      </c>
      <c r="Y14" s="937">
        <f>Y13/Y12</f>
        <v>0.23074297588310744</v>
      </c>
      <c r="Z14" s="937">
        <f>X14-Y14</f>
        <v>-4.0341780065430655E-2</v>
      </c>
      <c r="AA14" s="909"/>
      <c r="AB14" s="906" t="b">
        <v>1</v>
      </c>
      <c r="AC14" s="906" t="str">
        <f>IF(Z14&gt;0," tăng "," giảm ") &amp;TEXT(W14,"0.00") &amp; " điểm phần trăm svck"</f>
        <v xml:space="preserve"> giảm -0.06 điểm phần trăm svck</v>
      </c>
      <c r="AD14" s="906"/>
      <c r="AE14" s="906"/>
      <c r="AF14" s="906"/>
      <c r="AG14" s="907" t="str">
        <f>'FS Quarter'!C4</f>
        <v>Doanh thu thuần</v>
      </c>
      <c r="AH14" s="907">
        <v>30828.143814873001</v>
      </c>
      <c r="AI14" s="907">
        <v>31658.418853104999</v>
      </c>
      <c r="AJ14" s="907">
        <v>24333.213525693001</v>
      </c>
      <c r="AK14" s="907">
        <v>36138.329909503002</v>
      </c>
      <c r="AL14" s="911">
        <v>36466.676618650003</v>
      </c>
      <c r="AM14" s="907">
        <v>34337.739971773</v>
      </c>
      <c r="AN14" s="904">
        <v>32011.979800000001</v>
      </c>
      <c r="AO14" s="904">
        <v>30588.381152474001</v>
      </c>
      <c r="AP14" s="904">
        <v>27105.812022449001</v>
      </c>
      <c r="AQ14" s="904">
        <v>29464.830443891002</v>
      </c>
      <c r="AR14" s="912">
        <v>30287.657286952999</v>
      </c>
      <c r="AS14" s="904">
        <v>31421.488702148999</v>
      </c>
    </row>
    <row r="15" spans="1:47" ht="18.5" customHeight="1">
      <c r="B15" s="845" t="s">
        <v>331</v>
      </c>
      <c r="C15" s="836">
        <f>INDEX($AH$12:$BI$36,MATCH('2023_quater'!B15,$AG$12:$AG$36,0),MATCH('2023_quater'!$C$11,$AH$11:$BI$11,0))</f>
        <v>-4784.6859112129996</v>
      </c>
      <c r="D15" s="836">
        <f>INDEX($AH$12:$BI$36,MATCH('2023_quater'!B15,$AG$12:$AG$36,0),MATCH('2023_quater'!$D$11,$AH$11:$BI$11,0))</f>
        <v>-5036.0305911470005</v>
      </c>
      <c r="E15" s="463">
        <f t="shared" si="2"/>
        <v>-4.9909283787085701E-2</v>
      </c>
      <c r="F15" s="836">
        <f>INDEX($AH$12:$BI$36,MATCH('2023_quater'!B15,$AG$12:$AG$36,0),MATCH('2023_quater'!$F$11,$AH$11:$BI$11,0))</f>
        <v>-5211.1335005330002</v>
      </c>
      <c r="G15" s="836">
        <f>INDEX($AH$12:$BI$36,MATCH('2023_quater'!B15,$AG$12:$AG$36,0),MATCH('2023_quater'!$G$11,$AH$11:$BI$11,0))</f>
        <v>-4807.8756820620001</v>
      </c>
      <c r="H15" s="463">
        <f t="shared" si="3"/>
        <v>8.3874427114565275E-2</v>
      </c>
      <c r="I15" s="836">
        <f t="shared" si="4"/>
        <v>-9995.8194117460007</v>
      </c>
      <c r="J15" s="836">
        <f t="shared" si="4"/>
        <v>-9843.9062732090006</v>
      </c>
      <c r="K15" s="463">
        <f t="shared" si="5"/>
        <v>1.5432200827677933E-2</v>
      </c>
      <c r="L15" s="849">
        <f>I24/L13</f>
        <v>2.9324079702297633E-2</v>
      </c>
      <c r="M15" s="849"/>
      <c r="N15" s="446">
        <f>INDEX($AH$12:$BI$36,MATCH('2023_quater'!B15,$AG$12:$AG$36,0),MATCH('2023_quater'!$N$11,$AH$11:$BI$11,0))</f>
        <v>-5314.3242730000002</v>
      </c>
      <c r="O15" s="446">
        <f>INDEX($AH$12:$BI$36,MATCH('2023_quater'!B15,$AG$12:$AG$36,0),MATCH('2023_quater'!$O$11,$AH$11:$BI$11,0))</f>
        <v>-5342.6062519999996</v>
      </c>
      <c r="P15" s="837">
        <f t="shared" si="6"/>
        <v>-5.2936671103943622E-3</v>
      </c>
      <c r="Q15" s="836">
        <f>I15+N15</f>
        <v>-15310.143684746001</v>
      </c>
      <c r="R15" s="836">
        <f>J15+O15</f>
        <v>-15186.512525209</v>
      </c>
      <c r="S15" s="837">
        <f t="shared" ref="S15:S28" si="7">Q15/R15-1</f>
        <v>8.1408525711073043E-3</v>
      </c>
      <c r="T15" s="839">
        <f>FS!AB71-'2023_quater'!Q15</f>
        <v>-6479.855291034999</v>
      </c>
      <c r="U15" s="931">
        <f>INDEX($AH$12:$BI$36,MATCH('2023_quater'!B15,$AG$12:$AG$36,0),MATCH('2023_quater'!$U$11,$AH$11:$BI$11,0))</f>
        <v>-5607.0795677659999</v>
      </c>
      <c r="V15" s="931">
        <f>INDEX($AH$12:$BI$36,MATCH('2023_quater'!B15,$AG$12:$AG$36,0),MATCH('2023_quater'!$V$11,$AH$11:$BI$11,0))</f>
        <v>-6603.4864497110002</v>
      </c>
      <c r="W15" s="932">
        <f t="shared" ref="W15:W24" si="8">U15/V15-1</f>
        <v>-0.15089103150784955</v>
      </c>
      <c r="X15" s="936">
        <f>Q15+U15</f>
        <v>-20917.223252512002</v>
      </c>
      <c r="Y15" s="936">
        <f>V15+R15</f>
        <v>-21789.998974919999</v>
      </c>
      <c r="Z15" s="933">
        <f t="shared" ref="Z15:Z24" si="9">X15/Y15-1</f>
        <v>-4.0053958855737037E-2</v>
      </c>
      <c r="AA15" s="445"/>
      <c r="AC15" s="838" t="str">
        <f>"- "&amp;CONCATENATE(AC13,AC14)</f>
        <v>- Biên lợi nhuận gộp Q4/2023 đạt 20% giảm -0.06 điểm phần trăm svck</v>
      </c>
      <c r="AF15" s="838"/>
      <c r="AG15" s="844" t="str">
        <f>'FS Quarter'!C5</f>
        <v>Giá vốn hàng bán</v>
      </c>
      <c r="AH15" s="487">
        <v>-23803.198263370999</v>
      </c>
      <c r="AI15" s="487">
        <v>-24514.835467434001</v>
      </c>
      <c r="AJ15" s="487">
        <v>-18244.500199926999</v>
      </c>
      <c r="AK15" s="487">
        <v>-28763.440176908</v>
      </c>
      <c r="AL15" s="487">
        <v>-28342.412527150998</v>
      </c>
      <c r="AM15" s="487">
        <v>-27001.321732512999</v>
      </c>
      <c r="AN15" s="446">
        <v>-24619.955468</v>
      </c>
      <c r="AO15" s="446">
        <v>-22658.872494961</v>
      </c>
      <c r="AP15" s="446">
        <v>-21891.312170662</v>
      </c>
      <c r="AQ15" s="446">
        <v>-24023.662436242001</v>
      </c>
      <c r="AR15" s="446">
        <v>-24608.172513201</v>
      </c>
      <c r="AS15" s="446">
        <v>-25235.028171606999</v>
      </c>
    </row>
    <row r="16" spans="1:47" ht="18.5" customHeight="1">
      <c r="B16" s="845" t="s">
        <v>333</v>
      </c>
      <c r="C16" s="836">
        <f>INDEX($AH$12:$BI$36,MATCH('2023_quater'!B16,$AG$12:$AG$36,0),MATCH('2023_quater'!$C$11,$AH$11:$BI$11,0))</f>
        <v>-324.69229141800002</v>
      </c>
      <c r="D16" s="836">
        <f>INDEX($AH$12:$BI$36,MATCH('2023_quater'!B16,$AG$12:$AG$36,0),MATCH('2023_quater'!$D$11,$AH$11:$BI$11,0))</f>
        <v>-1239.4423598339999</v>
      </c>
      <c r="E16" s="463">
        <f t="shared" si="2"/>
        <v>-0.73803356901446682</v>
      </c>
      <c r="F16" s="836">
        <f>INDEX($AH$12:$BI$36,MATCH('2023_quater'!B16,$AG$12:$AG$36,0),MATCH('2023_quater'!$F$11,$AH$11:$BI$11,0))</f>
        <v>-229.156805109</v>
      </c>
      <c r="G16" s="836">
        <f>INDEX($AH$12:$BI$36,MATCH('2023_quater'!B16,$AG$12:$AG$36,0),MATCH('2023_quater'!$G$11,$AH$11:$BI$11,0))</f>
        <v>-500.33131484099999</v>
      </c>
      <c r="H16" s="463">
        <f t="shared" si="3"/>
        <v>-0.54198988088158417</v>
      </c>
      <c r="I16" s="836">
        <f t="shared" si="4"/>
        <v>-553.84909652700003</v>
      </c>
      <c r="J16" s="836">
        <f t="shared" si="4"/>
        <v>-1739.7736746749999</v>
      </c>
      <c r="K16" s="463">
        <f t="shared" si="5"/>
        <v>-0.68165451369387897</v>
      </c>
      <c r="L16" s="849">
        <f>I16/$I$12</f>
        <v>-9.7903978526767618E-3</v>
      </c>
      <c r="M16" s="849"/>
      <c r="N16" s="446">
        <f>INDEX($AH$12:$BI$36,MATCH('2023_quater'!B16,$AG$12:$AG$36,0),MATCH('2023_quater'!$N$11,$AH$11:$BI$11,0))</f>
        <v>-341.53061516499997</v>
      </c>
      <c r="O16" s="446">
        <f>INDEX($AH$12:$BI$36,MATCH('2023_quater'!B16,$AG$12:$AG$36,0),MATCH('2023_quater'!$O$11,$AH$11:$BI$11,0))</f>
        <v>-316.22000000000003</v>
      </c>
      <c r="P16" s="837">
        <f t="shared" si="6"/>
        <v>8.0041158576307447E-2</v>
      </c>
      <c r="Q16" s="836">
        <f>I16+N16</f>
        <v>-895.379711692</v>
      </c>
      <c r="R16" s="836">
        <f>J16+O16</f>
        <v>-2055.993674675</v>
      </c>
      <c r="S16" s="837">
        <f t="shared" si="7"/>
        <v>-0.56450269146205589</v>
      </c>
      <c r="T16" s="839">
        <f>FS!AB72-'2023_quater'!Q16</f>
        <v>-1452.659831595</v>
      </c>
      <c r="U16" s="931">
        <f>INDEX($AH$12:$BI$36,MATCH('2023_quater'!B16,$AG$12:$AG$36,0),MATCH('2023_quater'!$U$11,$AH$11:$BI$11,0))</f>
        <v>-300.97591257300002</v>
      </c>
      <c r="V16" s="931">
        <f>INDEX($AH$12:$BI$36,MATCH('2023_quater'!B16,$AG$12:$AG$36,0),MATCH('2023_quater'!$V$11,$AH$11:$BI$11,0))</f>
        <v>-292.04505554100001</v>
      </c>
      <c r="W16" s="932">
        <f t="shared" si="8"/>
        <v>3.0580408271100534E-2</v>
      </c>
      <c r="X16" s="936">
        <f>Q16+U16</f>
        <v>-1196.355624265</v>
      </c>
      <c r="Y16" s="936">
        <f>V16+R16</f>
        <v>-2348.0387302159997</v>
      </c>
      <c r="Z16" s="933">
        <f t="shared" si="9"/>
        <v>-0.49048726970745271</v>
      </c>
      <c r="AA16" s="445"/>
      <c r="AB16" s="838" t="s">
        <v>1263</v>
      </c>
      <c r="AC16" s="838" t="str">
        <f>" Lũy kế cả năm " &amp;X11&amp; "," &amp;" biên lợi nhuận gộp đạt " &amp;TEXT(X14,"0%")</f>
        <v xml:space="preserve"> Lũy kế cả năm 2023, biên lợi nhuận gộp đạt 19%</v>
      </c>
      <c r="AF16" s="838"/>
      <c r="AG16" s="844" t="str">
        <f>'FS Quarter'!C6</f>
        <v>Lãi gộp</v>
      </c>
      <c r="AH16" s="487">
        <v>7024.9455515019999</v>
      </c>
      <c r="AI16" s="487">
        <v>7143.5833856709996</v>
      </c>
      <c r="AJ16" s="487">
        <v>6088.7133257659998</v>
      </c>
      <c r="AK16" s="487">
        <v>7374.8897325950002</v>
      </c>
      <c r="AL16" s="487">
        <v>8124.2640914989997</v>
      </c>
      <c r="AM16" s="487">
        <v>7336.4182392599996</v>
      </c>
      <c r="AN16" s="446">
        <v>7392.0243790000004</v>
      </c>
      <c r="AO16" s="446">
        <v>7929.5086575129999</v>
      </c>
      <c r="AP16" s="446">
        <v>5214.4998517869999</v>
      </c>
      <c r="AQ16" s="446">
        <v>5441.1680076490002</v>
      </c>
      <c r="AR16" s="446">
        <v>5678.4847730000001</v>
      </c>
      <c r="AS16" s="446">
        <v>6186.460530542</v>
      </c>
    </row>
    <row r="17" spans="1:45" s="907" customFormat="1" ht="18.5" customHeight="1">
      <c r="A17" s="904"/>
      <c r="B17" s="905" t="s">
        <v>283</v>
      </c>
      <c r="C17" s="906">
        <f>-SUM(C15:C16)/C12</f>
        <v>0.1884975147912713</v>
      </c>
      <c r="D17" s="906">
        <f>-SUM(D15:D16)/D12</f>
        <v>0.17208787673762299</v>
      </c>
      <c r="F17" s="906">
        <f>-SUM(F15:F16)/F12</f>
        <v>0.1846367423020398</v>
      </c>
      <c r="G17" s="907">
        <f>-SUM(G15:G16)/G12</f>
        <v>0.1545881295992852</v>
      </c>
      <c r="I17" s="908">
        <f>-SUM(I15:I16)/I12</f>
        <v>0.18648663066802076</v>
      </c>
      <c r="J17" s="906">
        <f>-SUM(J15:J16)/J12</f>
        <v>0.16360109306303933</v>
      </c>
      <c r="N17" s="907">
        <f>-SUM(N15:N16)/N12</f>
        <v>0.18673794524878523</v>
      </c>
      <c r="O17" s="907">
        <f>-SUM(O15:O16)/O12</f>
        <v>0.17677214240901151</v>
      </c>
      <c r="P17" s="907">
        <f>N17-O17</f>
        <v>9.9658028397737186E-3</v>
      </c>
      <c r="Q17" s="907">
        <f>-SUM(Q15:Q16)/Q12</f>
        <v>0.18657426454889375</v>
      </c>
      <c r="R17" s="907">
        <f>-SUM(R15:R16)/R12</f>
        <v>0.16770191141896584</v>
      </c>
      <c r="S17" s="907">
        <f>Q17-R17</f>
        <v>1.887235312992791E-2</v>
      </c>
      <c r="T17" s="908">
        <f ca="1">-SUM(T15:T16)/T12</f>
        <v>0.17042136874304256</v>
      </c>
      <c r="U17" s="937">
        <f>-SUM(U15:U16)/U12</f>
        <v>0.18802595689665499</v>
      </c>
      <c r="V17" s="937">
        <f>-SUM(V15:V16)/V12</f>
        <v>0.22542976272198983</v>
      </c>
      <c r="W17" s="938"/>
      <c r="X17" s="939">
        <f>-SUM(X15:X16)/X12</f>
        <v>0.18695991230240966</v>
      </c>
      <c r="Y17" s="939">
        <f>-SUM(Y15:Y16)/Y12</f>
        <v>0.1809383303185996</v>
      </c>
      <c r="Z17" s="937"/>
      <c r="AA17" s="909"/>
      <c r="AB17" s="906" t="b">
        <f>AB14</f>
        <v>1</v>
      </c>
      <c r="AC17" s="906" t="str">
        <f>IF(Z14&gt;0," tăng "," giảm ") &amp;TEXT(Z14,"0.00") &amp; " điểm phẩn trăm svck"</f>
        <v xml:space="preserve"> giảm -0.04 điểm phẩn trăm svck</v>
      </c>
      <c r="AD17" s="906"/>
      <c r="AE17" s="906"/>
      <c r="AF17" s="906"/>
      <c r="AG17" s="907" t="s">
        <v>569</v>
      </c>
      <c r="AH17" s="904">
        <v>288.290505677</v>
      </c>
      <c r="AI17" s="904">
        <v>304.72639665100002</v>
      </c>
      <c r="AJ17" s="904">
        <v>288.60571992899997</v>
      </c>
      <c r="AK17" s="904">
        <v>384.46625450300002</v>
      </c>
      <c r="AL17" s="910">
        <v>354.85920563000002</v>
      </c>
      <c r="AM17" s="904">
        <v>297.75755306600001</v>
      </c>
      <c r="AN17" s="904">
        <v>348.74</v>
      </c>
      <c r="AO17" s="904">
        <v>311.780141173</v>
      </c>
      <c r="AP17" s="904">
        <v>359.08489394899999</v>
      </c>
      <c r="AQ17" s="904">
        <v>585.36871865399996</v>
      </c>
      <c r="AR17" s="904">
        <v>619.11561073500002</v>
      </c>
      <c r="AS17" s="904">
        <v>603.39449175300001</v>
      </c>
    </row>
    <row r="18" spans="1:45" ht="18.5" customHeight="1">
      <c r="B18" s="845" t="s">
        <v>1262</v>
      </c>
      <c r="C18" s="836">
        <f>C13+SUM(C15:C16)</f>
        <v>105.12164915599988</v>
      </c>
      <c r="D18" s="836">
        <f>D13+SUM(D15:D16)</f>
        <v>1848.7911405179993</v>
      </c>
      <c r="E18" s="463">
        <f t="shared" si="2"/>
        <v>-0.94314033270056319</v>
      </c>
      <c r="F18" s="836">
        <f>F13+SUM(F15:F16)</f>
        <v>0.87770200700015266</v>
      </c>
      <c r="G18" s="836">
        <f>G13+SUM(G15:G16)</f>
        <v>2028.2112423569997</v>
      </c>
      <c r="H18" s="463">
        <f t="shared" si="3"/>
        <v>-0.99956725315949824</v>
      </c>
      <c r="I18" s="836">
        <f t="shared" si="4"/>
        <v>105.99935116300003</v>
      </c>
      <c r="J18" s="836">
        <f t="shared" si="4"/>
        <v>3877.0023828749991</v>
      </c>
      <c r="K18" s="836"/>
      <c r="L18" s="836"/>
      <c r="M18" s="836"/>
      <c r="N18" s="446">
        <f>N13+SUM(N15:N16)</f>
        <v>22.629884834999757</v>
      </c>
      <c r="O18" s="446">
        <f>O13+SUM(O15:O16)</f>
        <v>1733.1981270000006</v>
      </c>
      <c r="P18" s="837">
        <f t="shared" si="6"/>
        <v>-0.98694327873861143</v>
      </c>
      <c r="Q18" s="836">
        <f>Q13+SUM(Q15:Q16)</f>
        <v>128.62923599799979</v>
      </c>
      <c r="R18" s="836">
        <f>J18+O18</f>
        <v>5610.2005098749996</v>
      </c>
      <c r="S18" s="837">
        <f t="shared" si="7"/>
        <v>-0.97707225690568666</v>
      </c>
      <c r="T18" s="839">
        <f>FS!M78-'2023_quater'!Q18</f>
        <v>6515.5476127950024</v>
      </c>
      <c r="U18" s="931">
        <f>U13+SUM(U15:U16)</f>
        <v>278.40505020300043</v>
      </c>
      <c r="V18" s="931">
        <f>V13+SUM(V15:V16)</f>
        <v>1033.9771522609999</v>
      </c>
      <c r="W18" s="932">
        <f t="shared" si="8"/>
        <v>-0.73074351827386952</v>
      </c>
      <c r="X18" s="936">
        <f>X13+SUM(X15:X16)</f>
        <v>407.03428620099658</v>
      </c>
      <c r="Y18" s="936">
        <f>Y13+SUM(Y15:Y16)</f>
        <v>6644.1776621360004</v>
      </c>
      <c r="Z18" s="933">
        <f t="shared" si="9"/>
        <v>-0.9387381995336137</v>
      </c>
      <c r="AA18" s="445"/>
      <c r="AC18" s="838" t="str">
        <f>"- "&amp;CONCATENATE(AC16,AC17)</f>
        <v>-  Lũy kế cả năm 2023, biên lợi nhuận gộp đạt 19% giảm -0.04 điểm phẩn trăm svck</v>
      </c>
      <c r="AF18" s="838"/>
      <c r="AG18" s="844" t="str">
        <f>'FS Quarter'!C8</f>
        <v>Chi phí tài chính</v>
      </c>
      <c r="AH18" s="487">
        <v>-152.80239519099999</v>
      </c>
      <c r="AI18" s="487">
        <v>-170.84221576799999</v>
      </c>
      <c r="AJ18" s="487">
        <v>-164.67884072800001</v>
      </c>
      <c r="AK18" s="487">
        <v>-225.42169071800001</v>
      </c>
      <c r="AL18" s="487">
        <v>-206.279128125</v>
      </c>
      <c r="AM18" s="487">
        <v>-360.15734653999999</v>
      </c>
      <c r="AN18" s="446">
        <v>-434.637</v>
      </c>
      <c r="AO18" s="446">
        <v>-381.54682948499999</v>
      </c>
      <c r="AP18" s="446">
        <v>-295.779227945</v>
      </c>
      <c r="AQ18" s="446">
        <v>-396.87509483899998</v>
      </c>
      <c r="AR18" s="446">
        <v>-444.91105877000001</v>
      </c>
      <c r="AS18" s="446">
        <v>-418.58072542799999</v>
      </c>
    </row>
    <row r="19" spans="1:45" s="837" customFormat="1" ht="18.5" customHeight="1">
      <c r="A19" s="840"/>
      <c r="B19" s="847" t="s">
        <v>1268</v>
      </c>
      <c r="C19" s="848">
        <f>C18/C12</f>
        <v>3.8781959038503718E-3</v>
      </c>
      <c r="D19" s="848">
        <f>D18/D12</f>
        <v>5.0698097878556878E-2</v>
      </c>
      <c r="F19" s="838">
        <f>F18/F12</f>
        <v>2.9788123460324487E-5</v>
      </c>
      <c r="G19" s="838">
        <f>G18/G12</f>
        <v>5.9066532742815071E-2</v>
      </c>
      <c r="H19" s="838"/>
      <c r="I19" s="838">
        <f>I18/I12</f>
        <v>1.8737519416731129E-3</v>
      </c>
      <c r="J19" s="838">
        <f>J18/J12</f>
        <v>5.4756504884462279E-2</v>
      </c>
      <c r="N19" s="838">
        <f>N18/N12</f>
        <v>7.4716524360396875E-4</v>
      </c>
      <c r="O19" s="838">
        <f>O18/O12</f>
        <v>5.4142172331372036E-2</v>
      </c>
      <c r="P19" s="837">
        <f>N19-O19</f>
        <v>-5.3395007087768065E-2</v>
      </c>
      <c r="Q19" s="838">
        <f>Q18/Q12</f>
        <v>1.4809089789156638E-3</v>
      </c>
      <c r="R19" s="838">
        <f>R18/R12</f>
        <v>5.4565231877719951E-2</v>
      </c>
      <c r="S19" s="837">
        <f>Q19-R19</f>
        <v>-5.3084322898804284E-2</v>
      </c>
      <c r="T19" s="838">
        <f ca="1">T18/T12</f>
        <v>0.13997937919024633</v>
      </c>
      <c r="U19" s="933">
        <f>U18/U12</f>
        <v>8.8603392678832417E-3</v>
      </c>
      <c r="V19" s="933">
        <f>V18/V12</f>
        <v>3.3802938021039119E-2</v>
      </c>
      <c r="W19" s="932"/>
      <c r="X19" s="933">
        <f>X18/X12</f>
        <v>3.4412835152671352E-3</v>
      </c>
      <c r="Y19" s="933">
        <f>Y18/Y12</f>
        <v>4.9804645564507838E-2</v>
      </c>
      <c r="Z19" s="932"/>
      <c r="AA19" s="445"/>
      <c r="AD19" s="838"/>
      <c r="AE19" s="838"/>
      <c r="AF19" s="838"/>
      <c r="AG19" s="837" t="str">
        <f>'FS Quarter'!C9</f>
        <v xml:space="preserve">    Trong đó: Chi phí lãi vay</v>
      </c>
      <c r="AH19" s="840">
        <v>-152.70697401699999</v>
      </c>
      <c r="AI19" s="840">
        <v>-169.881589077</v>
      </c>
      <c r="AJ19" s="840">
        <v>-163.93269429399999</v>
      </c>
      <c r="AK19" s="840">
        <v>-187.425447131</v>
      </c>
      <c r="AL19" s="446">
        <v>-200.47373672399999</v>
      </c>
      <c r="AM19" s="840">
        <v>-365.962737941</v>
      </c>
      <c r="AN19" s="850">
        <f>-434.637</f>
        <v>-434.637</v>
      </c>
      <c r="AO19" s="840">
        <v>-361.07028405599999</v>
      </c>
      <c r="AP19" s="840">
        <v>-295.77872670599999</v>
      </c>
      <c r="AQ19" s="840">
        <v>-384.52097632599998</v>
      </c>
      <c r="AR19" s="840">
        <v>-438.38348766199999</v>
      </c>
      <c r="AS19" s="840">
        <v>-329.035164103</v>
      </c>
    </row>
    <row r="20" spans="1:45" ht="18.5" customHeight="1">
      <c r="B20" s="845" t="s">
        <v>569</v>
      </c>
      <c r="C20" s="836">
        <f>INDEX($AH$12:$BI$36,MATCH('2023_quater'!B20,$AG$12:$AG$36,0),MATCH('2023_quater'!$C$11,$AH$11:$BI$11,0))</f>
        <v>359.08489394899999</v>
      </c>
      <c r="D20" s="836">
        <f>INDEX($AH$12:$BI$36,MATCH('2023_quater'!B20,$AG$12:$AG$36,0),MATCH('2023_quater'!$D$11,$AH$11:$BI$11,0))</f>
        <v>354.85920563000002</v>
      </c>
      <c r="E20" s="463">
        <f t="shared" si="2"/>
        <v>1.1908070164046825E-2</v>
      </c>
      <c r="F20" s="836">
        <f>INDEX($AH$12:$BI$36,MATCH('2023_quater'!B20,$AG$12:$AG$36,0),MATCH('2023_quater'!$F$11,$AH$11:$BI$11,0))</f>
        <v>585.36871865399996</v>
      </c>
      <c r="G20" s="836">
        <f>INDEX($AH$12:$BI$36,MATCH('2023_quater'!B20,$AG$12:$AG$36,0),MATCH('2023_quater'!$G$11,$AH$11:$BI$11,0))</f>
        <v>297.75755306600001</v>
      </c>
      <c r="H20" s="463">
        <f t="shared" si="3"/>
        <v>0.96592399630664927</v>
      </c>
      <c r="I20" s="836">
        <f t="shared" si="4"/>
        <v>944.45361260300001</v>
      </c>
      <c r="J20" s="851">
        <f t="shared" si="4"/>
        <v>652.61675869600003</v>
      </c>
      <c r="K20" s="463">
        <f t="shared" si="5"/>
        <v>0.44717952767581703</v>
      </c>
      <c r="L20" s="463"/>
      <c r="M20" s="463"/>
      <c r="N20" s="446">
        <f>INDEX($AH$12:$BI$36,MATCH('2023_quater'!B20,$AG$12:$AG$36,0),MATCH('2023_quater'!$N$11,$AH$11:$BI$11,0))</f>
        <v>619.11561073500002</v>
      </c>
      <c r="O20" s="446">
        <f>INDEX($AH$12:$BI$36,MATCH('2023_quater'!B20,$AG$12:$AG$36,0),MATCH('2023_quater'!$O$11,$AH$11:$BI$11,0))</f>
        <v>348.74</v>
      </c>
      <c r="P20" s="837">
        <f t="shared" si="6"/>
        <v>0.77529279903366399</v>
      </c>
      <c r="Q20" s="836">
        <f t="shared" ref="Q20:R24" si="10">I20+N20</f>
        <v>1563.569223338</v>
      </c>
      <c r="R20" s="836">
        <f t="shared" si="10"/>
        <v>1001.356758696</v>
      </c>
      <c r="S20" s="837">
        <f t="shared" si="7"/>
        <v>0.56145071150678771</v>
      </c>
      <c r="T20" s="839">
        <f>FS!AB76-'2023_quater'!Q20</f>
        <v>-250.43191901499995</v>
      </c>
      <c r="U20" s="931">
        <f>INDEX($AH$12:$BI$36,MATCH('2023_quater'!B20,$AG$12:$AG$36,0),MATCH('2023_quater'!$U$11,$AH$11:$BI$11,0))</f>
        <v>603.39449175300001</v>
      </c>
      <c r="V20" s="931">
        <f>INDEX($AH$12:$BI$36,MATCH('2023_quater'!B20,$AG$12:$AG$36,0),MATCH('2023_quater'!$V$11,$AH$11:$BI$11,0))</f>
        <v>311.780141173</v>
      </c>
      <c r="W20" s="932">
        <f t="shared" si="8"/>
        <v>0.93532047770223303</v>
      </c>
      <c r="X20" s="936">
        <f>Q20+U20</f>
        <v>2166.9637150910003</v>
      </c>
      <c r="Y20" s="936">
        <f>V20+R20</f>
        <v>1313.136899869</v>
      </c>
      <c r="Z20" s="933">
        <f t="shared" si="9"/>
        <v>0.65021919291673158</v>
      </c>
      <c r="AA20" s="445"/>
      <c r="AB20" s="838" t="s">
        <v>1264</v>
      </c>
      <c r="AC20" s="838" t="str">
        <f>"DT tài chính " &amp;X11&amp;" là: " &amp; TEXT(X20,"#,##0") &amp;" tỷ VND " &amp; IF(Z20&gt;0,"tăng ","giảm ") &amp;TEXT(Z20,"0%") &amp; " svck"</f>
        <v>DT tài chính 2023 là: 2,167 tỷ VND tăng 65% svck</v>
      </c>
      <c r="AF20" s="838"/>
      <c r="AG20" s="844" t="str">
        <f>'FS Quarter'!C10</f>
        <v>Lãi/(lỗ) từ công ty liên doanh (từ năm 2015)</v>
      </c>
      <c r="AH20" s="487">
        <v>-2.9605620909999999</v>
      </c>
      <c r="AI20" s="487">
        <v>-3.413282846</v>
      </c>
      <c r="AJ20" s="487">
        <v>-1.2382535160000001</v>
      </c>
      <c r="AK20" s="487">
        <v>11.771267591999999</v>
      </c>
      <c r="AL20" s="487">
        <v>0</v>
      </c>
      <c r="AM20" s="487">
        <v>0</v>
      </c>
      <c r="AN20" s="446">
        <v>0</v>
      </c>
      <c r="AO20" s="446">
        <v>0</v>
      </c>
      <c r="AP20" s="446">
        <v>0</v>
      </c>
      <c r="AQ20" s="446">
        <v>0</v>
      </c>
      <c r="AR20" s="446">
        <v>0</v>
      </c>
      <c r="AS20" s="446">
        <v>0</v>
      </c>
    </row>
    <row r="21" spans="1:45" ht="18.5" customHeight="1">
      <c r="B21" s="845" t="s">
        <v>338</v>
      </c>
      <c r="C21" s="836">
        <f>INDEX($AH$12:$BI$36,MATCH('2023_quater'!B21,$AG$12:$AG$36,0),MATCH('2023_quater'!$C$11,$AH$11:$BI$11,0))</f>
        <v>-295.779227945</v>
      </c>
      <c r="D21" s="836">
        <f>INDEX($AH$12:$BI$36,MATCH('2023_quater'!B21,$AG$12:$AG$36,0),MATCH('2023_quater'!$D$11,$AH$11:$BI$11,0))</f>
        <v>-206.279128125</v>
      </c>
      <c r="E21" s="463">
        <f t="shared" si="2"/>
        <v>0.43387860242343645</v>
      </c>
      <c r="F21" s="836">
        <f>INDEX($AH$12:$BI$36,MATCH('2023_quater'!B21,$AG$12:$AG$36,0),MATCH('2023_quater'!$F$11,$AH$11:$BI$11,0))</f>
        <v>-396.87509483899998</v>
      </c>
      <c r="G21" s="836">
        <f>INDEX($AH$12:$BI$36,MATCH('2023_quater'!B21,$AG$12:$AG$36,0),MATCH('2023_quater'!$G$11,$AH$11:$BI$11,0))</f>
        <v>-360.15734653999999</v>
      </c>
      <c r="H21" s="463">
        <f t="shared" si="3"/>
        <v>0.10194918596481273</v>
      </c>
      <c r="I21" s="836">
        <f t="shared" si="4"/>
        <v>-692.65432278399999</v>
      </c>
      <c r="J21" s="836">
        <f t="shared" si="4"/>
        <v>-566.43647466499999</v>
      </c>
      <c r="K21" s="463">
        <f t="shared" si="5"/>
        <v>0.2228278964444288</v>
      </c>
      <c r="L21" s="846">
        <f>I21*2</f>
        <v>-1385.308645568</v>
      </c>
      <c r="M21" s="846"/>
      <c r="N21" s="446">
        <f>INDEX($AH$12:$BI$36,MATCH('2023_quater'!B21,$AG$12:$AG$36,0),MATCH('2023_quater'!$N$11,$AH$11:$BI$11,0))</f>
        <v>-444.91105877000001</v>
      </c>
      <c r="O21" s="446">
        <f>INDEX($AH$12:$BI$36,MATCH('2023_quater'!B21,$AG$12:$AG$36,0),MATCH('2023_quater'!$O$11,$AH$11:$BI$11,0))</f>
        <v>-434.637</v>
      </c>
      <c r="P21" s="837">
        <f t="shared" si="6"/>
        <v>2.3638251621468154E-2</v>
      </c>
      <c r="Q21" s="836">
        <f t="shared" si="10"/>
        <v>-1137.5653815539999</v>
      </c>
      <c r="R21" s="836">
        <f t="shared" si="10"/>
        <v>-1001.073474665</v>
      </c>
      <c r="S21" s="837">
        <f t="shared" si="7"/>
        <v>0.13634554340247163</v>
      </c>
      <c r="T21" s="839">
        <f>FS!AB77-'2023_quater'!Q21</f>
        <v>1137.5653815539999</v>
      </c>
      <c r="U21" s="931">
        <f>INDEX($AH$12:$BI$36,MATCH('2023_quater'!B21,$AG$12:$AG$36,0),MATCH('2023_quater'!$U$11,$AH$11:$BI$11,0))</f>
        <v>-418.58072542799999</v>
      </c>
      <c r="V21" s="931">
        <f>INDEX($AH$12:$BI$36,MATCH('2023_quater'!B21,$AG$12:$AG$36,0),MATCH('2023_quater'!$V$11,$AH$11:$BI$11,0))</f>
        <v>-381.54682948499999</v>
      </c>
      <c r="W21" s="932">
        <f t="shared" si="8"/>
        <v>9.7062517838209184E-2</v>
      </c>
      <c r="X21" s="936">
        <f>Q21+U21</f>
        <v>-1556.146106982</v>
      </c>
      <c r="Y21" s="936">
        <f>V21+R21</f>
        <v>-1382.62030415</v>
      </c>
      <c r="Z21" s="933">
        <f t="shared" si="9"/>
        <v>0.12550503005861691</v>
      </c>
      <c r="AA21" s="445"/>
      <c r="AB21" s="838" t="b">
        <f>AB17</f>
        <v>1</v>
      </c>
      <c r="AF21" s="838"/>
      <c r="AG21" s="844" t="str">
        <f>'FS Quarter'!C11</f>
        <v>Chi phí bán hàng</v>
      </c>
      <c r="AH21" s="487">
        <v>-4245.1306373030002</v>
      </c>
      <c r="AI21" s="487">
        <v>-4545.6022950349998</v>
      </c>
      <c r="AJ21" s="487">
        <v>-4270.4320068930001</v>
      </c>
      <c r="AK21" s="487">
        <v>-4853.0083631139996</v>
      </c>
      <c r="AL21" s="487">
        <v>-5036.0305911470005</v>
      </c>
      <c r="AM21" s="487">
        <v>-4807.8756820620001</v>
      </c>
      <c r="AN21" s="446">
        <v>-5342.6062519999996</v>
      </c>
      <c r="AO21" s="446">
        <v>-6603.4864497110002</v>
      </c>
      <c r="AP21" s="446">
        <v>-4784.6859112129996</v>
      </c>
      <c r="AQ21" s="446">
        <v>-5211.1335005330002</v>
      </c>
      <c r="AR21" s="446">
        <v>-5314.3242730000002</v>
      </c>
      <c r="AS21" s="446">
        <v>-5607.0795677659999</v>
      </c>
    </row>
    <row r="22" spans="1:45" ht="18.5" customHeight="1">
      <c r="B22" s="845" t="s">
        <v>541</v>
      </c>
      <c r="C22" s="836">
        <f>INDEX($AH$12:$BI$36,MATCH('2023_quater'!B22,$AG$12:$AG$36,0),MATCH('2023_quater'!$C$11,$AH$11:$BI$11,0))</f>
        <v>-9.4607334989999998</v>
      </c>
      <c r="D22" s="836">
        <f>INDEX($AH$12:$BI$36,MATCH('2023_quater'!B22,$AG$12:$AG$36,0),MATCH('2023_quater'!$D$11,$AH$11:$BI$11,0))</f>
        <v>5.6224114519999997</v>
      </c>
      <c r="E22" s="463">
        <f t="shared" si="2"/>
        <v>-2.6826825250639805</v>
      </c>
      <c r="F22" s="836">
        <f>INDEX($AH$12:$BI$36,MATCH('2023_quater'!B22,$AG$12:$AG$36,0),MATCH('2023_quater'!$F$11,$AH$11:$BI$11,0))</f>
        <v>-59.58685002</v>
      </c>
      <c r="G22" s="836">
        <f>INDEX($AH$12:$BI$36,MATCH('2023_quater'!B22,$AG$12:$AG$36,0),MATCH('2023_quater'!$G$11,$AH$11:$BI$11,0))</f>
        <v>-263.66812472999999</v>
      </c>
      <c r="H22" s="463">
        <f t="shared" si="3"/>
        <v>-0.77400813966034843</v>
      </c>
      <c r="I22" s="836">
        <f t="shared" si="4"/>
        <v>-69.047583519</v>
      </c>
      <c r="J22" s="836">
        <f t="shared" si="4"/>
        <v>-258.04571327799999</v>
      </c>
      <c r="K22" s="463">
        <f t="shared" si="5"/>
        <v>-0.73242111778616115</v>
      </c>
      <c r="L22" s="463"/>
      <c r="M22" s="463"/>
      <c r="N22" s="446">
        <f>INDEX($AH$12:$BI$36,MATCH('2023_quater'!B22,$AG$12:$AG$36,0),MATCH('2023_quater'!$N$11,$AH$11:$BI$11,0))</f>
        <v>-14.818349994</v>
      </c>
      <c r="O22" s="446">
        <f>INDEX($AH$12:$BI$36,MATCH('2023_quater'!B22,$AG$12:$AG$36,0),MATCH('2023_quater'!$O$11,$AH$11:$BI$11,0))</f>
        <v>-229.46</v>
      </c>
      <c r="P22" s="837">
        <f t="shared" si="6"/>
        <v>-0.93542077053081152</v>
      </c>
      <c r="Q22" s="836">
        <f t="shared" si="10"/>
        <v>-83.865933513000002</v>
      </c>
      <c r="R22" s="836">
        <f t="shared" si="10"/>
        <v>-487.50571327800003</v>
      </c>
      <c r="S22" s="837">
        <f t="shared" si="7"/>
        <v>-0.82796933199185818</v>
      </c>
      <c r="U22" s="931">
        <f>INDEX($AH$12:$BI$36,MATCH('2023_quater'!B22,$AG$12:$AG$36,0),MATCH('2023_quater'!$U$11,$AH$11:$BI$11,0))</f>
        <v>-244.293593216</v>
      </c>
      <c r="V22" s="931">
        <f>INDEX($AH$12:$BI$36,MATCH('2023_quater'!B22,$AG$12:$AG$36,0),MATCH('2023_quater'!$V$11,$AH$11:$BI$11,0))</f>
        <v>-30.832189828000001</v>
      </c>
      <c r="W22" s="932">
        <f t="shared" si="8"/>
        <v>6.9233293054697915</v>
      </c>
      <c r="X22" s="936">
        <f>Q22+U22</f>
        <v>-328.15952672899999</v>
      </c>
      <c r="Y22" s="936">
        <f>V22+R22</f>
        <v>-518.337903106</v>
      </c>
      <c r="Z22" s="933">
        <f t="shared" si="9"/>
        <v>-0.36690038532279312</v>
      </c>
      <c r="AA22" s="445"/>
      <c r="AB22" s="838" t="s">
        <v>1265</v>
      </c>
      <c r="AC22" s="838" t="str">
        <f>"CP lãi vay " &amp;X11 &amp;" là: " &amp; TEXT(X21,"#,##0") &amp;" tỷ VND, tương ứng "&amp;TEXT(AB24,"0%")&amp;" DTT, "</f>
        <v xml:space="preserve">CP lãi vay 2023 là: -1,556 tỷ VND, tương ứng 356% DTT, </v>
      </c>
      <c r="AF22" s="838"/>
      <c r="AG22" s="844" t="str">
        <f>'FS Quarter'!C12</f>
        <v>Chi phí QLDN</v>
      </c>
      <c r="AH22" s="487">
        <v>-1088.3658713340001</v>
      </c>
      <c r="AI22" s="487">
        <v>-1100.251515639</v>
      </c>
      <c r="AJ22" s="487">
        <v>-975.18268038999997</v>
      </c>
      <c r="AK22" s="487">
        <v>-665.959677027</v>
      </c>
      <c r="AL22" s="487">
        <v>-1239.4423598339999</v>
      </c>
      <c r="AM22" s="487">
        <v>-500.33131484099999</v>
      </c>
      <c r="AN22" s="446">
        <v>-316.22000000000003</v>
      </c>
      <c r="AO22" s="446">
        <v>-292.04505554100001</v>
      </c>
      <c r="AP22" s="446">
        <v>-324.69229141800002</v>
      </c>
      <c r="AQ22" s="446">
        <v>-229.156805109</v>
      </c>
      <c r="AR22" s="446">
        <v>-341.53061516499997</v>
      </c>
      <c r="AS22" s="446">
        <v>-300.97591257300002</v>
      </c>
    </row>
    <row r="23" spans="1:45" ht="18.5" customHeight="1">
      <c r="B23" s="845" t="s">
        <v>8</v>
      </c>
      <c r="C23" s="836">
        <f>INDEX($AH$12:$BI$36,MATCH('2023_quater'!B23,$AG$12:$AG$36,0),MATCH('2023_quater'!$C$11,$AH$11:$BI$11,0))</f>
        <v>158.96658166099999</v>
      </c>
      <c r="D23" s="836">
        <f>INDEX($AH$12:$BI$36,MATCH('2023_quater'!B23,$AG$12:$AG$36,0),MATCH('2023_quater'!$D$11,$AH$11:$BI$11,0))</f>
        <v>2002.993629475</v>
      </c>
      <c r="E23" s="463">
        <f t="shared" si="2"/>
        <v>-0.92063550311806719</v>
      </c>
      <c r="F23" s="836">
        <f>INDEX($AH$12:$BI$36,MATCH('2023_quater'!B23,$AG$12:$AG$36,0),MATCH('2023_quater'!$F$11,$AH$11:$BI$11,0))</f>
        <v>129.784475802</v>
      </c>
      <c r="G23" s="836">
        <f>INDEX($AH$12:$BI$36,MATCH('2023_quater'!B23,$AG$12:$AG$36,0),MATCH('2023_quater'!$G$11,$AH$11:$BI$11,0))</f>
        <v>1702.1433241530001</v>
      </c>
      <c r="H23" s="463">
        <f t="shared" si="3"/>
        <v>-0.92375232216912062</v>
      </c>
      <c r="I23" s="836">
        <f t="shared" si="4"/>
        <v>288.751057463</v>
      </c>
      <c r="J23" s="836">
        <f t="shared" si="4"/>
        <v>3705.1369536279999</v>
      </c>
      <c r="K23" s="463">
        <f t="shared" si="5"/>
        <v>-0.92206737265669481</v>
      </c>
      <c r="L23" s="463"/>
      <c r="M23" s="463"/>
      <c r="N23" s="446">
        <f>INDEX($AH$12:$BI$36,MATCH('2023_quater'!B23,$AG$12:$AG$36,0),MATCH('2023_quater'!$N$11,$AH$11:$BI$11,0))</f>
        <v>182.016087121</v>
      </c>
      <c r="O23" s="446">
        <f>INDEX($AH$12:$BI$36,MATCH('2023_quater'!B23,$AG$12:$AG$36,0),MATCH('2023_quater'!$O$11,$AH$11:$BI$11,0))</f>
        <v>1417.8401449999999</v>
      </c>
      <c r="P23" s="837">
        <f t="shared" si="6"/>
        <v>-0.87162439449688456</v>
      </c>
      <c r="Q23" s="836">
        <f t="shared" si="10"/>
        <v>470.76714458399999</v>
      </c>
      <c r="R23" s="836">
        <f t="shared" si="10"/>
        <v>5122.977098628</v>
      </c>
      <c r="S23" s="859">
        <f t="shared" si="7"/>
        <v>-0.90810672475774334</v>
      </c>
      <c r="T23" s="853">
        <f>FS!M96-'2023_quater'!Q23</f>
        <v>5585.588228974002</v>
      </c>
      <c r="U23" s="931">
        <f>INDEX($AH$12:$BI$36,MATCH('2023_quater'!B23,$AG$12:$AG$36,0),MATCH('2023_quater'!$U$11,$AH$11:$BI$11,0))</f>
        <v>218.92522331200001</v>
      </c>
      <c r="V23" s="931">
        <f>INDEX($AH$12:$BI$36,MATCH('2023_quater'!B23,$AG$12:$AG$36,0),MATCH('2023_quater'!$V$11,$AH$11:$BI$11,0))</f>
        <v>933.378274121</v>
      </c>
      <c r="W23" s="932">
        <f t="shared" si="8"/>
        <v>-0.76544855458718408</v>
      </c>
      <c r="X23" s="936">
        <f>Q23+U23</f>
        <v>689.69236789599995</v>
      </c>
      <c r="Y23" s="936">
        <f>V23+R23</f>
        <v>6056.3553727489998</v>
      </c>
      <c r="Z23" s="933">
        <f t="shared" si="9"/>
        <v>-0.88612088864545169</v>
      </c>
      <c r="AA23" s="461"/>
      <c r="AB23" s="838" t="b">
        <v>1</v>
      </c>
      <c r="AC23" s="838" t="str">
        <f>IF(Z21&gt;0,"tăng ","giảm ") &amp;TEXT(Z21,"0%") &amp; " svck"</f>
        <v>tăng 13% svck</v>
      </c>
      <c r="AD23" s="854"/>
      <c r="AE23" s="854"/>
      <c r="AF23" s="854"/>
      <c r="AG23" s="844" t="str">
        <f>'FS Quarter'!C13</f>
        <v>Lãi/lỗ từ hoạt động kinh doanh</v>
      </c>
      <c r="AH23" s="487">
        <v>1823.9765912600001</v>
      </c>
      <c r="AI23" s="487">
        <v>1628.200473034</v>
      </c>
      <c r="AJ23" s="487">
        <v>965.78726416799998</v>
      </c>
      <c r="AK23" s="487">
        <v>2026.7375238310001</v>
      </c>
      <c r="AL23" s="487">
        <v>1997.371218023</v>
      </c>
      <c r="AM23" s="487">
        <v>1965.8114488829999</v>
      </c>
      <c r="AN23" s="446">
        <v>1647.300567</v>
      </c>
      <c r="AO23" s="446">
        <v>964.21046394899997</v>
      </c>
      <c r="AP23" s="446">
        <v>168.42731516000001</v>
      </c>
      <c r="AQ23" s="446">
        <v>189.37132582199999</v>
      </c>
      <c r="AR23" s="446">
        <v>196.83443711499999</v>
      </c>
      <c r="AS23" s="446">
        <v>463.21881652799999</v>
      </c>
    </row>
    <row r="24" spans="1:45" s="461" customFormat="1" ht="18.5" customHeight="1">
      <c r="A24" s="855"/>
      <c r="B24" s="843" t="s">
        <v>9</v>
      </c>
      <c r="C24" s="856">
        <f>INDEX($AH$12:$BI$36,MATCH('2023_quater'!B24,$AG$12:$AG$36,0),MATCH('2023_quater'!$C$11,$AH$11:$BI$11,0))</f>
        <v>21.281314441999999</v>
      </c>
      <c r="D24" s="856">
        <f>INDEX($AH$12:$BI$36,MATCH('2023_quater'!B24,$AG$12:$AG$36,0),MATCH('2023_quater'!$D$11,$AH$11:$BI$11,0))</f>
        <v>1445.2443731660001</v>
      </c>
      <c r="E24" s="857">
        <f t="shared" si="2"/>
        <v>-0.98527493700225899</v>
      </c>
      <c r="F24" s="856">
        <f>INDEX($AH$12:$BI$36,MATCH('2023_quater'!B24,$AG$12:$AG$36,0),MATCH('2023_quater'!$F$11,$AH$11:$BI$11,0))</f>
        <v>17.413949382999999</v>
      </c>
      <c r="G24" s="856">
        <f>INDEX($AH$12:$BI$36,MATCH('2023_quater'!B24,$AG$12:$AG$36,0),MATCH('2023_quater'!$G$11,$AH$11:$BI$11,0))</f>
        <v>1130.668779267</v>
      </c>
      <c r="H24" s="858">
        <f t="shared" si="3"/>
        <v>-0.98459854052546736</v>
      </c>
      <c r="I24" s="856">
        <f t="shared" si="4"/>
        <v>38.695263824999998</v>
      </c>
      <c r="J24" s="856">
        <f t="shared" si="4"/>
        <v>2575.9131524330001</v>
      </c>
      <c r="K24" s="858">
        <f t="shared" si="5"/>
        <v>-0.98497804019966606</v>
      </c>
      <c r="L24" s="858"/>
      <c r="M24" s="858"/>
      <c r="N24" s="446">
        <f>INDEX($AH$12:$BI$36,MATCH('2023_quater'!B24,$AG$12:$AG$36,0),MATCH('2023_quater'!$N$11,$AH$11:$BI$11,0))</f>
        <v>38.815863118999999</v>
      </c>
      <c r="O24" s="446">
        <f>INDEX($AH$12:$BI$36,MATCH('2023_quater'!B24,$AG$12:$AG$36,0),MATCH('2023_quater'!$O$11,$AH$11:$BI$11,0))</f>
        <v>906.77916900000002</v>
      </c>
      <c r="P24" s="859">
        <f t="shared" si="6"/>
        <v>-0.95719369781971686</v>
      </c>
      <c r="Q24" s="836">
        <f t="shared" si="10"/>
        <v>77.511126943999997</v>
      </c>
      <c r="R24" s="836">
        <f t="shared" si="10"/>
        <v>3482.692321433</v>
      </c>
      <c r="S24" s="859">
        <f t="shared" si="7"/>
        <v>-0.97774390621101237</v>
      </c>
      <c r="T24" s="853">
        <f>FS!AB80-'2023_quater'!Q24</f>
        <v>4022.2519003610018</v>
      </c>
      <c r="U24" s="931">
        <f>INDEX($AH$12:$BI$36,MATCH('2023_quater'!B24,$AG$12:$AG$36,0),MATCH('2023_quater'!$U$11,$AH$11:$BI$11,0))</f>
        <v>90.318027994999994</v>
      </c>
      <c r="V24" s="931">
        <f>INDEX($AH$12:$BI$36,MATCH('2023_quater'!B24,$AG$12:$AG$36,0),MATCH('2023_quater'!$V$11,$AH$11:$BI$11,0))</f>
        <v>619.02210313299997</v>
      </c>
      <c r="W24" s="932">
        <f t="shared" si="8"/>
        <v>-0.85409563319648585</v>
      </c>
      <c r="X24" s="936">
        <f>Q24+U24</f>
        <v>167.82915493899998</v>
      </c>
      <c r="Y24" s="936">
        <f>V24+R24</f>
        <v>4101.7144245660002</v>
      </c>
      <c r="Z24" s="933">
        <f t="shared" si="9"/>
        <v>-0.95908316923922421</v>
      </c>
      <c r="AA24" s="445"/>
      <c r="AB24" s="838">
        <f>W21/W12</f>
        <v>3.5637479127540872</v>
      </c>
      <c r="AC24" s="838" t="str">
        <f>"- "&amp;CONCATENATE(AC22,AC23)</f>
        <v>- CP lãi vay 2023 là: -1,556 tỷ VND, tương ứng 356% DTT, tăng 13% svck</v>
      </c>
      <c r="AD24" s="852">
        <f>Q24/6350</f>
        <v>1.2206476684094488E-2</v>
      </c>
      <c r="AE24" s="852" t="e">
        <f>C24/FS!#REF!</f>
        <v>#REF!</v>
      </c>
      <c r="AF24" s="852"/>
      <c r="AG24" s="860" t="str">
        <f>'FS Quarter'!C14</f>
        <v>Thu nhập khác</v>
      </c>
      <c r="AH24" s="861">
        <v>19.012499941000002</v>
      </c>
      <c r="AI24" s="861">
        <v>3.9756933989999999</v>
      </c>
      <c r="AJ24" s="861">
        <v>20.139201987</v>
      </c>
      <c r="AK24" s="861">
        <v>32.650468169</v>
      </c>
      <c r="AL24" s="487">
        <v>16.405756756999999</v>
      </c>
      <c r="AM24" s="861">
        <v>19.248084909999999</v>
      </c>
      <c r="AN24" s="855">
        <v>16.988</v>
      </c>
      <c r="AO24" s="855">
        <v>8.9645649420000009</v>
      </c>
      <c r="AP24" s="855">
        <v>13.472209198</v>
      </c>
      <c r="AQ24" s="855">
        <v>5.4635650250000003</v>
      </c>
      <c r="AR24" s="855">
        <v>10.998898676</v>
      </c>
      <c r="AS24" s="855">
        <v>6.948746152</v>
      </c>
    </row>
    <row r="25" spans="1:45" s="920" customFormat="1" ht="18.5" customHeight="1">
      <c r="A25" s="913"/>
      <c r="B25" s="914" t="s">
        <v>548</v>
      </c>
      <c r="C25" s="915">
        <f>C24/C12</f>
        <v>7.8511997443112349E-4</v>
      </c>
      <c r="D25" s="915">
        <f>D24/D12</f>
        <v>3.9631918978513786E-2</v>
      </c>
      <c r="E25" s="916"/>
      <c r="F25" s="916">
        <f>F24/F12</f>
        <v>5.9100796171764384E-4</v>
      </c>
      <c r="G25" s="916">
        <f>G24/G12</f>
        <v>3.2927874117412943E-2</v>
      </c>
      <c r="H25" s="916"/>
      <c r="I25" s="916">
        <f>I24/I12</f>
        <v>6.8401669378289275E-4</v>
      </c>
      <c r="J25" s="916">
        <f>J24/J12</f>
        <v>3.6380684658891993E-2</v>
      </c>
      <c r="K25" s="916"/>
      <c r="L25" s="916"/>
      <c r="M25" s="916"/>
      <c r="N25" s="916">
        <f>N24/N12</f>
        <v>1.2815736374473801E-3</v>
      </c>
      <c r="O25" s="916">
        <f>O24/O12</f>
        <v>2.8326244570477957E-2</v>
      </c>
      <c r="P25" s="917">
        <f>N25-O25</f>
        <v>-2.7044670933030576E-2</v>
      </c>
      <c r="Q25" s="916">
        <f>Q24/Q12</f>
        <v>8.9238595694548313E-4</v>
      </c>
      <c r="R25" s="916">
        <f>R24/R12</f>
        <v>3.3872927312179175E-2</v>
      </c>
      <c r="S25" s="917">
        <f>Q25-R25</f>
        <v>-3.2980541355233692E-2</v>
      </c>
      <c r="T25" s="918"/>
      <c r="U25" s="940">
        <f>U24/U12</f>
        <v>2.8744032102089073E-3</v>
      </c>
      <c r="V25" s="940">
        <f>V24/V12</f>
        <v>2.023716456413167E-2</v>
      </c>
      <c r="W25" s="940"/>
      <c r="X25" s="940">
        <f>X24/X12</f>
        <v>1.4189165970839054E-3</v>
      </c>
      <c r="Y25" s="940">
        <f>Y24/Y12</f>
        <v>3.0746383301355699E-2</v>
      </c>
      <c r="Z25" s="941"/>
      <c r="AB25" s="919" t="s">
        <v>1267</v>
      </c>
      <c r="AC25" s="919" t="str">
        <f>"CPBH " &amp;X11&amp;" là: " &amp; TEXT(X15,"#,##0") &amp;" tỷ VND, tương ứng "&amp;TEXT(X15/X12,"0%")&amp;" DTT, "</f>
        <v xml:space="preserve">CPBH 2023 là: -20,917 tỷ VND, tương ứng -18% DTT, </v>
      </c>
      <c r="AD25" s="916"/>
      <c r="AE25" s="916"/>
      <c r="AF25" s="916"/>
      <c r="AG25" s="921" t="str">
        <f>'FS Quarter'!C15</f>
        <v>Chi phí khác</v>
      </c>
      <c r="AH25" s="922">
        <v>-15.420157059999999</v>
      </c>
      <c r="AI25" s="922">
        <v>-6.2056404650000001</v>
      </c>
      <c r="AJ25" s="922">
        <v>-17.795305402</v>
      </c>
      <c r="AK25" s="922">
        <v>-9.4748623189999996</v>
      </c>
      <c r="AL25" s="922">
        <v>-10.783345304999999</v>
      </c>
      <c r="AM25" s="922">
        <v>-282.91620963999998</v>
      </c>
      <c r="AN25" s="913">
        <v>-246.488</v>
      </c>
      <c r="AO25" s="913">
        <v>-39.79675477</v>
      </c>
      <c r="AP25" s="913">
        <v>-22.932942697000001</v>
      </c>
      <c r="AQ25" s="913">
        <v>-65.050415044999994</v>
      </c>
      <c r="AR25" s="913">
        <v>-25.817248670000001</v>
      </c>
      <c r="AS25" s="913">
        <v>-251.24233936799999</v>
      </c>
    </row>
    <row r="26" spans="1:45" s="872" customFormat="1">
      <c r="A26" s="862"/>
      <c r="B26" s="824" t="s">
        <v>2287</v>
      </c>
      <c r="C26" s="863" t="e">
        <f ca="1">C4*29%+C6*10%+C8*1%+C10*3%</f>
        <v>#REF!</v>
      </c>
      <c r="D26" s="863" t="e">
        <f ca="1">D4*30%+D6*10%+D8*1%+D10*3%</f>
        <v>#REF!</v>
      </c>
      <c r="E26" s="864"/>
      <c r="F26" s="865"/>
      <c r="G26" s="865"/>
      <c r="H26" s="864"/>
      <c r="I26" s="865"/>
      <c r="J26" s="865"/>
      <c r="K26" s="864"/>
      <c r="L26" s="864"/>
      <c r="M26" s="864"/>
      <c r="N26" s="862"/>
      <c r="O26" s="862"/>
      <c r="P26" s="864"/>
      <c r="Q26" s="866"/>
      <c r="R26" s="866"/>
      <c r="S26" s="864"/>
      <c r="T26" s="868"/>
      <c r="U26" s="942"/>
      <c r="V26" s="942"/>
      <c r="W26" s="943"/>
      <c r="X26" s="944"/>
      <c r="Y26" s="944"/>
      <c r="Z26" s="945"/>
      <c r="AA26" s="461"/>
      <c r="AB26" s="867" t="b">
        <f>AB21</f>
        <v>1</v>
      </c>
      <c r="AC26" s="867" t="str">
        <f>IF(Z15&gt;0,"tăng","giảm") &amp; " " &amp;TEXT(Z15,"0%") &amp; " svck"</f>
        <v>giảm -4% svck</v>
      </c>
      <c r="AD26" s="869"/>
      <c r="AE26" s="869"/>
      <c r="AF26" s="869"/>
      <c r="AG26" s="870" t="str">
        <f>'FS Quarter'!C16</f>
        <v>Thu nhập khác, ròng</v>
      </c>
      <c r="AH26" s="871">
        <v>3.592342881</v>
      </c>
      <c r="AI26" s="871">
        <v>-2.2299470659999998</v>
      </c>
      <c r="AJ26" s="871">
        <v>2.343896585</v>
      </c>
      <c r="AK26" s="871">
        <v>23.17560585</v>
      </c>
      <c r="AL26" s="871">
        <v>5.6224114519999997</v>
      </c>
      <c r="AM26" s="871">
        <v>-263.66812472999999</v>
      </c>
      <c r="AN26" s="862">
        <v>-229.46</v>
      </c>
      <c r="AO26" s="862">
        <v>-30.832189828000001</v>
      </c>
      <c r="AP26" s="862">
        <v>-9.4607334989999998</v>
      </c>
      <c r="AQ26" s="862">
        <v>-59.58685002</v>
      </c>
      <c r="AR26" s="862">
        <v>-14.818349994</v>
      </c>
      <c r="AS26" s="862">
        <v>-244.293593216</v>
      </c>
    </row>
    <row r="27" spans="1:45">
      <c r="B27" s="825" t="s">
        <v>356</v>
      </c>
      <c r="C27" s="446">
        <f>C24*10^7/'FS Quarter'!$BC$136</f>
        <v>44762.13293592511</v>
      </c>
      <c r="D27" s="446">
        <f>D24*10^7/'FS Quarter'!$BC$136</f>
        <v>3039860.1990899644</v>
      </c>
      <c r="E27" s="463">
        <f t="shared" si="2"/>
        <v>-0.98527493700225899</v>
      </c>
      <c r="F27" s="446">
        <f>F24*10^7/'FS Quarter'!$BC$136</f>
        <v>36627.696063874413</v>
      </c>
      <c r="G27" s="446">
        <f>G24*10^7/'FS Quarter'!$BC$136</f>
        <v>2378196.4380999594</v>
      </c>
      <c r="H27" s="463">
        <f t="shared" si="3"/>
        <v>-0.98459854052546736</v>
      </c>
      <c r="I27" s="836">
        <f>I24*10^7/'FS Quarter'!$BC$136</f>
        <v>81389.828999799531</v>
      </c>
      <c r="J27" s="836">
        <f>J24*10^7/'FS Quarter'!$BC$136</f>
        <v>5418056.6371899238</v>
      </c>
      <c r="K27" s="463">
        <f t="shared" si="5"/>
        <v>-0.98497804019966606</v>
      </c>
      <c r="L27" s="463"/>
      <c r="M27" s="463"/>
      <c r="N27" s="446" t="e">
        <f>INDEX($AH$12:$BI$36,MATCH('2023_quater'!B27,$AG$12:$AG$36,0),MATCH('2023_quater'!$N$11,$AH$11:$BI$11,0))</f>
        <v>#N/A</v>
      </c>
      <c r="O27" s="446" t="e">
        <f>INDEX($AH$12:$BI$36,MATCH('2023_quater'!B27,$AG$12:$AG$36,0),MATCH('2023_quater'!$O$11,$AH$11:$BI$11,0))</f>
        <v>#N/A</v>
      </c>
      <c r="P27" s="837" t="e">
        <f t="shared" si="6"/>
        <v>#N/A</v>
      </c>
      <c r="Q27" s="836" t="e">
        <f>I27+N27</f>
        <v>#N/A</v>
      </c>
      <c r="R27" s="836" t="e">
        <f>J27+O27</f>
        <v>#N/A</v>
      </c>
      <c r="S27" s="837" t="e">
        <f t="shared" si="7"/>
        <v>#N/A</v>
      </c>
      <c r="U27" s="931" t="e">
        <f>INDEX($AH$12:$BI$36,MATCH('2023_quater'!B27,$AG$12:$AG$36,0),MATCH('2023_quater'!$U$11,$AH$11:$BI$11,0))</f>
        <v>#N/A</v>
      </c>
      <c r="V27" s="931"/>
      <c r="X27" s="936" t="e">
        <f>Q27+U27</f>
        <v>#N/A</v>
      </c>
      <c r="Y27" s="936" t="e">
        <f>V27+R27</f>
        <v>#N/A</v>
      </c>
      <c r="AA27" s="445"/>
      <c r="AC27" s="838" t="str">
        <f>"- "&amp;CONCATENATE(AC25,AC26)</f>
        <v>- CPBH 2023 là: -20,917 tỷ VND, tương ứng -18% DTT, giảm -4% svck</v>
      </c>
      <c r="AF27" s="838"/>
      <c r="AG27" s="844" t="str">
        <f>'FS Quarter'!C17</f>
        <v>Lãi/lỗ từ công ty liên doanh</v>
      </c>
      <c r="AH27" s="487">
        <v>0</v>
      </c>
      <c r="AI27" s="487">
        <v>0</v>
      </c>
      <c r="AJ27" s="487">
        <v>0</v>
      </c>
      <c r="AK27" s="487">
        <v>0</v>
      </c>
      <c r="AL27" s="445">
        <v>0</v>
      </c>
      <c r="AM27" s="487">
        <v>0</v>
      </c>
      <c r="AN27" s="446">
        <v>0</v>
      </c>
      <c r="AO27" s="446">
        <v>0</v>
      </c>
      <c r="AP27" s="446">
        <v>0</v>
      </c>
      <c r="AQ27" s="446">
        <v>0</v>
      </c>
      <c r="AR27" s="446">
        <v>0</v>
      </c>
      <c r="AS27" s="446">
        <v>0</v>
      </c>
    </row>
    <row r="28" spans="1:45">
      <c r="B28" s="445" t="s">
        <v>211</v>
      </c>
      <c r="C28" s="874">
        <f>C15/$C$12</f>
        <v>-0.17651881844566503</v>
      </c>
      <c r="D28" s="874">
        <f>D15/$D$12</f>
        <v>-0.13809952148399079</v>
      </c>
      <c r="I28" s="836">
        <f>I24/2</f>
        <v>19.347631912499999</v>
      </c>
      <c r="Q28" s="836">
        <f>Q12+AK14</f>
        <v>122996.62966279601</v>
      </c>
      <c r="R28" s="851">
        <f>SUM(AH12:AK12)</f>
        <v>124141.525689948</v>
      </c>
      <c r="S28" s="837">
        <f t="shared" si="7"/>
        <v>-9.2225064964276404E-3</v>
      </c>
      <c r="V28" s="946">
        <f>V21+Q21</f>
        <v>-1519.1122110389999</v>
      </c>
      <c r="X28" s="936">
        <f>X12+AR14</f>
        <v>148567.44574239501</v>
      </c>
      <c r="Y28" s="947"/>
      <c r="AA28" s="445"/>
      <c r="AB28" s="838" t="s">
        <v>1269</v>
      </c>
      <c r="AC28" s="838" t="str">
        <f>"Chi phí QLDN " &amp;X11 &amp;" là: " &amp; TEXT(X16,"#,##0") &amp;" tỷ VND, tương ứng "&amp;TEXT(X16/X12,"0%")&amp;" DTT, "</f>
        <v xml:space="preserve">Chi phí QLDN 2023 là: -1,196 tỷ VND, tương ứng -1% DTT, </v>
      </c>
      <c r="AF28" s="838"/>
      <c r="AG28" s="844" t="str">
        <f>'FS Quarter'!C18</f>
        <v>LNTT</v>
      </c>
      <c r="AH28" s="487">
        <v>1827.568934141</v>
      </c>
      <c r="AI28" s="487">
        <v>1625.9705259679999</v>
      </c>
      <c r="AJ28" s="487">
        <v>968.13116075300002</v>
      </c>
      <c r="AK28" s="487">
        <v>2049.9131296810001</v>
      </c>
      <c r="AL28" s="487">
        <v>2002.993629475</v>
      </c>
      <c r="AM28" s="487">
        <v>1702.1433241530001</v>
      </c>
      <c r="AN28" s="446">
        <v>1417.8401449999999</v>
      </c>
      <c r="AO28" s="446">
        <v>933.378274121</v>
      </c>
      <c r="AP28" s="446">
        <v>158.96658166099999</v>
      </c>
      <c r="AQ28" s="446">
        <v>129.784475802</v>
      </c>
      <c r="AR28" s="446">
        <v>182.016087121</v>
      </c>
      <c r="AS28" s="446">
        <v>218.92522331200001</v>
      </c>
    </row>
    <row r="29" spans="1:45">
      <c r="B29" s="445" t="s">
        <v>2047</v>
      </c>
      <c r="C29" s="874">
        <f>C16/$C$12</f>
        <v>-1.1978696345606258E-2</v>
      </c>
      <c r="D29" s="874">
        <f>D16/$D$12</f>
        <v>-3.3988355253632217E-2</v>
      </c>
      <c r="I29" s="446" t="e">
        <f>SUM(#REF!)</f>
        <v>#REF!</v>
      </c>
      <c r="M29" s="463"/>
      <c r="R29" s="445">
        <f>Q28/R28-1</f>
        <v>-9.2225064964276404E-3</v>
      </c>
      <c r="U29" s="946">
        <f>FS!L67/10^3-'2023_quater'!Q12</f>
        <v>-86735.341647189824</v>
      </c>
      <c r="V29" s="946">
        <f>U29/V12-1</f>
        <v>-3.8355649556882363</v>
      </c>
      <c r="AA29" s="461"/>
      <c r="AB29" s="838" t="b">
        <v>1</v>
      </c>
      <c r="AC29" s="838" t="str">
        <f>IF(Z16&gt;0,"tăng ","giảm ") &amp;TEXT(Z16,"0%") &amp; " svck"</f>
        <v>giảm -49% svck</v>
      </c>
      <c r="AF29" s="838"/>
      <c r="AG29" s="844" t="str">
        <f>'FS Quarter'!C19</f>
        <v>Thuế thu nhập doanh nghiệp – hiện thời</v>
      </c>
      <c r="AH29" s="487">
        <v>-469.24963198099999</v>
      </c>
      <c r="AI29" s="487">
        <v>-418.68324550400001</v>
      </c>
      <c r="AJ29" s="487">
        <v>-228.91926626399999</v>
      </c>
      <c r="AK29" s="487">
        <v>-520.012449565</v>
      </c>
      <c r="AL29" s="487">
        <v>-553.60448381399999</v>
      </c>
      <c r="AM29" s="487">
        <v>-546.71632095999996</v>
      </c>
      <c r="AN29" s="446">
        <v>-496.12167570000003</v>
      </c>
      <c r="AO29" s="446">
        <v>-196.55632958999999</v>
      </c>
      <c r="AP29" s="446">
        <v>-140.45582847200001</v>
      </c>
      <c r="AQ29" s="446">
        <v>-99.502489883999999</v>
      </c>
      <c r="AR29" s="446">
        <v>-127.01663827100001</v>
      </c>
      <c r="AS29" s="446">
        <v>-66.282219888</v>
      </c>
    </row>
    <row r="30" spans="1:45">
      <c r="B30" s="445" t="s">
        <v>1270</v>
      </c>
      <c r="C30" s="874"/>
      <c r="G30" s="836">
        <f>I18+300</f>
        <v>405.99935116300003</v>
      </c>
      <c r="I30" s="445">
        <f>I15/$I$12</f>
        <v>-0.17669623281534402</v>
      </c>
      <c r="J30" s="445">
        <f>J15/$J$12</f>
        <v>-0.13902955136474476</v>
      </c>
      <c r="L30" s="836">
        <f ca="1">FS!AB67-'2023_quater'!I12</f>
        <v>76834.138993659988</v>
      </c>
      <c r="M30" s="836" t="e">
        <f>FS!#REF!-'2023_quater'!J12</f>
        <v>#REF!</v>
      </c>
      <c r="N30" s="836"/>
      <c r="O30" s="836"/>
      <c r="Q30" s="445">
        <f>Q15/$Q$12</f>
        <v>-0.17626575385693705</v>
      </c>
      <c r="R30" s="445">
        <f>R15/R12</f>
        <v>-0.1477051623900677</v>
      </c>
      <c r="W30" s="932">
        <f>U24/N24-1</f>
        <v>1.3268329166894186</v>
      </c>
      <c r="AA30" s="844"/>
      <c r="AC30" s="838" t="str">
        <f>"- "&amp;CONCATENATE(AC28,AC29)</f>
        <v>- Chi phí QLDN 2023 là: -1,196 tỷ VND, tương ứng -1% DTT, giảm -49% svck</v>
      </c>
      <c r="AF30" s="838"/>
      <c r="AG30" s="844" t="str">
        <f>'FS Quarter'!C20</f>
        <v>Thuế thu nhập doanh nghiệp – hoãn lại</v>
      </c>
      <c r="AH30" s="487">
        <v>-19.686318805999999</v>
      </c>
      <c r="AI30" s="487">
        <v>6.3911219539999999</v>
      </c>
      <c r="AJ30" s="487">
        <v>46.590264394000002</v>
      </c>
      <c r="AK30" s="487">
        <v>33.412449119000001</v>
      </c>
      <c r="AL30" s="487">
        <v>-4.1447724949999998</v>
      </c>
      <c r="AM30" s="487">
        <v>-24.758223925999999</v>
      </c>
      <c r="AN30" s="446">
        <v>-14.939</v>
      </c>
      <c r="AO30" s="446">
        <v>-117.799841398</v>
      </c>
      <c r="AP30" s="446">
        <v>2.7705612529999999</v>
      </c>
      <c r="AQ30" s="446">
        <v>-12.868036535</v>
      </c>
      <c r="AR30" s="446">
        <v>-16.183585731000001</v>
      </c>
      <c r="AS30" s="446">
        <v>-62.324975428999998</v>
      </c>
    </row>
    <row r="31" spans="1:45">
      <c r="C31" s="874">
        <f>C15/C12</f>
        <v>-0.17651881844566503</v>
      </c>
      <c r="D31" s="874">
        <f>D15/D12</f>
        <v>-0.13809952148399079</v>
      </c>
      <c r="G31" s="874">
        <f>G30/I12</f>
        <v>7.1768559355600914E-3</v>
      </c>
      <c r="I31" s="445">
        <f>I16/$I$12</f>
        <v>-9.7903978526767618E-3</v>
      </c>
      <c r="J31" s="445">
        <f>J16/$J$12</f>
        <v>-2.4571541698294588E-2</v>
      </c>
      <c r="M31" s="445" t="e">
        <f ca="1">L30/M30-1</f>
        <v>#REF!</v>
      </c>
      <c r="Q31" s="445">
        <f>Q16/$Q$12</f>
        <v>-1.030851069195669E-2</v>
      </c>
      <c r="R31" s="445">
        <f>R16/R12</f>
        <v>-1.9996749028898166E-2</v>
      </c>
      <c r="S31" s="837">
        <f>SUM(Q15:Q16)/Q13</f>
        <v>-0.9921251356655888</v>
      </c>
      <c r="U31" s="946">
        <f>U15/U12</f>
        <v>-0.17844729194458939</v>
      </c>
      <c r="V31" s="946">
        <f>V15/V12</f>
        <v>-0.21588218143335472</v>
      </c>
      <c r="Y31" s="948">
        <f>U19-V19</f>
        <v>-2.4942598753155878E-2</v>
      </c>
      <c r="AA31" s="875"/>
      <c r="AE31" s="840">
        <f>C24+AK32+AI32*2</f>
        <v>4011.9512485129999</v>
      </c>
      <c r="AF31" s="838"/>
      <c r="AG31" s="844" t="str">
        <f>'FS Quarter'!C21</f>
        <v>Chi phí thuế thu nhập doanh nghiệp</v>
      </c>
      <c r="AH31" s="487">
        <v>-488.93595078700002</v>
      </c>
      <c r="AI31" s="487">
        <v>-412.29212354999999</v>
      </c>
      <c r="AJ31" s="487">
        <v>-182.32900187000001</v>
      </c>
      <c r="AK31" s="487">
        <v>-486.60000044600002</v>
      </c>
      <c r="AL31" s="873">
        <v>-557.74925630899997</v>
      </c>
      <c r="AM31" s="487">
        <v>-571.47454488599999</v>
      </c>
      <c r="AN31" s="446">
        <f>SUM(AN29:AN30)</f>
        <v>-511.06067570000005</v>
      </c>
      <c r="AO31" s="446">
        <v>-314.35617098799997</v>
      </c>
      <c r="AP31" s="446">
        <v>-137.685267219</v>
      </c>
      <c r="AQ31" s="446">
        <v>-112.370526419</v>
      </c>
      <c r="AR31" s="446">
        <v>-143.200224002</v>
      </c>
      <c r="AS31" s="446">
        <v>-128.60719531699999</v>
      </c>
    </row>
    <row r="32" spans="1:45">
      <c r="C32" s="874">
        <f>C16/C12</f>
        <v>-1.1978696345606258E-2</v>
      </c>
      <c r="D32" s="874">
        <f>D16/D12</f>
        <v>-3.3988355253632217E-2</v>
      </c>
      <c r="N32" s="445">
        <f>N16/N12</f>
        <v>-1.1276230839818732E-2</v>
      </c>
      <c r="Q32" s="445">
        <f>Q16/Q12</f>
        <v>-1.030851069195669E-2</v>
      </c>
      <c r="Y32" s="946">
        <f>90/120-1</f>
        <v>-0.25</v>
      </c>
      <c r="AA32" s="875"/>
      <c r="AC32" s="838" t="str">
        <f>IF(AB4=TRUE,AC6,"")</f>
        <v>- Doanh thu thuần và Lợi nhuận sau thuế Q4/2023 lần lượt đạt: 31,421 tỷ VND (+3% YoY) và 90 tỷ VND (-85% YoY)</v>
      </c>
      <c r="AF32" s="838"/>
      <c r="AG32" s="860" t="str">
        <f>'FS Quarter'!C22</f>
        <v>LNST</v>
      </c>
      <c r="AH32" s="487">
        <v>1338.6329833540001</v>
      </c>
      <c r="AI32" s="487">
        <v>1213.6784024179999</v>
      </c>
      <c r="AJ32" s="487">
        <v>785.80215888299995</v>
      </c>
      <c r="AK32" s="487">
        <v>1563.3131292349999</v>
      </c>
      <c r="AL32" s="487">
        <v>1445.2443731660001</v>
      </c>
      <c r="AM32" s="487">
        <v>1130.668779267</v>
      </c>
      <c r="AN32" s="446">
        <f>906.779169</f>
        <v>906.77916900000002</v>
      </c>
      <c r="AO32" s="484">
        <v>619.02210313299997</v>
      </c>
      <c r="AP32" s="446">
        <v>21.281314441999999</v>
      </c>
      <c r="AQ32" s="446">
        <v>17.413949382999999</v>
      </c>
      <c r="AR32" s="446">
        <v>38.815863118999999</v>
      </c>
      <c r="AS32" s="446">
        <v>90.318027994999994</v>
      </c>
    </row>
    <row r="33" spans="2:45">
      <c r="H33" s="445">
        <f>566.436/22345.204</f>
        <v>2.5349332232545291E-2</v>
      </c>
      <c r="Q33" s="445">
        <f t="shared" ref="Q33:V33" si="11">1-Q24/Q23</f>
        <v>0.83535145169807079</v>
      </c>
      <c r="R33" s="445">
        <f t="shared" si="11"/>
        <v>0.32018194608644446</v>
      </c>
      <c r="S33" s="463">
        <f t="shared" si="11"/>
        <v>-7.6683917820172809E-2</v>
      </c>
      <c r="T33" s="445">
        <f t="shared" si="11"/>
        <v>0.27988750056861322</v>
      </c>
      <c r="U33" s="946">
        <f t="shared" si="11"/>
        <v>0.58744804902501446</v>
      </c>
      <c r="V33" s="946">
        <f t="shared" si="11"/>
        <v>0.33679396628772185</v>
      </c>
      <c r="AA33" s="875"/>
      <c r="AC33" s="838" t="str">
        <f>IF(AB10=TRUE,AC12,"")</f>
        <v>-  Lũy kế cả năm 2023,  Doanh thu thuần và Lợi nhuận sau thuế lần lượt đạt: 118,280 tỷ VND (-11% YoY) và 168 tỷ VND (-96% YoY)</v>
      </c>
      <c r="AF33" s="838"/>
      <c r="AG33" s="844" t="str">
        <f>'FS Quarter'!C23</f>
        <v>Lợi ích của cổ đông thiểu số</v>
      </c>
      <c r="AH33" s="487">
        <v>0.66437552099999997</v>
      </c>
      <c r="AI33" s="487">
        <v>0.648717133</v>
      </c>
      <c r="AJ33" s="487">
        <v>0.41675757699999999</v>
      </c>
      <c r="AK33" s="487">
        <v>0.82754543899999999</v>
      </c>
      <c r="AL33" s="487">
        <v>0.77908976500000005</v>
      </c>
      <c r="AM33" s="487">
        <v>0.65778452300000001</v>
      </c>
      <c r="AN33" s="446">
        <v>0.53300000000000003</v>
      </c>
      <c r="AO33" s="446">
        <v>-1.8650336E-2</v>
      </c>
      <c r="AP33" s="446">
        <v>1.4370895999999999E-2</v>
      </c>
      <c r="AQ33" s="446">
        <v>8.2837210000000008E-3</v>
      </c>
      <c r="AR33" s="446">
        <v>7.6637213999999995E-2</v>
      </c>
      <c r="AS33" s="446">
        <v>6.0470403999999998E-2</v>
      </c>
    </row>
    <row r="34" spans="2:45">
      <c r="I34" s="462">
        <f>N24/227-1</f>
        <v>-0.8290050082863436</v>
      </c>
      <c r="K34" s="874">
        <f>1.04%-N24/N12</f>
        <v>9.1184263625526188E-3</v>
      </c>
      <c r="Q34" s="445">
        <f>Q15/Q12</f>
        <v>-0.17626575385693705</v>
      </c>
      <c r="T34" s="839">
        <f>SUM(AK19:AN19)</f>
        <v>-1188.4989217959999</v>
      </c>
      <c r="Y34" s="946">
        <f>10326/(1-3%)</f>
        <v>10645.360824742269</v>
      </c>
      <c r="AA34" s="876"/>
      <c r="AC34" s="838" t="str">
        <f>IF(AB14=TRUE,AC15,"")</f>
        <v>- Biên lợi nhuận gộp Q4/2023 đạt 20% giảm -0.06 điểm phần trăm svck</v>
      </c>
      <c r="AF34" s="838"/>
      <c r="AG34" s="844" t="str">
        <f>'FS Quarter'!C24</f>
        <v>Lợi nhuận của Cổ đông của Công ty mẹ</v>
      </c>
      <c r="AH34" s="487">
        <v>1337.9686078330001</v>
      </c>
      <c r="AI34" s="487">
        <v>1213.0296852849999</v>
      </c>
      <c r="AJ34" s="487">
        <v>785.38540130599995</v>
      </c>
      <c r="AK34" s="487">
        <v>1562.4855837959999</v>
      </c>
      <c r="AL34" s="487">
        <v>1444.4652834010001</v>
      </c>
      <c r="AM34" s="487">
        <v>1130.0109947440001</v>
      </c>
      <c r="AN34" s="446">
        <f>AN32-AN33</f>
        <v>906.24616900000001</v>
      </c>
      <c r="AO34" s="446">
        <v>619.04075346900004</v>
      </c>
      <c r="AP34" s="445">
        <v>21.266943546</v>
      </c>
      <c r="AQ34" s="446">
        <v>17.405665662000001</v>
      </c>
      <c r="AR34" s="446">
        <v>38.739225904999998</v>
      </c>
      <c r="AS34" s="446">
        <v>90.257557590999994</v>
      </c>
    </row>
    <row r="35" spans="2:45">
      <c r="B35" s="445" t="s">
        <v>1271</v>
      </c>
      <c r="C35" s="836">
        <v>460075487523</v>
      </c>
      <c r="D35" s="836">
        <v>376509558180</v>
      </c>
      <c r="E35" s="463">
        <f>C35/D35-1</f>
        <v>0.22194902500469627</v>
      </c>
      <c r="Q35" s="836" t="e">
        <f>Q12+#REF!</f>
        <v>#REF!</v>
      </c>
      <c r="R35" s="836" t="e">
        <f>R12+#REF!</f>
        <v>#REF!</v>
      </c>
      <c r="T35" s="839">
        <f>AVERAGE(SUM(U35:U36),V35)</f>
        <v>23736.177</v>
      </c>
      <c r="U35" s="946">
        <v>16857.38</v>
      </c>
      <c r="V35" s="946">
        <v>24647.473999999998</v>
      </c>
      <c r="X35" s="936"/>
      <c r="Y35" s="949">
        <f>120/Y34</f>
        <v>1.1272515979081929E-2</v>
      </c>
      <c r="Z35" s="933">
        <f>U25-Y35</f>
        <v>-8.3981127688730218E-3</v>
      </c>
      <c r="AA35" s="876"/>
      <c r="AC35" s="838" t="str">
        <f>IF(AB17=TRUE,AC18,"")</f>
        <v>-  Lũy kế cả năm 2023, biên lợi nhuận gộp đạt 19% giảm -0.04 điểm phẩn trăm svck</v>
      </c>
      <c r="AF35" s="838"/>
      <c r="AG35" s="844" t="str">
        <f>'FS Quarter'!C25</f>
        <v>Lãi cơ bản trên cổ phiếu</v>
      </c>
      <c r="AH35" s="487">
        <v>2.897E-6</v>
      </c>
      <c r="AI35" s="487">
        <v>2.5289999999999998E-6</v>
      </c>
      <c r="AJ35" s="487">
        <v>1.2979999999999999E-6</v>
      </c>
      <c r="AK35" s="487">
        <v>-5.1099999999999996E-7</v>
      </c>
      <c r="AL35" s="487">
        <v>2.0260000000000002E-6</v>
      </c>
      <c r="AM35" s="487">
        <v>-2.5600000000000002E-7</v>
      </c>
      <c r="AN35" s="446"/>
      <c r="AO35" s="446">
        <v>4.2199999999999999E-7</v>
      </c>
      <c r="AP35" s="445">
        <v>1.4999999999999999E-8</v>
      </c>
      <c r="AQ35" s="446">
        <v>11</v>
      </c>
      <c r="AR35" s="446">
        <v>26</v>
      </c>
      <c r="AS35" s="446">
        <v>62</v>
      </c>
    </row>
    <row r="36" spans="2:45">
      <c r="B36" s="445" t="s">
        <v>1272</v>
      </c>
      <c r="C36" s="836">
        <v>15472606313</v>
      </c>
      <c r="D36" s="836">
        <v>14881585158</v>
      </c>
      <c r="E36" s="463">
        <f t="shared" ref="E36:E41" si="12">C36/D36-1</f>
        <v>3.9714932833098127E-2</v>
      </c>
      <c r="N36" s="445" t="e">
        <f>#REF!+5%</f>
        <v>#REF!</v>
      </c>
      <c r="Q36" s="873" t="e">
        <f>Q13+17.8%*#REF!</f>
        <v>#REF!</v>
      </c>
      <c r="R36" s="873" t="e">
        <f>R13+21.8%*#REF!</f>
        <v>#REF!</v>
      </c>
      <c r="S36" s="837" t="s">
        <v>1273</v>
      </c>
      <c r="T36" s="877">
        <f>T34/T35</f>
        <v>-5.0071202358998243E-2</v>
      </c>
      <c r="U36" s="946">
        <v>5967.5</v>
      </c>
      <c r="X36" s="950"/>
      <c r="Y36" s="950"/>
      <c r="AA36" s="876"/>
      <c r="AC36" s="838" t="str">
        <f>IF(AB21=TRUE,"- " &amp; AC20,"")</f>
        <v>- DT tài chính 2023 là: 2,167 tỷ VND tăng 65% svck</v>
      </c>
      <c r="AF36" s="838"/>
      <c r="AG36" s="844" t="str">
        <f>'FS Quarter'!C26</f>
        <v>Lãi trên cổ phiếu pha loãng</v>
      </c>
      <c r="AH36" s="487">
        <v>2.897E-6</v>
      </c>
      <c r="AI36" s="487">
        <v>2.5289999999999998E-6</v>
      </c>
      <c r="AJ36" s="487">
        <v>1.2979999999999999E-6</v>
      </c>
      <c r="AK36" s="487">
        <v>-5.1099999999999996E-7</v>
      </c>
      <c r="AL36" s="487">
        <v>2.0260000000000002E-6</v>
      </c>
      <c r="AM36" s="487">
        <v>-2.5600000000000002E-7</v>
      </c>
      <c r="AN36" s="446"/>
      <c r="AO36" s="446">
        <v>4.2199999999999999E-7</v>
      </c>
      <c r="AP36" s="445">
        <v>1.4999999999999999E-8</v>
      </c>
      <c r="AQ36" s="446">
        <v>11</v>
      </c>
      <c r="AR36" s="446">
        <v>26</v>
      </c>
      <c r="AS36" s="446">
        <v>62</v>
      </c>
    </row>
    <row r="37" spans="2:45">
      <c r="B37" s="445" t="s">
        <v>1274</v>
      </c>
      <c r="C37" s="836">
        <v>25309805494</v>
      </c>
      <c r="D37" s="836">
        <v>18464757506</v>
      </c>
      <c r="E37" s="463">
        <f t="shared" si="12"/>
        <v>0.37070879407843549</v>
      </c>
      <c r="K37" s="445">
        <f>1%</f>
        <v>0.01</v>
      </c>
      <c r="P37" s="463"/>
      <c r="Q37" s="446">
        <f>0.9*FS!L101-'2023_quater'!Q24</f>
        <v>4335.7623299943989</v>
      </c>
      <c r="X37" s="951"/>
      <c r="Y37" s="951"/>
      <c r="AA37" s="876"/>
      <c r="AC37" s="838" t="str">
        <f>IF(AB23=TRUE,AC24,"")</f>
        <v>- CP lãi vay 2023 là: -1,556 tỷ VND, tương ứng 356% DTT, tăng 13% svck</v>
      </c>
      <c r="AF37" s="838"/>
      <c r="AG37" s="844">
        <f>'FS Quarter'!C27</f>
        <v>0</v>
      </c>
    </row>
    <row r="38" spans="2:45">
      <c r="B38" s="445" t="s">
        <v>1275</v>
      </c>
      <c r="C38" s="836">
        <v>12224074672</v>
      </c>
      <c r="D38" s="836">
        <v>11734022575</v>
      </c>
      <c r="E38" s="463">
        <f t="shared" si="12"/>
        <v>4.1763350451028192E-2</v>
      </c>
      <c r="AA38" s="875"/>
      <c r="AC38" s="838" t="str">
        <f>IF(AB26=TRUE,AC27,"")</f>
        <v>- CPBH 2023 là: -20,917 tỷ VND, tương ứng -18% DTT, giảm -4% svck</v>
      </c>
      <c r="AF38" s="838"/>
      <c r="AG38" s="844">
        <f>'FS Quarter'!C28</f>
        <v>0</v>
      </c>
      <c r="AH38" s="849">
        <v>-7.2969031720965692E-3</v>
      </c>
      <c r="AI38" s="849">
        <v>-1.2942799204298939E-2</v>
      </c>
      <c r="AJ38" s="849">
        <v>-1.4753114443547519E-2</v>
      </c>
      <c r="AK38" s="849"/>
      <c r="AL38" s="849"/>
      <c r="AM38" s="849"/>
      <c r="AN38" s="849"/>
      <c r="AO38" s="849"/>
    </row>
    <row r="39" spans="2:45">
      <c r="B39" s="445" t="s">
        <v>1276</v>
      </c>
      <c r="C39" s="836">
        <v>219298742426</v>
      </c>
      <c r="D39" s="836">
        <v>201630023257</v>
      </c>
      <c r="E39" s="463">
        <f t="shared" si="12"/>
        <v>8.7629405996145993E-2</v>
      </c>
      <c r="S39" s="837">
        <f ca="1">0.19*Rev_Year!AK20+0.15*Rev_Year!AL20+0.15*Rev_Year!AM20</f>
        <v>11983.110544442316</v>
      </c>
      <c r="AC39" s="838" t="str">
        <f>IF(AB29=TRUE,AC30,"")</f>
        <v>- Chi phí QLDN 2023 là: -1,196 tỷ VND, tương ứng -1% DTT, giảm -49% svck</v>
      </c>
      <c r="AF39" s="844">
        <f>'FS Quarter'!C29</f>
        <v>0</v>
      </c>
      <c r="AO39" s="836">
        <f>SUM(AO34:AR34)</f>
        <v>696.45258858200009</v>
      </c>
    </row>
    <row r="40" spans="2:45">
      <c r="B40" s="445" t="s">
        <v>1277</v>
      </c>
      <c r="C40" s="836">
        <v>85781616464</v>
      </c>
      <c r="D40" s="836">
        <v>32965744077</v>
      </c>
      <c r="E40" s="463">
        <f t="shared" si="12"/>
        <v>1.6021441003617243</v>
      </c>
      <c r="N40" s="463">
        <f>N12/29707-1</f>
        <v>1.9546143567273688E-2</v>
      </c>
      <c r="O40" s="445">
        <f>N12/F12-1</f>
        <v>2.7925728085518076E-2</v>
      </c>
      <c r="S40" s="837">
        <f ca="1">S39/(Q3+Q5)</f>
        <v>0.17441416711095792</v>
      </c>
      <c r="AF40" s="844">
        <f>'FS Quarter'!C30</f>
        <v>0</v>
      </c>
      <c r="AO40" s="462">
        <f>59223/AO39</f>
        <v>85.035221307138698</v>
      </c>
      <c r="AR40" s="446" t="e" vm="2">
        <v>#VALUE!</v>
      </c>
    </row>
    <row r="41" spans="2:45">
      <c r="B41" s="879"/>
      <c r="C41" s="836">
        <v>818162332892</v>
      </c>
      <c r="D41" s="836">
        <v>656185690753</v>
      </c>
      <c r="E41" s="463">
        <f t="shared" si="12"/>
        <v>0.24684573958497191</v>
      </c>
      <c r="O41" s="445">
        <f>N24/F24-1</f>
        <v>1.2290097590896392</v>
      </c>
    </row>
    <row r="42" spans="2:45">
      <c r="Q42" s="445">
        <f>(1001.073-566)/SUM(AVERAGE('FS Quarter'!BF113:BJ113),AVERAGE('FS Quarter'!BF126:BJ126))</f>
        <v>1.9944684691324117E-2</v>
      </c>
      <c r="R42" s="445">
        <f>((Q42+1)^4)-1</f>
        <v>8.219737490734369E-2</v>
      </c>
    </row>
    <row r="43" spans="2:45">
      <c r="B43" s="879"/>
      <c r="C43" s="849">
        <f>C35/10^9/$C$12</f>
        <v>1.6973315064015275E-2</v>
      </c>
      <c r="D43" s="849">
        <f>D35/10^9/$D$12</f>
        <v>1.0324756547391085E-2</v>
      </c>
      <c r="Q43" s="445">
        <f>2%*SUM('FS Quarter'!BJ113,'FS Quarter'!BJ126)</f>
        <v>456.49760326382</v>
      </c>
    </row>
    <row r="44" spans="2:45">
      <c r="C44" s="849">
        <f t="shared" ref="C44:C49" si="13">C36/10^9/$C$12</f>
        <v>5.7082246051826839E-4</v>
      </c>
      <c r="D44" s="849">
        <f t="shared" ref="D44:D49" si="14">D36/10^9/$D$12</f>
        <v>4.0808723299970727E-4</v>
      </c>
    </row>
    <row r="45" spans="2:45">
      <c r="B45" s="879"/>
      <c r="C45" s="849">
        <f t="shared" si="13"/>
        <v>9.3374090667486546E-4</v>
      </c>
      <c r="D45" s="849">
        <f t="shared" si="14"/>
        <v>5.0634604570893769E-4</v>
      </c>
    </row>
    <row r="46" spans="2:45">
      <c r="C46" s="849">
        <f t="shared" si="13"/>
        <v>4.509761471774406E-4</v>
      </c>
      <c r="D46" s="849">
        <f t="shared" si="14"/>
        <v>3.2177384020234289E-4</v>
      </c>
    </row>
    <row r="47" spans="2:45">
      <c r="B47" s="879"/>
      <c r="C47" s="849">
        <f t="shared" si="13"/>
        <v>8.090469388792966E-3</v>
      </c>
      <c r="D47" s="849">
        <f t="shared" si="14"/>
        <v>5.5291581781785181E-3</v>
      </c>
    </row>
    <row r="48" spans="2:45">
      <c r="C48" s="849">
        <f>C40/10^9/$C$12</f>
        <v>3.1646945825845674E-3</v>
      </c>
      <c r="D48" s="849">
        <f>D40/10^9/$D$12</f>
        <v>9.0399639160264095E-4</v>
      </c>
    </row>
    <row r="49" spans="3:4">
      <c r="C49" s="849">
        <f t="shared" si="13"/>
        <v>3.0184018549763384E-2</v>
      </c>
      <c r="D49" s="849">
        <f t="shared" si="14"/>
        <v>1.7994118236083233E-2</v>
      </c>
    </row>
  </sheetData>
  <phoneticPr fontId="64" type="noConversion"/>
  <pageMargins left="0.7" right="0.7" top="0.75" bottom="0.75" header="0.3" footer="0.3"/>
  <pageSetup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7A7C55-8C93-4050-B8DC-7716B79B8559}">
  <dimension ref="A1:AB148"/>
  <sheetViews>
    <sheetView topLeftCell="E1" zoomScale="56" zoomScaleNormal="56" workbookViewId="0">
      <selection activeCell="AE1" sqref="AE1"/>
    </sheetView>
  </sheetViews>
  <sheetFormatPr baseColWidth="10" defaultColWidth="8.83203125" defaultRowHeight="15"/>
  <cols>
    <col min="1" max="1" width="20.33203125" bestFit="1" customWidth="1"/>
    <col min="6" max="6" width="10.5" bestFit="1" customWidth="1"/>
    <col min="7" max="8" width="9.1640625" bestFit="1" customWidth="1"/>
    <col min="9" max="9" width="10.5" bestFit="1" customWidth="1"/>
    <col min="10" max="10" width="9.5" bestFit="1" customWidth="1"/>
    <col min="11" max="11" width="9.1640625" bestFit="1" customWidth="1"/>
    <col min="13" max="13" width="10.5" bestFit="1" customWidth="1"/>
    <col min="14" max="14" width="9.5" bestFit="1" customWidth="1"/>
    <col min="15" max="15" width="11.5" bestFit="1" customWidth="1"/>
    <col min="16" max="19" width="10.6640625" bestFit="1" customWidth="1"/>
    <col min="20" max="20" width="13" bestFit="1" customWidth="1"/>
    <col min="21" max="22" width="10.6640625" bestFit="1" customWidth="1"/>
    <col min="23" max="23" width="13" bestFit="1" customWidth="1"/>
    <col min="24" max="26" width="10.6640625" bestFit="1" customWidth="1"/>
  </cols>
  <sheetData>
    <row r="1" spans="1:28">
      <c r="A1" t="s">
        <v>2288</v>
      </c>
      <c r="F1" t="s">
        <v>2289</v>
      </c>
      <c r="G1" t="s">
        <v>2290</v>
      </c>
      <c r="H1" t="s">
        <v>2291</v>
      </c>
      <c r="I1" t="s">
        <v>2292</v>
      </c>
      <c r="J1" t="s">
        <v>2293</v>
      </c>
      <c r="K1" t="s">
        <v>2294</v>
      </c>
      <c r="R1" s="123">
        <v>2018</v>
      </c>
      <c r="S1">
        <v>2019</v>
      </c>
      <c r="T1">
        <v>2020</v>
      </c>
      <c r="U1">
        <v>2021</v>
      </c>
      <c r="V1">
        <v>2022</v>
      </c>
      <c r="W1">
        <v>2023</v>
      </c>
      <c r="X1">
        <v>2024</v>
      </c>
      <c r="Y1">
        <v>2025</v>
      </c>
      <c r="Z1">
        <v>2026</v>
      </c>
      <c r="AA1">
        <v>2027</v>
      </c>
      <c r="AB1">
        <v>2028</v>
      </c>
    </row>
    <row r="2" spans="1:28">
      <c r="A2" t="s">
        <v>2295</v>
      </c>
      <c r="E2">
        <v>2018</v>
      </c>
      <c r="F2" s="428">
        <v>8490</v>
      </c>
      <c r="G2" s="428">
        <v>7.1950000000000003</v>
      </c>
      <c r="H2" s="428">
        <v>106.4</v>
      </c>
      <c r="I2" s="428">
        <v>19810</v>
      </c>
      <c r="J2" s="428">
        <v>6005</v>
      </c>
      <c r="K2" s="428">
        <v>315.35000000000002</v>
      </c>
      <c r="M2" s="158">
        <v>34745</v>
      </c>
      <c r="N2" s="181">
        <f>M2/23</f>
        <v>1510.6521739130435</v>
      </c>
      <c r="O2" s="158">
        <f>7873*23</f>
        <v>181079</v>
      </c>
      <c r="P2" s="181">
        <f>M2/6946.79</f>
        <v>5.0015906627377538</v>
      </c>
      <c r="Q2" t="s">
        <v>2289</v>
      </c>
      <c r="R2">
        <v>1698</v>
      </c>
      <c r="S2">
        <v>1863</v>
      </c>
      <c r="T2">
        <v>2092</v>
      </c>
      <c r="U2">
        <v>2197</v>
      </c>
      <c r="V2">
        <v>2117</v>
      </c>
      <c r="W2" s="187">
        <v>2155</v>
      </c>
      <c r="X2">
        <v>2165</v>
      </c>
      <c r="Y2">
        <v>2255</v>
      </c>
      <c r="Z2">
        <v>2345</v>
      </c>
      <c r="AA2">
        <v>2435</v>
      </c>
      <c r="AB2">
        <v>2529</v>
      </c>
    </row>
    <row r="3" spans="1:28">
      <c r="A3" t="s">
        <v>2296</v>
      </c>
      <c r="E3">
        <v>2019</v>
      </c>
      <c r="F3" s="429">
        <v>9315</v>
      </c>
      <c r="G3" s="429">
        <v>8.8699999999999992</v>
      </c>
      <c r="H3" s="429">
        <v>140.69999999999999</v>
      </c>
      <c r="I3" s="429">
        <v>21565</v>
      </c>
      <c r="J3" s="429">
        <v>6305</v>
      </c>
      <c r="K3" s="429">
        <v>288.85000000000002</v>
      </c>
      <c r="M3" s="158">
        <v>37640</v>
      </c>
      <c r="Q3" t="s">
        <v>2290</v>
      </c>
      <c r="R3">
        <v>1.4390000000000001</v>
      </c>
      <c r="S3">
        <v>1.7739999999999998</v>
      </c>
      <c r="T3">
        <v>1.65</v>
      </c>
      <c r="U3">
        <v>1.9159999999999999</v>
      </c>
      <c r="V3">
        <v>2.6970000000000001</v>
      </c>
      <c r="W3">
        <v>3.2879999999999798</v>
      </c>
      <c r="X3">
        <v>3.8579999999999997</v>
      </c>
      <c r="Y3">
        <v>4.2619999999999996</v>
      </c>
      <c r="Z3">
        <v>4.6669999999999998</v>
      </c>
      <c r="AA3">
        <v>5.0709999999999802</v>
      </c>
      <c r="AB3">
        <v>5.4659999999999993</v>
      </c>
    </row>
    <row r="4" spans="1:28">
      <c r="A4" t="s">
        <v>736</v>
      </c>
      <c r="E4">
        <v>2020</v>
      </c>
      <c r="F4" s="428">
        <v>10460</v>
      </c>
      <c r="G4" s="428">
        <v>8.25</v>
      </c>
      <c r="H4" s="428">
        <v>197.54999999999899</v>
      </c>
      <c r="I4" s="428">
        <v>19905</v>
      </c>
      <c r="J4" s="428">
        <v>6195</v>
      </c>
      <c r="K4" s="428">
        <v>277</v>
      </c>
      <c r="M4" s="158">
        <v>37055</v>
      </c>
      <c r="Q4" t="s">
        <v>2291</v>
      </c>
      <c r="R4">
        <v>21.28</v>
      </c>
      <c r="S4">
        <v>28.139999999999997</v>
      </c>
      <c r="T4">
        <v>39.509999999999799</v>
      </c>
      <c r="U4">
        <v>54.929999999999993</v>
      </c>
      <c r="V4">
        <v>69.679999999999993</v>
      </c>
      <c r="W4">
        <v>74.760000000000005</v>
      </c>
      <c r="X4">
        <v>77.78</v>
      </c>
      <c r="Y4">
        <v>80.64</v>
      </c>
      <c r="Z4">
        <v>87.05</v>
      </c>
      <c r="AA4">
        <v>86.22999999999999</v>
      </c>
      <c r="AB4">
        <v>87.55</v>
      </c>
    </row>
    <row r="5" spans="1:28">
      <c r="A5" t="s">
        <v>2297</v>
      </c>
      <c r="E5">
        <v>2021</v>
      </c>
      <c r="F5" s="429">
        <v>10985</v>
      </c>
      <c r="G5" s="429">
        <v>9.58</v>
      </c>
      <c r="H5" s="429">
        <v>274.64999999999998</v>
      </c>
      <c r="I5" s="429">
        <v>22125</v>
      </c>
      <c r="J5" s="429">
        <v>6595</v>
      </c>
      <c r="K5" s="429">
        <v>281.3</v>
      </c>
      <c r="M5" s="158">
        <v>40275</v>
      </c>
      <c r="Q5" t="s">
        <v>2292</v>
      </c>
      <c r="R5">
        <v>3962</v>
      </c>
      <c r="S5">
        <v>4313</v>
      </c>
      <c r="T5">
        <v>3981</v>
      </c>
      <c r="U5">
        <v>4425</v>
      </c>
      <c r="V5">
        <v>4131</v>
      </c>
      <c r="W5">
        <v>4259</v>
      </c>
      <c r="X5">
        <v>4184</v>
      </c>
      <c r="Y5">
        <v>4241</v>
      </c>
      <c r="Z5">
        <v>4297</v>
      </c>
      <c r="AA5">
        <v>4353</v>
      </c>
      <c r="AB5">
        <v>4412</v>
      </c>
    </row>
    <row r="6" spans="1:28">
      <c r="A6">
        <v>2018</v>
      </c>
      <c r="E6">
        <v>2022</v>
      </c>
      <c r="F6" s="428">
        <v>10585</v>
      </c>
      <c r="G6" s="428">
        <v>13.484999999999999</v>
      </c>
      <c r="H6" s="428">
        <v>348.4</v>
      </c>
      <c r="I6" s="428">
        <v>20655</v>
      </c>
      <c r="J6" s="428">
        <v>6245</v>
      </c>
      <c r="K6" s="428">
        <v>293.14999999999998</v>
      </c>
      <c r="M6" s="158">
        <v>38155</v>
      </c>
      <c r="Q6" t="s">
        <v>2293</v>
      </c>
      <c r="R6">
        <v>1201</v>
      </c>
      <c r="S6">
        <v>1261</v>
      </c>
      <c r="T6">
        <v>1239</v>
      </c>
      <c r="U6">
        <v>1319</v>
      </c>
      <c r="V6">
        <v>1249</v>
      </c>
      <c r="W6">
        <v>1315</v>
      </c>
      <c r="X6">
        <v>1370</v>
      </c>
      <c r="Y6">
        <v>1417</v>
      </c>
      <c r="Z6">
        <v>1464</v>
      </c>
      <c r="AA6">
        <v>1511</v>
      </c>
      <c r="AB6">
        <v>1557</v>
      </c>
    </row>
    <row r="7" spans="1:28">
      <c r="A7" t="s">
        <v>2298</v>
      </c>
      <c r="E7">
        <v>2023</v>
      </c>
      <c r="F7" s="429">
        <v>10775</v>
      </c>
      <c r="G7" s="429">
        <v>16.439999999999898</v>
      </c>
      <c r="H7" s="429">
        <v>373.8</v>
      </c>
      <c r="I7" s="429">
        <v>21295</v>
      </c>
      <c r="J7" s="429">
        <v>6575</v>
      </c>
      <c r="K7" s="429">
        <v>311.7</v>
      </c>
      <c r="M7" s="158">
        <v>39365</v>
      </c>
      <c r="Q7" t="s">
        <v>2294</v>
      </c>
      <c r="R7">
        <v>63.070000000000007</v>
      </c>
      <c r="S7">
        <v>57.77</v>
      </c>
      <c r="T7">
        <v>55.4</v>
      </c>
      <c r="U7">
        <v>56.260000000000005</v>
      </c>
      <c r="V7">
        <v>58.629999999999995</v>
      </c>
      <c r="W7">
        <v>62.339999999999996</v>
      </c>
      <c r="X7">
        <v>66.599999999999994</v>
      </c>
      <c r="Y7">
        <v>71.289999999999992</v>
      </c>
      <c r="Z7">
        <v>76.22999999999999</v>
      </c>
      <c r="AA7">
        <v>81.319999999999794</v>
      </c>
      <c r="AB7">
        <v>86.44</v>
      </c>
    </row>
    <row r="8" spans="1:28">
      <c r="A8">
        <v>34745</v>
      </c>
      <c r="E8">
        <v>2024</v>
      </c>
      <c r="F8" s="428">
        <v>10825</v>
      </c>
      <c r="G8" s="428">
        <v>19.29</v>
      </c>
      <c r="H8" s="428">
        <v>388.9</v>
      </c>
      <c r="I8" s="428">
        <v>20920</v>
      </c>
      <c r="J8" s="428">
        <v>6850</v>
      </c>
      <c r="K8" s="428">
        <v>333</v>
      </c>
      <c r="M8" s="158">
        <v>39345</v>
      </c>
      <c r="Q8" t="s">
        <v>2013</v>
      </c>
      <c r="R8" s="158">
        <f t="shared" ref="R8:AB8" si="0">SUM(R2:R7)</f>
        <v>6946.7889999999998</v>
      </c>
      <c r="S8" s="158">
        <f t="shared" si="0"/>
        <v>7524.6840000000002</v>
      </c>
      <c r="T8" s="158">
        <f t="shared" si="0"/>
        <v>7408.5599999999995</v>
      </c>
      <c r="U8" s="158">
        <f t="shared" si="0"/>
        <v>8054.1059999999998</v>
      </c>
      <c r="V8" s="158">
        <f t="shared" si="0"/>
        <v>7628.0070000000005</v>
      </c>
      <c r="W8" s="158">
        <f t="shared" si="0"/>
        <v>7869.3880000000008</v>
      </c>
      <c r="X8" s="158">
        <f t="shared" si="0"/>
        <v>7867.2380000000012</v>
      </c>
      <c r="Y8" s="158">
        <f t="shared" si="0"/>
        <v>8069.192</v>
      </c>
      <c r="Z8" s="158">
        <f t="shared" si="0"/>
        <v>8273.9470000000001</v>
      </c>
      <c r="AA8" s="158">
        <f t="shared" si="0"/>
        <v>8471.6209999999992</v>
      </c>
      <c r="AB8" s="158">
        <f t="shared" si="0"/>
        <v>8677.4560000000001</v>
      </c>
    </row>
    <row r="9" spans="1:28">
      <c r="A9" t="s">
        <v>2299</v>
      </c>
      <c r="E9">
        <v>2025</v>
      </c>
      <c r="F9" s="429">
        <v>11275</v>
      </c>
      <c r="G9" s="429">
        <v>21.31</v>
      </c>
      <c r="H9" s="429">
        <v>403.2</v>
      </c>
      <c r="I9" s="429">
        <v>21205</v>
      </c>
      <c r="J9" s="429">
        <v>7085</v>
      </c>
      <c r="K9" s="429">
        <v>356.45</v>
      </c>
      <c r="M9" s="158">
        <v>40355</v>
      </c>
    </row>
    <row r="10" spans="1:28">
      <c r="A10">
        <v>2019</v>
      </c>
      <c r="E10">
        <v>2026</v>
      </c>
      <c r="F10" s="428">
        <v>11725</v>
      </c>
      <c r="G10" s="428">
        <v>23.335000000000001</v>
      </c>
      <c r="H10" s="428">
        <v>435.25</v>
      </c>
      <c r="I10" s="428">
        <v>21485</v>
      </c>
      <c r="J10" s="428">
        <v>7320</v>
      </c>
      <c r="K10" s="428">
        <v>381.15</v>
      </c>
      <c r="M10" s="158">
        <v>41380</v>
      </c>
    </row>
    <row r="11" spans="1:28">
      <c r="A11">
        <v>37640</v>
      </c>
      <c r="E11">
        <v>2027</v>
      </c>
      <c r="F11" s="429">
        <v>12175</v>
      </c>
      <c r="G11" s="429">
        <v>25.354999999999901</v>
      </c>
      <c r="H11" s="429">
        <v>431.15</v>
      </c>
      <c r="I11" s="429">
        <v>21765</v>
      </c>
      <c r="J11" s="429">
        <v>7555</v>
      </c>
      <c r="K11" s="429">
        <v>406.599999999999</v>
      </c>
      <c r="M11" s="158">
        <v>42370</v>
      </c>
    </row>
    <row r="12" spans="1:28">
      <c r="A12" t="s">
        <v>2300</v>
      </c>
      <c r="E12">
        <v>2028</v>
      </c>
      <c r="F12" s="428">
        <v>12645</v>
      </c>
      <c r="G12" s="428">
        <v>27.33</v>
      </c>
      <c r="H12" s="428">
        <v>437.75</v>
      </c>
      <c r="I12" s="428">
        <v>22060</v>
      </c>
      <c r="J12" s="428">
        <v>7785</v>
      </c>
      <c r="K12" s="428">
        <v>432.2</v>
      </c>
      <c r="M12" s="158">
        <v>43400</v>
      </c>
    </row>
    <row r="13" spans="1:28">
      <c r="A13">
        <v>2020</v>
      </c>
    </row>
    <row r="14" spans="1:28">
      <c r="A14">
        <v>37055</v>
      </c>
      <c r="P14" t="e">
        <f t="shared" ref="P14:Z14" si="1">P15/O15-1</f>
        <v>#DIV/0!</v>
      </c>
      <c r="Q14">
        <f t="shared" si="1"/>
        <v>5.3915528314576466E-2</v>
      </c>
      <c r="R14">
        <f t="shared" si="1"/>
        <v>-0.16420145757882931</v>
      </c>
      <c r="S14">
        <f t="shared" si="1"/>
        <v>0.37714276936598656</v>
      </c>
      <c r="T14">
        <f t="shared" si="1"/>
        <v>0.11482918417932964</v>
      </c>
      <c r="U14">
        <f t="shared" si="1"/>
        <v>-6.9765211234690372E-2</v>
      </c>
      <c r="V14">
        <f t="shared" si="1"/>
        <v>6.3086450800859284E-2</v>
      </c>
      <c r="W14">
        <f t="shared" si="1"/>
        <v>6.8841160053391359E-2</v>
      </c>
      <c r="X14">
        <f t="shared" si="1"/>
        <v>6.9728552096200103E-2</v>
      </c>
      <c r="Y14">
        <f t="shared" si="1"/>
        <v>7.0609251584455635E-2</v>
      </c>
      <c r="Z14">
        <f t="shared" si="1"/>
        <v>7.1482199020525217E-2</v>
      </c>
    </row>
    <row r="15" spans="1:28">
      <c r="A15" t="s">
        <v>2301</v>
      </c>
      <c r="P15" s="158">
        <v>15298.357</v>
      </c>
      <c r="Q15" s="158">
        <v>16123.175999999999</v>
      </c>
      <c r="R15" s="158">
        <v>13475.727000000001</v>
      </c>
      <c r="S15" s="158">
        <v>18558</v>
      </c>
      <c r="T15" s="158">
        <v>20689</v>
      </c>
      <c r="U15" s="158">
        <v>19245.627544765492</v>
      </c>
      <c r="V15" s="158">
        <v>20459.765880000003</v>
      </c>
      <c r="W15" s="158">
        <v>21868.2398976</v>
      </c>
      <c r="X15" s="158">
        <v>23393.080602552003</v>
      </c>
      <c r="Y15" s="158">
        <v>25044.848516153044</v>
      </c>
      <c r="Z15" s="158">
        <v>26835.109362223604</v>
      </c>
    </row>
    <row r="16" spans="1:28">
      <c r="A16">
        <v>2021</v>
      </c>
      <c r="O16" s="5"/>
      <c r="P16" s="156" t="s">
        <v>2302</v>
      </c>
      <c r="Q16" s="5" t="s">
        <v>2303</v>
      </c>
      <c r="R16" s="5" t="s">
        <v>2304</v>
      </c>
      <c r="S16" s="5" t="s">
        <v>2305</v>
      </c>
      <c r="T16" s="5" t="s">
        <v>226</v>
      </c>
      <c r="U16" s="5" t="s">
        <v>515</v>
      </c>
      <c r="V16" s="5" t="s">
        <v>516</v>
      </c>
      <c r="W16" s="5" t="s">
        <v>495</v>
      </c>
      <c r="X16" s="5" t="s">
        <v>2</v>
      </c>
      <c r="Y16" s="5" t="s">
        <v>2306</v>
      </c>
      <c r="Z16" s="5" t="s">
        <v>2307</v>
      </c>
    </row>
    <row r="17" spans="1:26">
      <c r="A17">
        <v>40275</v>
      </c>
      <c r="O17" t="s">
        <v>2289</v>
      </c>
      <c r="P17" s="158">
        <f t="shared" ref="P17:P22" si="2">R2*23</f>
        <v>39054</v>
      </c>
      <c r="Q17" s="158">
        <f t="shared" ref="Q17:Z17" si="3">S2*23</f>
        <v>42849</v>
      </c>
      <c r="R17" s="158">
        <f t="shared" si="3"/>
        <v>48116</v>
      </c>
      <c r="S17" s="158">
        <f t="shared" si="3"/>
        <v>50531</v>
      </c>
      <c r="T17" s="158">
        <f t="shared" si="3"/>
        <v>48691</v>
      </c>
      <c r="U17" s="158">
        <f t="shared" ref="U17:U22" si="4">W2*23</f>
        <v>49565</v>
      </c>
      <c r="V17" s="158">
        <f t="shared" si="3"/>
        <v>49795</v>
      </c>
      <c r="W17" s="158">
        <f t="shared" si="3"/>
        <v>51865</v>
      </c>
      <c r="X17" s="158">
        <f t="shared" si="3"/>
        <v>53935</v>
      </c>
      <c r="Y17" s="158">
        <f t="shared" si="3"/>
        <v>56005</v>
      </c>
      <c r="Z17" s="158">
        <f t="shared" si="3"/>
        <v>58167</v>
      </c>
    </row>
    <row r="18" spans="1:26">
      <c r="A18" t="s">
        <v>2308</v>
      </c>
      <c r="O18" t="s">
        <v>2290</v>
      </c>
      <c r="P18" s="158">
        <f t="shared" si="2"/>
        <v>33.097000000000001</v>
      </c>
      <c r="Q18" s="158">
        <f t="shared" ref="Q18:T22" si="5">S3*23</f>
        <v>40.801999999999992</v>
      </c>
      <c r="R18" s="158">
        <f t="shared" si="5"/>
        <v>37.949999999999996</v>
      </c>
      <c r="S18" s="158">
        <f t="shared" si="5"/>
        <v>44.067999999999998</v>
      </c>
      <c r="T18" s="158">
        <f t="shared" si="5"/>
        <v>62.030999999999999</v>
      </c>
      <c r="U18" s="158">
        <f t="shared" si="4"/>
        <v>75.62399999999954</v>
      </c>
      <c r="V18" s="158">
        <f t="shared" ref="V18:Z22" si="6">X3*23</f>
        <v>88.733999999999995</v>
      </c>
      <c r="W18" s="158">
        <f t="shared" si="6"/>
        <v>98.025999999999996</v>
      </c>
      <c r="X18" s="158">
        <f t="shared" si="6"/>
        <v>107.34099999999999</v>
      </c>
      <c r="Y18" s="158">
        <f t="shared" si="6"/>
        <v>116.63299999999954</v>
      </c>
      <c r="Z18" s="158">
        <f t="shared" si="6"/>
        <v>125.71799999999999</v>
      </c>
    </row>
    <row r="19" spans="1:26">
      <c r="A19">
        <v>2022</v>
      </c>
      <c r="O19" t="s">
        <v>2291</v>
      </c>
      <c r="P19" s="158">
        <f t="shared" si="2"/>
        <v>489.44000000000005</v>
      </c>
      <c r="Q19" s="158">
        <f t="shared" si="5"/>
        <v>647.21999999999991</v>
      </c>
      <c r="R19" s="158">
        <f t="shared" si="5"/>
        <v>908.72999999999536</v>
      </c>
      <c r="S19" s="158">
        <f t="shared" si="5"/>
        <v>1263.3899999999999</v>
      </c>
      <c r="T19" s="158">
        <f t="shared" si="5"/>
        <v>1602.6399999999999</v>
      </c>
      <c r="U19" s="158">
        <f t="shared" si="4"/>
        <v>1719.48</v>
      </c>
      <c r="V19" s="158">
        <f t="shared" si="6"/>
        <v>1788.94</v>
      </c>
      <c r="W19" s="158">
        <f t="shared" si="6"/>
        <v>1854.72</v>
      </c>
      <c r="X19" s="158">
        <f t="shared" si="6"/>
        <v>2002.1499999999999</v>
      </c>
      <c r="Y19" s="158">
        <f t="shared" si="6"/>
        <v>1983.2899999999997</v>
      </c>
      <c r="Z19" s="158">
        <f t="shared" si="6"/>
        <v>2013.6499999999999</v>
      </c>
    </row>
    <row r="20" spans="1:26">
      <c r="A20">
        <v>38155</v>
      </c>
      <c r="O20" t="s">
        <v>2292</v>
      </c>
      <c r="P20" s="158">
        <f t="shared" si="2"/>
        <v>91126</v>
      </c>
      <c r="Q20" s="158">
        <f t="shared" si="5"/>
        <v>99199</v>
      </c>
      <c r="R20" s="158">
        <f t="shared" si="5"/>
        <v>91563</v>
      </c>
      <c r="S20" s="158">
        <f t="shared" si="5"/>
        <v>101775</v>
      </c>
      <c r="T20" s="158">
        <f t="shared" si="5"/>
        <v>95013</v>
      </c>
      <c r="U20" s="158">
        <f t="shared" si="4"/>
        <v>97957</v>
      </c>
      <c r="V20" s="158">
        <f t="shared" si="6"/>
        <v>96232</v>
      </c>
      <c r="W20" s="158">
        <f t="shared" si="6"/>
        <v>97543</v>
      </c>
      <c r="X20" s="158">
        <f t="shared" si="6"/>
        <v>98831</v>
      </c>
      <c r="Y20" s="158">
        <f t="shared" si="6"/>
        <v>100119</v>
      </c>
      <c r="Z20" s="158">
        <f t="shared" si="6"/>
        <v>101476</v>
      </c>
    </row>
    <row r="21" spans="1:26">
      <c r="A21" t="s">
        <v>52</v>
      </c>
      <c r="O21" t="s">
        <v>2293</v>
      </c>
      <c r="P21" s="158">
        <f t="shared" si="2"/>
        <v>27623</v>
      </c>
      <c r="Q21" s="158">
        <f t="shared" si="5"/>
        <v>29003</v>
      </c>
      <c r="R21" s="158">
        <f t="shared" si="5"/>
        <v>28497</v>
      </c>
      <c r="S21" s="158">
        <f t="shared" si="5"/>
        <v>30337</v>
      </c>
      <c r="T21" s="158">
        <f t="shared" si="5"/>
        <v>28727</v>
      </c>
      <c r="U21" s="158">
        <f t="shared" si="4"/>
        <v>30245</v>
      </c>
      <c r="V21" s="158">
        <f t="shared" si="6"/>
        <v>31510</v>
      </c>
      <c r="W21" s="158">
        <f t="shared" si="6"/>
        <v>32591</v>
      </c>
      <c r="X21" s="158">
        <f t="shared" si="6"/>
        <v>33672</v>
      </c>
      <c r="Y21" s="158">
        <f t="shared" si="6"/>
        <v>34753</v>
      </c>
      <c r="Z21" s="158">
        <f t="shared" si="6"/>
        <v>35811</v>
      </c>
    </row>
    <row r="22" spans="1:26">
      <c r="A22">
        <v>2023</v>
      </c>
      <c r="O22" t="s">
        <v>2294</v>
      </c>
      <c r="P22" s="158">
        <f t="shared" si="2"/>
        <v>1450.6100000000001</v>
      </c>
      <c r="Q22" s="158">
        <f t="shared" si="5"/>
        <v>1328.71</v>
      </c>
      <c r="R22" s="158">
        <f t="shared" si="5"/>
        <v>1274.2</v>
      </c>
      <c r="S22" s="158">
        <f t="shared" si="5"/>
        <v>1293.98</v>
      </c>
      <c r="T22" s="158">
        <f t="shared" si="5"/>
        <v>1348.4899999999998</v>
      </c>
      <c r="U22" s="158">
        <f t="shared" si="4"/>
        <v>1433.82</v>
      </c>
      <c r="V22" s="158">
        <f t="shared" si="6"/>
        <v>1531.8</v>
      </c>
      <c r="W22" s="158">
        <f t="shared" si="6"/>
        <v>1639.6699999999998</v>
      </c>
      <c r="X22" s="158">
        <f t="shared" si="6"/>
        <v>1753.2899999999997</v>
      </c>
      <c r="Y22" s="158">
        <f t="shared" si="6"/>
        <v>1870.3599999999954</v>
      </c>
      <c r="Z22" s="158">
        <f t="shared" si="6"/>
        <v>1988.12</v>
      </c>
    </row>
    <row r="23" spans="1:26">
      <c r="A23">
        <v>39365</v>
      </c>
      <c r="O23" s="184" t="s">
        <v>2309</v>
      </c>
      <c r="P23" s="355"/>
      <c r="Q23" s="275">
        <f ca="1">Q24/P24-1</f>
        <v>8.3189314793745694E-2</v>
      </c>
      <c r="R23" s="275">
        <f t="shared" ref="R23:Z23" ca="1" si="7">R24/Q24-1</f>
        <v>-1.5432882112674129E-2</v>
      </c>
      <c r="S23" s="275">
        <f t="shared" si="7"/>
        <v>8.7135151770384445E-2</v>
      </c>
      <c r="T23" s="275">
        <f t="shared" si="7"/>
        <v>-5.2904568179261591E-2</v>
      </c>
      <c r="U23" s="275">
        <f t="shared" si="7"/>
        <v>3.1644045423660394E-2</v>
      </c>
      <c r="V23" s="275">
        <f t="shared" si="7"/>
        <v>-2.7321057241047608E-4</v>
      </c>
      <c r="W23" s="275">
        <f t="shared" si="7"/>
        <v>2.5670254287464056E-2</v>
      </c>
      <c r="X23" s="275">
        <f t="shared" si="7"/>
        <v>2.5374907425675497E-2</v>
      </c>
      <c r="Y23" s="275">
        <f t="shared" si="7"/>
        <v>2.3891136841944771E-2</v>
      </c>
      <c r="Z23" s="275">
        <f t="shared" si="7"/>
        <v>2.4297002899445141E-2</v>
      </c>
    </row>
    <row r="24" spans="1:26">
      <c r="A24" t="s">
        <v>53</v>
      </c>
      <c r="O24" t="s">
        <v>2013</v>
      </c>
      <c r="P24" s="158">
        <f>SUM(P17:P22)</f>
        <v>159776.147</v>
      </c>
      <c r="Q24" s="158">
        <f ca="1">SUM(Q17:Q23)</f>
        <v>173067.81518931477</v>
      </c>
      <c r="R24" s="158">
        <f t="shared" ref="R24:Z24" si="8">SUM(R17:R22)</f>
        <v>170396.88</v>
      </c>
      <c r="S24" s="158">
        <f t="shared" si="8"/>
        <v>185244.43799999999</v>
      </c>
      <c r="T24" s="158">
        <f t="shared" si="8"/>
        <v>175444.16099999999</v>
      </c>
      <c r="U24" s="158">
        <f t="shared" si="8"/>
        <v>180995.924</v>
      </c>
      <c r="V24" s="158">
        <f t="shared" si="8"/>
        <v>180946.47399999999</v>
      </c>
      <c r="W24" s="158">
        <f t="shared" si="8"/>
        <v>185591.416</v>
      </c>
      <c r="X24" s="158">
        <f t="shared" si="8"/>
        <v>190300.78100000002</v>
      </c>
      <c r="Y24" s="158">
        <f t="shared" si="8"/>
        <v>194847.283</v>
      </c>
      <c r="Z24" s="158">
        <f t="shared" si="8"/>
        <v>199581.48800000001</v>
      </c>
    </row>
    <row r="25" spans="1:26">
      <c r="A25">
        <v>2024</v>
      </c>
      <c r="O25" t="s">
        <v>2310</v>
      </c>
      <c r="P25" s="158">
        <f>Rev_Year!E82</f>
        <v>82190.475500000015</v>
      </c>
      <c r="Q25" s="158">
        <f>Rev_Year!F82</f>
        <v>91445.948359167087</v>
      </c>
      <c r="R25" s="158">
        <f>Rev_Year!G82</f>
        <v>87270.983999999997</v>
      </c>
      <c r="S25" s="158">
        <f>Rev_Year!H82</f>
        <v>94308.786000000007</v>
      </c>
      <c r="T25" s="158">
        <f ca="1">Rev_Year!I82</f>
        <v>103655.51172900001</v>
      </c>
      <c r="U25" s="158">
        <f ca="1">Rev_Year!J82</f>
        <v>83505.679999999993</v>
      </c>
      <c r="V25" s="158">
        <f ca="1">Rev_Year!K82</f>
        <v>90798.886168975005</v>
      </c>
      <c r="W25" s="158">
        <f ca="1">Rev_Year!L82</f>
        <v>107657.81840730226</v>
      </c>
      <c r="X25" s="158">
        <f ca="1">Rev_Year!M82</f>
        <v>120831.54694497708</v>
      </c>
      <c r="Y25" s="158">
        <f ca="1">Rev_Year!N82</f>
        <v>134299.45968768513</v>
      </c>
      <c r="Z25" s="158">
        <f ca="1">Rev_Year!O82</f>
        <v>149294.07312667032</v>
      </c>
    </row>
    <row r="26" spans="1:26">
      <c r="A26">
        <v>39345</v>
      </c>
      <c r="O26" t="s">
        <v>1289</v>
      </c>
      <c r="P26" s="38">
        <f>P25/P24</f>
        <v>0.51441017350355822</v>
      </c>
      <c r="Q26" s="38">
        <f t="shared" ref="Q26:Z26" ca="1" si="9">Q25/Q24</f>
        <v>0.52838217353779227</v>
      </c>
      <c r="R26" s="38">
        <f t="shared" si="9"/>
        <v>0.51216303960495047</v>
      </c>
      <c r="S26" s="38">
        <f t="shared" si="9"/>
        <v>0.50910454866126675</v>
      </c>
      <c r="T26" s="38">
        <f t="shared" ca="1" si="9"/>
        <v>0.59081767747745118</v>
      </c>
      <c r="U26" s="38">
        <f t="shared" ca="1" si="9"/>
        <v>0.46136773776187356</v>
      </c>
      <c r="V26" s="38">
        <f t="shared" ca="1" si="9"/>
        <v>0.50179969889313791</v>
      </c>
      <c r="W26" s="38">
        <f t="shared" ca="1" si="9"/>
        <v>0.58007972958890652</v>
      </c>
      <c r="X26" s="38">
        <f t="shared" ca="1" si="9"/>
        <v>0.63495034707701525</v>
      </c>
      <c r="Y26" s="38">
        <f t="shared" ca="1" si="9"/>
        <v>0.68925497764156729</v>
      </c>
      <c r="Z26" s="38">
        <f t="shared" ca="1" si="9"/>
        <v>0.74803567516577651</v>
      </c>
    </row>
    <row r="27" spans="1:26">
      <c r="A27" t="s">
        <v>54</v>
      </c>
      <c r="P27" s="123">
        <f t="shared" ref="P27:Z27" si="10">P15+P25</f>
        <v>97488.832500000019</v>
      </c>
      <c r="Q27" s="123">
        <f t="shared" si="10"/>
        <v>107569.12435916709</v>
      </c>
      <c r="R27" s="123">
        <f t="shared" si="10"/>
        <v>100746.711</v>
      </c>
      <c r="S27" s="123">
        <f>S15+S25</f>
        <v>112866.78600000001</v>
      </c>
      <c r="T27" s="123">
        <f t="shared" ca="1" si="10"/>
        <v>124344.51172900001</v>
      </c>
      <c r="U27" s="123">
        <f t="shared" ca="1" si="10"/>
        <v>102751.30754476548</v>
      </c>
      <c r="V27" s="123">
        <f t="shared" ca="1" si="10"/>
        <v>111258.65204897501</v>
      </c>
      <c r="W27" s="123">
        <f t="shared" ca="1" si="10"/>
        <v>129526.05830490225</v>
      </c>
      <c r="X27" s="123">
        <f t="shared" ca="1" si="10"/>
        <v>144224.62754752909</v>
      </c>
      <c r="Y27" s="123">
        <f t="shared" ca="1" si="10"/>
        <v>159344.30820383818</v>
      </c>
      <c r="Z27" s="123">
        <f t="shared" ca="1" si="10"/>
        <v>176129.18248889392</v>
      </c>
    </row>
    <row r="28" spans="1:26">
      <c r="A28">
        <v>2025</v>
      </c>
      <c r="Q28" s="183">
        <f>Q27/P27-1</f>
        <v>0.10339945202612899</v>
      </c>
      <c r="R28" s="183">
        <f t="shared" ref="R28:Z28" si="11">R27/Q27-1</f>
        <v>-6.3423527892515486E-2</v>
      </c>
      <c r="S28" s="183">
        <f t="shared" si="11"/>
        <v>0.12030243845876032</v>
      </c>
      <c r="T28" s="183">
        <f t="shared" ca="1" si="11"/>
        <v>0.10169267803018678</v>
      </c>
      <c r="U28" s="183">
        <f ca="1">U27/T27-1</f>
        <v>-0.17365627066271627</v>
      </c>
      <c r="V28" s="183">
        <f t="shared" ca="1" si="11"/>
        <v>8.2795486573279398E-2</v>
      </c>
      <c r="W28" s="183">
        <f t="shared" ca="1" si="11"/>
        <v>0.16418863539606887</v>
      </c>
      <c r="X28" s="183">
        <f t="shared" ca="1" si="11"/>
        <v>0.11347963054682508</v>
      </c>
      <c r="Y28" s="183">
        <f t="shared" ca="1" si="11"/>
        <v>0.10483424997111834</v>
      </c>
      <c r="Z28" s="183">
        <f t="shared" ca="1" si="11"/>
        <v>0.10533714366241442</v>
      </c>
    </row>
    <row r="29" spans="1:26">
      <c r="A29">
        <v>40355</v>
      </c>
      <c r="Q29" s="38">
        <f ca="1">Q24/P24-1</f>
        <v>8.3189314793745694E-2</v>
      </c>
      <c r="R29" s="38">
        <f t="shared" ref="R29:Z29" ca="1" si="12">R24/Q24-1</f>
        <v>-1.5432882112674129E-2</v>
      </c>
      <c r="S29" s="38">
        <f t="shared" si="12"/>
        <v>8.7135151770384445E-2</v>
      </c>
      <c r="T29" s="38">
        <f t="shared" si="12"/>
        <v>-5.2904568179261591E-2</v>
      </c>
      <c r="U29" s="38">
        <f t="shared" si="12"/>
        <v>3.1644045423660394E-2</v>
      </c>
      <c r="V29" s="38">
        <f t="shared" si="12"/>
        <v>-2.7321057241047608E-4</v>
      </c>
      <c r="W29" s="38">
        <f t="shared" si="12"/>
        <v>2.5670254287464056E-2</v>
      </c>
      <c r="X29" s="38">
        <f t="shared" si="12"/>
        <v>2.5374907425675497E-2</v>
      </c>
      <c r="Y29" s="38">
        <f t="shared" si="12"/>
        <v>2.3891136841944771E-2</v>
      </c>
      <c r="Z29" s="38">
        <f t="shared" si="12"/>
        <v>2.4297002899445141E-2</v>
      </c>
    </row>
    <row r="30" spans="1:26">
      <c r="A30" t="s">
        <v>1542</v>
      </c>
      <c r="Q30" s="38">
        <f>Q20/P20-1</f>
        <v>8.8591620393740467E-2</v>
      </c>
      <c r="R30" s="38">
        <f t="shared" ref="R30:Z30" si="13">R20/Q20-1</f>
        <v>-7.6976582425226092E-2</v>
      </c>
      <c r="S30" s="38">
        <f t="shared" si="13"/>
        <v>0.11152976639035428</v>
      </c>
      <c r="T30" s="38">
        <f t="shared" si="13"/>
        <v>-6.6440677966101647E-2</v>
      </c>
      <c r="U30" s="38">
        <f t="shared" si="13"/>
        <v>3.0985233599612583E-2</v>
      </c>
      <c r="V30" s="38">
        <f t="shared" si="13"/>
        <v>-1.7609767551068356E-2</v>
      </c>
      <c r="W30" s="38">
        <f t="shared" si="13"/>
        <v>1.3623326959847137E-2</v>
      </c>
      <c r="X30" s="38">
        <f t="shared" si="13"/>
        <v>1.3204432916764874E-2</v>
      </c>
      <c r="Y30" s="38">
        <f t="shared" si="13"/>
        <v>1.3032348149871975E-2</v>
      </c>
      <c r="Z30" s="38">
        <f t="shared" si="13"/>
        <v>1.3553870893636466E-2</v>
      </c>
    </row>
    <row r="31" spans="1:26">
      <c r="A31">
        <v>2026</v>
      </c>
      <c r="Q31" s="38">
        <f>Q21/P21-1</f>
        <v>4.995836802664444E-2</v>
      </c>
      <c r="R31" s="38">
        <f t="shared" ref="R31:Z31" si="14">R21/Q21-1</f>
        <v>-1.7446471054718526E-2</v>
      </c>
      <c r="S31" s="38">
        <f t="shared" si="14"/>
        <v>6.4568200161420508E-2</v>
      </c>
      <c r="T31" s="38">
        <f t="shared" si="14"/>
        <v>-5.3070507960576219E-2</v>
      </c>
      <c r="U31" s="38">
        <f t="shared" si="14"/>
        <v>5.2842273819055263E-2</v>
      </c>
      <c r="V31" s="38">
        <f t="shared" si="14"/>
        <v>4.1825095057034245E-2</v>
      </c>
      <c r="W31" s="38">
        <f t="shared" si="14"/>
        <v>3.4306569343065751E-2</v>
      </c>
      <c r="X31" s="38">
        <f t="shared" si="14"/>
        <v>3.3168666196189189E-2</v>
      </c>
      <c r="Y31" s="38">
        <f t="shared" si="14"/>
        <v>3.2103825136611919E-2</v>
      </c>
      <c r="Z31" s="38">
        <f t="shared" si="14"/>
        <v>3.0443414956982107E-2</v>
      </c>
    </row>
    <row r="32" spans="1:26">
      <c r="A32">
        <v>41380</v>
      </c>
      <c r="Q32" s="38">
        <f>Q17/P17-1</f>
        <v>9.7173144876325113E-2</v>
      </c>
      <c r="R32" s="38">
        <f t="shared" ref="R32:Z32" si="15">R17/Q17-1</f>
        <v>0.12292002147074621</v>
      </c>
      <c r="S32" s="38">
        <f t="shared" si="15"/>
        <v>5.0191204588910132E-2</v>
      </c>
      <c r="T32" s="38">
        <f t="shared" si="15"/>
        <v>-3.6413290851160629E-2</v>
      </c>
      <c r="U32" s="38">
        <f t="shared" si="15"/>
        <v>1.7949929145016474E-2</v>
      </c>
      <c r="V32" s="38">
        <f t="shared" si="15"/>
        <v>4.6403712296982924E-3</v>
      </c>
      <c r="W32" s="38">
        <f t="shared" si="15"/>
        <v>4.1570438799076292E-2</v>
      </c>
      <c r="X32" s="38">
        <f t="shared" si="15"/>
        <v>3.9911308203991025E-2</v>
      </c>
      <c r="Y32" s="38">
        <f t="shared" si="15"/>
        <v>3.8379530916844429E-2</v>
      </c>
      <c r="Z32" s="38">
        <f t="shared" si="15"/>
        <v>3.8603696098562734E-2</v>
      </c>
    </row>
    <row r="33" spans="1:26">
      <c r="A33" t="s">
        <v>2311</v>
      </c>
    </row>
    <row r="34" spans="1:26">
      <c r="A34">
        <v>2027</v>
      </c>
      <c r="P34" s="123" t="str">
        <f>P16</f>
        <v>2018A</v>
      </c>
      <c r="Q34" s="123" t="str">
        <f t="shared" ref="Q34:X34" si="16">Q16</f>
        <v>2019A</v>
      </c>
      <c r="R34" s="123" t="str">
        <f t="shared" si="16"/>
        <v>2020A</v>
      </c>
      <c r="S34" s="123" t="str">
        <f t="shared" si="16"/>
        <v>2021A</v>
      </c>
      <c r="T34" s="123" t="str">
        <f t="shared" si="16"/>
        <v>2022E</v>
      </c>
      <c r="U34" s="123" t="str">
        <f t="shared" si="16"/>
        <v>2023F</v>
      </c>
      <c r="V34" s="123" t="str">
        <f t="shared" si="16"/>
        <v>2024F</v>
      </c>
      <c r="W34" s="123" t="str">
        <f t="shared" si="16"/>
        <v>2025F</v>
      </c>
      <c r="X34" s="123" t="str">
        <f t="shared" si="16"/>
        <v>2026F</v>
      </c>
    </row>
    <row r="35" spans="1:26">
      <c r="A35">
        <v>42370</v>
      </c>
      <c r="O35" s="158" t="str">
        <f>O25</f>
        <v>TGDĐ+ DMX</v>
      </c>
      <c r="P35" s="158">
        <f t="shared" ref="P35:X35" si="17">P25</f>
        <v>82190.475500000015</v>
      </c>
      <c r="Q35" s="158">
        <f t="shared" si="17"/>
        <v>91445.948359167087</v>
      </c>
      <c r="R35" s="158">
        <f t="shared" si="17"/>
        <v>87270.983999999997</v>
      </c>
      <c r="S35" s="158">
        <f t="shared" si="17"/>
        <v>94308.786000000007</v>
      </c>
      <c r="T35" s="158">
        <f t="shared" ca="1" si="17"/>
        <v>103655.51172900001</v>
      </c>
      <c r="U35" s="158">
        <f t="shared" ca="1" si="17"/>
        <v>83505.679999999993</v>
      </c>
      <c r="V35" s="158">
        <f t="shared" ca="1" si="17"/>
        <v>90798.886168975005</v>
      </c>
      <c r="W35" s="158">
        <f t="shared" ca="1" si="17"/>
        <v>107657.81840730226</v>
      </c>
      <c r="X35" s="158">
        <f t="shared" ca="1" si="17"/>
        <v>120831.54694497708</v>
      </c>
    </row>
    <row r="36" spans="1:26">
      <c r="A36" t="s">
        <v>2312</v>
      </c>
      <c r="O36" t="s">
        <v>31</v>
      </c>
      <c r="Q36" s="38">
        <f>Q35/P35-1</f>
        <v>0.11261004152685627</v>
      </c>
      <c r="R36" s="38">
        <f t="shared" ref="R36:X36" si="18">R35/Q35-1</f>
        <v>-4.5654995481804406E-2</v>
      </c>
      <c r="S36" s="38">
        <f t="shared" si="18"/>
        <v>8.0643092095764812E-2</v>
      </c>
      <c r="T36" s="38">
        <f t="shared" ca="1" si="18"/>
        <v>9.9107687898771113E-2</v>
      </c>
      <c r="U36" s="38">
        <f t="shared" ca="1" si="18"/>
        <v>-0.19439228452877955</v>
      </c>
      <c r="V36" s="38">
        <f t="shared" ca="1" si="18"/>
        <v>8.7337845389379609E-2</v>
      </c>
      <c r="W36" s="124">
        <f t="shared" ca="1" si="18"/>
        <v>0.18567333752258919</v>
      </c>
      <c r="X36" s="38">
        <f t="shared" ca="1" si="18"/>
        <v>0.12236666813955499</v>
      </c>
    </row>
    <row r="37" spans="1:26">
      <c r="A37">
        <v>2028</v>
      </c>
      <c r="O37" t="s">
        <v>2313</v>
      </c>
      <c r="P37" s="124">
        <f t="shared" ref="P37:X37" si="19">P35/P39</f>
        <v>0.51441017350355822</v>
      </c>
      <c r="Q37" s="124">
        <f t="shared" ca="1" si="19"/>
        <v>0.52838217353779227</v>
      </c>
      <c r="R37" s="124">
        <f t="shared" si="19"/>
        <v>0.51216303960495047</v>
      </c>
      <c r="S37" s="124">
        <f t="shared" si="19"/>
        <v>0.50910454866126675</v>
      </c>
      <c r="T37" s="124">
        <f t="shared" ca="1" si="19"/>
        <v>0.52117314835752726</v>
      </c>
      <c r="U37" s="124">
        <f t="shared" ca="1" si="19"/>
        <v>0.48026905031259459</v>
      </c>
      <c r="V37" s="124">
        <f t="shared" ca="1" si="19"/>
        <v>0.49266987508052262</v>
      </c>
      <c r="W37" s="124">
        <f t="shared" ca="1" si="19"/>
        <v>0.56952566640373903</v>
      </c>
      <c r="X37" s="124">
        <f t="shared" ca="1" si="19"/>
        <v>0.62339795911951146</v>
      </c>
    </row>
    <row r="38" spans="1:26">
      <c r="A38">
        <v>43400</v>
      </c>
    </row>
    <row r="39" spans="1:26">
      <c r="A39" t="s">
        <v>2314</v>
      </c>
      <c r="L39" t="s">
        <v>2315</v>
      </c>
      <c r="O39" t="s">
        <v>2316</v>
      </c>
      <c r="P39" s="123">
        <f>P24</f>
        <v>159776.147</v>
      </c>
      <c r="Q39" s="123">
        <f ca="1">Q24</f>
        <v>173067.81518931477</v>
      </c>
      <c r="R39" s="123">
        <f>R24</f>
        <v>170396.88</v>
      </c>
      <c r="S39" s="123">
        <f>S24</f>
        <v>185244.43799999999</v>
      </c>
      <c r="T39" s="158">
        <f ca="1">S39*(1+(T28*$S$23/$S$28))</f>
        <v>198888.81853500986</v>
      </c>
      <c r="U39" s="158">
        <f ca="1">T39*(1+(U28*$S$23/$S$28))</f>
        <v>173872.70727865625</v>
      </c>
      <c r="V39" s="158">
        <f ca="1">U39*(1+(V28*$S$23/$S$28))</f>
        <v>184299.65127081235</v>
      </c>
      <c r="W39" s="158">
        <f ca="1">V39*(1+W23)</f>
        <v>189030.67018402505</v>
      </c>
      <c r="X39" s="158">
        <f ca="1">W39*(1+X23)</f>
        <v>193827.30594055809</v>
      </c>
      <c r="Y39" s="158">
        <f ca="1">X39*(1+Y23)</f>
        <v>198458.06063048946</v>
      </c>
      <c r="Z39" s="158">
        <f ca="1">Y39*(1+Z23)</f>
        <v>203279.99670504671</v>
      </c>
    </row>
    <row r="40" spans="1:26">
      <c r="A40" t="s">
        <v>2317</v>
      </c>
      <c r="L40" t="s">
        <v>1493</v>
      </c>
      <c r="M40">
        <v>267</v>
      </c>
      <c r="Q40" s="38">
        <f ca="1">Q39/P39-1</f>
        <v>8.3189314793745694E-2</v>
      </c>
      <c r="R40" s="38">
        <f t="shared" ref="R40:X40" ca="1" si="20">R39/Q39-1</f>
        <v>-1.5432882112674129E-2</v>
      </c>
      <c r="S40" s="38">
        <f t="shared" si="20"/>
        <v>8.7135151770384445E-2</v>
      </c>
      <c r="T40" s="38">
        <f t="shared" ca="1" si="20"/>
        <v>7.3656087504283763E-2</v>
      </c>
      <c r="U40" s="38">
        <f t="shared" ca="1" si="20"/>
        <v>-0.12577937483172341</v>
      </c>
      <c r="V40" s="38">
        <f t="shared" ca="1" si="20"/>
        <v>5.9968836715962537E-2</v>
      </c>
      <c r="W40" s="124">
        <f t="shared" ca="1" si="20"/>
        <v>2.5670254287464056E-2</v>
      </c>
      <c r="X40" s="38">
        <f t="shared" ca="1" si="20"/>
        <v>2.5374907425675497E-2</v>
      </c>
    </row>
    <row r="41" spans="1:26">
      <c r="A41" t="s">
        <v>2318</v>
      </c>
      <c r="Q41" s="123" t="str">
        <f t="shared" ref="Q41:W41" si="21">P34</f>
        <v>2018A</v>
      </c>
      <c r="R41" s="123" t="str">
        <f t="shared" si="21"/>
        <v>2019A</v>
      </c>
      <c r="S41" s="123" t="str">
        <f t="shared" si="21"/>
        <v>2020A</v>
      </c>
      <c r="T41" s="123" t="str">
        <f t="shared" si="21"/>
        <v>2021A</v>
      </c>
      <c r="U41" s="123" t="str">
        <f t="shared" si="21"/>
        <v>2022E</v>
      </c>
      <c r="V41" s="123" t="str">
        <f t="shared" si="21"/>
        <v>2023F</v>
      </c>
      <c r="W41" s="123" t="str">
        <f t="shared" si="21"/>
        <v>2024F</v>
      </c>
    </row>
    <row r="42" spans="1:26">
      <c r="A42" t="s">
        <v>2319</v>
      </c>
      <c r="P42" t="s">
        <v>513</v>
      </c>
      <c r="Q42">
        <f>Rev_Year!E234</f>
        <v>1032</v>
      </c>
      <c r="R42">
        <f>Rev_Year!F234</f>
        <v>996</v>
      </c>
      <c r="S42">
        <f>Rev_Year!G234</f>
        <v>913</v>
      </c>
      <c r="T42">
        <f>Rev_Year!H234</f>
        <v>970</v>
      </c>
      <c r="U42">
        <f>Rev_Year!I234</f>
        <v>1190</v>
      </c>
      <c r="V42">
        <f>Rev_Year!J234</f>
        <v>1101</v>
      </c>
      <c r="W42">
        <f>Rev_Year!K234</f>
        <v>1109</v>
      </c>
    </row>
    <row r="43" spans="1:26">
      <c r="A43" t="b">
        <v>0</v>
      </c>
      <c r="P43" t="s">
        <v>1254</v>
      </c>
      <c r="Q43">
        <f>Rev_Year!E235</f>
        <v>750</v>
      </c>
      <c r="R43">
        <f>Rev_Year!F235</f>
        <v>1018</v>
      </c>
      <c r="S43">
        <f>Rev_Year!G235</f>
        <v>1427</v>
      </c>
      <c r="T43">
        <f>Rev_Year!H235</f>
        <v>1992</v>
      </c>
      <c r="U43" s="158">
        <f>Rev_Year!I235</f>
        <v>2284</v>
      </c>
      <c r="V43">
        <f>Rev_Year!J235</f>
        <v>2148</v>
      </c>
      <c r="W43">
        <f>Rev_Year!K235</f>
        <v>1990</v>
      </c>
    </row>
    <row r="44" spans="1:26">
      <c r="Q44" s="38" t="e">
        <f t="shared" ref="Q44:W44" si="22">SUM(Q42:Q43)/SUM(P42:P43)-1</f>
        <v>#DIV/0!</v>
      </c>
      <c r="R44" s="38">
        <f t="shared" si="22"/>
        <v>0.1301907968574636</v>
      </c>
      <c r="S44" s="38">
        <f t="shared" si="22"/>
        <v>0.1618669314796426</v>
      </c>
      <c r="T44" s="38">
        <f t="shared" si="22"/>
        <v>0.26581196581196576</v>
      </c>
      <c r="U44" s="38">
        <f t="shared" si="22"/>
        <v>0.17285617825793387</v>
      </c>
      <c r="V44" s="38">
        <f t="shared" si="22"/>
        <v>-6.476683937823835E-2</v>
      </c>
      <c r="W44" s="38">
        <f t="shared" si="22"/>
        <v>-4.6168051708217916E-2</v>
      </c>
    </row>
    <row r="55" spans="1:1">
      <c r="A55" t="s">
        <v>2320</v>
      </c>
    </row>
    <row r="56" spans="1:1">
      <c r="A56">
        <v>0</v>
      </c>
    </row>
    <row r="57" spans="1:1">
      <c r="A57" t="b">
        <v>1</v>
      </c>
    </row>
    <row r="69" spans="1:1">
      <c r="A69" t="s">
        <v>2321</v>
      </c>
    </row>
    <row r="81" spans="1:1">
      <c r="A81" t="s">
        <v>2322</v>
      </c>
    </row>
    <row r="93" spans="1:1">
      <c r="A93" t="s">
        <v>2323</v>
      </c>
    </row>
    <row r="105" spans="1:1">
      <c r="A105" t="s">
        <v>2293</v>
      </c>
    </row>
    <row r="117" spans="1:1">
      <c r="A117" t="s">
        <v>2324</v>
      </c>
    </row>
    <row r="118" spans="1:1">
      <c r="A118" t="b">
        <v>1</v>
      </c>
    </row>
    <row r="119" spans="1:1">
      <c r="A119" t="s">
        <v>2325</v>
      </c>
    </row>
    <row r="120" spans="1:1">
      <c r="A120" t="s">
        <v>2326</v>
      </c>
    </row>
    <row r="121" spans="1:1">
      <c r="A121" t="s">
        <v>2327</v>
      </c>
    </row>
    <row r="122" spans="1:1">
      <c r="A122" t="s">
        <v>2328</v>
      </c>
    </row>
    <row r="123" spans="1:1">
      <c r="A123" t="s">
        <v>2329</v>
      </c>
    </row>
    <row r="124" spans="1:1">
      <c r="A124" t="s">
        <v>2330</v>
      </c>
    </row>
    <row r="125" spans="1:1">
      <c r="A125" t="s">
        <v>2331</v>
      </c>
    </row>
    <row r="126" spans="1:1">
      <c r="A126">
        <v>5</v>
      </c>
    </row>
    <row r="127" spans="1:1">
      <c r="A127" t="b">
        <v>0</v>
      </c>
    </row>
    <row r="128" spans="1:1">
      <c r="A128" t="s">
        <v>2332</v>
      </c>
    </row>
    <row r="129" spans="1:1">
      <c r="A129" t="s">
        <v>2333</v>
      </c>
    </row>
    <row r="130" spans="1:1">
      <c r="A130" t="s">
        <v>2334</v>
      </c>
    </row>
    <row r="131" spans="1:1">
      <c r="A131" t="s">
        <v>2335</v>
      </c>
    </row>
    <row r="132" spans="1:1">
      <c r="A132" t="s">
        <v>2336</v>
      </c>
    </row>
    <row r="133" spans="1:1">
      <c r="A133" t="s">
        <v>2337</v>
      </c>
    </row>
    <row r="134" spans="1:1">
      <c r="A134" t="s">
        <v>2338</v>
      </c>
    </row>
    <row r="135" spans="1:1">
      <c r="A135" t="s">
        <v>2339</v>
      </c>
    </row>
    <row r="136" spans="1:1">
      <c r="A136">
        <v>2</v>
      </c>
    </row>
    <row r="137" spans="1:1">
      <c r="A137" t="s">
        <v>2340</v>
      </c>
    </row>
    <row r="138" spans="1:1">
      <c r="A138" t="s">
        <v>2341</v>
      </c>
    </row>
    <row r="139" spans="1:1">
      <c r="A139" t="s">
        <v>2342</v>
      </c>
    </row>
    <row r="140" spans="1:1">
      <c r="A140" t="s">
        <v>2343</v>
      </c>
    </row>
    <row r="141" spans="1:1">
      <c r="A141" t="s">
        <v>2344</v>
      </c>
    </row>
    <row r="142" spans="1:1">
      <c r="A142" t="s">
        <v>2345</v>
      </c>
    </row>
    <row r="143" spans="1:1">
      <c r="A143" t="b">
        <v>0</v>
      </c>
    </row>
    <row r="144" spans="1:1">
      <c r="A144" t="s">
        <v>2346</v>
      </c>
    </row>
    <row r="145" spans="1:1">
      <c r="A145" t="b">
        <v>1</v>
      </c>
    </row>
    <row r="146" spans="1:1">
      <c r="A146" t="s">
        <v>2347</v>
      </c>
    </row>
    <row r="147" spans="1:1">
      <c r="A147" t="s">
        <v>2348</v>
      </c>
    </row>
    <row r="148" spans="1:1">
      <c r="A148" t="s">
        <v>2333</v>
      </c>
    </row>
  </sheetData>
  <pageMargins left="0.7" right="0.7" top="0.75" bottom="0.75" header="0.3" footer="0.3"/>
  <pageSetup orientation="portrait" r:id="rId1"/>
  <drawing r:id="rId2"/>
  <tableParts count="1">
    <tablePart r:id="rId3"/>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dimension ref="B2:O27"/>
  <sheetViews>
    <sheetView showGridLines="0" topLeftCell="A2" zoomScale="68" zoomScaleNormal="68" zoomScalePageLayoutView="85" workbookViewId="0">
      <selection activeCell="W42" sqref="W42"/>
    </sheetView>
  </sheetViews>
  <sheetFormatPr baseColWidth="10" defaultColWidth="8.83203125" defaultRowHeight="15"/>
  <cols>
    <col min="1" max="1" width="5.5" customWidth="1"/>
    <col min="5" max="5" width="11.5" bestFit="1" customWidth="1"/>
    <col min="6" max="6" width="10.6640625" bestFit="1" customWidth="1"/>
    <col min="12" max="12" width="10.33203125" bestFit="1" customWidth="1"/>
    <col min="261" max="261" width="11.5" bestFit="1" customWidth="1"/>
    <col min="268" max="268" width="10.33203125" bestFit="1" customWidth="1"/>
    <col min="517" max="517" width="11.5" bestFit="1" customWidth="1"/>
    <col min="524" max="524" width="10.33203125" bestFit="1" customWidth="1"/>
    <col min="773" max="773" width="11.5" bestFit="1" customWidth="1"/>
    <col min="780" max="780" width="10.33203125" bestFit="1" customWidth="1"/>
    <col min="1029" max="1029" width="11.5" bestFit="1" customWidth="1"/>
    <col min="1036" max="1036" width="10.33203125" bestFit="1" customWidth="1"/>
    <col min="1285" max="1285" width="11.5" bestFit="1" customWidth="1"/>
    <col min="1292" max="1292" width="10.33203125" bestFit="1" customWidth="1"/>
    <col min="1541" max="1541" width="11.5" bestFit="1" customWidth="1"/>
    <col min="1548" max="1548" width="10.33203125" bestFit="1" customWidth="1"/>
    <col min="1797" max="1797" width="11.5" bestFit="1" customWidth="1"/>
    <col min="1804" max="1804" width="10.33203125" bestFit="1" customWidth="1"/>
    <col min="2053" max="2053" width="11.5" bestFit="1" customWidth="1"/>
    <col min="2060" max="2060" width="10.33203125" bestFit="1" customWidth="1"/>
    <col min="2309" max="2309" width="11.5" bestFit="1" customWidth="1"/>
    <col min="2316" max="2316" width="10.33203125" bestFit="1" customWidth="1"/>
    <col min="2565" max="2565" width="11.5" bestFit="1" customWidth="1"/>
    <col min="2572" max="2572" width="10.33203125" bestFit="1" customWidth="1"/>
    <col min="2821" max="2821" width="11.5" bestFit="1" customWidth="1"/>
    <col min="2828" max="2828" width="10.33203125" bestFit="1" customWidth="1"/>
    <col min="3077" max="3077" width="11.5" bestFit="1" customWidth="1"/>
    <col min="3084" max="3084" width="10.33203125" bestFit="1" customWidth="1"/>
    <col min="3333" max="3333" width="11.5" bestFit="1" customWidth="1"/>
    <col min="3340" max="3340" width="10.33203125" bestFit="1" customWidth="1"/>
    <col min="3589" max="3589" width="11.5" bestFit="1" customWidth="1"/>
    <col min="3596" max="3596" width="10.33203125" bestFit="1" customWidth="1"/>
    <col min="3845" max="3845" width="11.5" bestFit="1" customWidth="1"/>
    <col min="3852" max="3852" width="10.33203125" bestFit="1" customWidth="1"/>
    <col min="4101" max="4101" width="11.5" bestFit="1" customWidth="1"/>
    <col min="4108" max="4108" width="10.33203125" bestFit="1" customWidth="1"/>
    <col min="4357" max="4357" width="11.5" bestFit="1" customWidth="1"/>
    <col min="4364" max="4364" width="10.33203125" bestFit="1" customWidth="1"/>
    <col min="4613" max="4613" width="11.5" bestFit="1" customWidth="1"/>
    <col min="4620" max="4620" width="10.33203125" bestFit="1" customWidth="1"/>
    <col min="4869" max="4869" width="11.5" bestFit="1" customWidth="1"/>
    <col min="4876" max="4876" width="10.33203125" bestFit="1" customWidth="1"/>
    <col min="5125" max="5125" width="11.5" bestFit="1" customWidth="1"/>
    <col min="5132" max="5132" width="10.33203125" bestFit="1" customWidth="1"/>
    <col min="5381" max="5381" width="11.5" bestFit="1" customWidth="1"/>
    <col min="5388" max="5388" width="10.33203125" bestFit="1" customWidth="1"/>
    <col min="5637" max="5637" width="11.5" bestFit="1" customWidth="1"/>
    <col min="5644" max="5644" width="10.33203125" bestFit="1" customWidth="1"/>
    <col min="5893" max="5893" width="11.5" bestFit="1" customWidth="1"/>
    <col min="5900" max="5900" width="10.33203125" bestFit="1" customWidth="1"/>
    <col min="6149" max="6149" width="11.5" bestFit="1" customWidth="1"/>
    <col min="6156" max="6156" width="10.33203125" bestFit="1" customWidth="1"/>
    <col min="6405" max="6405" width="11.5" bestFit="1" customWidth="1"/>
    <col min="6412" max="6412" width="10.33203125" bestFit="1" customWidth="1"/>
    <col min="6661" max="6661" width="11.5" bestFit="1" customWidth="1"/>
    <col min="6668" max="6668" width="10.33203125" bestFit="1" customWidth="1"/>
    <col min="6917" max="6917" width="11.5" bestFit="1" customWidth="1"/>
    <col min="6924" max="6924" width="10.33203125" bestFit="1" customWidth="1"/>
    <col min="7173" max="7173" width="11.5" bestFit="1" customWidth="1"/>
    <col min="7180" max="7180" width="10.33203125" bestFit="1" customWidth="1"/>
    <col min="7429" max="7429" width="11.5" bestFit="1" customWidth="1"/>
    <col min="7436" max="7436" width="10.33203125" bestFit="1" customWidth="1"/>
    <col min="7685" max="7685" width="11.5" bestFit="1" customWidth="1"/>
    <col min="7692" max="7692" width="10.33203125" bestFit="1" customWidth="1"/>
    <col min="7941" max="7941" width="11.5" bestFit="1" customWidth="1"/>
    <col min="7948" max="7948" width="10.33203125" bestFit="1" customWidth="1"/>
    <col min="8197" max="8197" width="11.5" bestFit="1" customWidth="1"/>
    <col min="8204" max="8204" width="10.33203125" bestFit="1" customWidth="1"/>
    <col min="8453" max="8453" width="11.5" bestFit="1" customWidth="1"/>
    <col min="8460" max="8460" width="10.33203125" bestFit="1" customWidth="1"/>
    <col min="8709" max="8709" width="11.5" bestFit="1" customWidth="1"/>
    <col min="8716" max="8716" width="10.33203125" bestFit="1" customWidth="1"/>
    <col min="8965" max="8965" width="11.5" bestFit="1" customWidth="1"/>
    <col min="8972" max="8972" width="10.33203125" bestFit="1" customWidth="1"/>
    <col min="9221" max="9221" width="11.5" bestFit="1" customWidth="1"/>
    <col min="9228" max="9228" width="10.33203125" bestFit="1" customWidth="1"/>
    <col min="9477" max="9477" width="11.5" bestFit="1" customWidth="1"/>
    <col min="9484" max="9484" width="10.33203125" bestFit="1" customWidth="1"/>
    <col min="9733" max="9733" width="11.5" bestFit="1" customWidth="1"/>
    <col min="9740" max="9740" width="10.33203125" bestFit="1" customWidth="1"/>
    <col min="9989" max="9989" width="11.5" bestFit="1" customWidth="1"/>
    <col min="9996" max="9996" width="10.33203125" bestFit="1" customWidth="1"/>
    <col min="10245" max="10245" width="11.5" bestFit="1" customWidth="1"/>
    <col min="10252" max="10252" width="10.33203125" bestFit="1" customWidth="1"/>
    <col min="10501" max="10501" width="11.5" bestFit="1" customWidth="1"/>
    <col min="10508" max="10508" width="10.33203125" bestFit="1" customWidth="1"/>
    <col min="10757" max="10757" width="11.5" bestFit="1" customWidth="1"/>
    <col min="10764" max="10764" width="10.33203125" bestFit="1" customWidth="1"/>
    <col min="11013" max="11013" width="11.5" bestFit="1" customWidth="1"/>
    <col min="11020" max="11020" width="10.33203125" bestFit="1" customWidth="1"/>
    <col min="11269" max="11269" width="11.5" bestFit="1" customWidth="1"/>
    <col min="11276" max="11276" width="10.33203125" bestFit="1" customWidth="1"/>
    <col min="11525" max="11525" width="11.5" bestFit="1" customWidth="1"/>
    <col min="11532" max="11532" width="10.33203125" bestFit="1" customWidth="1"/>
    <col min="11781" max="11781" width="11.5" bestFit="1" customWidth="1"/>
    <col min="11788" max="11788" width="10.33203125" bestFit="1" customWidth="1"/>
    <col min="12037" max="12037" width="11.5" bestFit="1" customWidth="1"/>
    <col min="12044" max="12044" width="10.33203125" bestFit="1" customWidth="1"/>
    <col min="12293" max="12293" width="11.5" bestFit="1" customWidth="1"/>
    <col min="12300" max="12300" width="10.33203125" bestFit="1" customWidth="1"/>
    <col min="12549" max="12549" width="11.5" bestFit="1" customWidth="1"/>
    <col min="12556" max="12556" width="10.33203125" bestFit="1" customWidth="1"/>
    <col min="12805" max="12805" width="11.5" bestFit="1" customWidth="1"/>
    <col min="12812" max="12812" width="10.33203125" bestFit="1" customWidth="1"/>
    <col min="13061" max="13061" width="11.5" bestFit="1" customWidth="1"/>
    <col min="13068" max="13068" width="10.33203125" bestFit="1" customWidth="1"/>
    <col min="13317" max="13317" width="11.5" bestFit="1" customWidth="1"/>
    <col min="13324" max="13324" width="10.33203125" bestFit="1" customWidth="1"/>
    <col min="13573" max="13573" width="11.5" bestFit="1" customWidth="1"/>
    <col min="13580" max="13580" width="10.33203125" bestFit="1" customWidth="1"/>
    <col min="13829" max="13829" width="11.5" bestFit="1" customWidth="1"/>
    <col min="13836" max="13836" width="10.33203125" bestFit="1" customWidth="1"/>
    <col min="14085" max="14085" width="11.5" bestFit="1" customWidth="1"/>
    <col min="14092" max="14092" width="10.33203125" bestFit="1" customWidth="1"/>
    <col min="14341" max="14341" width="11.5" bestFit="1" customWidth="1"/>
    <col min="14348" max="14348" width="10.33203125" bestFit="1" customWidth="1"/>
    <col min="14597" max="14597" width="11.5" bestFit="1" customWidth="1"/>
    <col min="14604" max="14604" width="10.33203125" bestFit="1" customWidth="1"/>
    <col min="14853" max="14853" width="11.5" bestFit="1" customWidth="1"/>
    <col min="14860" max="14860" width="10.33203125" bestFit="1" customWidth="1"/>
    <col min="15109" max="15109" width="11.5" bestFit="1" customWidth="1"/>
    <col min="15116" max="15116" width="10.33203125" bestFit="1" customWidth="1"/>
    <col min="15365" max="15365" width="11.5" bestFit="1" customWidth="1"/>
    <col min="15372" max="15372" width="10.33203125" bestFit="1" customWidth="1"/>
    <col min="15621" max="15621" width="11.5" bestFit="1" customWidth="1"/>
    <col min="15628" max="15628" width="10.33203125" bestFit="1" customWidth="1"/>
    <col min="15877" max="15877" width="11.5" bestFit="1" customWidth="1"/>
    <col min="15884" max="15884" width="10.33203125" bestFit="1" customWidth="1"/>
    <col min="16133" max="16133" width="11.5" bestFit="1" customWidth="1"/>
    <col min="16140" max="16140" width="10.33203125" bestFit="1" customWidth="1"/>
  </cols>
  <sheetData>
    <row r="2" spans="2:15">
      <c r="B2" s="26" t="str">
        <f>"Standalone Operating Model - Assumptions - "&amp;TEXT(Company_Name,"")</f>
        <v>Standalone Operating Model - Assumptions - Phu Nhuan Jewelry</v>
      </c>
      <c r="C2" s="27"/>
      <c r="D2" s="27"/>
      <c r="E2" s="28"/>
      <c r="F2" s="28"/>
      <c r="G2" s="28"/>
      <c r="H2" s="28"/>
      <c r="I2" s="28"/>
      <c r="J2" s="28"/>
      <c r="K2" s="28"/>
      <c r="L2" s="28"/>
      <c r="M2" s="98"/>
      <c r="O2" s="23" t="s">
        <v>2349</v>
      </c>
    </row>
    <row r="3" spans="2:15">
      <c r="B3" s="35"/>
      <c r="C3" s="20"/>
      <c r="D3" s="20"/>
      <c r="E3" s="20"/>
      <c r="F3" s="20"/>
      <c r="G3" s="20"/>
      <c r="H3" s="20"/>
      <c r="I3" s="20"/>
      <c r="J3" s="20"/>
      <c r="K3" s="20"/>
      <c r="L3" s="20"/>
      <c r="M3" s="33"/>
      <c r="O3" s="23" t="s">
        <v>2350</v>
      </c>
    </row>
    <row r="4" spans="2:15">
      <c r="B4" s="3" t="s">
        <v>2351</v>
      </c>
      <c r="E4" s="4" t="s">
        <v>2352</v>
      </c>
      <c r="I4" s="5" t="s">
        <v>2353</v>
      </c>
      <c r="L4" s="6">
        <v>0.2</v>
      </c>
      <c r="M4" s="2"/>
    </row>
    <row r="5" spans="2:15">
      <c r="B5" s="3" t="s">
        <v>2354</v>
      </c>
      <c r="E5" s="4" t="s">
        <v>321</v>
      </c>
      <c r="M5" s="7"/>
    </row>
    <row r="6" spans="2:15">
      <c r="B6" s="3" t="s">
        <v>2355</v>
      </c>
      <c r="D6" s="39"/>
      <c r="E6" s="8">
        <v>43465</v>
      </c>
      <c r="I6" s="9" t="s">
        <v>2356</v>
      </c>
      <c r="M6" s="2"/>
    </row>
    <row r="7" spans="2:15">
      <c r="B7" s="3" t="s">
        <v>2357</v>
      </c>
      <c r="E7" s="8">
        <v>45260</v>
      </c>
      <c r="I7" s="5" t="s">
        <v>2358</v>
      </c>
      <c r="M7" s="2"/>
    </row>
    <row r="8" spans="2:15">
      <c r="B8" s="3"/>
      <c r="I8" s="10" t="s">
        <v>2359</v>
      </c>
      <c r="M8" s="2"/>
    </row>
    <row r="9" spans="2:15">
      <c r="B9" s="3" t="s">
        <v>2360</v>
      </c>
      <c r="E9" s="11">
        <v>1</v>
      </c>
      <c r="F9" s="12" t="str">
        <f ca="1">OFFSET(Case_Cell,Case_Number,0)</f>
        <v>Base</v>
      </c>
      <c r="G9" s="13"/>
      <c r="M9" s="2"/>
    </row>
    <row r="10" spans="2:15">
      <c r="B10" s="1"/>
      <c r="E10" s="14">
        <v>1</v>
      </c>
      <c r="F10" s="4" t="s">
        <v>1583</v>
      </c>
      <c r="G10" s="2"/>
      <c r="I10" s="5"/>
      <c r="L10" s="39"/>
      <c r="M10" s="2"/>
    </row>
    <row r="11" spans="2:15">
      <c r="B11" s="1"/>
      <c r="E11" s="14">
        <v>2</v>
      </c>
      <c r="F11" s="4" t="s">
        <v>2361</v>
      </c>
      <c r="G11" s="2"/>
      <c r="I11" s="5" t="s">
        <v>2362</v>
      </c>
      <c r="K11" s="97">
        <v>0</v>
      </c>
      <c r="M11" s="2"/>
    </row>
    <row r="12" spans="2:15">
      <c r="B12" s="1"/>
      <c r="E12" s="15">
        <v>3</v>
      </c>
      <c r="F12" s="16" t="s">
        <v>2363</v>
      </c>
      <c r="G12" s="17"/>
      <c r="I12" s="5"/>
      <c r="L12" s="39"/>
      <c r="M12" s="2"/>
    </row>
    <row r="13" spans="2:15">
      <c r="B13" s="1"/>
      <c r="I13" s="5" t="s">
        <v>2364</v>
      </c>
      <c r="K13" s="97">
        <v>0</v>
      </c>
      <c r="L13" s="8"/>
      <c r="M13" s="2"/>
    </row>
    <row r="14" spans="2:15">
      <c r="B14" s="3" t="s">
        <v>2365</v>
      </c>
      <c r="E14" s="18">
        <v>365</v>
      </c>
      <c r="I14" s="5"/>
      <c r="L14" s="8"/>
      <c r="M14" s="2"/>
    </row>
    <row r="15" spans="2:15">
      <c r="B15" s="3"/>
      <c r="E15" s="19"/>
      <c r="I15" s="5"/>
      <c r="L15" s="8"/>
      <c r="M15" s="2"/>
    </row>
    <row r="16" spans="2:15">
      <c r="B16" s="26" t="str">
        <f>Company_Name&amp;" ("&amp;Ticker&amp;")"</f>
        <v>Phu Nhuan Jewelry (PNJ)</v>
      </c>
      <c r="C16" s="30"/>
      <c r="D16" s="30"/>
      <c r="E16" s="29"/>
      <c r="L16" s="8"/>
      <c r="M16" s="2"/>
    </row>
    <row r="17" spans="2:12">
      <c r="B17" s="24" t="s">
        <v>2366</v>
      </c>
      <c r="C17" s="31"/>
      <c r="D17" s="31"/>
      <c r="E17" s="25">
        <f>Valuation_Senario!D445</f>
        <v>88400</v>
      </c>
      <c r="F17" s="190">
        <f>Share_Price*'FS Year'!S131/10^7</f>
        <v>40.063762850800003</v>
      </c>
    </row>
    <row r="18" spans="2:12">
      <c r="B18" s="5"/>
      <c r="E18" s="18"/>
    </row>
    <row r="19" spans="2:12">
      <c r="B19" s="5" t="s">
        <v>2367</v>
      </c>
    </row>
    <row r="20" spans="2:12">
      <c r="B20">
        <v>1</v>
      </c>
      <c r="C20" t="s">
        <v>2368</v>
      </c>
    </row>
    <row r="21" spans="2:12">
      <c r="B21">
        <v>2</v>
      </c>
      <c r="C21" t="s">
        <v>2369</v>
      </c>
    </row>
    <row r="22" spans="2:12">
      <c r="B22">
        <v>3</v>
      </c>
      <c r="C22" t="s">
        <v>2370</v>
      </c>
    </row>
    <row r="23" spans="2:12">
      <c r="B23">
        <v>4</v>
      </c>
      <c r="C23" t="s">
        <v>2371</v>
      </c>
    </row>
    <row r="27" spans="2:12">
      <c r="L27">
        <f>65.5*1.478609048</f>
        <v>96.848892644000003</v>
      </c>
    </row>
  </sheetData>
  <dataValidations count="2">
    <dataValidation type="list" showInputMessage="1" showErrorMessage="1" sqref="E9 JA9 SW9 ACS9 AMO9 AWK9 BGG9 BQC9 BZY9 CJU9 CTQ9 DDM9 DNI9 DXE9 EHA9 EQW9 FAS9 FKO9 FUK9 GEG9 GOC9 GXY9 HHU9 HRQ9 IBM9 ILI9 IVE9 JFA9 JOW9 JYS9 KIO9 KSK9 LCG9 LMC9 LVY9 MFU9 MPQ9 MZM9 NJI9 NTE9 ODA9 OMW9 OWS9 PGO9 PQK9 QAG9 QKC9 QTY9 RDU9 RNQ9 RXM9 SHI9 SRE9 TBA9 TKW9 TUS9 UEO9 UOK9 UYG9 VIC9 VRY9 WBU9 WLQ9 WVM9 E65518 JA65516 SW65516 ACS65516 AMO65516 AWK65516 BGG65516 BQC65516 BZY65516 CJU65516 CTQ65516 DDM65516 DNI65516 DXE65516 EHA65516 EQW65516 FAS65516 FKO65516 FUK65516 GEG65516 GOC65516 GXY65516 HHU65516 HRQ65516 IBM65516 ILI65516 IVE65516 JFA65516 JOW65516 JYS65516 KIO65516 KSK65516 LCG65516 LMC65516 LVY65516 MFU65516 MPQ65516 MZM65516 NJI65516 NTE65516 ODA65516 OMW65516 OWS65516 PGO65516 PQK65516 QAG65516 QKC65516 QTY65516 RDU65516 RNQ65516 RXM65516 SHI65516 SRE65516 TBA65516 TKW65516 TUS65516 UEO65516 UOK65516 UYG65516 VIC65516 VRY65516 WBU65516 WLQ65516 WVM65516 E131054 JA131052 SW131052 ACS131052 AMO131052 AWK131052 BGG131052 BQC131052 BZY131052 CJU131052 CTQ131052 DDM131052 DNI131052 DXE131052 EHA131052 EQW131052 FAS131052 FKO131052 FUK131052 GEG131052 GOC131052 GXY131052 HHU131052 HRQ131052 IBM131052 ILI131052 IVE131052 JFA131052 JOW131052 JYS131052 KIO131052 KSK131052 LCG131052 LMC131052 LVY131052 MFU131052 MPQ131052 MZM131052 NJI131052 NTE131052 ODA131052 OMW131052 OWS131052 PGO131052 PQK131052 QAG131052 QKC131052 QTY131052 RDU131052 RNQ131052 RXM131052 SHI131052 SRE131052 TBA131052 TKW131052 TUS131052 UEO131052 UOK131052 UYG131052 VIC131052 VRY131052 WBU131052 WLQ131052 WVM131052 E196590 JA196588 SW196588 ACS196588 AMO196588 AWK196588 BGG196588 BQC196588 BZY196588 CJU196588 CTQ196588 DDM196588 DNI196588 DXE196588 EHA196588 EQW196588 FAS196588 FKO196588 FUK196588 GEG196588 GOC196588 GXY196588 HHU196588 HRQ196588 IBM196588 ILI196588 IVE196588 JFA196588 JOW196588 JYS196588 KIO196588 KSK196588 LCG196588 LMC196588 LVY196588 MFU196588 MPQ196588 MZM196588 NJI196588 NTE196588 ODA196588 OMW196588 OWS196588 PGO196588 PQK196588 QAG196588 QKC196588 QTY196588 RDU196588 RNQ196588 RXM196588 SHI196588 SRE196588 TBA196588 TKW196588 TUS196588 UEO196588 UOK196588 UYG196588 VIC196588 VRY196588 WBU196588 WLQ196588 WVM196588 E262126 JA262124 SW262124 ACS262124 AMO262124 AWK262124 BGG262124 BQC262124 BZY262124 CJU262124 CTQ262124 DDM262124 DNI262124 DXE262124 EHA262124 EQW262124 FAS262124 FKO262124 FUK262124 GEG262124 GOC262124 GXY262124 HHU262124 HRQ262124 IBM262124 ILI262124 IVE262124 JFA262124 JOW262124 JYS262124 KIO262124 KSK262124 LCG262124 LMC262124 LVY262124 MFU262124 MPQ262124 MZM262124 NJI262124 NTE262124 ODA262124 OMW262124 OWS262124 PGO262124 PQK262124 QAG262124 QKC262124 QTY262124 RDU262124 RNQ262124 RXM262124 SHI262124 SRE262124 TBA262124 TKW262124 TUS262124 UEO262124 UOK262124 UYG262124 VIC262124 VRY262124 WBU262124 WLQ262124 WVM262124 E327662 JA327660 SW327660 ACS327660 AMO327660 AWK327660 BGG327660 BQC327660 BZY327660 CJU327660 CTQ327660 DDM327660 DNI327660 DXE327660 EHA327660 EQW327660 FAS327660 FKO327660 FUK327660 GEG327660 GOC327660 GXY327660 HHU327660 HRQ327660 IBM327660 ILI327660 IVE327660 JFA327660 JOW327660 JYS327660 KIO327660 KSK327660 LCG327660 LMC327660 LVY327660 MFU327660 MPQ327660 MZM327660 NJI327660 NTE327660 ODA327660 OMW327660 OWS327660 PGO327660 PQK327660 QAG327660 QKC327660 QTY327660 RDU327660 RNQ327660 RXM327660 SHI327660 SRE327660 TBA327660 TKW327660 TUS327660 UEO327660 UOK327660 UYG327660 VIC327660 VRY327660 WBU327660 WLQ327660 WVM327660 E393198 JA393196 SW393196 ACS393196 AMO393196 AWK393196 BGG393196 BQC393196 BZY393196 CJU393196 CTQ393196 DDM393196 DNI393196 DXE393196 EHA393196 EQW393196 FAS393196 FKO393196 FUK393196 GEG393196 GOC393196 GXY393196 HHU393196 HRQ393196 IBM393196 ILI393196 IVE393196 JFA393196 JOW393196 JYS393196 KIO393196 KSK393196 LCG393196 LMC393196 LVY393196 MFU393196 MPQ393196 MZM393196 NJI393196 NTE393196 ODA393196 OMW393196 OWS393196 PGO393196 PQK393196 QAG393196 QKC393196 QTY393196 RDU393196 RNQ393196 RXM393196 SHI393196 SRE393196 TBA393196 TKW393196 TUS393196 UEO393196 UOK393196 UYG393196 VIC393196 VRY393196 WBU393196 WLQ393196 WVM393196 E458734 JA458732 SW458732 ACS458732 AMO458732 AWK458732 BGG458732 BQC458732 BZY458732 CJU458732 CTQ458732 DDM458732 DNI458732 DXE458732 EHA458732 EQW458732 FAS458732 FKO458732 FUK458732 GEG458732 GOC458732 GXY458732 HHU458732 HRQ458732 IBM458732 ILI458732 IVE458732 JFA458732 JOW458732 JYS458732 KIO458732 KSK458732 LCG458732 LMC458732 LVY458732 MFU458732 MPQ458732 MZM458732 NJI458732 NTE458732 ODA458732 OMW458732 OWS458732 PGO458732 PQK458732 QAG458732 QKC458732 QTY458732 RDU458732 RNQ458732 RXM458732 SHI458732 SRE458732 TBA458732 TKW458732 TUS458732 UEO458732 UOK458732 UYG458732 VIC458732 VRY458732 WBU458732 WLQ458732 WVM458732 E524270 JA524268 SW524268 ACS524268 AMO524268 AWK524268 BGG524268 BQC524268 BZY524268 CJU524268 CTQ524268 DDM524268 DNI524268 DXE524268 EHA524268 EQW524268 FAS524268 FKO524268 FUK524268 GEG524268 GOC524268 GXY524268 HHU524268 HRQ524268 IBM524268 ILI524268 IVE524268 JFA524268 JOW524268 JYS524268 KIO524268 KSK524268 LCG524268 LMC524268 LVY524268 MFU524268 MPQ524268 MZM524268 NJI524268 NTE524268 ODA524268 OMW524268 OWS524268 PGO524268 PQK524268 QAG524268 QKC524268 QTY524268 RDU524268 RNQ524268 RXM524268 SHI524268 SRE524268 TBA524268 TKW524268 TUS524268 UEO524268 UOK524268 UYG524268 VIC524268 VRY524268 WBU524268 WLQ524268 WVM524268 E589806 JA589804 SW589804 ACS589804 AMO589804 AWK589804 BGG589804 BQC589804 BZY589804 CJU589804 CTQ589804 DDM589804 DNI589804 DXE589804 EHA589804 EQW589804 FAS589804 FKO589804 FUK589804 GEG589804 GOC589804 GXY589804 HHU589804 HRQ589804 IBM589804 ILI589804 IVE589804 JFA589804 JOW589804 JYS589804 KIO589804 KSK589804 LCG589804 LMC589804 LVY589804 MFU589804 MPQ589804 MZM589804 NJI589804 NTE589804 ODA589804 OMW589804 OWS589804 PGO589804 PQK589804 QAG589804 QKC589804 QTY589804 RDU589804 RNQ589804 RXM589804 SHI589804 SRE589804 TBA589804 TKW589804 TUS589804 UEO589804 UOK589804 UYG589804 VIC589804 VRY589804 WBU589804 WLQ589804 WVM589804 E655342 JA655340 SW655340 ACS655340 AMO655340 AWK655340 BGG655340 BQC655340 BZY655340 CJU655340 CTQ655340 DDM655340 DNI655340 DXE655340 EHA655340 EQW655340 FAS655340 FKO655340 FUK655340 GEG655340 GOC655340 GXY655340 HHU655340 HRQ655340 IBM655340 ILI655340 IVE655340 JFA655340 JOW655340 JYS655340 KIO655340 KSK655340 LCG655340 LMC655340 LVY655340 MFU655340 MPQ655340 MZM655340 NJI655340 NTE655340 ODA655340 OMW655340 OWS655340 PGO655340 PQK655340 QAG655340 QKC655340 QTY655340 RDU655340 RNQ655340 RXM655340 SHI655340 SRE655340 TBA655340 TKW655340 TUS655340 UEO655340 UOK655340 UYG655340 VIC655340 VRY655340 WBU655340 WLQ655340 WVM655340 E720878 JA720876 SW720876 ACS720876 AMO720876 AWK720876 BGG720876 BQC720876 BZY720876 CJU720876 CTQ720876 DDM720876 DNI720876 DXE720876 EHA720876 EQW720876 FAS720876 FKO720876 FUK720876 GEG720876 GOC720876 GXY720876 HHU720876 HRQ720876 IBM720876 ILI720876 IVE720876 JFA720876 JOW720876 JYS720876 KIO720876 KSK720876 LCG720876 LMC720876 LVY720876 MFU720876 MPQ720876 MZM720876 NJI720876 NTE720876 ODA720876 OMW720876 OWS720876 PGO720876 PQK720876 QAG720876 QKC720876 QTY720876 RDU720876 RNQ720876 RXM720876 SHI720876 SRE720876 TBA720876 TKW720876 TUS720876 UEO720876 UOK720876 UYG720876 VIC720876 VRY720876 WBU720876 WLQ720876 WVM720876 E786414 JA786412 SW786412 ACS786412 AMO786412 AWK786412 BGG786412 BQC786412 BZY786412 CJU786412 CTQ786412 DDM786412 DNI786412 DXE786412 EHA786412 EQW786412 FAS786412 FKO786412 FUK786412 GEG786412 GOC786412 GXY786412 HHU786412 HRQ786412 IBM786412 ILI786412 IVE786412 JFA786412 JOW786412 JYS786412 KIO786412 KSK786412 LCG786412 LMC786412 LVY786412 MFU786412 MPQ786412 MZM786412 NJI786412 NTE786412 ODA786412 OMW786412 OWS786412 PGO786412 PQK786412 QAG786412 QKC786412 QTY786412 RDU786412 RNQ786412 RXM786412 SHI786412 SRE786412 TBA786412 TKW786412 TUS786412 UEO786412 UOK786412 UYG786412 VIC786412 VRY786412 WBU786412 WLQ786412 WVM786412 E851950 JA851948 SW851948 ACS851948 AMO851948 AWK851948 BGG851948 BQC851948 BZY851948 CJU851948 CTQ851948 DDM851948 DNI851948 DXE851948 EHA851948 EQW851948 FAS851948 FKO851948 FUK851948 GEG851948 GOC851948 GXY851948 HHU851948 HRQ851948 IBM851948 ILI851948 IVE851948 JFA851948 JOW851948 JYS851948 KIO851948 KSK851948 LCG851948 LMC851948 LVY851948 MFU851948 MPQ851948 MZM851948 NJI851948 NTE851948 ODA851948 OMW851948 OWS851948 PGO851948 PQK851948 QAG851948 QKC851948 QTY851948 RDU851948 RNQ851948 RXM851948 SHI851948 SRE851948 TBA851948 TKW851948 TUS851948 UEO851948 UOK851948 UYG851948 VIC851948 VRY851948 WBU851948 WLQ851948 WVM851948 E917486 JA917484 SW917484 ACS917484 AMO917484 AWK917484 BGG917484 BQC917484 BZY917484 CJU917484 CTQ917484 DDM917484 DNI917484 DXE917484 EHA917484 EQW917484 FAS917484 FKO917484 FUK917484 GEG917484 GOC917484 GXY917484 HHU917484 HRQ917484 IBM917484 ILI917484 IVE917484 JFA917484 JOW917484 JYS917484 KIO917484 KSK917484 LCG917484 LMC917484 LVY917484 MFU917484 MPQ917484 MZM917484 NJI917484 NTE917484 ODA917484 OMW917484 OWS917484 PGO917484 PQK917484 QAG917484 QKC917484 QTY917484 RDU917484 RNQ917484 RXM917484 SHI917484 SRE917484 TBA917484 TKW917484 TUS917484 UEO917484 UOK917484 UYG917484 VIC917484 VRY917484 WBU917484 WLQ917484 WVM917484 E983022 JA983020 SW983020 ACS983020 AMO983020 AWK983020 BGG983020 BQC983020 BZY983020 CJU983020 CTQ983020 DDM983020 DNI983020 DXE983020 EHA983020 EQW983020 FAS983020 FKO983020 FUK983020 GEG983020 GOC983020 GXY983020 HHU983020 HRQ983020 IBM983020 ILI983020 IVE983020 JFA983020 JOW983020 JYS983020 KIO983020 KSK983020 LCG983020 LMC983020 LVY983020 MFU983020 MPQ983020 MZM983020 NJI983020 NTE983020 ODA983020 OMW983020 OWS983020 PGO983020 PQK983020 QAG983020 QKC983020 QTY983020 RDU983020 RNQ983020 RXM983020 SHI983020 SRE983020 TBA983020 TKW983020 TUS983020 UEO983020 UOK983020 UYG983020 VIC983020 VRY983020 WBU983020 WLQ983020 WVM983020" xr:uid="{00000000-0002-0000-0100-000000000000}">
      <formula1>$E$10:$E$12</formula1>
    </dataValidation>
    <dataValidation type="whole" allowBlank="1" showInputMessage="1" showErrorMessage="1" promptTitle="Help" prompt="Only choose 1 or 0" sqref="K11 K13" xr:uid="{00000000-0002-0000-0100-000001000000}">
      <formula1>0</formula1>
      <formula2>1</formula2>
    </dataValidation>
  </dataValidations>
  <pageMargins left="0.7" right="0.7" top="0.75" bottom="0.75" header="0.3" footer="0.3"/>
  <pageSetup orientation="landscape"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F09BFB-625F-4E27-AF4C-7D225960F65A}">
  <sheetPr codeName="Sheet1"/>
  <dimension ref="A5:AE31"/>
  <sheetViews>
    <sheetView topLeftCell="C1" workbookViewId="0">
      <selection activeCell="K29" sqref="K29"/>
    </sheetView>
  </sheetViews>
  <sheetFormatPr baseColWidth="10" defaultColWidth="9.1640625" defaultRowHeight="11"/>
  <cols>
    <col min="1" max="2" width="8.6640625" style="384" customWidth="1"/>
    <col min="3" max="3" width="12.83203125" style="384" customWidth="1"/>
    <col min="4" max="4" width="8.6640625" style="384" customWidth="1"/>
    <col min="5" max="5" width="15.5" style="384" bestFit="1" customWidth="1"/>
    <col min="6" max="31" width="15.5" style="384" customWidth="1"/>
    <col min="32" max="16384" width="9.1640625" style="384"/>
  </cols>
  <sheetData>
    <row r="5" spans="1:31" ht="16">
      <c r="A5" s="381" t="s">
        <v>2372</v>
      </c>
      <c r="B5" s="382" t="s">
        <v>2373</v>
      </c>
      <c r="C5" s="383"/>
    </row>
    <row r="6" spans="1:31" ht="32">
      <c r="A6" s="381" t="s">
        <v>2374</v>
      </c>
      <c r="B6" s="385" t="s">
        <v>2375</v>
      </c>
      <c r="C6" s="386"/>
      <c r="D6" s="386"/>
      <c r="E6" s="386"/>
      <c r="F6" s="386"/>
      <c r="G6" s="386"/>
      <c r="H6" s="386"/>
      <c r="I6" s="386"/>
      <c r="L6" s="387"/>
    </row>
    <row r="7" spans="1:31">
      <c r="A7" s="386"/>
      <c r="B7" s="386"/>
      <c r="C7" s="386"/>
      <c r="D7" s="386"/>
      <c r="E7" s="386"/>
      <c r="F7" s="386"/>
      <c r="G7" s="386"/>
      <c r="H7" s="386"/>
      <c r="I7" s="386"/>
    </row>
    <row r="8" spans="1:31" ht="96">
      <c r="A8" s="381" t="s">
        <v>2017</v>
      </c>
      <c r="B8" s="381" t="s">
        <v>1690</v>
      </c>
      <c r="C8" s="381" t="s">
        <v>2376</v>
      </c>
      <c r="D8" s="381" t="s">
        <v>2377</v>
      </c>
      <c r="E8" s="381" t="s">
        <v>2378</v>
      </c>
      <c r="F8" s="381" t="s">
        <v>2379</v>
      </c>
      <c r="G8" s="381" t="s">
        <v>2380</v>
      </c>
      <c r="H8" s="381" t="s">
        <v>2381</v>
      </c>
      <c r="I8" s="381" t="s">
        <v>2382</v>
      </c>
      <c r="J8" s="381" t="s">
        <v>2383</v>
      </c>
      <c r="K8" s="381" t="s">
        <v>2384</v>
      </c>
      <c r="L8" s="381" t="s">
        <v>2385</v>
      </c>
      <c r="M8" s="381" t="s">
        <v>2386</v>
      </c>
      <c r="N8" s="381" t="s">
        <v>2387</v>
      </c>
      <c r="O8" s="381" t="s">
        <v>2388</v>
      </c>
      <c r="P8" s="381" t="s">
        <v>2389</v>
      </c>
      <c r="Q8" s="381" t="s">
        <v>2390</v>
      </c>
      <c r="R8" s="381" t="s">
        <v>2391</v>
      </c>
      <c r="S8" s="381" t="s">
        <v>2392</v>
      </c>
      <c r="T8" s="381" t="s">
        <v>2393</v>
      </c>
      <c r="U8" s="381" t="s">
        <v>2394</v>
      </c>
      <c r="V8" s="381" t="s">
        <v>2395</v>
      </c>
      <c r="W8" s="381" t="s">
        <v>2396</v>
      </c>
      <c r="X8" s="381" t="s">
        <v>2397</v>
      </c>
      <c r="Y8" s="381" t="s">
        <v>2398</v>
      </c>
      <c r="Z8" s="381" t="s">
        <v>2399</v>
      </c>
      <c r="AA8" s="381" t="s">
        <v>2400</v>
      </c>
      <c r="AB8" s="381" t="s">
        <v>2401</v>
      </c>
      <c r="AC8" s="381" t="s">
        <v>2402</v>
      </c>
      <c r="AD8" s="381" t="s">
        <v>2403</v>
      </c>
      <c r="AE8" s="381" t="s">
        <v>2404</v>
      </c>
    </row>
    <row r="9" spans="1:31" ht="15" hidden="1">
      <c r="B9" s="388" t="s">
        <v>421</v>
      </c>
      <c r="C9" s="388" t="s">
        <v>2405</v>
      </c>
      <c r="D9" s="388" t="s">
        <v>2406</v>
      </c>
      <c r="E9" s="388" t="s">
        <v>2407</v>
      </c>
      <c r="F9" s="388" t="s">
        <v>2408</v>
      </c>
      <c r="G9" s="388" t="s">
        <v>2409</v>
      </c>
      <c r="H9" s="388" t="s">
        <v>2410</v>
      </c>
      <c r="I9" s="388" t="s">
        <v>2411</v>
      </c>
      <c r="J9" s="388" t="s">
        <v>2412</v>
      </c>
      <c r="K9" s="388" t="s">
        <v>2413</v>
      </c>
      <c r="L9" s="388" t="s">
        <v>2414</v>
      </c>
      <c r="M9" s="388" t="s">
        <v>2415</v>
      </c>
      <c r="N9" s="388" t="s">
        <v>2416</v>
      </c>
      <c r="O9" s="388" t="s">
        <v>2417</v>
      </c>
      <c r="P9" s="388" t="s">
        <v>2418</v>
      </c>
      <c r="Q9" s="388" t="s">
        <v>2419</v>
      </c>
      <c r="R9" s="388" t="s">
        <v>2420</v>
      </c>
      <c r="S9" s="388" t="s">
        <v>2421</v>
      </c>
      <c r="T9" s="388" t="s">
        <v>2422</v>
      </c>
      <c r="U9" s="388" t="s">
        <v>2423</v>
      </c>
      <c r="V9" s="388" t="s">
        <v>2424</v>
      </c>
      <c r="W9" s="388" t="s">
        <v>2425</v>
      </c>
      <c r="X9" s="388" t="s">
        <v>2426</v>
      </c>
      <c r="Y9" s="388" t="s">
        <v>2427</v>
      </c>
      <c r="Z9" s="388" t="s">
        <v>2428</v>
      </c>
      <c r="AA9" s="388" t="s">
        <v>2429</v>
      </c>
      <c r="AB9" s="388" t="s">
        <v>2430</v>
      </c>
      <c r="AC9" s="388" t="s">
        <v>2431</v>
      </c>
      <c r="AD9" s="388" t="s">
        <v>2432</v>
      </c>
      <c r="AE9" s="388" t="s">
        <v>2433</v>
      </c>
    </row>
    <row r="10" spans="1:31" ht="15">
      <c r="A10" s="389">
        <v>1</v>
      </c>
      <c r="B10" s="382" t="s">
        <v>1289</v>
      </c>
      <c r="C10" s="382" t="s">
        <v>2434</v>
      </c>
      <c r="D10" s="382" t="s">
        <v>2435</v>
      </c>
      <c r="E10" s="389">
        <v>27193693347559</v>
      </c>
      <c r="F10" s="389">
        <v>36138329909503</v>
      </c>
      <c r="G10" s="389">
        <v>30588381152474</v>
      </c>
      <c r="H10" s="389">
        <v>6274665061539</v>
      </c>
      <c r="I10" s="389">
        <v>7374889732595</v>
      </c>
      <c r="J10" s="389">
        <v>7929508657513</v>
      </c>
      <c r="K10" s="389">
        <v>-4259169057232</v>
      </c>
      <c r="L10" s="389">
        <v>-4853008363114</v>
      </c>
      <c r="M10" s="389">
        <v>-6603486449711</v>
      </c>
      <c r="N10" s="389">
        <v>-783692075325</v>
      </c>
      <c r="O10" s="389">
        <v>-665959677027</v>
      </c>
      <c r="P10" s="389">
        <v>-292045055541</v>
      </c>
      <c r="Q10" s="389">
        <v>108546019665412</v>
      </c>
      <c r="R10" s="389">
        <v>122958106103174</v>
      </c>
      <c r="S10" s="389">
        <v>133404777590524</v>
      </c>
      <c r="T10" s="389">
        <v>23954497272463</v>
      </c>
      <c r="U10" s="389">
        <v>27632131995534</v>
      </c>
      <c r="V10" s="389">
        <v>30782215367861</v>
      </c>
      <c r="W10" s="389">
        <v>-15333798830787</v>
      </c>
      <c r="X10" s="389">
        <v>-17914173302345</v>
      </c>
      <c r="Y10" s="389">
        <v>-21789998975781</v>
      </c>
      <c r="Z10" s="389">
        <v>-3404431838167</v>
      </c>
      <c r="AA10" s="389">
        <v>-3823390074765</v>
      </c>
      <c r="AB10" s="389">
        <v>-2348039543287</v>
      </c>
      <c r="AC10" s="389">
        <v>3919872709507</v>
      </c>
      <c r="AD10" s="389">
        <v>4901426673890</v>
      </c>
      <c r="AE10" s="389">
        <v>4101714424939</v>
      </c>
    </row>
    <row r="11" spans="1:31" ht="15">
      <c r="A11" s="389">
        <v>2</v>
      </c>
      <c r="B11" s="382" t="s">
        <v>1291</v>
      </c>
      <c r="C11" s="382" t="s">
        <v>2436</v>
      </c>
      <c r="D11" s="382" t="s">
        <v>2435</v>
      </c>
      <c r="E11" s="389">
        <v>3937217682242</v>
      </c>
      <c r="F11" s="389">
        <v>8477421211303</v>
      </c>
      <c r="G11" s="389">
        <v>8457819972005</v>
      </c>
      <c r="H11" s="389">
        <v>538678084138</v>
      </c>
      <c r="I11" s="389">
        <v>1266445867580</v>
      </c>
      <c r="J11" s="389">
        <v>1330609421740</v>
      </c>
      <c r="K11" s="389">
        <v>-417514003563</v>
      </c>
      <c r="L11" s="389">
        <v>-734919088949</v>
      </c>
      <c r="M11" s="389">
        <v>-886455840659</v>
      </c>
      <c r="N11" s="389">
        <v>-113332358140</v>
      </c>
      <c r="O11" s="389">
        <v>-134331742514</v>
      </c>
      <c r="P11" s="389">
        <v>-287660781126</v>
      </c>
      <c r="Q11" s="389">
        <v>14661417032222</v>
      </c>
      <c r="R11" s="389">
        <v>22494961408082</v>
      </c>
      <c r="S11" s="389">
        <v>30165800756670</v>
      </c>
      <c r="T11" s="389">
        <v>2041002298717</v>
      </c>
      <c r="U11" s="389">
        <v>3151513261599</v>
      </c>
      <c r="V11" s="389">
        <v>4703177379257</v>
      </c>
      <c r="W11" s="389">
        <v>-1565736555190</v>
      </c>
      <c r="X11" s="389">
        <v>-2071124789339</v>
      </c>
      <c r="Y11" s="389">
        <v>-3259297597681</v>
      </c>
      <c r="Z11" s="389">
        <v>-397884049877</v>
      </c>
      <c r="AA11" s="389">
        <v>-585528444388</v>
      </c>
      <c r="AB11" s="389">
        <v>-887338884656</v>
      </c>
      <c r="AC11" s="389">
        <v>10216730526</v>
      </c>
      <c r="AD11" s="389">
        <v>443898346428</v>
      </c>
      <c r="AE11" s="389">
        <v>398074197408</v>
      </c>
    </row>
    <row r="12" spans="1:31" ht="15">
      <c r="A12" s="389">
        <v>3</v>
      </c>
      <c r="B12" s="382" t="s">
        <v>1293</v>
      </c>
      <c r="C12" s="382" t="s">
        <v>2437</v>
      </c>
      <c r="D12" s="382" t="s">
        <v>2435</v>
      </c>
      <c r="E12" s="389">
        <v>4188886383455</v>
      </c>
      <c r="F12" s="389">
        <v>6025962526314</v>
      </c>
      <c r="G12" s="389">
        <v>4835139895603</v>
      </c>
      <c r="H12" s="389">
        <v>213741826926</v>
      </c>
      <c r="I12" s="389">
        <v>342020616042</v>
      </c>
      <c r="J12" s="389">
        <v>264872570983</v>
      </c>
      <c r="K12" s="389">
        <v>-89484652363</v>
      </c>
      <c r="L12" s="389">
        <v>-81150124099</v>
      </c>
      <c r="M12" s="389">
        <v>-113362490548</v>
      </c>
      <c r="N12" s="389">
        <v>-61238120642</v>
      </c>
      <c r="O12" s="389">
        <v>-116108116880</v>
      </c>
      <c r="P12" s="389">
        <v>-64019440560</v>
      </c>
      <c r="Q12" s="389">
        <v>13453248702327</v>
      </c>
      <c r="R12" s="389">
        <v>17598237599586</v>
      </c>
      <c r="S12" s="389">
        <v>17665363747059</v>
      </c>
      <c r="T12" s="389">
        <v>668899849127</v>
      </c>
      <c r="U12" s="389">
        <v>939199446211</v>
      </c>
      <c r="V12" s="389">
        <v>971988692729</v>
      </c>
      <c r="W12" s="389">
        <v>-232406377528</v>
      </c>
      <c r="X12" s="389">
        <v>-284855285475</v>
      </c>
      <c r="Y12" s="389">
        <v>-335915611492</v>
      </c>
      <c r="Z12" s="389">
        <v>-201947554458</v>
      </c>
      <c r="AA12" s="389">
        <v>-271461913218</v>
      </c>
      <c r="AB12" s="389">
        <v>-165085933482</v>
      </c>
      <c r="AC12" s="389">
        <v>140166600258</v>
      </c>
      <c r="AD12" s="389">
        <v>311458745048</v>
      </c>
      <c r="AE12" s="389">
        <v>167836126656</v>
      </c>
    </row>
    <row r="13" spans="1:31" ht="15">
      <c r="A13" s="389">
        <v>4</v>
      </c>
      <c r="B13" s="382" t="s">
        <v>1295</v>
      </c>
      <c r="C13" s="382" t="s">
        <v>2438</v>
      </c>
      <c r="D13" s="382" t="s">
        <v>2435</v>
      </c>
      <c r="E13" s="389">
        <v>4017177081382</v>
      </c>
      <c r="F13" s="389">
        <v>7921553518475</v>
      </c>
      <c r="G13" s="389">
        <v>4075122688973</v>
      </c>
      <c r="H13" s="389">
        <v>254527129821</v>
      </c>
      <c r="I13" s="389">
        <v>612924502182</v>
      </c>
      <c r="J13" s="389">
        <v>469822804158</v>
      </c>
      <c r="K13" s="389">
        <v>-146566474288</v>
      </c>
      <c r="L13" s="389">
        <v>-211810541046</v>
      </c>
      <c r="M13" s="389">
        <v>-223219460189</v>
      </c>
      <c r="N13" s="389">
        <v>-12748857307</v>
      </c>
      <c r="O13" s="389">
        <v>-41362222905</v>
      </c>
      <c r="P13" s="389">
        <v>-40238001394</v>
      </c>
      <c r="Q13" s="389">
        <v>12535637837430</v>
      </c>
      <c r="R13" s="389">
        <v>20922813468779</v>
      </c>
      <c r="S13" s="389">
        <v>22059207686235</v>
      </c>
      <c r="T13" s="389">
        <v>802782316711</v>
      </c>
      <c r="U13" s="389">
        <v>1507994168503</v>
      </c>
      <c r="V13" s="389">
        <v>1662459750289</v>
      </c>
      <c r="W13" s="389">
        <v>-434359274700</v>
      </c>
      <c r="X13" s="389">
        <v>-708282903403</v>
      </c>
      <c r="Y13" s="389">
        <v>-721767972398</v>
      </c>
      <c r="Z13" s="389">
        <v>-90216582365</v>
      </c>
      <c r="AA13" s="389">
        <v>-113703929084</v>
      </c>
      <c r="AB13" s="389">
        <v>-135821551618</v>
      </c>
      <c r="AC13" s="389">
        <v>267337158748</v>
      </c>
      <c r="AD13" s="389">
        <v>654898651616</v>
      </c>
      <c r="AE13" s="389">
        <v>683602346791</v>
      </c>
    </row>
    <row r="14" spans="1:31" ht="15">
      <c r="A14" s="389">
        <v>5</v>
      </c>
      <c r="B14" s="382" t="s">
        <v>1297</v>
      </c>
      <c r="C14" s="382" t="s">
        <v>2439</v>
      </c>
      <c r="D14" s="382" t="s">
        <v>2435</v>
      </c>
      <c r="E14" s="389">
        <v>21599531000000</v>
      </c>
      <c r="F14" s="389">
        <v>23827803000000</v>
      </c>
      <c r="G14" s="389">
        <v>20642781000000</v>
      </c>
      <c r="H14" s="389">
        <v>5214759000000</v>
      </c>
      <c r="I14" s="389">
        <v>6877246000000</v>
      </c>
      <c r="J14" s="389">
        <v>5554169000000</v>
      </c>
      <c r="K14" s="389">
        <v>-3537186000000</v>
      </c>
      <c r="L14" s="389">
        <v>-3306185000000</v>
      </c>
      <c r="M14" s="389">
        <v>-3250042000000</v>
      </c>
      <c r="N14" s="389">
        <v>-519668000000</v>
      </c>
      <c r="O14" s="389">
        <v>-1083981000000</v>
      </c>
      <c r="P14" s="389">
        <v>-922716000000</v>
      </c>
      <c r="Q14" s="389">
        <v>77217808000000</v>
      </c>
      <c r="R14" s="389">
        <v>88628767000000</v>
      </c>
      <c r="S14" s="389">
        <v>76189225000000</v>
      </c>
      <c r="T14" s="389">
        <v>17888697000000</v>
      </c>
      <c r="U14" s="389">
        <v>22134801000000</v>
      </c>
      <c r="V14" s="389">
        <v>21035024000000</v>
      </c>
      <c r="W14" s="389">
        <v>-13166087000000</v>
      </c>
      <c r="X14" s="389">
        <v>-11786338000000</v>
      </c>
      <c r="Y14" s="389">
        <v>-12511539000000</v>
      </c>
      <c r="Z14" s="389">
        <v>-3040896000000</v>
      </c>
      <c r="AA14" s="389">
        <v>-4064969000000</v>
      </c>
      <c r="AB14" s="389">
        <v>-3854314000000</v>
      </c>
      <c r="AC14" s="389">
        <v>1395013000000</v>
      </c>
      <c r="AD14" s="389">
        <v>10101381000000</v>
      </c>
      <c r="AE14" s="389">
        <v>4754384000000</v>
      </c>
    </row>
    <row r="15" spans="1:31" ht="15">
      <c r="A15" s="389">
        <v>6</v>
      </c>
      <c r="B15" s="382" t="s">
        <v>321</v>
      </c>
      <c r="C15" s="382" t="s">
        <v>2440</v>
      </c>
      <c r="D15" s="382" t="s">
        <v>2435</v>
      </c>
      <c r="E15" s="389">
        <v>5842951745863</v>
      </c>
      <c r="F15" s="389">
        <v>7098904871509</v>
      </c>
      <c r="G15" s="389">
        <v>8301981849662</v>
      </c>
      <c r="H15" s="389">
        <v>1177381882095</v>
      </c>
      <c r="I15" s="389">
        <v>1256825800845</v>
      </c>
      <c r="J15" s="389">
        <v>1468904662589</v>
      </c>
      <c r="K15" s="389">
        <v>-444760732572</v>
      </c>
      <c r="L15" s="389">
        <v>-519454214618</v>
      </c>
      <c r="M15" s="389">
        <v>-706660621786</v>
      </c>
      <c r="N15" s="389">
        <v>-168113412171</v>
      </c>
      <c r="O15" s="389">
        <v>-120674471488</v>
      </c>
      <c r="P15" s="389">
        <v>-150744178642</v>
      </c>
      <c r="Q15" s="389">
        <v>17510788650999</v>
      </c>
      <c r="R15" s="389">
        <v>19547058364834</v>
      </c>
      <c r="S15" s="389">
        <v>33876454559153</v>
      </c>
      <c r="T15" s="389">
        <v>3434732880887</v>
      </c>
      <c r="U15" s="389">
        <v>3598298230376</v>
      </c>
      <c r="V15" s="389">
        <v>5926794263953</v>
      </c>
      <c r="W15" s="389">
        <v>-1420855653447</v>
      </c>
      <c r="X15" s="389">
        <v>-1687654952494</v>
      </c>
      <c r="Y15" s="389">
        <v>-2828208644376</v>
      </c>
      <c r="Z15" s="389">
        <v>-505572794605</v>
      </c>
      <c r="AA15" s="389">
        <v>-501819303928</v>
      </c>
      <c r="AB15" s="389">
        <v>-674774396738</v>
      </c>
      <c r="AC15" s="389">
        <v>1069310105261</v>
      </c>
      <c r="AD15" s="389">
        <v>1029042165645</v>
      </c>
      <c r="AE15" s="389">
        <v>1806796272067</v>
      </c>
    </row>
    <row r="16" spans="1:31" ht="15">
      <c r="A16" s="389">
        <v>7</v>
      </c>
      <c r="B16" s="382" t="s">
        <v>2441</v>
      </c>
      <c r="C16" s="382" t="s">
        <v>2442</v>
      </c>
      <c r="D16" s="382" t="s">
        <v>2435</v>
      </c>
      <c r="E16" s="389">
        <v>7865362096244</v>
      </c>
      <c r="F16" s="389">
        <v>9003847095919</v>
      </c>
      <c r="G16" s="389">
        <v>10029204274418</v>
      </c>
      <c r="H16" s="389">
        <v>2468274227598</v>
      </c>
      <c r="I16" s="389">
        <v>2492041871361</v>
      </c>
      <c r="J16" s="389">
        <v>2813588705556</v>
      </c>
      <c r="K16" s="389">
        <v>-754295011022</v>
      </c>
      <c r="L16" s="389">
        <v>-946942340208</v>
      </c>
      <c r="M16" s="389">
        <v>-1612396044064</v>
      </c>
      <c r="N16" s="389">
        <v>-139733278845</v>
      </c>
      <c r="O16" s="389">
        <v>-170807966554</v>
      </c>
      <c r="P16" s="389">
        <v>-200308163933</v>
      </c>
      <c r="Q16" s="389">
        <v>27961323837011</v>
      </c>
      <c r="R16" s="389">
        <v>26373746293858</v>
      </c>
      <c r="S16" s="389">
        <v>34979083993835</v>
      </c>
      <c r="T16" s="389">
        <v>8501094784449</v>
      </c>
      <c r="U16" s="389">
        <v>7608564811493</v>
      </c>
      <c r="V16" s="389">
        <v>10770706927084</v>
      </c>
      <c r="W16" s="389">
        <v>-2859036781083</v>
      </c>
      <c r="X16" s="389">
        <v>-3500368629369</v>
      </c>
      <c r="Y16" s="389">
        <v>-4532068273139</v>
      </c>
      <c r="Z16" s="389">
        <v>-702005344515</v>
      </c>
      <c r="AA16" s="389">
        <v>-597716255412</v>
      </c>
      <c r="AB16" s="389">
        <v>-740665660468</v>
      </c>
      <c r="AC16" s="389">
        <v>4936845970254</v>
      </c>
      <c r="AD16" s="389">
        <v>3929305547238</v>
      </c>
      <c r="AE16" s="389">
        <v>5499797977284</v>
      </c>
    </row>
    <row r="18" spans="1:1" ht="16">
      <c r="A18" s="396" t="s">
        <v>2264</v>
      </c>
    </row>
    <row r="19" spans="1:1" ht="16">
      <c r="A19" s="396" t="s">
        <v>2443</v>
      </c>
    </row>
    <row r="20" spans="1:1" ht="16">
      <c r="A20" s="398" t="s">
        <v>2444</v>
      </c>
    </row>
    <row r="21" spans="1:1" ht="16">
      <c r="A21" s="398" t="s">
        <v>2445</v>
      </c>
    </row>
    <row r="22" spans="1:1" ht="15">
      <c r="A22" s="399" t="s">
        <v>2446</v>
      </c>
    </row>
    <row r="23" spans="1:1" ht="15">
      <c r="A23" s="388"/>
    </row>
    <row r="24" spans="1:1" ht="16">
      <c r="A24" s="396" t="s">
        <v>2269</v>
      </c>
    </row>
    <row r="25" spans="1:1" ht="16">
      <c r="A25" s="396" t="s">
        <v>2447</v>
      </c>
    </row>
    <row r="26" spans="1:1" ht="16">
      <c r="A26" s="398" t="s">
        <v>2448</v>
      </c>
    </row>
    <row r="27" spans="1:1" ht="15">
      <c r="A27" s="399" t="s">
        <v>2449</v>
      </c>
    </row>
    <row r="28" spans="1:1" ht="15">
      <c r="A28" s="388"/>
    </row>
    <row r="29" spans="1:1" ht="16">
      <c r="A29" s="396" t="s">
        <v>2450</v>
      </c>
    </row>
    <row r="30" spans="1:1" ht="16">
      <c r="A30" s="398" t="s">
        <v>2451</v>
      </c>
    </row>
    <row r="31" spans="1:1" ht="15">
      <c r="A31" s="399" t="s">
        <v>2449</v>
      </c>
    </row>
  </sheetData>
  <pageMargins left="0.7" right="0.7" top="0.75" bottom="0.75" header="0.3" footer="0.3"/>
  <pageSetup fitToHeight="0"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F1ABBF-BB5B-4E11-9903-4092E4D2F62A}">
  <sheetPr codeName="Sheet5"/>
  <dimension ref="A5:DK32"/>
  <sheetViews>
    <sheetView zoomScaleNormal="100" workbookViewId="0">
      <selection activeCell="CW18" sqref="CW18:DK23"/>
    </sheetView>
  </sheetViews>
  <sheetFormatPr baseColWidth="10" defaultColWidth="9.1640625" defaultRowHeight="11"/>
  <cols>
    <col min="1" max="2" width="8.6640625" style="384" customWidth="1"/>
    <col min="3" max="3" width="12.83203125" style="384" customWidth="1"/>
    <col min="4" max="4" width="8.6640625" style="384" customWidth="1"/>
    <col min="5" max="5" width="15.5" style="384" bestFit="1" customWidth="1"/>
    <col min="6" max="88" width="15.5" style="384" customWidth="1"/>
    <col min="89" max="16384" width="9.1640625" style="384"/>
  </cols>
  <sheetData>
    <row r="5" spans="1:115" ht="16">
      <c r="A5" s="381" t="s">
        <v>2372</v>
      </c>
      <c r="B5" s="382" t="s">
        <v>2373</v>
      </c>
      <c r="C5" s="383"/>
    </row>
    <row r="6" spans="1:115" ht="32">
      <c r="A6" s="381" t="s">
        <v>2374</v>
      </c>
      <c r="B6" s="385" t="s">
        <v>2452</v>
      </c>
      <c r="C6" s="386"/>
      <c r="D6" s="386"/>
      <c r="E6" s="386"/>
      <c r="F6" s="386"/>
      <c r="G6" s="386"/>
      <c r="H6" s="386"/>
      <c r="I6" s="386"/>
      <c r="L6" s="387"/>
    </row>
    <row r="7" spans="1:115">
      <c r="A7" s="386"/>
      <c r="B7" s="386"/>
      <c r="C7" s="386"/>
      <c r="D7" s="386"/>
      <c r="E7" s="386"/>
      <c r="F7" s="386"/>
      <c r="G7" s="386"/>
      <c r="H7" s="386"/>
      <c r="I7" s="386"/>
    </row>
    <row r="8" spans="1:115" ht="192">
      <c r="A8" s="381" t="s">
        <v>2017</v>
      </c>
      <c r="B8" s="381" t="s">
        <v>1690</v>
      </c>
      <c r="C8" s="381" t="s">
        <v>2376</v>
      </c>
      <c r="D8" s="381" t="s">
        <v>2377</v>
      </c>
      <c r="E8" s="381" t="s">
        <v>2453</v>
      </c>
      <c r="F8" s="381" t="s">
        <v>2454</v>
      </c>
      <c r="G8" s="381" t="s">
        <v>2455</v>
      </c>
      <c r="H8" s="381" t="s">
        <v>2456</v>
      </c>
      <c r="I8" s="381" t="s">
        <v>2457</v>
      </c>
      <c r="J8" s="381" t="s">
        <v>2458</v>
      </c>
      <c r="K8" s="381" t="s">
        <v>2459</v>
      </c>
      <c r="L8" s="381" t="s">
        <v>2460</v>
      </c>
      <c r="M8" s="381" t="s">
        <v>2461</v>
      </c>
      <c r="N8" s="381" t="s">
        <v>2462</v>
      </c>
      <c r="O8" s="381" t="s">
        <v>2463</v>
      </c>
      <c r="P8" s="381" t="s">
        <v>2464</v>
      </c>
      <c r="Q8" s="381" t="s">
        <v>2465</v>
      </c>
      <c r="R8" s="381" t="s">
        <v>2466</v>
      </c>
      <c r="S8" s="381" t="s">
        <v>2467</v>
      </c>
      <c r="T8" s="381" t="s">
        <v>2390</v>
      </c>
      <c r="U8" s="381" t="s">
        <v>2391</v>
      </c>
      <c r="V8" s="381" t="s">
        <v>2392</v>
      </c>
      <c r="W8" s="381" t="s">
        <v>2468</v>
      </c>
      <c r="X8" s="381" t="s">
        <v>2469</v>
      </c>
      <c r="Y8" s="381" t="s">
        <v>2470</v>
      </c>
      <c r="Z8" s="381" t="s">
        <v>2471</v>
      </c>
      <c r="AA8" s="381" t="s">
        <v>2472</v>
      </c>
      <c r="AB8" s="381" t="s">
        <v>2473</v>
      </c>
      <c r="AC8" s="381" t="s">
        <v>2474</v>
      </c>
      <c r="AD8" s="381" t="s">
        <v>2475</v>
      </c>
      <c r="AE8" s="381" t="s">
        <v>2476</v>
      </c>
      <c r="AF8" s="381" t="s">
        <v>2477</v>
      </c>
      <c r="AG8" s="381" t="s">
        <v>2478</v>
      </c>
      <c r="AH8" s="381" t="s">
        <v>2479</v>
      </c>
      <c r="AI8" s="381" t="s">
        <v>2480</v>
      </c>
      <c r="AJ8" s="381" t="s">
        <v>2481</v>
      </c>
      <c r="AK8" s="381" t="s">
        <v>2482</v>
      </c>
      <c r="AL8" s="381" t="s">
        <v>2483</v>
      </c>
      <c r="AM8" s="381" t="s">
        <v>2484</v>
      </c>
      <c r="AN8" s="381" t="s">
        <v>2485</v>
      </c>
      <c r="AO8" s="381" t="s">
        <v>2486</v>
      </c>
      <c r="AP8" s="381" t="s">
        <v>2487</v>
      </c>
      <c r="AQ8" s="381" t="s">
        <v>2488</v>
      </c>
      <c r="AR8" s="381" t="s">
        <v>2489</v>
      </c>
      <c r="AS8" s="381" t="s">
        <v>2490</v>
      </c>
      <c r="AT8" s="381" t="s">
        <v>2491</v>
      </c>
      <c r="AU8" s="381" t="s">
        <v>2492</v>
      </c>
      <c r="AV8" s="381" t="s">
        <v>2493</v>
      </c>
      <c r="AW8" s="381" t="s">
        <v>2494</v>
      </c>
      <c r="AX8" s="381" t="s">
        <v>2495</v>
      </c>
      <c r="AY8" s="381" t="s">
        <v>2496</v>
      </c>
      <c r="AZ8" s="381" t="s">
        <v>2497</v>
      </c>
      <c r="BA8" s="381" t="s">
        <v>2498</v>
      </c>
      <c r="BB8" s="381" t="s">
        <v>2499</v>
      </c>
      <c r="BC8" s="381" t="s">
        <v>2500</v>
      </c>
      <c r="BD8" s="381" t="s">
        <v>2501</v>
      </c>
      <c r="BE8" s="381" t="s">
        <v>2502</v>
      </c>
      <c r="BF8" s="381" t="s">
        <v>2503</v>
      </c>
      <c r="BG8" s="381" t="s">
        <v>2504</v>
      </c>
      <c r="BH8" s="381" t="s">
        <v>2505</v>
      </c>
      <c r="BI8" s="381" t="s">
        <v>2506</v>
      </c>
      <c r="BJ8" s="381" t="s">
        <v>2507</v>
      </c>
      <c r="BK8" s="381" t="s">
        <v>2508</v>
      </c>
      <c r="BL8" s="381" t="s">
        <v>2509</v>
      </c>
      <c r="BM8" s="381" t="s">
        <v>2510</v>
      </c>
      <c r="BN8" s="381" t="s">
        <v>2511</v>
      </c>
      <c r="BO8" s="381" t="s">
        <v>2512</v>
      </c>
      <c r="BP8" s="381" t="s">
        <v>2513</v>
      </c>
      <c r="BQ8" s="381" t="s">
        <v>2514</v>
      </c>
      <c r="BR8" s="381" t="s">
        <v>2515</v>
      </c>
      <c r="BS8" s="381" t="s">
        <v>2516</v>
      </c>
      <c r="BT8" s="381" t="s">
        <v>2517</v>
      </c>
      <c r="BU8" s="381" t="s">
        <v>2518</v>
      </c>
      <c r="BV8" s="381" t="s">
        <v>2519</v>
      </c>
      <c r="BW8" s="381" t="s">
        <v>2520</v>
      </c>
      <c r="BX8" s="381" t="s">
        <v>2521</v>
      </c>
      <c r="BY8" s="381" t="s">
        <v>2522</v>
      </c>
      <c r="BZ8" s="381" t="s">
        <v>2523</v>
      </c>
      <c r="CA8" s="381" t="s">
        <v>2524</v>
      </c>
      <c r="CB8" s="381" t="s">
        <v>2525</v>
      </c>
      <c r="CC8" s="381" t="s">
        <v>2526</v>
      </c>
      <c r="CD8" s="381" t="s">
        <v>2527</v>
      </c>
      <c r="CE8" s="381" t="s">
        <v>2528</v>
      </c>
      <c r="CF8" s="381" t="s">
        <v>2529</v>
      </c>
      <c r="CG8" s="381" t="s">
        <v>2530</v>
      </c>
      <c r="CH8" s="381" t="s">
        <v>2531</v>
      </c>
      <c r="CI8" s="381" t="s">
        <v>2532</v>
      </c>
      <c r="CJ8" s="381" t="s">
        <v>2533</v>
      </c>
      <c r="CK8" s="381" t="s">
        <v>2534</v>
      </c>
      <c r="CL8" s="381" t="s">
        <v>2535</v>
      </c>
      <c r="CM8" s="381" t="s">
        <v>2536</v>
      </c>
      <c r="CN8" s="381" t="s">
        <v>2537</v>
      </c>
      <c r="CO8" s="381" t="s">
        <v>2538</v>
      </c>
      <c r="CP8" s="381" t="s">
        <v>2539</v>
      </c>
      <c r="CQ8" s="895" t="s">
        <v>2540</v>
      </c>
      <c r="CR8" s="895" t="s">
        <v>2541</v>
      </c>
      <c r="CS8" s="895" t="s">
        <v>2542</v>
      </c>
      <c r="CT8" s="895" t="s">
        <v>2543</v>
      </c>
      <c r="CU8" s="895" t="s">
        <v>2544</v>
      </c>
      <c r="CV8" s="895" t="s">
        <v>2545</v>
      </c>
      <c r="CW8" s="895" t="s">
        <v>2390</v>
      </c>
      <c r="CX8" s="895" t="s">
        <v>2391</v>
      </c>
      <c r="CY8" s="895" t="s">
        <v>2392</v>
      </c>
      <c r="CZ8" s="895" t="s">
        <v>2393</v>
      </c>
      <c r="DA8" s="895" t="s">
        <v>2394</v>
      </c>
      <c r="DB8" s="895" t="s">
        <v>2395</v>
      </c>
      <c r="DC8" s="895" t="s">
        <v>2396</v>
      </c>
      <c r="DD8" s="895" t="s">
        <v>2397</v>
      </c>
      <c r="DE8" s="895" t="s">
        <v>2398</v>
      </c>
      <c r="DF8" s="895" t="s">
        <v>2399</v>
      </c>
      <c r="DG8" s="895" t="s">
        <v>2400</v>
      </c>
      <c r="DH8" s="895" t="s">
        <v>2401</v>
      </c>
      <c r="DI8" s="895" t="s">
        <v>2402</v>
      </c>
      <c r="DJ8" s="895" t="s">
        <v>2403</v>
      </c>
      <c r="DK8" s="895" t="s">
        <v>2404</v>
      </c>
    </row>
    <row r="9" spans="1:115" ht="15" hidden="1">
      <c r="B9" s="388" t="s">
        <v>421</v>
      </c>
      <c r="C9" s="388" t="s">
        <v>2405</v>
      </c>
      <c r="D9" s="388" t="s">
        <v>2406</v>
      </c>
      <c r="E9" s="388" t="s">
        <v>2407</v>
      </c>
      <c r="F9" s="388" t="s">
        <v>2408</v>
      </c>
      <c r="G9" s="388" t="s">
        <v>2409</v>
      </c>
      <c r="H9" s="388" t="s">
        <v>2410</v>
      </c>
      <c r="I9" s="388" t="s">
        <v>2411</v>
      </c>
      <c r="J9" s="388" t="s">
        <v>2412</v>
      </c>
      <c r="K9" s="388" t="s">
        <v>2413</v>
      </c>
      <c r="L9" s="388" t="s">
        <v>2414</v>
      </c>
      <c r="M9" s="388" t="s">
        <v>2415</v>
      </c>
      <c r="N9" s="388" t="s">
        <v>2416</v>
      </c>
      <c r="O9" s="388" t="s">
        <v>2417</v>
      </c>
      <c r="P9" s="388" t="s">
        <v>2418</v>
      </c>
      <c r="Q9" s="388" t="s">
        <v>2419</v>
      </c>
      <c r="R9" s="388" t="s">
        <v>2420</v>
      </c>
      <c r="S9" s="388" t="s">
        <v>2421</v>
      </c>
      <c r="T9" s="388" t="s">
        <v>2422</v>
      </c>
      <c r="U9" s="388" t="s">
        <v>2423</v>
      </c>
      <c r="V9" s="388" t="s">
        <v>2424</v>
      </c>
      <c r="W9" s="388" t="s">
        <v>2425</v>
      </c>
      <c r="X9" s="388" t="s">
        <v>2426</v>
      </c>
      <c r="Y9" s="388" t="s">
        <v>2427</v>
      </c>
      <c r="Z9" s="388" t="s">
        <v>2428</v>
      </c>
      <c r="AA9" s="388" t="s">
        <v>2429</v>
      </c>
      <c r="AB9" s="388" t="s">
        <v>2430</v>
      </c>
      <c r="AC9" s="388" t="s">
        <v>2431</v>
      </c>
      <c r="AD9" s="388" t="s">
        <v>2432</v>
      </c>
      <c r="AE9" s="388" t="s">
        <v>2433</v>
      </c>
      <c r="AF9" s="388" t="s">
        <v>2546</v>
      </c>
      <c r="AG9" s="388" t="s">
        <v>2547</v>
      </c>
      <c r="AH9" s="388" t="s">
        <v>2548</v>
      </c>
      <c r="AI9" s="388" t="s">
        <v>2549</v>
      </c>
      <c r="AJ9" s="388" t="s">
        <v>2550</v>
      </c>
      <c r="AK9" s="388" t="s">
        <v>2551</v>
      </c>
      <c r="AL9" s="388" t="s">
        <v>2552</v>
      </c>
      <c r="AM9" s="388" t="s">
        <v>2553</v>
      </c>
      <c r="AN9" s="388" t="s">
        <v>2554</v>
      </c>
      <c r="AO9" s="388" t="s">
        <v>2555</v>
      </c>
      <c r="AP9" s="388" t="s">
        <v>2556</v>
      </c>
      <c r="AQ9" s="388" t="s">
        <v>2557</v>
      </c>
      <c r="AR9" s="388" t="s">
        <v>2558</v>
      </c>
      <c r="AS9" s="388" t="s">
        <v>2559</v>
      </c>
      <c r="AT9" s="388" t="s">
        <v>2560</v>
      </c>
      <c r="AU9" s="388" t="s">
        <v>2561</v>
      </c>
      <c r="AV9" s="388" t="s">
        <v>2562</v>
      </c>
      <c r="AW9" s="388" t="s">
        <v>2563</v>
      </c>
      <c r="AX9" s="388" t="s">
        <v>2564</v>
      </c>
      <c r="AY9" s="388" t="s">
        <v>2565</v>
      </c>
      <c r="AZ9" s="388" t="s">
        <v>2566</v>
      </c>
      <c r="BA9" s="388" t="s">
        <v>2567</v>
      </c>
      <c r="BB9" s="388" t="s">
        <v>2568</v>
      </c>
      <c r="BC9" s="388" t="s">
        <v>2569</v>
      </c>
      <c r="BD9" s="388" t="s">
        <v>2570</v>
      </c>
      <c r="BE9" s="388" t="s">
        <v>2571</v>
      </c>
      <c r="BF9" s="388" t="s">
        <v>2572</v>
      </c>
      <c r="BG9" s="388" t="s">
        <v>2573</v>
      </c>
      <c r="BH9" s="388" t="s">
        <v>2574</v>
      </c>
      <c r="BI9" s="388" t="s">
        <v>2575</v>
      </c>
      <c r="BJ9" s="388" t="s">
        <v>2576</v>
      </c>
      <c r="BK9" s="388" t="s">
        <v>2577</v>
      </c>
      <c r="BL9" s="388" t="s">
        <v>2578</v>
      </c>
      <c r="BM9" s="388" t="s">
        <v>2579</v>
      </c>
      <c r="BN9" s="388" t="s">
        <v>2580</v>
      </c>
      <c r="BO9" s="388" t="s">
        <v>2581</v>
      </c>
      <c r="BP9" s="388" t="s">
        <v>2582</v>
      </c>
      <c r="BQ9" s="388" t="s">
        <v>2583</v>
      </c>
      <c r="BR9" s="388" t="s">
        <v>2584</v>
      </c>
      <c r="BS9" s="388" t="s">
        <v>2585</v>
      </c>
      <c r="BT9" s="388" t="s">
        <v>2586</v>
      </c>
      <c r="BU9" s="388" t="s">
        <v>2587</v>
      </c>
      <c r="BV9" s="388" t="s">
        <v>2588</v>
      </c>
      <c r="BW9" s="388" t="s">
        <v>2589</v>
      </c>
      <c r="BX9" s="388" t="s">
        <v>2590</v>
      </c>
      <c r="BY9" s="388" t="s">
        <v>2591</v>
      </c>
      <c r="BZ9" s="388" t="s">
        <v>2592</v>
      </c>
      <c r="CA9" s="388" t="s">
        <v>2593</v>
      </c>
      <c r="CB9" s="388" t="s">
        <v>2594</v>
      </c>
      <c r="CC9" s="388" t="s">
        <v>2595</v>
      </c>
      <c r="CD9" s="388" t="s">
        <v>2596</v>
      </c>
      <c r="CE9" s="388" t="s">
        <v>2597</v>
      </c>
      <c r="CF9" s="388" t="s">
        <v>2598</v>
      </c>
      <c r="CG9" s="388" t="s">
        <v>2599</v>
      </c>
      <c r="CH9" s="388" t="s">
        <v>2600</v>
      </c>
      <c r="CI9" s="388" t="s">
        <v>2601</v>
      </c>
      <c r="CJ9" s="388" t="s">
        <v>2602</v>
      </c>
      <c r="CK9" s="388" t="s">
        <v>2603</v>
      </c>
      <c r="CL9" s="388" t="s">
        <v>2604</v>
      </c>
      <c r="CM9" s="388" t="s">
        <v>2605</v>
      </c>
      <c r="CN9" s="388" t="s">
        <v>2606</v>
      </c>
      <c r="CO9" s="388" t="s">
        <v>2607</v>
      </c>
      <c r="CP9" s="388" t="s">
        <v>2608</v>
      </c>
      <c r="CQ9" t="s">
        <v>2609</v>
      </c>
      <c r="CR9" t="s">
        <v>2610</v>
      </c>
      <c r="CS9" t="s">
        <v>2611</v>
      </c>
      <c r="CT9" t="s">
        <v>2612</v>
      </c>
      <c r="CU9" t="s">
        <v>2613</v>
      </c>
      <c r="CV9" t="s">
        <v>2614</v>
      </c>
      <c r="CW9" t="s">
        <v>2407</v>
      </c>
      <c r="CX9" t="s">
        <v>2408</v>
      </c>
      <c r="CY9" t="s">
        <v>2409</v>
      </c>
      <c r="CZ9" t="s">
        <v>2410</v>
      </c>
      <c r="DA9" t="s">
        <v>2411</v>
      </c>
      <c r="DB9" t="s">
        <v>2412</v>
      </c>
      <c r="DC9" t="s">
        <v>2413</v>
      </c>
      <c r="DD9" t="s">
        <v>2414</v>
      </c>
      <c r="DE9" t="s">
        <v>2415</v>
      </c>
      <c r="DF9" t="s">
        <v>2416</v>
      </c>
      <c r="DG9" t="s">
        <v>2417</v>
      </c>
      <c r="DH9" t="s">
        <v>2418</v>
      </c>
      <c r="DI9" t="s">
        <v>2419</v>
      </c>
      <c r="DJ9" t="s">
        <v>2420</v>
      </c>
      <c r="DK9" t="s">
        <v>2421</v>
      </c>
    </row>
    <row r="10" spans="1:115" ht="15">
      <c r="A10" s="389">
        <v>1</v>
      </c>
      <c r="B10" s="382" t="s">
        <v>1289</v>
      </c>
      <c r="C10" s="382" t="s">
        <v>2434</v>
      </c>
      <c r="D10" s="382" t="s">
        <v>2435</v>
      </c>
      <c r="E10" s="389">
        <v>2765847815554</v>
      </c>
      <c r="F10" s="389">
        <v>1542529736073</v>
      </c>
      <c r="G10" s="389">
        <v>1815085561979</v>
      </c>
      <c r="H10" s="389">
        <v>1595251018496</v>
      </c>
      <c r="I10" s="389">
        <v>3162121971586</v>
      </c>
      <c r="J10" s="389">
        <v>3072093853367</v>
      </c>
      <c r="K10" s="389">
        <v>1431776840141</v>
      </c>
      <c r="L10" s="389">
        <v>369573657457</v>
      </c>
      <c r="M10" s="389">
        <v>262268362817</v>
      </c>
      <c r="N10" s="389">
        <v>196394545434</v>
      </c>
      <c r="O10" s="389">
        <v>384236578232</v>
      </c>
      <c r="P10" s="389">
        <v>178061365251</v>
      </c>
      <c r="Q10" s="389">
        <v>66339804192178</v>
      </c>
      <c r="R10" s="389">
        <v>86516287002499</v>
      </c>
      <c r="S10" s="389">
        <v>102174243976723</v>
      </c>
      <c r="T10" s="389">
        <v>108546019665412</v>
      </c>
      <c r="U10" s="389">
        <v>122958106103174</v>
      </c>
      <c r="V10" s="389">
        <v>133404777590524</v>
      </c>
      <c r="W10" s="389">
        <v>12050162650982</v>
      </c>
      <c r="X10" s="389">
        <v>17446005298981</v>
      </c>
      <c r="Y10" s="389">
        <v>25745428436580</v>
      </c>
      <c r="Z10" s="389">
        <v>19422177452674</v>
      </c>
      <c r="AA10" s="389">
        <v>29167232293922</v>
      </c>
      <c r="AB10" s="389">
        <v>25696077735282</v>
      </c>
      <c r="AC10" s="389">
        <v>0</v>
      </c>
      <c r="AD10" s="389">
        <v>0</v>
      </c>
      <c r="AE10" s="389">
        <v>0</v>
      </c>
      <c r="AF10" s="389">
        <v>0</v>
      </c>
      <c r="AG10" s="389">
        <v>0</v>
      </c>
      <c r="AH10" s="389">
        <v>0</v>
      </c>
      <c r="AI10" s="389">
        <v>0</v>
      </c>
      <c r="AJ10" s="389">
        <v>0</v>
      </c>
      <c r="AK10" s="389">
        <v>0</v>
      </c>
      <c r="AL10" s="389">
        <v>0</v>
      </c>
      <c r="AM10" s="389">
        <v>0</v>
      </c>
      <c r="AN10" s="389">
        <v>0</v>
      </c>
      <c r="AO10" s="389">
        <v>0</v>
      </c>
      <c r="AP10" s="389">
        <v>0</v>
      </c>
      <c r="AQ10" s="389">
        <v>0</v>
      </c>
      <c r="AR10" s="389">
        <v>0</v>
      </c>
      <c r="AS10" s="389">
        <v>0</v>
      </c>
      <c r="AT10" s="389">
        <v>0</v>
      </c>
      <c r="AU10" s="389">
        <v>0</v>
      </c>
      <c r="AV10" s="389">
        <v>0</v>
      </c>
      <c r="AW10" s="389">
        <v>0</v>
      </c>
      <c r="AX10" s="389">
        <v>0</v>
      </c>
      <c r="AY10" s="389">
        <v>0</v>
      </c>
      <c r="AZ10" s="389">
        <v>0</v>
      </c>
      <c r="BA10" s="389">
        <v>12309955461929</v>
      </c>
      <c r="BB10" s="389">
        <v>17446005298981</v>
      </c>
      <c r="BC10" s="389">
        <v>26195934673884</v>
      </c>
      <c r="BD10" s="389">
        <v>19926363502366</v>
      </c>
      <c r="BE10" s="389">
        <v>29850068817719</v>
      </c>
      <c r="BF10" s="389">
        <v>26058131396686</v>
      </c>
      <c r="BG10" s="389">
        <v>0</v>
      </c>
      <c r="BH10" s="389">
        <v>0</v>
      </c>
      <c r="BI10" s="389">
        <v>0</v>
      </c>
      <c r="BJ10" s="389">
        <v>0</v>
      </c>
      <c r="BK10" s="389">
        <v>0</v>
      </c>
      <c r="BL10" s="389">
        <v>0</v>
      </c>
      <c r="BM10" s="389">
        <v>-55198024925235</v>
      </c>
      <c r="BN10" s="389">
        <v>-71224159239435</v>
      </c>
      <c r="BO10" s="389">
        <v>-82686444673012</v>
      </c>
      <c r="BP10" s="389">
        <v>-84591522392949</v>
      </c>
      <c r="BQ10" s="389">
        <v>-95325974107640</v>
      </c>
      <c r="BR10" s="389">
        <v>-102622562222663</v>
      </c>
      <c r="BS10" s="389">
        <v>-233202340492</v>
      </c>
      <c r="BT10" s="389">
        <v>-436416577674</v>
      </c>
      <c r="BU10" s="389">
        <v>-568136717134</v>
      </c>
      <c r="BV10" s="389">
        <v>-594003821021</v>
      </c>
      <c r="BW10" s="389">
        <v>-674427746189</v>
      </c>
      <c r="BX10" s="389">
        <v>-1362143909103</v>
      </c>
      <c r="BY10" s="389">
        <v>5603505990526</v>
      </c>
      <c r="BZ10" s="389">
        <v>5836454637089</v>
      </c>
      <c r="CA10" s="389">
        <v>13031015620192</v>
      </c>
      <c r="CB10" s="389">
        <v>15625180321924</v>
      </c>
      <c r="CC10" s="389">
        <v>24647474278786</v>
      </c>
      <c r="CD10" s="389">
        <v>10688138631456</v>
      </c>
      <c r="CE10" s="389">
        <v>1199932994830</v>
      </c>
      <c r="CF10" s="389">
        <v>1208167140389</v>
      </c>
      <c r="CG10" s="389">
        <v>1122136666657</v>
      </c>
      <c r="CH10" s="389">
        <v>1126676666653</v>
      </c>
      <c r="CI10" s="389">
        <v>0</v>
      </c>
      <c r="CJ10" s="389">
        <v>5901250000000</v>
      </c>
      <c r="CK10" s="390">
        <v>3468.93</v>
      </c>
      <c r="CL10" s="390">
        <v>5093.6400000000003</v>
      </c>
      <c r="CM10" s="390">
        <v>6419.56</v>
      </c>
      <c r="CN10" s="390">
        <v>7411.85</v>
      </c>
      <c r="CO10" s="390">
        <v>8815.2800000000007</v>
      </c>
      <c r="CP10" s="390">
        <v>10226.6</v>
      </c>
      <c r="CQ10" s="400">
        <v>22822664215220</v>
      </c>
      <c r="CR10" s="400">
        <v>28122531486856</v>
      </c>
      <c r="CS10" s="400">
        <v>41708095544883</v>
      </c>
      <c r="CT10" s="400">
        <v>46030879952454</v>
      </c>
      <c r="CU10" s="400">
        <v>62971404814942</v>
      </c>
      <c r="CV10" s="400">
        <v>55834209834075</v>
      </c>
      <c r="CW10" s="400">
        <v>108546019665412</v>
      </c>
      <c r="CX10" s="400">
        <v>122958106103174</v>
      </c>
      <c r="CY10" s="400">
        <v>133404777590524</v>
      </c>
      <c r="CZ10" s="400">
        <v>23954497272463</v>
      </c>
      <c r="DA10" s="400">
        <v>27632131995534</v>
      </c>
      <c r="DB10" s="400">
        <v>30782215367861</v>
      </c>
      <c r="DC10" s="400">
        <v>-15333798830787</v>
      </c>
      <c r="DD10" s="400">
        <v>-17914173302345</v>
      </c>
      <c r="DE10" s="400">
        <v>-21789998975781</v>
      </c>
      <c r="DF10" s="400">
        <v>-3404431838167</v>
      </c>
      <c r="DG10" s="400">
        <v>-3823390074765</v>
      </c>
      <c r="DH10" s="400">
        <v>-2348039543287</v>
      </c>
      <c r="DI10" s="400">
        <v>3919872709507</v>
      </c>
      <c r="DJ10" s="400">
        <v>4901426673890</v>
      </c>
      <c r="DK10" s="400">
        <v>4101714424939</v>
      </c>
    </row>
    <row r="11" spans="1:115" ht="15">
      <c r="A11" s="389">
        <v>2</v>
      </c>
      <c r="B11" s="382" t="s">
        <v>1291</v>
      </c>
      <c r="C11" s="382" t="s">
        <v>2436</v>
      </c>
      <c r="D11" s="382" t="s">
        <v>2435</v>
      </c>
      <c r="E11" s="389">
        <v>1016354073333</v>
      </c>
      <c r="F11" s="389">
        <v>1206756927412</v>
      </c>
      <c r="G11" s="389">
        <v>1178069210426</v>
      </c>
      <c r="H11" s="389">
        <v>1498241305903</v>
      </c>
      <c r="I11" s="389">
        <v>1985364755551</v>
      </c>
      <c r="J11" s="389">
        <v>606203194429</v>
      </c>
      <c r="K11" s="389">
        <v>305662334557</v>
      </c>
      <c r="L11" s="389">
        <v>237824070242</v>
      </c>
      <c r="M11" s="389">
        <v>294574594760</v>
      </c>
      <c r="N11" s="389">
        <v>172584643781</v>
      </c>
      <c r="O11" s="389">
        <v>80725494654</v>
      </c>
      <c r="P11" s="389">
        <v>89622537320</v>
      </c>
      <c r="Q11" s="389">
        <v>13146514956223</v>
      </c>
      <c r="R11" s="389">
        <v>15298334565898</v>
      </c>
      <c r="S11" s="389">
        <v>16633959747163</v>
      </c>
      <c r="T11" s="389">
        <v>14661417032222</v>
      </c>
      <c r="U11" s="389">
        <v>22494961408082</v>
      </c>
      <c r="V11" s="389">
        <v>30165800756670</v>
      </c>
      <c r="W11" s="389">
        <v>1723477573603</v>
      </c>
      <c r="X11" s="389">
        <v>2506218917201</v>
      </c>
      <c r="Y11" s="389">
        <v>3383542174980</v>
      </c>
      <c r="Z11" s="389">
        <v>1826717690762</v>
      </c>
      <c r="AA11" s="389">
        <v>4930359332607</v>
      </c>
      <c r="AB11" s="389">
        <v>6520937899049</v>
      </c>
      <c r="AC11" s="389">
        <v>883908213</v>
      </c>
      <c r="AD11" s="389">
        <v>4536530042</v>
      </c>
      <c r="AE11" s="389">
        <v>11162601645</v>
      </c>
      <c r="AF11" s="389">
        <v>3034573631</v>
      </c>
      <c r="AG11" s="389">
        <v>28704901610</v>
      </c>
      <c r="AH11" s="389">
        <v>7355624854</v>
      </c>
      <c r="AI11" s="389">
        <v>0</v>
      </c>
      <c r="AJ11" s="389">
        <v>0</v>
      </c>
      <c r="AK11" s="389">
        <v>0</v>
      </c>
      <c r="AL11" s="389">
        <v>0</v>
      </c>
      <c r="AM11" s="389">
        <v>0</v>
      </c>
      <c r="AN11" s="389">
        <v>0</v>
      </c>
      <c r="AO11" s="389">
        <v>48683806050</v>
      </c>
      <c r="AP11" s="389">
        <v>7872081241</v>
      </c>
      <c r="AQ11" s="389">
        <v>6987441761</v>
      </c>
      <c r="AR11" s="389">
        <v>2906430105</v>
      </c>
      <c r="AS11" s="389">
        <v>13315930516</v>
      </c>
      <c r="AT11" s="389">
        <v>53367684634</v>
      </c>
      <c r="AU11" s="389">
        <v>0</v>
      </c>
      <c r="AV11" s="389">
        <v>0</v>
      </c>
      <c r="AW11" s="389">
        <v>0</v>
      </c>
      <c r="AX11" s="389">
        <v>0</v>
      </c>
      <c r="AY11" s="389">
        <v>0</v>
      </c>
      <c r="AZ11" s="389">
        <v>0</v>
      </c>
      <c r="BA11" s="389">
        <v>1679781658963</v>
      </c>
      <c r="BB11" s="389">
        <v>2507175192808</v>
      </c>
      <c r="BC11" s="389">
        <v>3380942372711</v>
      </c>
      <c r="BD11" s="389">
        <v>1847193194406</v>
      </c>
      <c r="BE11" s="389">
        <v>4933952990684</v>
      </c>
      <c r="BF11" s="389">
        <v>6501949169090</v>
      </c>
      <c r="BG11" s="389">
        <v>0</v>
      </c>
      <c r="BH11" s="389">
        <v>0</v>
      </c>
      <c r="BI11" s="389">
        <v>0</v>
      </c>
      <c r="BJ11" s="389">
        <v>0</v>
      </c>
      <c r="BK11" s="389">
        <v>0</v>
      </c>
      <c r="BL11" s="389">
        <v>0</v>
      </c>
      <c r="BM11" s="389">
        <v>-11330254658862</v>
      </c>
      <c r="BN11" s="389">
        <v>-13254725142547</v>
      </c>
      <c r="BO11" s="389">
        <v>-14522902581026</v>
      </c>
      <c r="BP11" s="389">
        <v>-12620414733505</v>
      </c>
      <c r="BQ11" s="389">
        <v>-19343448146483</v>
      </c>
      <c r="BR11" s="389">
        <v>-25462623377413</v>
      </c>
      <c r="BS11" s="389">
        <v>-78950962895</v>
      </c>
      <c r="BT11" s="389">
        <v>-95670507863</v>
      </c>
      <c r="BU11" s="389">
        <v>-135183263352</v>
      </c>
      <c r="BV11" s="389">
        <v>-113682404790</v>
      </c>
      <c r="BW11" s="389">
        <v>-132229176761</v>
      </c>
      <c r="BX11" s="389">
        <v>-231527904809</v>
      </c>
      <c r="BY11" s="389">
        <v>1173002592760</v>
      </c>
      <c r="BZ11" s="389">
        <v>2947271984607</v>
      </c>
      <c r="CA11" s="389">
        <v>3698035574035</v>
      </c>
      <c r="CB11" s="389">
        <v>2485948231980</v>
      </c>
      <c r="CC11" s="389">
        <v>6047406062780</v>
      </c>
      <c r="CD11" s="389">
        <v>5363331144812</v>
      </c>
      <c r="CE11" s="389">
        <v>0</v>
      </c>
      <c r="CF11" s="389">
        <v>0</v>
      </c>
      <c r="CG11" s="389">
        <v>0</v>
      </c>
      <c r="CH11" s="389">
        <v>0</v>
      </c>
      <c r="CI11" s="389">
        <v>0</v>
      </c>
      <c r="CJ11" s="389">
        <v>0</v>
      </c>
      <c r="CK11" s="390">
        <v>363.05</v>
      </c>
      <c r="CL11" s="390">
        <v>461.28</v>
      </c>
      <c r="CM11" s="390">
        <v>343.57</v>
      </c>
      <c r="CN11" s="390">
        <v>78.75</v>
      </c>
      <c r="CO11" s="390">
        <v>498.67</v>
      </c>
      <c r="CP11" s="390">
        <v>564.27</v>
      </c>
      <c r="CQ11" s="400">
        <v>3871228277524</v>
      </c>
      <c r="CR11" s="400">
        <v>5167669414965</v>
      </c>
      <c r="CS11" s="400">
        <v>6593773034422</v>
      </c>
      <c r="CT11" s="400">
        <v>5387577886028</v>
      </c>
      <c r="CU11" s="400">
        <v>10786068729507</v>
      </c>
      <c r="CV11" s="400">
        <v>10464314708314</v>
      </c>
      <c r="CW11" s="400">
        <v>14661417032222</v>
      </c>
      <c r="CX11" s="400">
        <v>22494961408082</v>
      </c>
      <c r="CY11" s="400">
        <v>30165800756670</v>
      </c>
      <c r="CZ11" s="400">
        <v>2041002298717</v>
      </c>
      <c r="DA11" s="400">
        <v>3151513261599</v>
      </c>
      <c r="DB11" s="400">
        <v>4703177379257</v>
      </c>
      <c r="DC11" s="400">
        <v>-1565736555190</v>
      </c>
      <c r="DD11" s="400">
        <v>-2071124789339</v>
      </c>
      <c r="DE11" s="400">
        <v>-3259297597681</v>
      </c>
      <c r="DF11" s="400">
        <v>-397884049877</v>
      </c>
      <c r="DG11" s="400">
        <v>-585528444388</v>
      </c>
      <c r="DH11" s="400">
        <v>-887338884656</v>
      </c>
      <c r="DI11" s="400">
        <v>10216730526</v>
      </c>
      <c r="DJ11" s="400">
        <v>443898346428</v>
      </c>
      <c r="DK11" s="400">
        <v>398074197408</v>
      </c>
    </row>
    <row r="12" spans="1:115" ht="15">
      <c r="A12" s="389">
        <v>3</v>
      </c>
      <c r="B12" s="382" t="s">
        <v>1293</v>
      </c>
      <c r="C12" s="382" t="s">
        <v>2437</v>
      </c>
      <c r="D12" s="382" t="s">
        <v>2435</v>
      </c>
      <c r="E12" s="389">
        <v>2229463525562</v>
      </c>
      <c r="F12" s="389">
        <v>1847136673354</v>
      </c>
      <c r="G12" s="389">
        <v>1451095996327</v>
      </c>
      <c r="H12" s="389">
        <v>2086126253579</v>
      </c>
      <c r="I12" s="389">
        <v>2494856930482</v>
      </c>
      <c r="J12" s="389">
        <v>2023593859952</v>
      </c>
      <c r="K12" s="389">
        <v>1684907681145</v>
      </c>
      <c r="L12" s="389">
        <v>1602337603339</v>
      </c>
      <c r="M12" s="389">
        <v>1335173232707</v>
      </c>
      <c r="N12" s="389">
        <v>1654532686040</v>
      </c>
      <c r="O12" s="389">
        <v>2517021445807</v>
      </c>
      <c r="P12" s="389">
        <v>2093606196623</v>
      </c>
      <c r="Q12" s="389">
        <v>10703258272090</v>
      </c>
      <c r="R12" s="389">
        <v>11091976334739</v>
      </c>
      <c r="S12" s="389">
        <v>10008488846193</v>
      </c>
      <c r="T12" s="389">
        <v>13453248702327</v>
      </c>
      <c r="U12" s="389">
        <v>17598237599586</v>
      </c>
      <c r="V12" s="389">
        <v>17665363747059</v>
      </c>
      <c r="W12" s="389">
        <v>774605298993</v>
      </c>
      <c r="X12" s="389">
        <v>1005806038013</v>
      </c>
      <c r="Y12" s="389">
        <v>1121577450141</v>
      </c>
      <c r="Z12" s="389">
        <v>783792091015</v>
      </c>
      <c r="AA12" s="389">
        <v>1447149643236</v>
      </c>
      <c r="AB12" s="389">
        <v>2438014041848</v>
      </c>
      <c r="AC12" s="389">
        <v>64496621718</v>
      </c>
      <c r="AD12" s="389">
        <v>118592796571</v>
      </c>
      <c r="AE12" s="389">
        <v>47250746363</v>
      </c>
      <c r="AF12" s="389">
        <v>334493883707</v>
      </c>
      <c r="AG12" s="389">
        <v>652394489519</v>
      </c>
      <c r="AH12" s="389">
        <v>119335442564</v>
      </c>
      <c r="AI12" s="389">
        <v>1637344682</v>
      </c>
      <c r="AJ12" s="389">
        <v>1351239429</v>
      </c>
      <c r="AK12" s="389">
        <v>4960325176</v>
      </c>
      <c r="AL12" s="389">
        <v>557421262</v>
      </c>
      <c r="AM12" s="389">
        <v>10835531258</v>
      </c>
      <c r="AN12" s="389">
        <v>8503017790</v>
      </c>
      <c r="AO12" s="389">
        <v>2796581843</v>
      </c>
      <c r="AP12" s="389">
        <v>2018607974</v>
      </c>
      <c r="AQ12" s="389">
        <v>2922569926</v>
      </c>
      <c r="AR12" s="389">
        <v>1564803024</v>
      </c>
      <c r="AS12" s="389">
        <v>4192468769</v>
      </c>
      <c r="AT12" s="389">
        <v>2450717188</v>
      </c>
      <c r="AU12" s="389">
        <v>37140025</v>
      </c>
      <c r="AV12" s="389">
        <v>19074107</v>
      </c>
      <c r="AW12" s="389">
        <v>0</v>
      </c>
      <c r="AX12" s="389">
        <v>0</v>
      </c>
      <c r="AY12" s="389">
        <v>0</v>
      </c>
      <c r="AZ12" s="389">
        <v>756014617</v>
      </c>
      <c r="BA12" s="389">
        <v>682996947436</v>
      </c>
      <c r="BB12" s="389">
        <v>816546887425</v>
      </c>
      <c r="BC12" s="389">
        <v>1006017927506</v>
      </c>
      <c r="BD12" s="389">
        <v>445165295772</v>
      </c>
      <c r="BE12" s="389">
        <v>749959244827</v>
      </c>
      <c r="BF12" s="389">
        <v>2309403017767</v>
      </c>
      <c r="BG12" s="389">
        <v>38450824552</v>
      </c>
      <c r="BH12" s="389">
        <v>62708511296</v>
      </c>
      <c r="BI12" s="389">
        <v>80439956453</v>
      </c>
      <c r="BJ12" s="389">
        <v>26421177278</v>
      </c>
      <c r="BK12" s="389">
        <v>60109049748</v>
      </c>
      <c r="BL12" s="389">
        <v>24090481205</v>
      </c>
      <c r="BM12" s="389">
        <v>-9955349766791</v>
      </c>
      <c r="BN12" s="389">
        <v>-10429535229187</v>
      </c>
      <c r="BO12" s="389">
        <v>-9397354564382</v>
      </c>
      <c r="BP12" s="389">
        <v>-12784348853200</v>
      </c>
      <c r="BQ12" s="389">
        <v>-16659038153375</v>
      </c>
      <c r="BR12" s="389">
        <v>-16693375054330</v>
      </c>
      <c r="BS12" s="389">
        <v>-105602842553</v>
      </c>
      <c r="BT12" s="389">
        <v>-93376087267</v>
      </c>
      <c r="BU12" s="389">
        <v>-67681145079</v>
      </c>
      <c r="BV12" s="389">
        <v>-76419942463</v>
      </c>
      <c r="BW12" s="389">
        <v>-81065460546</v>
      </c>
      <c r="BX12" s="389">
        <v>-162128960921</v>
      </c>
      <c r="BY12" s="389">
        <v>2031170448265</v>
      </c>
      <c r="BZ12" s="389">
        <v>1614290757720</v>
      </c>
      <c r="CA12" s="389">
        <v>1270668669493</v>
      </c>
      <c r="CB12" s="389">
        <v>2507845798049</v>
      </c>
      <c r="CC12" s="389">
        <v>3560524219400</v>
      </c>
      <c r="CD12" s="389">
        <v>4112647248842</v>
      </c>
      <c r="CE12" s="389">
        <v>278882003882</v>
      </c>
      <c r="CF12" s="389">
        <v>279910424775</v>
      </c>
      <c r="CG12" s="389">
        <v>254765496637</v>
      </c>
      <c r="CH12" s="389">
        <v>207245734348</v>
      </c>
      <c r="CI12" s="389">
        <v>95462000603</v>
      </c>
      <c r="CJ12" s="389">
        <v>76091980774</v>
      </c>
      <c r="CK12" s="390">
        <v>328.05</v>
      </c>
      <c r="CL12" s="390">
        <v>287.02999999999997</v>
      </c>
      <c r="CM12" s="390">
        <v>202.35</v>
      </c>
      <c r="CN12" s="390">
        <v>298.77999999999997</v>
      </c>
      <c r="CO12" s="390">
        <v>445.19</v>
      </c>
      <c r="CP12" s="390">
        <v>534.26</v>
      </c>
      <c r="CQ12" s="400">
        <v>6172779246067</v>
      </c>
      <c r="CR12" s="400">
        <v>5563061574237</v>
      </c>
      <c r="CS12" s="400">
        <v>4966334501358</v>
      </c>
      <c r="CT12" s="400">
        <v>6320756540108</v>
      </c>
      <c r="CU12" s="400">
        <v>8493140365997</v>
      </c>
      <c r="CV12" s="400">
        <v>9054196917236</v>
      </c>
      <c r="CW12" s="400">
        <v>13453248702327</v>
      </c>
      <c r="CX12" s="400">
        <v>17598237599586</v>
      </c>
      <c r="CY12" s="400">
        <v>17665363747059</v>
      </c>
      <c r="CZ12" s="400">
        <v>668899849127</v>
      </c>
      <c r="DA12" s="400">
        <v>939199446211</v>
      </c>
      <c r="DB12" s="400">
        <v>971988692729</v>
      </c>
      <c r="DC12" s="400">
        <v>-232406377528</v>
      </c>
      <c r="DD12" s="400">
        <v>-284855285475</v>
      </c>
      <c r="DE12" s="400">
        <v>-335915611492</v>
      </c>
      <c r="DF12" s="400">
        <v>-201947554458</v>
      </c>
      <c r="DG12" s="400">
        <v>-271461913218</v>
      </c>
      <c r="DH12" s="400">
        <v>-165085933482</v>
      </c>
      <c r="DI12" s="400">
        <v>140166600258</v>
      </c>
      <c r="DJ12" s="400">
        <v>311458745048</v>
      </c>
      <c r="DK12" s="400">
        <v>167836126656</v>
      </c>
    </row>
    <row r="13" spans="1:115" ht="15">
      <c r="A13" s="389">
        <v>4</v>
      </c>
      <c r="B13" s="382" t="s">
        <v>1295</v>
      </c>
      <c r="C13" s="382" t="s">
        <v>2438</v>
      </c>
      <c r="D13" s="382" t="s">
        <v>2435</v>
      </c>
      <c r="E13" s="389">
        <v>482229443107</v>
      </c>
      <c r="F13" s="389">
        <v>600825766492</v>
      </c>
      <c r="G13" s="389">
        <v>584637877626</v>
      </c>
      <c r="H13" s="389">
        <v>1131244267296</v>
      </c>
      <c r="I13" s="389">
        <v>1785999305051</v>
      </c>
      <c r="J13" s="389">
        <v>1578648707157</v>
      </c>
      <c r="K13" s="389">
        <v>373386814444</v>
      </c>
      <c r="L13" s="389">
        <v>543907690222</v>
      </c>
      <c r="M13" s="389">
        <v>550957763262</v>
      </c>
      <c r="N13" s="389">
        <v>1100012071824</v>
      </c>
      <c r="O13" s="389">
        <v>1678543385102</v>
      </c>
      <c r="P13" s="389">
        <v>1495983810520</v>
      </c>
      <c r="Q13" s="389">
        <v>3820943754886</v>
      </c>
      <c r="R13" s="389">
        <v>5937370646801</v>
      </c>
      <c r="S13" s="389">
        <v>8488068610115</v>
      </c>
      <c r="T13" s="389">
        <v>12535637837430</v>
      </c>
      <c r="U13" s="389">
        <v>20922813468779</v>
      </c>
      <c r="V13" s="389">
        <v>22059207686235</v>
      </c>
      <c r="W13" s="389">
        <v>883035305390</v>
      </c>
      <c r="X13" s="389">
        <v>1314175256832</v>
      </c>
      <c r="Y13" s="389">
        <v>1453645856457</v>
      </c>
      <c r="Z13" s="389">
        <v>827371174363</v>
      </c>
      <c r="AA13" s="389">
        <v>2888111274480</v>
      </c>
      <c r="AB13" s="389">
        <v>3254338593622</v>
      </c>
      <c r="AC13" s="389">
        <v>184219174247</v>
      </c>
      <c r="AD13" s="389">
        <v>226429824870</v>
      </c>
      <c r="AE13" s="389">
        <v>220549306326</v>
      </c>
      <c r="AF13" s="389">
        <v>312753076591</v>
      </c>
      <c r="AG13" s="389">
        <v>1458995517415</v>
      </c>
      <c r="AH13" s="389">
        <v>646809383666</v>
      </c>
      <c r="AI13" s="389">
        <v>0</v>
      </c>
      <c r="AJ13" s="389">
        <v>0</v>
      </c>
      <c r="AK13" s="389">
        <v>0</v>
      </c>
      <c r="AL13" s="389">
        <v>0</v>
      </c>
      <c r="AM13" s="389">
        <v>0</v>
      </c>
      <c r="AN13" s="389">
        <v>0</v>
      </c>
      <c r="AO13" s="389">
        <v>0</v>
      </c>
      <c r="AP13" s="389">
        <v>0</v>
      </c>
      <c r="AQ13" s="389">
        <v>0</v>
      </c>
      <c r="AR13" s="389">
        <v>0</v>
      </c>
      <c r="AS13" s="389">
        <v>0</v>
      </c>
      <c r="AT13" s="389">
        <v>0</v>
      </c>
      <c r="AU13" s="389">
        <v>0</v>
      </c>
      <c r="AV13" s="389">
        <v>0</v>
      </c>
      <c r="AW13" s="389">
        <v>0</v>
      </c>
      <c r="AX13" s="389">
        <v>0</v>
      </c>
      <c r="AY13" s="389">
        <v>0</v>
      </c>
      <c r="AZ13" s="389">
        <v>0</v>
      </c>
      <c r="BA13" s="389">
        <v>692530709466</v>
      </c>
      <c r="BB13" s="389">
        <v>1087757158371</v>
      </c>
      <c r="BC13" s="389">
        <v>1238065904775</v>
      </c>
      <c r="BD13" s="389">
        <v>522864387021</v>
      </c>
      <c r="BE13" s="389">
        <v>1402704766823</v>
      </c>
      <c r="BF13" s="389">
        <v>2745538967676</v>
      </c>
      <c r="BG13" s="389">
        <v>9314160247</v>
      </c>
      <c r="BH13" s="389">
        <v>6635782628</v>
      </c>
      <c r="BI13" s="389">
        <v>4871741860</v>
      </c>
      <c r="BJ13" s="389">
        <v>7495657337</v>
      </c>
      <c r="BK13" s="389">
        <v>47535469814</v>
      </c>
      <c r="BL13" s="389">
        <v>19343908965</v>
      </c>
      <c r="BM13" s="389">
        <v>-3546193418488</v>
      </c>
      <c r="BN13" s="389">
        <v>-5568464365609</v>
      </c>
      <c r="BO13" s="389">
        <v>-7939942178839</v>
      </c>
      <c r="BP13" s="389">
        <v>-11732855520719</v>
      </c>
      <c r="BQ13" s="389">
        <v>-19414819300276</v>
      </c>
      <c r="BR13" s="389">
        <v>-20396747935946</v>
      </c>
      <c r="BS13" s="389">
        <v>-22611716336</v>
      </c>
      <c r="BT13" s="389">
        <v>-32134890085</v>
      </c>
      <c r="BU13" s="389">
        <v>-47582349664</v>
      </c>
      <c r="BV13" s="389">
        <v>-27018043416</v>
      </c>
      <c r="BW13" s="389">
        <v>-31886522705</v>
      </c>
      <c r="BX13" s="389">
        <v>-99165599216</v>
      </c>
      <c r="BY13" s="389">
        <v>620944447016</v>
      </c>
      <c r="BZ13" s="389">
        <v>836884134770</v>
      </c>
      <c r="CA13" s="389">
        <v>620251725006</v>
      </c>
      <c r="CB13" s="389">
        <v>629601074208</v>
      </c>
      <c r="CC13" s="389">
        <v>1117227937872</v>
      </c>
      <c r="CD13" s="389">
        <v>1914826375993</v>
      </c>
      <c r="CE13" s="389">
        <v>0</v>
      </c>
      <c r="CF13" s="389">
        <v>0</v>
      </c>
      <c r="CG13" s="389">
        <v>0</v>
      </c>
      <c r="CH13" s="389">
        <v>0</v>
      </c>
      <c r="CI13" s="389">
        <v>0</v>
      </c>
      <c r="CJ13" s="389">
        <v>41100000000</v>
      </c>
      <c r="CK13" s="390">
        <v>97.9</v>
      </c>
      <c r="CL13" s="390">
        <v>148.6</v>
      </c>
      <c r="CM13" s="390">
        <v>205.53</v>
      </c>
      <c r="CN13" s="390">
        <v>284.49</v>
      </c>
      <c r="CO13" s="390">
        <v>692.3</v>
      </c>
      <c r="CP13" s="390">
        <v>817.71</v>
      </c>
      <c r="CQ13" s="400">
        <v>1593948921358</v>
      </c>
      <c r="CR13" s="400">
        <v>2223336113606</v>
      </c>
      <c r="CS13" s="400">
        <v>2405055202067</v>
      </c>
      <c r="CT13" s="400">
        <v>3068747129430</v>
      </c>
      <c r="CU13" s="400">
        <v>6544822568016</v>
      </c>
      <c r="CV13" s="400">
        <v>6355289123578</v>
      </c>
      <c r="CW13" s="400">
        <v>12535637837430</v>
      </c>
      <c r="CX13" s="400">
        <v>20922813468779</v>
      </c>
      <c r="CY13" s="400">
        <v>22059207686235</v>
      </c>
      <c r="CZ13" s="400">
        <v>802782316711</v>
      </c>
      <c r="DA13" s="400">
        <v>1507994168503</v>
      </c>
      <c r="DB13" s="400">
        <v>1662459750289</v>
      </c>
      <c r="DC13" s="400">
        <v>-434359274700</v>
      </c>
      <c r="DD13" s="400">
        <v>-708282903403</v>
      </c>
      <c r="DE13" s="400">
        <v>-721767972398</v>
      </c>
      <c r="DF13" s="400">
        <v>-90216582365</v>
      </c>
      <c r="DG13" s="400">
        <v>-113703929084</v>
      </c>
      <c r="DH13" s="400">
        <v>-135821551618</v>
      </c>
      <c r="DI13" s="400">
        <v>267337158748</v>
      </c>
      <c r="DJ13" s="400">
        <v>654898651616</v>
      </c>
      <c r="DK13" s="400">
        <v>683602346791</v>
      </c>
    </row>
    <row r="14" spans="1:115" s="394" customFormat="1" ht="15">
      <c r="A14" s="391">
        <v>5</v>
      </c>
      <c r="B14" s="392" t="s">
        <v>1297</v>
      </c>
      <c r="C14" s="392" t="s">
        <v>2439</v>
      </c>
      <c r="D14" s="392" t="s">
        <v>2435</v>
      </c>
      <c r="E14" s="391">
        <v>2247100000000</v>
      </c>
      <c r="F14" s="391">
        <v>2412555000000</v>
      </c>
      <c r="G14" s="391">
        <v>5417776000000</v>
      </c>
      <c r="H14" s="391">
        <v>7051442000000</v>
      </c>
      <c r="I14" s="391">
        <v>6634409000000</v>
      </c>
      <c r="J14" s="391">
        <v>13929560000000</v>
      </c>
      <c r="K14" s="391">
        <v>1221821000000</v>
      </c>
      <c r="L14" s="391">
        <v>1523385000000</v>
      </c>
      <c r="M14" s="391">
        <v>1240531000000</v>
      </c>
      <c r="N14" s="391">
        <v>2061915000000</v>
      </c>
      <c r="O14" s="391">
        <v>2480224000000</v>
      </c>
      <c r="P14" s="391">
        <v>2735816000000</v>
      </c>
      <c r="Q14" s="391">
        <v>37620646000000</v>
      </c>
      <c r="R14" s="391">
        <v>38187617000000</v>
      </c>
      <c r="S14" s="391">
        <v>37354087000000</v>
      </c>
      <c r="T14" s="391">
        <v>77217808000000</v>
      </c>
      <c r="U14" s="391">
        <v>88628767000000</v>
      </c>
      <c r="V14" s="391">
        <v>76189225000000</v>
      </c>
      <c r="W14" s="391">
        <v>4333097000000</v>
      </c>
      <c r="X14" s="391">
        <v>4333191000000</v>
      </c>
      <c r="Y14" s="391">
        <v>9621821000000</v>
      </c>
      <c r="Z14" s="391">
        <v>12497917000000</v>
      </c>
      <c r="AA14" s="391">
        <v>12813391000000</v>
      </c>
      <c r="AB14" s="391">
        <v>14445345000000</v>
      </c>
      <c r="AC14" s="391">
        <v>489062000000</v>
      </c>
      <c r="AD14" s="391">
        <v>402381000000</v>
      </c>
      <c r="AE14" s="391">
        <v>260850000000</v>
      </c>
      <c r="AF14" s="391">
        <v>620516000000</v>
      </c>
      <c r="AG14" s="391">
        <v>495299000000</v>
      </c>
      <c r="AH14" s="391">
        <v>266501000000</v>
      </c>
      <c r="AI14" s="391">
        <v>1975130000000</v>
      </c>
      <c r="AJ14" s="391">
        <v>1528618000000</v>
      </c>
      <c r="AK14" s="391">
        <v>1685210000000</v>
      </c>
      <c r="AL14" s="391">
        <v>3316920000000</v>
      </c>
      <c r="AM14" s="391">
        <v>2065947000000</v>
      </c>
      <c r="AN14" s="391">
        <v>2393413000000</v>
      </c>
      <c r="AO14" s="391">
        <v>716875000000</v>
      </c>
      <c r="AP14" s="391">
        <v>719031000000</v>
      </c>
      <c r="AQ14" s="391">
        <v>874450000000</v>
      </c>
      <c r="AR14" s="391">
        <v>1042761000000</v>
      </c>
      <c r="AS14" s="391">
        <v>974310000000</v>
      </c>
      <c r="AT14" s="391">
        <v>1114789000000</v>
      </c>
      <c r="AU14" s="391">
        <v>876484000000</v>
      </c>
      <c r="AV14" s="391">
        <v>1419285000000</v>
      </c>
      <c r="AW14" s="391">
        <v>2036450000000</v>
      </c>
      <c r="AX14" s="391">
        <v>3163599000000</v>
      </c>
      <c r="AY14" s="391">
        <v>3791447000000</v>
      </c>
      <c r="AZ14" s="391">
        <v>5131895000000</v>
      </c>
      <c r="BA14" s="391">
        <v>11802000000</v>
      </c>
      <c r="BB14" s="391">
        <v>22566000000</v>
      </c>
      <c r="BC14" s="391">
        <v>4245347000000</v>
      </c>
      <c r="BD14" s="391">
        <v>3211214000000</v>
      </c>
      <c r="BE14" s="391">
        <v>3837320000000</v>
      </c>
      <c r="BF14" s="391">
        <v>3947303000000</v>
      </c>
      <c r="BG14" s="391">
        <v>124587000000</v>
      </c>
      <c r="BH14" s="391">
        <v>11239000000</v>
      </c>
      <c r="BI14" s="391">
        <v>136853000000</v>
      </c>
      <c r="BJ14" s="391">
        <v>54046000000</v>
      </c>
      <c r="BK14" s="391">
        <v>165024000000</v>
      </c>
      <c r="BL14" s="391">
        <v>148679000000</v>
      </c>
      <c r="BM14" s="391">
        <v>-25988836000000</v>
      </c>
      <c r="BN14" s="391">
        <v>-26306208000000</v>
      </c>
      <c r="BO14" s="391">
        <v>-26412939000000</v>
      </c>
      <c r="BP14" s="391">
        <v>-59329111000000</v>
      </c>
      <c r="BQ14" s="391">
        <v>-66493966000000</v>
      </c>
      <c r="BR14" s="391">
        <v>-55154201000000</v>
      </c>
      <c r="BS14" s="391">
        <v>-3435322000000</v>
      </c>
      <c r="BT14" s="391">
        <v>-2667531000000</v>
      </c>
      <c r="BU14" s="391">
        <v>-1866015000000</v>
      </c>
      <c r="BV14" s="391">
        <v>-3770283000000</v>
      </c>
      <c r="BW14" s="391">
        <v>-4669426000000</v>
      </c>
      <c r="BX14" s="391">
        <v>-4847702000000</v>
      </c>
      <c r="BY14" s="391">
        <v>9166273000000</v>
      </c>
      <c r="BZ14" s="391">
        <v>9243779000000</v>
      </c>
      <c r="CA14" s="391">
        <v>18340185000000</v>
      </c>
      <c r="CB14" s="391">
        <v>22545046000000</v>
      </c>
      <c r="CC14" s="391">
        <v>18805727000000</v>
      </c>
      <c r="CD14" s="391">
        <v>40567379000000</v>
      </c>
      <c r="CE14" s="391">
        <v>25630003000000</v>
      </c>
      <c r="CF14" s="391">
        <v>12751649000000</v>
      </c>
      <c r="CG14" s="391">
        <v>11675842000000</v>
      </c>
      <c r="CH14" s="391">
        <v>39466043000000</v>
      </c>
      <c r="CI14" s="391">
        <v>39371918000000</v>
      </c>
      <c r="CJ14" s="391">
        <v>30425625000000</v>
      </c>
      <c r="CK14" s="393">
        <v>7039.23</v>
      </c>
      <c r="CL14" s="393">
        <v>8256.99</v>
      </c>
      <c r="CM14" s="393">
        <v>7591.43</v>
      </c>
      <c r="CN14" s="393">
        <v>6265.7</v>
      </c>
      <c r="CO14" s="393">
        <v>10915.17</v>
      </c>
      <c r="CP14" s="393">
        <v>9075.69</v>
      </c>
      <c r="CQ14" s="400">
        <v>63528522000000</v>
      </c>
      <c r="CR14" s="400">
        <v>64578613000000</v>
      </c>
      <c r="CS14" s="400">
        <v>97297251000000</v>
      </c>
      <c r="CT14" s="400">
        <v>115736562000000</v>
      </c>
      <c r="CU14" s="400">
        <v>126093471000000</v>
      </c>
      <c r="CV14" s="400">
        <v>141342815000000</v>
      </c>
      <c r="CW14" s="400">
        <v>77217808000000</v>
      </c>
      <c r="CX14" s="400">
        <v>88628767000000</v>
      </c>
      <c r="CY14" s="400">
        <v>76189225000000</v>
      </c>
      <c r="CZ14" s="400">
        <v>17888697000000</v>
      </c>
      <c r="DA14" s="400">
        <v>22134801000000</v>
      </c>
      <c r="DB14" s="400">
        <v>21035024000000</v>
      </c>
      <c r="DC14" s="400">
        <v>-13166087000000</v>
      </c>
      <c r="DD14" s="400">
        <v>-11786338000000</v>
      </c>
      <c r="DE14" s="400">
        <v>-12511539000000</v>
      </c>
      <c r="DF14" s="400">
        <v>-3040896000000</v>
      </c>
      <c r="DG14" s="400">
        <v>-4064969000000</v>
      </c>
      <c r="DH14" s="400">
        <v>-3854314000000</v>
      </c>
      <c r="DI14" s="400">
        <v>1395013000000</v>
      </c>
      <c r="DJ14" s="400">
        <v>10101381000000</v>
      </c>
      <c r="DK14" s="400">
        <v>4754384000000</v>
      </c>
    </row>
    <row r="15" spans="1:115" ht="15">
      <c r="A15" s="389">
        <v>6</v>
      </c>
      <c r="B15" s="382" t="s">
        <v>1299</v>
      </c>
      <c r="C15" s="382" t="s">
        <v>2615</v>
      </c>
      <c r="D15" s="382" t="s">
        <v>2616</v>
      </c>
      <c r="E15" s="389">
        <v>348223852227</v>
      </c>
      <c r="F15" s="389">
        <v>458279877556</v>
      </c>
      <c r="G15" s="389">
        <v>2406606412273</v>
      </c>
      <c r="H15" s="389">
        <v>3515086732291</v>
      </c>
      <c r="I15" s="389">
        <v>7074166026539</v>
      </c>
      <c r="J15" s="389">
        <v>16526609661885</v>
      </c>
      <c r="K15" s="389">
        <v>261094359738</v>
      </c>
      <c r="L15" s="389">
        <v>291484778821</v>
      </c>
      <c r="M15" s="389">
        <v>350452939057</v>
      </c>
      <c r="N15" s="389">
        <v>399157914891</v>
      </c>
      <c r="O15" s="389">
        <v>600955375527</v>
      </c>
      <c r="P15" s="389">
        <v>663867546603</v>
      </c>
      <c r="Q15" s="389">
        <v>13213640273416</v>
      </c>
      <c r="R15" s="389">
        <v>17006475612957</v>
      </c>
      <c r="S15" s="389">
        <v>18487541836508</v>
      </c>
      <c r="T15" s="389">
        <v>23342734481397</v>
      </c>
      <c r="U15" s="389">
        <v>27773635217733</v>
      </c>
      <c r="V15" s="389">
        <v>26977273170028</v>
      </c>
      <c r="W15" s="389">
        <v>1010974147574</v>
      </c>
      <c r="X15" s="389">
        <v>1215429352783</v>
      </c>
      <c r="Y15" s="389">
        <v>1168106286708</v>
      </c>
      <c r="Z15" s="389">
        <v>1841626811696</v>
      </c>
      <c r="AA15" s="389">
        <v>2254893287268</v>
      </c>
      <c r="AB15" s="389">
        <v>2501747857460</v>
      </c>
      <c r="AC15" s="389">
        <v>52156943848</v>
      </c>
      <c r="AD15" s="389">
        <v>46162485789</v>
      </c>
      <c r="AE15" s="389">
        <v>39200952879</v>
      </c>
      <c r="AF15" s="389">
        <v>84844813671</v>
      </c>
      <c r="AG15" s="389">
        <v>114697400084</v>
      </c>
      <c r="AH15" s="389">
        <v>105747622863</v>
      </c>
      <c r="AI15" s="389">
        <v>579492610142</v>
      </c>
      <c r="AJ15" s="389">
        <v>571181399445</v>
      </c>
      <c r="AK15" s="389">
        <v>514490943045</v>
      </c>
      <c r="AL15" s="389">
        <v>850755021672</v>
      </c>
      <c r="AM15" s="389">
        <v>1106109126231</v>
      </c>
      <c r="AN15" s="389">
        <v>1217432443405</v>
      </c>
      <c r="AO15" s="389">
        <v>76197364169</v>
      </c>
      <c r="AP15" s="389">
        <v>77707709750</v>
      </c>
      <c r="AQ15" s="389">
        <v>84034742534</v>
      </c>
      <c r="AR15" s="389">
        <v>80264113937</v>
      </c>
      <c r="AS15" s="389">
        <v>94383205147</v>
      </c>
      <c r="AT15" s="389">
        <v>77536763185</v>
      </c>
      <c r="AU15" s="389">
        <v>228837186075</v>
      </c>
      <c r="AV15" s="389">
        <v>465386443069</v>
      </c>
      <c r="AW15" s="389">
        <v>459594578664</v>
      </c>
      <c r="AX15" s="389">
        <v>539114185062</v>
      </c>
      <c r="AY15" s="389">
        <v>703560948856</v>
      </c>
      <c r="AZ15" s="389">
        <v>846757477607</v>
      </c>
      <c r="BA15" s="389">
        <v>5177057183</v>
      </c>
      <c r="BB15" s="389">
        <v>9261802635</v>
      </c>
      <c r="BC15" s="389">
        <v>26235853109</v>
      </c>
      <c r="BD15" s="389">
        <v>48106216715</v>
      </c>
      <c r="BE15" s="389">
        <v>49905358456</v>
      </c>
      <c r="BF15" s="389">
        <v>68186986806</v>
      </c>
      <c r="BG15" s="389">
        <v>0</v>
      </c>
      <c r="BH15" s="389">
        <v>0</v>
      </c>
      <c r="BI15" s="389">
        <v>0</v>
      </c>
      <c r="BJ15" s="389">
        <v>0</v>
      </c>
      <c r="BK15" s="389">
        <v>11125234882</v>
      </c>
      <c r="BL15" s="389">
        <v>5583390477</v>
      </c>
      <c r="BM15" s="389">
        <v>-7181058837278</v>
      </c>
      <c r="BN15" s="389">
        <v>-9388082263631</v>
      </c>
      <c r="BO15" s="389">
        <v>-10529868313945</v>
      </c>
      <c r="BP15" s="389">
        <v>-13423520341046</v>
      </c>
      <c r="BQ15" s="389">
        <v>-15982695703768</v>
      </c>
      <c r="BR15" s="389">
        <v>-15845758614044</v>
      </c>
      <c r="BS15" s="389">
        <v>-131876543711</v>
      </c>
      <c r="BT15" s="389">
        <v>-180421924187</v>
      </c>
      <c r="BU15" s="389">
        <v>-235821679467</v>
      </c>
      <c r="BV15" s="389">
        <v>-286495734730</v>
      </c>
      <c r="BW15" s="389">
        <v>-226159178618</v>
      </c>
      <c r="BX15" s="389">
        <v>-307330035566</v>
      </c>
      <c r="BY15" s="389">
        <v>3387677592708</v>
      </c>
      <c r="BZ15" s="389">
        <v>3279081068531</v>
      </c>
      <c r="CA15" s="389">
        <v>5113137141496</v>
      </c>
      <c r="CB15" s="389">
        <v>6660448654909</v>
      </c>
      <c r="CC15" s="389">
        <v>7445112961981</v>
      </c>
      <c r="CD15" s="389">
        <v>6626217014520</v>
      </c>
      <c r="CE15" s="389">
        <v>95998319156</v>
      </c>
      <c r="CF15" s="389">
        <v>41142136776</v>
      </c>
      <c r="CG15" s="389">
        <v>126321105544</v>
      </c>
      <c r="CH15" s="389">
        <v>787689223375</v>
      </c>
      <c r="CI15" s="389">
        <v>1063617618895</v>
      </c>
      <c r="CJ15" s="389">
        <v>774748996895</v>
      </c>
      <c r="CK15" s="390">
        <v>2971.94</v>
      </c>
      <c r="CL15" s="390">
        <v>4226.17</v>
      </c>
      <c r="CM15" s="390">
        <v>4808.75</v>
      </c>
      <c r="CN15" s="390">
        <v>5738.8</v>
      </c>
      <c r="CO15" s="390">
        <v>6777.09</v>
      </c>
      <c r="CP15" s="390">
        <v>6517.72</v>
      </c>
      <c r="CQ15" s="400">
        <v>17645056559773</v>
      </c>
      <c r="CR15" s="400">
        <v>17052805203719</v>
      </c>
      <c r="CS15" s="400">
        <v>20469607311898</v>
      </c>
      <c r="CT15" s="400">
        <v>25533406553025</v>
      </c>
      <c r="CU15" s="400">
        <v>30204150159141</v>
      </c>
      <c r="CV15" s="400">
        <v>33516643085520</v>
      </c>
    </row>
    <row r="16" spans="1:115" ht="15">
      <c r="A16" s="389">
        <v>7</v>
      </c>
      <c r="B16" s="382" t="s">
        <v>1301</v>
      </c>
      <c r="C16" s="382" t="s">
        <v>2617</v>
      </c>
      <c r="D16" s="382" t="s">
        <v>2616</v>
      </c>
      <c r="E16" s="389">
        <v>721641491479</v>
      </c>
      <c r="F16" s="389">
        <v>672572056344</v>
      </c>
      <c r="G16" s="389">
        <v>1063739035323</v>
      </c>
      <c r="H16" s="389">
        <v>1990001817972</v>
      </c>
      <c r="I16" s="389">
        <v>3061256173445</v>
      </c>
      <c r="J16" s="389">
        <v>2507961415940</v>
      </c>
      <c r="K16" s="389">
        <v>671229135033</v>
      </c>
      <c r="L16" s="389">
        <v>378053830762</v>
      </c>
      <c r="M16" s="389">
        <v>374451806121</v>
      </c>
      <c r="N16" s="389">
        <v>627931119627</v>
      </c>
      <c r="O16" s="389">
        <v>246912506997</v>
      </c>
      <c r="P16" s="389">
        <v>360777240781</v>
      </c>
      <c r="Q16" s="389">
        <v>18690484822891</v>
      </c>
      <c r="R16" s="389">
        <v>13976854063647</v>
      </c>
      <c r="S16" s="389">
        <v>13798751286672</v>
      </c>
      <c r="T16" s="389">
        <v>16119005482931</v>
      </c>
      <c r="U16" s="389">
        <v>18890888018630</v>
      </c>
      <c r="V16" s="389">
        <v>4784571251565</v>
      </c>
      <c r="W16" s="389">
        <v>1849586764502</v>
      </c>
      <c r="X16" s="389">
        <v>1390582532504</v>
      </c>
      <c r="Y16" s="389">
        <v>1529201648403</v>
      </c>
      <c r="Z16" s="389">
        <v>2234732675442</v>
      </c>
      <c r="AA16" s="389">
        <v>579848291684</v>
      </c>
      <c r="AB16" s="389">
        <v>713199652948</v>
      </c>
      <c r="AC16" s="389">
        <v>413161750204</v>
      </c>
      <c r="AD16" s="389">
        <v>331154624169</v>
      </c>
      <c r="AE16" s="389">
        <v>167454196591</v>
      </c>
      <c r="AF16" s="389">
        <v>459084932233</v>
      </c>
      <c r="AG16" s="389">
        <v>1301575349</v>
      </c>
      <c r="AH16" s="389">
        <v>6013835125</v>
      </c>
      <c r="AI16" s="389">
        <v>1171776979823</v>
      </c>
      <c r="AJ16" s="389">
        <v>767446434315</v>
      </c>
      <c r="AK16" s="389">
        <v>854900390692</v>
      </c>
      <c r="AL16" s="389">
        <v>1168506803921</v>
      </c>
      <c r="AM16" s="389">
        <v>127439593628</v>
      </c>
      <c r="AN16" s="389">
        <v>169352474899</v>
      </c>
      <c r="AO16" s="389">
        <v>62582980073</v>
      </c>
      <c r="AP16" s="389">
        <v>75345994537</v>
      </c>
      <c r="AQ16" s="389">
        <v>98633586054</v>
      </c>
      <c r="AR16" s="389">
        <v>103156978499</v>
      </c>
      <c r="AS16" s="389">
        <v>42473669962</v>
      </c>
      <c r="AT16" s="389">
        <v>45589906238</v>
      </c>
      <c r="AU16" s="389">
        <v>203137243679</v>
      </c>
      <c r="AV16" s="389">
        <v>165082706824</v>
      </c>
      <c r="AW16" s="389">
        <v>260041238033</v>
      </c>
      <c r="AX16" s="389">
        <v>218245504872</v>
      </c>
      <c r="AY16" s="389">
        <v>44490974457</v>
      </c>
      <c r="AZ16" s="389">
        <v>97870618447</v>
      </c>
      <c r="BA16" s="389">
        <v>1917129115</v>
      </c>
      <c r="BB16" s="389">
        <v>4069333135</v>
      </c>
      <c r="BC16" s="389">
        <v>1519981572</v>
      </c>
      <c r="BD16" s="389">
        <v>1715095933</v>
      </c>
      <c r="BE16" s="389">
        <v>549074166</v>
      </c>
      <c r="BF16" s="389">
        <v>21262882670</v>
      </c>
      <c r="BG16" s="389">
        <v>0</v>
      </c>
      <c r="BH16" s="389">
        <v>0</v>
      </c>
      <c r="BI16" s="389">
        <v>0</v>
      </c>
      <c r="BJ16" s="389">
        <v>0</v>
      </c>
      <c r="BK16" s="389">
        <v>0</v>
      </c>
      <c r="BL16" s="389">
        <v>0</v>
      </c>
      <c r="BM16" s="389">
        <v>-14699262984653</v>
      </c>
      <c r="BN16" s="389">
        <v>-11879903811268</v>
      </c>
      <c r="BO16" s="389">
        <v>-11533148211650</v>
      </c>
      <c r="BP16" s="389">
        <v>-13394378798551</v>
      </c>
      <c r="BQ16" s="389">
        <v>-16587572648729</v>
      </c>
      <c r="BR16" s="389">
        <v>-4440344925161</v>
      </c>
      <c r="BS16" s="389">
        <v>-422368615574</v>
      </c>
      <c r="BT16" s="389">
        <v>-235444066977</v>
      </c>
      <c r="BU16" s="389">
        <v>-284977600614</v>
      </c>
      <c r="BV16" s="389">
        <v>-423754793202</v>
      </c>
      <c r="BW16" s="389">
        <v>-464522804569</v>
      </c>
      <c r="BX16" s="389">
        <v>-396080763996</v>
      </c>
      <c r="BY16" s="389">
        <v>1528595549654</v>
      </c>
      <c r="BZ16" s="389">
        <v>455199707286</v>
      </c>
      <c r="CA16" s="389">
        <v>1782758178439</v>
      </c>
      <c r="CB16" s="389">
        <v>5252694200724</v>
      </c>
      <c r="CC16" s="389">
        <v>1694372457993</v>
      </c>
      <c r="CD16" s="389">
        <v>1907783226102</v>
      </c>
      <c r="CE16" s="389">
        <v>2115031922047</v>
      </c>
      <c r="CF16" s="389">
        <v>2658594303085</v>
      </c>
      <c r="CG16" s="389">
        <v>3173252547708</v>
      </c>
      <c r="CH16" s="389">
        <v>1587928564410</v>
      </c>
      <c r="CI16" s="389">
        <v>3242029700703</v>
      </c>
      <c r="CJ16" s="389">
        <v>3479072178818</v>
      </c>
      <c r="CK16" s="390">
        <v>1859.71</v>
      </c>
      <c r="CL16" s="390">
        <v>1172.8699999999999</v>
      </c>
      <c r="CM16" s="390">
        <v>1477.15</v>
      </c>
      <c r="CN16" s="390">
        <v>1767.75</v>
      </c>
      <c r="CO16" s="390">
        <v>1399.45</v>
      </c>
      <c r="CP16" s="390">
        <v>-119.13</v>
      </c>
      <c r="CQ16" s="400">
        <v>14621143880396</v>
      </c>
      <c r="CR16" s="400">
        <v>12781801758894</v>
      </c>
      <c r="CS16" s="400">
        <v>14711394687098</v>
      </c>
      <c r="CT16" s="400">
        <v>17957454153585</v>
      </c>
      <c r="CU16" s="400">
        <v>11871026027601</v>
      </c>
      <c r="CV16" s="400">
        <v>13346388833543</v>
      </c>
    </row>
    <row r="17" spans="1:115" ht="15">
      <c r="A17" s="389">
        <v>8</v>
      </c>
      <c r="B17" s="382" t="s">
        <v>1303</v>
      </c>
      <c r="C17" s="382" t="s">
        <v>2618</v>
      </c>
      <c r="D17" s="382" t="s">
        <v>2616</v>
      </c>
      <c r="E17" s="389">
        <v>860460818000</v>
      </c>
      <c r="F17" s="389">
        <v>1612852955000</v>
      </c>
      <c r="G17" s="389">
        <v>1735574636000</v>
      </c>
      <c r="H17" s="389">
        <v>2771124731000</v>
      </c>
      <c r="I17" s="389">
        <v>2652953397000</v>
      </c>
      <c r="J17" s="389">
        <v>2940659090000</v>
      </c>
      <c r="K17" s="389">
        <v>368595772000</v>
      </c>
      <c r="L17" s="389">
        <v>960321689000</v>
      </c>
      <c r="M17" s="389">
        <v>280413823000</v>
      </c>
      <c r="N17" s="389">
        <v>1166693898000</v>
      </c>
      <c r="O17" s="389">
        <v>1988261387000</v>
      </c>
      <c r="P17" s="389">
        <v>2170552039000</v>
      </c>
      <c r="Q17" s="389">
        <v>5404645101000</v>
      </c>
      <c r="R17" s="389">
        <v>6865010875000</v>
      </c>
      <c r="S17" s="389">
        <v>4706129858000</v>
      </c>
      <c r="T17" s="389">
        <v>7291180658000</v>
      </c>
      <c r="U17" s="389">
        <v>13564289846000</v>
      </c>
      <c r="V17" s="389">
        <v>15549547654000</v>
      </c>
      <c r="W17" s="389">
        <v>1409062969000</v>
      </c>
      <c r="X17" s="389">
        <v>1646014138000</v>
      </c>
      <c r="Y17" s="389">
        <v>3139024753000</v>
      </c>
      <c r="Z17" s="389">
        <v>4880128480000</v>
      </c>
      <c r="AA17" s="389">
        <v>5930372391000</v>
      </c>
      <c r="AB17" s="389">
        <v>6858167780000</v>
      </c>
      <c r="AC17" s="389">
        <v>23743788000</v>
      </c>
      <c r="AD17" s="389">
        <v>25063836000</v>
      </c>
      <c r="AE17" s="389">
        <v>54194593000</v>
      </c>
      <c r="AF17" s="389">
        <v>71956654000</v>
      </c>
      <c r="AG17" s="389">
        <v>372098029000</v>
      </c>
      <c r="AH17" s="389">
        <v>151170551000</v>
      </c>
      <c r="AI17" s="389">
        <v>191813054000</v>
      </c>
      <c r="AJ17" s="389">
        <v>166017804000</v>
      </c>
      <c r="AK17" s="389">
        <v>237723007000</v>
      </c>
      <c r="AL17" s="389">
        <v>956039022000</v>
      </c>
      <c r="AM17" s="389">
        <v>754788015000</v>
      </c>
      <c r="AN17" s="389">
        <v>717276611000</v>
      </c>
      <c r="AO17" s="389">
        <v>571169311000</v>
      </c>
      <c r="AP17" s="389">
        <v>556865086000</v>
      </c>
      <c r="AQ17" s="389">
        <v>572289604000</v>
      </c>
      <c r="AR17" s="389">
        <v>686047326000</v>
      </c>
      <c r="AS17" s="389">
        <v>730776119000</v>
      </c>
      <c r="AT17" s="389">
        <v>854292798000</v>
      </c>
      <c r="AU17" s="389">
        <v>420995855000</v>
      </c>
      <c r="AV17" s="389">
        <v>746927733000</v>
      </c>
      <c r="AW17" s="389">
        <v>1259545121000</v>
      </c>
      <c r="AX17" s="389">
        <v>2508689741000</v>
      </c>
      <c r="AY17" s="389">
        <v>3000567190000</v>
      </c>
      <c r="AZ17" s="389">
        <v>4077328752000</v>
      </c>
      <c r="BA17" s="389">
        <v>0</v>
      </c>
      <c r="BB17" s="389">
        <v>0</v>
      </c>
      <c r="BC17" s="389">
        <v>739273589000</v>
      </c>
      <c r="BD17" s="389">
        <v>23320446000</v>
      </c>
      <c r="BE17" s="389">
        <v>389748000</v>
      </c>
      <c r="BF17" s="389">
        <v>21880799000</v>
      </c>
      <c r="BG17" s="389">
        <v>124586977000</v>
      </c>
      <c r="BH17" s="389">
        <v>11239353000</v>
      </c>
      <c r="BI17" s="389">
        <v>136852970000</v>
      </c>
      <c r="BJ17" s="389">
        <v>54045838000</v>
      </c>
      <c r="BK17" s="389">
        <v>153828563000</v>
      </c>
      <c r="BL17" s="389">
        <v>141496064000</v>
      </c>
      <c r="BM17" s="389">
        <v>-3713762618000</v>
      </c>
      <c r="BN17" s="389">
        <v>-4703549284000</v>
      </c>
      <c r="BO17" s="389">
        <v>-3971145298000</v>
      </c>
      <c r="BP17" s="389">
        <v>-7113222006000</v>
      </c>
      <c r="BQ17" s="389">
        <v>-11293885339000</v>
      </c>
      <c r="BR17" s="389">
        <v>-13172693544000</v>
      </c>
      <c r="BS17" s="389">
        <v>-1012994177000</v>
      </c>
      <c r="BT17" s="389">
        <v>-1079797011000</v>
      </c>
      <c r="BU17" s="389">
        <v>-1161519606000</v>
      </c>
      <c r="BV17" s="389">
        <v>-1278848458000</v>
      </c>
      <c r="BW17" s="389">
        <v>-1076266273000</v>
      </c>
      <c r="BX17" s="389">
        <v>-1119988084000</v>
      </c>
      <c r="BY17" s="389">
        <v>3404794016000</v>
      </c>
      <c r="BZ17" s="389">
        <v>2467361035000</v>
      </c>
      <c r="CA17" s="389">
        <v>7757283741000</v>
      </c>
      <c r="CB17" s="389">
        <v>4162866240000</v>
      </c>
      <c r="CC17" s="389">
        <v>4800093173000</v>
      </c>
      <c r="CD17" s="389">
        <v>13105475407000</v>
      </c>
      <c r="CE17" s="389">
        <v>7967927242000</v>
      </c>
      <c r="CF17" s="389">
        <v>9491007736000</v>
      </c>
      <c r="CG17" s="389">
        <v>4969653657000</v>
      </c>
      <c r="CH17" s="389">
        <v>9220442520000</v>
      </c>
      <c r="CI17" s="389">
        <v>9238202894000</v>
      </c>
      <c r="CJ17" s="389">
        <v>2979108965000</v>
      </c>
      <c r="CK17" s="390">
        <v>2612.2600000000002</v>
      </c>
      <c r="CL17" s="390">
        <v>3166.02</v>
      </c>
      <c r="CM17" s="390">
        <v>1694.58</v>
      </c>
      <c r="CN17" s="390">
        <v>1226.82</v>
      </c>
      <c r="CO17" s="390">
        <v>2775.36</v>
      </c>
      <c r="CP17" s="390">
        <v>2837.79</v>
      </c>
      <c r="CQ17" s="400">
        <v>27144210862000</v>
      </c>
      <c r="CR17" s="400">
        <v>27949125567000</v>
      </c>
      <c r="CS17" s="400">
        <v>29774719881000</v>
      </c>
      <c r="CT17" s="400">
        <v>40108847814000</v>
      </c>
      <c r="CU17" s="400">
        <v>39351197182000</v>
      </c>
      <c r="CV17" s="400">
        <v>41521000189000</v>
      </c>
    </row>
    <row r="18" spans="1:115">
      <c r="A18" s="386"/>
      <c r="B18" s="386"/>
      <c r="C18" s="386"/>
      <c r="D18" s="386"/>
      <c r="E18" s="386"/>
      <c r="F18" s="386"/>
      <c r="G18" s="386"/>
      <c r="H18" s="386"/>
      <c r="I18" s="386"/>
      <c r="W18" s="395">
        <f t="shared" ref="W18:AB18" si="0">W14-W15-W16-W17</f>
        <v>63473118924</v>
      </c>
      <c r="X18" s="395">
        <f t="shared" si="0"/>
        <v>81164976713</v>
      </c>
      <c r="Y18" s="395">
        <f t="shared" si="0"/>
        <v>3785488311889</v>
      </c>
      <c r="Z18" s="395">
        <f t="shared" si="0"/>
        <v>3541429032862</v>
      </c>
      <c r="AA18" s="395">
        <f t="shared" si="0"/>
        <v>4048277030048</v>
      </c>
      <c r="AB18" s="395">
        <f t="shared" si="0"/>
        <v>4372229709592</v>
      </c>
      <c r="BB18" s="395">
        <f>BB14-SUM(BB15:BB17)</f>
        <v>9234864230</v>
      </c>
      <c r="BC18" s="395">
        <f>(BC14-SUM(BC15:BC17))/10^9</f>
        <v>3478.3175763190002</v>
      </c>
      <c r="BD18" s="395">
        <f>(BD14-SUM(BD15:BD17))/10^9</f>
        <v>3138.0722413520002</v>
      </c>
      <c r="BE18" s="395">
        <f>(BE14-SUM(BE15:BE17))/10^9</f>
        <v>3786.4758193779999</v>
      </c>
      <c r="BF18" s="395">
        <f>(BF14-SUM(BF15:BF17))/10^9</f>
        <v>3835.9723315239999</v>
      </c>
      <c r="CW18" s="426">
        <f>CW10/10^9</f>
        <v>108546.01966541199</v>
      </c>
      <c r="CX18" s="426">
        <f t="shared" ref="CX18:DK18" si="1">CX10/10^9</f>
        <v>122958.106103174</v>
      </c>
      <c r="CY18" s="426">
        <f t="shared" si="1"/>
        <v>133404.777590524</v>
      </c>
      <c r="CZ18" s="426">
        <f t="shared" si="1"/>
        <v>23954.497272462999</v>
      </c>
      <c r="DA18" s="426">
        <f t="shared" si="1"/>
        <v>27632.131995534</v>
      </c>
      <c r="DB18" s="426">
        <f t="shared" si="1"/>
        <v>30782.215367861001</v>
      </c>
      <c r="DC18" s="426">
        <f t="shared" si="1"/>
        <v>-15333.798830787</v>
      </c>
      <c r="DD18" s="426">
        <f t="shared" si="1"/>
        <v>-17914.173302345</v>
      </c>
      <c r="DE18" s="426">
        <f t="shared" si="1"/>
        <v>-21789.998975781</v>
      </c>
      <c r="DF18" s="426">
        <f t="shared" si="1"/>
        <v>-3404.431838167</v>
      </c>
      <c r="DG18" s="426">
        <f t="shared" si="1"/>
        <v>-3823.390074765</v>
      </c>
      <c r="DH18" s="426">
        <f t="shared" si="1"/>
        <v>-2348.039543287</v>
      </c>
      <c r="DI18" s="426">
        <f t="shared" si="1"/>
        <v>3919.8727095069999</v>
      </c>
      <c r="DJ18" s="426">
        <f t="shared" si="1"/>
        <v>4901.4266738899996</v>
      </c>
      <c r="DK18" s="426">
        <f t="shared" si="1"/>
        <v>4101.7144249390003</v>
      </c>
    </row>
    <row r="19" spans="1:115" ht="16">
      <c r="A19" s="396" t="s">
        <v>2264</v>
      </c>
      <c r="BA19" s="397" t="e">
        <v>#REF!</v>
      </c>
      <c r="BB19" s="384">
        <f>-AVERAGE(BA10:BB10)/BN10*365</f>
        <v>76.244674515713569</v>
      </c>
      <c r="BC19" s="384">
        <f t="shared" ref="BC19:BF22" si="2">-AVERAGE(BB10:BC10)/BO10*365</f>
        <v>96.323576089702669</v>
      </c>
      <c r="BD19" s="384">
        <f t="shared" si="2"/>
        <v>99.505472641396011</v>
      </c>
      <c r="BE19" s="384">
        <f t="shared" si="2"/>
        <v>95.296155989529524</v>
      </c>
      <c r="BF19" s="384">
        <f t="shared" si="2"/>
        <v>99.424983338368094</v>
      </c>
      <c r="CW19" s="426">
        <f t="shared" ref="CW19:DK19" si="3">CW11/10^9</f>
        <v>14661.417032222</v>
      </c>
      <c r="CX19" s="426">
        <f t="shared" si="3"/>
        <v>22494.961408081999</v>
      </c>
      <c r="CY19" s="426">
        <f t="shared" si="3"/>
        <v>30165.80075667</v>
      </c>
      <c r="CZ19" s="426">
        <f t="shared" si="3"/>
        <v>2041.002298717</v>
      </c>
      <c r="DA19" s="426">
        <f t="shared" si="3"/>
        <v>3151.5132615990001</v>
      </c>
      <c r="DB19" s="426">
        <f t="shared" si="3"/>
        <v>4703.1773792570002</v>
      </c>
      <c r="DC19" s="426">
        <f t="shared" si="3"/>
        <v>-1565.73655519</v>
      </c>
      <c r="DD19" s="426">
        <f t="shared" si="3"/>
        <v>-2071.124789339</v>
      </c>
      <c r="DE19" s="426">
        <f t="shared" si="3"/>
        <v>-3259.2975976809998</v>
      </c>
      <c r="DF19" s="426">
        <f t="shared" si="3"/>
        <v>-397.884049877</v>
      </c>
      <c r="DG19" s="426">
        <f t="shared" si="3"/>
        <v>-585.52844438800003</v>
      </c>
      <c r="DH19" s="426">
        <f t="shared" si="3"/>
        <v>-887.338884656</v>
      </c>
      <c r="DI19" s="426">
        <f t="shared" si="3"/>
        <v>10.216730525999999</v>
      </c>
      <c r="DJ19" s="426">
        <f t="shared" si="3"/>
        <v>443.89834642800002</v>
      </c>
      <c r="DK19" s="426">
        <f t="shared" si="3"/>
        <v>398.07419740799997</v>
      </c>
    </row>
    <row r="20" spans="1:115" ht="16">
      <c r="A20" s="396" t="s">
        <v>2443</v>
      </c>
      <c r="BA20" s="397" t="s">
        <v>1291</v>
      </c>
      <c r="BB20" s="384">
        <f>-AVERAGE(BA11:BB11)/BN11*365</f>
        <v>57.648847277520822</v>
      </c>
      <c r="BC20" s="384">
        <f t="shared" si="2"/>
        <v>73.992196099362772</v>
      </c>
      <c r="BD20" s="384">
        <f t="shared" si="2"/>
        <v>75.602487013821445</v>
      </c>
      <c r="BE20" s="384">
        <f t="shared" si="2"/>
        <v>63.978209541918524</v>
      </c>
      <c r="BF20" s="384">
        <f t="shared" si="2"/>
        <v>81.965322787993074</v>
      </c>
      <c r="CW20" s="426">
        <f t="shared" ref="CW20:DK20" si="4">CW12/10^9</f>
        <v>13453.248702327001</v>
      </c>
      <c r="CX20" s="426">
        <f t="shared" si="4"/>
        <v>17598.237599585998</v>
      </c>
      <c r="CY20" s="426">
        <f t="shared" si="4"/>
        <v>17665.363747059</v>
      </c>
      <c r="CZ20" s="426">
        <f t="shared" si="4"/>
        <v>668.89984912700004</v>
      </c>
      <c r="DA20" s="426">
        <f t="shared" si="4"/>
        <v>939.19944621100001</v>
      </c>
      <c r="DB20" s="426">
        <f t="shared" si="4"/>
        <v>971.98869272900004</v>
      </c>
      <c r="DC20" s="426">
        <f t="shared" si="4"/>
        <v>-232.40637752800001</v>
      </c>
      <c r="DD20" s="426">
        <f t="shared" si="4"/>
        <v>-284.85528547500002</v>
      </c>
      <c r="DE20" s="426">
        <f t="shared" si="4"/>
        <v>-335.91561149199998</v>
      </c>
      <c r="DF20" s="426">
        <f t="shared" si="4"/>
        <v>-201.94755445800001</v>
      </c>
      <c r="DG20" s="426">
        <f t="shared" si="4"/>
        <v>-271.46191321800001</v>
      </c>
      <c r="DH20" s="426">
        <f t="shared" si="4"/>
        <v>-165.085933482</v>
      </c>
      <c r="DI20" s="426">
        <f t="shared" si="4"/>
        <v>140.16660025799999</v>
      </c>
      <c r="DJ20" s="426">
        <f t="shared" si="4"/>
        <v>311.45874504800003</v>
      </c>
      <c r="DK20" s="426">
        <f t="shared" si="4"/>
        <v>167.836126656</v>
      </c>
    </row>
    <row r="21" spans="1:115" ht="16">
      <c r="A21" s="398" t="s">
        <v>2444</v>
      </c>
      <c r="BA21" s="397" t="s">
        <v>1293</v>
      </c>
      <c r="BB21" s="384">
        <f>-AVERAGE(BA12:BB12)/BN12*365</f>
        <v>26.239592066986603</v>
      </c>
      <c r="BC21" s="384">
        <f t="shared" si="2"/>
        <v>35.394863144315288</v>
      </c>
      <c r="BD21" s="384">
        <f t="shared" si="2"/>
        <v>20.716028738682589</v>
      </c>
      <c r="BE21" s="384">
        <f t="shared" si="2"/>
        <v>13.09260634685142</v>
      </c>
      <c r="BF21" s="384">
        <f t="shared" si="2"/>
        <v>33.446418780280261</v>
      </c>
      <c r="CW21" s="426">
        <f t="shared" ref="CW21:DK21" si="5">CW13/10^9</f>
        <v>12535.63783743</v>
      </c>
      <c r="CX21" s="426">
        <f t="shared" si="5"/>
        <v>20922.813468779001</v>
      </c>
      <c r="CY21" s="426">
        <f t="shared" si="5"/>
        <v>22059.207686235</v>
      </c>
      <c r="CZ21" s="426">
        <f t="shared" si="5"/>
        <v>802.78231671100002</v>
      </c>
      <c r="DA21" s="426">
        <f t="shared" si="5"/>
        <v>1507.9941685030001</v>
      </c>
      <c r="DB21" s="426">
        <f t="shared" si="5"/>
        <v>1662.4597502890001</v>
      </c>
      <c r="DC21" s="426">
        <f t="shared" si="5"/>
        <v>-434.35927470000001</v>
      </c>
      <c r="DD21" s="426">
        <f t="shared" si="5"/>
        <v>-708.28290340299998</v>
      </c>
      <c r="DE21" s="426">
        <f t="shared" si="5"/>
        <v>-721.76797239799998</v>
      </c>
      <c r="DF21" s="426">
        <f t="shared" si="5"/>
        <v>-90.216582364999994</v>
      </c>
      <c r="DG21" s="426">
        <f t="shared" si="5"/>
        <v>-113.70392908399999</v>
      </c>
      <c r="DH21" s="426">
        <f t="shared" si="5"/>
        <v>-135.821551618</v>
      </c>
      <c r="DI21" s="426">
        <f t="shared" si="5"/>
        <v>267.33715874799998</v>
      </c>
      <c r="DJ21" s="426">
        <f t="shared" si="5"/>
        <v>654.89865161600005</v>
      </c>
      <c r="DK21" s="426">
        <f t="shared" si="5"/>
        <v>683.60234679099995</v>
      </c>
    </row>
    <row r="22" spans="1:115" ht="16">
      <c r="A22" s="398" t="s">
        <v>2445</v>
      </c>
      <c r="BA22" s="397" t="s">
        <v>1295</v>
      </c>
      <c r="BB22" s="384">
        <f>-AVERAGE(BA13:BB13)/BN13*365</f>
        <v>58.346882470301892</v>
      </c>
      <c r="BC22" s="384">
        <f t="shared" si="2"/>
        <v>53.45916877775187</v>
      </c>
      <c r="BD22" s="384">
        <f t="shared" si="2"/>
        <v>27.390585155102649</v>
      </c>
      <c r="BE22" s="384">
        <f t="shared" si="2"/>
        <v>18.100419331306075</v>
      </c>
      <c r="BF22" s="384">
        <f t="shared" si="2"/>
        <v>37.116430713539401</v>
      </c>
      <c r="CW22" s="426">
        <f t="shared" ref="CW22:DK22" si="6">CW14/10^9</f>
        <v>77217.808000000005</v>
      </c>
      <c r="CX22" s="426">
        <f t="shared" si="6"/>
        <v>88628.767000000007</v>
      </c>
      <c r="CY22" s="426">
        <f t="shared" si="6"/>
        <v>76189.225000000006</v>
      </c>
      <c r="CZ22" s="426">
        <f t="shared" si="6"/>
        <v>17888.697</v>
      </c>
      <c r="DA22" s="426">
        <f t="shared" si="6"/>
        <v>22134.800999999999</v>
      </c>
      <c r="DB22" s="426">
        <f t="shared" si="6"/>
        <v>21035.024000000001</v>
      </c>
      <c r="DC22" s="426">
        <f t="shared" si="6"/>
        <v>-13166.087</v>
      </c>
      <c r="DD22" s="426">
        <f t="shared" si="6"/>
        <v>-11786.338</v>
      </c>
      <c r="DE22" s="426">
        <f t="shared" si="6"/>
        <v>-12511.539000000001</v>
      </c>
      <c r="DF22" s="426">
        <f t="shared" si="6"/>
        <v>-3040.8960000000002</v>
      </c>
      <c r="DG22" s="426">
        <f t="shared" si="6"/>
        <v>-4064.9690000000001</v>
      </c>
      <c r="DH22" s="426">
        <f t="shared" si="6"/>
        <v>-3854.3139999999999</v>
      </c>
      <c r="DI22" s="426">
        <f t="shared" si="6"/>
        <v>1395.0129999999999</v>
      </c>
      <c r="DJ22" s="426">
        <f t="shared" si="6"/>
        <v>10101.380999999999</v>
      </c>
      <c r="DK22" s="426">
        <f t="shared" si="6"/>
        <v>4754.384</v>
      </c>
    </row>
    <row r="23" spans="1:115" ht="15">
      <c r="A23" s="399" t="s">
        <v>2446</v>
      </c>
      <c r="BA23" s="397" t="s">
        <v>2619</v>
      </c>
      <c r="BD23" s="384">
        <f>AVERAGE(BC18:BD18)/BD25*365</f>
        <v>46.900145332282982</v>
      </c>
      <c r="BE23" s="384">
        <f>BE18/BE25*365</f>
        <v>55.981192242100214</v>
      </c>
      <c r="BF23" s="384">
        <f>BF18/BF25*365</f>
        <v>62.068988644479646</v>
      </c>
      <c r="CW23" s="426">
        <f t="shared" ref="CW23:DK23" si="7">CW15/10^9</f>
        <v>0</v>
      </c>
      <c r="CX23" s="426">
        <f t="shared" si="7"/>
        <v>0</v>
      </c>
      <c r="CY23" s="426">
        <f t="shared" si="7"/>
        <v>0</v>
      </c>
      <c r="CZ23" s="426">
        <f t="shared" si="7"/>
        <v>0</v>
      </c>
      <c r="DA23" s="426">
        <f t="shared" si="7"/>
        <v>0</v>
      </c>
      <c r="DB23" s="426">
        <f t="shared" si="7"/>
        <v>0</v>
      </c>
      <c r="DC23" s="426">
        <f t="shared" si="7"/>
        <v>0</v>
      </c>
      <c r="DD23" s="426">
        <f t="shared" si="7"/>
        <v>0</v>
      </c>
      <c r="DE23" s="426">
        <f t="shared" si="7"/>
        <v>0</v>
      </c>
      <c r="DF23" s="426">
        <f t="shared" si="7"/>
        <v>0</v>
      </c>
      <c r="DG23" s="426">
        <f t="shared" si="7"/>
        <v>0</v>
      </c>
      <c r="DH23" s="426">
        <f t="shared" si="7"/>
        <v>0</v>
      </c>
      <c r="DI23" s="426">
        <f t="shared" si="7"/>
        <v>0</v>
      </c>
      <c r="DJ23" s="426">
        <f t="shared" si="7"/>
        <v>0</v>
      </c>
      <c r="DK23" s="426">
        <f t="shared" si="7"/>
        <v>0</v>
      </c>
    </row>
    <row r="24" spans="1:115" ht="15">
      <c r="A24" s="388"/>
      <c r="BB24" s="384">
        <f>-AVERAGE(SUM(BB10:BB14),SUM(BA10:BA14))/SUM(BN10:BN14)*365</f>
        <v>53.630368245807347</v>
      </c>
      <c r="BC24" s="384">
        <f>-AVERAGE(SUM(BC10:BC14),SUM(BB10:BB14))/SUM(BO10:BO14)*365</f>
        <v>75.02299727440149</v>
      </c>
      <c r="BD24" s="384">
        <f>-AVERAGE(SUM(BD10:BD14),SUM(BC10:BC14))/SUM(BP10:BP14)*365</f>
        <v>62.512959784267032</v>
      </c>
      <c r="BE24" s="384">
        <f>-AVERAGE(SUM(BE10:BE14),SUM(BD10:BD14))/SUM(BQ10:BQ14)*365</f>
        <v>56.056879619121865</v>
      </c>
      <c r="BF24" s="384">
        <f>-AVERAGE(SUM(BF10:BF14),SUM(BE10:BE14))/SUM(BR10:BR14)*365</f>
        <v>68.199582085917413</v>
      </c>
    </row>
    <row r="25" spans="1:115" ht="16">
      <c r="A25" s="396" t="s">
        <v>2269</v>
      </c>
      <c r="BD25" s="395">
        <v>25746</v>
      </c>
      <c r="BE25" s="395">
        <v>24688</v>
      </c>
      <c r="BF25" s="395">
        <v>22557.64</v>
      </c>
      <c r="BG25" s="395">
        <v>24788.494200853533</v>
      </c>
    </row>
    <row r="26" spans="1:115" ht="16">
      <c r="A26" s="396" t="s">
        <v>2447</v>
      </c>
    </row>
    <row r="27" spans="1:115" ht="16">
      <c r="A27" s="398" t="s">
        <v>2448</v>
      </c>
    </row>
    <row r="28" spans="1:115" ht="15">
      <c r="A28" s="399" t="s">
        <v>2449</v>
      </c>
    </row>
    <row r="29" spans="1:115" ht="15">
      <c r="A29" s="388"/>
    </row>
    <row r="30" spans="1:115" ht="16">
      <c r="A30" s="396" t="s">
        <v>2450</v>
      </c>
    </row>
    <row r="31" spans="1:115" ht="16">
      <c r="A31" s="398" t="s">
        <v>2451</v>
      </c>
    </row>
    <row r="32" spans="1:115" ht="15">
      <c r="A32" s="399" t="s">
        <v>2449</v>
      </c>
    </row>
  </sheetData>
  <pageMargins left="0.7" right="0.7" top="0.75" bottom="0.75" header="0.3" footer="0.3"/>
  <pageSetup fitToHeight="0"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658B54-F522-4D95-B7EB-2B4A630330C7}">
  <dimension ref="A1:D8"/>
  <sheetViews>
    <sheetView workbookViewId="0">
      <selection activeCell="A14" sqref="A14"/>
    </sheetView>
  </sheetViews>
  <sheetFormatPr baseColWidth="10" defaultColWidth="8.83203125" defaultRowHeight="15"/>
  <cols>
    <col min="1" max="1" width="27" customWidth="1"/>
    <col min="2" max="2" width="29.83203125" customWidth="1"/>
    <col min="3" max="3" width="19.6640625" customWidth="1"/>
    <col min="4" max="4" width="66.5" customWidth="1"/>
  </cols>
  <sheetData>
    <row r="1" spans="1:4" s="360" customFormat="1">
      <c r="A1" s="360" t="s">
        <v>2620</v>
      </c>
      <c r="C1" s="360" t="s">
        <v>2621</v>
      </c>
      <c r="D1" s="360" t="s">
        <v>2622</v>
      </c>
    </row>
    <row r="2" spans="1:4" s="357" customFormat="1">
      <c r="A2" s="357" t="s">
        <v>2623</v>
      </c>
      <c r="B2" s="357" t="s">
        <v>2624</v>
      </c>
      <c r="C2" s="358" t="s">
        <v>2625</v>
      </c>
    </row>
    <row r="3" spans="1:4" s="357" customFormat="1" ht="48">
      <c r="B3" s="357" t="s">
        <v>2626</v>
      </c>
      <c r="C3" s="358" t="s">
        <v>2627</v>
      </c>
      <c r="D3" s="359" t="s">
        <v>2628</v>
      </c>
    </row>
    <row r="4" spans="1:4" s="357" customFormat="1">
      <c r="A4" s="357" t="s">
        <v>2629</v>
      </c>
      <c r="B4" s="357" t="str">
        <f>B2</f>
        <v xml:space="preserve">Tháng </v>
      </c>
      <c r="C4" s="358" t="s">
        <v>2630</v>
      </c>
    </row>
    <row r="5" spans="1:4" s="357" customFormat="1" ht="64">
      <c r="B5" s="357" t="str">
        <f>B3</f>
        <v>Năm+ Qúy</v>
      </c>
      <c r="C5" s="358" t="s">
        <v>2631</v>
      </c>
      <c r="D5" s="359" t="s">
        <v>2632</v>
      </c>
    </row>
    <row r="6" spans="1:4" s="357" customFormat="1">
      <c r="A6" s="357" t="s">
        <v>2633</v>
      </c>
      <c r="B6" s="357" t="s">
        <v>1736</v>
      </c>
      <c r="C6" s="361" t="s">
        <v>2634</v>
      </c>
    </row>
    <row r="7" spans="1:4" s="357" customFormat="1">
      <c r="B7" s="357" t="s">
        <v>1648</v>
      </c>
      <c r="C7" s="361" t="s">
        <v>2635</v>
      </c>
    </row>
    <row r="8" spans="1:4" s="357" customFormat="1">
      <c r="A8" s="357" t="s">
        <v>2636</v>
      </c>
      <c r="C8" s="362" t="s">
        <v>2637</v>
      </c>
    </row>
  </sheetData>
  <phoneticPr fontId="64" type="noConversion"/>
  <hyperlinks>
    <hyperlink ref="C2" location="'REV BY MONTH'!A1" display="'REV BY MONTH'!A1" xr:uid="{6637979E-7E87-4C07-A899-29CBE7AE29DF}"/>
    <hyperlink ref="C3" location="'REV BY YEAR'!A1" display="'REV BY YEAR'!A1" xr:uid="{6AA64EDC-166F-4E76-B05A-A6D63BAA87F8}"/>
    <hyperlink ref="C4" location="'REV BY MONTH'!A1" display="'REV BY MONTH'!A1" xr:uid="{1E3B950B-5CFB-4C7E-8564-E8D2A16A0E07}"/>
    <hyperlink ref="C5" location="'REV BY YEAR'!A1" display="'REV BY YEAR'!A1" xr:uid="{06F4D612-F0A5-4F7C-A11D-7AC9C1A0B967}"/>
    <hyperlink ref="C6" location="Valuation!A1" display="Valuation!A1" xr:uid="{4FAF3848-7B1C-424D-9F2F-7F5493090CEF}"/>
    <hyperlink ref="C7" location="Valuation!A1" display="Valuation!A1" xr:uid="{4FFA2EC8-2FFC-4454-9545-C216B91C67DA}"/>
    <hyperlink ref="C8" location="Sensitivity_Analysis!A1" display="Sensitivity_Analysis!A1" xr:uid="{796476F4-8DCF-42B3-831A-03A58B1876F5}"/>
  </hyperlinks>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52581E-3978-436D-AF3B-5A9FD3D47A8B}">
  <dimension ref="A1:V171"/>
  <sheetViews>
    <sheetView topLeftCell="B171" zoomScale="50" zoomScaleNormal="50" workbookViewId="0">
      <selection activeCell="B171" sqref="B171"/>
    </sheetView>
  </sheetViews>
  <sheetFormatPr baseColWidth="10" defaultColWidth="8.83203125" defaultRowHeight="15"/>
  <cols>
    <col min="1" max="1" width="19.6640625" customWidth="1"/>
    <col min="2" max="2" width="13.5" customWidth="1"/>
    <col min="3" max="3" width="13.83203125" customWidth="1"/>
    <col min="4" max="4" width="15.1640625" customWidth="1"/>
    <col min="5" max="8" width="11.6640625" bestFit="1" customWidth="1"/>
    <col min="9" max="9" width="11.5" bestFit="1" customWidth="1"/>
    <col min="10" max="10" width="14.33203125" customWidth="1"/>
    <col min="11" max="14" width="12.6640625" customWidth="1"/>
    <col min="15" max="15" width="21.5" customWidth="1"/>
    <col min="16" max="16" width="31" customWidth="1"/>
    <col min="17" max="17" width="8.83203125" customWidth="1"/>
    <col min="18" max="23" width="8.83203125" bestFit="1" customWidth="1"/>
  </cols>
  <sheetData>
    <row r="1" spans="1:22">
      <c r="A1" t="s">
        <v>2638</v>
      </c>
      <c r="B1">
        <v>2020</v>
      </c>
      <c r="C1">
        <v>2021</v>
      </c>
      <c r="D1" t="s">
        <v>2639</v>
      </c>
      <c r="E1" t="s">
        <v>2640</v>
      </c>
      <c r="F1" t="s">
        <v>1399</v>
      </c>
      <c r="G1" t="s">
        <v>2641</v>
      </c>
      <c r="H1" t="s">
        <v>2642</v>
      </c>
      <c r="L1" s="109" t="str">
        <f>Rev_Year!AK5</f>
        <v>Q1/2022</v>
      </c>
      <c r="M1" s="109" t="str">
        <f>Rev_Year!AL5</f>
        <v>Q2/2022</v>
      </c>
      <c r="N1" s="109" t="str">
        <f>Rev_Year!AM5</f>
        <v>Q3/2022</v>
      </c>
      <c r="O1" s="109" t="str">
        <f>Rev_Year!AN5</f>
        <v>Q4/2022</v>
      </c>
      <c r="P1" s="109" t="str">
        <f>Rev_Year!AO5</f>
        <v>Q1/2023</v>
      </c>
      <c r="S1" s="3457" t="s">
        <v>95</v>
      </c>
      <c r="T1" s="3457"/>
      <c r="U1" s="3457" t="s">
        <v>91</v>
      </c>
      <c r="V1" s="3457"/>
    </row>
    <row r="2" spans="1:22">
      <c r="A2" t="s">
        <v>2643</v>
      </c>
      <c r="B2" s="158">
        <v>7230.77</v>
      </c>
      <c r="C2" s="158">
        <v>7908.54</v>
      </c>
      <c r="D2" s="158">
        <v>8617.7800000000007</v>
      </c>
      <c r="E2" s="158">
        <v>8864.42</v>
      </c>
      <c r="F2" s="158">
        <v>9558.51</v>
      </c>
      <c r="G2" s="158">
        <v>10185.42</v>
      </c>
      <c r="H2" s="158">
        <v>10878.36</v>
      </c>
      <c r="K2" t="s">
        <v>513</v>
      </c>
      <c r="L2" s="158">
        <f>Rev_Year!AK8</f>
        <v>9604.3690000000006</v>
      </c>
      <c r="M2" s="158">
        <f>Rev_Year!AL8</f>
        <v>8395.6309999999994</v>
      </c>
      <c r="N2" s="158">
        <f ca="1">Rev_Year!AM8</f>
        <v>7529.5768730895661</v>
      </c>
      <c r="O2" s="158">
        <f ca="1">Rev_Year!AN8</f>
        <v>6552.4664335500038</v>
      </c>
      <c r="P2" s="158">
        <f ca="1">Rev_Year!AO8</f>
        <v>5706.7949636169196</v>
      </c>
      <c r="S2" t="s">
        <v>2644</v>
      </c>
      <c r="T2" t="s">
        <v>4</v>
      </c>
      <c r="U2" t="str">
        <f>S2</f>
        <v>DT</v>
      </c>
      <c r="V2" t="str">
        <f>T2</f>
        <v>SLCH</v>
      </c>
    </row>
    <row r="3" spans="1:22">
      <c r="A3" t="s">
        <v>2645</v>
      </c>
      <c r="B3" s="158">
        <v>1287.68</v>
      </c>
      <c r="C3" s="158">
        <v>1570.83</v>
      </c>
      <c r="D3" s="158">
        <v>1644.65</v>
      </c>
      <c r="E3" s="158">
        <v>1678.26</v>
      </c>
      <c r="F3" s="158">
        <v>1805.95</v>
      </c>
      <c r="G3" s="158">
        <v>1918.94</v>
      </c>
      <c r="H3" s="158">
        <v>2035.96</v>
      </c>
      <c r="K3" t="s">
        <v>1254</v>
      </c>
      <c r="L3" s="158">
        <f>Rev_Year!AK15</f>
        <v>20213.726463204832</v>
      </c>
      <c r="M3" s="158">
        <f>Rev_Year!AL15</f>
        <v>18265.117191273552</v>
      </c>
      <c r="N3" s="158">
        <f>Rev_Year!AM15</f>
        <v>15521.156345521616</v>
      </c>
      <c r="O3" s="158">
        <f>Rev_Year!AN15</f>
        <v>14970.269709</v>
      </c>
      <c r="P3" s="158">
        <f>Rev_Year!AO15</f>
        <v>13306.07</v>
      </c>
      <c r="R3" t="s">
        <v>513</v>
      </c>
      <c r="S3" s="123">
        <v>5722.6042015217172</v>
      </c>
      <c r="T3" s="123">
        <v>1188</v>
      </c>
      <c r="U3" s="123">
        <v>9604.3690000000006</v>
      </c>
      <c r="V3" s="123">
        <v>985</v>
      </c>
    </row>
    <row r="4" spans="1:22">
      <c r="A4" t="s">
        <v>2646</v>
      </c>
      <c r="B4" s="158">
        <v>4105.2700000000004</v>
      </c>
      <c r="C4" s="158">
        <v>4437.8</v>
      </c>
      <c r="D4" s="158">
        <v>4918.04</v>
      </c>
      <c r="E4" s="158">
        <v>5067.8599999999997</v>
      </c>
      <c r="F4" s="158">
        <v>5473.18</v>
      </c>
      <c r="G4" s="158">
        <v>5850.74</v>
      </c>
      <c r="H4" s="158">
        <v>6248.49</v>
      </c>
      <c r="K4" t="s">
        <v>7</v>
      </c>
      <c r="L4" s="158">
        <f>Rev_Year!AK23</f>
        <v>6040</v>
      </c>
      <c r="M4" s="158">
        <f>Rev_Year!AL23</f>
        <v>6775.5240000000013</v>
      </c>
      <c r="N4" s="158">
        <f>Rev_Year!AM23</f>
        <v>7121.2509999999984</v>
      </c>
      <c r="O4" s="158">
        <f>Rev_Year!AN23</f>
        <v>7144.3947310000003</v>
      </c>
      <c r="P4" s="158">
        <f>Rev_Year!AO23</f>
        <v>6369.64</v>
      </c>
      <c r="R4" t="s">
        <v>1254</v>
      </c>
      <c r="S4" s="123">
        <v>13306.07</v>
      </c>
      <c r="T4" s="123">
        <v>2291</v>
      </c>
      <c r="U4" s="123">
        <v>20213.726463204832</v>
      </c>
      <c r="V4" s="123">
        <v>2077</v>
      </c>
    </row>
    <row r="5" spans="1:22">
      <c r="A5" t="s">
        <v>2647</v>
      </c>
      <c r="B5" s="158">
        <v>1837.82</v>
      </c>
      <c r="C5" s="158">
        <v>1899.91</v>
      </c>
      <c r="D5" s="158">
        <v>2055.1</v>
      </c>
      <c r="E5" s="158">
        <v>2118.3000000000002</v>
      </c>
      <c r="F5" s="158">
        <v>2279.37</v>
      </c>
      <c r="G5" s="158">
        <v>2415.7399999999998</v>
      </c>
      <c r="H5" s="158">
        <v>2593.91</v>
      </c>
      <c r="K5" t="s">
        <v>49</v>
      </c>
      <c r="L5" s="158">
        <f>Rev_Year!AK6-SUM('biểu đồ'!L2:L4)</f>
        <v>961.07842241416802</v>
      </c>
      <c r="M5" s="158">
        <f>Rev_Year!AL6-SUM('biểu đồ'!M2:M4)</f>
        <v>1266.5681507624395</v>
      </c>
      <c r="N5" s="158">
        <f ca="1">Rev_Year!AM6-SUM('biểu đồ'!N2:N4)</f>
        <v>2150.4722375858219</v>
      </c>
      <c r="O5" s="158">
        <f ca="1">Rev_Year!AN6-SUM('biểu đồ'!O2:O4)</f>
        <v>2210.6473301549922</v>
      </c>
      <c r="P5" s="158">
        <f ca="1">Rev_Year!AO6-SUM('biểu đồ'!P2:P4)</f>
        <v>1697.8254084573127</v>
      </c>
      <c r="R5" t="s">
        <v>7</v>
      </c>
      <c r="S5" s="123">
        <v>6369.64</v>
      </c>
      <c r="T5" s="123">
        <v>1710</v>
      </c>
      <c r="U5" s="123">
        <v>6040</v>
      </c>
      <c r="V5" s="123">
        <v>2127</v>
      </c>
    </row>
    <row r="6" spans="1:22">
      <c r="B6" s="158"/>
      <c r="C6" s="158"/>
      <c r="D6" s="158"/>
      <c r="E6" s="158"/>
      <c r="F6" s="158"/>
      <c r="G6" s="158"/>
      <c r="H6" s="158"/>
      <c r="L6" s="158"/>
      <c r="M6" s="158"/>
      <c r="N6" s="158"/>
      <c r="O6" s="158"/>
      <c r="P6" s="158"/>
      <c r="S6" s="123"/>
      <c r="T6" s="123"/>
      <c r="U6" s="123"/>
      <c r="V6" s="123"/>
    </row>
    <row r="7" spans="1:22">
      <c r="A7" t="s">
        <v>1407</v>
      </c>
      <c r="B7" s="158"/>
      <c r="C7" s="158"/>
      <c r="D7" s="158"/>
      <c r="E7" s="158"/>
      <c r="F7" s="158"/>
      <c r="G7" s="158"/>
      <c r="H7" s="158"/>
      <c r="L7" s="158"/>
      <c r="M7" s="158"/>
      <c r="N7" s="158"/>
      <c r="O7" s="158"/>
      <c r="P7" s="158"/>
      <c r="S7" s="123"/>
      <c r="T7" s="123"/>
      <c r="U7" s="123"/>
      <c r="V7" s="123"/>
    </row>
    <row r="8" spans="1:22">
      <c r="B8">
        <f>B1</f>
        <v>2020</v>
      </c>
      <c r="C8">
        <f t="shared" ref="C8:H8" si="0">C1</f>
        <v>2021</v>
      </c>
      <c r="D8" t="str">
        <f t="shared" si="0"/>
        <v>2022f</v>
      </c>
      <c r="E8" t="str">
        <f t="shared" si="0"/>
        <v>2023f</v>
      </c>
      <c r="F8" t="str">
        <f t="shared" si="0"/>
        <v>2024f</v>
      </c>
      <c r="G8" t="str">
        <f t="shared" si="0"/>
        <v>2025f</v>
      </c>
      <c r="H8" t="str">
        <f t="shared" si="0"/>
        <v>2026f</v>
      </c>
    </row>
    <row r="9" spans="1:22">
      <c r="B9" t="s">
        <v>255</v>
      </c>
      <c r="C9" s="38">
        <f t="shared" ref="C9:H9" si="1">C2/B2-1</f>
        <v>9.3734138964453262E-2</v>
      </c>
      <c r="D9" s="38">
        <f t="shared" si="1"/>
        <v>8.968026968315268E-2</v>
      </c>
      <c r="E9" s="38">
        <f t="shared" si="1"/>
        <v>2.8619899788576486E-2</v>
      </c>
      <c r="F9" s="38">
        <f t="shared" si="1"/>
        <v>7.8300667161528947E-2</v>
      </c>
      <c r="G9" s="38">
        <f t="shared" si="1"/>
        <v>6.5586582009120598E-2</v>
      </c>
      <c r="H9" s="38">
        <f t="shared" si="1"/>
        <v>6.8032540631608684E-2</v>
      </c>
    </row>
    <row r="10" spans="1:22">
      <c r="B10" t="s">
        <v>2289</v>
      </c>
      <c r="C10" s="38">
        <f t="shared" ref="C10:H10" si="2">C3/B3-1</f>
        <v>0.21989158797216679</v>
      </c>
      <c r="D10" s="38">
        <f t="shared" si="2"/>
        <v>4.6994264178810141E-2</v>
      </c>
      <c r="E10" s="38">
        <f t="shared" si="2"/>
        <v>2.0435959018636041E-2</v>
      </c>
      <c r="F10" s="38">
        <f t="shared" si="2"/>
        <v>7.60847544480594E-2</v>
      </c>
      <c r="G10" s="38">
        <f t="shared" si="2"/>
        <v>6.2565408787618626E-2</v>
      </c>
      <c r="H10" s="38">
        <f t="shared" si="2"/>
        <v>6.0981583582602861E-2</v>
      </c>
      <c r="K10" t="s">
        <v>2648</v>
      </c>
      <c r="L10" s="109" t="str">
        <f>Rev_Year!AG5</f>
        <v>Q1/2021</v>
      </c>
      <c r="M10" s="109" t="str">
        <f>Rev_Year!AH5</f>
        <v>Q2/2021</v>
      </c>
      <c r="N10" s="109" t="str">
        <f>Rev_Year!AI5</f>
        <v>Q3/2021</v>
      </c>
      <c r="O10" s="109" t="str">
        <f>Rev_Year!AJ5</f>
        <v>Q4/2021</v>
      </c>
      <c r="P10" s="109" t="str">
        <f>Rev_Year!AK5</f>
        <v>Q1/2022</v>
      </c>
      <c r="Q10" s="109" t="str">
        <f>Rev_Year!AL5</f>
        <v>Q2/2022</v>
      </c>
      <c r="R10" s="109" t="str">
        <f>Rev_Year!AM5</f>
        <v>Q3/2022</v>
      </c>
      <c r="S10" s="109" t="str">
        <f>Rev_Year!AN5</f>
        <v>Q4/2022</v>
      </c>
      <c r="T10" s="109" t="str">
        <f>Rev_Year!AO5</f>
        <v>Q1/2023</v>
      </c>
    </row>
    <row r="11" spans="1:22">
      <c r="B11" t="s">
        <v>2292</v>
      </c>
      <c r="C11" s="38">
        <f t="shared" ref="C11:H11" si="3">C4/B4-1</f>
        <v>8.1000762434626727E-2</v>
      </c>
      <c r="D11" s="38">
        <f t="shared" si="3"/>
        <v>0.10821578259497944</v>
      </c>
      <c r="E11" s="38">
        <f t="shared" si="3"/>
        <v>3.0463355320412111E-2</v>
      </c>
      <c r="F11" s="38">
        <f t="shared" si="3"/>
        <v>7.9978531372216333E-2</v>
      </c>
      <c r="G11" s="38">
        <f t="shared" si="3"/>
        <v>6.8983662148878633E-2</v>
      </c>
      <c r="H11" s="38">
        <f t="shared" si="3"/>
        <v>6.7982853451016512E-2</v>
      </c>
      <c r="K11" t="s">
        <v>2649</v>
      </c>
      <c r="L11" s="158">
        <f>Rev_Year!AG218</f>
        <v>108.97745441480599</v>
      </c>
      <c r="M11" s="158">
        <f>Rev_Year!AH218</f>
        <v>99.991198732998399</v>
      </c>
      <c r="N11" s="158">
        <f>Rev_Year!AI218</f>
        <v>102.01973205650452</v>
      </c>
      <c r="O11" s="158">
        <f>Rev_Year!AJ218</f>
        <v>120.98819077279971</v>
      </c>
      <c r="P11" s="158">
        <f>Rev_Year!AK218</f>
        <v>164.32301344034005</v>
      </c>
      <c r="Q11" s="158">
        <f>Rev_Year!AL218</f>
        <v>112.3755102590505</v>
      </c>
      <c r="R11" s="158">
        <f ca="1">Rev_Year!AM218</f>
        <v>105.98205838194741</v>
      </c>
      <c r="S11" s="158">
        <f ca="1">Rev_Year!AN218</f>
        <v>99.544029318368118</v>
      </c>
      <c r="T11" s="158">
        <f ca="1">Rev_Year!AO218</f>
        <v>88.520984229752074</v>
      </c>
    </row>
    <row r="12" spans="1:22">
      <c r="C12" s="38">
        <f t="shared" ref="C12:H12" si="4">C5/B5-1</f>
        <v>3.3784592615163644E-2</v>
      </c>
      <c r="D12" s="38">
        <f t="shared" si="4"/>
        <v>8.1682816554468296E-2</v>
      </c>
      <c r="E12" s="38">
        <f t="shared" si="4"/>
        <v>3.0752761422802033E-2</v>
      </c>
      <c r="F12" s="38">
        <f t="shared" si="4"/>
        <v>7.6037388471887679E-2</v>
      </c>
      <c r="G12" s="38">
        <f t="shared" si="4"/>
        <v>5.9827934911839575E-2</v>
      </c>
      <c r="H12" s="38">
        <f t="shared" si="4"/>
        <v>7.3753798008063809E-2</v>
      </c>
      <c r="K12" t="s">
        <v>2650</v>
      </c>
      <c r="L12" s="158">
        <f t="shared" ref="L12:T12" si="5">AVERAGE(I18:L18)/SUM(I17:L17)*365</f>
        <v>48.478409644545209</v>
      </c>
      <c r="M12" s="158">
        <f t="shared" si="5"/>
        <v>44.707739984385462</v>
      </c>
      <c r="N12" s="158">
        <f t="shared" si="5"/>
        <v>43.149056472608379</v>
      </c>
      <c r="O12" s="158">
        <f t="shared" si="5"/>
        <v>44.396630843369969</v>
      </c>
      <c r="P12" s="158">
        <f t="shared" si="5"/>
        <v>46.906323881167438</v>
      </c>
      <c r="Q12" s="158">
        <f t="shared" si="5"/>
        <v>50.573219455245059</v>
      </c>
      <c r="R12" s="158">
        <f t="shared" si="5"/>
        <v>53.410401754452757</v>
      </c>
      <c r="S12" s="158">
        <f t="shared" si="5"/>
        <v>58.91257095017329</v>
      </c>
      <c r="T12" s="158">
        <f t="shared" si="5"/>
        <v>63.38253657805808</v>
      </c>
    </row>
    <row r="13" spans="1:22">
      <c r="K13" t="s">
        <v>2651</v>
      </c>
      <c r="L13" s="158">
        <f>AVERAGE(I21:L21)/SUM(I20:L20)*365</f>
        <v>37.103798767077393</v>
      </c>
      <c r="M13" s="158">
        <f t="shared" ref="M13:T13" si="6">AVERAGE(J21:M21)/SUM(J20:M20)*365</f>
        <v>23.171823246264829</v>
      </c>
      <c r="N13" s="158">
        <f t="shared" si="6"/>
        <v>20.118041169500412</v>
      </c>
      <c r="O13" s="158">
        <f t="shared" si="6"/>
        <v>21.078715974577534</v>
      </c>
      <c r="P13" s="158">
        <f t="shared" si="6"/>
        <v>26.248034789546981</v>
      </c>
      <c r="Q13" s="158">
        <f t="shared" si="6"/>
        <v>36.230166884859436</v>
      </c>
      <c r="R13" s="158">
        <f t="shared" si="6"/>
        <v>40.960441697179235</v>
      </c>
      <c r="S13" s="158">
        <f t="shared" si="6"/>
        <v>52.005366444810086</v>
      </c>
      <c r="T13" s="158">
        <f t="shared" si="6"/>
        <v>56.785578393762329</v>
      </c>
    </row>
    <row r="14" spans="1:22">
      <c r="K14" t="s">
        <v>2652</v>
      </c>
      <c r="L14" s="158">
        <f t="shared" ref="L14:T14" si="7">AVERAGE(I24:L24)/SUM(I23:L23)*365</f>
        <v>19.874770697728046</v>
      </c>
      <c r="M14" s="158">
        <f t="shared" si="7"/>
        <v>17.660388958214973</v>
      </c>
      <c r="N14" s="158">
        <f t="shared" si="7"/>
        <v>18.198844436239849</v>
      </c>
      <c r="O14" s="158">
        <f t="shared" si="7"/>
        <v>23.580911128747861</v>
      </c>
      <c r="P14" s="158">
        <f t="shared" si="7"/>
        <v>32.829775196873229</v>
      </c>
      <c r="Q14" s="158">
        <f t="shared" si="7"/>
        <v>41.206152647212804</v>
      </c>
      <c r="R14" s="158">
        <f t="shared" si="7"/>
        <v>43.941626778204942</v>
      </c>
      <c r="S14" s="158">
        <f t="shared" si="7"/>
        <v>53.305365634485405</v>
      </c>
      <c r="T14" s="158">
        <f t="shared" si="7"/>
        <v>59.55272791909217</v>
      </c>
    </row>
    <row r="15" spans="1:22">
      <c r="K15" s="38" t="s">
        <v>2653</v>
      </c>
      <c r="L15" s="38">
        <f t="shared" ref="L15:T15" si="8">L16/H16-1</f>
        <v>9.2972436200649211E-2</v>
      </c>
      <c r="M15" s="38">
        <f t="shared" si="8"/>
        <v>0.17868083521726219</v>
      </c>
      <c r="N15" s="38">
        <f t="shared" si="8"/>
        <v>-0.15887862198376068</v>
      </c>
      <c r="O15" s="38">
        <f t="shared" si="8"/>
        <v>0.57110952749833555</v>
      </c>
      <c r="P15" s="38">
        <f t="shared" si="8"/>
        <v>0.24396495433390486</v>
      </c>
      <c r="Q15" s="38">
        <f t="shared" si="8"/>
        <v>0.12180138245657113</v>
      </c>
      <c r="R15" s="38">
        <f t="shared" ca="1" si="8"/>
        <v>0.47825478205490235</v>
      </c>
      <c r="S15" s="38">
        <f t="shared" ca="1" si="8"/>
        <v>-0.30689129111377578</v>
      </c>
      <c r="T15" s="38">
        <f t="shared" ca="1" si="8"/>
        <v>-0.32297019651827041</v>
      </c>
    </row>
    <row r="16" spans="1:22">
      <c r="G16" s="123">
        <f>SUM(Rev_Year!AB82,'biểu đồ'!G17,'biểu đồ'!G20,'biểu đồ'!G23)</f>
        <v>21821.688999999998</v>
      </c>
      <c r="H16" s="123">
        <f>SUM(Rev_Year!AC82,'biểu đồ'!H17,'biểu đồ'!H20,'biểu đồ'!H23)</f>
        <v>32882.532716009999</v>
      </c>
      <c r="I16" s="123">
        <f>SUM(Rev_Year!AD82,'biểu đồ'!I17,'biểu đồ'!I20,'biểu đồ'!I23)</f>
        <v>28462.049836028997</v>
      </c>
      <c r="J16" s="123">
        <f>SUM(Rev_Year!AE82,'biểu đồ'!J17,'biểu đồ'!J20,'biểu đồ'!J23)</f>
        <v>29651.517379907011</v>
      </c>
      <c r="K16" s="123">
        <f>SUM(Rev_Year!AF82,'biểu đồ'!K17,'biểu đồ'!K20,'biểu đồ'!K23)</f>
        <v>30511.175430801999</v>
      </c>
      <c r="L16" s="123">
        <f>SUM(Rev_Year!AG82,'biểu đồ'!L17,'biểu đồ'!L20,'biểu đồ'!L23)</f>
        <v>35939.701891065</v>
      </c>
      <c r="M16" s="123">
        <f>SUM(Rev_Year!AH82,'biểu đồ'!M17,'biểu đồ'!M20,'biểu đồ'!M23)</f>
        <v>33547.672672725996</v>
      </c>
      <c r="N16" s="123">
        <f>SUM(Rev_Year!AI82,'biểu đồ'!N17,'biểu đồ'!N20,'biểu đồ'!N23)</f>
        <v>24940.525158859855</v>
      </c>
      <c r="O16" s="123">
        <f>SUM(Rev_Year!AJ82,'biểu đồ'!O17,'biểu đồ'!O20,'biểu đồ'!O23)</f>
        <v>47936.398414506155</v>
      </c>
      <c r="P16" s="123">
        <f>SUM(Rev_Year!AK82,'biểu đồ'!P17,'biểu đồ'!P20,'biểu đồ'!P23)</f>
        <v>44707.72962169283</v>
      </c>
      <c r="Q16" s="123">
        <f>SUM(Rev_Year!AL82,'biểu đồ'!Q17,'biểu đồ'!Q20,'biểu đồ'!Q23)</f>
        <v>37633.825582464553</v>
      </c>
      <c r="R16" s="123">
        <f ca="1">SUM(Rev_Year!AM82,'biểu đồ'!R17,'biểu đồ'!R20,'biểu đồ'!R23)</f>
        <v>36868.450583045182</v>
      </c>
      <c r="S16" s="123">
        <f ca="1">SUM(Rev_Year!AN82,'biểu đồ'!S17,'biểu đồ'!S20,'biểu đồ'!S23)</f>
        <v>33225.135213734007</v>
      </c>
      <c r="T16" s="123">
        <f ca="1">SUM(Rev_Year!AO82,'biểu đồ'!T17,'biểu đồ'!T20,'biểu đồ'!T23)</f>
        <v>30268.465399888999</v>
      </c>
    </row>
    <row r="17" spans="2:20">
      <c r="H17" s="158">
        <v>3854</v>
      </c>
      <c r="I17" s="158">
        <v>2971</v>
      </c>
      <c r="J17" s="158">
        <v>3081</v>
      </c>
      <c r="K17" s="158">
        <v>3569</v>
      </c>
      <c r="L17" s="158">
        <v>4083</v>
      </c>
      <c r="M17" s="158">
        <v>3605</v>
      </c>
      <c r="N17" s="158">
        <v>3805.6940429328479</v>
      </c>
      <c r="O17" s="158">
        <v>7064.3059570671521</v>
      </c>
      <c r="P17" s="158">
        <v>5646</v>
      </c>
      <c r="Q17" s="158">
        <v>4402</v>
      </c>
      <c r="R17" s="158">
        <v>5097.9806682550006</v>
      </c>
      <c r="S17" s="158">
        <v>5543.0193317449994</v>
      </c>
      <c r="T17" s="158">
        <v>4513</v>
      </c>
    </row>
    <row r="18" spans="2:20">
      <c r="H18" s="158">
        <v>2778.1101035430002</v>
      </c>
      <c r="I18" s="158">
        <v>2095.0100246060001</v>
      </c>
      <c r="J18" s="158">
        <v>1750.1376301180001</v>
      </c>
      <c r="K18" s="158">
        <v>1420.6693679929999</v>
      </c>
      <c r="L18" s="158">
        <v>2014.710382969</v>
      </c>
      <c r="M18" s="158">
        <v>1839.354683535</v>
      </c>
      <c r="N18" s="158">
        <v>1847.907054688</v>
      </c>
      <c r="O18" s="158">
        <v>3327.2078809039999</v>
      </c>
      <c r="P18" s="158">
        <v>3328.5675623850002</v>
      </c>
      <c r="Q18" s="158">
        <v>3089.6391958839999</v>
      </c>
      <c r="R18" s="158">
        <v>3254.6985853750002</v>
      </c>
      <c r="S18" s="158">
        <v>3684.2692359520001</v>
      </c>
      <c r="T18" s="158">
        <v>3555.0520000000001</v>
      </c>
    </row>
    <row r="19" spans="2:20">
      <c r="H19" s="158"/>
      <c r="I19" s="158"/>
      <c r="J19" s="158"/>
      <c r="K19" s="158"/>
    </row>
    <row r="20" spans="2:20">
      <c r="H20" s="158">
        <v>1855.826569629</v>
      </c>
      <c r="I20" s="158">
        <v>1590.694632768</v>
      </c>
      <c r="J20" s="158">
        <v>2906.0850962989998</v>
      </c>
      <c r="K20" s="158">
        <v>1874.5423494199999</v>
      </c>
      <c r="L20" s="158">
        <v>1972.515408039</v>
      </c>
      <c r="M20" s="158">
        <v>1675.2000377429999</v>
      </c>
      <c r="N20" s="158">
        <v>2337.5079987190002</v>
      </c>
      <c r="O20" s="158">
        <v>2541.2729389639999</v>
      </c>
      <c r="P20" s="158">
        <v>2234.9339661150002</v>
      </c>
      <c r="Q20" s="158">
        <v>1660.9134582409999</v>
      </c>
      <c r="R20" s="158">
        <v>2654.5158242399998</v>
      </c>
      <c r="S20" s="158">
        <v>2084.2570504659998</v>
      </c>
      <c r="T20" s="158">
        <v>1849.928186717</v>
      </c>
    </row>
    <row r="21" spans="2:20">
      <c r="H21" s="158">
        <v>1448.698789694</v>
      </c>
      <c r="I21" s="158">
        <v>1606.429883818</v>
      </c>
      <c r="J21" s="158">
        <v>960.623556345</v>
      </c>
      <c r="K21" s="158">
        <v>352.34925650500003</v>
      </c>
      <c r="L21" s="158">
        <v>473.34324355400003</v>
      </c>
      <c r="M21" s="158">
        <v>353.958702399</v>
      </c>
      <c r="N21" s="158">
        <v>553.20459836099997</v>
      </c>
      <c r="O21" s="158">
        <v>589.110940895</v>
      </c>
      <c r="P21" s="158">
        <v>1031.8544722950001</v>
      </c>
      <c r="Q21" s="158">
        <v>1309.734097044</v>
      </c>
      <c r="R21" s="158">
        <v>1150.368259547</v>
      </c>
      <c r="S21" s="158">
        <v>1429.1017219580001</v>
      </c>
      <c r="T21" s="158">
        <v>1244.5946285709999</v>
      </c>
    </row>
    <row r="22" spans="2:20">
      <c r="H22" s="158"/>
      <c r="I22" s="158"/>
      <c r="J22" s="158"/>
      <c r="K22" s="158"/>
      <c r="L22" s="158"/>
      <c r="M22" s="158"/>
      <c r="N22" s="158"/>
      <c r="O22" s="158"/>
      <c r="P22" s="158"/>
      <c r="Q22" s="158"/>
      <c r="R22" s="158"/>
      <c r="S22" s="158"/>
      <c r="T22" s="158"/>
    </row>
    <row r="23" spans="2:20">
      <c r="H23" s="158">
        <v>2310.7151463810001</v>
      </c>
      <c r="I23" s="158">
        <v>2581.9762032610001</v>
      </c>
      <c r="J23" s="158">
        <v>3624.2742836080001</v>
      </c>
      <c r="K23" s="158">
        <v>4017.1770813819999</v>
      </c>
      <c r="L23" s="158">
        <v>5006.797483026</v>
      </c>
      <c r="M23" s="158">
        <v>4217.540634983</v>
      </c>
      <c r="N23" s="158">
        <v>3825.1241172079999</v>
      </c>
      <c r="O23" s="158">
        <v>7921.5535184749997</v>
      </c>
      <c r="P23" s="158">
        <v>7008.7001923730004</v>
      </c>
      <c r="Q23" s="158">
        <v>4910.1639329500003</v>
      </c>
      <c r="R23" s="158">
        <v>6065.2208719390001</v>
      </c>
      <c r="S23" s="158">
        <v>4075.1226889730001</v>
      </c>
      <c r="T23" s="158">
        <v>3959.9272131719999</v>
      </c>
    </row>
    <row r="24" spans="2:20">
      <c r="H24" s="158">
        <v>835.89451232099998</v>
      </c>
      <c r="I24" s="158">
        <v>1028.0641917999999</v>
      </c>
      <c r="J24" s="158">
        <v>795.37530009399995</v>
      </c>
      <c r="K24" s="158">
        <v>827.37117436300002</v>
      </c>
      <c r="L24" s="158">
        <v>666.419257786</v>
      </c>
      <c r="M24" s="158">
        <v>975.01401961600004</v>
      </c>
      <c r="N24" s="158">
        <v>934.95570135499997</v>
      </c>
      <c r="O24" s="158">
        <v>2842.9607063650001</v>
      </c>
      <c r="P24" s="158">
        <v>3512.2284631590001</v>
      </c>
      <c r="Q24" s="158">
        <v>3396.605006195</v>
      </c>
      <c r="R24" s="158">
        <v>2723.1197871260001</v>
      </c>
      <c r="S24" s="158">
        <v>3254.3385936220002</v>
      </c>
      <c r="T24" s="158">
        <v>3032.7667032670001</v>
      </c>
    </row>
    <row r="25" spans="2:20">
      <c r="L25" s="109" t="str">
        <f>P10</f>
        <v>Q1/2022</v>
      </c>
      <c r="M25" s="109" t="str">
        <f>T10</f>
        <v>Q1/2023</v>
      </c>
      <c r="N25" t="s">
        <v>31</v>
      </c>
    </row>
    <row r="26" spans="2:20">
      <c r="K26" t="str">
        <f>K11</f>
        <v>MWG_LHS</v>
      </c>
      <c r="L26" s="32">
        <f>Rev_Year!AK8+Rev_Year!AK15</f>
        <v>29818.095463204831</v>
      </c>
      <c r="M26" s="158">
        <f ca="1">Rev_Year!AO8+Rev_Year!AO15</f>
        <v>19012.864963616921</v>
      </c>
      <c r="N26" s="38">
        <f ca="1">M26/L26-1</f>
        <v>-0.36237158449376594</v>
      </c>
    </row>
    <row r="27" spans="2:20">
      <c r="K27" t="str">
        <f>K12</f>
        <v>FRT_LHS</v>
      </c>
      <c r="L27" s="123">
        <f>P17</f>
        <v>5646</v>
      </c>
      <c r="M27" s="123">
        <f>T17</f>
        <v>4513</v>
      </c>
      <c r="N27" s="38">
        <f>M27/L27-1</f>
        <v>-0.20067304286220333</v>
      </c>
    </row>
    <row r="28" spans="2:20">
      <c r="K28" t="str">
        <f>K13</f>
        <v>PSD_LHS</v>
      </c>
      <c r="L28" s="123">
        <f>P20</f>
        <v>2234.9339661150002</v>
      </c>
      <c r="M28" s="123">
        <f>T20</f>
        <v>1849.928186717</v>
      </c>
      <c r="N28" s="38">
        <f>M28/L28-1</f>
        <v>-0.17226718338674596</v>
      </c>
    </row>
    <row r="29" spans="2:20">
      <c r="K29" t="str">
        <f>K14</f>
        <v>DGW_LHS</v>
      </c>
      <c r="L29" s="123">
        <f>P23</f>
        <v>7008.7001923730004</v>
      </c>
      <c r="M29" s="123">
        <f>T23</f>
        <v>3959.9272131719999</v>
      </c>
      <c r="N29" s="38">
        <f>M29/L29-1</f>
        <v>-0.43499834427483897</v>
      </c>
    </row>
    <row r="31" spans="2:20">
      <c r="B31" s="3457" t="s">
        <v>1411</v>
      </c>
      <c r="C31" s="3457"/>
      <c r="D31" s="3457" t="s">
        <v>1412</v>
      </c>
      <c r="E31" s="3457"/>
      <c r="K31" s="109" t="str">
        <f>P10</f>
        <v>Q1/2022</v>
      </c>
      <c r="L31" s="109" t="str">
        <f>Q10</f>
        <v>Q2/2022</v>
      </c>
      <c r="M31" s="109" t="str">
        <f>R10</f>
        <v>Q3/2022</v>
      </c>
      <c r="N31" s="109" t="str">
        <f>S10</f>
        <v>Q4/2022</v>
      </c>
      <c r="O31" s="109" t="str">
        <f>T10</f>
        <v>Q1/2023</v>
      </c>
    </row>
    <row r="32" spans="2:20">
      <c r="B32" t="s">
        <v>2654</v>
      </c>
      <c r="C32" t="s">
        <v>7</v>
      </c>
      <c r="D32" t="str">
        <f>B32</f>
        <v>WCP</v>
      </c>
      <c r="E32" t="str">
        <f>C32</f>
        <v>BHX</v>
      </c>
      <c r="J32" t="s">
        <v>2655</v>
      </c>
      <c r="K32" s="84">
        <f>Rev_Year!AK106</f>
        <v>0.9483435390171141</v>
      </c>
      <c r="L32" s="84">
        <f>Rev_Year!AL106</f>
        <v>1.1211258376768432</v>
      </c>
      <c r="M32" s="84">
        <f>Rev_Year!AM106</f>
        <v>1.312552022855036</v>
      </c>
      <c r="N32" s="84">
        <f>Rev_Year!AN106</f>
        <v>1.3781625638503086</v>
      </c>
      <c r="O32" s="84">
        <f>Rev_Year!AO106</f>
        <v>1.2351444638355633</v>
      </c>
    </row>
    <row r="33" spans="1:17">
      <c r="A33" t="s">
        <v>2656</v>
      </c>
      <c r="B33" s="152">
        <v>0.58517971442639094</v>
      </c>
      <c r="C33" s="152">
        <v>0.97110012460307893</v>
      </c>
      <c r="D33" s="152">
        <v>0.484949159367764</v>
      </c>
      <c r="E33" s="152">
        <v>1.2306105100463678</v>
      </c>
      <c r="J33" t="s">
        <v>2657</v>
      </c>
      <c r="K33">
        <v>2127</v>
      </c>
      <c r="L33">
        <v>1889</v>
      </c>
      <c r="M33">
        <v>1727</v>
      </c>
      <c r="N33">
        <v>1728</v>
      </c>
      <c r="O33">
        <v>1710</v>
      </c>
      <c r="P33" s="109">
        <f>O33/K33-1</f>
        <v>-0.19605077574047958</v>
      </c>
    </row>
    <row r="34" spans="1:17">
      <c r="A34" t="s">
        <v>1330</v>
      </c>
      <c r="B34" s="38">
        <v>0.222</v>
      </c>
      <c r="C34" s="38">
        <v>0.25</v>
      </c>
      <c r="D34" s="38">
        <v>0.221</v>
      </c>
      <c r="E34" s="38">
        <v>0.26</v>
      </c>
      <c r="J34" t="s">
        <v>2658</v>
      </c>
      <c r="K34" s="166">
        <v>-0.13</v>
      </c>
      <c r="L34" s="166">
        <v>-0.19</v>
      </c>
      <c r="M34" s="166">
        <v>-0.21</v>
      </c>
      <c r="N34" s="166">
        <v>0.35</v>
      </c>
      <c r="O34" s="166">
        <v>0.16</v>
      </c>
    </row>
    <row r="35" spans="1:17">
      <c r="A35" t="s">
        <v>2659</v>
      </c>
      <c r="B35" s="38">
        <v>2.1999999999999999E-2</v>
      </c>
      <c r="C35" s="38">
        <v>-7.0059552641604628E-2</v>
      </c>
      <c r="D35" s="38">
        <v>0.01</v>
      </c>
      <c r="E35" s="38">
        <v>0.01</v>
      </c>
      <c r="J35" t="s">
        <v>2660</v>
      </c>
      <c r="K35" s="166">
        <v>0.25</v>
      </c>
      <c r="L35" s="166">
        <v>0.25</v>
      </c>
      <c r="M35" s="166">
        <v>0.25</v>
      </c>
      <c r="N35" s="166">
        <v>0.27</v>
      </c>
      <c r="O35" s="166">
        <v>0.26</v>
      </c>
    </row>
    <row r="36" spans="1:17">
      <c r="A36" t="s">
        <v>2661</v>
      </c>
      <c r="B36" s="38">
        <v>-0.189</v>
      </c>
      <c r="C36" s="38">
        <v>-0.15</v>
      </c>
      <c r="D36" s="38">
        <v>1.7142857142857126E-2</v>
      </c>
      <c r="E36" s="38">
        <v>0.25</v>
      </c>
      <c r="J36" t="s">
        <v>2662</v>
      </c>
      <c r="K36" s="166">
        <v>0.03</v>
      </c>
      <c r="L36" s="166">
        <v>0.03</v>
      </c>
      <c r="M36" s="166">
        <v>3.5000000000000003E-2</v>
      </c>
      <c r="N36" s="166">
        <v>3.5000000000000003E-2</v>
      </c>
      <c r="O36" s="166">
        <v>3.5000000000000003E-2</v>
      </c>
    </row>
    <row r="37" spans="1:17">
      <c r="A37" t="s">
        <v>2663</v>
      </c>
      <c r="B37" s="166">
        <v>0.18</v>
      </c>
      <c r="C37" s="166">
        <v>-0.01</v>
      </c>
      <c r="D37" s="38">
        <v>-0.14166666666666672</v>
      </c>
      <c r="E37" s="166">
        <v>-0.15</v>
      </c>
      <c r="K37" s="109" t="str">
        <f>K31</f>
        <v>Q1/2022</v>
      </c>
      <c r="L37" s="109" t="str">
        <f>L31</f>
        <v>Q2/2022</v>
      </c>
      <c r="M37" s="109" t="str">
        <f>M31</f>
        <v>Q3/2022</v>
      </c>
      <c r="N37" s="109" t="str">
        <f>N31</f>
        <v>Q4/2022</v>
      </c>
      <c r="O37" s="109" t="str">
        <f>O31</f>
        <v>Q1/2023</v>
      </c>
    </row>
    <row r="38" spans="1:17">
      <c r="J38" t="s">
        <v>2664</v>
      </c>
    </row>
    <row r="39" spans="1:17">
      <c r="B39" t="s">
        <v>1412</v>
      </c>
      <c r="C39" t="s">
        <v>1411</v>
      </c>
      <c r="E39" s="34"/>
      <c r="K39" s="3457"/>
      <c r="L39" s="3457"/>
      <c r="M39" s="3457"/>
      <c r="N39" s="3457"/>
    </row>
    <row r="40" spans="1:17">
      <c r="A40" t="s">
        <v>2665</v>
      </c>
      <c r="B40" s="38">
        <v>0.16</v>
      </c>
      <c r="C40" s="38">
        <v>-0.13</v>
      </c>
    </row>
    <row r="41" spans="1:17">
      <c r="B41" s="38"/>
      <c r="C41" s="38"/>
    </row>
    <row r="42" spans="1:17">
      <c r="A42" t="s">
        <v>2666</v>
      </c>
      <c r="B42" s="38">
        <v>0.50446807040900266</v>
      </c>
      <c r="C42" s="38">
        <v>0.38</v>
      </c>
    </row>
    <row r="43" spans="1:17">
      <c r="B43" s="38"/>
      <c r="C43" s="38"/>
    </row>
    <row r="44" spans="1:17">
      <c r="A44" t="s">
        <v>2667</v>
      </c>
      <c r="B44" s="38">
        <v>0.19</v>
      </c>
      <c r="C44" s="38">
        <v>0.12</v>
      </c>
    </row>
    <row r="45" spans="1:17">
      <c r="B45" s="38"/>
      <c r="C45" s="38"/>
    </row>
    <row r="46" spans="1:17">
      <c r="A46" t="s">
        <v>2661</v>
      </c>
      <c r="B46" s="38">
        <v>0.25</v>
      </c>
      <c r="C46" s="38">
        <v>-0.15</v>
      </c>
      <c r="N46" t="s">
        <v>2668</v>
      </c>
      <c r="O46" t="s">
        <v>2669</v>
      </c>
      <c r="P46" t="s">
        <v>2670</v>
      </c>
      <c r="Q46" t="s">
        <v>2671</v>
      </c>
    </row>
    <row r="47" spans="1:17">
      <c r="B47" s="38"/>
      <c r="C47" s="38"/>
    </row>
    <row r="48" spans="1:17">
      <c r="A48" t="str">
        <f>A37</f>
        <v>% Gía trị hoá đơn/ ngày</v>
      </c>
      <c r="B48" s="38">
        <f>E37</f>
        <v>-0.15</v>
      </c>
      <c r="C48" s="38">
        <f>C37</f>
        <v>-0.01</v>
      </c>
      <c r="K48" t="s">
        <v>2672</v>
      </c>
      <c r="L48" t="s">
        <v>2673</v>
      </c>
      <c r="O48" t="s">
        <v>2674</v>
      </c>
      <c r="P48" t="s">
        <v>2675</v>
      </c>
    </row>
    <row r="49" spans="1:15">
      <c r="J49" t="s">
        <v>2676</v>
      </c>
      <c r="K49" t="s">
        <v>2677</v>
      </c>
      <c r="O49" t="s">
        <v>2678</v>
      </c>
    </row>
    <row r="50" spans="1:15">
      <c r="A50" t="s">
        <v>2679</v>
      </c>
      <c r="B50" s="166">
        <v>0.28999999999999998</v>
      </c>
      <c r="J50" t="s">
        <v>2680</v>
      </c>
      <c r="O50" t="s">
        <v>2681</v>
      </c>
    </row>
    <row r="51" spans="1:15">
      <c r="A51" t="s">
        <v>1382</v>
      </c>
      <c r="B51" s="166">
        <v>0.25</v>
      </c>
    </row>
    <row r="52" spans="1:15">
      <c r="A52" t="s">
        <v>1383</v>
      </c>
      <c r="B52" s="166">
        <v>0.34</v>
      </c>
    </row>
    <row r="53" spans="1:15">
      <c r="A53" t="s">
        <v>2682</v>
      </c>
      <c r="B53" s="166">
        <v>0.12</v>
      </c>
    </row>
    <row r="55" spans="1:15">
      <c r="B55" s="166" t="e">
        <v>#VALUE!</v>
      </c>
      <c r="C55" s="158" t="e" vm="3">
        <f t="array" ref="C55">_FV(B55,"Price")</f>
        <v>#VALUE!</v>
      </c>
    </row>
    <row r="56" spans="1:15">
      <c r="A56" t="s">
        <v>2683</v>
      </c>
      <c r="B56">
        <v>2020</v>
      </c>
      <c r="C56">
        <v>2021</v>
      </c>
      <c r="D56" t="s">
        <v>2639</v>
      </c>
      <c r="E56" t="s">
        <v>2640</v>
      </c>
      <c r="F56" t="s">
        <v>1399</v>
      </c>
      <c r="G56" t="s">
        <v>2641</v>
      </c>
      <c r="H56" t="s">
        <v>2642</v>
      </c>
    </row>
    <row r="57" spans="1:15">
      <c r="A57" t="s">
        <v>2684</v>
      </c>
      <c r="B57" s="158" t="e" vm="8">
        <f t="shared" ref="B57:H60" si="9">B2*$C$55/10^3</f>
        <v>#VALUE!</v>
      </c>
      <c r="C57" s="158" t="e" vm="8">
        <f t="shared" si="9"/>
        <v>#VALUE!</v>
      </c>
      <c r="D57" s="158" t="e" vm="8">
        <f t="shared" si="9"/>
        <v>#VALUE!</v>
      </c>
      <c r="E57" s="158" t="e" vm="8">
        <f t="shared" si="9"/>
        <v>#VALUE!</v>
      </c>
      <c r="F57" s="158" t="e" vm="8">
        <f t="shared" si="9"/>
        <v>#VALUE!</v>
      </c>
      <c r="G57" s="158" t="e" vm="8">
        <f t="shared" si="9"/>
        <v>#VALUE!</v>
      </c>
      <c r="H57" s="158" t="e" vm="8">
        <f t="shared" si="9"/>
        <v>#VALUE!</v>
      </c>
    </row>
    <row r="58" spans="1:15">
      <c r="A58" t="s">
        <v>2685</v>
      </c>
      <c r="B58" s="158" t="e" vm="8">
        <f t="shared" si="9"/>
        <v>#VALUE!</v>
      </c>
      <c r="C58" s="158" t="e" vm="8">
        <f t="shared" si="9"/>
        <v>#VALUE!</v>
      </c>
      <c r="D58" s="158" t="e" vm="8">
        <f t="shared" si="9"/>
        <v>#VALUE!</v>
      </c>
      <c r="E58" s="158" t="e" vm="8">
        <f t="shared" si="9"/>
        <v>#VALUE!</v>
      </c>
      <c r="F58" s="158" t="e" vm="8">
        <f t="shared" si="9"/>
        <v>#VALUE!</v>
      </c>
      <c r="G58" s="158" t="e" vm="8">
        <f t="shared" si="9"/>
        <v>#VALUE!</v>
      </c>
      <c r="H58" s="158" t="e" vm="8">
        <f t="shared" si="9"/>
        <v>#VALUE!</v>
      </c>
    </row>
    <row r="59" spans="1:15">
      <c r="A59" t="s">
        <v>2686</v>
      </c>
      <c r="B59" s="158" t="e" vm="8">
        <f t="shared" si="9"/>
        <v>#VALUE!</v>
      </c>
      <c r="C59" s="158" t="e" vm="8">
        <f t="shared" si="9"/>
        <v>#VALUE!</v>
      </c>
      <c r="D59" s="158" t="e" vm="8">
        <f t="shared" si="9"/>
        <v>#VALUE!</v>
      </c>
      <c r="E59" s="158" t="e" vm="8">
        <f t="shared" si="9"/>
        <v>#VALUE!</v>
      </c>
      <c r="F59" s="158" t="e" vm="8">
        <f t="shared" si="9"/>
        <v>#VALUE!</v>
      </c>
      <c r="G59" s="158" t="e" vm="8">
        <f t="shared" si="9"/>
        <v>#VALUE!</v>
      </c>
      <c r="H59" s="158" t="e" vm="8">
        <f t="shared" si="9"/>
        <v>#VALUE!</v>
      </c>
    </row>
    <row r="60" spans="1:15">
      <c r="A60" t="s">
        <v>2687</v>
      </c>
      <c r="B60" s="158" t="e" vm="8">
        <f t="shared" si="9"/>
        <v>#VALUE!</v>
      </c>
      <c r="C60" s="158" t="e" vm="8">
        <f t="shared" si="9"/>
        <v>#VALUE!</v>
      </c>
      <c r="D60" s="158" t="e" vm="8">
        <f t="shared" si="9"/>
        <v>#VALUE!</v>
      </c>
      <c r="E60" s="158" t="e" vm="8">
        <f t="shared" si="9"/>
        <v>#VALUE!</v>
      </c>
      <c r="F60" s="158" t="e" vm="8">
        <f t="shared" si="9"/>
        <v>#VALUE!</v>
      </c>
      <c r="G60" s="158" t="e" vm="8">
        <f t="shared" si="9"/>
        <v>#VALUE!</v>
      </c>
      <c r="H60" s="158" t="e" vm="8">
        <f t="shared" si="9"/>
        <v>#VALUE!</v>
      </c>
    </row>
    <row r="61" spans="1:15" s="5" customFormat="1">
      <c r="A61" s="5" t="s">
        <v>2688</v>
      </c>
      <c r="B61" s="156" t="e" vm="8">
        <f>SUM(B57:B60)</f>
        <v>#VALUE!</v>
      </c>
      <c r="C61" s="156" t="e" vm="8">
        <f t="shared" ref="C61:H61" si="10">SUM(C57:C60)</f>
        <v>#VALUE!</v>
      </c>
      <c r="D61" s="156" t="e" vm="8">
        <f t="shared" si="10"/>
        <v>#VALUE!</v>
      </c>
      <c r="E61" s="156" t="e" vm="8">
        <f t="shared" si="10"/>
        <v>#VALUE!</v>
      </c>
      <c r="F61" s="156" t="e" vm="8">
        <f t="shared" si="10"/>
        <v>#VALUE!</v>
      </c>
      <c r="G61" s="156" t="e" vm="8">
        <f t="shared" si="10"/>
        <v>#VALUE!</v>
      </c>
      <c r="H61" s="156" t="e" vm="8">
        <f t="shared" si="10"/>
        <v>#VALUE!</v>
      </c>
    </row>
    <row r="62" spans="1:15">
      <c r="A62" t="s">
        <v>1407</v>
      </c>
      <c r="B62" s="123">
        <f>Rev_Year!G82</f>
        <v>87270.983999999997</v>
      </c>
      <c r="C62" s="123">
        <f>Rev_Year!H82</f>
        <v>94308.786000000007</v>
      </c>
      <c r="D62" s="123">
        <f ca="1">Rev_Year!I82</f>
        <v>103655.51172900001</v>
      </c>
      <c r="E62" s="123">
        <f ca="1">Rev_Year!J82</f>
        <v>83505.679999999993</v>
      </c>
      <c r="F62" s="123">
        <f ca="1">Rev_Year!K82</f>
        <v>90798.886168975005</v>
      </c>
      <c r="G62" s="123">
        <f ca="1">Rev_Year!L82</f>
        <v>107657.81840730226</v>
      </c>
      <c r="H62" s="123">
        <f ca="1">Rev_Year!M82</f>
        <v>120831.54694497708</v>
      </c>
    </row>
    <row r="63" spans="1:15">
      <c r="A63" t="s">
        <v>2689</v>
      </c>
      <c r="B63" s="124" t="e" vm="8">
        <f>B62/B61</f>
        <v>#VALUE!</v>
      </c>
      <c r="C63" s="124" t="e" vm="8">
        <f t="shared" ref="C63:H63" si="11">C62/C61</f>
        <v>#VALUE!</v>
      </c>
      <c r="D63" s="124" t="e" vm="8">
        <f t="shared" ca="1" si="11"/>
        <v>#VALUE!</v>
      </c>
      <c r="E63" s="124" t="e" vm="8">
        <f t="shared" ca="1" si="11"/>
        <v>#VALUE!</v>
      </c>
      <c r="F63" s="124" t="e" vm="8">
        <f t="shared" ca="1" si="11"/>
        <v>#VALUE!</v>
      </c>
      <c r="G63" s="124" t="e" vm="8">
        <f t="shared" ca="1" si="11"/>
        <v>#VALUE!</v>
      </c>
      <c r="H63" s="124" t="e" vm="8">
        <f t="shared" ca="1" si="11"/>
        <v>#VALUE!</v>
      </c>
    </row>
    <row r="65" spans="1:15">
      <c r="F65">
        <f ca="1">F62/E62-1</f>
        <v>8.7337845389379609E-2</v>
      </c>
      <c r="G65">
        <f ca="1">G62/F62-1</f>
        <v>0.18567333752258919</v>
      </c>
      <c r="H65">
        <f ca="1">H62/G62-1</f>
        <v>0.12236666813955499</v>
      </c>
    </row>
    <row r="66" spans="1:15">
      <c r="F66" t="e" vm="8">
        <f>F61/E61-1</f>
        <v>#VALUE!</v>
      </c>
      <c r="G66" t="e" vm="8">
        <f>G61/F61-1</f>
        <v>#VALUE!</v>
      </c>
      <c r="H66" t="e" vm="8">
        <f>H61/G61-1</f>
        <v>#VALUE!</v>
      </c>
    </row>
    <row r="67" spans="1:15">
      <c r="A67" t="s">
        <v>2289</v>
      </c>
    </row>
    <row r="68" spans="1:15">
      <c r="A68" t="s">
        <v>2290</v>
      </c>
    </row>
    <row r="69" spans="1:15">
      <c r="A69" t="s">
        <v>2690</v>
      </c>
    </row>
    <row r="70" spans="1:15">
      <c r="A70" t="s">
        <v>2691</v>
      </c>
    </row>
    <row r="71" spans="1:15">
      <c r="A71" t="s">
        <v>2692</v>
      </c>
    </row>
    <row r="72" spans="1:15">
      <c r="A72" t="s">
        <v>2294</v>
      </c>
    </row>
    <row r="73" spans="1:15">
      <c r="A73" s="125" t="s">
        <v>2693</v>
      </c>
    </row>
    <row r="74" spans="1:15">
      <c r="A74" t="s">
        <v>2689</v>
      </c>
      <c r="B74">
        <v>2014</v>
      </c>
      <c r="C74">
        <v>2015</v>
      </c>
      <c r="D74">
        <v>2016</v>
      </c>
      <c r="E74">
        <v>2017</v>
      </c>
      <c r="F74">
        <v>2018</v>
      </c>
      <c r="G74">
        <v>2019</v>
      </c>
      <c r="H74">
        <v>2020</v>
      </c>
      <c r="I74">
        <v>2021</v>
      </c>
      <c r="J74">
        <v>2022</v>
      </c>
      <c r="K74" t="s">
        <v>515</v>
      </c>
      <c r="L74" t="s">
        <v>516</v>
      </c>
    </row>
    <row r="75" spans="1:15">
      <c r="A75" t="s">
        <v>513</v>
      </c>
      <c r="B75" s="166">
        <v>0.25</v>
      </c>
      <c r="C75" s="166">
        <v>0.3</v>
      </c>
      <c r="D75" s="166">
        <v>0.4</v>
      </c>
      <c r="E75" s="166">
        <v>0.43</v>
      </c>
      <c r="F75" s="166">
        <v>0.45</v>
      </c>
      <c r="G75" s="166">
        <f>G83/SUM(G82:G83)</f>
        <v>0.4606741573033708</v>
      </c>
      <c r="H75" s="166">
        <f>H83/SUM(H82:H83)</f>
        <v>0.40659340659340659</v>
      </c>
      <c r="I75" s="166">
        <f>I83/SUM(I82:I83)</f>
        <v>0.40952380952380951</v>
      </c>
      <c r="J75" s="166">
        <f>J83/SUM(J82:J83)</f>
        <v>0.42201834862385323</v>
      </c>
      <c r="K75" s="166">
        <f ca="1">Rev_Year!J8/(K84*10^3)</f>
        <v>0.33653476190476189</v>
      </c>
      <c r="L75" s="166">
        <f ca="1">Rev_Year!K8/(L84*10^3)</f>
        <v>0.3394963328958413</v>
      </c>
    </row>
    <row r="76" spans="1:15">
      <c r="A76" t="s">
        <v>1254</v>
      </c>
      <c r="B76" s="166">
        <v>0.02</v>
      </c>
      <c r="C76" s="166">
        <v>0.08</v>
      </c>
      <c r="D76" s="166">
        <v>0.16</v>
      </c>
      <c r="E76" s="166">
        <v>0.3</v>
      </c>
      <c r="F76" s="166">
        <v>0.35</v>
      </c>
      <c r="G76" s="166">
        <v>0.4</v>
      </c>
      <c r="H76" s="38">
        <f>H86/H87</f>
        <v>0.44705882352941179</v>
      </c>
      <c r="I76" s="38">
        <f>I86/I87</f>
        <v>0.47560975609756095</v>
      </c>
      <c r="J76" s="38">
        <f>J86/J87</f>
        <v>0.52439024390243905</v>
      </c>
      <c r="K76">
        <f ca="1">Rev_Year!J15/('biểu đồ'!K87*10^3)</f>
        <v>0.82442925373134335</v>
      </c>
    </row>
    <row r="77" spans="1:15">
      <c r="A77" t="s">
        <v>2694</v>
      </c>
      <c r="B77">
        <f>Rev_Year!B234+Rev_Year!B235</f>
        <v>0.17748573930335856</v>
      </c>
      <c r="C77">
        <f>Rev_Year!C234+Rev_Year!C235</f>
        <v>1206</v>
      </c>
      <c r="D77">
        <f>Rev_Year!D234+Rev_Year!D235</f>
        <v>1714</v>
      </c>
      <c r="E77">
        <f>Rev_Year!E234+Rev_Year!E235</f>
        <v>1782</v>
      </c>
      <c r="F77">
        <f>Rev_Year!F234+Rev_Year!F235</f>
        <v>2014</v>
      </c>
      <c r="G77">
        <f>Rev_Year!G234+Rev_Year!G235</f>
        <v>2340</v>
      </c>
      <c r="H77">
        <f>Rev_Year!G233</f>
        <v>4059</v>
      </c>
      <c r="I77" s="158">
        <f>Rev_Year!H233</f>
        <v>5068</v>
      </c>
      <c r="J77" s="158">
        <f>Rev_Year!I233</f>
        <v>5735</v>
      </c>
      <c r="K77" s="158">
        <f>Rev_Year!J233</f>
        <v>5478</v>
      </c>
      <c r="L77" s="158">
        <f>Rev_Year!K233</f>
        <v>5195</v>
      </c>
      <c r="M77" s="158">
        <f>Rev_Year!L233</f>
        <v>5971</v>
      </c>
    </row>
    <row r="78" spans="1:15">
      <c r="A78" t="str">
        <f>A75</f>
        <v>TGDĐ</v>
      </c>
      <c r="B78">
        <v>344</v>
      </c>
      <c r="C78">
        <v>564</v>
      </c>
      <c r="D78">
        <v>951</v>
      </c>
      <c r="E78">
        <f>Rev_Year!D234</f>
        <v>1072</v>
      </c>
      <c r="F78">
        <f>Rev_Year!E234</f>
        <v>1032</v>
      </c>
      <c r="G78">
        <f>Rev_Year!F234</f>
        <v>996</v>
      </c>
      <c r="H78">
        <f>Rev_Year!G234</f>
        <v>913</v>
      </c>
      <c r="I78" s="158">
        <f>Rev_Year!H234</f>
        <v>970</v>
      </c>
      <c r="J78" s="158">
        <f>Rev_Year!I234</f>
        <v>1190</v>
      </c>
    </row>
    <row r="79" spans="1:15">
      <c r="A79" t="str">
        <f>A76</f>
        <v>ĐMX</v>
      </c>
      <c r="B79">
        <v>29</v>
      </c>
      <c r="C79">
        <v>69</v>
      </c>
      <c r="D79">
        <f>Rev_Year!C235</f>
        <v>256</v>
      </c>
      <c r="E79">
        <f>Rev_Year!D235</f>
        <v>642</v>
      </c>
      <c r="F79">
        <f>Rev_Year!E235</f>
        <v>750</v>
      </c>
      <c r="G79">
        <f>Rev_Year!F235</f>
        <v>1018</v>
      </c>
      <c r="H79">
        <f>Rev_Year!G235</f>
        <v>1427</v>
      </c>
      <c r="I79" s="158">
        <f>Rev_Year!H235</f>
        <v>1992</v>
      </c>
      <c r="J79" s="158">
        <f>Rev_Year!I235</f>
        <v>2284</v>
      </c>
    </row>
    <row r="80" spans="1:15">
      <c r="E80" s="158">
        <f>Rev_Year!E107</f>
        <v>405</v>
      </c>
      <c r="F80" s="158">
        <f>Rev_Year!F107</f>
        <v>1008</v>
      </c>
      <c r="G80" s="158">
        <f>Rev_Year!G107</f>
        <v>1719</v>
      </c>
      <c r="H80" s="158">
        <f>Rev_Year!H107</f>
        <v>2106</v>
      </c>
      <c r="I80" s="158">
        <f>Rev_Year!I107</f>
        <v>1728</v>
      </c>
      <c r="J80" s="158">
        <f>Rev_Year!J107</f>
        <v>1698</v>
      </c>
      <c r="K80" s="158">
        <f>Rev_Year!K107</f>
        <v>1770</v>
      </c>
      <c r="L80" s="158">
        <f>Rev_Year!L107</f>
        <v>2537</v>
      </c>
      <c r="M80" s="158">
        <f>Rev_Year!M107</f>
        <v>3347</v>
      </c>
      <c r="N80" s="158">
        <f>Rev_Year!N107</f>
        <v>4062</v>
      </c>
      <c r="O80" s="158">
        <f>Rev_Year!O107</f>
        <v>4752</v>
      </c>
    </row>
    <row r="81" spans="1:15">
      <c r="E81" s="158">
        <f>Rev_Year!E167+Rev_Year!E183</f>
        <v>0</v>
      </c>
      <c r="F81" s="158">
        <f>Rev_Year!F167+Rev_Year!F183</f>
        <v>0</v>
      </c>
      <c r="G81" s="158">
        <f>Rev_Year!G167+Rev_Year!G183</f>
        <v>0</v>
      </c>
      <c r="H81" s="158">
        <f>Rev_Year!H167+Rev_Year!H183</f>
        <v>50</v>
      </c>
      <c r="I81" s="158">
        <f>Rev_Year!I167+Rev_Year!I183</f>
        <v>615</v>
      </c>
      <c r="J81" s="158">
        <f>Rev_Year!J167+Rev_Year!J183</f>
        <v>595</v>
      </c>
      <c r="K81" s="158">
        <f>Rev_Year!K167+Rev_Year!K183</f>
        <v>390</v>
      </c>
      <c r="L81" s="158">
        <f>Rev_Year!L167+Rev_Year!L183</f>
        <v>420</v>
      </c>
      <c r="M81" s="158">
        <f>Rev_Year!M167+Rev_Year!M183</f>
        <v>420</v>
      </c>
      <c r="N81" s="158">
        <f>Rev_Year!N167+Rev_Year!N183</f>
        <v>420</v>
      </c>
      <c r="O81" s="158">
        <f>Rev_Year!O167+Rev_Year!O183</f>
        <v>473</v>
      </c>
    </row>
    <row r="82" spans="1:15">
      <c r="G82">
        <v>48</v>
      </c>
      <c r="H82">
        <v>54</v>
      </c>
      <c r="I82">
        <v>62</v>
      </c>
      <c r="J82">
        <v>63</v>
      </c>
      <c r="K82">
        <v>45</v>
      </c>
      <c r="L82">
        <v>48</v>
      </c>
    </row>
    <row r="83" spans="1:15">
      <c r="G83">
        <f>41</f>
        <v>41</v>
      </c>
      <c r="H83">
        <v>37</v>
      </c>
      <c r="I83">
        <v>43</v>
      </c>
      <c r="J83">
        <v>46</v>
      </c>
      <c r="K83">
        <v>39</v>
      </c>
      <c r="L83">
        <v>43</v>
      </c>
    </row>
    <row r="84" spans="1:15">
      <c r="G84">
        <f t="shared" ref="G84:L84" si="12">G82+G83</f>
        <v>89</v>
      </c>
      <c r="H84">
        <f t="shared" si="12"/>
        <v>91</v>
      </c>
      <c r="I84">
        <f t="shared" si="12"/>
        <v>105</v>
      </c>
      <c r="J84">
        <f t="shared" si="12"/>
        <v>109</v>
      </c>
      <c r="K84" s="187">
        <f t="shared" si="12"/>
        <v>84</v>
      </c>
      <c r="L84" s="187">
        <f t="shared" si="12"/>
        <v>91</v>
      </c>
    </row>
    <row r="85" spans="1:15">
      <c r="G85">
        <v>51</v>
      </c>
      <c r="H85">
        <v>47</v>
      </c>
      <c r="I85">
        <v>43</v>
      </c>
      <c r="J85">
        <v>39</v>
      </c>
      <c r="K85">
        <v>29</v>
      </c>
      <c r="L85">
        <v>30</v>
      </c>
    </row>
    <row r="86" spans="1:15">
      <c r="G86">
        <v>40</v>
      </c>
      <c r="H86">
        <v>38</v>
      </c>
      <c r="I86">
        <v>39</v>
      </c>
      <c r="J86">
        <v>43</v>
      </c>
      <c r="K86">
        <v>38</v>
      </c>
      <c r="L86">
        <v>42</v>
      </c>
    </row>
    <row r="87" spans="1:15">
      <c r="G87">
        <f t="shared" ref="G87:L87" si="13">G86+G85</f>
        <v>91</v>
      </c>
      <c r="H87">
        <f t="shared" si="13"/>
        <v>85</v>
      </c>
      <c r="I87">
        <f t="shared" si="13"/>
        <v>82</v>
      </c>
      <c r="J87">
        <f t="shared" si="13"/>
        <v>82</v>
      </c>
      <c r="K87" s="187">
        <f t="shared" si="13"/>
        <v>67</v>
      </c>
      <c r="L87" s="187">
        <f t="shared" si="13"/>
        <v>72</v>
      </c>
    </row>
    <row r="88" spans="1:15">
      <c r="G88">
        <f t="shared" ref="G88:L88" si="14">G87/23</f>
        <v>3.9565217391304346</v>
      </c>
      <c r="H88">
        <f t="shared" si="14"/>
        <v>3.6956521739130435</v>
      </c>
      <c r="I88">
        <f t="shared" si="14"/>
        <v>3.5652173913043477</v>
      </c>
      <c r="J88">
        <f t="shared" si="14"/>
        <v>3.5652173913043477</v>
      </c>
      <c r="K88">
        <f t="shared" si="14"/>
        <v>2.9130434782608696</v>
      </c>
      <c r="L88">
        <f t="shared" si="14"/>
        <v>3.1304347826086958</v>
      </c>
    </row>
    <row r="89" spans="1:15">
      <c r="E89">
        <f t="shared" ref="E89:L89" si="15">E87+E84</f>
        <v>0</v>
      </c>
      <c r="F89">
        <f t="shared" si="15"/>
        <v>0</v>
      </c>
      <c r="G89">
        <f t="shared" si="15"/>
        <v>180</v>
      </c>
      <c r="H89">
        <f t="shared" si="15"/>
        <v>176</v>
      </c>
      <c r="I89">
        <f t="shared" si="15"/>
        <v>187</v>
      </c>
      <c r="J89">
        <f t="shared" si="15"/>
        <v>191</v>
      </c>
      <c r="K89">
        <f t="shared" si="15"/>
        <v>151</v>
      </c>
      <c r="L89">
        <f t="shared" si="15"/>
        <v>163</v>
      </c>
    </row>
    <row r="90" spans="1:15">
      <c r="G90" s="38" t="e">
        <f t="shared" ref="G90:L90" si="16">G89/F89-1</f>
        <v>#DIV/0!</v>
      </c>
      <c r="H90" s="38">
        <f t="shared" si="16"/>
        <v>-2.2222222222222254E-2</v>
      </c>
      <c r="I90" s="38">
        <f t="shared" si="16"/>
        <v>6.25E-2</v>
      </c>
      <c r="J90" s="38">
        <f t="shared" si="16"/>
        <v>2.1390374331550888E-2</v>
      </c>
      <c r="K90" s="38">
        <f t="shared" si="16"/>
        <v>-0.20942408376963351</v>
      </c>
      <c r="L90" s="38">
        <f t="shared" si="16"/>
        <v>7.9470198675496651E-2</v>
      </c>
    </row>
    <row r="91" spans="1:15">
      <c r="B91">
        <f>C74</f>
        <v>2015</v>
      </c>
      <c r="C91">
        <f t="shared" ref="C91:K91" si="17">D74</f>
        <v>2016</v>
      </c>
      <c r="D91">
        <f t="shared" si="17"/>
        <v>2017</v>
      </c>
      <c r="E91">
        <f t="shared" si="17"/>
        <v>2018</v>
      </c>
      <c r="F91">
        <f t="shared" si="17"/>
        <v>2019</v>
      </c>
      <c r="G91">
        <f t="shared" si="17"/>
        <v>2020</v>
      </c>
      <c r="H91">
        <f t="shared" si="17"/>
        <v>2021</v>
      </c>
      <c r="I91">
        <f t="shared" si="17"/>
        <v>2022</v>
      </c>
      <c r="J91" t="str">
        <f t="shared" si="17"/>
        <v>2023F</v>
      </c>
      <c r="K91" t="str">
        <f t="shared" si="17"/>
        <v>2024F</v>
      </c>
    </row>
    <row r="92" spans="1:15">
      <c r="A92" t="str">
        <f>A75</f>
        <v>TGDĐ</v>
      </c>
      <c r="B92" s="158">
        <f>Rev_Year!B8</f>
        <v>20769</v>
      </c>
      <c r="C92" s="158">
        <f>Rev_Year!C8</f>
        <v>30655.33</v>
      </c>
      <c r="D92" s="158">
        <f>Rev_Year!D8</f>
        <v>34708</v>
      </c>
      <c r="E92" s="158">
        <f>Rev_Year!E8</f>
        <v>34606.516000000003</v>
      </c>
      <c r="F92" s="158">
        <f>Rev_Year!F8</f>
        <v>33206.629292434976</v>
      </c>
      <c r="G92" s="158">
        <f>Rev_Year!G8</f>
        <v>29524.512000000002</v>
      </c>
      <c r="H92" s="158">
        <f>Rev_Year!H8</f>
        <v>31600.206000000002</v>
      </c>
      <c r="I92" s="158">
        <f ca="1">Rev_Year!I8</f>
        <v>34685.242020000005</v>
      </c>
      <c r="J92" s="158">
        <f ca="1">Rev_Year!J8</f>
        <v>28268.92</v>
      </c>
      <c r="K92" s="158">
        <f ca="1">Rev_Year!K8</f>
        <v>30894.166293521557</v>
      </c>
    </row>
    <row r="93" spans="1:15">
      <c r="A93" t="str">
        <f>A76</f>
        <v>ĐMX</v>
      </c>
      <c r="B93" s="158">
        <f>Rev_Year!B15</f>
        <v>4482</v>
      </c>
      <c r="C93" s="158">
        <f>Rev_Year!C15</f>
        <v>13709</v>
      </c>
      <c r="D93" s="158">
        <f>Rev_Year!D15</f>
        <v>30493.103999999999</v>
      </c>
      <c r="E93" s="158">
        <f>Rev_Year!E15</f>
        <v>47583.959500000012</v>
      </c>
      <c r="F93" s="158">
        <f>Rev_Year!F15</f>
        <v>58239.319066732103</v>
      </c>
      <c r="G93" s="158">
        <f>Rev_Year!G15</f>
        <v>57746.472000000002</v>
      </c>
      <c r="H93" s="158">
        <f>Rev_Year!H15</f>
        <v>62708.58</v>
      </c>
      <c r="I93" s="158">
        <f>Rev_Year!I15</f>
        <v>68970.269709</v>
      </c>
      <c r="J93" s="158">
        <f ca="1">Rev_Year!J15</f>
        <v>55236.76</v>
      </c>
      <c r="K93" s="158">
        <f ca="1">Rev_Year!K15</f>
        <v>59904.719875453447</v>
      </c>
    </row>
    <row r="94" spans="1:15">
      <c r="B94" s="123">
        <f t="shared" ref="B94:F95" si="18">B92/C75</f>
        <v>69230</v>
      </c>
      <c r="C94" s="123">
        <f t="shared" si="18"/>
        <v>76638.324999999997</v>
      </c>
      <c r="D94" s="123">
        <f t="shared" si="18"/>
        <v>80716.27906976745</v>
      </c>
      <c r="E94" s="123">
        <f t="shared" si="18"/>
        <v>76903.368888888901</v>
      </c>
      <c r="F94" s="123">
        <f t="shared" si="18"/>
        <v>72082.68309821251</v>
      </c>
    </row>
    <row r="95" spans="1:15">
      <c r="B95" s="123">
        <f t="shared" si="18"/>
        <v>56025</v>
      </c>
      <c r="C95" s="123">
        <f t="shared" si="18"/>
        <v>85681.25</v>
      </c>
      <c r="D95" s="123">
        <f t="shared" si="18"/>
        <v>101643.68000000001</v>
      </c>
      <c r="E95" s="123">
        <f t="shared" si="18"/>
        <v>135954.17000000004</v>
      </c>
      <c r="F95" s="123">
        <f t="shared" si="18"/>
        <v>145598.29766683024</v>
      </c>
    </row>
    <row r="96" spans="1:15">
      <c r="A96" t="s">
        <v>2695</v>
      </c>
      <c r="B96" s="156">
        <f>SUM(B94:B95)</f>
        <v>125255</v>
      </c>
      <c r="C96" s="156">
        <f>SUM(C94:C95)</f>
        <v>162319.57500000001</v>
      </c>
      <c r="D96" s="156">
        <f>SUM(D94:D95)</f>
        <v>182359.95906976744</v>
      </c>
      <c r="E96" s="156">
        <f>SUM(E94:E95)</f>
        <v>212857.53888888896</v>
      </c>
      <c r="F96" s="156">
        <f>SUM(F94:F95)</f>
        <v>217680.98076504277</v>
      </c>
      <c r="G96" s="181">
        <f>F96*(1+G97)</f>
        <v>212843.62563693069</v>
      </c>
      <c r="H96" s="181">
        <f>G96*(1+H97)</f>
        <v>226146.35223923885</v>
      </c>
      <c r="I96" s="158">
        <f>H96*(1+I97)</f>
        <v>230983.70736735093</v>
      </c>
      <c r="J96" s="158">
        <f>I96*(1+J97)</f>
        <v>182610.15608623033</v>
      </c>
      <c r="K96" s="158">
        <f>J96*(1+K97)</f>
        <v>197122.2214705665</v>
      </c>
    </row>
    <row r="97" spans="1:11">
      <c r="C97" s="38">
        <f>C96/B96-1</f>
        <v>0.29591293760728132</v>
      </c>
      <c r="D97" s="38">
        <f>D96/C96-1</f>
        <v>0.12346252181702311</v>
      </c>
      <c r="E97" s="38">
        <f>E96/D96-1</f>
        <v>0.16723835635131801</v>
      </c>
      <c r="F97" s="38">
        <f>F96/E96-1</f>
        <v>2.2660423029092769E-2</v>
      </c>
      <c r="G97" s="166">
        <f>H90</f>
        <v>-2.2222222222222254E-2</v>
      </c>
      <c r="H97" s="166">
        <f>I90</f>
        <v>6.25E-2</v>
      </c>
      <c r="I97" s="166">
        <f>J90</f>
        <v>2.1390374331550888E-2</v>
      </c>
      <c r="J97" s="166">
        <f>K90</f>
        <v>-0.20942408376963351</v>
      </c>
      <c r="K97" s="166">
        <f>L90</f>
        <v>7.9470198675496651E-2</v>
      </c>
    </row>
    <row r="98" spans="1:11">
      <c r="B98" t="str">
        <f>B91&amp;"A"</f>
        <v>2015A</v>
      </c>
      <c r="C98" t="str">
        <f t="shared" ref="C98:H98" si="19">C91&amp;"A"</f>
        <v>2016A</v>
      </c>
      <c r="D98" t="str">
        <f t="shared" si="19"/>
        <v>2017A</v>
      </c>
      <c r="E98" t="str">
        <f t="shared" si="19"/>
        <v>2018A</v>
      </c>
      <c r="F98" t="str">
        <f t="shared" si="19"/>
        <v>2019A</v>
      </c>
      <c r="G98" t="str">
        <f t="shared" si="19"/>
        <v>2020A</v>
      </c>
      <c r="H98" t="str">
        <f t="shared" si="19"/>
        <v>2021A</v>
      </c>
      <c r="I98" t="str">
        <f>I91&amp;"E"</f>
        <v>2022E</v>
      </c>
      <c r="J98" t="str">
        <f>J91</f>
        <v>2023F</v>
      </c>
      <c r="K98" t="str">
        <f>K91</f>
        <v>2024F</v>
      </c>
    </row>
    <row r="99" spans="1:11">
      <c r="A99" t="s">
        <v>2696</v>
      </c>
      <c r="B99" s="123">
        <f>(B92+B93)/1000</f>
        <v>25.251000000000001</v>
      </c>
      <c r="C99" s="123">
        <f>(C92+C93)/1000</f>
        <v>44.364330000000002</v>
      </c>
      <c r="D99" s="123">
        <f t="shared" ref="D99:K99" si="20">(D92+D93)/1000</f>
        <v>65.201104000000001</v>
      </c>
      <c r="E99" s="123">
        <f t="shared" si="20"/>
        <v>82.190475500000019</v>
      </c>
      <c r="F99" s="123">
        <f t="shared" si="20"/>
        <v>91.44594835916709</v>
      </c>
      <c r="G99" s="123">
        <f>(G92+G93)/1000</f>
        <v>87.270983999999999</v>
      </c>
      <c r="H99" s="123">
        <f t="shared" si="20"/>
        <v>94.308786000000012</v>
      </c>
      <c r="I99" s="123">
        <f t="shared" ca="1" si="20"/>
        <v>103.65551172900001</v>
      </c>
      <c r="J99" s="123">
        <f t="shared" ca="1" si="20"/>
        <v>83.505679999999998</v>
      </c>
      <c r="K99" s="123">
        <f t="shared" ca="1" si="20"/>
        <v>90.798886168975002</v>
      </c>
    </row>
    <row r="100" spans="1:11">
      <c r="A100" t="s">
        <v>2697</v>
      </c>
      <c r="B100" s="498">
        <f t="shared" ref="B100:I100" si="21">(B96/1000-B99)</f>
        <v>100.00399999999999</v>
      </c>
      <c r="C100" s="498">
        <f t="shared" si="21"/>
        <v>117.95524500000002</v>
      </c>
      <c r="D100" s="498">
        <f t="shared" si="21"/>
        <v>117.15885506976745</v>
      </c>
      <c r="E100" s="498">
        <f t="shared" si="21"/>
        <v>130.66706338888895</v>
      </c>
      <c r="F100" s="498">
        <f t="shared" si="21"/>
        <v>126.23503240587567</v>
      </c>
      <c r="G100" s="498">
        <f t="shared" si="21"/>
        <v>125.57264163693068</v>
      </c>
      <c r="H100" s="498">
        <f t="shared" si="21"/>
        <v>131.83756623923887</v>
      </c>
      <c r="I100" s="498">
        <f t="shared" ca="1" si="21"/>
        <v>127.32819563835091</v>
      </c>
      <c r="J100" s="498">
        <f ca="1">(J96/1000-J99)</f>
        <v>99.104476086230321</v>
      </c>
      <c r="K100" s="498">
        <f ca="1">(K96/1000-K99)</f>
        <v>106.3233353015915</v>
      </c>
    </row>
    <row r="101" spans="1:11">
      <c r="A101" t="s">
        <v>2698</v>
      </c>
      <c r="B101" s="38">
        <f>B99/(B96/1000)</f>
        <v>0.20159674264500421</v>
      </c>
      <c r="C101" s="38">
        <f t="shared" ref="C101:K101" si="22">C99/(C96/1000)</f>
        <v>0.27331472498002779</v>
      </c>
      <c r="D101" s="38">
        <f t="shared" si="22"/>
        <v>0.3575406812580787</v>
      </c>
      <c r="E101" s="38">
        <f t="shared" si="22"/>
        <v>0.38612903225806444</v>
      </c>
      <c r="F101" s="38">
        <f t="shared" si="22"/>
        <v>0.42009158557527193</v>
      </c>
      <c r="G101" s="38">
        <f t="shared" si="22"/>
        <v>0.41002394945511367</v>
      </c>
      <c r="H101" s="38">
        <f t="shared" si="22"/>
        <v>0.41702545747999203</v>
      </c>
      <c r="I101" s="38">
        <f t="shared" ca="1" si="22"/>
        <v>0.4487568102115046</v>
      </c>
      <c r="J101" s="38">
        <f ca="1">J99/(J96/1000)</f>
        <v>0.45728935229959383</v>
      </c>
      <c r="K101" s="38">
        <f t="shared" ca="1" si="22"/>
        <v>0.4606222753152806</v>
      </c>
    </row>
    <row r="103" spans="1:11">
      <c r="A103" t="s">
        <v>2699</v>
      </c>
      <c r="B103" s="158">
        <f>Rev_Year!AO57-Rev_Year!AK57</f>
        <v>-1989.1394650409998</v>
      </c>
      <c r="F103" s="181">
        <f>F96/23</f>
        <v>9464.3904680453379</v>
      </c>
    </row>
    <row r="104" spans="1:11">
      <c r="B104" s="158"/>
      <c r="F104" s="181"/>
    </row>
    <row r="105" spans="1:11">
      <c r="A105" t="s">
        <v>165</v>
      </c>
      <c r="B105" s="158">
        <f>SUM(Rev_Year!AO50,Rev_Year!AO52:AO53)-Rev_Year!AK49</f>
        <v>325.08113517999993</v>
      </c>
    </row>
    <row r="106" spans="1:11">
      <c r="B106" s="158"/>
    </row>
    <row r="107" spans="1:11">
      <c r="A107" t="s">
        <v>2700</v>
      </c>
      <c r="B107" s="158">
        <f>Rev_Year!AO51</f>
        <v>-89.071894999999998</v>
      </c>
    </row>
    <row r="108" spans="1:11">
      <c r="B108" s="158"/>
    </row>
    <row r="109" spans="1:11">
      <c r="A109" t="s">
        <v>2701</v>
      </c>
      <c r="B109" s="158">
        <f>SUM(Rev_Year!AO54:AO56)-SUM(Rev_Year!AK54:AK56)</f>
        <v>-100.35755645200003</v>
      </c>
    </row>
    <row r="110" spans="1:11">
      <c r="B110" s="158"/>
    </row>
    <row r="111" spans="1:11">
      <c r="A111" t="s">
        <v>2702</v>
      </c>
      <c r="B111" s="158">
        <f>Rev_Year!AO48-Rev_Year!AK48</f>
        <v>-1844.0270478140001</v>
      </c>
    </row>
    <row r="112" spans="1:11">
      <c r="B112" t="s">
        <v>91</v>
      </c>
      <c r="C112" t="s">
        <v>95</v>
      </c>
    </row>
    <row r="113" spans="1:4">
      <c r="A113" t="str">
        <f>A103</f>
        <v>TGDĐ +ĐMX</v>
      </c>
      <c r="B113" s="158">
        <f>Rev_Year!AK57</f>
        <v>2608.7727896329998</v>
      </c>
      <c r="C113" s="158">
        <f>Rev_Year!AO57</f>
        <v>619.63332459200001</v>
      </c>
    </row>
    <row r="114" spans="1:4">
      <c r="A114" t="str">
        <f>A105</f>
        <v>Lỗ công ty con</v>
      </c>
      <c r="B114" s="158">
        <f>Rev_Year!AK49</f>
        <v>-759.98164911499998</v>
      </c>
      <c r="C114" s="158">
        <f>Rev_Year!AO49-C115</f>
        <v>-434.90051393499999</v>
      </c>
    </row>
    <row r="115" spans="1:4">
      <c r="A115" t="str">
        <f>A107</f>
        <v>Lỗ (1 lần)</v>
      </c>
      <c r="B115" s="158">
        <v>0</v>
      </c>
      <c r="C115" s="158">
        <f>Rev_Year!AO51</f>
        <v>-89.071894999999998</v>
      </c>
    </row>
    <row r="116" spans="1:4">
      <c r="A116" t="str">
        <f>A109</f>
        <v>Lãi/ lỗ khác</v>
      </c>
      <c r="B116" s="158">
        <f>B117-B113-B114-B115</f>
        <v>154.20248895700024</v>
      </c>
      <c r="C116" s="158">
        <f>C117-C113-C114-C115</f>
        <v>63.305666003999946</v>
      </c>
    </row>
    <row r="117" spans="1:4">
      <c r="A117" t="str">
        <f>A111</f>
        <v>LNTT Q1/23</v>
      </c>
      <c r="B117" s="158">
        <f>Rev_Year!AK48</f>
        <v>2002.993629475</v>
      </c>
      <c r="C117" s="158">
        <f>Rev_Year!AO48</f>
        <v>158.96658166099999</v>
      </c>
    </row>
    <row r="119" spans="1:4">
      <c r="C119" t="s">
        <v>1411</v>
      </c>
      <c r="D119" t="s">
        <v>1412</v>
      </c>
    </row>
    <row r="120" spans="1:4">
      <c r="A120" s="3458" t="s">
        <v>2703</v>
      </c>
      <c r="B120" t="str">
        <f>A113</f>
        <v>TGDĐ +ĐMX</v>
      </c>
      <c r="C120" s="166">
        <f>Valuation_Senario!E197</f>
        <v>6.9991667787158152E-2</v>
      </c>
      <c r="D120" s="166">
        <f ca="1">Valuation_Senario!F197</f>
        <v>2.5092371304837876E-2</v>
      </c>
    </row>
    <row r="121" spans="1:4">
      <c r="A121" s="3458"/>
      <c r="B121" t="s">
        <v>2704</v>
      </c>
      <c r="C121" s="166">
        <f>Valuation_Senario!E198</f>
        <v>2.8354803152674465E-2</v>
      </c>
      <c r="D121" s="166">
        <f>Valuation_Senario!F198</f>
        <v>-9.0733623166279909E-3</v>
      </c>
    </row>
    <row r="123" spans="1:4">
      <c r="A123" s="3457" t="s">
        <v>2705</v>
      </c>
      <c r="B123" t="s">
        <v>7</v>
      </c>
      <c r="C123" s="38">
        <f>Rev_Year!AK125</f>
        <v>-0.12582643129139073</v>
      </c>
      <c r="D123" s="38">
        <f>Rev_Year!AO125</f>
        <v>-5.5532699964205193E-2</v>
      </c>
    </row>
    <row r="124" spans="1:4">
      <c r="A124" s="3457"/>
      <c r="B124" t="s">
        <v>1344</v>
      </c>
      <c r="C124" s="166">
        <v>2.1999999999999999E-2</v>
      </c>
      <c r="D124" s="166">
        <v>0.01</v>
      </c>
    </row>
    <row r="127" spans="1:4">
      <c r="B127" t="s">
        <v>1411</v>
      </c>
      <c r="C127" t="s">
        <v>1412</v>
      </c>
      <c r="D127" t="s">
        <v>1412</v>
      </c>
    </row>
    <row r="128" spans="1:4">
      <c r="A128" t="s">
        <v>2706</v>
      </c>
      <c r="B128" s="38">
        <v>0.12</v>
      </c>
      <c r="C128" s="38">
        <v>0.19</v>
      </c>
      <c r="D128">
        <v>0.19</v>
      </c>
    </row>
    <row r="130" spans="1:4">
      <c r="A130" t="s">
        <v>2707</v>
      </c>
      <c r="B130" s="38">
        <v>-0.15</v>
      </c>
      <c r="C130" s="38">
        <v>0.25</v>
      </c>
      <c r="D130">
        <v>0.25</v>
      </c>
    </row>
    <row r="131" spans="1:4">
      <c r="B131" s="38"/>
      <c r="C131" s="38"/>
    </row>
    <row r="132" spans="1:4">
      <c r="A132" t="s">
        <v>2708</v>
      </c>
      <c r="B132" s="38">
        <v>-0.01</v>
      </c>
      <c r="C132" s="38">
        <v>-0.15</v>
      </c>
      <c r="D132">
        <v>-0.15</v>
      </c>
    </row>
    <row r="134" spans="1:4">
      <c r="A134" t="s">
        <v>2709</v>
      </c>
      <c r="B134" s="38">
        <v>-0.15663825016053845</v>
      </c>
      <c r="C134" s="38">
        <v>0.26723339732796281</v>
      </c>
      <c r="D134" s="38">
        <v>0.26723339732796281</v>
      </c>
    </row>
    <row r="137" spans="1:4">
      <c r="B137" t="s">
        <v>2710</v>
      </c>
      <c r="C137" t="s">
        <v>516</v>
      </c>
    </row>
    <row r="138" spans="1:4">
      <c r="A138" t="s">
        <v>2711</v>
      </c>
    </row>
    <row r="140" spans="1:4">
      <c r="A140" t="s">
        <v>2712</v>
      </c>
    </row>
    <row r="142" spans="1:4">
      <c r="A142" t="s">
        <v>2694</v>
      </c>
    </row>
    <row r="145" spans="1:8">
      <c r="A145" t="s">
        <v>2713</v>
      </c>
      <c r="B145">
        <v>40</v>
      </c>
      <c r="C145">
        <v>97.47</v>
      </c>
      <c r="D145">
        <f>B145/C145</f>
        <v>0.41038268185082588</v>
      </c>
    </row>
    <row r="146" spans="1:8">
      <c r="A146" t="s">
        <v>2434</v>
      </c>
      <c r="B146">
        <v>20</v>
      </c>
    </row>
    <row r="147" spans="1:8">
      <c r="A147" t="s">
        <v>2714</v>
      </c>
      <c r="B147">
        <v>15</v>
      </c>
    </row>
    <row r="148" spans="1:8">
      <c r="A148" t="s">
        <v>2715</v>
      </c>
      <c r="B148">
        <v>5</v>
      </c>
    </row>
    <row r="150" spans="1:8">
      <c r="A150" t="s">
        <v>2716</v>
      </c>
      <c r="B150" t="s">
        <v>2717</v>
      </c>
      <c r="C150" t="s">
        <v>2718</v>
      </c>
      <c r="D150" t="s">
        <v>2719</v>
      </c>
      <c r="E150" t="s">
        <v>2720</v>
      </c>
    </row>
    <row r="151" spans="1:8">
      <c r="B151" t="s">
        <v>2721</v>
      </c>
      <c r="C151" t="s">
        <v>2722</v>
      </c>
      <c r="D151" t="s">
        <v>2723</v>
      </c>
      <c r="E151" t="s">
        <v>2724</v>
      </c>
      <c r="F151" t="s">
        <v>2725</v>
      </c>
    </row>
    <row r="152" spans="1:8">
      <c r="B152" t="s">
        <v>2726</v>
      </c>
      <c r="C152" t="s">
        <v>2727</v>
      </c>
      <c r="D152" t="s">
        <v>2728</v>
      </c>
      <c r="E152" t="s">
        <v>2729</v>
      </c>
      <c r="F152" t="s">
        <v>2730</v>
      </c>
    </row>
    <row r="153" spans="1:8">
      <c r="B153" t="s">
        <v>2731</v>
      </c>
      <c r="C153" t="s">
        <v>2732</v>
      </c>
      <c r="D153" t="s">
        <v>2733</v>
      </c>
      <c r="E153" t="s">
        <v>2734</v>
      </c>
      <c r="F153" t="s">
        <v>2735</v>
      </c>
    </row>
    <row r="154" spans="1:8">
      <c r="B154" t="s">
        <v>2736</v>
      </c>
      <c r="C154" t="s">
        <v>2727</v>
      </c>
      <c r="D154" t="s">
        <v>2737</v>
      </c>
      <c r="E154" t="s">
        <v>2729</v>
      </c>
      <c r="F154" t="s">
        <v>2738</v>
      </c>
    </row>
    <row r="156" spans="1:8">
      <c r="A156" t="s">
        <v>2739</v>
      </c>
      <c r="B156" t="s">
        <v>2740</v>
      </c>
      <c r="C156" t="s">
        <v>2741</v>
      </c>
      <c r="D156" t="s">
        <v>2742</v>
      </c>
      <c r="E156" t="s">
        <v>2743</v>
      </c>
      <c r="F156" t="s">
        <v>2744</v>
      </c>
      <c r="G156" t="s">
        <v>2745</v>
      </c>
      <c r="H156" t="s">
        <v>2746</v>
      </c>
    </row>
    <row r="157" spans="1:8">
      <c r="A157" t="s">
        <v>2747</v>
      </c>
      <c r="B157">
        <v>65.2</v>
      </c>
      <c r="C157">
        <v>63.5</v>
      </c>
      <c r="D157">
        <v>59.3</v>
      </c>
      <c r="E157">
        <v>54.8</v>
      </c>
      <c r="F157" s="159">
        <v>0.5373</v>
      </c>
      <c r="G157">
        <v>3.99</v>
      </c>
      <c r="H157" t="s">
        <v>2748</v>
      </c>
    </row>
    <row r="158" spans="1:8">
      <c r="A158" t="s">
        <v>2749</v>
      </c>
      <c r="B158">
        <v>22.1</v>
      </c>
      <c r="C158">
        <v>21.5</v>
      </c>
      <c r="D158">
        <v>19.8</v>
      </c>
      <c r="E158">
        <v>18.2</v>
      </c>
      <c r="F158" s="159">
        <v>0.55120000000000002</v>
      </c>
      <c r="G158">
        <v>4.01</v>
      </c>
      <c r="H158" t="s">
        <v>2750</v>
      </c>
    </row>
    <row r="162" spans="1:4">
      <c r="A162" t="s">
        <v>2751</v>
      </c>
    </row>
    <row r="165" spans="1:4">
      <c r="D165" s="891" t="s">
        <v>2752</v>
      </c>
    </row>
    <row r="166" spans="1:4">
      <c r="C166" s="891" t="s">
        <v>2753</v>
      </c>
      <c r="D166" s="890"/>
    </row>
    <row r="167" spans="1:4">
      <c r="B167" s="35" t="s">
        <v>2754</v>
      </c>
      <c r="C167" s="890"/>
      <c r="D167" s="890"/>
    </row>
    <row r="168" spans="1:4" ht="35" customHeight="1">
      <c r="A168" s="20" t="s">
        <v>2755</v>
      </c>
      <c r="B168" s="889" t="s">
        <v>2756</v>
      </c>
      <c r="C168" s="889" t="s">
        <v>2757</v>
      </c>
      <c r="D168" s="889" t="s">
        <v>2758</v>
      </c>
    </row>
    <row r="169" spans="1:4">
      <c r="A169" t="s">
        <v>2759</v>
      </c>
      <c r="B169" t="s">
        <v>2760</v>
      </c>
      <c r="C169" t="s">
        <v>2761</v>
      </c>
      <c r="D169" t="str">
        <f>C169</f>
        <v>2,000-3,000</v>
      </c>
    </row>
    <row r="170" spans="1:4">
      <c r="A170" t="s">
        <v>2762</v>
      </c>
      <c r="B170" t="s">
        <v>2763</v>
      </c>
      <c r="C170" s="166" t="s">
        <v>2764</v>
      </c>
      <c r="D170" s="166">
        <v>0.26</v>
      </c>
    </row>
    <row r="171" spans="1:4">
      <c r="A171" t="s">
        <v>2765</v>
      </c>
    </row>
  </sheetData>
  <autoFilter ref="A1:A46" xr:uid="{E052581E-3978-436D-AF3B-5A9FD3D47A8B}"/>
  <mergeCells count="7">
    <mergeCell ref="A120:A121"/>
    <mergeCell ref="A123:A124"/>
    <mergeCell ref="S1:T1"/>
    <mergeCell ref="U1:V1"/>
    <mergeCell ref="K39:N39"/>
    <mergeCell ref="B31:C31"/>
    <mergeCell ref="D31:E31"/>
  </mergeCells>
  <phoneticPr fontId="64" type="noConversion"/>
  <hyperlinks>
    <hyperlink ref="A73" r:id="rId1" xr:uid="{45639B58-E287-488D-BC7F-729663DF540D}"/>
  </hyperlinks>
  <pageMargins left="0.7" right="0.7" top="0.75" bottom="0.75" header="0.3" footer="0.3"/>
  <drawing r:id="rId2"/>
  <legacyDrawing r:id="rId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060D5F-0A7C-4D57-BAB8-40F0D8E24DFF}">
  <dimension ref="A2:L37"/>
  <sheetViews>
    <sheetView workbookViewId="0">
      <selection activeCell="Z42" sqref="Z42"/>
    </sheetView>
  </sheetViews>
  <sheetFormatPr baseColWidth="10" defaultColWidth="8.6640625" defaultRowHeight="14"/>
  <cols>
    <col min="1" max="1" width="8.6640625" style="445"/>
    <col min="2" max="2" width="15.5" style="446" customWidth="1"/>
    <col min="3" max="5" width="8.6640625" style="487"/>
    <col min="6" max="7" width="8.6640625" style="463"/>
    <col min="8" max="9" width="8.6640625" style="487"/>
    <col min="10" max="10" width="9.1640625" style="445" bestFit="1" customWidth="1"/>
    <col min="11" max="16384" width="8.6640625" style="445"/>
  </cols>
  <sheetData>
    <row r="2" spans="1:9" s="461" customFormat="1">
      <c r="A2" s="441" t="s">
        <v>421</v>
      </c>
      <c r="B2" s="488" t="s">
        <v>2766</v>
      </c>
      <c r="C2" s="489" t="s">
        <v>424</v>
      </c>
      <c r="D2" s="489" t="s">
        <v>425</v>
      </c>
      <c r="E2" s="489" t="s">
        <v>426</v>
      </c>
      <c r="F2" s="450" t="s">
        <v>427</v>
      </c>
      <c r="G2" s="450" t="s">
        <v>428</v>
      </c>
      <c r="H2" s="489" t="s">
        <v>429</v>
      </c>
      <c r="I2" s="489" t="s">
        <v>430</v>
      </c>
    </row>
    <row r="3" spans="1:9">
      <c r="A3" s="445" t="s">
        <v>433</v>
      </c>
      <c r="B3" s="446">
        <v>25280.504184835911</v>
      </c>
      <c r="C3" s="487">
        <v>20.668071812462223</v>
      </c>
      <c r="D3" s="487">
        <v>2.6832735966599706</v>
      </c>
      <c r="E3" s="487">
        <v>0.64897194671527703</v>
      </c>
      <c r="F3" s="463">
        <v>0.10717821598052979</v>
      </c>
      <c r="G3" s="463">
        <v>3.1026976108551027E-2</v>
      </c>
      <c r="H3" s="487">
        <v>7.9536425590855595</v>
      </c>
      <c r="I3" s="487">
        <v>0.88254129999999997</v>
      </c>
    </row>
    <row r="4" spans="1:9">
      <c r="A4" s="445" t="s">
        <v>2767</v>
      </c>
      <c r="B4" s="446">
        <v>36389.629504479417</v>
      </c>
      <c r="C4" s="487">
        <v>28.28197551709582</v>
      </c>
      <c r="D4" s="487">
        <v>1.7128421876869835</v>
      </c>
      <c r="E4" s="487">
        <v>0.6088054832706884</v>
      </c>
      <c r="F4" s="463">
        <v>0.27790403366088867</v>
      </c>
      <c r="G4" s="463">
        <v>8.7319459915161129E-2</v>
      </c>
      <c r="H4" s="487">
        <v>6.1127241661915077</v>
      </c>
      <c r="I4" s="487">
        <v>0.68490390000000001</v>
      </c>
    </row>
    <row r="5" spans="1:9">
      <c r="A5" s="445" t="s">
        <v>2768</v>
      </c>
      <c r="B5" s="446">
        <v>9237.5945390646029</v>
      </c>
      <c r="C5" s="487">
        <v>11.795277611429549</v>
      </c>
      <c r="D5" s="487">
        <v>0.45736329902993733</v>
      </c>
      <c r="E5" s="487">
        <v>0.17479436120778655</v>
      </c>
      <c r="F5" s="463">
        <v>-0.26807151794433592</v>
      </c>
      <c r="G5" s="463">
        <v>-4.1507968902587893E-2</v>
      </c>
      <c r="H5" s="487">
        <v>2.7644793808959034</v>
      </c>
      <c r="I5" s="487">
        <v>0.51641859999999995</v>
      </c>
    </row>
    <row r="6" spans="1:9">
      <c r="A6" s="445" t="s">
        <v>2769</v>
      </c>
      <c r="B6" s="446">
        <v>68842.18322082574</v>
      </c>
      <c r="C6" s="487">
        <v>14.908554368460477</v>
      </c>
      <c r="D6" s="487">
        <v>2.6832735966599706</v>
      </c>
      <c r="E6" s="487">
        <v>0.49582499954773862</v>
      </c>
      <c r="F6" s="463">
        <v>0.11735507965087891</v>
      </c>
      <c r="G6" s="463">
        <v>6.5052161216735835E-2</v>
      </c>
      <c r="H6" s="487">
        <v>4.3555599217547849</v>
      </c>
      <c r="I6" s="487">
        <v>0.3750658</v>
      </c>
    </row>
    <row r="7" spans="1:9">
      <c r="A7" s="445" t="s">
        <v>2770</v>
      </c>
      <c r="B7" s="446">
        <v>40974.699984279854</v>
      </c>
      <c r="C7" s="487">
        <v>17.368649587494573</v>
      </c>
      <c r="D7" s="487">
        <v>2.0130604219185351</v>
      </c>
      <c r="E7" s="487">
        <v>0.6110154862485887</v>
      </c>
      <c r="F7" s="463">
        <v>5.0090060234069825E-2</v>
      </c>
      <c r="G7" s="463">
        <v>3.1385591030120848E-2</v>
      </c>
      <c r="H7" s="487" t="s">
        <v>461</v>
      </c>
      <c r="I7" s="487">
        <v>0.70771059999999997</v>
      </c>
    </row>
    <row r="8" spans="1:9">
      <c r="A8" s="445" t="s">
        <v>2771</v>
      </c>
      <c r="B8" s="446">
        <v>24274.870915457443</v>
      </c>
      <c r="C8" s="487">
        <v>20.120378331900259</v>
      </c>
      <c r="D8" s="487">
        <v>5.3563701254939939</v>
      </c>
      <c r="E8" s="487">
        <v>0.61593915304092739</v>
      </c>
      <c r="F8" s="463">
        <v>0.15986576080322265</v>
      </c>
      <c r="G8" s="463">
        <v>0.14166681289672853</v>
      </c>
      <c r="H8" s="487">
        <v>12.719783071849351</v>
      </c>
      <c r="I8" s="487">
        <v>0.6046395</v>
      </c>
    </row>
    <row r="9" spans="1:9">
      <c r="A9" s="445" t="s">
        <v>2772</v>
      </c>
      <c r="B9" s="446">
        <v>11697.742413146319</v>
      </c>
      <c r="C9" s="487" t="s">
        <v>461</v>
      </c>
      <c r="D9" s="487">
        <v>1.0852923879291159</v>
      </c>
      <c r="E9" s="487">
        <v>0.22034702988164023</v>
      </c>
      <c r="F9" s="463">
        <v>2.4935181140899657E-2</v>
      </c>
      <c r="G9" s="463">
        <v>4.1804900765418998E-3</v>
      </c>
      <c r="H9" s="487" t="s">
        <v>461</v>
      </c>
      <c r="I9" s="487">
        <v>1.6543209999999999</v>
      </c>
    </row>
    <row r="10" spans="1:9">
      <c r="A10" s="445" t="s">
        <v>2773</v>
      </c>
      <c r="B10" s="446">
        <v>10945.941345063015</v>
      </c>
      <c r="C10" s="487">
        <v>13.495934959349594</v>
      </c>
      <c r="D10" s="487">
        <v>1.6072816094885856</v>
      </c>
      <c r="E10" s="487">
        <v>0.38168436276150181</v>
      </c>
      <c r="F10" s="463">
        <v>2.3909740447998051E-2</v>
      </c>
      <c r="G10" s="463">
        <v>8.4769302606582612E-3</v>
      </c>
      <c r="H10" s="487">
        <v>7.8607696509789751</v>
      </c>
      <c r="I10" s="487">
        <v>0.84904279999999999</v>
      </c>
    </row>
    <row r="11" spans="1:9">
      <c r="A11" s="445" t="s">
        <v>2774</v>
      </c>
      <c r="B11" s="446">
        <v>25245.111705198295</v>
      </c>
      <c r="C11" s="487">
        <v>49.695327781229402</v>
      </c>
      <c r="D11" s="487">
        <v>14.063622971571291</v>
      </c>
      <c r="E11" s="487">
        <v>2.3890191967994032</v>
      </c>
      <c r="F11" s="463">
        <v>8.3788013458251959E-2</v>
      </c>
      <c r="G11" s="463">
        <v>3.4737780094146728E-2</v>
      </c>
      <c r="H11" s="487">
        <v>23.206002386944451</v>
      </c>
      <c r="I11" s="487">
        <v>1.0900860000000001</v>
      </c>
    </row>
    <row r="12" spans="1:9">
      <c r="A12" s="445" t="s">
        <v>2775</v>
      </c>
      <c r="B12" s="446">
        <v>6743.5029921927216</v>
      </c>
      <c r="C12" s="487" t="s">
        <v>461</v>
      </c>
      <c r="D12" s="487">
        <v>5.2105629602714844E-2</v>
      </c>
      <c r="E12" s="487">
        <v>0.44373142033848645</v>
      </c>
      <c r="F12" s="463">
        <v>-0.4476060104370117</v>
      </c>
      <c r="G12" s="463">
        <v>-9.1030702590942383E-2</v>
      </c>
      <c r="H12" s="487">
        <v>7.3589743927545825</v>
      </c>
      <c r="I12" s="487">
        <v>0.88254129999999997</v>
      </c>
    </row>
    <row r="13" spans="1:9">
      <c r="A13" s="445" t="s">
        <v>2776</v>
      </c>
      <c r="B13" s="446">
        <v>66514.727440416769</v>
      </c>
      <c r="C13" s="487">
        <v>23.797813181787767</v>
      </c>
      <c r="D13" s="487">
        <v>2.9395177923897635</v>
      </c>
      <c r="E13" s="487">
        <v>0.92480523629270717</v>
      </c>
      <c r="F13" s="463">
        <v>-1.9129727172851563</v>
      </c>
      <c r="G13" s="463">
        <v>-0.10309516906738281</v>
      </c>
      <c r="H13" s="487" t="s">
        <v>461</v>
      </c>
      <c r="I13" s="487">
        <v>1.048073</v>
      </c>
    </row>
    <row r="14" spans="1:9">
      <c r="A14" s="445" t="s">
        <v>2777</v>
      </c>
      <c r="B14" s="446">
        <v>24368.023672497136</v>
      </c>
      <c r="C14" s="487">
        <v>11.867729517325129</v>
      </c>
      <c r="D14" s="487">
        <v>1.2288525094254399</v>
      </c>
      <c r="E14" s="487">
        <v>0.13813402320766535</v>
      </c>
      <c r="F14" s="463">
        <v>4.1652441024780273E-2</v>
      </c>
      <c r="G14" s="463">
        <v>1.300461053848267E-2</v>
      </c>
      <c r="H14" s="487" t="s">
        <v>461</v>
      </c>
      <c r="I14" s="487">
        <v>0.89603060000000001</v>
      </c>
    </row>
    <row r="15" spans="1:9">
      <c r="A15" s="445" t="s">
        <v>2778</v>
      </c>
      <c r="B15" s="446">
        <v>6201.4086441438039</v>
      </c>
      <c r="C15" s="487">
        <v>7.6262595747823223</v>
      </c>
      <c r="D15" s="487">
        <v>0.60163773170688528</v>
      </c>
      <c r="E15" s="487">
        <v>0.10855177207398925</v>
      </c>
      <c r="F15" s="463">
        <v>0.1726924705505371</v>
      </c>
      <c r="G15" s="463">
        <v>6.2706799507141114E-2</v>
      </c>
      <c r="H15" s="487">
        <v>4.2349541712741123</v>
      </c>
      <c r="I15" s="487">
        <v>0.62050309999999997</v>
      </c>
    </row>
    <row r="16" spans="1:9">
      <c r="A16" s="445" t="s">
        <v>2779</v>
      </c>
      <c r="B16" s="446">
        <v>28162.496921366841</v>
      </c>
      <c r="C16" s="487">
        <v>396.1968479558376</v>
      </c>
      <c r="D16" s="487" t="s">
        <v>461</v>
      </c>
      <c r="E16" s="487">
        <v>2.7644823433985608</v>
      </c>
      <c r="F16" s="463">
        <v>-8.7897577285766595E-2</v>
      </c>
      <c r="G16" s="463">
        <v>-3.7780230045318601E-2</v>
      </c>
      <c r="H16" s="487">
        <v>21.93901726857143</v>
      </c>
      <c r="I16" s="487">
        <v>0.52528529999999996</v>
      </c>
    </row>
    <row r="17" spans="1:12">
      <c r="A17" s="445" t="s">
        <v>2780</v>
      </c>
      <c r="B17" s="446">
        <v>10562.825301147834</v>
      </c>
      <c r="C17" s="487">
        <v>10.424023646969578</v>
      </c>
      <c r="D17" s="487">
        <v>1.2124307104017702</v>
      </c>
      <c r="E17" s="487">
        <v>0.34667551338618857</v>
      </c>
      <c r="F17" s="463">
        <v>7.0771231651306152E-2</v>
      </c>
      <c r="G17" s="463">
        <v>3.6706709861755372E-2</v>
      </c>
      <c r="H17" s="487">
        <v>3.2776499990263579</v>
      </c>
      <c r="I17" s="487">
        <v>0.94632479999999997</v>
      </c>
    </row>
    <row r="18" spans="1:12">
      <c r="A18" s="445" t="s">
        <v>2781</v>
      </c>
      <c r="B18" s="446">
        <v>2632.8743766979796</v>
      </c>
      <c r="C18" s="487" t="s">
        <v>461</v>
      </c>
      <c r="D18" s="487" t="s">
        <v>461</v>
      </c>
      <c r="E18" s="487">
        <v>4.5158560218096552E-3</v>
      </c>
      <c r="F18" s="463">
        <v>4.2406687736511232E-2</v>
      </c>
      <c r="G18" s="463">
        <v>1.517307996749878E-2</v>
      </c>
      <c r="H18" s="487">
        <v>5.8822258617092977</v>
      </c>
      <c r="I18" s="487">
        <v>1.6108292771860082</v>
      </c>
    </row>
    <row r="19" spans="1:12">
      <c r="A19" s="445" t="s">
        <v>2782</v>
      </c>
      <c r="B19" s="446">
        <v>10005.038600347119</v>
      </c>
      <c r="C19" s="487">
        <v>17.960428623246628</v>
      </c>
      <c r="D19" s="487">
        <v>3.0095473830628303</v>
      </c>
      <c r="E19" s="487" t="s">
        <v>461</v>
      </c>
      <c r="F19" s="463">
        <v>4.6769418716430665E-2</v>
      </c>
      <c r="G19" s="463">
        <v>1.144543051719666E-2</v>
      </c>
      <c r="H19" s="487" t="s">
        <v>461</v>
      </c>
      <c r="I19" s="487">
        <v>0.80952400000000002</v>
      </c>
    </row>
    <row r="20" spans="1:12">
      <c r="A20" s="445" t="s">
        <v>2783</v>
      </c>
      <c r="B20" s="446">
        <v>48823.088597863214</v>
      </c>
      <c r="C20" s="487" t="s">
        <v>461</v>
      </c>
      <c r="D20" s="487">
        <v>4.9898568588275642</v>
      </c>
      <c r="E20" s="487">
        <v>1.3519151827072833</v>
      </c>
      <c r="F20" s="463">
        <v>9.7001352310180658E-2</v>
      </c>
      <c r="G20" s="463">
        <v>1.778475999832153E-2</v>
      </c>
      <c r="H20" s="487">
        <v>224.69703442265791</v>
      </c>
      <c r="I20" s="487">
        <v>1.5641080000000001</v>
      </c>
    </row>
    <row r="21" spans="1:12">
      <c r="A21" s="445" t="s">
        <v>2784</v>
      </c>
      <c r="B21" s="446" t="e">
        <v>#VALUE!</v>
      </c>
      <c r="C21" s="487" t="s">
        <v>461</v>
      </c>
      <c r="D21" s="487" t="s">
        <v>461</v>
      </c>
      <c r="E21" s="487" t="s">
        <v>461</v>
      </c>
      <c r="F21" s="463">
        <v>0.12459705352783203</v>
      </c>
      <c r="G21" s="463">
        <v>6.5034589767456061E-2</v>
      </c>
      <c r="H21" s="487" t="s">
        <v>461</v>
      </c>
      <c r="I21" s="487" t="s">
        <v>461</v>
      </c>
    </row>
    <row r="22" spans="1:12">
      <c r="A22" s="445" t="s">
        <v>2785</v>
      </c>
      <c r="B22" s="446">
        <v>8611.3775779197276</v>
      </c>
      <c r="C22" s="487">
        <v>15.533827472007571</v>
      </c>
      <c r="D22" s="487">
        <v>1.6761671862787666</v>
      </c>
      <c r="E22" s="487">
        <v>0.39064946409069723</v>
      </c>
      <c r="F22" s="463">
        <v>0</v>
      </c>
      <c r="G22" s="463">
        <v>-0.47079498291015626</v>
      </c>
      <c r="H22" s="487">
        <v>7.7840827794157068</v>
      </c>
      <c r="I22" s="487">
        <v>0.64402760000000003</v>
      </c>
    </row>
    <row r="24" spans="1:12" s="461" customFormat="1">
      <c r="A24" s="441" t="str">
        <f>A2</f>
        <v>Ticker</v>
      </c>
      <c r="B24" s="488" t="str">
        <f t="shared" ref="B24:I24" si="0">B2</f>
        <v>Vốn hoá (tỷ VND)</v>
      </c>
      <c r="C24" s="489" t="str">
        <f t="shared" si="0"/>
        <v>P/E</v>
      </c>
      <c r="D24" s="489" t="str">
        <f t="shared" si="0"/>
        <v>P/B</v>
      </c>
      <c r="E24" s="489" t="str">
        <f t="shared" si="0"/>
        <v>P/S</v>
      </c>
      <c r="F24" s="450" t="str">
        <f t="shared" si="0"/>
        <v>ROE LF</v>
      </c>
      <c r="G24" s="450" t="str">
        <f t="shared" si="0"/>
        <v>ROA LF</v>
      </c>
      <c r="H24" s="489" t="str">
        <f t="shared" si="0"/>
        <v>EV/EBITDA T12M</v>
      </c>
      <c r="I24" s="489" t="str">
        <f t="shared" si="0"/>
        <v>Overridable Adjusted Beta</v>
      </c>
      <c r="J24" s="441"/>
    </row>
    <row r="25" spans="1:12" s="461" customFormat="1">
      <c r="A25" s="441" t="s">
        <v>1600</v>
      </c>
      <c r="B25" s="488">
        <f>MEDIAN(B26:B37)</f>
        <v>26672.598130296254</v>
      </c>
      <c r="C25" s="489">
        <f t="shared" ref="C25:J25" si="1">MEDIAN(C26:C37)</f>
        <v>26.947264836767737</v>
      </c>
      <c r="D25" s="489">
        <f t="shared" si="1"/>
        <v>1.9441549786142758</v>
      </c>
      <c r="E25" s="489">
        <f t="shared" si="1"/>
        <v>0.95676080810670805</v>
      </c>
      <c r="F25" s="489">
        <f t="shared" si="1"/>
        <v>7.0771231651306152E-2</v>
      </c>
      <c r="G25" s="489">
        <f t="shared" si="1"/>
        <v>3.6706709861755372E-2</v>
      </c>
      <c r="H25" s="489">
        <f t="shared" si="1"/>
        <v>8.093548377285984</v>
      </c>
      <c r="I25" s="489">
        <f t="shared" si="1"/>
        <v>0.71195470000000005</v>
      </c>
      <c r="J25" s="488">
        <f t="shared" si="1"/>
        <v>26672598.130296253</v>
      </c>
    </row>
    <row r="26" spans="1:12">
      <c r="A26" s="445" t="s">
        <v>2786</v>
      </c>
      <c r="B26" s="446">
        <f t="shared" ref="B26:B37" si="2">J26/1000</f>
        <v>188937.43078298404</v>
      </c>
      <c r="C26" s="487">
        <v>40.60896358702432</v>
      </c>
      <c r="D26" s="487">
        <v>10.152675300337552</v>
      </c>
      <c r="E26" s="487">
        <v>1.1978643662655521</v>
      </c>
      <c r="F26" s="463">
        <f>K26/100</f>
        <v>0.27790403366088867</v>
      </c>
      <c r="G26" s="463">
        <f>L26/100</f>
        <v>8.7319459915161129E-2</v>
      </c>
      <c r="H26" s="487">
        <v>16.385063570193495</v>
      </c>
      <c r="I26" s="487">
        <v>0.91282790000000003</v>
      </c>
      <c r="J26" s="445">
        <v>188937430.78298405</v>
      </c>
      <c r="K26" s="445">
        <v>27.790403366088867</v>
      </c>
      <c r="L26" s="445">
        <v>8.7319459915161133</v>
      </c>
    </row>
    <row r="27" spans="1:12">
      <c r="A27" s="445" t="s">
        <v>2787</v>
      </c>
      <c r="B27" s="446">
        <f t="shared" si="2"/>
        <v>27562.397737878317</v>
      </c>
      <c r="C27" s="487">
        <v>16.52492124571598</v>
      </c>
      <c r="D27" s="487">
        <v>1.9236428572982514</v>
      </c>
      <c r="E27" s="487">
        <v>0.81458865258113722</v>
      </c>
      <c r="F27" s="463">
        <f t="shared" ref="F27:F37" si="3">K27/100</f>
        <v>0.12459705352783203</v>
      </c>
      <c r="G27" s="463">
        <f t="shared" ref="G27:G37" si="4">L27/100</f>
        <v>6.5034589767456061E-2</v>
      </c>
      <c r="H27" s="487" t="s">
        <v>461</v>
      </c>
      <c r="I27" s="487">
        <v>0.5963349</v>
      </c>
      <c r="J27" s="445">
        <v>27562397.737878315</v>
      </c>
      <c r="K27" s="445">
        <v>12.459705352783203</v>
      </c>
      <c r="L27" s="445">
        <v>6.5034589767456055</v>
      </c>
    </row>
    <row r="28" spans="1:12">
      <c r="A28" s="445" t="s">
        <v>2788</v>
      </c>
      <c r="B28" s="446">
        <f t="shared" si="2"/>
        <v>20973.863004593226</v>
      </c>
      <c r="C28" s="487">
        <v>39.52909805776283</v>
      </c>
      <c r="D28" s="487">
        <v>1.9646670999303002</v>
      </c>
      <c r="E28" s="487">
        <v>1.5744335469215778</v>
      </c>
      <c r="F28" s="463">
        <f t="shared" si="3"/>
        <v>5.0090060234069825E-2</v>
      </c>
      <c r="G28" s="463">
        <f t="shared" si="4"/>
        <v>3.1385591030120848E-2</v>
      </c>
      <c r="H28" s="487" t="s">
        <v>461</v>
      </c>
      <c r="I28" s="487">
        <v>0.69662409999999997</v>
      </c>
      <c r="J28" s="445">
        <v>20973863.004593227</v>
      </c>
      <c r="K28" s="445">
        <v>5.0090060234069824</v>
      </c>
      <c r="L28" s="445">
        <v>3.138559103012085</v>
      </c>
    </row>
    <row r="29" spans="1:12">
      <c r="A29" s="445" t="s">
        <v>2789</v>
      </c>
      <c r="B29" s="446">
        <f t="shared" si="2"/>
        <v>32281.166735618077</v>
      </c>
      <c r="C29" s="487">
        <v>14.832090649491658</v>
      </c>
      <c r="D29" s="487">
        <v>1.0183028237606258</v>
      </c>
      <c r="E29" s="487">
        <v>0.41990053796458288</v>
      </c>
      <c r="F29" s="463">
        <f t="shared" si="3"/>
        <v>7.0771231651306152E-2</v>
      </c>
      <c r="G29" s="463">
        <f t="shared" si="4"/>
        <v>3.6706709861755372E-2</v>
      </c>
      <c r="H29" s="487">
        <v>7.5042703644655058</v>
      </c>
      <c r="I29" s="487">
        <v>0.71195470000000005</v>
      </c>
      <c r="J29" s="445">
        <v>32281166.735618077</v>
      </c>
      <c r="K29" s="445">
        <v>7.0771231651306152</v>
      </c>
      <c r="L29" s="445">
        <v>3.6706709861755371</v>
      </c>
    </row>
    <row r="30" spans="1:12">
      <c r="A30" s="445" t="s">
        <v>2790</v>
      </c>
      <c r="B30" s="446">
        <f t="shared" si="2"/>
        <v>26316.946406014689</v>
      </c>
      <c r="C30" s="487">
        <v>30.361374407582936</v>
      </c>
      <c r="D30" s="487">
        <v>0.7194313705904305</v>
      </c>
      <c r="E30" s="487">
        <v>1.2092786527752781</v>
      </c>
      <c r="F30" s="463">
        <f t="shared" si="3"/>
        <v>2.3909740447998051E-2</v>
      </c>
      <c r="G30" s="463">
        <f t="shared" si="4"/>
        <v>8.4769302606582612E-3</v>
      </c>
      <c r="H30" s="487" t="s">
        <v>461</v>
      </c>
      <c r="I30" s="487">
        <v>0.61557819999999996</v>
      </c>
      <c r="J30" s="445">
        <v>26316946.406014688</v>
      </c>
      <c r="K30" s="445">
        <v>2.3909740447998051</v>
      </c>
      <c r="L30" s="445">
        <v>0.84769302606582608</v>
      </c>
    </row>
    <row r="31" spans="1:12">
      <c r="A31" s="445" t="s">
        <v>2791</v>
      </c>
      <c r="B31" s="446">
        <f t="shared" si="2"/>
        <v>98816.294409166687</v>
      </c>
      <c r="C31" s="487">
        <v>29.084111249734228</v>
      </c>
      <c r="D31" s="487">
        <v>1.2165252105359394</v>
      </c>
      <c r="E31" s="487">
        <v>0.95816556279459464</v>
      </c>
      <c r="F31" s="463">
        <f t="shared" si="3"/>
        <v>4.2406687736511232E-2</v>
      </c>
      <c r="G31" s="463">
        <f t="shared" si="4"/>
        <v>1.517307996749878E-2</v>
      </c>
      <c r="H31" s="487">
        <v>15.827809263112876</v>
      </c>
      <c r="I31" s="487">
        <v>0.81230939999999996</v>
      </c>
      <c r="J31" s="445">
        <v>98816294.409166694</v>
      </c>
      <c r="K31" s="445">
        <v>4.240668773651123</v>
      </c>
      <c r="L31" s="445">
        <v>1.5173079967498779</v>
      </c>
    </row>
    <row r="32" spans="1:12">
      <c r="A32" s="445" t="s">
        <v>2792</v>
      </c>
      <c r="B32" s="446">
        <f t="shared" si="2"/>
        <v>12324.576433374526</v>
      </c>
      <c r="C32" s="487">
        <v>27.492241525637127</v>
      </c>
      <c r="D32" s="487">
        <v>1.8046499841922072</v>
      </c>
      <c r="E32" s="487">
        <v>0.61492657865641009</v>
      </c>
      <c r="F32" s="463">
        <f t="shared" si="3"/>
        <v>4.6769418716430665E-2</v>
      </c>
      <c r="G32" s="463">
        <f t="shared" si="4"/>
        <v>1.144543051719666E-2</v>
      </c>
      <c r="H32" s="487" t="s">
        <v>461</v>
      </c>
      <c r="I32" s="487">
        <v>1.0270520000000001</v>
      </c>
      <c r="J32" s="445">
        <v>12324576.433374526</v>
      </c>
      <c r="K32" s="445">
        <v>4.6769418716430664</v>
      </c>
      <c r="L32" s="445">
        <v>1.144543051719666</v>
      </c>
    </row>
    <row r="33" spans="1:12">
      <c r="A33" s="445" t="s">
        <v>2793</v>
      </c>
      <c r="B33" s="446">
        <f t="shared" si="2"/>
        <v>16673.928469687504</v>
      </c>
      <c r="C33" s="487" t="s">
        <v>461</v>
      </c>
      <c r="D33" s="487">
        <v>413.98116300941729</v>
      </c>
      <c r="E33" s="487">
        <v>1.3435668839644341</v>
      </c>
      <c r="F33" s="463">
        <f t="shared" si="3"/>
        <v>-1.9129727172851563</v>
      </c>
      <c r="G33" s="463">
        <f t="shared" si="4"/>
        <v>-0.10309516906738281</v>
      </c>
      <c r="H33" s="487" t="s">
        <v>461</v>
      </c>
      <c r="I33" s="487">
        <v>0.81175699999999995</v>
      </c>
      <c r="J33" s="445">
        <v>16673928.469687505</v>
      </c>
      <c r="K33" s="445">
        <v>-191.29727172851562</v>
      </c>
      <c r="L33" s="445">
        <v>-10.309516906738281</v>
      </c>
    </row>
    <row r="34" spans="1:12">
      <c r="A34" s="445" t="s">
        <v>2794</v>
      </c>
      <c r="B34" s="446">
        <f t="shared" si="2"/>
        <v>14904.157082902791</v>
      </c>
      <c r="C34" s="487">
        <v>18.825186306392478</v>
      </c>
      <c r="D34" s="487">
        <v>2.9331903998995226</v>
      </c>
      <c r="E34" s="487">
        <v>1.829315608783507</v>
      </c>
      <c r="F34" s="463">
        <f t="shared" si="3"/>
        <v>0.1726924705505371</v>
      </c>
      <c r="G34" s="463">
        <f t="shared" si="4"/>
        <v>6.2706799507141114E-2</v>
      </c>
      <c r="H34" s="487" t="s">
        <v>461</v>
      </c>
      <c r="I34" s="487">
        <v>0.74086819999999998</v>
      </c>
      <c r="J34" s="445">
        <v>14904157.082902791</v>
      </c>
      <c r="K34" s="445">
        <v>17.269247055053711</v>
      </c>
      <c r="L34" s="445">
        <v>6.2706799507141113</v>
      </c>
    </row>
    <row r="35" spans="1:12">
      <c r="A35" s="445" t="s">
        <v>2789</v>
      </c>
      <c r="B35" s="446">
        <f t="shared" si="2"/>
        <v>32281.166735618077</v>
      </c>
      <c r="C35" s="487">
        <v>14.832090649491658</v>
      </c>
      <c r="D35" s="487">
        <v>1.0183028237606258</v>
      </c>
      <c r="E35" s="487">
        <v>0.41990053796458288</v>
      </c>
      <c r="F35" s="463">
        <f t="shared" si="3"/>
        <v>7.0771231651306152E-2</v>
      </c>
      <c r="G35" s="463">
        <f t="shared" si="4"/>
        <v>3.6706709861755372E-2</v>
      </c>
      <c r="H35" s="487">
        <v>7.5042703644655058</v>
      </c>
      <c r="I35" s="487">
        <v>0.71195470000000005</v>
      </c>
      <c r="J35" s="445">
        <v>32281166.735618077</v>
      </c>
      <c r="K35" s="445">
        <v>7.0771231651306152</v>
      </c>
      <c r="L35" s="445">
        <v>3.6706709861755371</v>
      </c>
    </row>
    <row r="36" spans="1:12">
      <c r="A36" s="445" t="s">
        <v>2795</v>
      </c>
      <c r="B36" s="446">
        <f t="shared" si="2"/>
        <v>27028.249854577822</v>
      </c>
      <c r="C36" s="487">
        <v>26.947264836767737</v>
      </c>
      <c r="D36" s="487">
        <v>6.6584672411198254</v>
      </c>
      <c r="E36" s="487">
        <v>0.95535605341882135</v>
      </c>
      <c r="F36" s="463">
        <f t="shared" si="3"/>
        <v>0.28323598861694338</v>
      </c>
      <c r="G36" s="463">
        <f t="shared" si="4"/>
        <v>8.1108188629150396E-2</v>
      </c>
      <c r="H36" s="487">
        <v>7.9536425590855595</v>
      </c>
      <c r="I36" s="487">
        <v>0.54514260000000003</v>
      </c>
      <c r="J36" s="445">
        <v>27028249.854577821</v>
      </c>
      <c r="K36" s="445">
        <v>28.323598861694336</v>
      </c>
      <c r="L36" s="445">
        <v>8.1108188629150391</v>
      </c>
    </row>
    <row r="37" spans="1:12">
      <c r="A37" s="445" t="s">
        <v>2796</v>
      </c>
      <c r="B37" s="446">
        <f t="shared" si="2"/>
        <v>16427.499821753961</v>
      </c>
      <c r="C37" s="487">
        <v>24.413917341898046</v>
      </c>
      <c r="D37" s="487">
        <v>4.6966871309795541</v>
      </c>
      <c r="E37" s="487">
        <v>0.64897194671527703</v>
      </c>
      <c r="F37" s="463">
        <f t="shared" si="3"/>
        <v>0.21764417648315429</v>
      </c>
      <c r="G37" s="463">
        <f t="shared" si="4"/>
        <v>5.9139771461486815E-2</v>
      </c>
      <c r="H37" s="487">
        <v>8.2334541954864093</v>
      </c>
      <c r="I37" s="487">
        <v>0.41184910000000002</v>
      </c>
      <c r="J37" s="445">
        <v>16427499.821753962</v>
      </c>
      <c r="K37" s="445">
        <v>21.76441764831543</v>
      </c>
      <c r="L37" s="445">
        <v>5.9139771461486816</v>
      </c>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6EB769-5CAC-4737-ABA0-B68D16DE05B8}">
  <sheetPr>
    <tabColor theme="9" tint="0.39997558519241921"/>
  </sheetPr>
  <dimension ref="A1:U59"/>
  <sheetViews>
    <sheetView topLeftCell="C15" workbookViewId="0">
      <selection activeCell="J39" sqref="B36:J39"/>
    </sheetView>
  </sheetViews>
  <sheetFormatPr baseColWidth="10" defaultColWidth="8.83203125" defaultRowHeight="15"/>
  <cols>
    <col min="1" max="1" width="21.5" customWidth="1"/>
    <col min="2" max="2" width="9.5" bestFit="1" customWidth="1"/>
    <col min="3" max="4" width="9.83203125" bestFit="1" customWidth="1"/>
    <col min="5" max="8" width="10.6640625" bestFit="1" customWidth="1"/>
    <col min="9" max="11" width="9.5" bestFit="1" customWidth="1"/>
    <col min="19" max="19" width="16.83203125" bestFit="1" customWidth="1"/>
    <col min="20" max="20" width="14.33203125" bestFit="1" customWidth="1"/>
  </cols>
  <sheetData>
    <row r="1" spans="1:21">
      <c r="A1" t="s">
        <v>2797</v>
      </c>
    </row>
    <row r="2" spans="1:21">
      <c r="A2" t="s">
        <v>2798</v>
      </c>
      <c r="F2" s="123">
        <f>F10</f>
        <v>-486.14695740685715</v>
      </c>
      <c r="L2" t="s">
        <v>2799</v>
      </c>
      <c r="M2" t="s">
        <v>2042</v>
      </c>
      <c r="N2" t="s">
        <v>2041</v>
      </c>
      <c r="O2" t="s">
        <v>2286</v>
      </c>
    </row>
    <row r="3" spans="1:21">
      <c r="B3">
        <v>2016</v>
      </c>
      <c r="C3">
        <v>2017</v>
      </c>
      <c r="D3">
        <v>2018</v>
      </c>
      <c r="E3">
        <v>2019</v>
      </c>
      <c r="F3">
        <v>2020</v>
      </c>
      <c r="G3">
        <v>2021</v>
      </c>
      <c r="H3">
        <v>2022</v>
      </c>
      <c r="L3" t="s">
        <v>513</v>
      </c>
      <c r="M3">
        <f>Rev_Month!AH10</f>
        <v>962</v>
      </c>
      <c r="N3">
        <f>Rev_Month!AT10</f>
        <v>950</v>
      </c>
      <c r="O3">
        <f>Rev_Month!BF10</f>
        <v>1045</v>
      </c>
    </row>
    <row r="4" spans="1:21">
      <c r="A4" t="s">
        <v>30</v>
      </c>
      <c r="B4" s="158">
        <f>Rev_Year!C102</f>
        <v>249</v>
      </c>
      <c r="C4" s="158">
        <f>Rev_Year!D102</f>
        <v>1138.7</v>
      </c>
      <c r="D4" s="158">
        <f>Rev_Year!E102</f>
        <v>4325.8145000000004</v>
      </c>
      <c r="E4" s="158">
        <f>Rev_Year!F102</f>
        <v>10728.295617555914</v>
      </c>
      <c r="F4" s="158">
        <f>Rev_Year!G102</f>
        <v>21275.016</v>
      </c>
      <c r="G4" s="158">
        <f>Rev_Year!H102</f>
        <v>28157.381999999998</v>
      </c>
      <c r="H4" s="158">
        <f>Rev_Year!I102</f>
        <v>27081.169731000002</v>
      </c>
      <c r="L4" t="s">
        <v>36</v>
      </c>
      <c r="O4">
        <f>Rev_Month!BF16</f>
        <v>71</v>
      </c>
    </row>
    <row r="5" spans="1:21">
      <c r="A5" t="s">
        <v>31</v>
      </c>
      <c r="B5" s="158"/>
      <c r="C5" s="38">
        <f t="shared" ref="C5:H5" si="0">C4/B4-1</f>
        <v>3.5730923694779122</v>
      </c>
      <c r="D5" s="38">
        <f t="shared" si="0"/>
        <v>2.7989062088346364</v>
      </c>
      <c r="E5" s="38">
        <f t="shared" si="0"/>
        <v>1.4800637238503667</v>
      </c>
      <c r="F5" s="38">
        <f t="shared" si="0"/>
        <v>0.98307510889104366</v>
      </c>
      <c r="G5" s="38">
        <f t="shared" si="0"/>
        <v>0.32349522087315941</v>
      </c>
      <c r="H5" s="38">
        <f t="shared" si="0"/>
        <v>-3.8221318622590594E-2</v>
      </c>
      <c r="L5" t="s">
        <v>1254</v>
      </c>
      <c r="M5">
        <f>Rev_Month!AH23-M6</f>
        <v>1072</v>
      </c>
      <c r="N5">
        <f>Rev_Month!AT23-N6</f>
        <v>1180</v>
      </c>
      <c r="O5">
        <f>Rev_Month!BF23-O6</f>
        <v>1227</v>
      </c>
    </row>
    <row r="6" spans="1:21">
      <c r="A6" t="s">
        <v>4</v>
      </c>
      <c r="B6" s="158">
        <f>Rev_Year!C107</f>
        <v>40</v>
      </c>
      <c r="C6" s="158">
        <f>Rev_Year!D107</f>
        <v>283</v>
      </c>
      <c r="D6" s="158">
        <f>Rev_Year!E107</f>
        <v>405</v>
      </c>
      <c r="E6" s="158">
        <f>Rev_Year!F107</f>
        <v>1008</v>
      </c>
      <c r="F6" s="158">
        <f>Rev_Year!G107</f>
        <v>1719</v>
      </c>
      <c r="G6" s="158">
        <f>Rev_Year!H107</f>
        <v>2106</v>
      </c>
      <c r="H6" s="158">
        <f>Rev_Year!I107</f>
        <v>1728</v>
      </c>
      <c r="L6" t="s">
        <v>2800</v>
      </c>
      <c r="M6">
        <f>Rev_Month!AH29</f>
        <v>52</v>
      </c>
      <c r="N6">
        <f>Rev_Month!AT29</f>
        <v>601</v>
      </c>
      <c r="O6">
        <f>Rev_Month!BF29</f>
        <v>1019</v>
      </c>
      <c r="S6" s="158"/>
    </row>
    <row r="7" spans="1:21">
      <c r="A7" t="s">
        <v>2801</v>
      </c>
      <c r="B7" s="152">
        <f>B4/B6/12</f>
        <v>0.51874999999999993</v>
      </c>
      <c r="C7" s="84">
        <f t="shared" ref="C7:H7" si="1">C4/AVERAGE(C6,B6)/12</f>
        <v>0.58756449948400413</v>
      </c>
      <c r="D7" s="84">
        <f t="shared" si="1"/>
        <v>1.047920179263566</v>
      </c>
      <c r="E7" s="84">
        <f t="shared" si="1"/>
        <v>1.2654276501009571</v>
      </c>
      <c r="F7" s="84">
        <f t="shared" si="1"/>
        <v>1.3002698936560322</v>
      </c>
      <c r="G7" s="84">
        <f t="shared" si="1"/>
        <v>1.2269011764705882</v>
      </c>
      <c r="H7" s="84">
        <f t="shared" si="1"/>
        <v>1.1772374252738655</v>
      </c>
    </row>
    <row r="8" spans="1:21">
      <c r="A8" t="s">
        <v>312</v>
      </c>
      <c r="B8" s="152"/>
      <c r="C8" s="152"/>
      <c r="D8" s="158">
        <f>D9*D4</f>
        <v>692.1303200000001</v>
      </c>
      <c r="E8" s="158">
        <f>E9*E4</f>
        <v>2038.3761673356237</v>
      </c>
      <c r="F8" s="158">
        <f>F9*F4</f>
        <v>5106.0038399999994</v>
      </c>
      <c r="G8" s="158">
        <f>G9*G4</f>
        <v>7602.4931399999996</v>
      </c>
      <c r="H8" s="158">
        <f>H9*H4</f>
        <v>0</v>
      </c>
    </row>
    <row r="9" spans="1:21">
      <c r="A9" t="s">
        <v>313</v>
      </c>
      <c r="B9" s="152"/>
      <c r="C9" s="152"/>
      <c r="D9" s="38">
        <f>E9-3%</f>
        <v>0.16</v>
      </c>
      <c r="E9" s="38">
        <v>0.19</v>
      </c>
      <c r="F9" s="38">
        <v>0.24</v>
      </c>
      <c r="G9" s="38">
        <v>0.27</v>
      </c>
      <c r="H9" s="152"/>
      <c r="U9">
        <f>2576/(290+50)</f>
        <v>7.5764705882352938</v>
      </c>
    </row>
    <row r="10" spans="1:21">
      <c r="A10" t="s">
        <v>205</v>
      </c>
      <c r="B10" s="158">
        <f>B12-B17</f>
        <v>122.74487910142308</v>
      </c>
      <c r="C10" s="158">
        <f t="shared" ref="C10:H10" si="2">C12-C17</f>
        <v>296.07174319107293</v>
      </c>
      <c r="D10" s="158">
        <f t="shared" si="2"/>
        <v>318.32402971471413</v>
      </c>
      <c r="E10" s="158">
        <f t="shared" si="2"/>
        <v>178.23883634355684</v>
      </c>
      <c r="F10" s="158">
        <f>F12-F17</f>
        <v>-486.14695740685715</v>
      </c>
      <c r="G10" s="158">
        <f t="shared" si="2"/>
        <v>449.43760071314296</v>
      </c>
      <c r="H10" s="158">
        <f t="shared" si="2"/>
        <v>-2940.4532178049999</v>
      </c>
    </row>
    <row r="11" spans="1:21">
      <c r="A11" t="s">
        <v>2802</v>
      </c>
      <c r="B11" s="158"/>
      <c r="C11" s="124">
        <f>C10/C4</f>
        <v>0.26000855641615256</v>
      </c>
      <c r="D11" s="124">
        <f>D10/D4</f>
        <v>7.3587073536027517E-2</v>
      </c>
      <c r="E11" s="124">
        <f>E10/E4</f>
        <v>1.6613900539045982E-2</v>
      </c>
      <c r="F11" s="124">
        <f>F10/F4</f>
        <v>-2.2850603609739104E-2</v>
      </c>
      <c r="G11" s="158"/>
      <c r="H11" s="158"/>
      <c r="J11" s="181">
        <f>1.56*F6*12*F9+J12+F17</f>
        <v>-394.35168259314241</v>
      </c>
      <c r="R11">
        <f>75000/365</f>
        <v>205.47945205479451</v>
      </c>
      <c r="S11" s="158">
        <f>13000*365</f>
        <v>4745000</v>
      </c>
      <c r="T11" s="351"/>
      <c r="U11">
        <f>50*3</f>
        <v>150</v>
      </c>
    </row>
    <row r="12" spans="1:21">
      <c r="A12" t="s">
        <v>2803</v>
      </c>
      <c r="B12" s="158">
        <v>-54.944000000000003</v>
      </c>
      <c r="C12" s="158">
        <v>-144.608</v>
      </c>
      <c r="D12" s="158">
        <v>-555.577</v>
      </c>
      <c r="E12" s="158">
        <v>-978.36500000000001</v>
      </c>
      <c r="F12" s="158">
        <v>-1748.809</v>
      </c>
      <c r="G12" s="158">
        <v>-1005.808</v>
      </c>
      <c r="H12" s="158">
        <f>Rev_Year!I124</f>
        <v>-2940.4532178049999</v>
      </c>
      <c r="I12" s="123"/>
      <c r="J12" s="123">
        <f>F12-F8</f>
        <v>-6854.8128399999996</v>
      </c>
      <c r="U12">
        <f>2576/1805</f>
        <v>1.4271468144044321</v>
      </c>
    </row>
    <row r="13" spans="1:21">
      <c r="A13" t="s">
        <v>535</v>
      </c>
      <c r="B13" s="124">
        <f>B12/B4</f>
        <v>-0.22065863453815263</v>
      </c>
      <c r="C13" s="124">
        <f t="shared" ref="C13:H13" si="3">C12/C4</f>
        <v>-0.1269939404584175</v>
      </c>
      <c r="D13" s="124">
        <f t="shared" si="3"/>
        <v>-0.12843292286342836</v>
      </c>
      <c r="E13" s="124">
        <f t="shared" si="3"/>
        <v>-9.1194821141858881E-2</v>
      </c>
      <c r="F13" s="124">
        <f t="shared" si="3"/>
        <v>-8.2200126194969719E-2</v>
      </c>
      <c r="G13" s="124">
        <f t="shared" si="3"/>
        <v>-3.5720934566999166E-2</v>
      </c>
      <c r="H13" s="124">
        <f t="shared" si="3"/>
        <v>-0.10857925440491747</v>
      </c>
      <c r="J13" s="124">
        <f>J12/F4</f>
        <v>-0.32220012619496974</v>
      </c>
      <c r="R13">
        <f>13000*10^3/(99*10^6*0.85)</f>
        <v>0.15448603683897802</v>
      </c>
    </row>
    <row r="14" spans="1:21">
      <c r="A14" t="s">
        <v>2804</v>
      </c>
      <c r="B14" s="124"/>
      <c r="C14" s="124"/>
      <c r="D14" s="124">
        <v>0.92</v>
      </c>
      <c r="E14" s="124">
        <v>0.43</v>
      </c>
      <c r="F14" s="124" t="s">
        <v>2805</v>
      </c>
      <c r="G14" s="124">
        <v>0.28999999999999998</v>
      </c>
      <c r="H14" s="124"/>
    </row>
    <row r="15" spans="1:21" s="348" customFormat="1" ht="320">
      <c r="B15" s="349"/>
      <c r="C15" s="349"/>
      <c r="D15" s="349" t="s">
        <v>2806</v>
      </c>
      <c r="E15" s="349" t="s">
        <v>2807</v>
      </c>
      <c r="F15" s="349" t="s">
        <v>2808</v>
      </c>
      <c r="G15" s="349" t="s">
        <v>2809</v>
      </c>
      <c r="H15" s="349" t="s">
        <v>2810</v>
      </c>
    </row>
    <row r="16" spans="1:21">
      <c r="B16" s="3457" t="s">
        <v>2811</v>
      </c>
      <c r="C16" s="3457"/>
      <c r="D16" s="3457"/>
      <c r="E16" s="3457"/>
      <c r="F16" s="3457"/>
      <c r="G16" s="3457"/>
    </row>
    <row r="17" spans="1:11">
      <c r="A17" t="s">
        <v>2812</v>
      </c>
      <c r="B17" s="158">
        <f>Rev_Year!E117</f>
        <v>-177.68887910142308</v>
      </c>
      <c r="C17" s="158">
        <f>Rev_Year!F117</f>
        <v>-440.67974319107293</v>
      </c>
      <c r="D17" s="158">
        <f>Rev_Year!G117</f>
        <v>-873.90102971471413</v>
      </c>
      <c r="E17" s="158">
        <f>Rev_Year!H117</f>
        <v>-1156.6038363435568</v>
      </c>
      <c r="F17" s="158">
        <f>Rev_Year!I117</f>
        <v>-1262.6620425931428</v>
      </c>
      <c r="G17" s="158">
        <f>Rev_Year!J117</f>
        <v>-1455.2456007131429</v>
      </c>
      <c r="H17" s="181"/>
    </row>
    <row r="20" spans="1:11">
      <c r="A20" t="s">
        <v>2813</v>
      </c>
    </row>
    <row r="21" spans="1:11" s="285" customFormat="1">
      <c r="B21" s="285" t="str">
        <f>Rev_Year!AG5</f>
        <v>Q1/2021</v>
      </c>
      <c r="C21" s="285" t="str">
        <f>Rev_Year!AH5</f>
        <v>Q2/2021</v>
      </c>
      <c r="D21" s="285" t="str">
        <f>Rev_Year!AI5</f>
        <v>Q3/2021</v>
      </c>
      <c r="E21" s="285" t="str">
        <f>Rev_Year!AJ5</f>
        <v>Q4/2021</v>
      </c>
      <c r="F21" s="241" t="str">
        <f>Rev_Year!AK5</f>
        <v>Q1/2022</v>
      </c>
      <c r="G21" s="241" t="str">
        <f>Rev_Year!AL5</f>
        <v>Q2/2022</v>
      </c>
      <c r="H21" s="241" t="str">
        <f>Rev_Year!AM5</f>
        <v>Q3/2022</v>
      </c>
      <c r="I21" s="241" t="str">
        <f>Rev_Year!AN5</f>
        <v>Q4/2022</v>
      </c>
      <c r="J21" s="241" t="str">
        <f>Rev_Year!AO5</f>
        <v>Q1/2023</v>
      </c>
      <c r="K21" s="241" t="str">
        <f>Rev_Year!AP5</f>
        <v>Q2/2023</v>
      </c>
    </row>
    <row r="22" spans="1:11" s="112" customFormat="1">
      <c r="A22" s="112" t="s">
        <v>2644</v>
      </c>
      <c r="B22" s="198">
        <f>Rev_Year!AG23</f>
        <v>5949.6109999999999</v>
      </c>
      <c r="C22" s="198">
        <f>Rev_Year!AH23</f>
        <v>7422.6069999999991</v>
      </c>
      <c r="D22" s="198">
        <f>Rev_Year!AI23</f>
        <v>9200.9820000000018</v>
      </c>
      <c r="E22" s="198">
        <f>Rev_Year!AJ23</f>
        <v>5584.1819999999971</v>
      </c>
      <c r="F22" s="198">
        <f>Rev_Year!AK23</f>
        <v>6040</v>
      </c>
      <c r="G22" s="198">
        <f>Rev_Year!AL23</f>
        <v>6775.5240000000013</v>
      </c>
      <c r="H22" s="198">
        <f>Rev_Year!AM23</f>
        <v>7121.2509999999984</v>
      </c>
      <c r="I22" s="198">
        <f>Rev_Year!AN23</f>
        <v>7144.3947310000003</v>
      </c>
      <c r="J22" s="198">
        <f>Rev_Year!AO23</f>
        <v>6369.64</v>
      </c>
      <c r="K22" s="198">
        <f ca="1">Rev_Year!AP23</f>
        <v>7320.2999999999984</v>
      </c>
    </row>
    <row r="23" spans="1:11" s="112" customFormat="1" ht="16">
      <c r="A23" s="350" t="s">
        <v>2814</v>
      </c>
      <c r="B23" s="203">
        <f>Rev_Year!AG106</f>
        <v>1.1378104800152993</v>
      </c>
      <c r="C23" s="203">
        <f>Rev_Year!AH106</f>
        <v>1.3538726858185133</v>
      </c>
      <c r="D23" s="203">
        <f>Rev_Year!AI106</f>
        <v>1.6049157509157512</v>
      </c>
      <c r="E23" s="203">
        <f>Rev_Year!AJ106</f>
        <v>0.92148217821782119</v>
      </c>
      <c r="F23" s="203">
        <f>Rev_Year!AK106</f>
        <v>0.9483435390171141</v>
      </c>
      <c r="G23" s="203">
        <f>Rev_Year!AL106</f>
        <v>1.1211258376768432</v>
      </c>
      <c r="H23" s="203">
        <f>Rev_Year!AM106</f>
        <v>1.312552022855036</v>
      </c>
      <c r="I23" s="203">
        <f>Rev_Year!AN106</f>
        <v>1.3781625638503086</v>
      </c>
    </row>
    <row r="24" spans="1:11" s="112" customFormat="1" ht="32">
      <c r="A24" s="350" t="s">
        <v>2815</v>
      </c>
      <c r="B24" s="112">
        <v>10.7</v>
      </c>
      <c r="C24" s="112">
        <v>12.2</v>
      </c>
      <c r="D24" s="112">
        <v>9.3000000000000007</v>
      </c>
      <c r="E24" s="112">
        <v>7</v>
      </c>
      <c r="F24" s="112">
        <v>7.6</v>
      </c>
      <c r="G24" s="112">
        <v>10</v>
      </c>
      <c r="H24" s="112">
        <v>11.5</v>
      </c>
    </row>
    <row r="25" spans="1:11" s="112" customFormat="1" ht="16">
      <c r="A25" s="350" t="s">
        <v>179</v>
      </c>
      <c r="B25" s="273">
        <v>0.25</v>
      </c>
      <c r="C25" s="273">
        <v>0.26</v>
      </c>
      <c r="D25" s="273">
        <v>0.28000000000000003</v>
      </c>
      <c r="F25" s="273">
        <v>0.25</v>
      </c>
      <c r="G25" s="273">
        <v>0.25</v>
      </c>
      <c r="H25" s="273">
        <v>0.25</v>
      </c>
    </row>
    <row r="26" spans="1:11" s="112" customFormat="1" ht="16">
      <c r="A26" s="350" t="s">
        <v>2816</v>
      </c>
      <c r="B26" s="273">
        <v>0.03</v>
      </c>
      <c r="C26" s="273">
        <v>0.03</v>
      </c>
      <c r="D26" s="273">
        <v>0.04</v>
      </c>
      <c r="E26" s="273">
        <f>(3%*SUM(B22:E22)-SUM(B33:D33))/E22</f>
        <v>1.3523133737403237E-2</v>
      </c>
      <c r="F26" s="273">
        <v>0.03</v>
      </c>
      <c r="G26" s="273">
        <v>0.03</v>
      </c>
      <c r="H26" s="267">
        <v>3.5000000000000003E-2</v>
      </c>
    </row>
    <row r="27" spans="1:11" s="112" customFormat="1" ht="16">
      <c r="A27" s="350" t="s">
        <v>2694</v>
      </c>
      <c r="B27" s="112">
        <v>1803</v>
      </c>
      <c r="C27" s="112">
        <v>1888</v>
      </c>
      <c r="D27" s="112">
        <v>1934</v>
      </c>
      <c r="E27" s="112">
        <v>2106</v>
      </c>
      <c r="F27" s="112">
        <v>2127</v>
      </c>
      <c r="G27" s="112">
        <v>1889</v>
      </c>
      <c r="H27" s="112">
        <v>1727</v>
      </c>
    </row>
    <row r="28" spans="1:11" s="112" customFormat="1" ht="16">
      <c r="A28" s="350" t="s">
        <v>2817</v>
      </c>
      <c r="B28" s="273">
        <v>0.43</v>
      </c>
      <c r="C28" s="273">
        <v>0.47</v>
      </c>
      <c r="D28" s="273">
        <v>0.51</v>
      </c>
      <c r="E28" s="196">
        <f>((Rev_Year!H136*Rev_Year!H102)-SUM(bhx!B34:D34))/bhx!E22</f>
        <v>0.34586320073378679</v>
      </c>
    </row>
    <row r="29" spans="1:11" s="112" customFormat="1" ht="32">
      <c r="A29" s="350" t="s">
        <v>2818</v>
      </c>
      <c r="B29" s="273">
        <v>0.25</v>
      </c>
      <c r="C29" s="273">
        <v>0.33</v>
      </c>
      <c r="D29" s="273">
        <v>0.34</v>
      </c>
      <c r="E29" s="273">
        <f>D29</f>
        <v>0.34</v>
      </c>
    </row>
    <row r="30" spans="1:11" s="112" customFormat="1">
      <c r="A30" s="350"/>
      <c r="B30" s="273"/>
      <c r="C30" s="273"/>
      <c r="D30" s="273"/>
      <c r="E30" s="273"/>
    </row>
    <row r="31" spans="1:11" s="112" customFormat="1" ht="28.5" customHeight="1">
      <c r="A31" s="350" t="s">
        <v>2819</v>
      </c>
      <c r="B31" s="3459" t="s">
        <v>2820</v>
      </c>
      <c r="C31" s="3460"/>
      <c r="D31" s="3460"/>
      <c r="E31" s="3460"/>
      <c r="F31" s="3460" t="s">
        <v>2821</v>
      </c>
      <c r="G31" s="3460"/>
      <c r="H31" s="3460"/>
    </row>
    <row r="33" spans="1:12">
      <c r="B33" s="181">
        <f>B26*B22</f>
        <v>178.48832999999999</v>
      </c>
      <c r="C33" s="181">
        <f>C26*C22</f>
        <v>222.67820999999995</v>
      </c>
      <c r="D33" s="181">
        <f>D26*D22</f>
        <v>368.03928000000008</v>
      </c>
      <c r="F33" s="181">
        <f>F26*F22</f>
        <v>181.2</v>
      </c>
      <c r="G33" s="181">
        <f>G26*G22</f>
        <v>203.26572000000002</v>
      </c>
      <c r="H33" s="181">
        <f>H26*H22</f>
        <v>249.24378499999997</v>
      </c>
      <c r="I33" s="182">
        <f>SUM(bhx!F33:H33)/SUM(F22:H22)</f>
        <v>3.1785958611661114E-2</v>
      </c>
    </row>
    <row r="34" spans="1:12">
      <c r="B34" s="181">
        <f>B28*B22</f>
        <v>2558.3327300000001</v>
      </c>
      <c r="C34" s="181">
        <f>C28*C22</f>
        <v>3488.6252899999995</v>
      </c>
      <c r="D34" s="181">
        <f>D28*D22</f>
        <v>4692.5008200000011</v>
      </c>
    </row>
    <row r="35" spans="1:12">
      <c r="H35">
        <f>H24/B24-1</f>
        <v>7.4766355140186924E-2</v>
      </c>
      <c r="L35">
        <f>22.5*3500</f>
        <v>78750</v>
      </c>
    </row>
    <row r="36" spans="1:12">
      <c r="C36" t="str">
        <f t="shared" ref="C36:J36" si="4">B21</f>
        <v>Q1/2021</v>
      </c>
      <c r="D36" t="str">
        <f t="shared" si="4"/>
        <v>Q2/2021</v>
      </c>
      <c r="E36" t="str">
        <f t="shared" si="4"/>
        <v>Q3/2021</v>
      </c>
      <c r="F36" t="str">
        <f t="shared" si="4"/>
        <v>Q4/2021</v>
      </c>
      <c r="G36" t="str">
        <f t="shared" si="4"/>
        <v>Q1/2022</v>
      </c>
      <c r="H36" t="str">
        <f t="shared" si="4"/>
        <v>Q2/2022</v>
      </c>
      <c r="I36" t="str">
        <f t="shared" si="4"/>
        <v>Q3/2022</v>
      </c>
      <c r="J36" t="str">
        <f t="shared" si="4"/>
        <v>Q4/2022</v>
      </c>
    </row>
    <row r="37" spans="1:12">
      <c r="B37" t="s">
        <v>2822</v>
      </c>
      <c r="C37" s="152">
        <f t="shared" ref="C37:J37" si="5">B23</f>
        <v>1.1378104800152993</v>
      </c>
      <c r="D37" s="152">
        <f t="shared" si="5"/>
        <v>1.3538726858185133</v>
      </c>
      <c r="E37" s="152">
        <f t="shared" si="5"/>
        <v>1.6049157509157512</v>
      </c>
      <c r="F37" s="152">
        <f t="shared" si="5"/>
        <v>0.92148217821782119</v>
      </c>
      <c r="G37" s="152">
        <f t="shared" si="5"/>
        <v>0.9483435390171141</v>
      </c>
      <c r="H37" s="152">
        <f t="shared" si="5"/>
        <v>1.1211258376768432</v>
      </c>
      <c r="I37" s="152">
        <f t="shared" si="5"/>
        <v>1.312552022855036</v>
      </c>
      <c r="J37" s="152">
        <f t="shared" si="5"/>
        <v>1.3781625638503086</v>
      </c>
    </row>
    <row r="38" spans="1:12">
      <c r="B38" t="s">
        <v>2823</v>
      </c>
      <c r="C38" s="152">
        <v>0.68467251856853473</v>
      </c>
      <c r="D38" s="152">
        <v>0.74456156088809156</v>
      </c>
      <c r="E38" s="152">
        <v>0.96412719202503094</v>
      </c>
      <c r="F38" s="152">
        <v>0.6433811158220607</v>
      </c>
      <c r="G38" s="152">
        <v>0.59520680808460047</v>
      </c>
      <c r="H38" s="152">
        <v>0.57002926596189452</v>
      </c>
      <c r="I38" s="152">
        <v>0.58710005078720162</v>
      </c>
      <c r="J38" s="152">
        <v>0.53675267795894677</v>
      </c>
    </row>
    <row r="39" spans="1:12">
      <c r="B39" t="s">
        <v>1348</v>
      </c>
      <c r="C39" s="152">
        <f>B24</f>
        <v>10.7</v>
      </c>
      <c r="D39" s="152">
        <f t="shared" ref="D39:I39" si="6">C24</f>
        <v>12.2</v>
      </c>
      <c r="E39" s="152">
        <f t="shared" si="6"/>
        <v>9.3000000000000007</v>
      </c>
      <c r="F39" s="152">
        <f t="shared" si="6"/>
        <v>7</v>
      </c>
      <c r="G39" s="152">
        <f t="shared" si="6"/>
        <v>7.6</v>
      </c>
      <c r="H39" s="152">
        <f t="shared" si="6"/>
        <v>10</v>
      </c>
      <c r="I39" s="152">
        <f t="shared" si="6"/>
        <v>11.5</v>
      </c>
      <c r="J39" s="401">
        <f>I39*1.1</f>
        <v>12.65</v>
      </c>
    </row>
    <row r="41" spans="1:12">
      <c r="B41" t="s">
        <v>2824</v>
      </c>
      <c r="D41" t="s">
        <v>2825</v>
      </c>
    </row>
    <row r="42" spans="1:12">
      <c r="A42" t="s">
        <v>7</v>
      </c>
      <c r="D42" s="356">
        <v>0.85</v>
      </c>
    </row>
    <row r="43" spans="1:12">
      <c r="A43" t="s">
        <v>2826</v>
      </c>
      <c r="B43" s="22">
        <f>H6/20</f>
        <v>86.4</v>
      </c>
    </row>
    <row r="44" spans="1:12">
      <c r="A44" t="s">
        <v>2827</v>
      </c>
      <c r="B44">
        <v>17497</v>
      </c>
      <c r="C44">
        <v>2103</v>
      </c>
      <c r="D44" s="356">
        <v>0.68</v>
      </c>
    </row>
    <row r="45" spans="1:12">
      <c r="A45">
        <v>2021</v>
      </c>
      <c r="B45">
        <v>16492</v>
      </c>
      <c r="C45">
        <v>1998</v>
      </c>
    </row>
    <row r="46" spans="1:12">
      <c r="A46">
        <v>2015</v>
      </c>
      <c r="B46">
        <f>11115+1025+38+80</f>
        <v>12258</v>
      </c>
    </row>
    <row r="47" spans="1:12">
      <c r="A47" t="s">
        <v>2826</v>
      </c>
      <c r="B47" s="216">
        <f>B46/39</f>
        <v>314.30769230769232</v>
      </c>
    </row>
    <row r="48" spans="1:12">
      <c r="A48" s="125" t="s">
        <v>2828</v>
      </c>
    </row>
    <row r="49" spans="1:6">
      <c r="B49">
        <v>75827</v>
      </c>
      <c r="C49">
        <v>84904</v>
      </c>
    </row>
    <row r="50" spans="1:6">
      <c r="B50">
        <v>15412</v>
      </c>
      <c r="C50">
        <v>17681</v>
      </c>
    </row>
    <row r="51" spans="1:6">
      <c r="B51">
        <v>4583</v>
      </c>
      <c r="C51">
        <v>5968</v>
      </c>
    </row>
    <row r="52" spans="1:6">
      <c r="B52">
        <v>1061</v>
      </c>
      <c r="C52">
        <v>1951</v>
      </c>
    </row>
    <row r="53" spans="1:6">
      <c r="B53">
        <f>B50/B49</f>
        <v>0.20325213973914305</v>
      </c>
      <c r="C53">
        <f>C50/C49</f>
        <v>0.20824696127390935</v>
      </c>
    </row>
    <row r="55" spans="1:6">
      <c r="B55">
        <f>B52/B49</f>
        <v>1.3992377385364052E-2</v>
      </c>
      <c r="C55">
        <f>C52/C49</f>
        <v>2.2978893809478942E-2</v>
      </c>
    </row>
    <row r="58" spans="1:6">
      <c r="B58" t="s">
        <v>2829</v>
      </c>
      <c r="C58" t="s">
        <v>2830</v>
      </c>
      <c r="D58" t="s">
        <v>2831</v>
      </c>
      <c r="E58" t="s">
        <v>1344</v>
      </c>
      <c r="F58" t="s">
        <v>7</v>
      </c>
    </row>
    <row r="59" spans="1:6">
      <c r="A59" t="s">
        <v>2832</v>
      </c>
    </row>
  </sheetData>
  <mergeCells count="3">
    <mergeCell ref="B16:G16"/>
    <mergeCell ref="B31:E31"/>
    <mergeCell ref="F31:H31"/>
  </mergeCells>
  <hyperlinks>
    <hyperlink ref="D44" r:id="rId1" display="https://www.statista.com/statistics/1208569/indonesia-traditional-trade-market-share-for-fmcg/" xr:uid="{758AB527-7EA0-49AA-941B-435ED2DE5997}"/>
    <hyperlink ref="D42" r:id="rId2" display="The report by Nielsen also pointed out that traditional retail makes up 85 percent of total revenue of fast moving consumer goods, or $10 billion." xr:uid="{FB1D75AD-0A9F-4FE4-B766-0851626076DC}"/>
    <hyperlink ref="A48" r:id="rId3" xr:uid="{93537DDE-C6AC-4374-8973-868FE4E0532E}"/>
  </hyperlinks>
  <pageMargins left="0.7" right="0.7" top="0.75" bottom="0.75" header="0.3" footer="0.3"/>
  <drawing r:id="rId4"/>
  <legacyDrawing r:id="rId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45FFCF-07EB-478D-B149-25FF53730889}">
  <dimension ref="A1"/>
  <sheetViews>
    <sheetView zoomScale="41" zoomScaleNormal="50" workbookViewId="0">
      <selection activeCell="BF72" sqref="BF72"/>
    </sheetView>
  </sheetViews>
  <sheetFormatPr baseColWidth="10" defaultColWidth="8.83203125" defaultRowHeight="15"/>
  <sheetData/>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70290C-46E2-44F5-AB83-916514FE2AE4}">
  <dimension ref="A2:AH57"/>
  <sheetViews>
    <sheetView showGridLines="0" topLeftCell="P10" workbookViewId="0">
      <selection activeCell="N30" sqref="N30"/>
    </sheetView>
  </sheetViews>
  <sheetFormatPr baseColWidth="10" defaultColWidth="8.6640625" defaultRowHeight="15"/>
  <cols>
    <col min="1" max="1" width="20.33203125" style="437" bestFit="1" customWidth="1"/>
    <col min="2" max="2" width="8.5" style="437" customWidth="1"/>
    <col min="3" max="3" width="10.5" style="437" customWidth="1"/>
    <col min="4" max="4" width="10.5" style="437" bestFit="1" customWidth="1"/>
    <col min="5" max="6" width="11.5" style="437" bestFit="1" customWidth="1"/>
    <col min="7" max="7" width="10.5" style="437" customWidth="1"/>
    <col min="8" max="8" width="11.5" style="437" bestFit="1" customWidth="1"/>
    <col min="9" max="9" width="8.6640625" style="437"/>
    <col min="10" max="10" width="9.1640625" style="439"/>
    <col min="11" max="11" width="14.33203125" style="437" customWidth="1"/>
    <col min="12" max="12" width="10.6640625" style="437" bestFit="1" customWidth="1"/>
    <col min="13" max="13" width="10.5" style="437" bestFit="1" customWidth="1"/>
    <col min="14" max="14" width="11" style="437" bestFit="1" customWidth="1"/>
    <col min="15" max="16" width="10.5" style="437" bestFit="1" customWidth="1"/>
    <col min="17" max="20" width="8.6640625" style="437"/>
    <col min="21" max="21" width="11.6640625" style="439" customWidth="1"/>
    <col min="22" max="22" width="8.6640625" style="437"/>
    <col min="23" max="23" width="8.6640625" style="439"/>
    <col min="24" max="24" width="14.33203125" style="437" customWidth="1"/>
    <col min="25" max="25" width="10.6640625" style="437" bestFit="1" customWidth="1"/>
    <col min="26" max="26" width="10.5" style="437" bestFit="1" customWidth="1"/>
    <col min="27" max="27" width="11" style="437" bestFit="1" customWidth="1"/>
    <col min="28" max="29" width="10.5" style="437" bestFit="1" customWidth="1"/>
    <col min="30" max="33" width="8.6640625" style="437"/>
    <col min="34" max="34" width="11.6640625" style="439" customWidth="1"/>
    <col min="35" max="16384" width="8.6640625" style="437"/>
  </cols>
  <sheetData>
    <row r="2" spans="1:34" s="455" customFormat="1">
      <c r="A2" s="459"/>
      <c r="B2" s="459"/>
      <c r="C2" s="459" t="s">
        <v>2833</v>
      </c>
      <c r="D2" s="459"/>
      <c r="E2" s="459"/>
      <c r="F2" s="459"/>
      <c r="G2" s="459"/>
      <c r="H2" s="459"/>
      <c r="I2" s="459"/>
      <c r="J2" s="460"/>
      <c r="K2" s="459" t="s">
        <v>2834</v>
      </c>
      <c r="L2" s="459"/>
      <c r="M2" s="459"/>
      <c r="N2" s="459"/>
      <c r="O2" s="459"/>
      <c r="P2" s="459"/>
      <c r="Q2" s="459"/>
      <c r="R2" s="459"/>
      <c r="S2" s="459"/>
      <c r="T2" s="459"/>
      <c r="U2" s="460"/>
      <c r="W2" s="460"/>
      <c r="X2" s="459" t="s">
        <v>2834</v>
      </c>
      <c r="Y2" s="459"/>
      <c r="Z2" s="459"/>
      <c r="AA2" s="459"/>
      <c r="AB2" s="459"/>
      <c r="AC2" s="459"/>
      <c r="AD2" s="459"/>
      <c r="AE2" s="459"/>
      <c r="AF2" s="459"/>
      <c r="AG2" s="459"/>
      <c r="AH2" s="460"/>
    </row>
    <row r="3" spans="1:34">
      <c r="A3" s="442"/>
      <c r="B3" s="442"/>
      <c r="C3" s="442" t="s">
        <v>4</v>
      </c>
      <c r="D3" s="453">
        <f>E3</f>
        <v>3361.5</v>
      </c>
      <c r="E3" s="453">
        <f>F3</f>
        <v>3361.5</v>
      </c>
      <c r="F3" s="443">
        <f>SUM(AVERAGE(Rev_Year!$I$64:$J$64),AVERAGE(Rev_Year!$I$76:$J$76))</f>
        <v>3361.5</v>
      </c>
      <c r="G3" s="453">
        <f>F3</f>
        <v>3361.5</v>
      </c>
      <c r="H3" s="453">
        <f>G3</f>
        <v>3361.5</v>
      </c>
      <c r="I3" s="442"/>
      <c r="J3" s="445"/>
      <c r="K3" s="461" t="str">
        <f>C3</f>
        <v>SLCH</v>
      </c>
      <c r="L3" s="446">
        <f>AVERAGE(Rev_Year!$I$107:$J$107)</f>
        <v>1713</v>
      </c>
      <c r="M3" s="446">
        <f>AVERAGE(Rev_Year!$I$107:$J$107)</f>
        <v>1713</v>
      </c>
      <c r="N3" s="446">
        <f>AVERAGE(Rev_Year!$I$107:$J$107)</f>
        <v>1713</v>
      </c>
      <c r="O3" s="446">
        <f>AVERAGE(Rev_Year!$I$107:$J$107)</f>
        <v>1713</v>
      </c>
      <c r="P3" s="446">
        <f>AVERAGE(Rev_Year!$I$107:$J$107)</f>
        <v>1713</v>
      </c>
      <c r="Q3" s="446">
        <f>AVERAGE(Rev_Year!$I$107:$J$107)</f>
        <v>1713</v>
      </c>
      <c r="R3" s="446">
        <f>AVERAGE(Rev_Year!$I$107:$J$107)</f>
        <v>1713</v>
      </c>
      <c r="S3" s="446">
        <f>AVERAGE(Rev_Year!$I$107:$J$107)</f>
        <v>1713</v>
      </c>
      <c r="T3" s="446">
        <f>AVERAGE(Rev_Year!$I$107:$J$107)</f>
        <v>1713</v>
      </c>
      <c r="U3" s="445"/>
      <c r="W3" s="445"/>
      <c r="X3" s="461">
        <f>P3</f>
        <v>1713</v>
      </c>
      <c r="Y3" s="446">
        <f>AVERAGE(Rev_Year!$I$107:$J$107)</f>
        <v>1713</v>
      </c>
      <c r="Z3" s="446">
        <f>AVERAGE(Rev_Year!$I$107:$J$107)</f>
        <v>1713</v>
      </c>
      <c r="AA3" s="446">
        <f>AVERAGE(Rev_Year!$I$107:$J$107)</f>
        <v>1713</v>
      </c>
      <c r="AB3" s="446">
        <f>AVERAGE(Rev_Year!$I$107:$J$107)</f>
        <v>1713</v>
      </c>
      <c r="AC3" s="446">
        <f>AVERAGE(Rev_Year!$I$107:$J$107)</f>
        <v>1713</v>
      </c>
      <c r="AD3" s="446">
        <f>AVERAGE(Rev_Year!$I$107:$J$107)</f>
        <v>1713</v>
      </c>
      <c r="AE3" s="446">
        <f>AVERAGE(Rev_Year!$I$107:$J$107)</f>
        <v>1713</v>
      </c>
      <c r="AF3" s="446">
        <f>AVERAGE(Rev_Year!$I$107:$J$107)</f>
        <v>1713</v>
      </c>
      <c r="AG3" s="446">
        <f>AVERAGE(Rev_Year!$I$107:$J$107)</f>
        <v>1713</v>
      </c>
      <c r="AH3" s="445"/>
    </row>
    <row r="4" spans="1:34">
      <c r="A4" s="442"/>
      <c r="B4" s="442"/>
      <c r="C4" s="442" t="s">
        <v>6</v>
      </c>
      <c r="D4" s="443">
        <f ca="1">D7/D3</f>
        <v>22.991625552955522</v>
      </c>
      <c r="E4" s="443">
        <f ca="1">E7/E3</f>
        <v>23.916708210063955</v>
      </c>
      <c r="F4" s="443">
        <f ca="1">F7/F3</f>
        <v>24.841790867172392</v>
      </c>
      <c r="G4" s="443">
        <f ca="1">G7/G3</f>
        <v>25.766873524280825</v>
      </c>
      <c r="H4" s="443">
        <f ca="1">H7/H3</f>
        <v>26.691956181389262</v>
      </c>
      <c r="I4" s="442"/>
      <c r="J4" s="445"/>
      <c r="K4" s="461" t="str">
        <f>C4</f>
        <v>DT/CH</v>
      </c>
      <c r="L4" s="462">
        <f t="shared" ref="L4:Q4" si="0">L8*12</f>
        <v>14.399999999999999</v>
      </c>
      <c r="M4" s="462">
        <f t="shared" si="0"/>
        <v>15.600000000000001</v>
      </c>
      <c r="N4" s="462">
        <f t="shared" ca="1" si="0"/>
        <v>18.435936952714538</v>
      </c>
      <c r="O4" s="462">
        <f t="shared" ca="1" si="0"/>
        <v>19.635936952714538</v>
      </c>
      <c r="P4" s="462">
        <f t="shared" ca="1" si="0"/>
        <v>20.83593695271454</v>
      </c>
      <c r="Q4" s="462">
        <f t="shared" ca="1" si="0"/>
        <v>22.035936952714543</v>
      </c>
      <c r="R4" s="462">
        <f ca="1">R8*12</f>
        <v>23.235936952714543</v>
      </c>
      <c r="S4" s="462">
        <f ca="1">S8*12</f>
        <v>24.435936952714542</v>
      </c>
      <c r="T4" s="462">
        <f ca="1">T8*12</f>
        <v>25.635936952714545</v>
      </c>
      <c r="U4" s="445"/>
      <c r="W4" s="445"/>
      <c r="X4" s="461">
        <f ca="1">P4</f>
        <v>20.83593695271454</v>
      </c>
      <c r="Y4" s="462">
        <f t="shared" ref="Y4:AD4" si="1">Y8*12</f>
        <v>14.399999999999999</v>
      </c>
      <c r="Z4" s="462">
        <f t="shared" si="1"/>
        <v>15.600000000000001</v>
      </c>
      <c r="AA4" s="462">
        <f t="shared" si="1"/>
        <v>15.213775743707094</v>
      </c>
      <c r="AB4" s="462">
        <f t="shared" si="1"/>
        <v>16.413775743707095</v>
      </c>
      <c r="AC4" s="462">
        <f t="shared" si="1"/>
        <v>17.613775743707095</v>
      </c>
      <c r="AD4" s="462">
        <f t="shared" si="1"/>
        <v>18.813775743707097</v>
      </c>
      <c r="AE4" s="462">
        <f>AE8*12</f>
        <v>20.0137757437071</v>
      </c>
      <c r="AF4" s="462">
        <f>AF8*12</f>
        <v>21.2137757437071</v>
      </c>
      <c r="AG4" s="462">
        <f>AG8*12</f>
        <v>22.413775743707099</v>
      </c>
      <c r="AH4" s="445"/>
    </row>
    <row r="5" spans="1:34">
      <c r="A5" s="442"/>
      <c r="B5" s="442"/>
      <c r="C5" s="442" t="s">
        <v>31</v>
      </c>
      <c r="D5" s="454">
        <f ca="1">D4/(Rev_Year!$I$20/SUM(AVERAGE(Rev_Year!$H$64:$I$64),AVERAGE(Rev_Year!$H$76:$I$76)))-1</f>
        <v>-0.28622173779967652</v>
      </c>
      <c r="E5" s="454">
        <f ca="1">E4/(Rev_Year!$I$20/SUM(AVERAGE(Rev_Year!$H$64:$I$64),AVERAGE(Rev_Year!$H$76:$I$76)))-1</f>
        <v>-0.25750241606830659</v>
      </c>
      <c r="F5" s="454">
        <f ca="1">F4/(Rev_Year!$I$20/SUM(AVERAGE(Rev_Year!$H$64:$I$64),AVERAGE(Rev_Year!$H$76:$I$76)))-1</f>
        <v>-0.22878309433693655</v>
      </c>
      <c r="G5" s="454">
        <f ca="1">G4/(Rev_Year!$I$20/SUM(AVERAGE(Rev_Year!$H$64:$I$64),AVERAGE(Rev_Year!$H$76:$I$76)))-1</f>
        <v>-0.20006377260556663</v>
      </c>
      <c r="H5" s="454">
        <f ca="1">H4/(Rev_Year!$I$20/SUM(AVERAGE(Rev_Year!$H$64:$I$64),AVERAGE(Rev_Year!$H$76:$I$76)))-1</f>
        <v>-0.1713444508741967</v>
      </c>
      <c r="I5" s="442"/>
      <c r="J5" s="445"/>
      <c r="K5" s="461" t="str">
        <f>C5</f>
        <v>%YoY</v>
      </c>
      <c r="L5" s="463">
        <f>L4/Rev_Year!$I$104-1</f>
        <v>1.9335585360649832E-2</v>
      </c>
      <c r="M5" s="463">
        <f>M4/Rev_Year!$I$104-1</f>
        <v>0.1042802174740376</v>
      </c>
      <c r="N5" s="463">
        <f ca="1">N4/Rev_Year!$I$104-1</f>
        <v>0.30502823509495203</v>
      </c>
      <c r="O5" s="463">
        <f ca="1">O4/Rev_Year!$I$104-1</f>
        <v>0.38997286720833957</v>
      </c>
      <c r="P5" s="463">
        <f ca="1">P4/Rev_Year!$I$104-1</f>
        <v>0.47491749932172711</v>
      </c>
      <c r="Q5" s="463">
        <f ca="1">Q4/Rev_Year!$I$104-1</f>
        <v>0.55986213143511487</v>
      </c>
      <c r="R5" s="463">
        <f ca="1">R4/Rev_Year!$I$104-1</f>
        <v>0.64480676354850242</v>
      </c>
      <c r="S5" s="463">
        <f ca="1">S4/Rev_Year!$I$104-1</f>
        <v>0.72975139566188973</v>
      </c>
      <c r="T5" s="463">
        <f ca="1">T4/Rev_Year!$I$104-1</f>
        <v>0.8146960277752775</v>
      </c>
      <c r="U5" s="445"/>
      <c r="W5" s="445"/>
      <c r="X5" s="461">
        <f ca="1">P5</f>
        <v>0.47491749932172711</v>
      </c>
      <c r="Y5" s="463">
        <f>Y4/Rev_Year!$I$104-1</f>
        <v>1.9335585360649832E-2</v>
      </c>
      <c r="Z5" s="463">
        <f>Z4/Rev_Year!$I$104-1</f>
        <v>0.1042802174740376</v>
      </c>
      <c r="AA5" s="463">
        <f>AA4/Rev_Year!$I$104-1</f>
        <v>7.6940486337314429E-2</v>
      </c>
      <c r="AB5" s="463">
        <f>AB4/Rev_Year!$I$104-1</f>
        <v>0.16188511845070197</v>
      </c>
      <c r="AC5" s="463">
        <f>AC4/Rev_Year!$I$104-1</f>
        <v>0.24682975056408951</v>
      </c>
      <c r="AD5" s="463">
        <f>AD4/Rev_Year!$I$104-1</f>
        <v>0.33177438267747705</v>
      </c>
      <c r="AE5" s="463">
        <f>AE4/Rev_Year!$I$104-1</f>
        <v>0.41671901479086482</v>
      </c>
      <c r="AF5" s="463">
        <f>AF4/Rev_Year!$I$104-1</f>
        <v>0.50166364690425214</v>
      </c>
      <c r="AG5" s="463">
        <f>AG4/Rev_Year!$I$104-1</f>
        <v>0.58660827901763968</v>
      </c>
      <c r="AH5" s="445"/>
    </row>
    <row r="6" spans="1:34">
      <c r="A6" s="442"/>
      <c r="B6" s="442"/>
      <c r="C6" s="442" t="s">
        <v>2709</v>
      </c>
      <c r="D6" s="464">
        <f ca="1">D4/12</f>
        <v>1.9159687960796268</v>
      </c>
      <c r="E6" s="464">
        <f ca="1">E4/12</f>
        <v>1.9930590175053295</v>
      </c>
      <c r="F6" s="464">
        <f ca="1">F4/12</f>
        <v>2.0701492389310325</v>
      </c>
      <c r="G6" s="464">
        <f ca="1">G4/12</f>
        <v>2.1472394603567353</v>
      </c>
      <c r="H6" s="464">
        <f ca="1">H4/12</f>
        <v>2.2243296817824385</v>
      </c>
      <c r="I6" s="442"/>
      <c r="J6" s="445"/>
      <c r="K6" s="461" t="s">
        <v>239</v>
      </c>
      <c r="L6" s="446">
        <f t="shared" ref="L6:Q6" si="2">L4*L3</f>
        <v>24667.199999999997</v>
      </c>
      <c r="M6" s="446">
        <f t="shared" si="2"/>
        <v>26722.800000000003</v>
      </c>
      <c r="N6" s="446">
        <f t="shared" ca="1" si="2"/>
        <v>31580.760000000006</v>
      </c>
      <c r="O6" s="446">
        <f t="shared" ca="1" si="2"/>
        <v>33636.36</v>
      </c>
      <c r="P6" s="446">
        <f t="shared" ca="1" si="2"/>
        <v>35691.960000000006</v>
      </c>
      <c r="Q6" s="446">
        <f t="shared" ca="1" si="2"/>
        <v>37747.560000000012</v>
      </c>
      <c r="R6" s="446">
        <f ca="1">R4*R3</f>
        <v>39803.160000000011</v>
      </c>
      <c r="S6" s="446">
        <f ca="1">S4*S3</f>
        <v>41858.760000000009</v>
      </c>
      <c r="T6" s="446">
        <f ca="1">T4*T3</f>
        <v>43914.360000000015</v>
      </c>
      <c r="U6" s="445"/>
      <c r="W6" s="445"/>
      <c r="X6" s="461" t="s">
        <v>239</v>
      </c>
      <c r="Y6" s="446">
        <f t="shared" ref="Y6:AD6" si="3">Y4*Y3</f>
        <v>24667.199999999997</v>
      </c>
      <c r="Z6" s="446">
        <f t="shared" si="3"/>
        <v>26722.800000000003</v>
      </c>
      <c r="AA6" s="446">
        <f t="shared" si="3"/>
        <v>26061.197848970252</v>
      </c>
      <c r="AB6" s="446">
        <f t="shared" si="3"/>
        <v>28116.797848970255</v>
      </c>
      <c r="AC6" s="446">
        <f t="shared" si="3"/>
        <v>30172.397848970253</v>
      </c>
      <c r="AD6" s="446">
        <f t="shared" si="3"/>
        <v>32227.997848970259</v>
      </c>
      <c r="AE6" s="446">
        <f>AE4*AE3</f>
        <v>34283.597848970261</v>
      </c>
      <c r="AF6" s="446">
        <f>AF4*AF3</f>
        <v>36339.19784897026</v>
      </c>
      <c r="AG6" s="446">
        <f>AG4*AG3</f>
        <v>38394.797848970258</v>
      </c>
      <c r="AH6" s="445"/>
    </row>
    <row r="7" spans="1:34">
      <c r="A7" s="442"/>
      <c r="B7" s="442"/>
      <c r="C7" s="442" t="s">
        <v>2835</v>
      </c>
      <c r="D7" s="443">
        <f ca="1">Rev_Year!$I$20*(1+Sensitivity_Analysis!D8)</f>
        <v>77286.349296259985</v>
      </c>
      <c r="E7" s="443">
        <f ca="1">Rev_Year!$I$20*(1+Sensitivity_Analysis!E8)</f>
        <v>80396.014648129989</v>
      </c>
      <c r="F7" s="443">
        <f ca="1">Rev_Year!J20</f>
        <v>83505.679999999993</v>
      </c>
      <c r="G7" s="443">
        <f ca="1">Rev_Year!$I$20*(1+Sensitivity_Analysis!G8)</f>
        <v>86615.345351869997</v>
      </c>
      <c r="H7" s="443">
        <f ca="1">Rev_Year!$I$20*(1+Sensitivity_Analysis!H8)</f>
        <v>89725.010703740001</v>
      </c>
      <c r="I7" s="442"/>
      <c r="J7" s="445"/>
      <c r="K7" s="3462" t="str">
        <f>K16</f>
        <v>DT/CH/Tháng (tỷ VND)</v>
      </c>
      <c r="L7" s="3462"/>
      <c r="M7" s="3462"/>
      <c r="N7" s="3462"/>
      <c r="O7" s="3462"/>
      <c r="P7" s="3462"/>
      <c r="Q7" s="3462"/>
      <c r="R7" s="3462"/>
      <c r="S7" s="3462"/>
      <c r="T7" s="3462"/>
      <c r="U7" s="445"/>
      <c r="W7" s="445"/>
      <c r="X7" s="3462" t="str">
        <f>X16</f>
        <v>DT/CH/Tháng (tỷ VND)</v>
      </c>
      <c r="Y7" s="3462"/>
      <c r="Z7" s="3462"/>
      <c r="AA7" s="3462"/>
      <c r="AB7" s="3462"/>
      <c r="AC7" s="3462"/>
      <c r="AD7" s="3462"/>
      <c r="AE7" s="3462"/>
      <c r="AF7" s="3462"/>
      <c r="AG7" s="3462"/>
      <c r="AH7" s="445"/>
    </row>
    <row r="8" spans="1:34" ht="15" customHeight="1">
      <c r="A8" s="447" t="s">
        <v>2836</v>
      </c>
      <c r="C8" s="441" t="s">
        <v>2837</v>
      </c>
      <c r="D8" s="449">
        <f ca="1">E8-3%</f>
        <v>-0.25439228452877954</v>
      </c>
      <c r="E8" s="449">
        <f ca="1">F8-3%</f>
        <v>-0.22439228452877955</v>
      </c>
      <c r="F8" s="449">
        <f ca="1">Rev_Year!J22</f>
        <v>-0.19439228452877955</v>
      </c>
      <c r="G8" s="450">
        <f ca="1">F8+3%</f>
        <v>-0.16439228452877955</v>
      </c>
      <c r="H8" s="450">
        <f ca="1">G8+3%</f>
        <v>-0.13439228452877955</v>
      </c>
      <c r="I8" s="442"/>
      <c r="J8" s="465" t="s">
        <v>2838</v>
      </c>
      <c r="K8" s="466" t="str">
        <f>C6</f>
        <v>DT/CH/THÁNG</v>
      </c>
      <c r="L8" s="467">
        <v>1.2</v>
      </c>
      <c r="M8" s="467">
        <v>1.3</v>
      </c>
      <c r="N8" s="468">
        <f ca="1">Rev_Year!J106</f>
        <v>1.5363280793928782</v>
      </c>
      <c r="O8" s="467">
        <f t="shared" ref="O8:T8" ca="1" si="4">N8+0.1</f>
        <v>1.6363280793928783</v>
      </c>
      <c r="P8" s="467">
        <f t="shared" ca="1" si="4"/>
        <v>1.7363280793928784</v>
      </c>
      <c r="Q8" s="467">
        <f t="shared" ca="1" si="4"/>
        <v>1.8363280793928785</v>
      </c>
      <c r="R8" s="467">
        <f t="shared" ca="1" si="4"/>
        <v>1.9363280793928785</v>
      </c>
      <c r="S8" s="467">
        <f t="shared" ca="1" si="4"/>
        <v>2.0363280793928786</v>
      </c>
      <c r="T8" s="467">
        <f t="shared" ca="1" si="4"/>
        <v>2.1363280793928787</v>
      </c>
      <c r="U8" s="445"/>
      <c r="W8" s="465" t="s">
        <v>2838</v>
      </c>
      <c r="X8" s="466">
        <f ca="1">P6</f>
        <v>35691.960000000006</v>
      </c>
      <c r="Y8" s="467">
        <v>1.2</v>
      </c>
      <c r="Z8" s="467">
        <v>1.3</v>
      </c>
      <c r="AA8" s="468">
        <f>Rev_Year!Y106</f>
        <v>1.2678146453089245</v>
      </c>
      <c r="AB8" s="467">
        <f t="shared" ref="AB8:AG8" si="5">AA8+0.1</f>
        <v>1.3678146453089246</v>
      </c>
      <c r="AC8" s="467">
        <f t="shared" si="5"/>
        <v>1.4678146453089247</v>
      </c>
      <c r="AD8" s="467">
        <f t="shared" si="5"/>
        <v>1.5678146453089248</v>
      </c>
      <c r="AE8" s="467">
        <f t="shared" si="5"/>
        <v>1.6678146453089249</v>
      </c>
      <c r="AF8" s="467">
        <f t="shared" si="5"/>
        <v>1.767814645308925</v>
      </c>
      <c r="AG8" s="467">
        <f t="shared" si="5"/>
        <v>1.867814645308925</v>
      </c>
      <c r="AH8" s="445"/>
    </row>
    <row r="9" spans="1:34" ht="15" customHeight="1">
      <c r="A9" s="454">
        <f ca="1">A10-1%</f>
        <v>0.14712219070342358</v>
      </c>
      <c r="C9" s="451">
        <f ca="1">($F$7*A9+Rev_Year!$J$89*$F$7)*(1+Rev_Year!$J$97)/$F$7</f>
        <v>3.9759375008002655E-3</v>
      </c>
      <c r="D9" s="443">
        <f ca="1">$C9*D$7</f>
        <v>307.28569446694826</v>
      </c>
      <c r="E9" s="443">
        <f ca="1">$C9*E$7</f>
        <v>319.64952955438747</v>
      </c>
      <c r="F9" s="443">
        <f ca="1">$C9*F$7</f>
        <v>332.01336464182668</v>
      </c>
      <c r="G9" s="443">
        <f ca="1">$C9*G$7</f>
        <v>344.3771997292659</v>
      </c>
      <c r="H9" s="443">
        <f ca="1">$C9*H$7</f>
        <v>356.74103481670511</v>
      </c>
      <c r="I9" s="442"/>
      <c r="J9" s="3464" t="str">
        <f>J18</f>
        <v>Tác động đến Lợi nhuận sau thuế 2023 của MWG (Tỷ VND)</v>
      </c>
      <c r="K9" s="469">
        <f ca="1">K10-0.5%</f>
        <v>0.23749999999999999</v>
      </c>
      <c r="L9" s="443">
        <f ca="1">(L$6*$K9+Rev_Year!$J$112)-Rev_Year!$J$117</f>
        <v>-1460.7106520618574</v>
      </c>
      <c r="M9" s="443">
        <f ca="1">(M$6*$K9+Rev_Year!$J$112)-Rev_Year!$J$117</f>
        <v>-972.50565206185661</v>
      </c>
      <c r="N9" s="444">
        <f ca="1">(N$6*$K9+Rev_Year!$J$112)-Rev_Year!$J$117</f>
        <v>181.25984793814473</v>
      </c>
      <c r="O9" s="443">
        <f ca="1">(O$6*$K9+Rev_Year!$J$112)-Rev_Year!$J$117</f>
        <v>669.46484793814284</v>
      </c>
      <c r="P9" s="443">
        <f ca="1">(P$6*$K9+Rev_Year!$J$112)-Rev_Year!$J$117</f>
        <v>1157.6698479381437</v>
      </c>
      <c r="Q9" s="475">
        <f ca="1">(Q$6*$K9+Rev_Year!$J$112)-Rev_Year!$J$117</f>
        <v>1645.8748479381454</v>
      </c>
      <c r="R9" s="475">
        <f ca="1">(R$6*$K9+Rev_Year!$J$112)-Rev_Year!$J$117</f>
        <v>2134.0798479381456</v>
      </c>
      <c r="S9" s="475">
        <f ca="1">(S$6*$K9+Rev_Year!$J$112)-Rev_Year!$J$117</f>
        <v>2622.2848479381455</v>
      </c>
      <c r="T9" s="475">
        <f ca="1">(T$6*$K9+Rev_Year!$J$112)-Rev_Year!$J$117</f>
        <v>3110.4898479381472</v>
      </c>
      <c r="U9" s="445"/>
      <c r="W9" s="3464" t="str">
        <f>W18</f>
        <v>Tác động đến Lợi nhuận sau thuế 2023 của MWG (Tỷ VND)</v>
      </c>
      <c r="X9" s="469">
        <f>X10-0.5%</f>
        <v>-1.4999999999999999E-2</v>
      </c>
      <c r="Y9" s="443">
        <f ca="1">(Y$6*$K9+Rev_Year!$J$112)-Rev_Year!$J$117</f>
        <v>-1460.7106520618574</v>
      </c>
      <c r="Z9" s="443">
        <f ca="1">(Z$6*$K9+Rev_Year!$J$112)-Rev_Year!$J$117</f>
        <v>-972.50565206185661</v>
      </c>
      <c r="AA9" s="444">
        <f ca="1">(AA$6*$K9+Rev_Year!$J$112)-Rev_Year!$J$117</f>
        <v>-1129.6361629314217</v>
      </c>
      <c r="AB9" s="443">
        <f ca="1">(AB$6*$K9+Rev_Year!$J$112)-Rev_Year!$J$117</f>
        <v>-641.4311629314218</v>
      </c>
      <c r="AC9" s="443">
        <f ca="1">(AC$6*$K9+Rev_Year!$J$112)-Rev_Year!$J$117</f>
        <v>-153.22616293142187</v>
      </c>
      <c r="AD9" s="475">
        <f ca="1">(AD$6*$K9+Rev_Year!$J$112)-Rev_Year!$J$117</f>
        <v>334.97883706857988</v>
      </c>
      <c r="AE9" s="475">
        <f ca="1">(AE$6*$K9+Rev_Year!$J$112)-Rev_Year!$J$117</f>
        <v>823.18383706857981</v>
      </c>
      <c r="AF9" s="475">
        <f ca="1">(AF$6*$K9+Rev_Year!$J$112)-Rev_Year!$J$117</f>
        <v>1311.3888370685788</v>
      </c>
      <c r="AG9" s="475">
        <f ca="1">(AG$6*$K9+Rev_Year!$J$112)-Rev_Year!$J$117</f>
        <v>1799.5938370685788</v>
      </c>
      <c r="AH9" s="445"/>
    </row>
    <row r="10" spans="1:34" ht="15" customHeight="1">
      <c r="A10" s="454">
        <f ca="1">A11-1%</f>
        <v>0.15712219070342359</v>
      </c>
      <c r="C10" s="451">
        <f ca="1">($F$7*A10+Rev_Year!$J$89*$F$7)*(1+Rev_Year!$J$97)/$F$7</f>
        <v>1.1931546820505902E-2</v>
      </c>
      <c r="D10" s="443">
        <f t="shared" ref="D10:H13" ca="1" si="6">$C10*D$7</f>
        <v>922.14569521429939</v>
      </c>
      <c r="E10" s="443">
        <f t="shared" ca="1" si="6"/>
        <v>959.2488129562413</v>
      </c>
      <c r="F10" s="443">
        <f t="shared" ca="1" si="6"/>
        <v>996.3519306981832</v>
      </c>
      <c r="G10" s="443">
        <f t="shared" ca="1" si="6"/>
        <v>1033.4550484401252</v>
      </c>
      <c r="H10" s="443">
        <f t="shared" ca="1" si="6"/>
        <v>1070.558166182067</v>
      </c>
      <c r="I10" s="442"/>
      <c r="J10" s="3464"/>
      <c r="K10" s="469">
        <f ca="1">K11-0.5%</f>
        <v>0.24249999999999999</v>
      </c>
      <c r="L10" s="443">
        <f ca="1">(L$6*$K10+Rev_Year!$J$112)-Rev_Year!$J$117</f>
        <v>-1337.3746520618572</v>
      </c>
      <c r="M10" s="443">
        <f ca="1">(M$6*$K10+Rev_Year!$J$112)-Rev_Year!$J$117</f>
        <v>-838.89165206185612</v>
      </c>
      <c r="N10" s="444">
        <f ca="1">(N$6*$K10+Rev_Year!$J$112)-Rev_Year!$J$117</f>
        <v>339.16364793814478</v>
      </c>
      <c r="O10" s="443">
        <f ca="1">(O$6*$K10+Rev_Year!$J$112)-Rev_Year!$J$117</f>
        <v>837.64664793814313</v>
      </c>
      <c r="P10" s="443">
        <f ca="1">(P$6*$K10+Rev_Year!$J$112)-Rev_Year!$J$117</f>
        <v>1336.1296479381442</v>
      </c>
      <c r="Q10" s="475">
        <f ca="1">(Q$6*$K10+Rev_Year!$J$112)-Rev_Year!$J$117</f>
        <v>1834.6126479381462</v>
      </c>
      <c r="R10" s="475">
        <f ca="1">(R$6*$K10+Rev_Year!$J$112)-Rev_Year!$J$117</f>
        <v>2333.0956479381466</v>
      </c>
      <c r="S10" s="475">
        <f ca="1">(S$6*$K10+Rev_Year!$J$112)-Rev_Year!$J$117</f>
        <v>2831.578647938145</v>
      </c>
      <c r="T10" s="475">
        <f ca="1">(T$6*$K10+Rev_Year!$J$112)-Rev_Year!$J$117</f>
        <v>3330.061647938147</v>
      </c>
      <c r="U10" s="445" t="s">
        <v>2839</v>
      </c>
      <c r="W10" s="3464"/>
      <c r="X10" s="469">
        <f>X11-0.5%</f>
        <v>-0.01</v>
      </c>
      <c r="Y10" s="443">
        <f ca="1">(Y$6*$K10+Rev_Year!$J$112)-Rev_Year!$J$117</f>
        <v>-1337.3746520618572</v>
      </c>
      <c r="Z10" s="443">
        <f ca="1">(Z$6*$K10+Rev_Year!$J$112)-Rev_Year!$J$117</f>
        <v>-838.89165206185612</v>
      </c>
      <c r="AA10" s="444">
        <f ca="1">(AA$6*$K10+Rev_Year!$J$112)-Rev_Year!$J$117</f>
        <v>-999.33017368657079</v>
      </c>
      <c r="AB10" s="443">
        <f ca="1">(AB$6*$K10+Rev_Year!$J$112)-Rev_Year!$J$117</f>
        <v>-500.8471736865697</v>
      </c>
      <c r="AC10" s="443">
        <f ca="1">(AC$6*$K10+Rev_Year!$J$112)-Rev_Year!$J$117</f>
        <v>-2.3641736865704388</v>
      </c>
      <c r="AD10" s="475">
        <f ca="1">(AD$6*$K10+Rev_Year!$J$112)-Rev_Year!$J$117</f>
        <v>496.11882631343065</v>
      </c>
      <c r="AE10" s="475">
        <f ca="1">(AE$6*$K10+Rev_Year!$J$112)-Rev_Year!$J$117</f>
        <v>994.60182631343082</v>
      </c>
      <c r="AF10" s="475">
        <f ca="1">(AF$6*$K10+Rev_Year!$J$112)-Rev_Year!$J$117</f>
        <v>1493.084826313431</v>
      </c>
      <c r="AG10" s="475">
        <f ca="1">(AG$6*$K10+Rev_Year!$J$112)-Rev_Year!$J$117</f>
        <v>1991.5678263134312</v>
      </c>
      <c r="AH10" s="445" t="s">
        <v>2839</v>
      </c>
    </row>
    <row r="11" spans="1:34" ht="15" customHeight="1">
      <c r="A11" s="454">
        <f ca="1">Rev_Year!J87</f>
        <v>0.1671221907034236</v>
      </c>
      <c r="C11" s="451">
        <f ca="1">Rev_Year!J99</f>
        <v>2.4997653028225125E-2</v>
      </c>
      <c r="D11" s="443">
        <f t="shared" ca="1" si="6"/>
        <v>1931.9773435261181</v>
      </c>
      <c r="E11" s="443">
        <f ca="1">$C11*E$7</f>
        <v>2009.7116790260582</v>
      </c>
      <c r="F11" s="443">
        <f ca="1">$C11*F$7</f>
        <v>2087.4460145259982</v>
      </c>
      <c r="G11" s="443">
        <f t="shared" ca="1" si="6"/>
        <v>2165.180350025938</v>
      </c>
      <c r="H11" s="443">
        <f t="shared" ca="1" si="6"/>
        <v>2242.9146855258782</v>
      </c>
      <c r="I11" s="442"/>
      <c r="J11" s="3464"/>
      <c r="K11" s="469">
        <f ca="1">K12-0.5%</f>
        <v>0.2475</v>
      </c>
      <c r="L11" s="443">
        <f ca="1">(L$6*$K11+Rev_Year!$J$112)-Rev_Year!$J$117</f>
        <v>-1214.038652061857</v>
      </c>
      <c r="M11" s="443">
        <f ca="1">(M$6*$K11+Rev_Year!$J$112)-Rev_Year!$J$117</f>
        <v>-705.27765206185563</v>
      </c>
      <c r="N11" s="444">
        <f ca="1">(N$6*$K11+Rev_Year!$J$112)-Rev_Year!$J$117</f>
        <v>497.06744793814482</v>
      </c>
      <c r="O11" s="443">
        <f ca="1">(O$6*$K11+Rev_Year!$J$112)-Rev_Year!$J$117</f>
        <v>1005.8284479381443</v>
      </c>
      <c r="P11" s="475">
        <f ca="1">(P$6*$K11+Rev_Year!$J$112)-Rev_Year!$J$117</f>
        <v>1514.5894479381448</v>
      </c>
      <c r="Q11" s="475">
        <f ca="1">(Q$6*$K11+Rev_Year!$J$112)-Rev_Year!$J$117</f>
        <v>2023.350447938147</v>
      </c>
      <c r="R11" s="475">
        <f ca="1">(R$6*$K11+Rev_Year!$J$112)-Rev_Year!$J$117</f>
        <v>2532.1114479381458</v>
      </c>
      <c r="S11" s="475">
        <f ca="1">(S$6*$K11+Rev_Year!$J$112)-Rev_Year!$J$117</f>
        <v>3040.8724479381463</v>
      </c>
      <c r="T11" s="475">
        <f ca="1">(T$6*$K11+Rev_Year!$J$112)-Rev_Year!$J$117</f>
        <v>3549.6334479381467</v>
      </c>
      <c r="U11" s="445"/>
      <c r="W11" s="3464"/>
      <c r="X11" s="469">
        <f>X12-0.5%</f>
        <v>-5.0000000000000001E-3</v>
      </c>
      <c r="Y11" s="443">
        <f ca="1">(Y$6*$K11+Rev_Year!$J$112)-Rev_Year!$J$117</f>
        <v>-1214.038652061857</v>
      </c>
      <c r="Z11" s="443">
        <f ca="1">(Z$6*$K11+Rev_Year!$J$112)-Rev_Year!$J$117</f>
        <v>-705.27765206185563</v>
      </c>
      <c r="AA11" s="444">
        <f ca="1">(AA$6*$K11+Rev_Year!$J$112)-Rev_Year!$J$117</f>
        <v>-869.02418444171894</v>
      </c>
      <c r="AB11" s="443">
        <f ca="1">(AB$6*$K11+Rev_Year!$J$112)-Rev_Year!$J$117</f>
        <v>-360.26318444171852</v>
      </c>
      <c r="AC11" s="475">
        <f ca="1">(AC$6*$K11+Rev_Year!$J$112)-Rev_Year!$J$117</f>
        <v>148.49781555828099</v>
      </c>
      <c r="AD11" s="475">
        <f ca="1">(AD$6*$K11+Rev_Year!$J$112)-Rev_Year!$J$117</f>
        <v>657.25881555828232</v>
      </c>
      <c r="AE11" s="475">
        <f ca="1">(AE$6*$K11+Rev_Year!$J$112)-Rev_Year!$J$117</f>
        <v>1166.0198155582827</v>
      </c>
      <c r="AF11" s="475">
        <f ca="1">(AF$6*$K11+Rev_Year!$J$112)-Rev_Year!$J$117</f>
        <v>1674.7808155582832</v>
      </c>
      <c r="AG11" s="475">
        <f ca="1">(AG$6*$K11+Rev_Year!$J$112)-Rev_Year!$J$117</f>
        <v>2183.541815558282</v>
      </c>
      <c r="AH11" s="445"/>
    </row>
    <row r="12" spans="1:34" ht="15" customHeight="1">
      <c r="A12" s="454">
        <f ca="1">A11+1%</f>
        <v>0.17712219070342361</v>
      </c>
      <c r="C12" s="451">
        <f ca="1">($F$7*A12+Rev_Year!$J$89*$F$7)*(1+Rev_Year!$J$97)/$F$7</f>
        <v>2.7842765459917193E-2</v>
      </c>
      <c r="D12" s="443">
        <f t="shared" ca="1" si="6"/>
        <v>2151.8656967090028</v>
      </c>
      <c r="E12" s="443">
        <f t="shared" ca="1" si="6"/>
        <v>2238.4473797599503</v>
      </c>
      <c r="F12" s="443">
        <f t="shared" ca="1" si="6"/>
        <v>2325.0290628108978</v>
      </c>
      <c r="G12" s="443">
        <f t="shared" ca="1" si="6"/>
        <v>2411.6107458618453</v>
      </c>
      <c r="H12" s="443">
        <f t="shared" ca="1" si="6"/>
        <v>2498.1924289127924</v>
      </c>
      <c r="I12" s="442"/>
      <c r="J12" s="3464"/>
      <c r="K12" s="470">
        <f ca="1">Rev_Year!J111</f>
        <v>0.2525</v>
      </c>
      <c r="L12" s="443">
        <f ca="1">(L$6*$K12+Rev_Year!$J$112)-Rev_Year!$J$117</f>
        <v>-1090.7026520618576</v>
      </c>
      <c r="M12" s="443">
        <f ca="1">(M$6*$K12+Rev_Year!$J$112)-Rev_Year!$J$117</f>
        <v>-571.66365206185606</v>
      </c>
      <c r="N12" s="471">
        <f ca="1">(N$6*$K12+Rev_Year!$J$112)-Rev_Year!$J$117</f>
        <v>654.97124793814487</v>
      </c>
      <c r="O12" s="443">
        <f ca="1">(O$6*$K12+Rev_Year!$J$112)-Rev_Year!$J$117</f>
        <v>1174.0102479381428</v>
      </c>
      <c r="P12" s="475">
        <f ca="1">(P$6*$K12+Rev_Year!$J$112)-Rev_Year!$J$117</f>
        <v>1693.0492479381453</v>
      </c>
      <c r="Q12" s="475">
        <f ca="1">(Q$6*$K12+Rev_Year!$J$112)-Rev_Year!$J$117</f>
        <v>2212.0882479381462</v>
      </c>
      <c r="R12" s="475">
        <f ca="1">(R$6*$K12+Rev_Year!$J$112)-Rev_Year!$J$117</f>
        <v>2731.1272479381469</v>
      </c>
      <c r="S12" s="475">
        <f ca="1">(S$6*$K12+Rev_Year!$J$112)-Rev_Year!$J$117</f>
        <v>3250.1662479381457</v>
      </c>
      <c r="T12" s="475">
        <f ca="1">(T$6*$K12+Rev_Year!$J$112)-Rev_Year!$J$117</f>
        <v>3769.2052479381482</v>
      </c>
      <c r="U12" s="445" t="s">
        <v>2840</v>
      </c>
      <c r="W12" s="3464"/>
      <c r="X12" s="470">
        <f>Rev_Year!Y111</f>
        <v>0</v>
      </c>
      <c r="Y12" s="443">
        <f ca="1">(Y$6*$K12+Rev_Year!$J$112)-Rev_Year!$J$117</f>
        <v>-1090.7026520618576</v>
      </c>
      <c r="Z12" s="443">
        <f ca="1">(Z$6*$K12+Rev_Year!$J$112)-Rev_Year!$J$117</f>
        <v>-571.66365206185606</v>
      </c>
      <c r="AA12" s="471">
        <f ca="1">(AA$6*$K12+Rev_Year!$J$112)-Rev_Year!$J$117</f>
        <v>-738.71819519686801</v>
      </c>
      <c r="AB12" s="443">
        <f ca="1">(AB$6*$K12+Rev_Year!$J$112)-Rev_Year!$J$117</f>
        <v>-219.67919519686734</v>
      </c>
      <c r="AC12" s="475">
        <f ca="1">(AC$6*$K12+Rev_Year!$J$112)-Rev_Year!$J$117</f>
        <v>299.35980480313242</v>
      </c>
      <c r="AD12" s="475">
        <f ca="1">(AD$6*$K12+Rev_Year!$J$112)-Rev_Year!$J$117</f>
        <v>818.398804803134</v>
      </c>
      <c r="AE12" s="475">
        <f ca="1">(AE$6*$K12+Rev_Year!$J$112)-Rev_Year!$J$117</f>
        <v>1337.4378048031347</v>
      </c>
      <c r="AF12" s="475">
        <f ca="1">(AF$6*$K12+Rev_Year!$J$112)-Rev_Year!$J$117</f>
        <v>1856.4768048031335</v>
      </c>
      <c r="AG12" s="475">
        <f ca="1">(AG$6*$K12+Rev_Year!$J$112)-Rev_Year!$J$117</f>
        <v>2375.5158048031344</v>
      </c>
      <c r="AH12" s="445" t="s">
        <v>2840</v>
      </c>
    </row>
    <row r="13" spans="1:34" ht="15" customHeight="1">
      <c r="A13" s="454">
        <f ca="1">A12+1%</f>
        <v>0.18712219070342362</v>
      </c>
      <c r="C13" s="451">
        <f ca="1">($F$7*A13+Rev_Year!$J$89*$F$7)*(1+Rev_Year!$J$97)/$F$7</f>
        <v>3.5798374779622825E-2</v>
      </c>
      <c r="D13" s="443">
        <f t="shared" ca="1" si="6"/>
        <v>2766.7256974563538</v>
      </c>
      <c r="E13" s="443">
        <f t="shared" ca="1" si="6"/>
        <v>2878.0466631618037</v>
      </c>
      <c r="F13" s="443">
        <f t="shared" ca="1" si="6"/>
        <v>2989.3676288672541</v>
      </c>
      <c r="G13" s="443">
        <f t="shared" ca="1" si="6"/>
        <v>3100.688594572704</v>
      </c>
      <c r="H13" s="443">
        <f t="shared" ca="1" si="6"/>
        <v>3212.0095602781539</v>
      </c>
      <c r="I13" s="442"/>
      <c r="J13" s="3464"/>
      <c r="K13" s="469">
        <f ca="1">K12+0.5%</f>
        <v>0.25750000000000001</v>
      </c>
      <c r="L13" s="443">
        <f ca="1">(L$6*$K13+Rev_Year!$J$112)-Rev_Year!$J$117</f>
        <v>-967.36665206185739</v>
      </c>
      <c r="M13" s="443">
        <f ca="1">(M$6*$K13+Rev_Year!$J$112)-Rev_Year!$J$117</f>
        <v>-438.04965206185557</v>
      </c>
      <c r="N13" s="444">
        <f ca="1">(N$6*$K13+Rev_Year!$J$112)-Rev_Year!$J$117</f>
        <v>812.87504793814492</v>
      </c>
      <c r="O13" s="475">
        <f ca="1">(O$6*$K13+Rev_Year!$J$112)-Rev_Year!$J$117</f>
        <v>1342.1920479381431</v>
      </c>
      <c r="P13" s="475">
        <f ca="1">(P$6*$K13+Rev_Year!$J$112)-Rev_Year!$J$117</f>
        <v>1871.5090479381458</v>
      </c>
      <c r="Q13" s="475">
        <f ca="1">(Q$6*$K13+Rev_Year!$J$112)-Rev_Year!$J$117</f>
        <v>2400.826047938147</v>
      </c>
      <c r="R13" s="475">
        <f ca="1">(R$6*$K13+Rev_Year!$J$112)-Rev_Year!$J$117</f>
        <v>2930.1430479381461</v>
      </c>
      <c r="S13" s="475">
        <f ca="1">(S$6*$K13+Rev_Year!$J$112)-Rev_Year!$J$117</f>
        <v>3459.460047938147</v>
      </c>
      <c r="T13" s="475">
        <f ca="1">(T$6*$K13+Rev_Year!$J$112)-Rev_Year!$J$117</f>
        <v>3988.7770479381479</v>
      </c>
      <c r="U13" s="445"/>
      <c r="W13" s="3464"/>
      <c r="X13" s="469">
        <f>X12+0.5%</f>
        <v>5.0000000000000001E-3</v>
      </c>
      <c r="Y13" s="443">
        <f ca="1">(Y$6*$K13+Rev_Year!$J$112)-Rev_Year!$J$117</f>
        <v>-967.36665206185739</v>
      </c>
      <c r="Z13" s="443">
        <f ca="1">(Z$6*$K13+Rev_Year!$J$112)-Rev_Year!$J$117</f>
        <v>-438.04965206185557</v>
      </c>
      <c r="AA13" s="444">
        <f ca="1">(AA$6*$K13+Rev_Year!$J$112)-Rev_Year!$J$117</f>
        <v>-608.41220595201617</v>
      </c>
      <c r="AB13" s="475">
        <f ca="1">(AB$6*$K13+Rev_Year!$J$112)-Rev_Year!$J$117</f>
        <v>-79.095205952016158</v>
      </c>
      <c r="AC13" s="475">
        <f ca="1">(AC$6*$K13+Rev_Year!$J$112)-Rev_Year!$J$117</f>
        <v>450.22179404798385</v>
      </c>
      <c r="AD13" s="475">
        <f ca="1">(AD$6*$K13+Rev_Year!$J$112)-Rev_Year!$J$117</f>
        <v>979.53879404798568</v>
      </c>
      <c r="AE13" s="475">
        <f ca="1">(AE$6*$K13+Rev_Year!$J$112)-Rev_Year!$J$117</f>
        <v>1508.8557940479866</v>
      </c>
      <c r="AF13" s="475">
        <f ca="1">(AF$6*$K13+Rev_Year!$J$112)-Rev_Year!$J$117</f>
        <v>2038.1727940479857</v>
      </c>
      <c r="AG13" s="475">
        <f ca="1">(AG$6*$K13+Rev_Year!$J$112)-Rev_Year!$J$117</f>
        <v>2567.489794047985</v>
      </c>
      <c r="AH13" s="445"/>
    </row>
    <row r="14" spans="1:34" ht="15" customHeight="1">
      <c r="A14" s="442"/>
      <c r="C14" s="442"/>
      <c r="D14" s="442"/>
      <c r="E14" s="442"/>
      <c r="F14" s="442"/>
      <c r="G14" s="442"/>
      <c r="H14" s="442"/>
      <c r="I14" s="442"/>
      <c r="J14" s="3464"/>
      <c r="K14" s="469">
        <f ca="1">K13+0.5%</f>
        <v>0.26250000000000001</v>
      </c>
      <c r="L14" s="443">
        <f ca="1">(L$6*$K14+Rev_Year!$J$112)-Rev_Year!$J$117</f>
        <v>-844.03065206185715</v>
      </c>
      <c r="M14" s="443">
        <f ca="1">(M$6*$K14+Rev_Year!$J$112)-Rev_Year!$J$117</f>
        <v>-304.43565206185508</v>
      </c>
      <c r="N14" s="444">
        <f ca="1">(N$6*$K14+Rev_Year!$J$112)-Rev_Year!$J$117</f>
        <v>970.77884793814587</v>
      </c>
      <c r="O14" s="475">
        <f ca="1">(O$6*$K14+Rev_Year!$J$112)-Rev_Year!$J$117</f>
        <v>1510.3738479381434</v>
      </c>
      <c r="P14" s="475">
        <f ca="1">(P$6*$K14+Rev_Year!$J$112)-Rev_Year!$J$117</f>
        <v>2049.9688479381466</v>
      </c>
      <c r="Q14" s="475">
        <f ca="1">(Q$6*$K14+Rev_Year!$J$112)-Rev_Year!$J$117</f>
        <v>2589.5638479381478</v>
      </c>
      <c r="R14" s="475">
        <f ca="1">(R$6*$K14+Rev_Year!$J$112)-Rev_Year!$J$117</f>
        <v>3129.1588479381471</v>
      </c>
      <c r="S14" s="475">
        <f ca="1">(S$6*$K14+Rev_Year!$J$112)-Rev_Year!$J$117</f>
        <v>3668.7538479381465</v>
      </c>
      <c r="T14" s="475">
        <f ca="1">(T$6*$K14+Rev_Year!$J$112)-Rev_Year!$J$117</f>
        <v>4208.3488479381476</v>
      </c>
      <c r="U14" s="445"/>
      <c r="W14" s="3464"/>
      <c r="X14" s="469">
        <f>X13+0.5%</f>
        <v>0.01</v>
      </c>
      <c r="Y14" s="443">
        <f ca="1">(Y$6*$K14+Rev_Year!$J$112)-Rev_Year!$J$117</f>
        <v>-844.03065206185715</v>
      </c>
      <c r="Z14" s="443">
        <f ca="1">(Z$6*$K14+Rev_Year!$J$112)-Rev_Year!$J$117</f>
        <v>-304.43565206185508</v>
      </c>
      <c r="AA14" s="444">
        <f ca="1">(AA$6*$K14+Rev_Year!$J$112)-Rev_Year!$J$117</f>
        <v>-478.10621670716523</v>
      </c>
      <c r="AB14" s="475">
        <f ca="1">(AB$6*$K14+Rev_Year!$J$112)-Rev_Year!$J$117</f>
        <v>61.488783292835933</v>
      </c>
      <c r="AC14" s="475">
        <f ca="1">(AC$6*$K14+Rev_Year!$J$112)-Rev_Year!$J$117</f>
        <v>601.08378329283528</v>
      </c>
      <c r="AD14" s="475">
        <f ca="1">(AD$6*$K14+Rev_Year!$J$112)-Rev_Year!$J$117</f>
        <v>1140.6787832928374</v>
      </c>
      <c r="AE14" s="475">
        <f ca="1">(AE$6*$K14+Rev_Year!$J$112)-Rev_Year!$J$117</f>
        <v>1680.2737832928367</v>
      </c>
      <c r="AF14" s="475">
        <f ca="1">(AF$6*$K14+Rev_Year!$J$112)-Rev_Year!$J$117</f>
        <v>2219.8687832928381</v>
      </c>
      <c r="AG14" s="475">
        <f ca="1">(AG$6*$K14+Rev_Year!$J$112)-Rev_Year!$J$117</f>
        <v>2759.4637832928374</v>
      </c>
      <c r="AH14" s="445"/>
    </row>
    <row r="15" spans="1:34" ht="15" customHeight="1">
      <c r="A15" s="472" t="s">
        <v>2841</v>
      </c>
      <c r="B15" s="3463" t="s">
        <v>2842</v>
      </c>
      <c r="C15" s="452" t="str">
        <f t="shared" ref="C15:H15" si="7">C8</f>
        <v>%DT/%BLNHĐ</v>
      </c>
      <c r="D15" s="452">
        <f t="shared" ca="1" si="7"/>
        <v>-0.25439228452877954</v>
      </c>
      <c r="E15" s="452">
        <f t="shared" ca="1" si="7"/>
        <v>-0.22439228452877955</v>
      </c>
      <c r="F15" s="452">
        <f t="shared" ca="1" si="7"/>
        <v>-0.19439228452877955</v>
      </c>
      <c r="G15" s="452">
        <f t="shared" ca="1" si="7"/>
        <v>-0.16439228452877955</v>
      </c>
      <c r="H15" s="452">
        <f t="shared" ca="1" si="7"/>
        <v>-0.13439228452877955</v>
      </c>
      <c r="I15" s="442"/>
      <c r="J15" s="3464"/>
      <c r="K15" s="469">
        <f ca="1">K14+0.5%</f>
        <v>0.26750000000000002</v>
      </c>
      <c r="L15" s="443">
        <f ca="1">(L$6*$K15+Rev_Year!$J$112)-Rev_Year!$J$117</f>
        <v>-720.69465206185691</v>
      </c>
      <c r="M15" s="443">
        <f ca="1">(M$6*$K15+Rev_Year!$J$112)-Rev_Year!$J$117</f>
        <v>-170.8216520618555</v>
      </c>
      <c r="N15" s="444">
        <f ca="1">(N$6*$K15+Rev_Year!$J$112)-Rev_Year!$J$117</f>
        <v>1128.6826479381459</v>
      </c>
      <c r="O15" s="475">
        <f ca="1">(O$6*$K15+Rev_Year!$J$112)-Rev_Year!$J$117</f>
        <v>1678.5556479381437</v>
      </c>
      <c r="P15" s="475">
        <f ca="1">(P$6*$K15+Rev_Year!$J$112)-Rev_Year!$J$117</f>
        <v>2228.4286479381453</v>
      </c>
      <c r="Q15" s="475">
        <f ca="1">(Q$6*$K15+Rev_Year!$J$112)-Rev_Year!$J$117</f>
        <v>2778.3016479381467</v>
      </c>
      <c r="R15" s="475">
        <f ca="1">(R$6*$K15+Rev_Year!$J$112)-Rev_Year!$J$117</f>
        <v>3328.1746479381463</v>
      </c>
      <c r="S15" s="475">
        <f ca="1">(S$6*$K15+Rev_Year!$J$112)-Rev_Year!$J$117</f>
        <v>3878.0476479381459</v>
      </c>
      <c r="T15" s="475">
        <f ca="1">(T$6*$K15+Rev_Year!$J$112)-Rev_Year!$J$117</f>
        <v>4427.9206479381492</v>
      </c>
      <c r="U15" s="445"/>
      <c r="W15" s="3464"/>
      <c r="X15" s="469">
        <f>X14+0.5%</f>
        <v>1.4999999999999999E-2</v>
      </c>
      <c r="Y15" s="443">
        <f ca="1">(Y$6*$K15+Rev_Year!$J$112)-Rev_Year!$J$117</f>
        <v>-720.69465206185691</v>
      </c>
      <c r="Z15" s="443">
        <f ca="1">(Z$6*$K15+Rev_Year!$J$112)-Rev_Year!$J$117</f>
        <v>-170.8216520618555</v>
      </c>
      <c r="AA15" s="444">
        <f ca="1">(AA$6*$K15+Rev_Year!$J$112)-Rev_Year!$J$117</f>
        <v>-347.80022746231339</v>
      </c>
      <c r="AB15" s="475">
        <f ca="1">(AB$6*$K15+Rev_Year!$J$112)-Rev_Year!$J$117</f>
        <v>202.07277253768711</v>
      </c>
      <c r="AC15" s="475">
        <f ca="1">(AC$6*$K15+Rev_Year!$J$112)-Rev_Year!$J$117</f>
        <v>751.94577253768671</v>
      </c>
      <c r="AD15" s="475">
        <f ca="1">(AD$6*$K15+Rev_Year!$J$112)-Rev_Year!$J$117</f>
        <v>1301.818772537689</v>
      </c>
      <c r="AE15" s="475">
        <f ca="1">(AE$6*$K15+Rev_Year!$J$112)-Rev_Year!$J$117</f>
        <v>1851.6917725376886</v>
      </c>
      <c r="AF15" s="475">
        <f ca="1">(AF$6*$K15+Rev_Year!$J$112)-Rev_Year!$J$117</f>
        <v>2401.5647725376884</v>
      </c>
      <c r="AG15" s="475">
        <f ca="1">(AG$6*$K15+Rev_Year!$J$112)-Rev_Year!$J$117</f>
        <v>2951.437772537688</v>
      </c>
      <c r="AH15" s="445"/>
    </row>
    <row r="16" spans="1:34" ht="15" customHeight="1">
      <c r="A16" s="472"/>
      <c r="B16" s="3463"/>
      <c r="C16" s="451">
        <f ca="1">C9</f>
        <v>3.9759375008002655E-3</v>
      </c>
      <c r="D16" s="453">
        <f t="shared" ref="D16:H17" ca="1" si="8">D9+($F$18-$F$11)</f>
        <v>-1612.331165120052</v>
      </c>
      <c r="E16" s="453">
        <f t="shared" ca="1" si="8"/>
        <v>-1599.9673300326128</v>
      </c>
      <c r="F16" s="453">
        <f t="shared" ca="1" si="8"/>
        <v>-1587.6034949451737</v>
      </c>
      <c r="G16" s="453">
        <f t="shared" ca="1" si="8"/>
        <v>-1575.2396598577345</v>
      </c>
      <c r="H16" s="453">
        <f t="shared" ca="1" si="8"/>
        <v>-1562.8758247702954</v>
      </c>
      <c r="I16" s="442"/>
      <c r="J16" s="445"/>
      <c r="K16" s="3462" t="s">
        <v>2843</v>
      </c>
      <c r="L16" s="3462"/>
      <c r="M16" s="3462"/>
      <c r="N16" s="3462"/>
      <c r="O16" s="3462"/>
      <c r="P16" s="3462"/>
      <c r="Q16" s="3462"/>
      <c r="R16" s="3462"/>
      <c r="S16" s="3462"/>
      <c r="T16" s="3462"/>
      <c r="U16" s="445"/>
      <c r="W16" s="445"/>
      <c r="X16" s="3462" t="s">
        <v>2843</v>
      </c>
      <c r="Y16" s="3462"/>
      <c r="Z16" s="3462"/>
      <c r="AA16" s="3462"/>
      <c r="AB16" s="3462"/>
      <c r="AC16" s="3462"/>
      <c r="AD16" s="3462"/>
      <c r="AE16" s="3462"/>
      <c r="AF16" s="3462"/>
      <c r="AG16" s="3462"/>
      <c r="AH16" s="445"/>
    </row>
    <row r="17" spans="1:34" ht="15" customHeight="1">
      <c r="A17" s="472"/>
      <c r="B17" s="3463"/>
      <c r="C17" s="451">
        <f ca="1">C10</f>
        <v>1.1931546820505902E-2</v>
      </c>
      <c r="D17" s="453">
        <f t="shared" ca="1" si="8"/>
        <v>-997.47116437270097</v>
      </c>
      <c r="E17" s="453">
        <f t="shared" ca="1" si="8"/>
        <v>-960.36804663075907</v>
      </c>
      <c r="F17" s="453">
        <f t="shared" ca="1" si="8"/>
        <v>-923.26492888881717</v>
      </c>
      <c r="G17" s="453">
        <f t="shared" ca="1" si="8"/>
        <v>-886.16181114687515</v>
      </c>
      <c r="H17" s="453">
        <f t="shared" ca="1" si="8"/>
        <v>-849.05869340493336</v>
      </c>
      <c r="I17" s="442"/>
      <c r="J17" s="804" t="s">
        <v>2844</v>
      </c>
      <c r="K17" s="466" t="s">
        <v>201</v>
      </c>
      <c r="L17" s="467">
        <f t="shared" ref="L17:T17" si="9">L8</f>
        <v>1.2</v>
      </c>
      <c r="M17" s="467">
        <f t="shared" si="9"/>
        <v>1.3</v>
      </c>
      <c r="N17" s="468">
        <f t="shared" ca="1" si="9"/>
        <v>1.5363280793928782</v>
      </c>
      <c r="O17" s="467">
        <f t="shared" ca="1" si="9"/>
        <v>1.6363280793928783</v>
      </c>
      <c r="P17" s="467">
        <f t="shared" ca="1" si="9"/>
        <v>1.7363280793928784</v>
      </c>
      <c r="Q17" s="467">
        <f t="shared" ca="1" si="9"/>
        <v>1.8363280793928785</v>
      </c>
      <c r="R17" s="467">
        <f t="shared" ca="1" si="9"/>
        <v>1.9363280793928785</v>
      </c>
      <c r="S17" s="467">
        <f t="shared" ca="1" si="9"/>
        <v>2.0363280793928786</v>
      </c>
      <c r="T17" s="467">
        <f t="shared" ca="1" si="9"/>
        <v>2.1363280793928787</v>
      </c>
      <c r="U17" s="445"/>
      <c r="W17" s="804" t="s">
        <v>2844</v>
      </c>
      <c r="X17" s="466" t="s">
        <v>201</v>
      </c>
      <c r="Y17" s="467">
        <f t="shared" ref="Y17:AG17" si="10">Y8</f>
        <v>1.2</v>
      </c>
      <c r="Z17" s="467">
        <f t="shared" si="10"/>
        <v>1.3</v>
      </c>
      <c r="AA17" s="468">
        <f t="shared" si="10"/>
        <v>1.2678146453089245</v>
      </c>
      <c r="AB17" s="467">
        <f t="shared" si="10"/>
        <v>1.3678146453089246</v>
      </c>
      <c r="AC17" s="467">
        <f t="shared" si="10"/>
        <v>1.4678146453089247</v>
      </c>
      <c r="AD17" s="467">
        <f t="shared" si="10"/>
        <v>1.5678146453089248</v>
      </c>
      <c r="AE17" s="467">
        <f t="shared" si="10"/>
        <v>1.6678146453089249</v>
      </c>
      <c r="AF17" s="467">
        <f t="shared" si="10"/>
        <v>1.767814645308925</v>
      </c>
      <c r="AG17" s="467">
        <f t="shared" si="10"/>
        <v>1.867814645308925</v>
      </c>
      <c r="AH17" s="445"/>
    </row>
    <row r="18" spans="1:34" ht="15" customHeight="1">
      <c r="A18" s="472"/>
      <c r="B18" s="3463"/>
      <c r="C18" s="451">
        <f ca="1">C11</f>
        <v>2.4997653028225125E-2</v>
      </c>
      <c r="D18" s="453">
        <f t="shared" ref="D18:E20" ca="1" si="11">D11+($F$18-$F$11)</f>
        <v>12.360483939117785</v>
      </c>
      <c r="E18" s="453">
        <f t="shared" ca="1" si="11"/>
        <v>90.094819439057801</v>
      </c>
      <c r="F18" s="453">
        <f>FS!N101</f>
        <v>167.82915493899793</v>
      </c>
      <c r="G18" s="453">
        <f t="shared" ref="G18:H20" ca="1" si="12">G11+($F$18-$F$11)</f>
        <v>245.56349043893761</v>
      </c>
      <c r="H18" s="453">
        <f t="shared" ca="1" si="12"/>
        <v>323.29782593887785</v>
      </c>
      <c r="I18" s="442"/>
      <c r="J18" s="3463" t="s">
        <v>2842</v>
      </c>
      <c r="K18" s="473">
        <f ca="1">K9</f>
        <v>0.23749999999999999</v>
      </c>
      <c r="L18" s="443">
        <f ca="1">(L$6*$K9+Rev_Year!$J$112)</f>
        <v>-2915.9562527750004</v>
      </c>
      <c r="M18" s="542">
        <f ca="1">(M$6*$K9+Rev_Year!$J$112)</f>
        <v>-2427.7512527749996</v>
      </c>
      <c r="N18" s="897">
        <f ca="1">(N$6*$K9+Rev_Year!$J$112)</f>
        <v>-1273.9857527749982</v>
      </c>
      <c r="O18" s="542">
        <f ca="1">(O$6*$K9+Rev_Year!$J$112)</f>
        <v>-785.78075277500011</v>
      </c>
      <c r="P18" s="542">
        <f ca="1">(P$6*$K9+Rev_Year!$J$112)</f>
        <v>-297.57575277499927</v>
      </c>
      <c r="Q18" s="475">
        <f ca="1">(Q$6*$K9+Rev_Year!$J$112)</f>
        <v>190.62924722500247</v>
      </c>
      <c r="R18" s="475">
        <f ca="1">(R$6*$K9+Rev_Year!$J$112)</f>
        <v>678.8342472250024</v>
      </c>
      <c r="S18" s="475">
        <f ca="1">(S$6*$K9+Rev_Year!$J$112)</f>
        <v>1167.0392472250023</v>
      </c>
      <c r="T18" s="475">
        <f ca="1">(T$6*$K9+Rev_Year!$J$112)</f>
        <v>1655.2442472250041</v>
      </c>
      <c r="U18" s="445"/>
      <c r="W18" s="3463" t="s">
        <v>2842</v>
      </c>
      <c r="X18" s="473">
        <f>X9</f>
        <v>-1.4999999999999999E-2</v>
      </c>
      <c r="Y18" s="443">
        <f ca="1">(Y$6*$K9+Rev_Year!$J$112)</f>
        <v>-2915.9562527750004</v>
      </c>
      <c r="Z18" s="542">
        <f ca="1">(Z$6*$K9+Rev_Year!$J$112)</f>
        <v>-2427.7512527749996</v>
      </c>
      <c r="AA18" s="897">
        <f ca="1">(AA$6*$K9+Rev_Year!$J$112)</f>
        <v>-2584.8817636445647</v>
      </c>
      <c r="AB18" s="542">
        <f ca="1">(AB$6*$K9+Rev_Year!$J$112)</f>
        <v>-2096.6767636445647</v>
      </c>
      <c r="AC18" s="542">
        <f ca="1">(AC$6*$K9+Rev_Year!$J$112)</f>
        <v>-1608.4717636445648</v>
      </c>
      <c r="AD18" s="475">
        <f ca="1">(AD$6*$K9+Rev_Year!$J$112)</f>
        <v>-1120.2667636445631</v>
      </c>
      <c r="AE18" s="475">
        <f ca="1">(AE$6*$K9+Rev_Year!$J$112)</f>
        <v>-632.06176364456314</v>
      </c>
      <c r="AF18" s="475">
        <f ca="1">(AF$6*$K9+Rev_Year!$J$112)</f>
        <v>-143.85676364456413</v>
      </c>
      <c r="AG18" s="475">
        <f ca="1">(AG$6*$K9+Rev_Year!$J$112)</f>
        <v>344.3482363554358</v>
      </c>
      <c r="AH18" s="445"/>
    </row>
    <row r="19" spans="1:34" ht="15" customHeight="1">
      <c r="A19" s="472"/>
      <c r="B19" s="3463"/>
      <c r="C19" s="451">
        <f ca="1">C12</f>
        <v>2.7842765459917193E-2</v>
      </c>
      <c r="D19" s="453">
        <f t="shared" ca="1" si="11"/>
        <v>232.24883712200244</v>
      </c>
      <c r="E19" s="453">
        <f t="shared" ca="1" si="11"/>
        <v>318.83052017294995</v>
      </c>
      <c r="F19" s="453">
        <f ca="1">F12+($F$18-$F$11)</f>
        <v>405.41220322389745</v>
      </c>
      <c r="G19" s="453">
        <f t="shared" ca="1" si="12"/>
        <v>491.99388627484495</v>
      </c>
      <c r="H19" s="453">
        <f t="shared" ca="1" si="12"/>
        <v>578.575569325792</v>
      </c>
      <c r="I19" s="442"/>
      <c r="J19" s="3463"/>
      <c r="K19" s="473">
        <f t="shared" ref="K19:K24" ca="1" si="13">K10</f>
        <v>0.24249999999999999</v>
      </c>
      <c r="L19" s="443">
        <f ca="1">(L$6*$K10+Rev_Year!$J$112)</f>
        <v>-2792.6202527750002</v>
      </c>
      <c r="M19" s="542">
        <f ca="1">(M$6*$K10+Rev_Year!$J$112)</f>
        <v>-2294.1372527749991</v>
      </c>
      <c r="N19" s="897">
        <f ca="1">(N$6*$K10+Rev_Year!$J$112)</f>
        <v>-1116.0819527749982</v>
      </c>
      <c r="O19" s="542">
        <f ca="1">(O$6*$K10+Rev_Year!$J$112)</f>
        <v>-617.59895277499982</v>
      </c>
      <c r="P19" s="542">
        <f ca="1">(P$6*$K10+Rev_Year!$J$112)</f>
        <v>-119.11595277499873</v>
      </c>
      <c r="Q19" s="475">
        <f ca="1">(Q$6*$K10+Rev_Year!$J$112)</f>
        <v>379.36704722500326</v>
      </c>
      <c r="R19" s="475">
        <f ca="1">(R$6*$K10+Rev_Year!$J$112)</f>
        <v>877.85004722500344</v>
      </c>
      <c r="S19" s="475">
        <f ca="1">(S$6*$K10+Rev_Year!$J$112)</f>
        <v>1376.3330472250018</v>
      </c>
      <c r="T19" s="475">
        <f ca="1">(T$6*$K10+Rev_Year!$J$112)</f>
        <v>1874.8160472250038</v>
      </c>
      <c r="U19" s="445"/>
      <c r="W19" s="3463"/>
      <c r="X19" s="473">
        <f t="shared" ref="X19:X24" si="14">X10</f>
        <v>-0.01</v>
      </c>
      <c r="Y19" s="443">
        <f ca="1">(Y$6*$K10+Rev_Year!$J$112)</f>
        <v>-2792.6202527750002</v>
      </c>
      <c r="Z19" s="542">
        <f ca="1">(Z$6*$K10+Rev_Year!$J$112)</f>
        <v>-2294.1372527749991</v>
      </c>
      <c r="AA19" s="897">
        <f ca="1">(AA$6*$K10+Rev_Year!$J$112)</f>
        <v>-2454.5757743997137</v>
      </c>
      <c r="AB19" s="542">
        <f ca="1">(AB$6*$K10+Rev_Year!$J$112)</f>
        <v>-1956.0927743997127</v>
      </c>
      <c r="AC19" s="542">
        <f ca="1">(AC$6*$K10+Rev_Year!$J$112)</f>
        <v>-1457.6097743997134</v>
      </c>
      <c r="AD19" s="475">
        <f ca="1">(AD$6*$K10+Rev_Year!$J$112)</f>
        <v>-959.1267743997123</v>
      </c>
      <c r="AE19" s="475">
        <f ca="1">(AE$6*$K10+Rev_Year!$J$112)</f>
        <v>-460.64377439971213</v>
      </c>
      <c r="AF19" s="475">
        <f ca="1">(AF$6*$K10+Rev_Year!$J$112)</f>
        <v>37.839225600288046</v>
      </c>
      <c r="AG19" s="475">
        <f ca="1">(AG$6*$K10+Rev_Year!$J$112)</f>
        <v>536.32222560028822</v>
      </c>
      <c r="AH19" s="445"/>
    </row>
    <row r="20" spans="1:34" ht="15" customHeight="1">
      <c r="A20" s="472"/>
      <c r="B20" s="3463"/>
      <c r="C20" s="451">
        <f ca="1">C13</f>
        <v>3.5798374779622825E-2</v>
      </c>
      <c r="D20" s="453">
        <f t="shared" ca="1" si="11"/>
        <v>847.10883786935347</v>
      </c>
      <c r="E20" s="453">
        <f t="shared" ca="1" si="11"/>
        <v>958.42980357480337</v>
      </c>
      <c r="F20" s="453">
        <f ca="1">F13+($F$18-$F$11)</f>
        <v>1069.7507692802537</v>
      </c>
      <c r="G20" s="453">
        <f t="shared" ca="1" si="12"/>
        <v>1181.0717349857036</v>
      </c>
      <c r="H20" s="453">
        <f t="shared" ca="1" si="12"/>
        <v>1292.3927006911535</v>
      </c>
      <c r="I20" s="442"/>
      <c r="J20" s="3463"/>
      <c r="K20" s="473">
        <f t="shared" ca="1" si="13"/>
        <v>0.2475</v>
      </c>
      <c r="L20" s="443">
        <f ca="1">(L$6*$K11+Rev_Year!$J$112)</f>
        <v>-2669.2842527749999</v>
      </c>
      <c r="M20" s="542">
        <f ca="1">(M$6*$K11+Rev_Year!$J$112)</f>
        <v>-2160.5232527749986</v>
      </c>
      <c r="N20" s="897">
        <f ca="1">(N$6*$K11+Rev_Year!$J$112)</f>
        <v>-958.17815277499813</v>
      </c>
      <c r="O20" s="542">
        <f ca="1">(O$6*$K11+Rev_Year!$J$112)</f>
        <v>-449.41715277499861</v>
      </c>
      <c r="P20" s="475">
        <f ca="1">(P$6*$K11+Rev_Year!$J$112)</f>
        <v>59.343847225001809</v>
      </c>
      <c r="Q20" s="475">
        <f ca="1">(Q$6*$K11+Rev_Year!$J$112)</f>
        <v>568.10484722500405</v>
      </c>
      <c r="R20" s="475">
        <f ca="1">(R$6*$K11+Rev_Year!$J$112)</f>
        <v>1076.8658472250027</v>
      </c>
      <c r="S20" s="475">
        <f ca="1">(S$6*$K11+Rev_Year!$J$112)</f>
        <v>1585.6268472250031</v>
      </c>
      <c r="T20" s="475">
        <f ca="1">(T$6*$K11+Rev_Year!$J$112)</f>
        <v>2094.3878472250035</v>
      </c>
      <c r="U20" s="445"/>
      <c r="W20" s="3463"/>
      <c r="X20" s="473">
        <f t="shared" si="14"/>
        <v>-5.0000000000000001E-3</v>
      </c>
      <c r="Y20" s="443">
        <f ca="1">(Y$6*$K11+Rev_Year!$J$112)</f>
        <v>-2669.2842527749999</v>
      </c>
      <c r="Z20" s="542">
        <f ca="1">(Z$6*$K11+Rev_Year!$J$112)</f>
        <v>-2160.5232527749986</v>
      </c>
      <c r="AA20" s="897">
        <f ca="1">(AA$6*$K11+Rev_Year!$J$112)</f>
        <v>-2324.2697851548619</v>
      </c>
      <c r="AB20" s="542">
        <f ca="1">(AB$6*$K11+Rev_Year!$J$112)</f>
        <v>-1815.5087851548615</v>
      </c>
      <c r="AC20" s="475">
        <f ca="1">(AC$6*$K11+Rev_Year!$J$112)</f>
        <v>-1306.747785154862</v>
      </c>
      <c r="AD20" s="475">
        <f ca="1">(AD$6*$K11+Rev_Year!$J$112)</f>
        <v>-797.98678515486063</v>
      </c>
      <c r="AE20" s="475">
        <f ca="1">(AE$6*$K11+Rev_Year!$J$112)</f>
        <v>-289.2257851548602</v>
      </c>
      <c r="AF20" s="475">
        <f ca="1">(AF$6*$K11+Rev_Year!$J$112)</f>
        <v>219.53521484514022</v>
      </c>
      <c r="AG20" s="475">
        <f ca="1">(AG$6*$K11+Rev_Year!$J$112)</f>
        <v>728.29621484513882</v>
      </c>
      <c r="AH20" s="445"/>
    </row>
    <row r="21" spans="1:34" ht="15" customHeight="1">
      <c r="A21" s="442"/>
      <c r="B21" s="442"/>
      <c r="C21" s="442"/>
      <c r="D21" s="442"/>
      <c r="E21" s="442"/>
      <c r="F21" s="442"/>
      <c r="G21" s="442"/>
      <c r="H21" s="442"/>
      <c r="I21" s="442"/>
      <c r="J21" s="3463"/>
      <c r="K21" s="474">
        <f t="shared" ca="1" si="13"/>
        <v>0.2525</v>
      </c>
      <c r="L21" s="443">
        <f ca="1">(L$6*$K12+Rev_Year!$J$112)</f>
        <v>-2545.9482527750006</v>
      </c>
      <c r="M21" s="542">
        <f ca="1">(M$6*$K12+Rev_Year!$J$112)</f>
        <v>-2026.909252774999</v>
      </c>
      <c r="N21" s="898">
        <f ca="1">(N$6*$K12+Rev_Year!$J$112)</f>
        <v>-800.27435277499808</v>
      </c>
      <c r="O21" s="542">
        <f ca="1">(O$6*$K12+Rev_Year!$J$112)</f>
        <v>-281.23535277500014</v>
      </c>
      <c r="P21" s="475">
        <f ca="1">(P$6*$K12+Rev_Year!$J$112)</f>
        <v>237.80364722500235</v>
      </c>
      <c r="Q21" s="475">
        <f ca="1">(Q$6*$K12+Rev_Year!$J$112)</f>
        <v>756.84264722500302</v>
      </c>
      <c r="R21" s="475">
        <f ca="1">(R$6*$K12+Rev_Year!$J$112)</f>
        <v>1275.8816472250037</v>
      </c>
      <c r="S21" s="475">
        <f ca="1">(S$6*$K12+Rev_Year!$J$112)</f>
        <v>1794.9206472250025</v>
      </c>
      <c r="T21" s="475">
        <f ca="1">(T$6*$K12+Rev_Year!$J$112)</f>
        <v>2313.959647225005</v>
      </c>
      <c r="U21" s="445"/>
      <c r="W21" s="3463"/>
      <c r="X21" s="474">
        <f t="shared" si="14"/>
        <v>0</v>
      </c>
      <c r="Y21" s="443">
        <f ca="1">(Y$6*$K12+Rev_Year!$J$112)</f>
        <v>-2545.9482527750006</v>
      </c>
      <c r="Z21" s="542">
        <f ca="1">(Z$6*$K12+Rev_Year!$J$112)</f>
        <v>-2026.909252774999</v>
      </c>
      <c r="AA21" s="898">
        <f ca="1">(AA$6*$K12+Rev_Year!$J$112)</f>
        <v>-2193.963795910011</v>
      </c>
      <c r="AB21" s="542">
        <f ca="1">(AB$6*$K12+Rev_Year!$J$112)</f>
        <v>-1674.9247959100103</v>
      </c>
      <c r="AC21" s="475">
        <f ca="1">(AC$6*$K12+Rev_Year!$J$112)</f>
        <v>-1155.8857959100105</v>
      </c>
      <c r="AD21" s="475">
        <f ca="1">(AD$6*$K12+Rev_Year!$J$112)</f>
        <v>-636.84679591000895</v>
      </c>
      <c r="AE21" s="475">
        <f ca="1">(AE$6*$K12+Rev_Year!$J$112)</f>
        <v>-117.80779591000828</v>
      </c>
      <c r="AF21" s="475">
        <f ca="1">(AF$6*$K12+Rev_Year!$J$112)</f>
        <v>401.23120408999057</v>
      </c>
      <c r="AG21" s="475">
        <f ca="1">(AG$6*$K12+Rev_Year!$J$112)</f>
        <v>920.27020408999124</v>
      </c>
      <c r="AH21" s="445"/>
    </row>
    <row r="22" spans="1:34" ht="15" customHeight="1">
      <c r="A22" s="442"/>
      <c r="B22" s="3463" t="s">
        <v>2845</v>
      </c>
      <c r="C22" s="452" t="str">
        <f t="shared" ref="C22:H22" si="15">C15</f>
        <v>%DT/%BLNHĐ</v>
      </c>
      <c r="D22" s="452">
        <f t="shared" ca="1" si="15"/>
        <v>-0.25439228452877954</v>
      </c>
      <c r="E22" s="452">
        <f t="shared" ca="1" si="15"/>
        <v>-0.22439228452877955</v>
      </c>
      <c r="F22" s="452">
        <f t="shared" ca="1" si="15"/>
        <v>-0.19439228452877955</v>
      </c>
      <c r="G22" s="452">
        <f t="shared" ca="1" si="15"/>
        <v>-0.16439228452877955</v>
      </c>
      <c r="H22" s="452">
        <f t="shared" ca="1" si="15"/>
        <v>-0.13439228452877955</v>
      </c>
      <c r="I22" s="442"/>
      <c r="J22" s="3463"/>
      <c r="K22" s="473">
        <f t="shared" ca="1" si="13"/>
        <v>0.25750000000000001</v>
      </c>
      <c r="L22" s="443">
        <f ca="1">(L$6*$K13+Rev_Year!$J$112)</f>
        <v>-2422.6122527750003</v>
      </c>
      <c r="M22" s="443">
        <f ca="1">(M$6*$K13+Rev_Year!$J$112)</f>
        <v>-1893.2952527749985</v>
      </c>
      <c r="N22" s="444">
        <f ca="1">(N$6*$K13+Rev_Year!$J$112)</f>
        <v>-642.37055277499803</v>
      </c>
      <c r="O22" s="475">
        <f ca="1">(O$6*$K13+Rev_Year!$J$112)</f>
        <v>-113.05355277499984</v>
      </c>
      <c r="P22" s="475">
        <f ca="1">(P$6*$K13+Rev_Year!$J$112)</f>
        <v>416.26344722500289</v>
      </c>
      <c r="Q22" s="475">
        <f ca="1">(Q$6*$K13+Rev_Year!$J$112)</f>
        <v>945.58044722500381</v>
      </c>
      <c r="R22" s="475">
        <f ca="1">(R$6*$K13+Rev_Year!$J$112)</f>
        <v>1474.8974472250029</v>
      </c>
      <c r="S22" s="475">
        <f ca="1">(S$6*$K13+Rev_Year!$J$112)</f>
        <v>2004.2144472250038</v>
      </c>
      <c r="T22" s="475">
        <f ca="1">(T$6*$K13+Rev_Year!$J$112)</f>
        <v>2533.5314472250047</v>
      </c>
      <c r="U22" s="445"/>
      <c r="W22" s="3463"/>
      <c r="X22" s="473">
        <f t="shared" si="14"/>
        <v>5.0000000000000001E-3</v>
      </c>
      <c r="Y22" s="443">
        <f ca="1">(Y$6*$K13+Rev_Year!$J$112)</f>
        <v>-2422.6122527750003</v>
      </c>
      <c r="Z22" s="443">
        <f ca="1">(Z$6*$K13+Rev_Year!$J$112)</f>
        <v>-1893.2952527749985</v>
      </c>
      <c r="AA22" s="444">
        <f ca="1">(AA$6*$K13+Rev_Year!$J$112)</f>
        <v>-2063.6578066651591</v>
      </c>
      <c r="AB22" s="475">
        <f ca="1">(AB$6*$K13+Rev_Year!$J$112)</f>
        <v>-1534.3408066651591</v>
      </c>
      <c r="AC22" s="475">
        <f ca="1">(AC$6*$K13+Rev_Year!$J$112)</f>
        <v>-1005.0238066651591</v>
      </c>
      <c r="AD22" s="475">
        <f ca="1">(AD$6*$K13+Rev_Year!$J$112)</f>
        <v>-475.70680666515727</v>
      </c>
      <c r="AE22" s="475">
        <f ca="1">(AE$6*$K13+Rev_Year!$J$112)</f>
        <v>53.610193334843643</v>
      </c>
      <c r="AF22" s="475">
        <f ca="1">(AF$6*$K13+Rev_Year!$J$112)</f>
        <v>582.92719333484274</v>
      </c>
      <c r="AG22" s="475">
        <f ca="1">(AG$6*$K13+Rev_Year!$J$112)</f>
        <v>1112.2441933348418</v>
      </c>
      <c r="AH22" s="445"/>
    </row>
    <row r="23" spans="1:34" ht="15" customHeight="1">
      <c r="A23" s="442"/>
      <c r="B23" s="3463"/>
      <c r="C23" s="451">
        <f ca="1">C16</f>
        <v>3.9759375008002655E-3</v>
      </c>
      <c r="D23" s="454">
        <f t="shared" ref="D23:H27" ca="1" si="16">D16/$F$18-1</f>
        <v>-10.606978988281849</v>
      </c>
      <c r="E23" s="454">
        <f t="shared" ca="1" si="16"/>
        <v>-10.533309815056654</v>
      </c>
      <c r="F23" s="454">
        <f t="shared" ca="1" si="16"/>
        <v>-10.459640641831459</v>
      </c>
      <c r="G23" s="454">
        <f t="shared" ca="1" si="16"/>
        <v>-10.385971468606263</v>
      </c>
      <c r="H23" s="454">
        <f t="shared" ca="1" si="16"/>
        <v>-10.312302295381068</v>
      </c>
      <c r="I23" s="442"/>
      <c r="J23" s="3463"/>
      <c r="K23" s="473">
        <f t="shared" ca="1" si="13"/>
        <v>0.26250000000000001</v>
      </c>
      <c r="L23" s="443">
        <f ca="1">(L$6*$K14+Rev_Year!$J$112)</f>
        <v>-2299.2762527750001</v>
      </c>
      <c r="M23" s="443">
        <f ca="1">(M$6*$K14+Rev_Year!$J$112)</f>
        <v>-1759.681252774998</v>
      </c>
      <c r="N23" s="444">
        <f ca="1">(N$6*$K14+Rev_Year!$J$112)</f>
        <v>-484.46675277499708</v>
      </c>
      <c r="O23" s="475">
        <f ca="1">(O$6*$K14+Rev_Year!$J$112)</f>
        <v>55.12824722500045</v>
      </c>
      <c r="P23" s="475">
        <f ca="1">(P$6*$K14+Rev_Year!$J$112)</f>
        <v>594.72324722500343</v>
      </c>
      <c r="Q23" s="475">
        <f ca="1">(Q$6*$K14+Rev_Year!$J$112)</f>
        <v>1134.3182472250046</v>
      </c>
      <c r="R23" s="475">
        <f ca="1">(R$6*$K14+Rev_Year!$J$112)</f>
        <v>1673.9132472250039</v>
      </c>
      <c r="S23" s="475">
        <f ca="1">(S$6*$K14+Rev_Year!$J$112)</f>
        <v>2213.5082472250033</v>
      </c>
      <c r="T23" s="475">
        <f ca="1">(T$6*$K14+Rev_Year!$J$112)</f>
        <v>2753.1032472250045</v>
      </c>
      <c r="U23" s="445"/>
      <c r="W23" s="3463"/>
      <c r="X23" s="473">
        <f t="shared" si="14"/>
        <v>0.01</v>
      </c>
      <c r="Y23" s="443">
        <f ca="1">(Y$6*$K14+Rev_Year!$J$112)</f>
        <v>-2299.2762527750001</v>
      </c>
      <c r="Z23" s="443">
        <f ca="1">(Z$6*$K14+Rev_Year!$J$112)</f>
        <v>-1759.681252774998</v>
      </c>
      <c r="AA23" s="444">
        <f ca="1">(AA$6*$K14+Rev_Year!$J$112)</f>
        <v>-1933.3518174203082</v>
      </c>
      <c r="AB23" s="475">
        <f ca="1">(AB$6*$K14+Rev_Year!$J$112)</f>
        <v>-1393.756817420307</v>
      </c>
      <c r="AC23" s="475">
        <f ca="1">(AC$6*$K14+Rev_Year!$J$112)</f>
        <v>-854.16181742030767</v>
      </c>
      <c r="AD23" s="475">
        <f ca="1">(AD$6*$K14+Rev_Year!$J$112)</f>
        <v>-314.5668174203056</v>
      </c>
      <c r="AE23" s="475">
        <f ca="1">(AE$6*$K14+Rev_Year!$J$112)</f>
        <v>225.02818257969375</v>
      </c>
      <c r="AF23" s="475">
        <f ca="1">(AF$6*$K14+Rev_Year!$J$112)</f>
        <v>764.62318257969491</v>
      </c>
      <c r="AG23" s="475">
        <f ca="1">(AG$6*$K14+Rev_Year!$J$112)</f>
        <v>1304.2181825796943</v>
      </c>
      <c r="AH23" s="445"/>
    </row>
    <row r="24" spans="1:34" ht="15" customHeight="1">
      <c r="A24" s="442"/>
      <c r="B24" s="3463"/>
      <c r="C24" s="451">
        <f ca="1">C17</f>
        <v>1.1931546820505902E-2</v>
      </c>
      <c r="D24" s="454">
        <f t="shared" ca="1" si="16"/>
        <v>-6.9433723820825941</v>
      </c>
      <c r="E24" s="454">
        <f t="shared" ca="1" si="16"/>
        <v>-6.7222956701404533</v>
      </c>
      <c r="F24" s="454">
        <f t="shared" ca="1" si="16"/>
        <v>-6.5012189581983115</v>
      </c>
      <c r="G24" s="454">
        <f t="shared" ca="1" si="16"/>
        <v>-6.2801422462561689</v>
      </c>
      <c r="H24" s="454">
        <f t="shared" ca="1" si="16"/>
        <v>-6.0590655343140281</v>
      </c>
      <c r="I24" s="442"/>
      <c r="J24" s="803"/>
      <c r="K24" s="473">
        <f t="shared" ca="1" si="13"/>
        <v>0.26750000000000002</v>
      </c>
      <c r="L24" s="443">
        <f ca="1">(L$6*$K15+Rev_Year!$J$112)</f>
        <v>-2175.9402527749999</v>
      </c>
      <c r="M24" s="443">
        <f ca="1">(M$6*$K15+Rev_Year!$J$112)</f>
        <v>-1626.0672527749985</v>
      </c>
      <c r="N24" s="444">
        <f ca="1">(N$6*$K15+Rev_Year!$J$112)</f>
        <v>-326.56295277499703</v>
      </c>
      <c r="O24" s="475">
        <f ca="1">(O$6*$K15+Rev_Year!$J$112)</f>
        <v>223.31004722500074</v>
      </c>
      <c r="P24" s="475">
        <f ca="1">(P$6*$K15+Rev_Year!$J$112)</f>
        <v>773.18304722500216</v>
      </c>
      <c r="Q24" s="475">
        <f ca="1">(Q$6*$K15+Rev_Year!$J$112)</f>
        <v>1323.0560472250036</v>
      </c>
      <c r="R24" s="475">
        <f ca="1">(R$6*$K15+Rev_Year!$J$112)</f>
        <v>1872.9290472250032</v>
      </c>
      <c r="S24" s="475">
        <f ca="1">(S$6*$K15+Rev_Year!$J$112)</f>
        <v>2422.8020472250028</v>
      </c>
      <c r="T24" s="475">
        <f ca="1">(T$6*$K15+Rev_Year!$J$112)</f>
        <v>2972.675047225006</v>
      </c>
      <c r="U24" s="445"/>
      <c r="W24" s="803"/>
      <c r="X24" s="473">
        <f t="shared" si="14"/>
        <v>1.4999999999999999E-2</v>
      </c>
      <c r="Y24" s="443">
        <f ca="1">(Y$6*$K15+Rev_Year!$J$112)</f>
        <v>-2175.9402527749999</v>
      </c>
      <c r="Z24" s="443">
        <f ca="1">(Z$6*$K15+Rev_Year!$J$112)</f>
        <v>-1626.0672527749985</v>
      </c>
      <c r="AA24" s="444">
        <f ca="1">(AA$6*$K15+Rev_Year!$J$112)</f>
        <v>-1803.0458281754563</v>
      </c>
      <c r="AB24" s="475">
        <f ca="1">(AB$6*$K15+Rev_Year!$J$112)</f>
        <v>-1253.1728281754558</v>
      </c>
      <c r="AC24" s="475">
        <f ca="1">(AC$6*$K15+Rev_Year!$J$112)</f>
        <v>-703.29982817545624</v>
      </c>
      <c r="AD24" s="475">
        <f ca="1">(AD$6*$K15+Rev_Year!$J$112)</f>
        <v>-153.42682817545392</v>
      </c>
      <c r="AE24" s="475">
        <f ca="1">(AE$6*$K15+Rev_Year!$J$112)</f>
        <v>396.44617182454567</v>
      </c>
      <c r="AF24" s="475">
        <f ca="1">(AF$6*$K15+Rev_Year!$J$112)</f>
        <v>946.31917182454526</v>
      </c>
      <c r="AG24" s="475">
        <f ca="1">(AG$6*$K15+Rev_Year!$J$112)</f>
        <v>1496.1921718245449</v>
      </c>
      <c r="AH24" s="445"/>
    </row>
    <row r="25" spans="1:34" ht="15" customHeight="1">
      <c r="A25" s="442"/>
      <c r="B25" s="3463"/>
      <c r="C25" s="451">
        <f ca="1">C18</f>
        <v>2.4997653028225125E-2</v>
      </c>
      <c r="D25" s="454">
        <f t="shared" ca="1" si="16"/>
        <v>-0.92635079439200818</v>
      </c>
      <c r="E25" s="454">
        <f t="shared" ca="1" si="16"/>
        <v>-0.46317539719600442</v>
      </c>
      <c r="F25" s="454">
        <f t="shared" si="16"/>
        <v>0</v>
      </c>
      <c r="G25" s="454">
        <f t="shared" ca="1" si="16"/>
        <v>0.46317539719600176</v>
      </c>
      <c r="H25" s="454">
        <f t="shared" ca="1" si="16"/>
        <v>0.92635079439200685</v>
      </c>
      <c r="I25" s="442"/>
      <c r="J25" s="440"/>
      <c r="K25" s="440"/>
      <c r="L25" s="3465" t="s">
        <v>2846</v>
      </c>
      <c r="M25" s="3465"/>
      <c r="N25" s="3465"/>
      <c r="O25" s="3465"/>
      <c r="P25" s="3465"/>
      <c r="Q25" s="3465"/>
      <c r="R25" s="3465"/>
      <c r="S25" s="3465"/>
      <c r="T25" s="3465"/>
      <c r="U25" s="440"/>
      <c r="W25" s="440"/>
      <c r="X25" s="440"/>
      <c r="Y25" s="3465" t="s">
        <v>2846</v>
      </c>
      <c r="Z25" s="3465"/>
      <c r="AA25" s="3465"/>
      <c r="AB25" s="3465"/>
      <c r="AC25" s="3465"/>
      <c r="AD25" s="3465"/>
      <c r="AE25" s="3465"/>
      <c r="AF25" s="3465"/>
      <c r="AG25" s="3465"/>
      <c r="AH25" s="440"/>
    </row>
    <row r="26" spans="1:34" ht="15" customHeight="1">
      <c r="A26" s="442"/>
      <c r="B26" s="3463"/>
      <c r="C26" s="451">
        <f ca="1">C19</f>
        <v>2.7842765459917193E-2</v>
      </c>
      <c r="D26" s="454">
        <f t="shared" ca="1" si="16"/>
        <v>0.3838408303159222</v>
      </c>
      <c r="E26" s="454">
        <f t="shared" ca="1" si="16"/>
        <v>0.89973261969195728</v>
      </c>
      <c r="F26" s="454">
        <f t="shared" ca="1" si="16"/>
        <v>1.4156244090679926</v>
      </c>
      <c r="G26" s="454">
        <f t="shared" ca="1" si="16"/>
        <v>1.9315161984440277</v>
      </c>
      <c r="H26" s="454">
        <f t="shared" ca="1" si="16"/>
        <v>2.4474079878200605</v>
      </c>
      <c r="I26" s="442"/>
      <c r="J26" s="3463" t="s">
        <v>2842</v>
      </c>
      <c r="K26" s="441"/>
      <c r="L26" s="485">
        <f t="shared" ref="L26:T26" si="17">L35</f>
        <v>1.2</v>
      </c>
      <c r="M26" s="485">
        <f t="shared" si="17"/>
        <v>1.3</v>
      </c>
      <c r="N26" s="485">
        <f t="shared" ca="1" si="17"/>
        <v>1.5363280793928782</v>
      </c>
      <c r="O26" s="485">
        <f t="shared" ca="1" si="17"/>
        <v>1.6363280793928783</v>
      </c>
      <c r="P26" s="485">
        <f t="shared" ca="1" si="17"/>
        <v>1.7363280793928784</v>
      </c>
      <c r="Q26" s="485">
        <f t="shared" ca="1" si="17"/>
        <v>1.8363280793928785</v>
      </c>
      <c r="R26" s="485">
        <f t="shared" ca="1" si="17"/>
        <v>1.9363280793928785</v>
      </c>
      <c r="S26" s="485">
        <f t="shared" ca="1" si="17"/>
        <v>2.0363280793928786</v>
      </c>
      <c r="T26" s="485">
        <f t="shared" ca="1" si="17"/>
        <v>2.1363280793928787</v>
      </c>
      <c r="U26" s="440"/>
      <c r="W26" s="3463" t="s">
        <v>2842</v>
      </c>
      <c r="X26" s="441"/>
      <c r="Y26" s="485">
        <f t="shared" ref="Y26:AG26" si="18">Y35</f>
        <v>1.2</v>
      </c>
      <c r="Z26" s="485">
        <f t="shared" si="18"/>
        <v>1.3</v>
      </c>
      <c r="AA26" s="485">
        <f t="shared" si="18"/>
        <v>1.2678146453089245</v>
      </c>
      <c r="AB26" s="485">
        <f t="shared" si="18"/>
        <v>1.3678146453089246</v>
      </c>
      <c r="AC26" s="485">
        <f t="shared" si="18"/>
        <v>1.4678146453089247</v>
      </c>
      <c r="AD26" s="485">
        <f t="shared" si="18"/>
        <v>1.5678146453089248</v>
      </c>
      <c r="AE26" s="485">
        <f t="shared" si="18"/>
        <v>1.6678146453089249</v>
      </c>
      <c r="AF26" s="485">
        <f t="shared" si="18"/>
        <v>1.767814645308925</v>
      </c>
      <c r="AG26" s="485">
        <f t="shared" si="18"/>
        <v>1.867814645308925</v>
      </c>
      <c r="AH26" s="440"/>
    </row>
    <row r="27" spans="1:34" ht="15" customHeight="1">
      <c r="A27" s="442"/>
      <c r="B27" s="3463"/>
      <c r="C27" s="451">
        <f ca="1">C20</f>
        <v>3.5798374779622825E-2</v>
      </c>
      <c r="D27" s="454">
        <f t="shared" ca="1" si="16"/>
        <v>4.047447436515176</v>
      </c>
      <c r="E27" s="454">
        <f t="shared" ca="1" si="16"/>
        <v>4.7107467646081558</v>
      </c>
      <c r="F27" s="454">
        <f t="shared" ca="1" si="16"/>
        <v>5.3740460927011382</v>
      </c>
      <c r="G27" s="454">
        <f t="shared" ca="1" si="16"/>
        <v>6.037345420794118</v>
      </c>
      <c r="H27" s="454">
        <f t="shared" ca="1" si="16"/>
        <v>6.7006447488870977</v>
      </c>
      <c r="I27" s="442"/>
      <c r="J27" s="3463"/>
      <c r="K27" s="486">
        <f t="shared" ref="K27:K33" ca="1" si="19">K18</f>
        <v>0.23749999999999999</v>
      </c>
      <c r="L27" s="443">
        <f ca="1">(FS!$N$104-Sensitivity_Analysis!$N$21)+Sensitivity_Analysis!L18</f>
        <v>-1948.0125072960045</v>
      </c>
      <c r="M27" s="443">
        <f ca="1">(FS!$N$104-Sensitivity_Analysis!$N$21)+Sensitivity_Analysis!M18</f>
        <v>-1459.8075072960037</v>
      </c>
      <c r="N27" s="444">
        <f ca="1">(FS!$N$104-Sensitivity_Analysis!$N$21)+Sensitivity_Analysis!N18</f>
        <v>-306.04200729600223</v>
      </c>
      <c r="O27" s="443">
        <f ca="1">(FS!$N$104-Sensitivity_Analysis!$N$21)+Sensitivity_Analysis!O18</f>
        <v>182.16299270399588</v>
      </c>
      <c r="P27" s="443">
        <f ca="1">(FS!$N$104-Sensitivity_Analysis!$N$21)+Sensitivity_Analysis!P18</f>
        <v>670.36799270399672</v>
      </c>
      <c r="Q27" s="475">
        <f ca="1">(FS!$N$104-Sensitivity_Analysis!$N$21)+Sensitivity_Analysis!Q18</f>
        <v>1158.5729927039984</v>
      </c>
      <c r="R27" s="475">
        <f ca="1">(FS!$N$104-Sensitivity_Analysis!$N$21)+Sensitivity_Analysis!R18</f>
        <v>1646.7779927039983</v>
      </c>
      <c r="S27" s="475">
        <f ca="1">(FS!$N$104-Sensitivity_Analysis!$N$21)+Sensitivity_Analysis!S18</f>
        <v>2134.9829927039982</v>
      </c>
      <c r="T27" s="475">
        <f ca="1">(FS!$N$104-Sensitivity_Analysis!$N$21)+Sensitivity_Analysis!T18</f>
        <v>2623.187992704</v>
      </c>
      <c r="U27" s="3461" t="s">
        <v>2762</v>
      </c>
      <c r="W27" s="3463"/>
      <c r="X27" s="486">
        <f t="shared" ref="X27:X33" si="20">X18</f>
        <v>-1.4999999999999999E-2</v>
      </c>
      <c r="Y27" s="443">
        <f ca="1">(FS!$N$104-Sensitivity_Analysis!$N$21)+Sensitivity_Analysis!Y18</f>
        <v>-1948.0125072960045</v>
      </c>
      <c r="Z27" s="443">
        <f ca="1">(FS!$N$104-Sensitivity_Analysis!$N$21)+Sensitivity_Analysis!Z18</f>
        <v>-1459.8075072960037</v>
      </c>
      <c r="AA27" s="444">
        <f ca="1">(FS!$N$104-Sensitivity_Analysis!$N$21)+Sensitivity_Analysis!AA18</f>
        <v>-1616.9380181655688</v>
      </c>
      <c r="AB27" s="443">
        <f ca="1">(FS!$N$104-Sensitivity_Analysis!$N$21)+Sensitivity_Analysis!AB18</f>
        <v>-1128.7330181655689</v>
      </c>
      <c r="AC27" s="443">
        <f ca="1">(FS!$N$104-Sensitivity_Analysis!$N$21)+Sensitivity_Analysis!AC18</f>
        <v>-640.52801816556882</v>
      </c>
      <c r="AD27" s="475">
        <f ca="1">(FS!$N$104-Sensitivity_Analysis!$N$21)+Sensitivity_Analysis!AD18</f>
        <v>-152.32301816556708</v>
      </c>
      <c r="AE27" s="475">
        <f ca="1">(FS!$N$104-Sensitivity_Analysis!$N$21)+Sensitivity_Analysis!AE18</f>
        <v>335.88198183443285</v>
      </c>
      <c r="AF27" s="475">
        <f ca="1">(FS!$N$104-Sensitivity_Analysis!$N$21)+Sensitivity_Analysis!AF18</f>
        <v>824.08698183443187</v>
      </c>
      <c r="AG27" s="475">
        <f ca="1">(FS!$N$104-Sensitivity_Analysis!$N$21)+Sensitivity_Analysis!AG18</f>
        <v>1312.2919818344317</v>
      </c>
      <c r="AH27" s="3461" t="s">
        <v>2762</v>
      </c>
    </row>
    <row r="28" spans="1:34">
      <c r="A28" s="442"/>
      <c r="B28" s="442"/>
      <c r="C28" s="442"/>
      <c r="D28" s="442"/>
      <c r="E28" s="442"/>
      <c r="F28" s="442"/>
      <c r="G28" s="442"/>
      <c r="H28" s="442"/>
      <c r="I28" s="442"/>
      <c r="J28" s="3463"/>
      <c r="K28" s="486">
        <f t="shared" ca="1" si="19"/>
        <v>0.24249999999999999</v>
      </c>
      <c r="L28" s="443">
        <f ca="1">(FS!$N$104-Sensitivity_Analysis!$N$21)+Sensitivity_Analysis!L19</f>
        <v>-1824.6765072960043</v>
      </c>
      <c r="M28" s="443">
        <f ca="1">(FS!$N$104-Sensitivity_Analysis!$N$21)+Sensitivity_Analysis!M19</f>
        <v>-1326.1935072960032</v>
      </c>
      <c r="N28" s="444">
        <f ca="1">(FS!$N$104-Sensitivity_Analysis!$N$21)+Sensitivity_Analysis!N19</f>
        <v>-148.13820729600218</v>
      </c>
      <c r="O28" s="443">
        <f ca="1">(FS!$N$104-Sensitivity_Analysis!$N$21)+Sensitivity_Analysis!O19</f>
        <v>350.34479270399618</v>
      </c>
      <c r="P28" s="443">
        <f ca="1">(FS!$N$104-Sensitivity_Analysis!$N$21)+Sensitivity_Analysis!P19</f>
        <v>848.82779270399726</v>
      </c>
      <c r="Q28" s="475">
        <f ca="1">(FS!$N$104-Sensitivity_Analysis!$N$21)+Sensitivity_Analysis!Q19</f>
        <v>1347.3107927039991</v>
      </c>
      <c r="R28" s="475">
        <f ca="1">(FS!$N$104-Sensitivity_Analysis!$N$21)+Sensitivity_Analysis!R19</f>
        <v>1845.7937927039993</v>
      </c>
      <c r="S28" s="475">
        <f ca="1">(FS!$N$104-Sensitivity_Analysis!$N$21)+Sensitivity_Analysis!S19</f>
        <v>2344.2767927039977</v>
      </c>
      <c r="T28" s="475">
        <f ca="1">(FS!$N$104-Sensitivity_Analysis!$N$21)+Sensitivity_Analysis!T19</f>
        <v>2842.7597927039997</v>
      </c>
      <c r="U28" s="3461"/>
      <c r="W28" s="3463"/>
      <c r="X28" s="486">
        <f t="shared" si="20"/>
        <v>-0.01</v>
      </c>
      <c r="Y28" s="443">
        <f ca="1">(FS!$N$104-Sensitivity_Analysis!$N$21)+Sensitivity_Analysis!Y19</f>
        <v>-1824.6765072960043</v>
      </c>
      <c r="Z28" s="443">
        <f ca="1">(FS!$N$104-Sensitivity_Analysis!$N$21)+Sensitivity_Analysis!Z19</f>
        <v>-1326.1935072960032</v>
      </c>
      <c r="AA28" s="444">
        <f ca="1">(FS!$N$104-Sensitivity_Analysis!$N$21)+Sensitivity_Analysis!AA19</f>
        <v>-1486.6320289207179</v>
      </c>
      <c r="AB28" s="443">
        <f ca="1">(FS!$N$104-Sensitivity_Analysis!$N$21)+Sensitivity_Analysis!AB19</f>
        <v>-988.14902892071666</v>
      </c>
      <c r="AC28" s="443">
        <f ca="1">(FS!$N$104-Sensitivity_Analysis!$N$21)+Sensitivity_Analysis!AC19</f>
        <v>-489.66602892071739</v>
      </c>
      <c r="AD28" s="475">
        <f ca="1">(FS!$N$104-Sensitivity_Analysis!$N$21)+Sensitivity_Analysis!AD19</f>
        <v>8.8169710792836895</v>
      </c>
      <c r="AE28" s="475">
        <f ca="1">(FS!$N$104-Sensitivity_Analysis!$N$21)+Sensitivity_Analysis!AE19</f>
        <v>507.29997107928386</v>
      </c>
      <c r="AF28" s="475">
        <f ca="1">(FS!$N$104-Sensitivity_Analysis!$N$21)+Sensitivity_Analysis!AF19</f>
        <v>1005.782971079284</v>
      </c>
      <c r="AG28" s="475">
        <f ca="1">(FS!$N$104-Sensitivity_Analysis!$N$21)+Sensitivity_Analysis!AG19</f>
        <v>1504.2659710792841</v>
      </c>
      <c r="AH28" s="3461"/>
    </row>
    <row r="29" spans="1:34">
      <c r="A29" s="442"/>
      <c r="B29" s="442"/>
      <c r="C29" s="442"/>
      <c r="D29" s="442"/>
      <c r="E29" s="442"/>
      <c r="F29" s="442"/>
      <c r="G29" s="442"/>
      <c r="H29" s="442"/>
      <c r="I29" s="442"/>
      <c r="J29" s="3463"/>
      <c r="K29" s="486">
        <f t="shared" ca="1" si="19"/>
        <v>0.2475</v>
      </c>
      <c r="L29" s="443">
        <f ca="1">(FS!$N$104-Sensitivity_Analysis!$N$21)+Sensitivity_Analysis!L20</f>
        <v>-1701.340507296004</v>
      </c>
      <c r="M29" s="443">
        <f ca="1">(FS!$N$104-Sensitivity_Analysis!$N$21)+Sensitivity_Analysis!M20</f>
        <v>-1192.5795072960027</v>
      </c>
      <c r="N29" s="444">
        <f ca="1">(FS!$N$104-Sensitivity_Analysis!$N$21)+Sensitivity_Analysis!N20</f>
        <v>9.7655927039978678</v>
      </c>
      <c r="O29" s="443">
        <f ca="1">(FS!$N$104-Sensitivity_Analysis!$N$21)+Sensitivity_Analysis!O20</f>
        <v>518.52659270399738</v>
      </c>
      <c r="P29" s="475">
        <f ca="1">(FS!$N$104-Sensitivity_Analysis!$N$21)+Sensitivity_Analysis!P20</f>
        <v>1027.2875927039977</v>
      </c>
      <c r="Q29" s="475">
        <f ca="1">(FS!$N$104-Sensitivity_Analysis!$N$21)+Sensitivity_Analysis!Q20</f>
        <v>1536.0485927039999</v>
      </c>
      <c r="R29" s="475">
        <f ca="1">(FS!$N$104-Sensitivity_Analysis!$N$21)+Sensitivity_Analysis!R20</f>
        <v>2044.8095927039985</v>
      </c>
      <c r="S29" s="475">
        <f ca="1">(FS!$N$104-Sensitivity_Analysis!$N$21)+Sensitivity_Analysis!S20</f>
        <v>2553.570592703999</v>
      </c>
      <c r="T29" s="475">
        <f ca="1">(FS!$N$104-Sensitivity_Analysis!$N$21)+Sensitivity_Analysis!T20</f>
        <v>3062.3315927039994</v>
      </c>
      <c r="U29" s="3461"/>
      <c r="W29" s="3463"/>
      <c r="X29" s="486">
        <f t="shared" si="20"/>
        <v>-5.0000000000000001E-3</v>
      </c>
      <c r="Y29" s="443">
        <f ca="1">(FS!$N$104-Sensitivity_Analysis!$N$21)+Sensitivity_Analysis!Y20</f>
        <v>-1701.340507296004</v>
      </c>
      <c r="Z29" s="443">
        <f ca="1">(FS!$N$104-Sensitivity_Analysis!$N$21)+Sensitivity_Analysis!Z20</f>
        <v>-1192.5795072960027</v>
      </c>
      <c r="AA29" s="444">
        <f ca="1">(FS!$N$104-Sensitivity_Analysis!$N$21)+Sensitivity_Analysis!AA20</f>
        <v>-1356.326039675866</v>
      </c>
      <c r="AB29" s="443">
        <f ca="1">(FS!$N$104-Sensitivity_Analysis!$N$21)+Sensitivity_Analysis!AB20</f>
        <v>-847.56503967586548</v>
      </c>
      <c r="AC29" s="475">
        <f ca="1">(FS!$N$104-Sensitivity_Analysis!$N$21)+Sensitivity_Analysis!AC20</f>
        <v>-338.80403967586597</v>
      </c>
      <c r="AD29" s="475">
        <f ca="1">(FS!$N$104-Sensitivity_Analysis!$N$21)+Sensitivity_Analysis!AD20</f>
        <v>169.95696032413537</v>
      </c>
      <c r="AE29" s="475">
        <f ca="1">(FS!$N$104-Sensitivity_Analysis!$N$21)+Sensitivity_Analysis!AE20</f>
        <v>678.71796032413579</v>
      </c>
      <c r="AF29" s="475">
        <f ca="1">(FS!$N$104-Sensitivity_Analysis!$N$21)+Sensitivity_Analysis!AF20</f>
        <v>1187.4789603241361</v>
      </c>
      <c r="AG29" s="475">
        <f ca="1">(FS!$N$104-Sensitivity_Analysis!$N$21)+Sensitivity_Analysis!AG20</f>
        <v>1696.2399603241347</v>
      </c>
      <c r="AH29" s="3461"/>
    </row>
    <row r="30" spans="1:34">
      <c r="A30" s="447" t="s">
        <v>2847</v>
      </c>
      <c r="B30" s="447" t="s">
        <v>2847</v>
      </c>
      <c r="C30" s="476" t="str">
        <f t="shared" ref="C30:H30" si="21">C15</f>
        <v>%DT/%BLNHĐ</v>
      </c>
      <c r="D30" s="476">
        <f t="shared" ca="1" si="21"/>
        <v>-0.25439228452877954</v>
      </c>
      <c r="E30" s="476">
        <f t="shared" ca="1" si="21"/>
        <v>-0.22439228452877955</v>
      </c>
      <c r="F30" s="476">
        <f t="shared" ca="1" si="21"/>
        <v>-0.19439228452877955</v>
      </c>
      <c r="G30" s="476">
        <f t="shared" ca="1" si="21"/>
        <v>-0.16439228452877955</v>
      </c>
      <c r="H30" s="476">
        <f t="shared" ca="1" si="21"/>
        <v>-0.13439228452877955</v>
      </c>
      <c r="I30" s="442"/>
      <c r="J30" s="3463"/>
      <c r="K30" s="486">
        <f t="shared" ca="1" si="19"/>
        <v>0.2525</v>
      </c>
      <c r="L30" s="443">
        <f ca="1">(FS!$N$104-Sensitivity_Analysis!$N$21)+Sensitivity_Analysis!L21</f>
        <v>-1578.0045072960047</v>
      </c>
      <c r="M30" s="443">
        <f ca="1">(FS!$N$104-Sensitivity_Analysis!$N$21)+Sensitivity_Analysis!M21</f>
        <v>-1058.9655072960031</v>
      </c>
      <c r="N30" s="471">
        <f ca="1">(FS!$N$104-Sensitivity_Analysis!$N$21)+Sensitivity_Analysis!N21</f>
        <v>167.66939270399791</v>
      </c>
      <c r="O30" s="443">
        <f ca="1">(FS!$N$104-Sensitivity_Analysis!$N$21)+Sensitivity_Analysis!O21</f>
        <v>686.70839270399586</v>
      </c>
      <c r="P30" s="475">
        <f ca="1">(FS!$N$104-Sensitivity_Analysis!$N$21)+Sensitivity_Analysis!P21</f>
        <v>1205.7473927039982</v>
      </c>
      <c r="Q30" s="475">
        <f ca="1">(FS!$N$104-Sensitivity_Analysis!$N$21)+Sensitivity_Analysis!Q21</f>
        <v>1724.7863927039989</v>
      </c>
      <c r="R30" s="475">
        <f ca="1">(FS!$N$104-Sensitivity_Analysis!$N$21)+Sensitivity_Analysis!R21</f>
        <v>2243.8253927039996</v>
      </c>
      <c r="S30" s="475">
        <f ca="1">(FS!$N$104-Sensitivity_Analysis!$N$21)+Sensitivity_Analysis!S21</f>
        <v>2762.8643927039984</v>
      </c>
      <c r="T30" s="475">
        <f ca="1">(FS!$N$104-Sensitivity_Analysis!$N$21)+Sensitivity_Analysis!T21</f>
        <v>3281.9033927040009</v>
      </c>
      <c r="U30" s="3461"/>
      <c r="W30" s="3463"/>
      <c r="X30" s="486">
        <f t="shared" si="20"/>
        <v>0</v>
      </c>
      <c r="Y30" s="443">
        <f ca="1">(FS!$N$104-Sensitivity_Analysis!$N$21)+Sensitivity_Analysis!Y21</f>
        <v>-1578.0045072960047</v>
      </c>
      <c r="Z30" s="443">
        <f ca="1">(FS!$N$104-Sensitivity_Analysis!$N$21)+Sensitivity_Analysis!Z21</f>
        <v>-1058.9655072960031</v>
      </c>
      <c r="AA30" s="471">
        <f ca="1">(FS!$N$104-Sensitivity_Analysis!$N$21)+Sensitivity_Analysis!AA21</f>
        <v>-1226.0200504310151</v>
      </c>
      <c r="AB30" s="443">
        <f ca="1">(FS!$N$104-Sensitivity_Analysis!$N$21)+Sensitivity_Analysis!AB21</f>
        <v>-706.9810504310143</v>
      </c>
      <c r="AC30" s="475">
        <f ca="1">(FS!$N$104-Sensitivity_Analysis!$N$21)+Sensitivity_Analysis!AC21</f>
        <v>-187.94205043101454</v>
      </c>
      <c r="AD30" s="475">
        <f ca="1">(FS!$N$104-Sensitivity_Analysis!$N$21)+Sensitivity_Analysis!AD21</f>
        <v>331.09694956898704</v>
      </c>
      <c r="AE30" s="475">
        <f ca="1">(FS!$N$104-Sensitivity_Analysis!$N$21)+Sensitivity_Analysis!AE21</f>
        <v>850.13594956898771</v>
      </c>
      <c r="AF30" s="475">
        <f ca="1">(FS!$N$104-Sensitivity_Analysis!$N$21)+Sensitivity_Analysis!AF21</f>
        <v>1369.1749495689864</v>
      </c>
      <c r="AG30" s="475">
        <f ca="1">(FS!$N$104-Sensitivity_Analysis!$N$21)+Sensitivity_Analysis!AG21</f>
        <v>1888.2139495689871</v>
      </c>
      <c r="AH30" s="3461"/>
    </row>
    <row r="31" spans="1:34">
      <c r="A31" s="442"/>
      <c r="B31" s="442"/>
      <c r="C31" s="477">
        <f ca="1">C16</f>
        <v>3.9759375008002655E-3</v>
      </c>
      <c r="D31" s="443">
        <f ca="1">ROUND(D16*(1-FS!$N$103/FS!$N$101)*10^3/AVERAGE(Valuation!$M$29:$N$29),-2)</f>
        <v>-1100</v>
      </c>
      <c r="E31" s="443">
        <f ca="1">ROUND(E16*(1-FS!$N$103/FS!$N$101)*10^3/AVERAGE(Valuation!$M$29:$N$29),-2)</f>
        <v>-1100</v>
      </c>
      <c r="F31" s="443">
        <f ca="1">ROUND(F16*(1-FS!$N$103/FS!$N$101)*10^3/AVERAGE(Valuation!$M$29:$N$29),-2)</f>
        <v>-1100</v>
      </c>
      <c r="G31" s="443">
        <f ca="1">ROUND(G16*(1-FS!$N$103/FS!$N$101)*10^3/AVERAGE(Valuation!$M$29:$N$29),-2)</f>
        <v>-1100</v>
      </c>
      <c r="H31" s="443">
        <f ca="1">ROUND(H16*(1-FS!$N$103/FS!$N$101)*10^3/AVERAGE(Valuation!$M$29:$N$29),-2)</f>
        <v>-1100</v>
      </c>
      <c r="I31" s="442"/>
      <c r="J31" s="3463"/>
      <c r="K31" s="486">
        <f t="shared" ca="1" si="19"/>
        <v>0.25750000000000001</v>
      </c>
      <c r="L31" s="443">
        <f ca="1">(FS!$N$104-Sensitivity_Analysis!$N$21)+Sensitivity_Analysis!L22</f>
        <v>-1454.6685072960045</v>
      </c>
      <c r="M31" s="443">
        <f ca="1">(FS!$N$104-Sensitivity_Analysis!$N$21)+Sensitivity_Analysis!M22</f>
        <v>-925.35150729600252</v>
      </c>
      <c r="N31" s="444">
        <f ca="1">(FS!$N$104-Sensitivity_Analysis!$N$21)+Sensitivity_Analysis!N22</f>
        <v>325.57319270399796</v>
      </c>
      <c r="O31" s="475">
        <f ca="1">(FS!$N$104-Sensitivity_Analysis!$N$21)+Sensitivity_Analysis!O22</f>
        <v>854.89019270399615</v>
      </c>
      <c r="P31" s="475">
        <f ca="1">(FS!$N$104-Sensitivity_Analysis!$N$21)+Sensitivity_Analysis!P22</f>
        <v>1384.2071927039988</v>
      </c>
      <c r="Q31" s="475">
        <f ca="1">(FS!$N$104-Sensitivity_Analysis!$N$21)+Sensitivity_Analysis!Q22</f>
        <v>1913.5241927039997</v>
      </c>
      <c r="R31" s="475">
        <f ca="1">(FS!$N$104-Sensitivity_Analysis!$N$21)+Sensitivity_Analysis!R22</f>
        <v>2442.8411927039988</v>
      </c>
      <c r="S31" s="475">
        <f ca="1">(FS!$N$104-Sensitivity_Analysis!$N$21)+Sensitivity_Analysis!S22</f>
        <v>2972.1581927039997</v>
      </c>
      <c r="T31" s="475">
        <f ca="1">(FS!$N$104-Sensitivity_Analysis!$N$21)+Sensitivity_Analysis!T22</f>
        <v>3501.4751927040006</v>
      </c>
      <c r="U31" s="3461"/>
      <c r="W31" s="3463"/>
      <c r="X31" s="486">
        <f t="shared" si="20"/>
        <v>5.0000000000000001E-3</v>
      </c>
      <c r="Y31" s="443">
        <f ca="1">(FS!$N$104-Sensitivity_Analysis!$N$21)+Sensitivity_Analysis!Y22</f>
        <v>-1454.6685072960045</v>
      </c>
      <c r="Z31" s="443">
        <f ca="1">(FS!$N$104-Sensitivity_Analysis!$N$21)+Sensitivity_Analysis!Z22</f>
        <v>-925.35150729600252</v>
      </c>
      <c r="AA31" s="444">
        <f ca="1">(FS!$N$104-Sensitivity_Analysis!$N$21)+Sensitivity_Analysis!AA22</f>
        <v>-1095.7140611861632</v>
      </c>
      <c r="AB31" s="475">
        <f ca="1">(FS!$N$104-Sensitivity_Analysis!$N$21)+Sensitivity_Analysis!AB22</f>
        <v>-566.39706118616311</v>
      </c>
      <c r="AC31" s="475">
        <f ca="1">(FS!$N$104-Sensitivity_Analysis!$N$21)+Sensitivity_Analysis!AC22</f>
        <v>-37.080061186163107</v>
      </c>
      <c r="AD31" s="475">
        <f ca="1">(FS!$N$104-Sensitivity_Analysis!$N$21)+Sensitivity_Analysis!AD22</f>
        <v>492.23693881383872</v>
      </c>
      <c r="AE31" s="475">
        <f ca="1">(FS!$N$104-Sensitivity_Analysis!$N$21)+Sensitivity_Analysis!AE22</f>
        <v>1021.5539388138396</v>
      </c>
      <c r="AF31" s="475">
        <f ca="1">(FS!$N$104-Sensitivity_Analysis!$N$21)+Sensitivity_Analysis!AF22</f>
        <v>1550.8709388138386</v>
      </c>
      <c r="AG31" s="475">
        <f ca="1">(FS!$N$104-Sensitivity_Analysis!$N$21)+Sensitivity_Analysis!AG22</f>
        <v>2080.1879388138377</v>
      </c>
      <c r="AH31" s="3461"/>
    </row>
    <row r="32" spans="1:34">
      <c r="A32" s="442"/>
      <c r="B32" s="442"/>
      <c r="C32" s="477">
        <f ca="1">C17</f>
        <v>1.1931546820505902E-2</v>
      </c>
      <c r="D32" s="443">
        <f ca="1">ROUND(D17*(1-FS!$N$103/FS!$N$101)*10^3/AVERAGE(Valuation!$M$29:$N$29),-2)</f>
        <v>-700</v>
      </c>
      <c r="E32" s="443">
        <f ca="1">ROUND(E17*(1-FS!$N$103/FS!$N$101)*10^3/AVERAGE(Valuation!$M$29:$N$29),-2)</f>
        <v>-700</v>
      </c>
      <c r="F32" s="443">
        <f ca="1">ROUND(F17*(1-FS!$N$103/FS!$N$101)*10^3/AVERAGE(Valuation!$M$29:$N$29),-2)</f>
        <v>-600</v>
      </c>
      <c r="G32" s="443">
        <f ca="1">ROUND(G17*(1-FS!$N$103/FS!$N$101)*10^3/AVERAGE(Valuation!$M$29:$N$29),-2)</f>
        <v>-600</v>
      </c>
      <c r="H32" s="443">
        <f ca="1">ROUND(H17*(1-FS!$N$103/FS!$N$101)*10^3/AVERAGE(Valuation!$M$29:$N$29),-2)</f>
        <v>-600</v>
      </c>
      <c r="I32" s="453"/>
      <c r="J32" s="3463"/>
      <c r="K32" s="486">
        <f t="shared" ca="1" si="19"/>
        <v>0.26250000000000001</v>
      </c>
      <c r="L32" s="443">
        <f ca="1">(FS!$N$104-Sensitivity_Analysis!$N$21)+Sensitivity_Analysis!L23</f>
        <v>-1331.3325072960042</v>
      </c>
      <c r="M32" s="443">
        <f ca="1">(FS!$N$104-Sensitivity_Analysis!$N$21)+Sensitivity_Analysis!M23</f>
        <v>-791.73750729600204</v>
      </c>
      <c r="N32" s="444">
        <f ca="1">(FS!$N$104-Sensitivity_Analysis!$N$21)+Sensitivity_Analysis!N23</f>
        <v>483.47699270399892</v>
      </c>
      <c r="O32" s="475">
        <f ca="1">(FS!$N$104-Sensitivity_Analysis!$N$21)+Sensitivity_Analysis!O23</f>
        <v>1023.0719927039964</v>
      </c>
      <c r="P32" s="475">
        <f ca="1">(FS!$N$104-Sensitivity_Analysis!$N$21)+Sensitivity_Analysis!P23</f>
        <v>1562.6669927039993</v>
      </c>
      <c r="Q32" s="475">
        <f ca="1">(FS!$N$104-Sensitivity_Analysis!$N$21)+Sensitivity_Analysis!Q23</f>
        <v>2102.2619927040005</v>
      </c>
      <c r="R32" s="475">
        <f ca="1">(FS!$N$104-Sensitivity_Analysis!$N$21)+Sensitivity_Analysis!R23</f>
        <v>2641.8569927039998</v>
      </c>
      <c r="S32" s="475">
        <f ca="1">(FS!$N$104-Sensitivity_Analysis!$N$21)+Sensitivity_Analysis!S23</f>
        <v>3181.4519927039992</v>
      </c>
      <c r="T32" s="475">
        <f ca="1">(FS!$N$104-Sensitivity_Analysis!$N$21)+Sensitivity_Analysis!T23</f>
        <v>3721.0469927040003</v>
      </c>
      <c r="U32" s="3461"/>
      <c r="W32" s="3463"/>
      <c r="X32" s="486">
        <f t="shared" si="20"/>
        <v>0.01</v>
      </c>
      <c r="Y32" s="443">
        <f ca="1">(FS!$N$104-Sensitivity_Analysis!$N$21)+Sensitivity_Analysis!Y23</f>
        <v>-1331.3325072960042</v>
      </c>
      <c r="Z32" s="443">
        <f ca="1">(FS!$N$104-Sensitivity_Analysis!$N$21)+Sensitivity_Analysis!Z23</f>
        <v>-791.73750729600204</v>
      </c>
      <c r="AA32" s="444">
        <f ca="1">(FS!$N$104-Sensitivity_Analysis!$N$21)+Sensitivity_Analysis!AA23</f>
        <v>-965.40807194131219</v>
      </c>
      <c r="AB32" s="475">
        <f ca="1">(FS!$N$104-Sensitivity_Analysis!$N$21)+Sensitivity_Analysis!AB23</f>
        <v>-425.81307194131102</v>
      </c>
      <c r="AC32" s="475">
        <f ca="1">(FS!$N$104-Sensitivity_Analysis!$N$21)+Sensitivity_Analysis!AC23</f>
        <v>113.78192805868832</v>
      </c>
      <c r="AD32" s="475">
        <f ca="1">(FS!$N$104-Sensitivity_Analysis!$N$21)+Sensitivity_Analysis!AD23</f>
        <v>653.3769280586904</v>
      </c>
      <c r="AE32" s="475">
        <f ca="1">(FS!$N$104-Sensitivity_Analysis!$N$21)+Sensitivity_Analysis!AE23</f>
        <v>1192.9719280586896</v>
      </c>
      <c r="AF32" s="475">
        <f ca="1">(FS!$N$104-Sensitivity_Analysis!$N$21)+Sensitivity_Analysis!AF23</f>
        <v>1732.5669280586908</v>
      </c>
      <c r="AG32" s="475">
        <f ca="1">(FS!$N$104-Sensitivity_Analysis!$N$21)+Sensitivity_Analysis!AG23</f>
        <v>2272.1619280586901</v>
      </c>
      <c r="AH32" s="3461"/>
    </row>
    <row r="33" spans="1:34">
      <c r="A33" s="442"/>
      <c r="B33" s="442"/>
      <c r="C33" s="477">
        <f ca="1">C18</f>
        <v>2.4997653028225125E-2</v>
      </c>
      <c r="D33" s="443">
        <f ca="1">ROUND(D18*(1-FS!$N$103/FS!$N$101)*10^3/AVERAGE(Valuation!$M$29:$N$29),-2)</f>
        <v>0</v>
      </c>
      <c r="E33" s="443">
        <f ca="1">ROUND(E18*(1-FS!$N$103/FS!$N$101)*10^3/AVERAGE(Valuation!$M$29:$N$29),-2)</f>
        <v>100</v>
      </c>
      <c r="F33" s="443">
        <f ca="1">ROUND(F18*(1-FS!$N$103/FS!$N$101)*10^3/AVERAGE(Valuation!$M$29:$N$29),-2)</f>
        <v>100</v>
      </c>
      <c r="G33" s="443">
        <f ca="1">ROUND(G18*(1-FS!$N$103/FS!$N$101)*10^3/AVERAGE(Valuation!$M$29:$N$29),-2)</f>
        <v>200</v>
      </c>
      <c r="H33" s="443">
        <f ca="1">ROUND(H18*(1-FS!$N$103/FS!$N$101)*10^3/AVERAGE(Valuation!$M$29:$N$29),-2)</f>
        <v>200</v>
      </c>
      <c r="I33" s="442"/>
      <c r="J33" s="3463"/>
      <c r="K33" s="486">
        <f t="shared" ca="1" si="19"/>
        <v>0.26750000000000002</v>
      </c>
      <c r="L33" s="443">
        <f ca="1">(FS!$N$104-Sensitivity_Analysis!$N$21)+Sensitivity_Analysis!L24</f>
        <v>-1207.996507296004</v>
      </c>
      <c r="M33" s="443">
        <f ca="1">(FS!$N$104-Sensitivity_Analysis!$N$21)+Sensitivity_Analysis!M24</f>
        <v>-658.12350729600246</v>
      </c>
      <c r="N33" s="444">
        <f ca="1">(FS!$N$104-Sensitivity_Analysis!$N$21)+Sensitivity_Analysis!N24</f>
        <v>641.38079270399896</v>
      </c>
      <c r="O33" s="475">
        <f ca="1">(FS!$N$104-Sensitivity_Analysis!$N$21)+Sensitivity_Analysis!O24</f>
        <v>1191.2537927039966</v>
      </c>
      <c r="P33" s="475">
        <f ca="1">(FS!$N$104-Sensitivity_Analysis!$N$21)+Sensitivity_Analysis!P24</f>
        <v>1741.126792703998</v>
      </c>
      <c r="Q33" s="475">
        <f ca="1">(FS!$N$104-Sensitivity_Analysis!$N$21)+Sensitivity_Analysis!Q24</f>
        <v>2290.9997927039994</v>
      </c>
      <c r="R33" s="475">
        <f ca="1">(FS!$N$104-Sensitivity_Analysis!$N$21)+Sensitivity_Analysis!R24</f>
        <v>2840.872792703999</v>
      </c>
      <c r="S33" s="475">
        <f ca="1">(FS!$N$104-Sensitivity_Analysis!$N$21)+Sensitivity_Analysis!S24</f>
        <v>3390.7457927039986</v>
      </c>
      <c r="T33" s="475">
        <f ca="1">(FS!$N$104-Sensitivity_Analysis!$N$21)+Sensitivity_Analysis!T24</f>
        <v>3940.6187927040019</v>
      </c>
      <c r="U33" s="3461"/>
      <c r="W33" s="3463"/>
      <c r="X33" s="486">
        <f t="shared" si="20"/>
        <v>1.4999999999999999E-2</v>
      </c>
      <c r="Y33" s="443">
        <f ca="1">(FS!$N$104-Sensitivity_Analysis!$N$21)+Sensitivity_Analysis!Y24</f>
        <v>-1207.996507296004</v>
      </c>
      <c r="Z33" s="443">
        <f ca="1">(FS!$N$104-Sensitivity_Analysis!$N$21)+Sensitivity_Analysis!Z24</f>
        <v>-658.12350729600246</v>
      </c>
      <c r="AA33" s="444">
        <f ca="1">(FS!$N$104-Sensitivity_Analysis!$N$21)+Sensitivity_Analysis!AA24</f>
        <v>-835.10208269646034</v>
      </c>
      <c r="AB33" s="475">
        <f ca="1">(FS!$N$104-Sensitivity_Analysis!$N$21)+Sensitivity_Analysis!AB24</f>
        <v>-285.22908269645984</v>
      </c>
      <c r="AC33" s="475">
        <f ca="1">(FS!$N$104-Sensitivity_Analysis!$N$21)+Sensitivity_Analysis!AC24</f>
        <v>264.64391730353975</v>
      </c>
      <c r="AD33" s="475">
        <f ca="1">(FS!$N$104-Sensitivity_Analysis!$N$21)+Sensitivity_Analysis!AD24</f>
        <v>814.51691730354207</v>
      </c>
      <c r="AE33" s="475">
        <f ca="1">(FS!$N$104-Sensitivity_Analysis!$N$21)+Sensitivity_Analysis!AE24</f>
        <v>1364.3899173035416</v>
      </c>
      <c r="AF33" s="475">
        <f ca="1">(FS!$N$104-Sensitivity_Analysis!$N$21)+Sensitivity_Analysis!AF24</f>
        <v>1914.2629173035411</v>
      </c>
      <c r="AG33" s="475">
        <f ca="1">(FS!$N$104-Sensitivity_Analysis!$N$21)+Sensitivity_Analysis!AG24</f>
        <v>2464.1359173035407</v>
      </c>
      <c r="AH33" s="3461"/>
    </row>
    <row r="34" spans="1:34">
      <c r="A34" s="442"/>
      <c r="B34" s="442"/>
      <c r="C34" s="477">
        <f ca="1">C19</f>
        <v>2.7842765459917193E-2</v>
      </c>
      <c r="D34" s="443">
        <f ca="1">ROUND(D19*(1-FS!$N$103/FS!$N$101)*10^3/AVERAGE(Valuation!$M$29:$N$29),-2)</f>
        <v>200</v>
      </c>
      <c r="E34" s="443">
        <f ca="1">ROUND(E19*(1-FS!$N$103/FS!$N$101)*10^3/AVERAGE(Valuation!$M$29:$N$29),-2)</f>
        <v>200</v>
      </c>
      <c r="F34" s="443">
        <f ca="1">ROUND(F19*(1-FS!$N$103/FS!$N$101)*10^3/AVERAGE(Valuation!$M$29:$N$29),-2)</f>
        <v>300</v>
      </c>
      <c r="G34" s="443">
        <f ca="1">ROUND(G19*(1-FS!$N$103/FS!$N$101)*10^3/AVERAGE(Valuation!$M$29:$N$29),-2)</f>
        <v>300</v>
      </c>
      <c r="H34" s="443">
        <f ca="1">ROUND(H19*(1-FS!$N$103/FS!$N$101)*10^3/AVERAGE(Valuation!$M$29:$N$29),-2)</f>
        <v>400</v>
      </c>
      <c r="I34" s="442"/>
      <c r="J34" s="445"/>
      <c r="K34" s="442"/>
      <c r="L34" s="442"/>
      <c r="M34" s="442"/>
      <c r="N34" s="442"/>
      <c r="O34" s="442"/>
      <c r="P34" s="442"/>
      <c r="Q34" s="442"/>
      <c r="R34" s="442"/>
      <c r="S34" s="442"/>
      <c r="T34" s="442"/>
      <c r="U34" s="445"/>
      <c r="W34" s="445"/>
      <c r="X34" s="442"/>
      <c r="Y34" s="442"/>
      <c r="Z34" s="442"/>
      <c r="AA34" s="442"/>
      <c r="AB34" s="442"/>
      <c r="AC34" s="442"/>
      <c r="AD34" s="442"/>
      <c r="AE34" s="442"/>
      <c r="AF34" s="442"/>
      <c r="AG34" s="442"/>
      <c r="AH34" s="445"/>
    </row>
    <row r="35" spans="1:34">
      <c r="A35" s="442"/>
      <c r="B35" s="442"/>
      <c r="C35" s="477">
        <f ca="1">C20</f>
        <v>3.5798374779622825E-2</v>
      </c>
      <c r="D35" s="443">
        <f ca="1">ROUND(D20*(1-FS!$N$103/FS!$N$101)*10^3/AVERAGE(Valuation!$M$29:$N$29),-2)</f>
        <v>600</v>
      </c>
      <c r="E35" s="443">
        <f ca="1">ROUND(E20*(1-FS!$N$103/FS!$N$101)*10^3/AVERAGE(Valuation!$M$29:$N$29),-2)</f>
        <v>700</v>
      </c>
      <c r="F35" s="443">
        <f ca="1">ROUND(F20*(1-FS!$N$103/FS!$N$101)*10^3/AVERAGE(Valuation!$M$29:$N$29),-2)</f>
        <v>700</v>
      </c>
      <c r="G35" s="443">
        <f ca="1">ROUND(G20*(1-FS!$N$103/FS!$N$101)*10^3/AVERAGE(Valuation!$M$29:$N$29),-2)</f>
        <v>800</v>
      </c>
      <c r="H35" s="443">
        <f ca="1">ROUND(H20*(1-FS!$N$103/FS!$N$101)*10^3/AVERAGE(Valuation!$M$29:$N$29),-2)</f>
        <v>900</v>
      </c>
      <c r="I35" s="442"/>
      <c r="J35" s="3463" t="s">
        <v>2845</v>
      </c>
      <c r="K35" s="441"/>
      <c r="L35" s="485">
        <f t="shared" ref="L35:T35" si="22">L17</f>
        <v>1.2</v>
      </c>
      <c r="M35" s="485">
        <f t="shared" si="22"/>
        <v>1.3</v>
      </c>
      <c r="N35" s="485">
        <f t="shared" ca="1" si="22"/>
        <v>1.5363280793928782</v>
      </c>
      <c r="O35" s="485">
        <f t="shared" ca="1" si="22"/>
        <v>1.6363280793928783</v>
      </c>
      <c r="P35" s="485">
        <f t="shared" ca="1" si="22"/>
        <v>1.7363280793928784</v>
      </c>
      <c r="Q35" s="485">
        <f t="shared" ca="1" si="22"/>
        <v>1.8363280793928785</v>
      </c>
      <c r="R35" s="485">
        <f t="shared" ca="1" si="22"/>
        <v>1.9363280793928785</v>
      </c>
      <c r="S35" s="485">
        <f t="shared" ca="1" si="22"/>
        <v>2.0363280793928786</v>
      </c>
      <c r="T35" s="485">
        <f t="shared" ca="1" si="22"/>
        <v>2.1363280793928787</v>
      </c>
      <c r="U35" s="445"/>
      <c r="W35" s="3463" t="s">
        <v>2845</v>
      </c>
      <c r="X35" s="441"/>
      <c r="Y35" s="485">
        <f t="shared" ref="Y35:AG35" si="23">Y17</f>
        <v>1.2</v>
      </c>
      <c r="Z35" s="485">
        <f t="shared" si="23"/>
        <v>1.3</v>
      </c>
      <c r="AA35" s="485">
        <f t="shared" si="23"/>
        <v>1.2678146453089245</v>
      </c>
      <c r="AB35" s="485">
        <f t="shared" si="23"/>
        <v>1.3678146453089246</v>
      </c>
      <c r="AC35" s="485">
        <f t="shared" si="23"/>
        <v>1.4678146453089247</v>
      </c>
      <c r="AD35" s="485">
        <f t="shared" si="23"/>
        <v>1.5678146453089248</v>
      </c>
      <c r="AE35" s="485">
        <f t="shared" si="23"/>
        <v>1.6678146453089249</v>
      </c>
      <c r="AF35" s="485">
        <f t="shared" si="23"/>
        <v>1.767814645308925</v>
      </c>
      <c r="AG35" s="485">
        <f t="shared" si="23"/>
        <v>1.867814645308925</v>
      </c>
      <c r="AH35" s="445"/>
    </row>
    <row r="36" spans="1:34" ht="14.5" customHeight="1">
      <c r="A36" s="442"/>
      <c r="B36" s="442"/>
      <c r="C36" s="442"/>
      <c r="D36" s="442"/>
      <c r="E36" s="442"/>
      <c r="F36" s="442"/>
      <c r="G36" s="442"/>
      <c r="H36" s="442"/>
      <c r="I36" s="442"/>
      <c r="J36" s="3463"/>
      <c r="K36" s="486">
        <f t="shared" ref="K36:K41" ca="1" si="24">K27</f>
        <v>0.23749999999999999</v>
      </c>
      <c r="L36" s="454">
        <f t="shared" ref="L36:T36" ca="1" si="25">L28/$N$30-1</f>
        <v>-11.882585532574048</v>
      </c>
      <c r="M36" s="454">
        <f t="shared" ca="1" si="25"/>
        <v>-8.9095742276424517</v>
      </c>
      <c r="N36" s="490">
        <f t="shared" ca="1" si="25"/>
        <v>-1.8835137105644801</v>
      </c>
      <c r="O36" s="454">
        <f t="shared" ca="1" si="25"/>
        <v>1.0894975943670997</v>
      </c>
      <c r="P36" s="454">
        <f t="shared" ca="1" si="25"/>
        <v>4.0625088992986962</v>
      </c>
      <c r="Q36" s="491">
        <f t="shared" ca="1" si="25"/>
        <v>7.0355202042302967</v>
      </c>
      <c r="R36" s="491">
        <f t="shared" ca="1" si="25"/>
        <v>10.008531509161887</v>
      </c>
      <c r="S36" s="491">
        <f t="shared" ca="1" si="25"/>
        <v>12.981542814093467</v>
      </c>
      <c r="T36" s="491">
        <f t="shared" ca="1" si="25"/>
        <v>15.954554119025069</v>
      </c>
      <c r="U36" s="445"/>
      <c r="W36" s="3463"/>
      <c r="X36" s="486">
        <f t="shared" ref="X36:X41" si="26">X27</f>
        <v>-1.4999999999999999E-2</v>
      </c>
      <c r="Y36" s="454">
        <f t="shared" ref="Y36:AG36" ca="1" si="27">Y28/$N$30-1</f>
        <v>-11.882585532574048</v>
      </c>
      <c r="Z36" s="454">
        <f t="shared" ca="1" si="27"/>
        <v>-8.9095742276424517</v>
      </c>
      <c r="AA36" s="490">
        <f t="shared" ca="1" si="27"/>
        <v>-9.866448461140461</v>
      </c>
      <c r="AB36" s="454">
        <f t="shared" ca="1" si="27"/>
        <v>-6.8934371562088632</v>
      </c>
      <c r="AC36" s="454">
        <f t="shared" ca="1" si="27"/>
        <v>-3.9204258512772783</v>
      </c>
      <c r="AD36" s="491">
        <f t="shared" ca="1" si="27"/>
        <v>-0.94741454634568223</v>
      </c>
      <c r="AE36" s="491">
        <f t="shared" ca="1" si="27"/>
        <v>2.0255967585859085</v>
      </c>
      <c r="AF36" s="491">
        <f t="shared" ca="1" si="27"/>
        <v>4.9986080635174996</v>
      </c>
      <c r="AG36" s="491">
        <f t="shared" ca="1" si="27"/>
        <v>7.9716193684490886</v>
      </c>
      <c r="AH36" s="445"/>
    </row>
    <row r="37" spans="1:34">
      <c r="A37" s="442"/>
      <c r="B37" s="442" t="s">
        <v>2848</v>
      </c>
      <c r="C37" s="476" t="str">
        <f t="shared" ref="C37:H37" si="28">C30</f>
        <v>%DT/%BLNHĐ</v>
      </c>
      <c r="D37" s="476">
        <f t="shared" ca="1" si="28"/>
        <v>-0.25439228452877954</v>
      </c>
      <c r="E37" s="476">
        <f t="shared" ca="1" si="28"/>
        <v>-0.22439228452877955</v>
      </c>
      <c r="F37" s="476">
        <f t="shared" ca="1" si="28"/>
        <v>-0.19439228452877955</v>
      </c>
      <c r="G37" s="476">
        <f t="shared" ca="1" si="28"/>
        <v>-0.16439228452877955</v>
      </c>
      <c r="H37" s="476">
        <f t="shared" ca="1" si="28"/>
        <v>-0.13439228452877955</v>
      </c>
      <c r="I37" s="442"/>
      <c r="J37" s="3463"/>
      <c r="K37" s="486">
        <f t="shared" ca="1" si="24"/>
        <v>0.24249999999999999</v>
      </c>
      <c r="L37" s="454">
        <f t="shared" ref="L37:T37" ca="1" si="29">L29/$N$30-1</f>
        <v>-11.146995106611591</v>
      </c>
      <c r="M37" s="454">
        <f t="shared" ca="1" si="29"/>
        <v>-8.1126845995164558</v>
      </c>
      <c r="N37" s="490">
        <f t="shared" ca="1" si="29"/>
        <v>-0.94175685528224007</v>
      </c>
      <c r="O37" s="454">
        <f t="shared" ca="1" si="29"/>
        <v>2.0925536518128847</v>
      </c>
      <c r="P37" s="454">
        <f t="shared" ca="1" si="29"/>
        <v>5.1268641589080142</v>
      </c>
      <c r="Q37" s="491">
        <f t="shared" ca="1" si="29"/>
        <v>8.1611746660031557</v>
      </c>
      <c r="R37" s="491">
        <f t="shared" ca="1" si="29"/>
        <v>11.195485173098275</v>
      </c>
      <c r="S37" s="491">
        <f t="shared" ca="1" si="29"/>
        <v>14.229795680193405</v>
      </c>
      <c r="T37" s="491">
        <f t="shared" ca="1" si="29"/>
        <v>17.264106187288533</v>
      </c>
      <c r="U37" s="445"/>
      <c r="W37" s="3463"/>
      <c r="X37" s="486">
        <f t="shared" si="26"/>
        <v>-0.01</v>
      </c>
      <c r="Y37" s="454">
        <f t="shared" ref="Y37:AG37" ca="1" si="30">Y29/$N$30-1</f>
        <v>-11.146995106611591</v>
      </c>
      <c r="Z37" s="454">
        <f t="shared" ca="1" si="30"/>
        <v>-8.1126845995164558</v>
      </c>
      <c r="AA37" s="490">
        <f t="shared" ca="1" si="30"/>
        <v>-9.0892881986535983</v>
      </c>
      <c r="AB37" s="454">
        <f t="shared" ca="1" si="30"/>
        <v>-6.0549776915584674</v>
      </c>
      <c r="AC37" s="454">
        <f t="shared" ca="1" si="30"/>
        <v>-3.0206671844633424</v>
      </c>
      <c r="AD37" s="491">
        <f t="shared" ca="1" si="30"/>
        <v>1.3643322631793131E-2</v>
      </c>
      <c r="AE37" s="491">
        <f t="shared" ca="1" si="30"/>
        <v>3.0479538297269233</v>
      </c>
      <c r="AF37" s="491">
        <f t="shared" ca="1" si="30"/>
        <v>6.0822643368220524</v>
      </c>
      <c r="AG37" s="491">
        <f t="shared" ca="1" si="30"/>
        <v>9.1165748439171725</v>
      </c>
      <c r="AH37" s="445"/>
    </row>
    <row r="38" spans="1:34">
      <c r="A38" s="442"/>
      <c r="B38" s="442"/>
      <c r="C38" s="477">
        <f ca="1">C31</f>
        <v>3.9759375008002655E-3</v>
      </c>
      <c r="D38" s="443">
        <f ca="1">ROUND(D16*(1-FS!$N$103/FS!$N$101)*10^3/AVERAGE(Valuation!$M$29:$N$29)*Valuation!$AF$49,-2)</f>
        <v>-22000</v>
      </c>
      <c r="E38" s="443">
        <f ca="1">ROUND(E16*(1-FS!$N$103/FS!$N$101)*10^3/AVERAGE(Valuation!$M$29:$N$29)*Valuation!$AF$49,-2)</f>
        <v>-21900</v>
      </c>
      <c r="F38" s="443">
        <f ca="1">ROUND(F16*(1-FS!$N$103/FS!$N$101)*10^3/AVERAGE(Valuation!$M$29:$N$29)*Valuation!$AF$49,-2)</f>
        <v>-21700</v>
      </c>
      <c r="G38" s="443">
        <f ca="1">ROUND(G16*(1-FS!$N$103/FS!$N$101)*10^3/AVERAGE(Valuation!$M$29:$N$29)*Valuation!$AF$49,-2)</f>
        <v>-21500</v>
      </c>
      <c r="H38" s="443">
        <f ca="1">ROUND(H16*(1-FS!$N$103/FS!$N$101)*10^3/AVERAGE(Valuation!$M$29:$N$29)*Valuation!$AF$49,-2)</f>
        <v>-21300</v>
      </c>
      <c r="I38" s="442"/>
      <c r="J38" s="3463"/>
      <c r="K38" s="486">
        <f t="shared" ca="1" si="24"/>
        <v>0.2475</v>
      </c>
      <c r="L38" s="454">
        <f t="shared" ref="L38:T38" ca="1" si="31">L30/$N$30-1</f>
        <v>-10.41140468064914</v>
      </c>
      <c r="M38" s="454">
        <f t="shared" ca="1" si="31"/>
        <v>-7.3157949713904644</v>
      </c>
      <c r="N38" s="490">
        <f ca="1">N30/$N$30-1</f>
        <v>0</v>
      </c>
      <c r="O38" s="454">
        <f t="shared" ca="1" si="31"/>
        <v>3.0956097092586532</v>
      </c>
      <c r="P38" s="491">
        <f t="shared" ca="1" si="31"/>
        <v>6.191219418517333</v>
      </c>
      <c r="Q38" s="491">
        <f t="shared" ca="1" si="31"/>
        <v>9.2868291277760022</v>
      </c>
      <c r="R38" s="491">
        <f t="shared" ca="1" si="31"/>
        <v>12.382438837034671</v>
      </c>
      <c r="S38" s="491">
        <f t="shared" ca="1" si="31"/>
        <v>15.47804854629333</v>
      </c>
      <c r="T38" s="491">
        <f t="shared" ca="1" si="31"/>
        <v>18.573658255552012</v>
      </c>
      <c r="U38" s="445"/>
      <c r="W38" s="3463"/>
      <c r="X38" s="486">
        <f t="shared" si="26"/>
        <v>-5.0000000000000001E-3</v>
      </c>
      <c r="Y38" s="454">
        <f ca="1">Y30/$N$30-1</f>
        <v>-10.41140468064914</v>
      </c>
      <c r="Z38" s="454">
        <f ca="1">Z30/$N$30-1</f>
        <v>-7.3157949713904644</v>
      </c>
      <c r="AA38" s="490">
        <f ca="1">AA30/$N$30-1</f>
        <v>-8.3121279361667408</v>
      </c>
      <c r="AB38" s="454">
        <f t="shared" ref="AB38:AG38" ca="1" si="32">AB30/$N$30-1</f>
        <v>-5.2165182269080708</v>
      </c>
      <c r="AC38" s="491">
        <f t="shared" ca="1" si="32"/>
        <v>-2.1209085176494069</v>
      </c>
      <c r="AD38" s="491">
        <f t="shared" ca="1" si="32"/>
        <v>0.97470119160926827</v>
      </c>
      <c r="AE38" s="491">
        <f t="shared" ca="1" si="32"/>
        <v>4.0703109008679377</v>
      </c>
      <c r="AF38" s="491">
        <f t="shared" ca="1" si="32"/>
        <v>7.1659206101265962</v>
      </c>
      <c r="AG38" s="491">
        <f t="shared" ca="1" si="32"/>
        <v>10.261530319385265</v>
      </c>
      <c r="AH38" s="445"/>
    </row>
    <row r="39" spans="1:34">
      <c r="A39" s="442"/>
      <c r="B39" s="442"/>
      <c r="C39" s="477">
        <f ca="1">C32</f>
        <v>1.1931546820505902E-2</v>
      </c>
      <c r="D39" s="443">
        <f ca="1">ROUND(D17*(1-FS!$N$103/FS!$N$101)*10^3/AVERAGE(Valuation!$M$29:$N$29)*Valuation!$AF$49,-2)</f>
        <v>-13600</v>
      </c>
      <c r="E39" s="443">
        <f ca="1">ROUND(E17*(1-FS!$N$103/FS!$N$101)*10^3/AVERAGE(Valuation!$M$29:$N$29)*Valuation!$AF$49,-2)</f>
        <v>-13100</v>
      </c>
      <c r="F39" s="443">
        <f ca="1">ROUND(F17*(1-FS!$N$103/FS!$N$101)*10^3/AVERAGE(Valuation!$M$29:$N$29)*Valuation!$AF$49,-2)</f>
        <v>-12600</v>
      </c>
      <c r="G39" s="443">
        <f ca="1">ROUND(G17*(1-FS!$N$103/FS!$N$101)*10^3/AVERAGE(Valuation!$M$29:$N$29)*Valuation!$AF$49,-2)</f>
        <v>-12100</v>
      </c>
      <c r="H39" s="443">
        <f ca="1">ROUND(H17*(1-FS!$N$103/FS!$N$101)*10^3/AVERAGE(Valuation!$M$29:$N$29)*Valuation!$AF$49,-2)</f>
        <v>-11600</v>
      </c>
      <c r="I39" s="442"/>
      <c r="J39" s="3463"/>
      <c r="K39" s="486">
        <f t="shared" ca="1" si="24"/>
        <v>0.2525</v>
      </c>
      <c r="L39" s="454">
        <f t="shared" ref="L39:T39" ca="1" si="33">L31/$N$30-1</f>
        <v>-9.6758142546866832</v>
      </c>
      <c r="M39" s="454">
        <f t="shared" ca="1" si="33"/>
        <v>-6.5189053432644686</v>
      </c>
      <c r="N39" s="896">
        <f t="shared" ca="1" si="33"/>
        <v>0.94175685528224018</v>
      </c>
      <c r="O39" s="454">
        <f t="shared" ca="1" si="33"/>
        <v>4.0986657667044328</v>
      </c>
      <c r="P39" s="491">
        <f t="shared" ca="1" si="33"/>
        <v>7.255574678126651</v>
      </c>
      <c r="Q39" s="491">
        <f t="shared" ca="1" si="33"/>
        <v>10.412483589548861</v>
      </c>
      <c r="R39" s="491">
        <f t="shared" ca="1" si="33"/>
        <v>13.569392500971059</v>
      </c>
      <c r="S39" s="491">
        <f t="shared" ca="1" si="33"/>
        <v>16.726301412393269</v>
      </c>
      <c r="T39" s="491">
        <f t="shared" ca="1" si="33"/>
        <v>19.883210323815476</v>
      </c>
      <c r="U39" s="445"/>
      <c r="W39" s="3463"/>
      <c r="X39" s="486">
        <f t="shared" si="26"/>
        <v>0</v>
      </c>
      <c r="Y39" s="454">
        <f t="shared" ref="Y39:AG39" ca="1" si="34">Y31/$N$30-1</f>
        <v>-9.6758142546866832</v>
      </c>
      <c r="Z39" s="454">
        <f t="shared" ca="1" si="34"/>
        <v>-6.5189053432644686</v>
      </c>
      <c r="AA39" s="896">
        <f t="shared" ca="1" si="34"/>
        <v>-7.5349676736798781</v>
      </c>
      <c r="AB39" s="454">
        <f t="shared" ca="1" si="34"/>
        <v>-4.3780587622576741</v>
      </c>
      <c r="AC39" s="491">
        <f t="shared" ca="1" si="34"/>
        <v>-1.2211498508354708</v>
      </c>
      <c r="AD39" s="491">
        <f t="shared" ca="1" si="34"/>
        <v>1.9357590605867436</v>
      </c>
      <c r="AE39" s="491">
        <f t="shared" ca="1" si="34"/>
        <v>5.0926679720089529</v>
      </c>
      <c r="AF39" s="491">
        <f t="shared" ca="1" si="34"/>
        <v>8.2495768834311498</v>
      </c>
      <c r="AG39" s="491">
        <f t="shared" ca="1" si="34"/>
        <v>11.406485794853348</v>
      </c>
      <c r="AH39" s="445"/>
    </row>
    <row r="40" spans="1:34">
      <c r="A40" s="442"/>
      <c r="B40" s="442"/>
      <c r="C40" s="477">
        <f ca="1">C33</f>
        <v>2.4997653028225125E-2</v>
      </c>
      <c r="D40" s="443">
        <f ca="1">ROUND(D18*(1-FS!$N$103/FS!$N$101)*10^3/AVERAGE(Valuation!$M$29:$N$29)*Valuation!$AF$49,-2)</f>
        <v>200</v>
      </c>
      <c r="E40" s="443">
        <f ca="1">ROUND(E18*(1-FS!$N$103/FS!$N$101)*10^3/AVERAGE(Valuation!$M$29:$N$29)*Valuation!$AF$49,-2)</f>
        <v>1200</v>
      </c>
      <c r="F40" s="443">
        <f ca="1">ROUND(F18*(1-FS!$N$103/FS!$N$101)*10^3/AVERAGE(Valuation!$M$29:$N$29)*Valuation!$AF$49,-2)</f>
        <v>2300</v>
      </c>
      <c r="G40" s="443">
        <f ca="1">ROUND(G18*(1-FS!$N$103/FS!$N$101)*10^3/AVERAGE(Valuation!$M$29:$N$29)*Valuation!$AF$49,-2)</f>
        <v>3400</v>
      </c>
      <c r="H40" s="443">
        <f ca="1">ROUND(H18*(1-FS!$N$103/FS!$N$101)*10^3/AVERAGE(Valuation!$M$29:$N$29)*Valuation!$AF$49,-2)</f>
        <v>4400</v>
      </c>
      <c r="I40" s="442"/>
      <c r="J40" s="3463"/>
      <c r="K40" s="486">
        <f t="shared" ca="1" si="24"/>
        <v>0.25750000000000001</v>
      </c>
      <c r="L40" s="454">
        <f t="shared" ref="L40:T40" ca="1" si="35">L32/$N$30-1</f>
        <v>-8.9402238287242266</v>
      </c>
      <c r="M40" s="454">
        <f t="shared" ca="1" si="35"/>
        <v>-5.7220157151384718</v>
      </c>
      <c r="N40" s="490">
        <f t="shared" ca="1" si="35"/>
        <v>1.8835137105644857</v>
      </c>
      <c r="O40" s="491">
        <f t="shared" ca="1" si="35"/>
        <v>5.1017218241502125</v>
      </c>
      <c r="P40" s="491">
        <f t="shared" ca="1" si="35"/>
        <v>8.3199299377359708</v>
      </c>
      <c r="Q40" s="491">
        <f t="shared" ca="1" si="35"/>
        <v>11.538138051321718</v>
      </c>
      <c r="R40" s="491">
        <f t="shared" ca="1" si="35"/>
        <v>14.756346164907457</v>
      </c>
      <c r="S40" s="491">
        <f t="shared" ca="1" si="35"/>
        <v>17.974554278493194</v>
      </c>
      <c r="T40" s="491">
        <f t="shared" ca="1" si="35"/>
        <v>21.192762392078944</v>
      </c>
      <c r="U40" s="445"/>
      <c r="W40" s="3463"/>
      <c r="X40" s="486">
        <f t="shared" si="26"/>
        <v>5.0000000000000001E-3</v>
      </c>
      <c r="Y40" s="454">
        <f t="shared" ref="Y40:AG40" ca="1" si="36">Y32/$N$30-1</f>
        <v>-8.9402238287242266</v>
      </c>
      <c r="Z40" s="454">
        <f t="shared" ca="1" si="36"/>
        <v>-5.7220157151384718</v>
      </c>
      <c r="AA40" s="490">
        <f t="shared" ca="1" si="36"/>
        <v>-6.7578074111930206</v>
      </c>
      <c r="AB40" s="491">
        <f t="shared" ca="1" si="36"/>
        <v>-3.5395992976072725</v>
      </c>
      <c r="AC40" s="491">
        <f t="shared" ca="1" si="36"/>
        <v>-0.32139118402153488</v>
      </c>
      <c r="AD40" s="491">
        <f t="shared" ca="1" si="36"/>
        <v>2.8968169295642188</v>
      </c>
      <c r="AE40" s="491">
        <f t="shared" ca="1" si="36"/>
        <v>6.1150250431499558</v>
      </c>
      <c r="AF40" s="491">
        <f t="shared" ca="1" si="36"/>
        <v>9.3332331567357034</v>
      </c>
      <c r="AG40" s="491">
        <f t="shared" ca="1" si="36"/>
        <v>12.551441270321442</v>
      </c>
      <c r="AH40" s="445"/>
    </row>
    <row r="41" spans="1:34">
      <c r="A41" s="442"/>
      <c r="B41" s="442"/>
      <c r="C41" s="477">
        <f ca="1">C34</f>
        <v>2.7842765459917193E-2</v>
      </c>
      <c r="D41" s="443">
        <f ca="1">ROUND(D19*(1-FS!$N$103/FS!$N$101)*10^3/AVERAGE(Valuation!$M$29:$N$29)*Valuation!$AF$49,-2)</f>
        <v>3200</v>
      </c>
      <c r="E41" s="443">
        <f ca="1">ROUND(E19*(1-FS!$N$103/FS!$N$101)*10^3/AVERAGE(Valuation!$M$29:$N$29)*Valuation!$AF$49,-2)</f>
        <v>4400</v>
      </c>
      <c r="F41" s="443">
        <f ca="1">ROUND(F19*(1-FS!$N$103/FS!$N$101)*10^3/AVERAGE(Valuation!$M$29:$N$29)*Valuation!$AF$49,-2)</f>
        <v>5500</v>
      </c>
      <c r="G41" s="443">
        <f ca="1">ROUND(G19*(1-FS!$N$103/FS!$N$101)*10^3/AVERAGE(Valuation!$M$29:$N$29)*Valuation!$AF$49,-2)</f>
        <v>6700</v>
      </c>
      <c r="H41" s="443">
        <f ca="1">ROUND(H19*(1-FS!$N$103/FS!$N$101)*10^3/AVERAGE(Valuation!$M$29:$N$29)*Valuation!$AF$49,-2)</f>
        <v>7900</v>
      </c>
      <c r="I41" s="442"/>
      <c r="J41" s="3463"/>
      <c r="K41" s="486">
        <f t="shared" ca="1" si="24"/>
        <v>0.26250000000000001</v>
      </c>
      <c r="L41" s="454">
        <f t="shared" ref="L41:T41" ca="1" si="37">L33/$N$30-1</f>
        <v>-8.20463340276177</v>
      </c>
      <c r="M41" s="454">
        <f t="shared" ca="1" si="37"/>
        <v>-4.9251260870124813</v>
      </c>
      <c r="N41" s="490">
        <f t="shared" ca="1" si="37"/>
        <v>2.8252705658467256</v>
      </c>
      <c r="O41" s="491">
        <f t="shared" ca="1" si="37"/>
        <v>6.1047778815959912</v>
      </c>
      <c r="P41" s="491">
        <f t="shared" ca="1" si="37"/>
        <v>9.3842851973452781</v>
      </c>
      <c r="Q41" s="491">
        <f t="shared" ca="1" si="37"/>
        <v>12.663792513094567</v>
      </c>
      <c r="R41" s="491">
        <f t="shared" ca="1" si="37"/>
        <v>15.943299828843845</v>
      </c>
      <c r="S41" s="491">
        <f t="shared" ca="1" si="37"/>
        <v>19.222807144593119</v>
      </c>
      <c r="T41" s="491">
        <f t="shared" ca="1" si="37"/>
        <v>22.502314460342419</v>
      </c>
      <c r="U41" s="445"/>
      <c r="W41" s="3463"/>
      <c r="X41" s="486">
        <f t="shared" si="26"/>
        <v>0.01</v>
      </c>
      <c r="Y41" s="454">
        <f t="shared" ref="Y41:AG41" ca="1" si="38">Y33/$N$30-1</f>
        <v>-8.20463340276177</v>
      </c>
      <c r="Z41" s="454">
        <f t="shared" ca="1" si="38"/>
        <v>-4.9251260870124813</v>
      </c>
      <c r="AA41" s="490">
        <f t="shared" ca="1" si="38"/>
        <v>-5.9806471487061579</v>
      </c>
      <c r="AB41" s="491">
        <f t="shared" ca="1" si="38"/>
        <v>-2.7011398329568759</v>
      </c>
      <c r="AC41" s="491">
        <f t="shared" ca="1" si="38"/>
        <v>0.57836748279240102</v>
      </c>
      <c r="AD41" s="491">
        <f t="shared" ca="1" si="38"/>
        <v>3.8578747985416939</v>
      </c>
      <c r="AE41" s="491">
        <f t="shared" ca="1" si="38"/>
        <v>7.1373821142909701</v>
      </c>
      <c r="AF41" s="491">
        <f t="shared" ca="1" si="38"/>
        <v>10.416889430040248</v>
      </c>
      <c r="AG41" s="491">
        <f t="shared" ca="1" si="38"/>
        <v>13.696396745789524</v>
      </c>
      <c r="AH41" s="445"/>
    </row>
    <row r="42" spans="1:34">
      <c r="A42" s="442"/>
      <c r="B42" s="442"/>
      <c r="C42" s="477">
        <f ca="1">C35</f>
        <v>3.5798374779622825E-2</v>
      </c>
      <c r="D42" s="443">
        <f ca="1">ROUND(D20*(1-FS!$N$103/FS!$N$101)*10^3/AVERAGE(Valuation!$M$29:$N$29)*Valuation!$AF$49,-2)</f>
        <v>11600</v>
      </c>
      <c r="E42" s="443">
        <f ca="1">ROUND(E20*(1-FS!$N$103/FS!$N$101)*10^3/AVERAGE(Valuation!$M$29:$N$29)*Valuation!$AF$49,-2)</f>
        <v>13100</v>
      </c>
      <c r="F42" s="443">
        <f ca="1">ROUND(F20*(1-FS!$N$103/FS!$N$101)*10^3/AVERAGE(Valuation!$M$29:$N$29)*Valuation!$AF$49,-2)</f>
        <v>14600</v>
      </c>
      <c r="G42" s="443">
        <f ca="1">ROUND(G20*(1-FS!$N$103/FS!$N$101)*10^3/AVERAGE(Valuation!$M$29:$N$29)*Valuation!$AF$49,-2)</f>
        <v>16100</v>
      </c>
      <c r="H42" s="443">
        <f ca="1">ROUND(H20*(1-FS!$N$103/FS!$N$101)*10^3/AVERAGE(Valuation!$M$29:$N$29)*Valuation!$AF$49,-2)</f>
        <v>17700</v>
      </c>
      <c r="I42" s="442"/>
      <c r="J42" s="445"/>
      <c r="K42" s="442" t="s">
        <v>2849</v>
      </c>
      <c r="L42" s="454"/>
      <c r="M42" s="454"/>
      <c r="N42" s="454"/>
      <c r="O42" s="454"/>
      <c r="P42" s="454"/>
      <c r="Q42" s="442"/>
      <c r="R42" s="442"/>
      <c r="S42" s="442"/>
      <c r="T42" s="442"/>
      <c r="U42" s="445"/>
      <c r="W42" s="445"/>
      <c r="X42" s="442" t="s">
        <v>2849</v>
      </c>
      <c r="Y42" s="454"/>
      <c r="Z42" s="454"/>
      <c r="AA42" s="454"/>
      <c r="AB42" s="454"/>
      <c r="AC42" s="454"/>
      <c r="AD42" s="442"/>
      <c r="AE42" s="442"/>
      <c r="AF42" s="442"/>
      <c r="AG42" s="442"/>
      <c r="AH42" s="445"/>
    </row>
    <row r="43" spans="1:34">
      <c r="A43" s="442"/>
      <c r="B43" s="442"/>
      <c r="C43" s="442"/>
      <c r="D43" s="442"/>
      <c r="E43" s="442"/>
      <c r="F43" s="442"/>
      <c r="G43" s="442"/>
      <c r="H43" s="442"/>
      <c r="I43" s="442"/>
      <c r="J43" s="445" t="s">
        <v>426</v>
      </c>
      <c r="K43" s="442"/>
      <c r="L43" s="478">
        <f>M43-0.2</f>
        <v>24.900000000000002</v>
      </c>
      <c r="M43" s="478">
        <f>N43-0.2</f>
        <v>25.1</v>
      </c>
      <c r="N43" s="478">
        <f>O43-0.2</f>
        <v>25.3</v>
      </c>
      <c r="O43" s="478">
        <f>Valuation!AK76</f>
        <v>25.5</v>
      </c>
      <c r="P43" s="478">
        <f>O43+0.2</f>
        <v>25.7</v>
      </c>
      <c r="Q43" s="478">
        <f>P43+0.2</f>
        <v>25.9</v>
      </c>
      <c r="R43" s="478">
        <f>Q43+0.2</f>
        <v>26.099999999999998</v>
      </c>
      <c r="S43" s="478">
        <f>R43+0.2</f>
        <v>26.299999999999997</v>
      </c>
      <c r="T43" s="478">
        <f>S43+0.2</f>
        <v>26.499999999999996</v>
      </c>
      <c r="U43" s="445"/>
      <c r="W43" s="445" t="s">
        <v>426</v>
      </c>
      <c r="X43" s="442"/>
      <c r="Y43" s="478">
        <f>Z43-0.2</f>
        <v>-0.60000000000000009</v>
      </c>
      <c r="Z43" s="478">
        <f>AA43-0.2</f>
        <v>-0.4</v>
      </c>
      <c r="AA43" s="478">
        <f>AB43-0.2</f>
        <v>-0.2</v>
      </c>
      <c r="AB43" s="478">
        <f>Valuation!AY76</f>
        <v>0</v>
      </c>
      <c r="AC43" s="478">
        <f>AB43+0.2</f>
        <v>0.2</v>
      </c>
      <c r="AD43" s="478">
        <f>AC43+0.2</f>
        <v>0.4</v>
      </c>
      <c r="AE43" s="478">
        <f>AD43+0.2</f>
        <v>0.60000000000000009</v>
      </c>
      <c r="AF43" s="478">
        <f>AE43+0.2</f>
        <v>0.8</v>
      </c>
      <c r="AG43" s="478">
        <f>AF43+0.2</f>
        <v>1</v>
      </c>
      <c r="AH43" s="445"/>
    </row>
    <row r="44" spans="1:34" hidden="1">
      <c r="A44" s="442"/>
      <c r="B44" s="479" t="s">
        <v>2850</v>
      </c>
      <c r="C44" s="479" t="s">
        <v>2851</v>
      </c>
      <c r="D44" s="479"/>
      <c r="E44" s="479"/>
      <c r="F44" s="479"/>
      <c r="G44" s="479"/>
      <c r="H44" s="479"/>
      <c r="I44" s="442"/>
      <c r="J44" s="445"/>
      <c r="K44" s="442" t="s">
        <v>2852</v>
      </c>
      <c r="L44" s="443">
        <f ca="1">M44</f>
        <v>41083.417042057001</v>
      </c>
      <c r="M44" s="443">
        <f ca="1">N44</f>
        <v>41083.417042057001</v>
      </c>
      <c r="N44" s="443">
        <f ca="1">O44</f>
        <v>41083.417042057001</v>
      </c>
      <c r="O44" s="443">
        <f ca="1">Valuation!AH57</f>
        <v>41083.417042057001</v>
      </c>
      <c r="P44" s="443">
        <f ca="1">O44</f>
        <v>41083.417042057001</v>
      </c>
      <c r="Q44" s="443">
        <f ca="1">P44</f>
        <v>41083.417042057001</v>
      </c>
      <c r="R44" s="443">
        <f ca="1">Q44</f>
        <v>41083.417042057001</v>
      </c>
      <c r="S44" s="443">
        <f ca="1">R44</f>
        <v>41083.417042057001</v>
      </c>
      <c r="T44" s="443">
        <f ca="1">S44</f>
        <v>41083.417042057001</v>
      </c>
      <c r="U44" s="445"/>
      <c r="W44" s="445"/>
      <c r="X44" s="442" t="s">
        <v>2852</v>
      </c>
      <c r="Y44" s="443">
        <f>Z44</f>
        <v>0</v>
      </c>
      <c r="Z44" s="443">
        <f>AA44</f>
        <v>0</v>
      </c>
      <c r="AA44" s="443">
        <f>AB44</f>
        <v>0</v>
      </c>
      <c r="AB44" s="443">
        <f>Valuation!AU57</f>
        <v>0</v>
      </c>
      <c r="AC44" s="443">
        <f>AB44</f>
        <v>0</v>
      </c>
      <c r="AD44" s="443">
        <f>AC44</f>
        <v>0</v>
      </c>
      <c r="AE44" s="443">
        <f>AD44</f>
        <v>0</v>
      </c>
      <c r="AF44" s="443">
        <f>AE44</f>
        <v>0</v>
      </c>
      <c r="AG44" s="443">
        <f>AF44</f>
        <v>0</v>
      </c>
      <c r="AH44" s="445"/>
    </row>
    <row r="45" spans="1:34">
      <c r="A45" s="442"/>
      <c r="B45" s="442"/>
      <c r="C45" s="480"/>
      <c r="D45" s="480">
        <f>E45-2</f>
        <v>5</v>
      </c>
      <c r="E45" s="480">
        <f>F45-2</f>
        <v>7</v>
      </c>
      <c r="F45" s="481">
        <v>9</v>
      </c>
      <c r="G45" s="480">
        <f>F45+2</f>
        <v>11</v>
      </c>
      <c r="H45" s="480">
        <f>G45+2</f>
        <v>13</v>
      </c>
      <c r="I45" s="442"/>
      <c r="J45" s="445"/>
      <c r="K45" s="442" t="s">
        <v>1561</v>
      </c>
      <c r="L45" s="453">
        <f ca="1">ROUND((L43*L44+Valuation!$AH$75+Valuation!$AH$77)*10^3/Valuation!$AH$80/(1+Valuation!$AK$73),-2)</f>
        <v>680100</v>
      </c>
      <c r="M45" s="453">
        <f ca="1">ROUND((M43*M44+Valuation!$AH$75+Valuation!$AH$77)*10^3/Valuation!$AH$80/(1+Valuation!$AK$73),-2)</f>
        <v>685300</v>
      </c>
      <c r="N45" s="453">
        <f ca="1">ROUND((N43*N44+Valuation!$AH$75+Valuation!$AH$77)*10^3/Valuation!$AH$80/(1+Valuation!$AK$73),-2)</f>
        <v>690500</v>
      </c>
      <c r="O45" s="453">
        <f ca="1">ROUND((O43*O44+Valuation!$AH$75+Valuation!$AH$77)*10^3/Valuation!$AH$80/(1+Valuation!$AK$73),-2)</f>
        <v>695600</v>
      </c>
      <c r="P45" s="453">
        <f ca="1">ROUND((P43*P44+Valuation!$AH$75+Valuation!$AH$77)*10^3/Valuation!$AH$80/(1+Valuation!$AK$73),-2)</f>
        <v>700800</v>
      </c>
      <c r="Q45" s="453">
        <f ca="1">ROUND((Q43*Q44+Valuation!$AH$75+Valuation!$AH$77)*10^3/Valuation!$AH$80/(1+Valuation!$AK$73),-2)</f>
        <v>705900</v>
      </c>
      <c r="R45" s="453">
        <f ca="1">ROUND((R43*R44+Valuation!$AH$75+Valuation!$AH$77)*10^3/Valuation!$AH$80/(1+Valuation!$AK$73),-2)</f>
        <v>711100</v>
      </c>
      <c r="S45" s="453">
        <f ca="1">ROUND((S43*S44+Valuation!$AH$75+Valuation!$AH$77)*10^3/Valuation!$AH$80/(1+Valuation!$AK$73),-2)</f>
        <v>716300</v>
      </c>
      <c r="T45" s="453">
        <f ca="1">ROUND((T43*T44+Valuation!$AH$75+Valuation!$AH$77)*10^3/Valuation!$AH$80/(1+Valuation!$AK$73),-2)</f>
        <v>721400</v>
      </c>
      <c r="U45" s="445"/>
      <c r="W45" s="445"/>
      <c r="X45" s="442" t="s">
        <v>1561</v>
      </c>
      <c r="Y45" s="453">
        <f ca="1">ROUND((Y43*Y44+Valuation!$AH$75+Valuation!$AH$77)*10^3/Valuation!$AH$80/(1+Valuation!$AK$73),-2)</f>
        <v>37600</v>
      </c>
      <c r="Z45" s="453">
        <f ca="1">ROUND((Z43*Z44+Valuation!$AH$75+Valuation!$AH$77)*10^3/Valuation!$AH$80/(1+Valuation!$AK$73),-2)</f>
        <v>37600</v>
      </c>
      <c r="AA45" s="453">
        <f ca="1">ROUND((AA43*AA44+Valuation!$AH$75+Valuation!$AH$77)*10^3/Valuation!$AH$80/(1+Valuation!$AK$73),-2)</f>
        <v>37600</v>
      </c>
      <c r="AB45" s="453">
        <f ca="1">ROUND((AB43*AB44+Valuation!$AH$75+Valuation!$AH$77)*10^3/Valuation!$AH$80/(1+Valuation!$AK$73),-2)</f>
        <v>37600</v>
      </c>
      <c r="AC45" s="453">
        <f ca="1">ROUND((AC43*AC44+Valuation!$AH$75+Valuation!$AH$77)*10^3/Valuation!$AH$80/(1+Valuation!$AK$73),-2)</f>
        <v>37600</v>
      </c>
      <c r="AD45" s="453">
        <f ca="1">ROUND((AD43*AD44+Valuation!$AH$75+Valuation!$AH$77)*10^3/Valuation!$AH$80/(1+Valuation!$AK$73),-2)</f>
        <v>37600</v>
      </c>
      <c r="AE45" s="453">
        <f ca="1">ROUND((AE43*AE44+Valuation!$AH$75+Valuation!$AH$77)*10^3/Valuation!$AH$80/(1+Valuation!$AK$73),-2)</f>
        <v>37600</v>
      </c>
      <c r="AF45" s="453">
        <f ca="1">ROUND((AF43*AF44+Valuation!$AH$75+Valuation!$AH$77)*10^3/Valuation!$AH$80/(1+Valuation!$AK$73),-2)</f>
        <v>37600</v>
      </c>
      <c r="AG45" s="453">
        <f ca="1">ROUND((AG43*AG44+Valuation!$AH$75+Valuation!$AH$77)*10^3/Valuation!$AH$80/(1+Valuation!$AK$73),-2)</f>
        <v>37600</v>
      </c>
      <c r="AH45" s="445"/>
    </row>
    <row r="46" spans="1:34">
      <c r="A46" s="442"/>
      <c r="B46" s="442"/>
      <c r="C46" s="482">
        <f ca="1">C38</f>
        <v>3.9759375008002655E-3</v>
      </c>
      <c r="D46" s="443">
        <f ca="1">($F9*10^3/AVERAGE(Valuation!$M$29,Valuation!$N$27))*D$45</f>
        <v>1134.0189357753143</v>
      </c>
      <c r="E46" s="443">
        <f ca="1">($F9*10^3/AVERAGE(Valuation!$M$29,Valuation!$N$27))*E$45</f>
        <v>1587.6265100854403</v>
      </c>
      <c r="F46" s="443">
        <f ca="1">($F9*10^3/AVERAGE(Valuation!$M$29,Valuation!$N$27))*F$45</f>
        <v>2041.2340843955658</v>
      </c>
      <c r="G46" s="443">
        <f ca="1">($F9*10^3/AVERAGE(Valuation!$M$29,Valuation!$N$27))*G$45</f>
        <v>2494.8416587056918</v>
      </c>
      <c r="H46" s="443">
        <f ca="1">($F9*10^3/AVERAGE(Valuation!$M$29,Valuation!$N$27))*H$45</f>
        <v>2948.4492330158173</v>
      </c>
      <c r="I46" s="442"/>
      <c r="J46" s="445"/>
      <c r="K46" s="442" t="s">
        <v>1448</v>
      </c>
      <c r="L46" s="454">
        <f ca="1">L45/Valuation!$AK$89-1</f>
        <v>6.9081395348837207</v>
      </c>
      <c r="M46" s="454">
        <f ca="1">M45/Valuation!$AK$89-1</f>
        <v>6.9686046511627904</v>
      </c>
      <c r="N46" s="490">
        <f ca="1">N45/Valuation!$AK$89-1</f>
        <v>7.029069767441861</v>
      </c>
      <c r="O46" s="491">
        <f ca="1">O45/Valuation!$AK$89-1</f>
        <v>7.0883720930232563</v>
      </c>
      <c r="P46" s="491">
        <f ca="1">P45/Valuation!$AK$89-1</f>
        <v>7.1488372093023251</v>
      </c>
      <c r="Q46" s="491">
        <f ca="1">Q45/Valuation!$AK$89-1</f>
        <v>7.2081395348837205</v>
      </c>
      <c r="R46" s="491">
        <f ca="1">R45/Valuation!$AK$89-1</f>
        <v>7.2686046511627911</v>
      </c>
      <c r="S46" s="491">
        <f ca="1">S45/Valuation!$AK$89-1</f>
        <v>7.3290697674418599</v>
      </c>
      <c r="T46" s="491">
        <f ca="1">T45/Valuation!$AK$89-1</f>
        <v>7.3883720930232553</v>
      </c>
      <c r="U46" s="445"/>
      <c r="W46" s="445"/>
      <c r="X46" s="442" t="s">
        <v>1448</v>
      </c>
      <c r="Y46" s="454">
        <f ca="1">Y45/Valuation!$AK$89-1</f>
        <v>-0.56279069767441858</v>
      </c>
      <c r="Z46" s="454">
        <f ca="1">Z45/Valuation!$AK$89-1</f>
        <v>-0.56279069767441858</v>
      </c>
      <c r="AA46" s="490">
        <f ca="1">AA45/Valuation!$AK$89-1</f>
        <v>-0.56279069767441858</v>
      </c>
      <c r="AB46" s="491">
        <f ca="1">AB45/Valuation!$AK$89-1</f>
        <v>-0.56279069767441858</v>
      </c>
      <c r="AC46" s="491">
        <f ca="1">AC45/Valuation!$AK$89-1</f>
        <v>-0.56279069767441858</v>
      </c>
      <c r="AD46" s="491">
        <f ca="1">AD45/Valuation!$AK$89-1</f>
        <v>-0.56279069767441858</v>
      </c>
      <c r="AE46" s="491">
        <f ca="1">AE45/Valuation!$AK$89-1</f>
        <v>-0.56279069767441858</v>
      </c>
      <c r="AF46" s="491">
        <f ca="1">AF45/Valuation!$AK$89-1</f>
        <v>-0.56279069767441858</v>
      </c>
      <c r="AG46" s="491">
        <f ca="1">AG45/Valuation!$AK$89-1</f>
        <v>-0.56279069767441858</v>
      </c>
      <c r="AH46" s="445"/>
    </row>
    <row r="47" spans="1:34">
      <c r="A47" s="442"/>
      <c r="B47" s="442"/>
      <c r="C47" s="482">
        <f ca="1">C39</f>
        <v>1.1931546820505902E-2</v>
      </c>
      <c r="D47" s="443">
        <f ca="1">($F10*10^3/AVERAGE(Valuation!$M$29,Valuation!$N$27))*D$45</f>
        <v>3403.1219114535979</v>
      </c>
      <c r="E47" s="443">
        <f ca="1">($F10*10^3/AVERAGE(Valuation!$M$29,Valuation!$N$27))*E$45</f>
        <v>4764.3706760350369</v>
      </c>
      <c r="F47" s="443">
        <f ca="1">($F10*10^3/AVERAGE(Valuation!$M$29,Valuation!$N$27))*F$45</f>
        <v>6125.6194406164768</v>
      </c>
      <c r="G47" s="443">
        <f ca="1">($F10*10^3/AVERAGE(Valuation!$M$29,Valuation!$N$27))*G$45</f>
        <v>7486.8682051979158</v>
      </c>
      <c r="H47" s="443">
        <f ca="1">($F10*10^3/AVERAGE(Valuation!$M$29,Valuation!$N$27))*H$45</f>
        <v>8848.1169697793557</v>
      </c>
      <c r="I47" s="442"/>
      <c r="J47" s="445"/>
      <c r="K47" s="483"/>
      <c r="L47" s="442"/>
      <c r="M47" s="442"/>
      <c r="N47" s="442"/>
      <c r="O47" s="442"/>
      <c r="P47" s="442"/>
      <c r="Q47" s="442"/>
      <c r="R47" s="442"/>
      <c r="S47" s="442"/>
      <c r="T47" s="442"/>
      <c r="U47" s="445"/>
      <c r="W47" s="445"/>
      <c r="X47" s="483"/>
      <c r="Y47" s="442"/>
      <c r="Z47" s="442"/>
      <c r="AA47" s="442"/>
      <c r="AB47" s="442"/>
      <c r="AC47" s="442"/>
      <c r="AD47" s="442"/>
      <c r="AE47" s="442"/>
      <c r="AF47" s="442"/>
      <c r="AG47" s="442"/>
      <c r="AH47" s="445"/>
    </row>
    <row r="48" spans="1:34">
      <c r="A48" s="442"/>
      <c r="B48" s="442"/>
      <c r="C48" s="482">
        <f ca="1">C40</f>
        <v>2.4997653028225125E-2</v>
      </c>
      <c r="D48" s="443">
        <f ca="1">($F11*10^3/AVERAGE(Valuation!$M$29,Valuation!$N$27))*D$45</f>
        <v>7129.843433968128</v>
      </c>
      <c r="E48" s="443">
        <f ca="1">($F11*10^3/AVERAGE(Valuation!$M$29,Valuation!$N$27))*E$45</f>
        <v>9981.7808075553803</v>
      </c>
      <c r="F48" s="484">
        <f ca="1">($F11*10^3/AVERAGE(Valuation!$M$29,Valuation!$N$27))*F$45</f>
        <v>12833.718181142631</v>
      </c>
      <c r="G48" s="443">
        <f ca="1">($F11*10^3/AVERAGE(Valuation!$M$29,Valuation!$N$27))*G$45</f>
        <v>15685.655554729883</v>
      </c>
      <c r="H48" s="443">
        <f ca="1">($F11*10^3/AVERAGE(Valuation!$M$29,Valuation!$N$27))*H$45</f>
        <v>18537.592928317135</v>
      </c>
      <c r="I48" s="442"/>
      <c r="J48" s="445"/>
      <c r="K48" s="483"/>
      <c r="L48" s="442"/>
      <c r="M48" s="442"/>
      <c r="N48" s="442"/>
      <c r="O48" s="442"/>
      <c r="P48" s="442"/>
      <c r="Q48" s="442"/>
      <c r="R48" s="442"/>
      <c r="S48" s="442"/>
      <c r="T48" s="442"/>
      <c r="U48" s="445"/>
      <c r="W48" s="445"/>
      <c r="X48" s="483"/>
      <c r="Y48" s="442"/>
      <c r="Z48" s="442"/>
      <c r="AA48" s="442"/>
      <c r="AB48" s="442"/>
      <c r="AC48" s="442"/>
      <c r="AD48" s="442"/>
      <c r="AE48" s="442"/>
      <c r="AF48" s="442"/>
      <c r="AG48" s="442"/>
      <c r="AH48" s="445"/>
    </row>
    <row r="49" spans="2:8">
      <c r="B49" s="442"/>
      <c r="C49" s="482">
        <f ca="1">C41</f>
        <v>2.7842765459917193E-2</v>
      </c>
      <c r="D49" s="443">
        <f ca="1">($F12*10^3/AVERAGE(Valuation!$M$29,Valuation!$N$27))*D$45</f>
        <v>7941.3278628101689</v>
      </c>
      <c r="E49" s="443">
        <f ca="1">($F12*10^3/AVERAGE(Valuation!$M$29,Valuation!$N$27))*E$45</f>
        <v>11117.859007934238</v>
      </c>
      <c r="F49" s="443">
        <f ca="1">($F12*10^3/AVERAGE(Valuation!$M$29,Valuation!$N$27))*F$45</f>
        <v>14294.390153058304</v>
      </c>
      <c r="G49" s="443">
        <f ca="1">($F12*10^3/AVERAGE(Valuation!$M$29,Valuation!$N$27))*G$45</f>
        <v>17470.921298182373</v>
      </c>
      <c r="H49" s="443">
        <f ca="1">($F12*10^3/AVERAGE(Valuation!$M$29,Valuation!$N$27))*H$45</f>
        <v>20647.45244330644</v>
      </c>
    </row>
    <row r="50" spans="2:8">
      <c r="B50" s="442"/>
      <c r="C50" s="482">
        <f ca="1">C42</f>
        <v>3.5798374779622825E-2</v>
      </c>
      <c r="D50" s="443">
        <f ca="1">($F13*10^3/AVERAGE(Valuation!$M$29,Valuation!$N$27))*D$45</f>
        <v>10210.430838488452</v>
      </c>
      <c r="E50" s="443">
        <f ca="1">($F13*10^3/AVERAGE(Valuation!$M$29,Valuation!$N$27))*E$45</f>
        <v>14294.603173883832</v>
      </c>
      <c r="F50" s="443">
        <f ca="1">($F13*10^3/AVERAGE(Valuation!$M$29,Valuation!$N$27))*F$45</f>
        <v>18378.775509279214</v>
      </c>
      <c r="G50" s="443">
        <f ca="1">($F13*10^3/AVERAGE(Valuation!$M$29,Valuation!$N$27))*G$45</f>
        <v>22462.947844674592</v>
      </c>
      <c r="H50" s="443">
        <f ca="1">($F13*10^3/AVERAGE(Valuation!$M$29,Valuation!$N$27))*H$45</f>
        <v>26547.120180069975</v>
      </c>
    </row>
    <row r="51" spans="2:8">
      <c r="D51" s="438"/>
      <c r="E51" s="438"/>
      <c r="F51" s="438"/>
      <c r="G51" s="438"/>
      <c r="H51" s="438"/>
    </row>
    <row r="52" spans="2:8">
      <c r="D52" s="456">
        <f>D45</f>
        <v>5</v>
      </c>
      <c r="E52" s="456">
        <f>E45</f>
        <v>7</v>
      </c>
      <c r="F52" s="456">
        <f>F45</f>
        <v>9</v>
      </c>
      <c r="G52" s="456">
        <f>G45</f>
        <v>11</v>
      </c>
      <c r="H52" s="456">
        <f>H45</f>
        <v>13</v>
      </c>
    </row>
    <row r="53" spans="2:8">
      <c r="C53" s="457">
        <f ca="1">C46</f>
        <v>3.9759375008002655E-3</v>
      </c>
      <c r="D53" s="448">
        <f ca="1">ROUND(D46+Valuation!$AM$7+Valuation!$AM$11,-2)</f>
        <v>16900</v>
      </c>
      <c r="E53" s="448">
        <f ca="1">ROUND(E46+Valuation!$AM$7+Valuation!$AM$11,-2)</f>
        <v>17400</v>
      </c>
      <c r="F53" s="448">
        <f ca="1">ROUND(F46+Valuation!$AM$7+Valuation!$AM$11,-2)</f>
        <v>17900</v>
      </c>
      <c r="G53" s="448">
        <f ca="1">ROUND(G46+Valuation!$AM$7+Valuation!$AM$11,-2)</f>
        <v>18300</v>
      </c>
      <c r="H53" s="448">
        <f ca="1">ROUND(H46+Valuation!$AM$7+Valuation!$AM$11,-2)</f>
        <v>18800</v>
      </c>
    </row>
    <row r="54" spans="2:8">
      <c r="C54" s="457">
        <f ca="1">C47</f>
        <v>1.1931546820505902E-2</v>
      </c>
      <c r="D54" s="448">
        <f ca="1">ROUND(D47+Valuation!$AM$7+Valuation!$AM$11,-2)</f>
        <v>19200</v>
      </c>
      <c r="E54" s="448">
        <f ca="1">ROUND(E47+Valuation!$AM$7+Valuation!$AM$11,-2)</f>
        <v>20600</v>
      </c>
      <c r="F54" s="448">
        <f ca="1">ROUND(F47+Valuation!$AM$7+Valuation!$AM$11,-2)</f>
        <v>21900</v>
      </c>
      <c r="G54" s="448">
        <f ca="1">ROUND(G47+Valuation!$AM$7+Valuation!$AM$11,-2)</f>
        <v>23300</v>
      </c>
      <c r="H54" s="448">
        <f ca="1">ROUND(H47+Valuation!$AM$7+Valuation!$AM$11,-2)</f>
        <v>24700</v>
      </c>
    </row>
    <row r="55" spans="2:8">
      <c r="C55" s="457">
        <f ca="1">C48</f>
        <v>2.4997653028225125E-2</v>
      </c>
      <c r="D55" s="448">
        <f ca="1">ROUND(D48+Valuation!$AM$7+Valuation!$AM$11,-2)</f>
        <v>22900</v>
      </c>
      <c r="E55" s="448">
        <f ca="1">ROUND(E48+Valuation!$AM$7+Valuation!$AM$11,-2)</f>
        <v>25800</v>
      </c>
      <c r="F55" s="458">
        <f ca="1">ROUND(F48+Valuation!$AM$7+Valuation!$AM$11,-2)</f>
        <v>28600</v>
      </c>
      <c r="G55" s="448">
        <f ca="1">ROUND(G48+Valuation!$AM$7+Valuation!$AM$11,-2)</f>
        <v>31500</v>
      </c>
      <c r="H55" s="448">
        <f ca="1">ROUND(H48+Valuation!$AM$7+Valuation!$AM$11,-2)</f>
        <v>34300</v>
      </c>
    </row>
    <row r="56" spans="2:8">
      <c r="C56" s="457">
        <f ca="1">C49</f>
        <v>2.7842765459917193E-2</v>
      </c>
      <c r="D56" s="448">
        <f ca="1">ROUND(D49+Valuation!$AM$7+Valuation!$AM$11,-2)</f>
        <v>23800</v>
      </c>
      <c r="E56" s="448">
        <f ca="1">ROUND(E49+Valuation!$AM$7+Valuation!$AM$11,-2)</f>
        <v>26900</v>
      </c>
      <c r="F56" s="448">
        <f ca="1">ROUND(F49+Valuation!$AM$7+Valuation!$AM$11,-2)</f>
        <v>30100</v>
      </c>
      <c r="G56" s="448">
        <f ca="1">ROUND(G49+Valuation!$AM$7+Valuation!$AM$11,-2)</f>
        <v>33300</v>
      </c>
      <c r="H56" s="448">
        <f ca="1">ROUND(H49+Valuation!$AM$7+Valuation!$AM$11,-2)</f>
        <v>36500</v>
      </c>
    </row>
    <row r="57" spans="2:8">
      <c r="C57" s="457">
        <f ca="1">C50</f>
        <v>3.5798374779622825E-2</v>
      </c>
      <c r="D57" s="448">
        <f ca="1">ROUND(D50+Valuation!$AM$7+Valuation!$AM$11,-2)</f>
        <v>26000</v>
      </c>
      <c r="E57" s="448">
        <f ca="1">ROUND(E50+Valuation!$AM$7+Valuation!$AM$11,-2)</f>
        <v>30100</v>
      </c>
      <c r="F57" s="448">
        <f ca="1">ROUND(F50+Valuation!$AM$7+Valuation!$AM$11,-2)</f>
        <v>34200</v>
      </c>
      <c r="G57" s="448">
        <f ca="1">ROUND(G50+Valuation!$AM$7+Valuation!$AM$11,-2)</f>
        <v>38300</v>
      </c>
      <c r="H57" s="448">
        <f ca="1">ROUND(H50+Valuation!$AM$7+Valuation!$AM$11,-2)</f>
        <v>42400</v>
      </c>
    </row>
  </sheetData>
  <mergeCells count="18">
    <mergeCell ref="W26:W33"/>
    <mergeCell ref="AH27:AH33"/>
    <mergeCell ref="W35:W41"/>
    <mergeCell ref="X7:AG7"/>
    <mergeCell ref="W9:W15"/>
    <mergeCell ref="X16:AG16"/>
    <mergeCell ref="W18:W23"/>
    <mergeCell ref="Y25:AG25"/>
    <mergeCell ref="J35:J41"/>
    <mergeCell ref="B22:B27"/>
    <mergeCell ref="J9:J15"/>
    <mergeCell ref="K16:T16"/>
    <mergeCell ref="L25:T25"/>
    <mergeCell ref="U27:U33"/>
    <mergeCell ref="K7:T7"/>
    <mergeCell ref="B15:B20"/>
    <mergeCell ref="J18:J23"/>
    <mergeCell ref="J26:J33"/>
  </mergeCells>
  <conditionalFormatting sqref="D9:H13">
    <cfRule type="colorScale" priority="20">
      <colorScale>
        <cfvo type="min"/>
        <cfvo type="percentile" val="50"/>
        <cfvo type="max"/>
        <color rgb="FFF8696B"/>
        <color rgb="FFFFEB84"/>
        <color rgb="FF63BE7B"/>
      </colorScale>
    </cfRule>
  </conditionalFormatting>
  <conditionalFormatting sqref="D16:H20">
    <cfRule type="colorScale" priority="18">
      <colorScale>
        <cfvo type="min"/>
        <cfvo type="percentile" val="50"/>
        <cfvo type="max"/>
        <color rgb="FFF8696B"/>
        <color rgb="FFFFEB84"/>
        <color rgb="FF63BE7B"/>
      </colorScale>
    </cfRule>
  </conditionalFormatting>
  <conditionalFormatting sqref="D23:H27">
    <cfRule type="colorScale" priority="11">
      <colorScale>
        <cfvo type="min"/>
        <cfvo type="percentile" val="50"/>
        <cfvo type="max"/>
        <color rgb="FFF8696B"/>
        <color rgb="FFFFEB84"/>
        <color rgb="FF63BE7B"/>
      </colorScale>
    </cfRule>
  </conditionalFormatting>
  <conditionalFormatting sqref="D31:H35">
    <cfRule type="colorScale" priority="19">
      <colorScale>
        <cfvo type="min"/>
        <cfvo type="percentile" val="50"/>
        <cfvo type="max"/>
        <color rgb="FFF8696B"/>
        <color rgb="FFFFEB84"/>
        <color rgb="FF63BE7B"/>
      </colorScale>
    </cfRule>
  </conditionalFormatting>
  <conditionalFormatting sqref="D38:H42">
    <cfRule type="colorScale" priority="15">
      <colorScale>
        <cfvo type="min"/>
        <cfvo type="percentile" val="50"/>
        <cfvo type="max"/>
        <color rgb="FFF8696B"/>
        <color rgb="FFFFEB84"/>
        <color rgb="FF63BE7B"/>
      </colorScale>
    </cfRule>
  </conditionalFormatting>
  <conditionalFormatting sqref="D46:H50">
    <cfRule type="colorScale" priority="13">
      <colorScale>
        <cfvo type="min"/>
        <cfvo type="percentile" val="50"/>
        <cfvo type="max"/>
        <color rgb="FFF8696B"/>
        <color rgb="FFFFEB84"/>
        <color rgb="FF63BE7B"/>
      </colorScale>
    </cfRule>
  </conditionalFormatting>
  <conditionalFormatting sqref="L9:T15">
    <cfRule type="colorScale" priority="9">
      <colorScale>
        <cfvo type="min"/>
        <cfvo type="percentile" val="50"/>
        <cfvo type="max"/>
        <color rgb="FFF8696B"/>
        <color rgb="FFFFEB84"/>
        <color rgb="FF63BE7B"/>
      </colorScale>
    </cfRule>
  </conditionalFormatting>
  <conditionalFormatting sqref="L18:T24">
    <cfRule type="colorScale" priority="16">
      <colorScale>
        <cfvo type="min"/>
        <cfvo type="percentile" val="50"/>
        <cfvo type="max"/>
        <color rgb="FFF8696B"/>
        <color rgb="FFFFEB84"/>
        <color rgb="FF63BE7B"/>
      </colorScale>
    </cfRule>
  </conditionalFormatting>
  <conditionalFormatting sqref="L27:T33">
    <cfRule type="colorScale" priority="8">
      <colorScale>
        <cfvo type="min"/>
        <cfvo type="percentile" val="50"/>
        <cfvo type="max"/>
        <color rgb="FFF8696B"/>
        <color rgb="FFFFEB84"/>
        <color rgb="FF63BE7B"/>
      </colorScale>
    </cfRule>
  </conditionalFormatting>
  <conditionalFormatting sqref="L36:T41">
    <cfRule type="colorScale" priority="7">
      <colorScale>
        <cfvo type="min"/>
        <cfvo type="percentile" val="50"/>
        <cfvo type="max"/>
        <color rgb="FFF8696B"/>
        <color rgb="FFFFEB84"/>
        <color rgb="FF63BE7B"/>
      </colorScale>
    </cfRule>
  </conditionalFormatting>
  <conditionalFormatting sqref="L46:T46">
    <cfRule type="colorScale" priority="6">
      <colorScale>
        <cfvo type="min"/>
        <cfvo type="percentile" val="50"/>
        <cfvo type="max"/>
        <color rgb="FFF8696B"/>
        <color rgb="FFFFEB84"/>
        <color rgb="FF63BE7B"/>
      </colorScale>
    </cfRule>
  </conditionalFormatting>
  <conditionalFormatting sqref="Y9:AG15">
    <cfRule type="colorScale" priority="4">
      <colorScale>
        <cfvo type="min"/>
        <cfvo type="percentile" val="50"/>
        <cfvo type="max"/>
        <color rgb="FFF8696B"/>
        <color rgb="FFFFEB84"/>
        <color rgb="FF63BE7B"/>
      </colorScale>
    </cfRule>
  </conditionalFormatting>
  <conditionalFormatting sqref="Y18:AG24">
    <cfRule type="colorScale" priority="5">
      <colorScale>
        <cfvo type="min"/>
        <cfvo type="percentile" val="50"/>
        <cfvo type="max"/>
        <color rgb="FFF8696B"/>
        <color rgb="FFFFEB84"/>
        <color rgb="FF63BE7B"/>
      </colorScale>
    </cfRule>
  </conditionalFormatting>
  <conditionalFormatting sqref="Y27:AG33">
    <cfRule type="colorScale" priority="3">
      <colorScale>
        <cfvo type="min"/>
        <cfvo type="percentile" val="50"/>
        <cfvo type="max"/>
        <color rgb="FFF8696B"/>
        <color rgb="FFFFEB84"/>
        <color rgb="FF63BE7B"/>
      </colorScale>
    </cfRule>
  </conditionalFormatting>
  <conditionalFormatting sqref="Y36:AG41">
    <cfRule type="colorScale" priority="2">
      <colorScale>
        <cfvo type="min"/>
        <cfvo type="percentile" val="50"/>
        <cfvo type="max"/>
        <color rgb="FFF8696B"/>
        <color rgb="FFFFEB84"/>
        <color rgb="FF63BE7B"/>
      </colorScale>
    </cfRule>
  </conditionalFormatting>
  <conditionalFormatting sqref="Y46:AG46">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FFFF00"/>
  </sheetPr>
  <dimension ref="A1:AQ76"/>
  <sheetViews>
    <sheetView topLeftCell="A10" zoomScaleNormal="100" workbookViewId="0">
      <pane xSplit="5" topLeftCell="AF1" activePane="topRight" state="frozen"/>
      <selection activeCell="AO77" sqref="AO77"/>
      <selection pane="topRight" activeCell="AR36" sqref="AR36"/>
    </sheetView>
  </sheetViews>
  <sheetFormatPr baseColWidth="10" defaultColWidth="8.6640625" defaultRowHeight="15" outlineLevelCol="2"/>
  <cols>
    <col min="1" max="1" width="4.5" style="198" customWidth="1"/>
    <col min="2" max="2" width="24.83203125" style="112" customWidth="1"/>
    <col min="3" max="3" width="16.83203125" style="197" hidden="1" customWidth="1" outlineLevel="2"/>
    <col min="4" max="4" width="19.33203125" style="197" hidden="1" customWidth="1" outlineLevel="2"/>
    <col min="5" max="5" width="8.83203125" style="197" hidden="1" customWidth="1" outlineLevel="2"/>
    <col min="6" max="6" width="9.1640625" style="197" hidden="1" customWidth="1" outlineLevel="2" collapsed="1"/>
    <col min="7" max="7" width="9.1640625" style="197" hidden="1" customWidth="1" outlineLevel="2"/>
    <col min="8" max="8" width="8.6640625" style="112" hidden="1" customWidth="1" outlineLevel="2"/>
    <col min="9" max="9" width="11.1640625" style="112" hidden="1" customWidth="1" outlineLevel="2"/>
    <col min="10" max="10" width="8.83203125" style="112" hidden="1" customWidth="1" outlineLevel="2"/>
    <col min="11" max="11" width="8.6640625" style="112" hidden="1" customWidth="1" outlineLevel="2"/>
    <col min="12" max="12" width="10.5" style="112" hidden="1" customWidth="1" outlineLevel="2"/>
    <col min="13" max="13" width="9.1640625" style="112" hidden="1" customWidth="1" outlineLevel="2"/>
    <col min="14" max="15" width="8.83203125" style="112" hidden="1" customWidth="1" outlineLevel="1"/>
    <col min="16" max="16" width="8.6640625" style="200" hidden="1" customWidth="1" outlineLevel="1"/>
    <col min="17" max="18" width="10.5" style="112" hidden="1" customWidth="1" outlineLevel="1"/>
    <col min="19" max="19" width="8.6640625" style="201" hidden="1" customWidth="1" outlineLevel="1"/>
    <col min="20" max="20" width="14" style="221" hidden="1" customWidth="1" outlineLevel="1"/>
    <col min="21" max="21" width="8.83203125" style="112" bestFit="1" customWidth="1" collapsed="1"/>
    <col min="22" max="22" width="8.83203125" style="112" bestFit="1" customWidth="1"/>
    <col min="23" max="23" width="8.6640625" style="200"/>
    <col min="24" max="25" width="10.5" style="112" bestFit="1" customWidth="1"/>
    <col min="26" max="26" width="8.6640625" style="201"/>
    <col min="27" max="27" width="8.6640625" style="376"/>
    <col min="28" max="28" width="14" style="201" customWidth="1"/>
    <col min="29" max="29" width="48.83203125" style="201" customWidth="1"/>
    <col min="30" max="31" width="9.83203125" style="201" bestFit="1" customWidth="1"/>
    <col min="32" max="32" width="26.1640625" style="112" customWidth="1"/>
    <col min="33" max="38" width="13.33203125" style="112" bestFit="1" customWidth="1"/>
    <col min="39" max="40" width="12.83203125" style="112" customWidth="1"/>
    <col min="41" max="41" width="20.33203125" style="112" bestFit="1" customWidth="1"/>
    <col min="42" max="42" width="9.83203125" style="112" bestFit="1" customWidth="1"/>
    <col min="43" max="16384" width="8.6640625" style="112"/>
  </cols>
  <sheetData>
    <row r="1" spans="1:42" s="271" customFormat="1">
      <c r="A1" s="282"/>
      <c r="C1" s="303">
        <v>17</v>
      </c>
      <c r="D1" s="303">
        <v>13</v>
      </c>
      <c r="E1" s="303"/>
      <c r="F1" s="303">
        <v>18</v>
      </c>
      <c r="G1" s="303">
        <v>14</v>
      </c>
      <c r="N1" s="271">
        <f>Rev_Year!AM3</f>
        <v>19</v>
      </c>
      <c r="O1" s="271">
        <v>15</v>
      </c>
      <c r="P1" s="277"/>
      <c r="S1" s="240"/>
      <c r="T1" s="370"/>
      <c r="U1" s="271">
        <v>20</v>
      </c>
      <c r="V1" s="271">
        <v>16</v>
      </c>
      <c r="W1" s="277"/>
      <c r="Z1" s="240"/>
      <c r="AA1" s="371"/>
      <c r="AB1" s="240"/>
      <c r="AC1" s="240"/>
      <c r="AD1" s="240"/>
      <c r="AE1" s="240"/>
      <c r="AF1" s="240"/>
    </row>
    <row r="2" spans="1:42" s="241" customFormat="1">
      <c r="A2" s="347"/>
      <c r="B2" s="241" t="s">
        <v>1250</v>
      </c>
      <c r="C2" s="242" t="str">
        <f>C11</f>
        <v>Q1/2022</v>
      </c>
      <c r="D2" s="242" t="str">
        <f>D11</f>
        <v>Q1/2021</v>
      </c>
      <c r="E2" s="242" t="s">
        <v>31</v>
      </c>
      <c r="F2" s="242" t="str">
        <f>F11</f>
        <v>Q2/2022</v>
      </c>
      <c r="G2" s="242" t="str">
        <f>G11</f>
        <v>Q2/2021</v>
      </c>
      <c r="H2" s="242" t="str">
        <f>H11</f>
        <v>%YoY</v>
      </c>
      <c r="I2" s="242" t="str">
        <f>I11</f>
        <v>1H/2022</v>
      </c>
      <c r="J2" s="242" t="str">
        <f>J11</f>
        <v>1H/2021</v>
      </c>
      <c r="K2" s="241" t="s">
        <v>31</v>
      </c>
      <c r="N2" s="241" t="str">
        <f t="shared" ref="N2:S2" si="0">N11</f>
        <v>Q3/2022</v>
      </c>
      <c r="O2" s="241" t="str">
        <f t="shared" si="0"/>
        <v>Q3/2021</v>
      </c>
      <c r="P2" s="241" t="str">
        <f t="shared" si="0"/>
        <v>%YoY</v>
      </c>
      <c r="Q2" s="241" t="str">
        <f t="shared" si="0"/>
        <v>9T/2022</v>
      </c>
      <c r="R2" s="241" t="str">
        <f t="shared" si="0"/>
        <v>9T/2021</v>
      </c>
      <c r="S2" s="241" t="str">
        <f t="shared" si="0"/>
        <v>%YoY</v>
      </c>
      <c r="T2" s="245"/>
      <c r="U2" s="241" t="str">
        <f t="shared" ref="U2:Z2" si="1">U11</f>
        <v>Q4/2022</v>
      </c>
      <c r="V2" s="241" t="str">
        <f t="shared" si="1"/>
        <v>Q4/2021</v>
      </c>
      <c r="W2" s="241" t="str">
        <f t="shared" si="1"/>
        <v>%YoY</v>
      </c>
      <c r="X2" s="241">
        <f t="shared" si="1"/>
        <v>2022</v>
      </c>
      <c r="Y2" s="241">
        <f t="shared" si="1"/>
        <v>2021</v>
      </c>
      <c r="Z2" s="241" t="str">
        <f t="shared" si="1"/>
        <v>%YoY</v>
      </c>
      <c r="AA2" s="371"/>
      <c r="AC2" s="241" t="str">
        <f>"Doanh thu thuần và Lợi nhuận sau thuế " &amp;U2 &amp;" lần lượt đạt: "</f>
        <v xml:space="preserve">Doanh thu thuần và Lợi nhuận sau thuế Q4/2022 lần lượt đạt: </v>
      </c>
      <c r="AD2" s="244"/>
      <c r="AE2" s="244"/>
      <c r="AF2" s="244"/>
      <c r="AG2" s="246"/>
      <c r="AH2" s="247" t="e">
        <f>'FS Quarter'!#REF!</f>
        <v>#REF!</v>
      </c>
      <c r="AI2" s="247" t="e">
        <f>'FS Quarter'!#REF!</f>
        <v>#REF!</v>
      </c>
      <c r="AJ2" s="247" t="e">
        <f>'FS Quarter'!#REF!</f>
        <v>#REF!</v>
      </c>
      <c r="AK2" s="247" t="e">
        <f>'FS Quarter'!#REF!</f>
        <v>#REF!</v>
      </c>
      <c r="AL2" s="247" t="e">
        <f>'FS Quarter'!#REF!</f>
        <v>#REF!</v>
      </c>
      <c r="AM2" s="247" t="e">
        <f>'FS Quarter'!#REF!</f>
        <v>#REF!</v>
      </c>
      <c r="AN2" s="247" t="e">
        <f>'FS Quarter'!#REF!</f>
        <v>#REF!</v>
      </c>
      <c r="AO2" s="247"/>
    </row>
    <row r="3" spans="1:42">
      <c r="A3" s="198">
        <v>5</v>
      </c>
      <c r="B3" s="112" t="str">
        <f>FS!AA61</f>
        <v>TGDĐ + ĐMX</v>
      </c>
      <c r="C3" s="197">
        <f ca="1">OFFSET(Rev_Year!$T$3,$A3,C$1)</f>
        <v>9604.3690000000006</v>
      </c>
      <c r="D3" s="197">
        <f ca="1">OFFSET(Rev_Year!$T$3,$A3,D$1)</f>
        <v>8261.6360000000004</v>
      </c>
      <c r="E3" s="196">
        <f ca="1">C3/D3-1</f>
        <v>0.16252628414033254</v>
      </c>
      <c r="F3" s="197">
        <f ca="1">OFFSET(Rev_Year!$T$3,$A3,F$1)</f>
        <v>8395.6309999999994</v>
      </c>
      <c r="G3" s="197">
        <f ca="1">OFFSET(Rev_Year!$T$3,$A3,G$1)</f>
        <v>7360.1139999999996</v>
      </c>
      <c r="H3" s="200">
        <f ca="1">F3/G3-1</f>
        <v>0.1406930653519769</v>
      </c>
      <c r="I3" s="197" t="e">
        <f>SUM(#REF!)</f>
        <v>#REF!</v>
      </c>
      <c r="J3" s="197" t="e">
        <f>SUM(#REF!)</f>
        <v>#REF!</v>
      </c>
      <c r="K3" s="200" t="e">
        <f>I3/J3-1</f>
        <v>#REF!</v>
      </c>
      <c r="N3" s="198">
        <f ca="1">OFFSET(Rev_Year!$T$3,$A3,N$1)</f>
        <v>7529.5768730895661</v>
      </c>
      <c r="O3" s="198">
        <f ca="1">OFFSET(Rev_Year!$T$3,$A3,O$1)</f>
        <v>4867.7700000000004</v>
      </c>
      <c r="P3" s="200">
        <f ca="1">N3/O3-1</f>
        <v>0.54682264632255939</v>
      </c>
      <c r="Q3" s="198">
        <f>0.526*$Q$12</f>
        <v>54081.424501362504</v>
      </c>
      <c r="R3" s="198">
        <f>0.5*$R$12</f>
        <v>43409.888096835501</v>
      </c>
      <c r="S3" s="201">
        <f>Q3/R3-1</f>
        <v>0.24583192614368743</v>
      </c>
      <c r="T3" s="221" t="e">
        <f>#REF!/10^3-Q3</f>
        <v>#REF!</v>
      </c>
      <c r="U3" s="198">
        <f ca="1">OFFSET(Rev_Year!$T$3,$A3,U$1)</f>
        <v>6552.4664335500038</v>
      </c>
      <c r="V3" s="198">
        <f ca="1">OFFSET(Rev_Year!$T$3,$A3,V$1)</f>
        <v>11110.686000000002</v>
      </c>
      <c r="W3" s="200">
        <f ca="1">U3/V3-1</f>
        <v>-0.41025545735429814</v>
      </c>
      <c r="X3" s="198">
        <f ca="1">Q3+U3</f>
        <v>60633.89093491251</v>
      </c>
      <c r="Y3" s="198">
        <f ca="1">R3+V3</f>
        <v>54520.574096835502</v>
      </c>
      <c r="Z3" s="201">
        <f ca="1">X3/Y3-1</f>
        <v>0.11212862188903183</v>
      </c>
      <c r="AA3" s="371"/>
      <c r="AB3" s="201" t="s">
        <v>1251</v>
      </c>
      <c r="AC3" s="201" t="str">
        <f>CONCATENATE(TEXT(U12,"#,##0")," tỷ VND"," (",TEXT(W12,"+#,##0%;-#,##0%")," YoY)")</f>
        <v>30,588 tỷ VND (-15% YoY)</v>
      </c>
      <c r="AF3" s="201"/>
    </row>
    <row r="4" spans="1:42" s="200" customFormat="1">
      <c r="A4" s="263">
        <v>6</v>
      </c>
      <c r="B4" s="200" t="s">
        <v>1252</v>
      </c>
      <c r="C4" s="200">
        <f ca="1">OFFSET(Rev_Year!$T$3,$A4,C$1)</f>
        <v>0.26085237626016694</v>
      </c>
      <c r="D4" s="200">
        <f ca="1">OFFSET(Rev_Year!$T$3,$A4,D$1)</f>
        <v>0.26516619200150732</v>
      </c>
      <c r="F4" s="200">
        <f ca="1">OFFSET(Rev_Year!$T$3,$A4,F$1)</f>
        <v>0.241929217241341</v>
      </c>
      <c r="G4" s="200">
        <f ca="1">OFFSET(Rev_Year!$T$3,$A4,G$1)</f>
        <v>0.23012600961809221</v>
      </c>
      <c r="I4" s="200" t="e">
        <f>I3/I12</f>
        <v>#REF!</v>
      </c>
      <c r="J4" s="200" t="e">
        <f>J3/J12</f>
        <v>#REF!</v>
      </c>
      <c r="L4" s="200">
        <f>L3/L12</f>
        <v>0</v>
      </c>
      <c r="M4" s="200" t="e">
        <f>M3/M12</f>
        <v>#DIV/0!</v>
      </c>
      <c r="N4" s="200">
        <f ca="1">OFFSET(Rev_Year!$T$3,$A4,N$1)</f>
        <v>0.2329518761451054</v>
      </c>
      <c r="O4" s="200">
        <f ca="1">OFFSET(Rev_Year!$T$3,$A4,O$1)</f>
        <v>0.19864536130331614</v>
      </c>
      <c r="Q4" s="200">
        <f>Q3/Q12</f>
        <v>0.52600000000000002</v>
      </c>
      <c r="R4" s="200">
        <f>R3/R12</f>
        <v>0.5</v>
      </c>
      <c r="T4" s="200" t="e">
        <f ca="1">T3/T12</f>
        <v>#REF!</v>
      </c>
      <c r="U4" s="200">
        <f ca="1">OFFSET(Rev_Year!$T$3,$A4,U$1)</f>
        <v>0.2122065386415587</v>
      </c>
      <c r="V4" s="200">
        <f ca="1">OFFSET(Rev_Year!$T$3,$A4,V$1)</f>
        <v>0.30442503298544404</v>
      </c>
      <c r="X4" s="200">
        <f ca="1">X3/X12</f>
        <v>0.45451064086078452</v>
      </c>
      <c r="Y4" s="200">
        <f ca="1">Y3/Y12</f>
        <v>0.44340772499445746</v>
      </c>
      <c r="AA4" s="371"/>
      <c r="AB4" s="200" t="b">
        <v>1</v>
      </c>
      <c r="AC4" s="200" t="s">
        <v>1253</v>
      </c>
    </row>
    <row r="5" spans="1:42">
      <c r="A5" s="198">
        <v>12</v>
      </c>
      <c r="B5" s="112" t="e">
        <f>FS!#REF!</f>
        <v>#REF!</v>
      </c>
      <c r="C5" s="197">
        <f ca="1">OFFSET(Rev_Year!$T$3,$A5,C$1)</f>
        <v>20213.726463204832</v>
      </c>
      <c r="D5" s="197">
        <f ca="1">OFFSET(Rev_Year!$T$3,$A5,D$1)</f>
        <v>16615.753000000001</v>
      </c>
      <c r="E5" s="196">
        <f ca="1">C5/D5-1</f>
        <v>0.21653989820412178</v>
      </c>
      <c r="F5" s="197">
        <f ca="1">OFFSET(Rev_Year!$T$3,$A5,F$1)</f>
        <v>18265.117191273552</v>
      </c>
      <c r="G5" s="197">
        <f ca="1">OFFSET(Rev_Year!$T$3,$A5,G$1)</f>
        <v>16689.817999999996</v>
      </c>
      <c r="H5" s="200">
        <f ca="1">F5/G5-1</f>
        <v>9.4386840603867261E-2</v>
      </c>
      <c r="I5" s="197" t="e">
        <f>SUM(#REF!)</f>
        <v>#REF!</v>
      </c>
      <c r="J5" s="197" t="e">
        <f>SUM(#REF!)</f>
        <v>#REF!</v>
      </c>
      <c r="K5" s="200" t="e">
        <f>I5/J5-1</f>
        <v>#REF!</v>
      </c>
      <c r="N5" s="198">
        <f ca="1">OFFSET(Rev_Year!$T$3,$A5,N$1)</f>
        <v>15521.156345521616</v>
      </c>
      <c r="O5" s="198">
        <f ca="1">OFFSET(Rev_Year!$T$3,$A5,O$1)</f>
        <v>10104.429000000004</v>
      </c>
      <c r="P5" s="200">
        <f ca="1">N5/O5-1</f>
        <v>0.53607456151372945</v>
      </c>
      <c r="Q5" s="198">
        <f>0.265*$Q$12</f>
        <v>27246.345043462097</v>
      </c>
      <c r="R5" s="198">
        <f>0.236*$R$12</f>
        <v>20489.467181706354</v>
      </c>
      <c r="S5" s="201">
        <f>Q5/R5-1</f>
        <v>0.32977323430784478</v>
      </c>
      <c r="T5" s="221" t="e">
        <f>#REF!/10^3-'quý 1.22'!Q5</f>
        <v>#REF!</v>
      </c>
      <c r="U5" s="198">
        <f ca="1">OFFSET(Rev_Year!$T$3,$A5,U$1)</f>
        <v>14970.269709</v>
      </c>
      <c r="V5" s="198">
        <f ca="1">OFFSET(Rev_Year!$T$3,$A5,V$1)</f>
        <v>19298.580000000002</v>
      </c>
      <c r="W5" s="200">
        <f ca="1">U5/V5-1</f>
        <v>-0.22428128344157972</v>
      </c>
      <c r="X5" s="198">
        <f ca="1">Q5+U5</f>
        <v>42216.614752462097</v>
      </c>
      <c r="Y5" s="198">
        <f ca="1">R5+V5</f>
        <v>39788.047181706352</v>
      </c>
      <c r="Z5" s="201">
        <f ca="1">X5/Y5-1</f>
        <v>6.1037616640616355E-2</v>
      </c>
      <c r="AA5" s="372"/>
      <c r="AC5" s="201" t="str">
        <f>CONCATENATE(TEXT(U24,"#,##0")," tỷ VND"," (",TEXT(W24,"+#,##0%;-#,##0%")," YoY)")</f>
        <v>619 tỷ VND (-60% YoY)</v>
      </c>
      <c r="AF5" s="201"/>
    </row>
    <row r="6" spans="1:42" s="200" customFormat="1">
      <c r="A6" s="263">
        <v>13</v>
      </c>
      <c r="B6" s="200" t="str">
        <f>B4</f>
        <v>%Tỷ trọng</v>
      </c>
      <c r="C6" s="200">
        <f ca="1">OFFSET(Rev_Year!$T$3,$A6,C$1)</f>
        <v>0.54900000000000004</v>
      </c>
      <c r="D6" s="200">
        <f ca="1">OFFSET(Rev_Year!$T$3,$A6,D$1)</f>
        <v>0.53330066227168815</v>
      </c>
      <c r="F6" s="200">
        <f ca="1">OFFSET(Rev_Year!$T$3,$A6,F$1)</f>
        <v>0.52632917107792987</v>
      </c>
      <c r="G6" s="200">
        <f ca="1">OFFSET(Rev_Year!$T$3,$A6,G$1)</f>
        <v>0.52183447397583893</v>
      </c>
      <c r="I6" s="200" t="e">
        <f>I5/I12</f>
        <v>#REF!</v>
      </c>
      <c r="J6" s="200" t="e">
        <f>J5/J12</f>
        <v>#REF!</v>
      </c>
      <c r="L6" s="200">
        <f>L5/L12</f>
        <v>0</v>
      </c>
      <c r="M6" s="200" t="e">
        <f>M5/M12</f>
        <v>#DIV/0!</v>
      </c>
      <c r="N6" s="200">
        <f ca="1">OFFSET(Rev_Year!$T$3,$A6,N$1)</f>
        <v>0.48019730080093692</v>
      </c>
      <c r="O6" s="200">
        <f ca="1">OFFSET(Rev_Year!$T$3,$A6,O$1)</f>
        <v>0.4123444512515394</v>
      </c>
      <c r="Q6" s="200">
        <f>Q5/Q12</f>
        <v>0.26500000000000001</v>
      </c>
      <c r="R6" s="200">
        <f>R5/R12</f>
        <v>0.23599999999999996</v>
      </c>
      <c r="T6" s="200" t="e">
        <f ca="1">T5/T12</f>
        <v>#REF!</v>
      </c>
      <c r="U6" s="200">
        <f ca="1">OFFSET(Rev_Year!$T$3,$A6,U$1)</f>
        <v>0.48482340958080106</v>
      </c>
      <c r="V6" s="200">
        <f ca="1">OFFSET(Rev_Year!$T$3,$A6,V$1)</f>
        <v>0.52876760742516082</v>
      </c>
      <c r="X6" s="200">
        <f ca="1">X5/X12</f>
        <v>0.31645504403983676</v>
      </c>
      <c r="Y6" s="200">
        <f ca="1">Y5/Y12</f>
        <v>0.3235902734897384</v>
      </c>
      <c r="AA6" s="371"/>
      <c r="AC6" s="200" t="str">
        <f>"- "&amp;CONCATENATE(AC2,AC3,AC4,AC5)</f>
        <v>- Doanh thu thuần và Lợi nhuận sau thuế Q4/2022 lần lượt đạt: 30,588 tỷ VND (-15% YoY) và 619 tỷ VND (-60% YoY)</v>
      </c>
    </row>
    <row r="7" spans="1:42">
      <c r="A7" s="198">
        <v>20</v>
      </c>
      <c r="B7" s="112" t="str">
        <f>FS!AA63</f>
        <v>BHX</v>
      </c>
      <c r="C7" s="197">
        <f ca="1">OFFSET(Rev_Year!$T$3,$A7,C$1)</f>
        <v>6040</v>
      </c>
      <c r="D7" s="197">
        <f ca="1">OFFSET(Rev_Year!$T$3,$A7,D$1)</f>
        <v>5949.6109999999999</v>
      </c>
      <c r="E7" s="196">
        <f ca="1">C7/D7-1</f>
        <v>1.5192421823880586E-2</v>
      </c>
      <c r="F7" s="197">
        <f ca="1">OFFSET(Rev_Year!$T$3,$A7,F$1)</f>
        <v>6775.5240000000013</v>
      </c>
      <c r="G7" s="197">
        <f ca="1">OFFSET(Rev_Year!$T$3,$A7,G$1)</f>
        <v>7422.6069999999991</v>
      </c>
      <c r="H7" s="200">
        <f ca="1">F7/G7-1</f>
        <v>-8.7177321930151708E-2</v>
      </c>
      <c r="I7" s="197" t="e">
        <f>SUM(#REF!)</f>
        <v>#REF!</v>
      </c>
      <c r="J7" s="198" t="e">
        <f>SUM(#REF!)</f>
        <v>#REF!</v>
      </c>
      <c r="K7" s="200" t="e">
        <f>I7/J7-1</f>
        <v>#REF!</v>
      </c>
      <c r="N7" s="198">
        <f ca="1">OFFSET(Rev_Year!$T$3,$A7,N$1)</f>
        <v>7121.2509999999984</v>
      </c>
      <c r="O7" s="198">
        <f ca="1">OFFSET(Rev_Year!$T$3,$A7,O$1)</f>
        <v>9200.9820000000018</v>
      </c>
      <c r="P7" s="200">
        <f ca="1">N7/O7-1</f>
        <v>-0.22603359076237761</v>
      </c>
      <c r="Q7" s="198">
        <f>0.194*$Q$12</f>
        <v>19946.380899742064</v>
      </c>
      <c r="R7" s="198">
        <f>0.26*$R$12</f>
        <v>22573.14181035446</v>
      </c>
      <c r="S7" s="201">
        <f>Q7/R7-1</f>
        <v>-0.11636665080478437</v>
      </c>
      <c r="T7" s="221" t="e">
        <f>#REF!/10^3-Q7</f>
        <v>#REF!</v>
      </c>
      <c r="U7" s="198">
        <f ca="1">OFFSET(Rev_Year!$T$3,$A7,U$1)</f>
        <v>7144.3947310000003</v>
      </c>
      <c r="V7" s="198">
        <f ca="1">OFFSET(Rev_Year!$T$3,$A7,V$1)</f>
        <v>5584.1819999999971</v>
      </c>
      <c r="W7" s="200">
        <f ca="1">U7/V7-1</f>
        <v>0.27939861755938544</v>
      </c>
      <c r="X7" s="198">
        <f ca="1">Q7+U7</f>
        <v>27090.775630742064</v>
      </c>
      <c r="Y7" s="198">
        <f ca="1">R7+V7</f>
        <v>28157.323810354457</v>
      </c>
      <c r="Z7" s="201">
        <f ca="1">X7/Y7-1</f>
        <v>-3.7878180000195383E-2</v>
      </c>
      <c r="AA7" s="371"/>
      <c r="AF7" s="201"/>
    </row>
    <row r="8" spans="1:42" s="200" customFormat="1">
      <c r="A8" s="263">
        <v>21</v>
      </c>
      <c r="B8" s="200" t="str">
        <f>B6</f>
        <v>%Tỷ trọng</v>
      </c>
      <c r="C8" s="200">
        <f ca="1">OFFSET(Rev_Year!$T$3,$A8,C$1)</f>
        <v>0.16404496251772588</v>
      </c>
      <c r="D8" s="200">
        <f ca="1">OFFSET(Rev_Year!$T$3,$A8,D$1)</f>
        <v>0.19095923528466754</v>
      </c>
      <c r="F8" s="200">
        <f ca="1">OFFSET(Rev_Year!$T$3,$A8,F$1)</f>
        <v>0.19524407608194311</v>
      </c>
      <c r="G8" s="200">
        <f ca="1">OFFSET(Rev_Year!$T$3,$A8,G$1)</f>
        <v>0.23207995553782435</v>
      </c>
      <c r="I8" s="200" t="e">
        <f>I7/I12</f>
        <v>#REF!</v>
      </c>
      <c r="J8" s="200" t="e">
        <f>J7/J12</f>
        <v>#REF!</v>
      </c>
      <c r="L8" s="200">
        <f>L7/L12</f>
        <v>0</v>
      </c>
      <c r="M8" s="200" t="e">
        <f>M7/M12</f>
        <v>#DIV/0!</v>
      </c>
      <c r="N8" s="200">
        <f ca="1">OFFSET(Rev_Year!$T$3,$A8,N$1)</f>
        <v>0.22031899121437851</v>
      </c>
      <c r="O8" s="200">
        <f ca="1">OFFSET(Rev_Year!$T$3,$A8,O$1)</f>
        <v>0.37547632565534289</v>
      </c>
      <c r="Q8" s="200">
        <f>Q7/Q12</f>
        <v>0.19400000000000001</v>
      </c>
      <c r="R8" s="200">
        <f>R7/R12</f>
        <v>0.26</v>
      </c>
      <c r="T8" s="200" t="e">
        <f ca="1">T7/T12</f>
        <v>#REF!</v>
      </c>
      <c r="U8" s="200">
        <f ca="1">OFFSET(Rev_Year!$T$3,$A8,U$1)</f>
        <v>0.23137658039601924</v>
      </c>
      <c r="V8" s="200">
        <f ca="1">OFFSET(Rev_Year!$T$3,$A8,V$1)</f>
        <v>0.15300268494193084</v>
      </c>
      <c r="X8" s="200">
        <f ca="1">X7/X12</f>
        <v>0.20307200483903873</v>
      </c>
      <c r="Y8" s="200">
        <f ca="1">Y7/Y12</f>
        <v>0.22899932914327484</v>
      </c>
      <c r="AA8" s="371"/>
      <c r="AC8" s="200" t="str">
        <f>" Lũy kế cả năm " &amp;X2&amp; "," &amp;"  Doanh thu thuần và Lợi nhuận sau thuế lần lượt đạt: "</f>
        <v xml:space="preserve"> Lũy kế cả năm 2022,  Doanh thu thuần và Lợi nhuận sau thuế lần lượt đạt: </v>
      </c>
    </row>
    <row r="9" spans="1:42">
      <c r="B9" s="112" t="str">
        <f>FS!AA65</f>
        <v>Khác</v>
      </c>
      <c r="C9" s="197" t="e">
        <f>#REF!</f>
        <v>#REF!</v>
      </c>
      <c r="D9" s="197" t="e">
        <f>#REF!</f>
        <v>#REF!</v>
      </c>
      <c r="E9" s="196" t="e">
        <f>C9/D9-1</f>
        <v>#REF!</v>
      </c>
      <c r="F9" s="197">
        <f ca="1">F12-SUM(F3:F7)</f>
        <v>900.69952211112832</v>
      </c>
      <c r="G9" s="197">
        <f ca="1">G12-SUM(G3:G7)</f>
        <v>185.12789262140723</v>
      </c>
      <c r="H9" s="200">
        <f ca="1">F9/G9-1</f>
        <v>3.865282639786157</v>
      </c>
      <c r="I9" s="197" t="e">
        <f>SUM(#REF!)</f>
        <v>#REF!</v>
      </c>
      <c r="J9" s="198" t="e">
        <f>SUM(#REF!)</f>
        <v>#REF!</v>
      </c>
      <c r="K9" s="200" t="e">
        <f>I9/J9-1</f>
        <v>#REF!</v>
      </c>
      <c r="N9" s="198">
        <f ca="1">N12-SUM(N3:N7)</f>
        <v>1839.2824322118759</v>
      </c>
      <c r="O9" s="198">
        <f ca="1">O12-SUM(O3:O7)</f>
        <v>159.42153588043948</v>
      </c>
      <c r="P9" s="200">
        <f ca="1">N9/O9-1</f>
        <v>10.537226900080004</v>
      </c>
      <c r="Q9" s="198">
        <f>Q12-SUM(Q3:Q7)</f>
        <v>1541.4549458563561</v>
      </c>
      <c r="R9" s="198">
        <f>R12-SUM(R3:R7)</f>
        <v>346.54310477468243</v>
      </c>
      <c r="S9" s="201">
        <f>Q9/R9-1</f>
        <v>3.4480900777367625</v>
      </c>
      <c r="T9" s="221" t="e">
        <f>#REF!/10^3-'quý 1.22'!Q9</f>
        <v>#REF!</v>
      </c>
      <c r="U9" s="198">
        <f ca="1">U12-SUM(U3:U7)</f>
        <v>1920.5532489757752</v>
      </c>
      <c r="V9" s="198">
        <f ca="1">V12-SUM(V3:V7)</f>
        <v>144.04871686259139</v>
      </c>
      <c r="W9" s="200">
        <f ca="1">U9/V9-1</f>
        <v>12.332664745690154</v>
      </c>
      <c r="X9" s="198">
        <v>60661.266521362508</v>
      </c>
      <c r="Y9" s="198">
        <v>54520.574096835502</v>
      </c>
      <c r="Z9" s="201">
        <f>X9/Y9-1</f>
        <v>0.1126307366760364</v>
      </c>
      <c r="AA9" s="371"/>
      <c r="AB9" s="201" t="s">
        <v>1255</v>
      </c>
      <c r="AC9" s="201" t="str">
        <f>CONCATENATE(TEXT(X12,"#,##0")," tỷ VND"," (",TEXT(Z12,"+#,##0%;-#,##0%")," YoY)")</f>
        <v>133,405 tỷ VND (+8% YoY)</v>
      </c>
      <c r="AE9" s="263"/>
      <c r="AF9" s="201"/>
    </row>
    <row r="10" spans="1:42" s="200" customFormat="1">
      <c r="A10" s="263"/>
      <c r="B10" s="274" t="str">
        <f>B8</f>
        <v>%Tỷ trọng</v>
      </c>
      <c r="C10" s="201" t="e">
        <f>C9/C$12</f>
        <v>#REF!</v>
      </c>
      <c r="D10" s="201" t="e">
        <f>D9/D$12</f>
        <v>#REF!</v>
      </c>
      <c r="F10" s="200">
        <f ca="1">F9/F12</f>
        <v>2.6230600000219567E-2</v>
      </c>
      <c r="G10" s="200">
        <f ca="1">G9/G12</f>
        <v>5.8476670449146648E-3</v>
      </c>
      <c r="I10" s="200" t="e">
        <f>I9/I12</f>
        <v>#REF!</v>
      </c>
      <c r="J10" s="200" t="e">
        <f>J9/J12</f>
        <v>#REF!</v>
      </c>
      <c r="L10" s="200">
        <f>L9/L12</f>
        <v>0</v>
      </c>
      <c r="M10" s="200" t="e">
        <f>M9/M12</f>
        <v>#DIV/0!</v>
      </c>
      <c r="N10" s="200">
        <f ca="1">N9/N12</f>
        <v>5.7456066250918848E-2</v>
      </c>
      <c r="O10" s="200">
        <f ca="1">O9/O12</f>
        <v>6.5516022251688689E-3</v>
      </c>
      <c r="Q10" s="201">
        <f>Q9/Q12</f>
        <v>1.4992306674540651E-2</v>
      </c>
      <c r="R10" s="201">
        <f>R9/R12</f>
        <v>3.9915226687712285E-3</v>
      </c>
      <c r="S10" s="201"/>
      <c r="T10" s="200" t="e">
        <f ca="1">T9/T12</f>
        <v>#REF!</v>
      </c>
      <c r="U10" s="200">
        <f ca="1">U9/U12</f>
        <v>6.2787018358454058E-2</v>
      </c>
      <c r="V10" s="200">
        <f ca="1">V9/V12</f>
        <v>3.9860369093789273E-3</v>
      </c>
      <c r="X10" s="200">
        <f>X9/X12</f>
        <v>0.45471584780280122</v>
      </c>
      <c r="Y10" s="200">
        <f>Y9/Y12</f>
        <v>0.44340772499445746</v>
      </c>
      <c r="Z10" s="201"/>
      <c r="AA10" s="371"/>
      <c r="AB10" s="201" t="b">
        <v>1</v>
      </c>
      <c r="AC10" s="201" t="s">
        <v>1253</v>
      </c>
      <c r="AD10" s="201"/>
      <c r="AE10" s="201"/>
      <c r="AF10" s="201"/>
    </row>
    <row r="11" spans="1:42" s="241" customFormat="1">
      <c r="A11" s="347"/>
      <c r="C11" s="242" t="str">
        <f>AL11</f>
        <v>Q1/2022</v>
      </c>
      <c r="D11" s="242" t="str">
        <f>AH11</f>
        <v>Q1/2021</v>
      </c>
      <c r="E11" s="242" t="s">
        <v>31</v>
      </c>
      <c r="F11" s="242" t="s">
        <v>92</v>
      </c>
      <c r="G11" s="242" t="s">
        <v>88</v>
      </c>
      <c r="H11" s="241" t="s">
        <v>31</v>
      </c>
      <c r="I11" s="241" t="s">
        <v>1976</v>
      </c>
      <c r="J11" s="241" t="s">
        <v>2039</v>
      </c>
      <c r="K11" s="241" t="s">
        <v>31</v>
      </c>
      <c r="N11" s="241" t="s">
        <v>93</v>
      </c>
      <c r="O11" s="241" t="s">
        <v>89</v>
      </c>
      <c r="P11" s="243" t="s">
        <v>31</v>
      </c>
      <c r="Q11" s="241" t="s">
        <v>2286</v>
      </c>
      <c r="R11" s="241" t="s">
        <v>2041</v>
      </c>
      <c r="S11" s="244" t="s">
        <v>31</v>
      </c>
      <c r="T11" s="245"/>
      <c r="U11" s="241" t="s">
        <v>94</v>
      </c>
      <c r="V11" s="241" t="s">
        <v>90</v>
      </c>
      <c r="W11" s="243" t="s">
        <v>31</v>
      </c>
      <c r="X11" s="241">
        <v>2022</v>
      </c>
      <c r="Y11" s="241">
        <v>2021</v>
      </c>
      <c r="Z11" s="244" t="s">
        <v>31</v>
      </c>
      <c r="AA11" s="372"/>
      <c r="AB11" s="244"/>
      <c r="AC11" s="244" t="str">
        <f>CONCATENATE(TEXT(X24,"#,##0")," tỷ VND"," (",TEXT(Z24,"+#,##0%;-#,##0%")," YoY)")</f>
        <v>4,102 tỷ VND (-16% YoY)</v>
      </c>
      <c r="AD11" s="244"/>
      <c r="AE11" s="244"/>
      <c r="AF11" s="244"/>
      <c r="AG11" s="246"/>
      <c r="AH11" s="247" t="s">
        <v>87</v>
      </c>
      <c r="AI11" s="247" t="s">
        <v>88</v>
      </c>
      <c r="AJ11" s="247" t="s">
        <v>89</v>
      </c>
      <c r="AK11" s="247" t="s">
        <v>90</v>
      </c>
      <c r="AL11" s="247" t="s">
        <v>91</v>
      </c>
      <c r="AM11" s="247" t="s">
        <v>92</v>
      </c>
      <c r="AN11" s="247" t="s">
        <v>93</v>
      </c>
      <c r="AO11" s="247" t="s">
        <v>94</v>
      </c>
      <c r="AP11" s="247" t="s">
        <v>95</v>
      </c>
    </row>
    <row r="12" spans="1:42">
      <c r="B12" s="191" t="s">
        <v>394</v>
      </c>
      <c r="C12" s="197">
        <f>INDEX($AH$12:$BI$36,MATCH('quý 1.22'!B12,$AG$12:$AG$36,0),MATCH('quý 1.22'!$C$11,$AH$11:$BI$11,0))</f>
        <v>36466.676618650003</v>
      </c>
      <c r="D12" s="197">
        <f>INDEX($AH$12:$BI$36,MATCH('quý 1.22'!B12,$AG$12:$AG$36,0),MATCH('quý 1.22'!$D$11,$AH$11:$BI$11,0))</f>
        <v>30828.143814873001</v>
      </c>
      <c r="E12" s="196">
        <f>C12/D12-1</f>
        <v>0.18290211819553992</v>
      </c>
      <c r="F12" s="197">
        <f>INDEX($AH$12:$BI$36,MATCH('quý 1.22'!B12,$AG$12:$AG$36,0),MATCH('quý 1.22'!$F$11,$AH$11:$BI$11,0))</f>
        <v>34337.739971773</v>
      </c>
      <c r="G12" s="197">
        <f>INDEX($AH$12:$BI$36,MATCH('quý 1.22'!B12,$AG$12:$AG$36,0),MATCH('quý 1.22'!$G$11,$AH$11:$BI$11,0))</f>
        <v>31658.418853104999</v>
      </c>
      <c r="H12" s="196">
        <f>F12/G12-1</f>
        <v>8.4632183657056492E-2</v>
      </c>
      <c r="I12" s="197">
        <f>C12+F12</f>
        <v>70804.416590423003</v>
      </c>
      <c r="J12" s="197">
        <f>D12+G12</f>
        <v>62486.562667977996</v>
      </c>
      <c r="K12" s="196">
        <f>I12/J12-1</f>
        <v>0.13311428197197972</v>
      </c>
      <c r="L12" s="198">
        <f>25834.93</f>
        <v>25834.93</v>
      </c>
      <c r="M12" s="196"/>
      <c r="N12" s="198">
        <f>INDEX($AH$12:$BI$36,MATCH('quý 1.22'!B12,$AG$12:$AG$36,0),MATCH('quý 1.22'!$N$11,$AH$11:$BI$11,0))</f>
        <v>32011.979800000001</v>
      </c>
      <c r="O12" s="198">
        <f>INDEX($AH$12:$BI$36,MATCH('quý 1.22'!B12,$AG$12:$AG$36,0),MATCH('quý 1.22'!$O$11,$AH$11:$BI$11,0))</f>
        <v>24333.213525693001</v>
      </c>
      <c r="P12" s="200">
        <f>N12/O12-1</f>
        <v>0.3155672910279248</v>
      </c>
      <c r="Q12" s="197">
        <f>I12+N12</f>
        <v>102816.396390423</v>
      </c>
      <c r="R12" s="197">
        <f>J12+O12</f>
        <v>86819.776193671001</v>
      </c>
      <c r="S12" s="201">
        <f>Q12/R12-1</f>
        <v>0.18425088036472181</v>
      </c>
      <c r="T12" s="221">
        <f ca="1">FS!AB67-'quý 1.22'!Q12</f>
        <v>30588.385069576994</v>
      </c>
      <c r="U12" s="198">
        <f>INDEX($AH$12:$BI$36,MATCH('quý 1.22'!B12,$AG$12:$AG$36,0),MATCH('quý 1.22'!$U$11,$AH$11:$BI$11,0))</f>
        <v>30588.381152474001</v>
      </c>
      <c r="V12" s="198">
        <f>INDEX($AH$12:$BI$36,MATCH('quý 1.22'!B12,$AG$12:$AG$36,0),MATCH('quý 1.22'!$V$11,$AH$11:$BI$11,0))</f>
        <v>36138.329909503002</v>
      </c>
      <c r="W12" s="200">
        <f>U12/V12-1</f>
        <v>-0.1535751311952458</v>
      </c>
      <c r="X12" s="197">
        <f>Q12+U12</f>
        <v>133404.77754289701</v>
      </c>
      <c r="Y12" s="197">
        <f>V12+R12</f>
        <v>122958.10610317401</v>
      </c>
      <c r="Z12" s="201">
        <f>X12/Y12-1</f>
        <v>8.4961225988282596E-2</v>
      </c>
      <c r="AA12" s="371"/>
      <c r="AC12" s="201" t="str">
        <f>"- "&amp;CONCATENATE(AC8,AC9,AC10,AC11)</f>
        <v>-  Lũy kế cả năm 2022,  Doanh thu thuần và Lợi nhuận sau thuế lần lượt đạt: 133,405 tỷ VND (+8% YoY) và 4,102 tỷ VND (-16% YoY)</v>
      </c>
      <c r="AE12" s="201" t="e">
        <f>C12/FS!#REF!</f>
        <v>#REF!</v>
      </c>
      <c r="AF12" s="201"/>
      <c r="AG12" s="194" t="str">
        <f>'FS Quarter'!C2</f>
        <v>Doanh số</v>
      </c>
      <c r="AH12" s="195">
        <v>31156.445464032</v>
      </c>
      <c r="AI12" s="195">
        <v>31982.973207654999</v>
      </c>
      <c r="AJ12" s="195">
        <v>24504.825927283</v>
      </c>
      <c r="AK12" s="195">
        <v>36497.281090978002</v>
      </c>
      <c r="AL12" s="195">
        <v>36819.173885618999</v>
      </c>
      <c r="AM12" s="195">
        <v>34702.840342035997</v>
      </c>
      <c r="AN12" s="198">
        <v>32322.455999999998</v>
      </c>
      <c r="AO12" s="198">
        <v>30877.778203704998</v>
      </c>
      <c r="AP12" s="198">
        <v>27335.086613676001</v>
      </c>
    </row>
    <row r="13" spans="1:42">
      <c r="B13" s="192" t="s">
        <v>529</v>
      </c>
      <c r="C13" s="197">
        <f>INDEX($AH$12:$BI$36,MATCH('quý 1.22'!B13,$AG$12:$AG$36,0),MATCH('quý 1.22'!$C$11,$AH$11:$BI$11,0))</f>
        <v>8124.2640914989997</v>
      </c>
      <c r="D13" s="197">
        <f>INDEX($AH$12:$BI$36,MATCH('quý 1.22'!B13,$AG$12:$AG$36,0),MATCH('quý 1.22'!$D$11,$AH$11:$BI$11,0))</f>
        <v>7024.9455515019999</v>
      </c>
      <c r="E13" s="196">
        <f t="shared" ref="E13:E27" si="2">C13/D13-1</f>
        <v>0.1564878377971135</v>
      </c>
      <c r="F13" s="197">
        <f>INDEX($AH$12:$BI$36,MATCH('quý 1.22'!B13,$AG$12:$AG$36,0),MATCH('quý 1.22'!$F$11,$AH$11:$BI$11,0))</f>
        <v>7336.4182392599996</v>
      </c>
      <c r="G13" s="197">
        <f>INDEX($AH$12:$BI$36,MATCH('quý 1.22'!B13,$AG$12:$AG$36,0),MATCH('quý 1.22'!$G$11,$AH$11:$BI$11,0))</f>
        <v>7143.5833856709996</v>
      </c>
      <c r="H13" s="196">
        <f t="shared" ref="H13:H27" si="3">F13/G13-1</f>
        <v>2.6994134900951705E-2</v>
      </c>
      <c r="I13" s="197">
        <f t="shared" ref="I13:J24" si="4">C13+F13</f>
        <v>15460.682330758998</v>
      </c>
      <c r="J13" s="197">
        <f t="shared" si="4"/>
        <v>14168.528937173</v>
      </c>
      <c r="K13" s="196">
        <f t="shared" ref="K13:K27" si="5">I13/J13-1</f>
        <v>9.1198839294873046E-2</v>
      </c>
      <c r="L13" s="203">
        <v>1319.5730000000001</v>
      </c>
      <c r="M13" s="196"/>
      <c r="N13" s="198">
        <f>INDEX($AH$12:$BI$36,MATCH('quý 1.22'!B13,$AG$12:$AG$36,0),MATCH('quý 1.22'!$N$11,$AH$11:$BI$11,0))</f>
        <v>7392.0243790000004</v>
      </c>
      <c r="O13" s="198">
        <f>INDEX($AH$12:$BI$36,MATCH('quý 1.22'!B13,$AG$12:$AG$36,0),MATCH('quý 1.22'!$O$11,$AH$11:$BI$11,0))</f>
        <v>6088.7133257659998</v>
      </c>
      <c r="P13" s="200">
        <f t="shared" ref="P13:P27" si="6">N13/O13-1</f>
        <v>0.2140536076347519</v>
      </c>
      <c r="Q13" s="197">
        <f>I13+N13</f>
        <v>22852.706709758997</v>
      </c>
      <c r="R13" s="197">
        <f>J13+O13</f>
        <v>20257.242262938998</v>
      </c>
      <c r="S13" s="201">
        <f>Q13/R13-1</f>
        <v>0.12812526074037467</v>
      </c>
      <c r="T13" s="221">
        <f>FS!AB69-'quý 1.22'!Q13</f>
        <v>7929.5086581020041</v>
      </c>
      <c r="U13" s="198">
        <f>INDEX($AH$12:$BI$36,MATCH('quý 1.22'!B13,$AG$12:$AG$36,0),MATCH('quý 1.22'!$U$11,$AH$11:$BI$11,0))</f>
        <v>7929.5086575129999</v>
      </c>
      <c r="V13" s="198">
        <f>INDEX($AH$12:$BI$36,MATCH('quý 1.22'!B13,$AG$12:$AG$36,0),MATCH('quý 1.22'!$V$11,$AH$11:$BI$11,0))</f>
        <v>7374.8897325950002</v>
      </c>
      <c r="W13" s="200">
        <f>U13/V13-1</f>
        <v>7.5203690499497933E-2</v>
      </c>
      <c r="X13" s="197">
        <f>Q13+U13</f>
        <v>30782.215367271998</v>
      </c>
      <c r="Y13" s="197">
        <f>V13+R13</f>
        <v>27632.131995534</v>
      </c>
      <c r="Z13" s="201">
        <f>X13/Y13-1</f>
        <v>0.11400073552945988</v>
      </c>
      <c r="AA13" s="371"/>
      <c r="AB13" s="201" t="s">
        <v>1261</v>
      </c>
      <c r="AC13" s="201" t="str">
        <f>"Biên lợi nhuận gộp " &amp;U11 &amp;" đạt " &amp;TEXT(U14,"0%")</f>
        <v>Biên lợi nhuận gộp Q4/2022 đạt 26%</v>
      </c>
      <c r="AD13" s="201">
        <f>Q12/140000</f>
        <v>0.73440283136016427</v>
      </c>
      <c r="AF13" s="201"/>
      <c r="AG13" s="194" t="str">
        <f>'FS Quarter'!C3</f>
        <v>Các khoản giảm trừ</v>
      </c>
      <c r="AH13" s="195">
        <v>-328.30164915900002</v>
      </c>
      <c r="AI13" s="195">
        <v>-324.55435455000003</v>
      </c>
      <c r="AJ13" s="195">
        <v>-171.61240158999999</v>
      </c>
      <c r="AK13" s="195">
        <v>-358.951181475</v>
      </c>
      <c r="AL13" s="195">
        <v>-352.49726696900001</v>
      </c>
      <c r="AM13" s="195">
        <v>-365.100370263</v>
      </c>
      <c r="AN13" s="198">
        <v>-310.476</v>
      </c>
      <c r="AO13" s="198">
        <v>-289.39705123099998</v>
      </c>
      <c r="AP13" s="198">
        <v>-229.274591227</v>
      </c>
    </row>
    <row r="14" spans="1:42" s="200" customFormat="1">
      <c r="A14" s="263"/>
      <c r="B14" s="199" t="s">
        <v>243</v>
      </c>
      <c r="C14" s="201">
        <f>C13/C12</f>
        <v>0.22278597461617988</v>
      </c>
      <c r="D14" s="201">
        <f>D13/D12</f>
        <v>0.22787442519042692</v>
      </c>
      <c r="F14" s="201">
        <f>F13/F12</f>
        <v>0.21365466234210026</v>
      </c>
      <c r="G14" s="200">
        <f>G13/G12</f>
        <v>0.22564561479893272</v>
      </c>
      <c r="I14" s="201">
        <f>I13/I12</f>
        <v>0.21835759794750159</v>
      </c>
      <c r="J14" s="201">
        <f>J13/J12</f>
        <v>0.226745212606067</v>
      </c>
      <c r="L14" s="200">
        <f>I12/L12</f>
        <v>2.7406467364309872</v>
      </c>
      <c r="N14" s="201">
        <f>N13/N12</f>
        <v>0.23091431474038354</v>
      </c>
      <c r="O14" s="201">
        <f>O13/O12</f>
        <v>0.25022232757449142</v>
      </c>
      <c r="P14" s="223">
        <f>N14-O14</f>
        <v>-1.9308012834107879E-2</v>
      </c>
      <c r="Q14" s="224">
        <f>Q13/Q12</f>
        <v>0.22226714329668579</v>
      </c>
      <c r="R14" s="201">
        <f>R13/R12</f>
        <v>0.23332520712505261</v>
      </c>
      <c r="S14" s="201">
        <f>Q14-R14</f>
        <v>-1.1058063828366826E-2</v>
      </c>
      <c r="T14" s="223">
        <f ca="1">T13/T12</f>
        <v>0.25923266756533153</v>
      </c>
      <c r="U14" s="201">
        <f>U13/U12</f>
        <v>0.25923270074302895</v>
      </c>
      <c r="V14" s="201">
        <f>V13/V12</f>
        <v>0.20407389470025525</v>
      </c>
      <c r="W14" s="200">
        <f>U14-V14</f>
        <v>5.5158806042773706E-2</v>
      </c>
      <c r="X14" s="201">
        <f>X13/X12</f>
        <v>0.23074297588310744</v>
      </c>
      <c r="Y14" s="201">
        <f>Y13/Y12</f>
        <v>0.22472802217974885</v>
      </c>
      <c r="Z14" s="201">
        <f>X14-Y14</f>
        <v>6.0149537033585831E-3</v>
      </c>
      <c r="AA14" s="372"/>
      <c r="AB14" s="201" t="b">
        <v>1</v>
      </c>
      <c r="AC14" s="201" t="str">
        <f>IF(Z14&gt;0," tăng "," giảm ") &amp;TEXT(W14,"0.00") &amp; " điểm phần trăm svck"</f>
        <v xml:space="preserve"> tăng 0.06 điểm phần trăm svck</v>
      </c>
      <c r="AD14" s="201"/>
      <c r="AE14" s="201"/>
      <c r="AF14" s="201"/>
      <c r="AG14" s="200" t="str">
        <f>'FS Quarter'!C4</f>
        <v>Doanh thu thuần</v>
      </c>
      <c r="AH14" s="200">
        <v>30828.143814873001</v>
      </c>
      <c r="AI14" s="200">
        <v>31658.418853104999</v>
      </c>
      <c r="AJ14" s="200">
        <v>24333.213525693001</v>
      </c>
      <c r="AK14" s="200">
        <v>36138.329909503002</v>
      </c>
      <c r="AL14" s="195">
        <v>36466.676618650003</v>
      </c>
      <c r="AM14" s="200">
        <v>34337.739971773</v>
      </c>
      <c r="AN14" s="263">
        <v>32011.979800000001</v>
      </c>
      <c r="AO14" s="263">
        <v>30588.381152474001</v>
      </c>
      <c r="AP14" s="263">
        <v>27105.812022449001</v>
      </c>
    </row>
    <row r="15" spans="1:42">
      <c r="B15" s="192" t="s">
        <v>331</v>
      </c>
      <c r="C15" s="197">
        <f>INDEX($AH$12:$BI$36,MATCH('quý 1.22'!B15,$AG$12:$AG$36,0),MATCH('quý 1.22'!$C$11,$AH$11:$BI$11,0))</f>
        <v>-5036.0305911470005</v>
      </c>
      <c r="D15" s="197">
        <f>INDEX($AH$12:$BI$36,MATCH('quý 1.22'!B15,$AG$12:$AG$36,0),MATCH('quý 1.22'!$D$11,$AH$11:$BI$11,0))</f>
        <v>-4245.1306373030002</v>
      </c>
      <c r="E15" s="196">
        <f t="shared" si="2"/>
        <v>0.1863075654007369</v>
      </c>
      <c r="F15" s="197">
        <f>INDEX($AH$12:$BI$36,MATCH('quý 1.22'!B15,$AG$12:$AG$36,0),MATCH('quý 1.22'!$F$11,$AH$11:$BI$11,0))</f>
        <v>-4807.8756820620001</v>
      </c>
      <c r="G15" s="197">
        <f>INDEX($AH$12:$BI$36,MATCH('quý 1.22'!B15,$AG$12:$AG$36,0),MATCH('quý 1.22'!$G$11,$AH$11:$BI$11,0))</f>
        <v>-4545.6022950349998</v>
      </c>
      <c r="H15" s="196">
        <f t="shared" si="3"/>
        <v>5.7698269669010038E-2</v>
      </c>
      <c r="I15" s="197">
        <f t="shared" si="4"/>
        <v>-9843.9062732090006</v>
      </c>
      <c r="J15" s="197">
        <f t="shared" si="4"/>
        <v>-8790.732932338</v>
      </c>
      <c r="K15" s="196">
        <f t="shared" si="5"/>
        <v>0.1198049524399436</v>
      </c>
      <c r="L15" s="205">
        <f>I24/L13</f>
        <v>1.95208082647417</v>
      </c>
      <c r="M15" s="205"/>
      <c r="N15" s="198">
        <f>INDEX($AH$12:$BI$36,MATCH('quý 1.22'!B15,$AG$12:$AG$36,0),MATCH('quý 1.22'!$N$11,$AH$11:$BI$11,0))</f>
        <v>-5342.6062519999996</v>
      </c>
      <c r="O15" s="198">
        <f>INDEX($AH$12:$BI$36,MATCH('quý 1.22'!B15,$AG$12:$AG$36,0),MATCH('quý 1.22'!$O$11,$AH$11:$BI$11,0))</f>
        <v>-4270.4320068930001</v>
      </c>
      <c r="P15" s="200">
        <f t="shared" si="6"/>
        <v>0.25106926966086318</v>
      </c>
      <c r="Q15" s="197">
        <f>I15+N15</f>
        <v>-15186.512525209</v>
      </c>
      <c r="R15" s="197">
        <f>J15+O15</f>
        <v>-13061.164939230999</v>
      </c>
      <c r="S15" s="201">
        <f t="shared" ref="S15:S28" si="7">Q15/R15-1</f>
        <v>0.16272266645942346</v>
      </c>
      <c r="T15" s="221">
        <f>FS!AB71-'quý 1.22'!Q15</f>
        <v>-6603.4864505719997</v>
      </c>
      <c r="U15" s="198">
        <f>INDEX($AH$12:$BI$36,MATCH('quý 1.22'!B15,$AG$12:$AG$36,0),MATCH('quý 1.22'!$U$11,$AH$11:$BI$11,0))</f>
        <v>-6603.4864497110002</v>
      </c>
      <c r="V15" s="198">
        <f>INDEX($AH$12:$BI$36,MATCH('quý 1.22'!B15,$AG$12:$AG$36,0),MATCH('quý 1.22'!$V$11,$AH$11:$BI$11,0))</f>
        <v>-4853.0083631139996</v>
      </c>
      <c r="W15" s="200">
        <f t="shared" ref="W15:W24" si="8">U15/V15-1</f>
        <v>0.36069958170724892</v>
      </c>
      <c r="X15" s="197">
        <f>Q15+U15</f>
        <v>-21789.998974919999</v>
      </c>
      <c r="Y15" s="197">
        <f>V15+R15</f>
        <v>-17914.173302345</v>
      </c>
      <c r="Z15" s="201">
        <f t="shared" ref="Z15:Z24" si="9">X15/Y15-1</f>
        <v>0.21635526279449624</v>
      </c>
      <c r="AA15" s="371"/>
      <c r="AC15" s="201" t="str">
        <f>"- "&amp;CONCATENATE(AC13,AC14)</f>
        <v>- Biên lợi nhuận gộp Q4/2022 đạt 26% tăng 0.06 điểm phần trăm svck</v>
      </c>
      <c r="AF15" s="201"/>
      <c r="AG15" s="194" t="str">
        <f>'FS Quarter'!C5</f>
        <v>Giá vốn hàng bán</v>
      </c>
      <c r="AH15" s="195">
        <v>-23803.198263370999</v>
      </c>
      <c r="AI15" s="195">
        <v>-24514.835467434001</v>
      </c>
      <c r="AJ15" s="195">
        <v>-18244.500199926999</v>
      </c>
      <c r="AK15" s="195">
        <v>-28763.440176908</v>
      </c>
      <c r="AL15" s="195">
        <v>-28342.412527150998</v>
      </c>
      <c r="AM15" s="195">
        <v>-27001.321732512999</v>
      </c>
      <c r="AN15" s="198">
        <v>-24619.955468</v>
      </c>
      <c r="AO15" s="198">
        <v>-22658.872494961</v>
      </c>
      <c r="AP15" s="198">
        <v>-21891.312170662</v>
      </c>
    </row>
    <row r="16" spans="1:42">
      <c r="B16" s="192" t="s">
        <v>333</v>
      </c>
      <c r="C16" s="197">
        <f>INDEX($AH$12:$BI$36,MATCH('quý 1.22'!B16,$AG$12:$AG$36,0),MATCH('quý 1.22'!$C$11,$AH$11:$BI$11,0))</f>
        <v>-1239.4423598339999</v>
      </c>
      <c r="D16" s="197">
        <f>INDEX($AH$12:$BI$36,MATCH('quý 1.22'!B16,$AG$12:$AG$36,0),MATCH('quý 1.22'!$D$11,$AH$11:$BI$11,0))</f>
        <v>-1088.3658713340001</v>
      </c>
      <c r="E16" s="196">
        <f t="shared" si="2"/>
        <v>0.13881038764549536</v>
      </c>
      <c r="F16" s="197">
        <f>INDEX($AH$12:$BI$36,MATCH('quý 1.22'!B16,$AG$12:$AG$36,0),MATCH('quý 1.22'!$F$11,$AH$11:$BI$11,0))</f>
        <v>-500.33131484099999</v>
      </c>
      <c r="G16" s="197">
        <f>INDEX($AH$12:$BI$36,MATCH('quý 1.22'!B16,$AG$12:$AG$36,0),MATCH('quý 1.22'!$G$11,$AH$11:$BI$11,0))</f>
        <v>-1100.251515639</v>
      </c>
      <c r="H16" s="196">
        <f t="shared" si="3"/>
        <v>-0.54525732732081766</v>
      </c>
      <c r="I16" s="197">
        <f t="shared" si="4"/>
        <v>-1739.7736746749999</v>
      </c>
      <c r="J16" s="197">
        <f t="shared" si="4"/>
        <v>-2188.6173869730001</v>
      </c>
      <c r="K16" s="196">
        <f t="shared" si="5"/>
        <v>-0.20508094058358006</v>
      </c>
      <c r="L16" s="205">
        <f>I16/$I$12</f>
        <v>-2.4571541698294588E-2</v>
      </c>
      <c r="M16" s="205"/>
      <c r="N16" s="198">
        <f>INDEX($AH$12:$BI$36,MATCH('quý 1.22'!B16,$AG$12:$AG$36,0),MATCH('quý 1.22'!$N$11,$AH$11:$BI$11,0))</f>
        <v>-316.22000000000003</v>
      </c>
      <c r="O16" s="198">
        <f>INDEX($AH$12:$BI$36,MATCH('quý 1.22'!B16,$AG$12:$AG$36,0),MATCH('quý 1.22'!$O$11,$AH$11:$BI$11,0))</f>
        <v>-975.18268038999997</v>
      </c>
      <c r="P16" s="200">
        <f t="shared" si="6"/>
        <v>-0.67573255108105923</v>
      </c>
      <c r="Q16" s="197">
        <f>I16+N16</f>
        <v>-2055.993674675</v>
      </c>
      <c r="R16" s="197">
        <f>J16+O16</f>
        <v>-3163.8000673629999</v>
      </c>
      <c r="S16" s="201">
        <f t="shared" si="7"/>
        <v>-0.35015056865187666</v>
      </c>
      <c r="T16" s="221">
        <f>FS!AB72-'quý 1.22'!Q16</f>
        <v>-292.04586861200005</v>
      </c>
      <c r="U16" s="198">
        <f>INDEX($AH$12:$BI$36,MATCH('quý 1.22'!B16,$AG$12:$AG$36,0),MATCH('quý 1.22'!$U$11,$AH$11:$BI$11,0))</f>
        <v>-292.04505554100001</v>
      </c>
      <c r="V16" s="198">
        <f>INDEX($AH$12:$BI$36,MATCH('quý 1.22'!B16,$AG$12:$AG$36,0),MATCH('quý 1.22'!$V$11,$AH$11:$BI$11,0))</f>
        <v>-665.959677027</v>
      </c>
      <c r="W16" s="200">
        <f t="shared" si="8"/>
        <v>-0.56146735963841299</v>
      </c>
      <c r="X16" s="197">
        <f>Q16+U16</f>
        <v>-2348.0387302159997</v>
      </c>
      <c r="Y16" s="197">
        <f>V16+R16</f>
        <v>-3829.7597443899999</v>
      </c>
      <c r="Z16" s="201">
        <f t="shared" si="9"/>
        <v>-0.38689659745483773</v>
      </c>
      <c r="AA16" s="371"/>
      <c r="AB16" s="201" t="s">
        <v>1263</v>
      </c>
      <c r="AC16" s="201" t="str">
        <f>" Lũy kế cả năm " &amp;X11&amp; "," &amp;" biên lợi nhuận gộp đạt " &amp;TEXT(X14,"0%")</f>
        <v xml:space="preserve"> Lũy kế cả năm 2022, biên lợi nhuận gộp đạt 23%</v>
      </c>
      <c r="AF16" s="201"/>
      <c r="AG16" s="194" t="str">
        <f>'FS Quarter'!C6</f>
        <v>Lãi gộp</v>
      </c>
      <c r="AH16" s="195">
        <v>7024.9455515019999</v>
      </c>
      <c r="AI16" s="195">
        <v>7143.5833856709996</v>
      </c>
      <c r="AJ16" s="195">
        <v>6088.7133257659998</v>
      </c>
      <c r="AK16" s="195">
        <v>7374.8897325950002</v>
      </c>
      <c r="AL16" s="195">
        <v>8124.2640914989997</v>
      </c>
      <c r="AM16" s="195">
        <v>7336.4182392599996</v>
      </c>
      <c r="AN16" s="198">
        <v>7392.0243790000004</v>
      </c>
      <c r="AO16" s="198">
        <v>7929.5086575129999</v>
      </c>
      <c r="AP16" s="198">
        <v>5214.4998517869999</v>
      </c>
    </row>
    <row r="17" spans="1:43" s="200" customFormat="1">
      <c r="A17" s="263"/>
      <c r="B17" s="199" t="s">
        <v>283</v>
      </c>
      <c r="C17" s="201">
        <f>-SUM(C15:C16)/C12</f>
        <v>0.17208787673762299</v>
      </c>
      <c r="D17" s="201">
        <f>-SUM(D15:D16)/D12</f>
        <v>0.17300738379402075</v>
      </c>
      <c r="F17" s="201">
        <f>-SUM(F15:F16)/F12</f>
        <v>0.1545881295992852</v>
      </c>
      <c r="G17" s="200">
        <f>-SUM(G15:G16)/G12</f>
        <v>0.17833656939314468</v>
      </c>
      <c r="I17" s="223">
        <f>-SUM(I15:I16)/I12</f>
        <v>0.16360109306303933</v>
      </c>
      <c r="J17" s="201">
        <f>-SUM(J15:J16)/J12</f>
        <v>0.17570738172380704</v>
      </c>
      <c r="N17" s="201">
        <f>-SUM(N15:N16)/N12</f>
        <v>0.17677214240901151</v>
      </c>
      <c r="O17" s="201">
        <f>-SUM(O15:O16)/O12</f>
        <v>0.21557426772852054</v>
      </c>
      <c r="Q17" s="224">
        <f>-SUM(Q15:Q16)/Q12</f>
        <v>0.16770191141896584</v>
      </c>
      <c r="R17" s="201">
        <f>-SUM(R15:R16)/R12</f>
        <v>0.18688098170629433</v>
      </c>
      <c r="S17" s="201"/>
      <c r="T17" s="223">
        <f ca="1">-SUM(T15:T16)/T12</f>
        <v>0.22542976046297555</v>
      </c>
      <c r="U17" s="201">
        <f>-SUM(U15:U16)/U12</f>
        <v>0.22542976272198983</v>
      </c>
      <c r="V17" s="201">
        <f>-SUM(V15:V16)/V12</f>
        <v>0.15271784982763473</v>
      </c>
      <c r="X17" s="223">
        <f>-SUM(X15:X16)/X12</f>
        <v>0.1809383303185996</v>
      </c>
      <c r="Y17" s="223">
        <f>-SUM(Y15:Y16)/Y12</f>
        <v>0.17684017537233121</v>
      </c>
      <c r="Z17" s="201"/>
      <c r="AA17" s="372"/>
      <c r="AB17" s="201" t="b">
        <f>AB14</f>
        <v>1</v>
      </c>
      <c r="AC17" s="201" t="str">
        <f>IF(Z14&gt;0," tăng "," giảm ") &amp;TEXT(Z14,"0.00") &amp; " điểm phẩn trăm svck"</f>
        <v xml:space="preserve"> tăng 0.01 điểm phẩn trăm svck</v>
      </c>
      <c r="AD17" s="201"/>
      <c r="AE17" s="201"/>
      <c r="AF17" s="201"/>
      <c r="AG17" s="200" t="str">
        <f>'FS Quarter'!C7</f>
        <v>Thu nhập tài chính</v>
      </c>
      <c r="AH17" s="263">
        <v>288.290505677</v>
      </c>
      <c r="AI17" s="263">
        <v>304.72639665100002</v>
      </c>
      <c r="AJ17" s="263">
        <v>288.60571992899997</v>
      </c>
      <c r="AK17" s="263">
        <v>384.46625450300002</v>
      </c>
      <c r="AL17" s="198">
        <v>354.85920563000002</v>
      </c>
      <c r="AM17" s="263">
        <v>297.75755306600001</v>
      </c>
      <c r="AN17" s="263">
        <v>348.74</v>
      </c>
      <c r="AO17" s="263">
        <v>311.780141173</v>
      </c>
      <c r="AP17" s="263">
        <v>359.08489394899999</v>
      </c>
    </row>
    <row r="18" spans="1:43">
      <c r="B18" s="192" t="s">
        <v>1262</v>
      </c>
      <c r="C18" s="197">
        <f>C13+SUM(C15:C16)</f>
        <v>1848.7911405179993</v>
      </c>
      <c r="D18" s="197">
        <f>D13+SUM(D15:D16)</f>
        <v>1691.4490428649997</v>
      </c>
      <c r="E18" s="196">
        <f t="shared" si="2"/>
        <v>9.3022073775566705E-2</v>
      </c>
      <c r="F18" s="197">
        <f>F13+SUM(F15:F16)</f>
        <v>2028.2112423569997</v>
      </c>
      <c r="G18" s="197">
        <f>G13+SUM(G15:G16)</f>
        <v>1497.7295749969999</v>
      </c>
      <c r="H18" s="196">
        <f t="shared" si="3"/>
        <v>0.35419055363252916</v>
      </c>
      <c r="I18" s="197">
        <f t="shared" si="4"/>
        <v>3877.0023828749991</v>
      </c>
      <c r="J18" s="197">
        <f t="shared" si="4"/>
        <v>3189.1786178619996</v>
      </c>
      <c r="K18" s="197"/>
      <c r="L18" s="197"/>
      <c r="M18" s="197"/>
      <c r="N18" s="198">
        <f>N13+SUM(N15:N16)</f>
        <v>1733.1981270000006</v>
      </c>
      <c r="O18" s="198">
        <f>O13+SUM(O15:O16)</f>
        <v>843.09863848299938</v>
      </c>
      <c r="P18" s="200">
        <f t="shared" si="6"/>
        <v>1.0557477475216555</v>
      </c>
      <c r="Q18" s="197">
        <f>Q13+SUM(Q15:Q16)</f>
        <v>5610.2005098749978</v>
      </c>
      <c r="R18" s="197">
        <f>J18+O18</f>
        <v>4032.2772563449989</v>
      </c>
      <c r="S18" s="201">
        <f t="shared" si="7"/>
        <v>0.39132310434433903</v>
      </c>
      <c r="T18" s="221">
        <f>FS!M78-'quý 1.22'!Q18</f>
        <v>1033.9763389180043</v>
      </c>
      <c r="U18" s="198">
        <f>U13+SUM(U15:U16)</f>
        <v>1033.9771522609999</v>
      </c>
      <c r="V18" s="198">
        <f>V13+SUM(V15:V16)</f>
        <v>1855.9216924540005</v>
      </c>
      <c r="W18" s="200">
        <f t="shared" si="8"/>
        <v>-0.44287673533584326</v>
      </c>
      <c r="X18" s="197">
        <f>X13+SUM(X15:X16)</f>
        <v>6644.1776621360004</v>
      </c>
      <c r="Y18" s="197">
        <f>Y13+SUM(Y15:Y16)</f>
        <v>5888.1989487989995</v>
      </c>
      <c r="Z18" s="201">
        <f t="shared" si="9"/>
        <v>0.12838878575785828</v>
      </c>
      <c r="AA18" s="371"/>
      <c r="AC18" s="201" t="str">
        <f>"- "&amp;CONCATENATE(AC16,AC17)</f>
        <v>-  Lũy kế cả năm 2022, biên lợi nhuận gộp đạt 23% tăng 0.01 điểm phẩn trăm svck</v>
      </c>
      <c r="AF18" s="201"/>
      <c r="AG18" s="194" t="str">
        <f>'FS Quarter'!C8</f>
        <v>Chi phí tài chính</v>
      </c>
      <c r="AH18" s="195">
        <v>-152.80239519099999</v>
      </c>
      <c r="AI18" s="195">
        <v>-170.84221576799999</v>
      </c>
      <c r="AJ18" s="195">
        <v>-164.67884072800001</v>
      </c>
      <c r="AK18" s="195">
        <v>-225.42169071800001</v>
      </c>
      <c r="AL18" s="195">
        <v>-206.279128125</v>
      </c>
      <c r="AM18" s="195">
        <v>-360.15734653999999</v>
      </c>
      <c r="AN18" s="198">
        <v>-434.637</v>
      </c>
      <c r="AO18" s="198">
        <v>-381.54682948499999</v>
      </c>
      <c r="AP18" s="198">
        <v>-295.779227945</v>
      </c>
    </row>
    <row r="19" spans="1:43" s="200" customFormat="1">
      <c r="A19" s="263"/>
      <c r="B19" s="199" t="s">
        <v>1268</v>
      </c>
      <c r="C19" s="223">
        <f>C18/C12</f>
        <v>5.0698097878556878E-2</v>
      </c>
      <c r="D19" s="223">
        <f>D18/D12</f>
        <v>5.4867041396406163E-2</v>
      </c>
      <c r="F19" s="201">
        <f>F18/F12</f>
        <v>5.9066532742815071E-2</v>
      </c>
      <c r="G19" s="201">
        <f>G18/G12</f>
        <v>4.7309045405788022E-2</v>
      </c>
      <c r="H19" s="201"/>
      <c r="I19" s="201">
        <f>I18/I12</f>
        <v>5.4756504884462279E-2</v>
      </c>
      <c r="J19" s="201">
        <f>J18/J12</f>
        <v>5.1037830882259959E-2</v>
      </c>
      <c r="N19" s="201">
        <f>N18/N12</f>
        <v>5.4142172331372036E-2</v>
      </c>
      <c r="O19" s="200">
        <f>O18/O12</f>
        <v>3.4648059845970886E-2</v>
      </c>
      <c r="Q19" s="201">
        <f>Q18/Q12</f>
        <v>5.456523187771993E-2</v>
      </c>
      <c r="R19" s="201">
        <f>R18/R12</f>
        <v>4.644422541875827E-2</v>
      </c>
      <c r="S19" s="201"/>
      <c r="T19" s="201">
        <f ca="1">T18/T12</f>
        <v>3.3802907102355999E-2</v>
      </c>
      <c r="U19" s="201">
        <f>U18/U12</f>
        <v>3.3802938021039119E-2</v>
      </c>
      <c r="V19" s="201">
        <f>V18/V12</f>
        <v>5.1356044872620521E-2</v>
      </c>
      <c r="X19" s="201">
        <f>X18/X12</f>
        <v>4.9804645564507838E-2</v>
      </c>
      <c r="Y19" s="201">
        <f>Y18/Y12</f>
        <v>4.7887846807417631E-2</v>
      </c>
      <c r="AA19" s="371"/>
      <c r="AD19" s="201"/>
      <c r="AE19" s="201"/>
      <c r="AF19" s="201"/>
      <c r="AG19" s="200" t="str">
        <f>'FS Quarter'!C9</f>
        <v xml:space="preserve">    Trong đó: Chi phí lãi vay</v>
      </c>
      <c r="AH19" s="263">
        <v>-152.70697401699999</v>
      </c>
      <c r="AI19" s="263">
        <v>-169.881589077</v>
      </c>
      <c r="AJ19" s="263">
        <v>-163.93269429399999</v>
      </c>
      <c r="AK19" s="263">
        <v>-187.425447131</v>
      </c>
      <c r="AL19" s="198">
        <v>-200.47373672399999</v>
      </c>
      <c r="AM19" s="263">
        <v>-365.962737941</v>
      </c>
      <c r="AN19" s="346">
        <f>-434.637</f>
        <v>-434.637</v>
      </c>
      <c r="AO19" s="263">
        <v>-361.07028405599999</v>
      </c>
      <c r="AP19" s="263">
        <v>-295.77872670599999</v>
      </c>
    </row>
    <row r="20" spans="1:43">
      <c r="B20" s="192" t="s">
        <v>537</v>
      </c>
      <c r="C20" s="197">
        <f>INDEX($AH$12:$BI$36,MATCH('quý 1.22'!B20,$AG$12:$AG$36,0),MATCH('quý 1.22'!$C$11,$AH$11:$BI$11,0))</f>
        <v>354.85920563000002</v>
      </c>
      <c r="D20" s="197">
        <f>INDEX($AH$12:$BI$36,MATCH('quý 1.22'!B20,$AG$12:$AG$36,0),MATCH('quý 1.22'!$D$11,$AH$11:$BI$11,0))</f>
        <v>288.290505677</v>
      </c>
      <c r="E20" s="196">
        <f t="shared" si="2"/>
        <v>0.2309084019145029</v>
      </c>
      <c r="F20" s="197">
        <f>INDEX($AH$12:$BI$36,MATCH('quý 1.22'!B20,$AG$12:$AG$36,0),MATCH('quý 1.22'!$F$11,$AH$11:$BI$11,0))</f>
        <v>297.75755306600001</v>
      </c>
      <c r="G20" s="197">
        <f>INDEX($AH$12:$BI$36,MATCH('quý 1.22'!B20,$AG$12:$AG$36,0),MATCH('quý 1.22'!$G$11,$AH$11:$BI$11,0))</f>
        <v>304.72639665100002</v>
      </c>
      <c r="H20" s="196">
        <f t="shared" si="3"/>
        <v>-2.286918252435266E-2</v>
      </c>
      <c r="I20" s="197">
        <f t="shared" si="4"/>
        <v>652.61675869600003</v>
      </c>
      <c r="J20" s="204">
        <f t="shared" si="4"/>
        <v>593.01690232800001</v>
      </c>
      <c r="K20" s="196">
        <f t="shared" si="5"/>
        <v>0.10050279534028372</v>
      </c>
      <c r="L20" s="196"/>
      <c r="M20" s="196"/>
      <c r="N20" s="198">
        <f>INDEX($AH$12:$BI$36,MATCH('quý 1.22'!B20,$AG$12:$AG$36,0),MATCH('quý 1.22'!$N$11,$AH$11:$BI$11,0))</f>
        <v>348.74</v>
      </c>
      <c r="O20" s="198">
        <f>INDEX($AH$12:$BI$36,MATCH('quý 1.22'!B20,$AG$12:$AG$36,0),MATCH('quý 1.22'!$O$11,$AH$11:$BI$11,0))</f>
        <v>288.60571992899997</v>
      </c>
      <c r="P20" s="200">
        <f t="shared" si="6"/>
        <v>0.20836135917816767</v>
      </c>
      <c r="Q20" s="197">
        <f t="shared" ref="Q20:R24" si="10">I20+N20</f>
        <v>1001.356758696</v>
      </c>
      <c r="R20" s="197">
        <f t="shared" si="10"/>
        <v>881.62262225699999</v>
      </c>
      <c r="S20" s="201">
        <f t="shared" si="7"/>
        <v>0.13581109810053915</v>
      </c>
      <c r="T20" s="221">
        <f>FS!AB76-'quý 1.22'!Q20</f>
        <v>311.78054562700004</v>
      </c>
      <c r="U20" s="198">
        <f>INDEX($AH$12:$BI$36,MATCH('quý 1.22'!B20,$AG$12:$AG$36,0),MATCH('quý 1.22'!$U$11,$AH$11:$BI$11,0))</f>
        <v>311.780141173</v>
      </c>
      <c r="V20" s="198">
        <f>INDEX($AH$12:$BI$36,MATCH('quý 1.22'!B20,$AG$12:$AG$36,0),MATCH('quý 1.22'!$V$11,$AH$11:$BI$11,0))</f>
        <v>384.46625450300002</v>
      </c>
      <c r="W20" s="200">
        <f t="shared" si="8"/>
        <v>-0.18905719937361332</v>
      </c>
      <c r="X20" s="197">
        <f>Q20+U20</f>
        <v>1313.136899869</v>
      </c>
      <c r="Y20" s="197">
        <f>V20+R20</f>
        <v>1266.0888767599999</v>
      </c>
      <c r="Z20" s="201">
        <f t="shared" si="9"/>
        <v>3.716012672775304E-2</v>
      </c>
      <c r="AA20" s="371"/>
      <c r="AB20" s="201" t="s">
        <v>1264</v>
      </c>
      <c r="AC20" s="201" t="str">
        <f>"DT tài chính " &amp;X11&amp;" là: " &amp; TEXT(X20,"#,##0") &amp;" tỷ VND " &amp; IF(Z20&gt;0,"tăng ","giảm ") &amp;TEXT(Z20,"0%") &amp; " svck"</f>
        <v>DT tài chính 2022 là: 1,313 tỷ VND tăng 4% svck</v>
      </c>
      <c r="AF20" s="201"/>
      <c r="AG20" s="194" t="str">
        <f>'FS Quarter'!C10</f>
        <v>Lãi/(lỗ) từ công ty liên doanh (từ năm 2015)</v>
      </c>
      <c r="AH20" s="195">
        <v>-2.9605620909999999</v>
      </c>
      <c r="AI20" s="195">
        <v>-3.413282846</v>
      </c>
      <c r="AJ20" s="195">
        <v>-1.2382535160000001</v>
      </c>
      <c r="AK20" s="195">
        <v>11.771267591999999</v>
      </c>
      <c r="AL20" s="195">
        <v>0</v>
      </c>
      <c r="AM20" s="195">
        <v>0</v>
      </c>
      <c r="AN20" s="198">
        <v>0</v>
      </c>
      <c r="AO20" s="198">
        <v>0</v>
      </c>
      <c r="AP20" s="198">
        <v>0</v>
      </c>
    </row>
    <row r="21" spans="1:43">
      <c r="B21" s="192" t="s">
        <v>338</v>
      </c>
      <c r="C21" s="197">
        <f>INDEX($AH$12:$BI$36,MATCH('quý 1.22'!B21,$AG$12:$AG$36,0),MATCH('quý 1.22'!$C$11,$AH$11:$BI$11,0))</f>
        <v>-206.279128125</v>
      </c>
      <c r="D21" s="197">
        <f>INDEX($AH$12:$BI$36,MATCH('quý 1.22'!B21,$AG$12:$AG$36,0),MATCH('quý 1.22'!$D$11,$AH$11:$BI$11,0))</f>
        <v>-152.80239519099999</v>
      </c>
      <c r="E21" s="196">
        <f t="shared" si="2"/>
        <v>0.34997313273234454</v>
      </c>
      <c r="F21" s="197">
        <f>INDEX($AH$12:$BI$36,MATCH('quý 1.22'!B21,$AG$12:$AG$36,0),MATCH('quý 1.22'!$F$11,$AH$11:$BI$11,0))</f>
        <v>-360.15734653999999</v>
      </c>
      <c r="G21" s="197">
        <f>INDEX($AH$12:$BI$36,MATCH('quý 1.22'!B21,$AG$12:$AG$36,0),MATCH('quý 1.22'!$G$11,$AH$11:$BI$11,0))</f>
        <v>-170.84221576799999</v>
      </c>
      <c r="H21" s="196">
        <f t="shared" si="3"/>
        <v>1.1081285144948354</v>
      </c>
      <c r="I21" s="197">
        <f t="shared" si="4"/>
        <v>-566.43647466499999</v>
      </c>
      <c r="J21" s="197">
        <f t="shared" si="4"/>
        <v>-323.64461095899998</v>
      </c>
      <c r="K21" s="196">
        <f t="shared" si="5"/>
        <v>0.75018046179288134</v>
      </c>
      <c r="L21" s="203">
        <f>I21*2</f>
        <v>-1132.87294933</v>
      </c>
      <c r="M21" s="203"/>
      <c r="N21" s="198">
        <f>INDEX($AH$12:$BI$36,MATCH('quý 1.22'!B21,$AG$12:$AG$36,0),MATCH('quý 1.22'!$N$11,$AH$11:$BI$11,0))</f>
        <v>-434.637</v>
      </c>
      <c r="O21" s="198">
        <f>INDEX($AH$12:$BI$36,MATCH('quý 1.22'!B21,$AG$12:$AG$36,0),MATCH('quý 1.22'!$O$11,$AH$11:$BI$11,0))</f>
        <v>-164.67884072800001</v>
      </c>
      <c r="P21" s="200">
        <f t="shared" si="6"/>
        <v>1.6393008238252649</v>
      </c>
      <c r="Q21" s="197">
        <f t="shared" si="10"/>
        <v>-1001.073474665</v>
      </c>
      <c r="R21" s="197">
        <f t="shared" si="10"/>
        <v>-488.32345168699999</v>
      </c>
      <c r="S21" s="201">
        <f t="shared" si="7"/>
        <v>1.0500212947107377</v>
      </c>
      <c r="T21" s="221">
        <f>FS!AB77-'quý 1.22'!Q21</f>
        <v>1001.073474665</v>
      </c>
      <c r="U21" s="198">
        <f>INDEX($AH$12:$BI$36,MATCH('quý 1.22'!B21,$AG$12:$AG$36,0),MATCH('quý 1.22'!$U$11,$AH$11:$BI$11,0))</f>
        <v>-381.54682948499999</v>
      </c>
      <c r="V21" s="198">
        <f>INDEX($AH$12:$BI$36,MATCH('quý 1.22'!B21,$AG$12:$AG$36,0),MATCH('quý 1.22'!$V$11,$AH$11:$BI$11,0))</f>
        <v>-225.42169071800001</v>
      </c>
      <c r="W21" s="200">
        <f t="shared" si="8"/>
        <v>0.69259146389027304</v>
      </c>
      <c r="X21" s="197">
        <f>Q21+U21</f>
        <v>-1382.62030415</v>
      </c>
      <c r="Y21" s="197">
        <f>V21+R21</f>
        <v>-713.74514240500002</v>
      </c>
      <c r="Z21" s="201">
        <f t="shared" si="9"/>
        <v>0.93713445038825993</v>
      </c>
      <c r="AA21" s="371"/>
      <c r="AB21" s="201" t="b">
        <f>AB17</f>
        <v>1</v>
      </c>
      <c r="AF21" s="201"/>
      <c r="AG21" s="194" t="str">
        <f>'FS Quarter'!C11</f>
        <v>Chi phí bán hàng</v>
      </c>
      <c r="AH21" s="195">
        <v>-4245.1306373030002</v>
      </c>
      <c r="AI21" s="195">
        <v>-4545.6022950349998</v>
      </c>
      <c r="AJ21" s="195">
        <v>-4270.4320068930001</v>
      </c>
      <c r="AK21" s="195">
        <v>-4853.0083631139996</v>
      </c>
      <c r="AL21" s="195">
        <v>-5036.0305911470005</v>
      </c>
      <c r="AM21" s="195">
        <v>-4807.8756820620001</v>
      </c>
      <c r="AN21" s="198">
        <v>-5342.6062519999996</v>
      </c>
      <c r="AO21" s="198">
        <v>-6603.4864497110002</v>
      </c>
      <c r="AP21" s="198">
        <v>-4784.6859112129996</v>
      </c>
    </row>
    <row r="22" spans="1:43">
      <c r="B22" s="192" t="s">
        <v>541</v>
      </c>
      <c r="C22" s="197">
        <f>INDEX($AH$12:$BI$36,MATCH('quý 1.22'!B22,$AG$12:$AG$36,0),MATCH('quý 1.22'!$C$11,$AH$11:$BI$11,0))</f>
        <v>5.6224114519999997</v>
      </c>
      <c r="D22" s="197">
        <f>INDEX($AH$12:$BI$36,MATCH('quý 1.22'!B22,$AG$12:$AG$36,0),MATCH('quý 1.22'!$D$11,$AH$11:$BI$11,0))</f>
        <v>3.592342881</v>
      </c>
      <c r="E22" s="196">
        <f t="shared" si="2"/>
        <v>0.56510991245771325</v>
      </c>
      <c r="F22" s="197">
        <f>INDEX($AH$12:$BI$36,MATCH('quý 1.22'!B22,$AG$12:$AG$36,0),MATCH('quý 1.22'!$F$11,$AH$11:$BI$11,0))</f>
        <v>-263.66812472999999</v>
      </c>
      <c r="G22" s="197">
        <f>INDEX($AH$12:$BI$36,MATCH('quý 1.22'!B22,$AG$12:$AG$36,0),MATCH('quý 1.22'!$G$11,$AH$11:$BI$11,0))</f>
        <v>-2.2299470659999998</v>
      </c>
      <c r="H22" s="196">
        <f t="shared" si="3"/>
        <v>117.23963391335496</v>
      </c>
      <c r="I22" s="197">
        <f t="shared" si="4"/>
        <v>-258.04571327799999</v>
      </c>
      <c r="J22" s="197">
        <f t="shared" si="4"/>
        <v>1.3623958150000002</v>
      </c>
      <c r="K22" s="196">
        <f t="shared" si="5"/>
        <v>-190.4058323116619</v>
      </c>
      <c r="L22" s="196"/>
      <c r="M22" s="196"/>
      <c r="N22" s="198">
        <f>INDEX($AH$12:$BI$36,MATCH('quý 1.22'!B22,$AG$12:$AG$36,0),MATCH('quý 1.22'!$N$11,$AH$11:$BI$11,0))</f>
        <v>-229.46</v>
      </c>
      <c r="O22" s="198">
        <f>INDEX($AH$12:$BI$36,MATCH('quý 1.22'!B22,$AG$12:$AG$36,0),MATCH('quý 1.22'!$O$11,$AH$11:$BI$11,0))</f>
        <v>2.343896585</v>
      </c>
      <c r="P22" s="200">
        <f t="shared" si="6"/>
        <v>-98.896810579635712</v>
      </c>
      <c r="Q22" s="197">
        <f t="shared" si="10"/>
        <v>-487.50571327800003</v>
      </c>
      <c r="R22" s="197">
        <f t="shared" si="10"/>
        <v>3.7062924000000002</v>
      </c>
      <c r="S22" s="221">
        <f t="shared" si="7"/>
        <v>-132.53460673475197</v>
      </c>
      <c r="U22" s="198">
        <f>INDEX($AH$12:$BI$36,MATCH('quý 1.22'!B22,$AG$12:$AG$36,0),MATCH('quý 1.22'!$U$11,$AH$11:$BI$11,0))</f>
        <v>-30.832189828000001</v>
      </c>
      <c r="V22" s="198">
        <f>INDEX($AH$12:$BI$36,MATCH('quý 1.22'!B22,$AG$12:$AG$36,0),MATCH('quý 1.22'!$V$11,$AH$11:$BI$11,0))</f>
        <v>23.17560585</v>
      </c>
      <c r="W22" s="200">
        <f t="shared" si="8"/>
        <v>-2.330372548944605</v>
      </c>
      <c r="X22" s="197">
        <f>Q22+U22</f>
        <v>-518.337903106</v>
      </c>
      <c r="Y22" s="197">
        <f>V22+R22</f>
        <v>26.881898249999999</v>
      </c>
      <c r="Z22" s="201">
        <f t="shared" si="9"/>
        <v>-20.28204244676062</v>
      </c>
      <c r="AA22" s="371"/>
      <c r="AB22" s="201" t="s">
        <v>1265</v>
      </c>
      <c r="AC22" s="201" t="str">
        <f>"CP lãi vay " &amp;X11 &amp;" là: " &amp; TEXT(X21,"#,##0") &amp;" tỷ VND, tương ứng "&amp;TEXT(AB24,"0%")&amp;" DTT, "</f>
        <v xml:space="preserve">CP lãi vay 2022 là: -1,383 tỷ VND, tương ứng -451% DTT, </v>
      </c>
      <c r="AF22" s="201"/>
      <c r="AG22" s="194" t="str">
        <f>'FS Quarter'!C12</f>
        <v>Chi phí QLDN</v>
      </c>
      <c r="AH22" s="195">
        <v>-1088.3658713340001</v>
      </c>
      <c r="AI22" s="195">
        <v>-1100.251515639</v>
      </c>
      <c r="AJ22" s="195">
        <v>-975.18268038999997</v>
      </c>
      <c r="AK22" s="195">
        <v>-665.959677027</v>
      </c>
      <c r="AL22" s="195">
        <v>-1239.4423598339999</v>
      </c>
      <c r="AM22" s="195">
        <v>-500.33131484099999</v>
      </c>
      <c r="AN22" s="198">
        <v>-316.22000000000003</v>
      </c>
      <c r="AO22" s="198">
        <v>-292.04505554100001</v>
      </c>
      <c r="AP22" s="198">
        <v>-324.69229141800002</v>
      </c>
    </row>
    <row r="23" spans="1:43">
      <c r="B23" s="192" t="s">
        <v>8</v>
      </c>
      <c r="C23" s="197">
        <f>INDEX($AH$12:$BI$36,MATCH('quý 1.22'!B23,$AG$12:$AG$36,0),MATCH('quý 1.22'!$C$11,$AH$11:$BI$11,0))</f>
        <v>2002.993629475</v>
      </c>
      <c r="D23" s="197">
        <f>INDEX($AH$12:$BI$36,MATCH('quý 1.22'!B23,$AG$12:$AG$36,0),MATCH('quý 1.22'!$D$11,$AH$11:$BI$11,0))</f>
        <v>1827.568934141</v>
      </c>
      <c r="E23" s="196">
        <f t="shared" si="2"/>
        <v>9.5988004642054037E-2</v>
      </c>
      <c r="F23" s="197">
        <f>INDEX($AH$12:$BI$36,MATCH('quý 1.22'!B23,$AG$12:$AG$36,0),MATCH('quý 1.22'!$F$11,$AH$11:$BI$11,0))</f>
        <v>1702.1433241530001</v>
      </c>
      <c r="G23" s="197">
        <f>INDEX($AH$12:$BI$36,MATCH('quý 1.22'!B23,$AG$12:$AG$36,0),MATCH('quý 1.22'!$G$11,$AH$11:$BI$11,0))</f>
        <v>1625.9705259679999</v>
      </c>
      <c r="H23" s="196">
        <f t="shared" si="3"/>
        <v>4.6847588543864616E-2</v>
      </c>
      <c r="I23" s="197">
        <f t="shared" si="4"/>
        <v>3705.1369536279999</v>
      </c>
      <c r="J23" s="197">
        <f t="shared" si="4"/>
        <v>3453.5394601090002</v>
      </c>
      <c r="K23" s="196">
        <f t="shared" si="5"/>
        <v>7.2852068558978855E-2</v>
      </c>
      <c r="L23" s="196"/>
      <c r="M23" s="196"/>
      <c r="N23" s="198">
        <f>INDEX($AH$12:$BI$36,MATCH('quý 1.22'!B23,$AG$12:$AG$36,0),MATCH('quý 1.22'!$N$11,$AH$11:$BI$11,0))</f>
        <v>1417.8401449999999</v>
      </c>
      <c r="O23" s="198">
        <f>INDEX($AH$12:$BI$36,MATCH('quý 1.22'!B23,$AG$12:$AG$36,0),MATCH('quý 1.22'!$O$11,$AH$11:$BI$11,0))</f>
        <v>968.13116075300002</v>
      </c>
      <c r="P23" s="200">
        <f t="shared" si="6"/>
        <v>0.46451245706957933</v>
      </c>
      <c r="Q23" s="197">
        <f t="shared" si="10"/>
        <v>5122.977098628</v>
      </c>
      <c r="R23" s="197">
        <f t="shared" si="10"/>
        <v>4421.6706208619999</v>
      </c>
      <c r="S23" s="219">
        <f t="shared" si="7"/>
        <v>0.15860667559839214</v>
      </c>
      <c r="T23" s="222">
        <f>FS!M96-'quý 1.22'!Q23</f>
        <v>933.37827493000168</v>
      </c>
      <c r="U23" s="198">
        <f>INDEX($AH$12:$BI$36,MATCH('quý 1.22'!B23,$AG$12:$AG$36,0),MATCH('quý 1.22'!$U$11,$AH$11:$BI$11,0))</f>
        <v>933.378274121</v>
      </c>
      <c r="V23" s="198">
        <f>INDEX($AH$12:$BI$36,MATCH('quý 1.22'!B23,$AG$12:$AG$36,0),MATCH('quý 1.22'!$V$11,$AH$11:$BI$11,0))</f>
        <v>2049.9131296810001</v>
      </c>
      <c r="W23" s="200">
        <f t="shared" si="8"/>
        <v>-0.54467423004103166</v>
      </c>
      <c r="X23" s="197">
        <f>Q23+U23</f>
        <v>6056.3553727489998</v>
      </c>
      <c r="Y23" s="197">
        <f>V23+R23</f>
        <v>6471.583750543</v>
      </c>
      <c r="Z23" s="201">
        <f t="shared" si="9"/>
        <v>-6.416178694421748E-2</v>
      </c>
      <c r="AA23" s="372"/>
      <c r="AB23" s="201" t="b">
        <v>1</v>
      </c>
      <c r="AC23" s="201" t="str">
        <f>IF(Z21&gt;0,"tăng ","giảm ") &amp;TEXT(Z21,"0%") &amp; " svck"</f>
        <v>tăng 94% svck</v>
      </c>
      <c r="AD23" s="218"/>
      <c r="AE23" s="218"/>
      <c r="AF23" s="218"/>
      <c r="AG23" s="194" t="str">
        <f>'FS Quarter'!C13</f>
        <v>Lãi/lỗ từ hoạt động kinh doanh</v>
      </c>
      <c r="AH23" s="195">
        <v>1823.9765912600001</v>
      </c>
      <c r="AI23" s="195">
        <v>1628.200473034</v>
      </c>
      <c r="AJ23" s="195">
        <v>965.78726416799998</v>
      </c>
      <c r="AK23" s="195">
        <v>2026.7375238310001</v>
      </c>
      <c r="AL23" s="195">
        <v>1997.371218023</v>
      </c>
      <c r="AM23" s="195">
        <v>1965.8114488829999</v>
      </c>
      <c r="AN23" s="198">
        <v>1647.300567</v>
      </c>
      <c r="AO23" s="198">
        <v>964.21046394899997</v>
      </c>
      <c r="AP23" s="198">
        <v>168.42731516000001</v>
      </c>
    </row>
    <row r="24" spans="1:43" s="211" customFormat="1">
      <c r="A24" s="269"/>
      <c r="B24" s="191" t="s">
        <v>9</v>
      </c>
      <c r="C24" s="209">
        <f>INDEX($AH$12:$BI$36,MATCH('quý 1.22'!B24,$AG$12:$AG$36,0),MATCH('quý 1.22'!$C$11,$AH$11:$BI$11,0))</f>
        <v>1445.2443731660001</v>
      </c>
      <c r="D24" s="209">
        <f>INDEX($AH$12:$BI$36,MATCH('quý 1.22'!B24,$AG$12:$AG$36,0),MATCH('quý 1.22'!$D$11,$AH$11:$BI$11,0))</f>
        <v>1338.6329833540001</v>
      </c>
      <c r="E24" s="265">
        <f t="shared" si="2"/>
        <v>7.964198636797426E-2</v>
      </c>
      <c r="F24" s="209">
        <f>INDEX($AH$12:$BI$36,MATCH('quý 1.22'!B24,$AG$12:$AG$36,0),MATCH('quý 1.22'!$F$11,$AH$11:$BI$11,0))</f>
        <v>1130.668779267</v>
      </c>
      <c r="G24" s="209">
        <f>INDEX($AH$12:$BI$36,MATCH('quý 1.22'!B24,$AG$12:$AG$36,0),MATCH('quý 1.22'!$G$11,$AH$11:$BI$11,0))</f>
        <v>1213.6784024179999</v>
      </c>
      <c r="H24" s="210">
        <f t="shared" si="3"/>
        <v>-6.8395073180523513E-2</v>
      </c>
      <c r="I24" s="209">
        <f t="shared" si="4"/>
        <v>2575.9131524330001</v>
      </c>
      <c r="J24" s="209">
        <f t="shared" si="4"/>
        <v>2552.311385772</v>
      </c>
      <c r="K24" s="210">
        <f t="shared" si="5"/>
        <v>9.2472128567733236E-3</v>
      </c>
      <c r="L24" s="210"/>
      <c r="M24" s="210"/>
      <c r="N24" s="198">
        <f>INDEX($AH$12:$BI$36,MATCH('quý 1.22'!B24,$AG$12:$AG$36,0),MATCH('quý 1.22'!$N$11,$AH$11:$BI$11,0))</f>
        <v>906.77916900000002</v>
      </c>
      <c r="O24" s="198">
        <f>INDEX($AH$12:$BI$36,MATCH('quý 1.22'!B24,$AG$12:$AG$36,0),MATCH('quý 1.22'!$O$11,$AH$11:$BI$11,0))</f>
        <v>785.80215888299995</v>
      </c>
      <c r="P24" s="220">
        <f t="shared" si="6"/>
        <v>0.15395352220585168</v>
      </c>
      <c r="Q24" s="197">
        <f t="shared" si="10"/>
        <v>3482.692321433</v>
      </c>
      <c r="R24" s="197">
        <f t="shared" si="10"/>
        <v>3338.1135446549997</v>
      </c>
      <c r="S24" s="219">
        <f t="shared" si="7"/>
        <v>4.3311521565676081E-2</v>
      </c>
      <c r="T24" s="222">
        <f>FS!AB80-'quý 1.22'!Q24</f>
        <v>617.07070587200178</v>
      </c>
      <c r="U24" s="198">
        <f>INDEX($AH$12:$BI$36,MATCH('quý 1.22'!B24,$AG$12:$AG$36,0),MATCH('quý 1.22'!$U$11,$AH$11:$BI$11,0))</f>
        <v>619.02210313299997</v>
      </c>
      <c r="V24" s="198">
        <f>INDEX($AH$12:$BI$36,MATCH('quý 1.22'!B24,$AG$12:$AG$36,0),MATCH('quý 1.22'!$V$11,$AH$11:$BI$11,0))</f>
        <v>1563.3131292349999</v>
      </c>
      <c r="W24" s="200">
        <f t="shared" si="8"/>
        <v>-0.6040319168585786</v>
      </c>
      <c r="X24" s="197">
        <f>Q24+U24</f>
        <v>4101.7144245660002</v>
      </c>
      <c r="Y24" s="197">
        <f>V24+R24</f>
        <v>4901.4266738899996</v>
      </c>
      <c r="Z24" s="201">
        <f t="shared" si="9"/>
        <v>-0.16315907643463956</v>
      </c>
      <c r="AA24" s="371"/>
      <c r="AB24" s="201">
        <f>W21/W12</f>
        <v>-4.5097891728951591</v>
      </c>
      <c r="AC24" s="201" t="str">
        <f>"- "&amp;CONCATENATE(AC22,AC23)</f>
        <v>- CP lãi vay 2022 là: -1,383 tỷ VND, tương ứng -451% DTT, tăng 94% svck</v>
      </c>
      <c r="AD24" s="219">
        <f>Q24/6350</f>
        <v>0.54845548369023622</v>
      </c>
      <c r="AE24" s="219" t="e">
        <f>C24/FS!#REF!</f>
        <v>#REF!</v>
      </c>
      <c r="AF24" s="219"/>
      <c r="AG24" s="212" t="str">
        <f>'FS Quarter'!C14</f>
        <v>Thu nhập khác</v>
      </c>
      <c r="AH24" s="213">
        <v>19.012499941000002</v>
      </c>
      <c r="AI24" s="213">
        <v>3.9756933989999999</v>
      </c>
      <c r="AJ24" s="213">
        <v>20.139201987</v>
      </c>
      <c r="AK24" s="213">
        <v>32.650468169</v>
      </c>
      <c r="AL24" s="195">
        <v>16.405756756999999</v>
      </c>
      <c r="AM24" s="213">
        <v>19.248084909999999</v>
      </c>
      <c r="AN24" s="269">
        <v>16.988</v>
      </c>
      <c r="AO24" s="269">
        <v>8.9645649420000009</v>
      </c>
      <c r="AP24" s="269">
        <v>13.472209198</v>
      </c>
    </row>
    <row r="25" spans="1:43">
      <c r="B25" s="249" t="s">
        <v>548</v>
      </c>
      <c r="C25" s="223">
        <f>C24/C12</f>
        <v>3.9631918978513786E-2</v>
      </c>
      <c r="D25" s="223">
        <f>D24/D12</f>
        <v>4.3422432157857592E-2</v>
      </c>
      <c r="E25" s="201"/>
      <c r="F25" s="201">
        <f>F24/F12</f>
        <v>3.2927874117412943E-2</v>
      </c>
      <c r="G25" s="201">
        <f>G24/G12</f>
        <v>3.8336671456950057E-2</v>
      </c>
      <c r="H25" s="201"/>
      <c r="I25" s="201">
        <f>I24/I12</f>
        <v>3.6380684658891993E-2</v>
      </c>
      <c r="J25" s="201">
        <f>J24/J12</f>
        <v>4.0845763901811855E-2</v>
      </c>
      <c r="K25" s="201"/>
      <c r="L25" s="201"/>
      <c r="M25" s="201"/>
      <c r="N25" s="201">
        <f>N24/N12</f>
        <v>2.8326244570477957E-2</v>
      </c>
      <c r="O25" s="201">
        <f>O24/O12</f>
        <v>3.2293398405980597E-2</v>
      </c>
      <c r="P25" s="201"/>
      <c r="Q25" s="201">
        <f>Q24/Q12</f>
        <v>3.3872927312179175E-2</v>
      </c>
      <c r="R25" s="201">
        <f>R24/R12</f>
        <v>3.8448769289713303E-2</v>
      </c>
      <c r="T25" s="250"/>
      <c r="U25" s="201">
        <f>U24/U12</f>
        <v>2.023716456413167E-2</v>
      </c>
      <c r="V25" s="201">
        <f>V24/V12</f>
        <v>4.3259141558279597E-2</v>
      </c>
      <c r="W25" s="201"/>
      <c r="X25" s="201">
        <f>X24/X12</f>
        <v>3.0746383301355699E-2</v>
      </c>
      <c r="Y25" s="201">
        <f>Y24/Y12</f>
        <v>3.9862574572978683E-2</v>
      </c>
      <c r="Z25" s="219"/>
      <c r="AA25" s="371"/>
      <c r="AB25" s="219" t="s">
        <v>1267</v>
      </c>
      <c r="AC25" s="219" t="str">
        <f>"CPBH " &amp;X11&amp;" là: " &amp; TEXT(X15,"#,##0") &amp;" tỷ VND, tương ứng "&amp;TEXT(X15/X12,"0%")&amp;" DTT, "</f>
        <v xml:space="preserve">CPBH 2022 là: -21,790 tỷ VND, tương ứng -16% DTT, </v>
      </c>
      <c r="AF25" s="201"/>
      <c r="AG25" s="194" t="str">
        <f>'FS Quarter'!C15</f>
        <v>Chi phí khác</v>
      </c>
      <c r="AH25" s="195">
        <v>-15.420157059999999</v>
      </c>
      <c r="AI25" s="195">
        <v>-6.2056404650000001</v>
      </c>
      <c r="AJ25" s="195">
        <v>-17.795305402</v>
      </c>
      <c r="AK25" s="195">
        <v>-9.4748623189999996</v>
      </c>
      <c r="AL25" s="195">
        <v>-10.783345304999999</v>
      </c>
      <c r="AM25" s="195">
        <v>-282.91620963999998</v>
      </c>
      <c r="AN25" s="198">
        <v>-246.488</v>
      </c>
      <c r="AO25" s="198">
        <v>-39.79675477</v>
      </c>
      <c r="AP25" s="198">
        <v>-22.932942697000001</v>
      </c>
    </row>
    <row r="26" spans="1:43" s="262" customFormat="1">
      <c r="A26" s="255"/>
      <c r="B26" s="251" t="s">
        <v>2287</v>
      </c>
      <c r="C26" s="252" t="e">
        <f ca="1">C4*29%+C6*10%+C8*1%+C10*3%</f>
        <v>#REF!</v>
      </c>
      <c r="D26" s="252" t="e">
        <f ca="1">D4*30%+D6*10%+D8*1%+D10*3%</f>
        <v>#REF!</v>
      </c>
      <c r="E26" s="253"/>
      <c r="F26" s="254"/>
      <c r="G26" s="254"/>
      <c r="H26" s="253"/>
      <c r="I26" s="254"/>
      <c r="J26" s="254"/>
      <c r="K26" s="253"/>
      <c r="L26" s="253"/>
      <c r="M26" s="253"/>
      <c r="N26" s="255"/>
      <c r="O26" s="255"/>
      <c r="P26" s="253"/>
      <c r="Q26" s="256"/>
      <c r="R26" s="256"/>
      <c r="S26" s="257"/>
      <c r="T26" s="258"/>
      <c r="U26" s="255"/>
      <c r="V26" s="255"/>
      <c r="W26" s="253"/>
      <c r="X26" s="256"/>
      <c r="Y26" s="256"/>
      <c r="Z26" s="257"/>
      <c r="AA26" s="372"/>
      <c r="AB26" s="257" t="b">
        <f>AB21</f>
        <v>1</v>
      </c>
      <c r="AC26" s="257" t="str">
        <f>IF(Z15&gt;0,"tăng","giảm") &amp; " " &amp;TEXT(Z15,"0%") &amp; " svck"</f>
        <v>tăng 22% svck</v>
      </c>
      <c r="AD26" s="259"/>
      <c r="AE26" s="259"/>
      <c r="AF26" s="259"/>
      <c r="AG26" s="260" t="str">
        <f>'FS Quarter'!C16</f>
        <v>Thu nhập khác, ròng</v>
      </c>
      <c r="AH26" s="261">
        <v>3.592342881</v>
      </c>
      <c r="AI26" s="261">
        <v>-2.2299470659999998</v>
      </c>
      <c r="AJ26" s="261">
        <v>2.343896585</v>
      </c>
      <c r="AK26" s="261">
        <v>23.17560585</v>
      </c>
      <c r="AL26" s="261">
        <v>5.6224114519999997</v>
      </c>
      <c r="AM26" s="261">
        <v>-263.66812472999999</v>
      </c>
      <c r="AN26" s="255">
        <v>-229.46</v>
      </c>
      <c r="AO26" s="255">
        <v>-30.832189828000001</v>
      </c>
      <c r="AP26" s="255">
        <v>-9.4607334989999998</v>
      </c>
    </row>
    <row r="27" spans="1:43">
      <c r="B27" s="193" t="s">
        <v>356</v>
      </c>
      <c r="C27" s="198">
        <f>C24*10^7/'FS Quarter'!$BC$136</f>
        <v>3039860.1990899644</v>
      </c>
      <c r="D27" s="198">
        <f>D24*10^7/'FS Quarter'!$BC$136</f>
        <v>2815618.7305352623</v>
      </c>
      <c r="E27" s="196">
        <f t="shared" si="2"/>
        <v>7.964198636797426E-2</v>
      </c>
      <c r="F27" s="198">
        <f>F24*10^7/'FS Quarter'!$BC$136</f>
        <v>2378196.4380999594</v>
      </c>
      <c r="G27" s="198">
        <f>G24*10^7/'FS Quarter'!$BC$136</f>
        <v>2552795.0417986559</v>
      </c>
      <c r="H27" s="196">
        <f t="shared" si="3"/>
        <v>-6.8395073180523402E-2</v>
      </c>
      <c r="I27" s="197">
        <f>I24*10^7/'FS Quarter'!$BC$136</f>
        <v>5418056.6371899238</v>
      </c>
      <c r="J27" s="197">
        <f>J24*10^7/'FS Quarter'!$BC$136</f>
        <v>5368413.7723339181</v>
      </c>
      <c r="K27" s="196">
        <f t="shared" si="5"/>
        <v>9.2472128567733236E-3</v>
      </c>
      <c r="L27" s="196"/>
      <c r="M27" s="196"/>
      <c r="N27" s="198" t="e">
        <f>INDEX($AH$12:$BI$36,MATCH('quý 1.22'!B27,$AG$12:$AG$36,0),MATCH('quý 1.22'!$N$11,$AH$11:$BI$11,0))</f>
        <v>#N/A</v>
      </c>
      <c r="O27" s="198" t="e">
        <f>INDEX($AH$12:$BI$36,MATCH('quý 1.22'!B27,$AG$12:$AG$36,0),MATCH('quý 1.22'!$O$11,$AH$11:$BI$11,0))</f>
        <v>#N/A</v>
      </c>
      <c r="P27" s="200" t="e">
        <f t="shared" si="6"/>
        <v>#N/A</v>
      </c>
      <c r="Q27" s="197" t="e">
        <f>I27+N27</f>
        <v>#N/A</v>
      </c>
      <c r="R27" s="197" t="e">
        <f>J27+O27</f>
        <v>#N/A</v>
      </c>
      <c r="S27" s="201" t="e">
        <f t="shared" si="7"/>
        <v>#N/A</v>
      </c>
      <c r="U27" s="198" t="e">
        <f>INDEX($AH$12:$BI$36,MATCH('quý 1.22'!B27,$AG$12:$AG$36,0),MATCH('quý 1.22'!$U$11,$AH$11:$BI$11,0))</f>
        <v>#N/A</v>
      </c>
      <c r="V27" s="198"/>
      <c r="X27" s="197" t="e">
        <f>Q27+U27</f>
        <v>#N/A</v>
      </c>
      <c r="Y27" s="197" t="e">
        <f>V27+R27</f>
        <v>#N/A</v>
      </c>
      <c r="AA27" s="371"/>
      <c r="AC27" s="201" t="str">
        <f>"- "&amp;CONCATENATE(AC25,AC26)</f>
        <v>- CPBH 2022 là: -21,790 tỷ VND, tương ứng -16% DTT, tăng 22% svck</v>
      </c>
      <c r="AF27" s="201"/>
      <c r="AG27" s="194" t="str">
        <f>'FS Quarter'!C17</f>
        <v>Lãi/lỗ từ công ty liên doanh</v>
      </c>
      <c r="AH27" s="195">
        <v>0</v>
      </c>
      <c r="AI27" s="195">
        <v>0</v>
      </c>
      <c r="AJ27" s="195">
        <v>0</v>
      </c>
      <c r="AK27" s="195">
        <v>0</v>
      </c>
      <c r="AL27" s="112">
        <v>0</v>
      </c>
      <c r="AM27" s="195">
        <v>0</v>
      </c>
      <c r="AN27" s="198">
        <v>0</v>
      </c>
      <c r="AO27" s="198">
        <v>0</v>
      </c>
      <c r="AP27" s="198">
        <v>0</v>
      </c>
      <c r="AQ27" s="214">
        <f>AP27/10^9</f>
        <v>0</v>
      </c>
    </row>
    <row r="28" spans="1:43">
      <c r="B28" s="112" t="s">
        <v>211</v>
      </c>
      <c r="C28" s="202">
        <f>C15/$C$12</f>
        <v>-0.13809952148399079</v>
      </c>
      <c r="D28" s="202">
        <f>D15/$D$12</f>
        <v>-0.13770308919004529</v>
      </c>
      <c r="I28" s="197">
        <f>I24/2</f>
        <v>1287.9565762165</v>
      </c>
      <c r="Q28" s="197">
        <f>Q12+AK14</f>
        <v>138954.726299926</v>
      </c>
      <c r="R28" s="204">
        <f>SUM(AH12:AK12)</f>
        <v>124141.525689948</v>
      </c>
      <c r="S28" s="201">
        <f t="shared" si="7"/>
        <v>0.11932510517854422</v>
      </c>
      <c r="V28" s="112">
        <f>V21+Q21</f>
        <v>-1226.4951653830001</v>
      </c>
      <c r="X28" s="197">
        <f>X12+AR14</f>
        <v>133404.77754289701</v>
      </c>
      <c r="Y28" s="204"/>
      <c r="AA28" s="371"/>
      <c r="AB28" s="201" t="s">
        <v>1269</v>
      </c>
      <c r="AC28" s="201" t="str">
        <f>"Chi phí QLDN " &amp;X11 &amp;" là: " &amp; TEXT(X16,"#,##0") &amp;" tỷ VND, tương ứng "&amp;TEXT(X16/X12,"0%")&amp;" DTT, "</f>
        <v xml:space="preserve">Chi phí QLDN 2022 là: -2,348 tỷ VND, tương ứng -2% DTT, </v>
      </c>
      <c r="AF28" s="201"/>
      <c r="AG28" s="194" t="str">
        <f>'FS Quarter'!C18</f>
        <v>LNTT</v>
      </c>
      <c r="AH28" s="195">
        <v>1827.568934141</v>
      </c>
      <c r="AI28" s="195">
        <v>1625.9705259679999</v>
      </c>
      <c r="AJ28" s="195">
        <v>968.13116075300002</v>
      </c>
      <c r="AK28" s="195">
        <v>2049.9131296810001</v>
      </c>
      <c r="AL28" s="195">
        <v>2002.993629475</v>
      </c>
      <c r="AM28" s="195">
        <v>1702.1433241530001</v>
      </c>
      <c r="AN28" s="198">
        <v>1417.8401449999999</v>
      </c>
      <c r="AO28" s="198">
        <v>933.378274121</v>
      </c>
      <c r="AP28" s="198">
        <v>158.96658166099999</v>
      </c>
    </row>
    <row r="29" spans="1:43">
      <c r="B29" s="112" t="s">
        <v>2047</v>
      </c>
      <c r="C29" s="202">
        <f>C16/$C$12</f>
        <v>-3.3988355253632217E-2</v>
      </c>
      <c r="D29" s="202">
        <f>D16/$D$12</f>
        <v>-3.5304294603975453E-2</v>
      </c>
      <c r="I29" s="198" t="e">
        <f>SUM(#REF!)</f>
        <v>#REF!</v>
      </c>
      <c r="M29" s="196"/>
      <c r="R29" s="112">
        <f>Q28/R28-1</f>
        <v>0.11932510517854422</v>
      </c>
      <c r="U29" s="112">
        <f>FS!L67/10^3-'quý 1.22'!Q12</f>
        <v>-102693.43828431983</v>
      </c>
      <c r="V29" s="112">
        <f>U29/V12-1</f>
        <v>-3.84167637357573</v>
      </c>
      <c r="AA29" s="372"/>
      <c r="AB29" s="201" t="b">
        <v>1</v>
      </c>
      <c r="AC29" s="201" t="str">
        <f>IF(Z16&gt;0,"tăng ","giảm ") &amp;TEXT(Z16,"0%") &amp; " svck"</f>
        <v>giảm -39% svck</v>
      </c>
      <c r="AF29" s="201"/>
      <c r="AG29" s="194" t="str">
        <f>'FS Quarter'!C19</f>
        <v>Thuế thu nhập doanh nghiệp – hiện thời</v>
      </c>
      <c r="AH29" s="195">
        <v>-469.24963198099999</v>
      </c>
      <c r="AI29" s="195">
        <v>-418.68324550400001</v>
      </c>
      <c r="AJ29" s="195">
        <v>-228.91926626399999</v>
      </c>
      <c r="AK29" s="195">
        <v>-520.012449565</v>
      </c>
      <c r="AL29" s="195">
        <v>-553.60448381399999</v>
      </c>
      <c r="AM29" s="195">
        <v>-546.71632095999996</v>
      </c>
      <c r="AN29" s="198">
        <v>-496.12167570000003</v>
      </c>
      <c r="AO29" s="198">
        <v>-196.55632958999999</v>
      </c>
      <c r="AP29" s="198">
        <v>-140.45582847200001</v>
      </c>
    </row>
    <row r="30" spans="1:43">
      <c r="B30" s="112" t="s">
        <v>1270</v>
      </c>
      <c r="C30" s="202"/>
      <c r="I30" s="112">
        <f>I15/$I$12</f>
        <v>-0.13902955136474476</v>
      </c>
      <c r="J30" s="112">
        <f>J15/$J$12</f>
        <v>-0.14068197316353453</v>
      </c>
      <c r="L30" s="197">
        <f ca="1">FS!AB67-'quý 1.22'!I12</f>
        <v>62600.364869576995</v>
      </c>
      <c r="M30" s="197" t="e">
        <f>FS!#REF!-'quý 1.22'!J12</f>
        <v>#REF!</v>
      </c>
      <c r="Q30" s="112">
        <f>Q15/$Q$12</f>
        <v>-0.1477051623900677</v>
      </c>
      <c r="R30" s="112">
        <f>R15/R12</f>
        <v>-0.15043997475984203</v>
      </c>
      <c r="AA30" s="373"/>
      <c r="AC30" s="201" t="str">
        <f>"- "&amp;CONCATENATE(AC28,AC29)</f>
        <v>- Chi phí QLDN 2022 là: -2,348 tỷ VND, tương ứng -2% DTT, giảm -39% svck</v>
      </c>
      <c r="AF30" s="201"/>
      <c r="AG30" s="194" t="str">
        <f>'FS Quarter'!C20</f>
        <v>Thuế thu nhập doanh nghiệp – hoãn lại</v>
      </c>
      <c r="AH30" s="195">
        <v>-19.686318805999999</v>
      </c>
      <c r="AI30" s="195">
        <v>6.3911219539999999</v>
      </c>
      <c r="AJ30" s="195">
        <v>46.590264394000002</v>
      </c>
      <c r="AK30" s="195">
        <v>33.412449119000001</v>
      </c>
      <c r="AL30" s="195">
        <v>-4.1447724949999998</v>
      </c>
      <c r="AM30" s="195">
        <v>-24.758223925999999</v>
      </c>
      <c r="AN30" s="198">
        <v>-14.939</v>
      </c>
      <c r="AO30" s="198">
        <v>-117.799841398</v>
      </c>
      <c r="AP30" s="198">
        <v>2.7705612529999999</v>
      </c>
    </row>
    <row r="31" spans="1:43">
      <c r="C31" s="202">
        <f>C15/C12</f>
        <v>-0.13809952148399079</v>
      </c>
      <c r="D31" s="202">
        <f>D15/D12</f>
        <v>-0.13770308919004529</v>
      </c>
      <c r="I31" s="112">
        <f>I16/$I$12</f>
        <v>-2.4571541698294588E-2</v>
      </c>
      <c r="J31" s="112">
        <f>J16/$J$12</f>
        <v>-3.5025408560272489E-2</v>
      </c>
      <c r="M31" s="112" t="e">
        <f ca="1">L30/M30-1</f>
        <v>#REF!</v>
      </c>
      <c r="Q31" s="112">
        <f>Q16/$Q$12</f>
        <v>-1.9996749028898166E-2</v>
      </c>
      <c r="R31" s="112">
        <f>R16/R12</f>
        <v>-3.644100694645231E-2</v>
      </c>
      <c r="S31" s="201">
        <f>SUM(Q15:Q16)/Q13</f>
        <v>-0.75450608187785373</v>
      </c>
      <c r="U31" s="112">
        <f>U15/U12</f>
        <v>-0.21588218143335472</v>
      </c>
      <c r="V31" s="112">
        <f>V15/V12</f>
        <v>-0.1342897797232695</v>
      </c>
      <c r="AA31" s="374"/>
      <c r="AE31" s="263">
        <f>C24+AK32+AI32*2</f>
        <v>5435.9143072369998</v>
      </c>
      <c r="AF31" s="201"/>
      <c r="AG31" s="194" t="str">
        <f>'FS Quarter'!C21</f>
        <v>Chi phí thuế thu nhập doanh nghiệp</v>
      </c>
      <c r="AH31" s="195">
        <v>-488.93595078700002</v>
      </c>
      <c r="AI31" s="195">
        <v>-412.29212354999999</v>
      </c>
      <c r="AJ31" s="195">
        <v>-182.32900187000001</v>
      </c>
      <c r="AK31" s="195">
        <v>-486.60000044600002</v>
      </c>
      <c r="AL31" s="214">
        <v>-557.74925630899997</v>
      </c>
      <c r="AM31" s="195">
        <v>-571.47454488599999</v>
      </c>
      <c r="AN31" s="198">
        <f>SUM(AN29:AN30)</f>
        <v>-511.06067570000005</v>
      </c>
      <c r="AO31" s="198">
        <v>-314.35617098799997</v>
      </c>
      <c r="AP31" s="198">
        <v>-137.685267219</v>
      </c>
    </row>
    <row r="32" spans="1:43">
      <c r="C32" s="202">
        <f>C16/C12</f>
        <v>-3.3988355253632217E-2</v>
      </c>
      <c r="D32" s="202">
        <f>D16/D12</f>
        <v>-3.5304294603975453E-2</v>
      </c>
      <c r="N32" s="112">
        <f>N16/N12</f>
        <v>-9.8781769192544597E-3</v>
      </c>
      <c r="Q32" s="112">
        <f>Q16/Q12</f>
        <v>-1.9996749028898166E-2</v>
      </c>
      <c r="AA32" s="374"/>
      <c r="AC32" s="201" t="str">
        <f>IF(AB4=TRUE,AC6,"")</f>
        <v>- Doanh thu thuần và Lợi nhuận sau thuế Q4/2022 lần lượt đạt: 30,588 tỷ VND (-15% YoY) và 619 tỷ VND (-60% YoY)</v>
      </c>
      <c r="AF32" s="201"/>
      <c r="AG32" s="212" t="str">
        <f>'FS Quarter'!C22</f>
        <v>LNST</v>
      </c>
      <c r="AH32" s="195">
        <v>1338.6329833540001</v>
      </c>
      <c r="AI32" s="195">
        <v>1213.6784024179999</v>
      </c>
      <c r="AJ32" s="195">
        <v>785.80215888299995</v>
      </c>
      <c r="AK32" s="195">
        <v>1563.3131292349999</v>
      </c>
      <c r="AL32" s="195">
        <v>1445.2443731660001</v>
      </c>
      <c r="AM32" s="195">
        <v>1130.668779267</v>
      </c>
      <c r="AN32" s="198">
        <f>906.779169</f>
        <v>906.77916900000002</v>
      </c>
      <c r="AO32" s="301">
        <v>619.02210313299997</v>
      </c>
      <c r="AP32" s="198">
        <v>21.281314441999999</v>
      </c>
    </row>
    <row r="33" spans="2:42">
      <c r="H33" s="112">
        <f>566.436/22345.204</f>
        <v>2.5349332232545291E-2</v>
      </c>
      <c r="Q33" s="112">
        <f t="shared" ref="Q33:V33" si="11">1-Q24/Q23</f>
        <v>0.32018194608644446</v>
      </c>
      <c r="R33" s="112">
        <f t="shared" si="11"/>
        <v>0.2450560363077795</v>
      </c>
      <c r="S33" s="112">
        <f t="shared" si="11"/>
        <v>0.72692497713434734</v>
      </c>
      <c r="T33" s="112">
        <f t="shared" si="11"/>
        <v>0.33888464897227355</v>
      </c>
      <c r="U33" s="112">
        <f t="shared" si="11"/>
        <v>0.33679396628772185</v>
      </c>
      <c r="V33" s="112">
        <f t="shared" si="11"/>
        <v>0.23737591286208459</v>
      </c>
      <c r="AA33" s="374"/>
      <c r="AC33" s="201" t="str">
        <f>IF(AB10=TRUE,AC12,"")</f>
        <v>-  Lũy kế cả năm 2022,  Doanh thu thuần và Lợi nhuận sau thuế lần lượt đạt: 133,405 tỷ VND (+8% YoY) và 4,102 tỷ VND (-16% YoY)</v>
      </c>
      <c r="AF33" s="201"/>
      <c r="AG33" s="194" t="str">
        <f>'FS Quarter'!C23</f>
        <v>Lợi ích của cổ đông thiểu số</v>
      </c>
      <c r="AH33" s="195">
        <v>0.66437552099999997</v>
      </c>
      <c r="AI33" s="195">
        <v>0.648717133</v>
      </c>
      <c r="AJ33" s="195">
        <v>0.41675757699999999</v>
      </c>
      <c r="AK33" s="195">
        <v>0.82754543899999999</v>
      </c>
      <c r="AL33" s="195">
        <v>0.77908976500000005</v>
      </c>
      <c r="AM33" s="195">
        <v>0.65778452300000001</v>
      </c>
      <c r="AN33" s="198">
        <v>0.53300000000000003</v>
      </c>
      <c r="AO33" s="198">
        <v>-1.8650336E-2</v>
      </c>
      <c r="AP33" s="198">
        <v>1.4370895999999999E-2</v>
      </c>
    </row>
    <row r="34" spans="2:42">
      <c r="Q34" s="112">
        <f>Q15/Q12</f>
        <v>-0.1477051623900677</v>
      </c>
      <c r="T34" s="221">
        <f>SUM(AK19:AN19)</f>
        <v>-1188.4989217959999</v>
      </c>
      <c r="AA34" s="375"/>
      <c r="AC34" s="201" t="str">
        <f>IF(AB14=TRUE,AC15,"")</f>
        <v>- Biên lợi nhuận gộp Q4/2022 đạt 26% tăng 0.06 điểm phần trăm svck</v>
      </c>
      <c r="AF34" s="201"/>
      <c r="AG34" s="194" t="str">
        <f>'FS Quarter'!C24</f>
        <v>Lợi nhuận của Cổ đông của Công ty mẹ</v>
      </c>
      <c r="AH34" s="195">
        <v>1337.9686078330001</v>
      </c>
      <c r="AI34" s="195">
        <v>1213.0296852849999</v>
      </c>
      <c r="AJ34" s="195">
        <v>785.38540130599995</v>
      </c>
      <c r="AK34" s="195">
        <v>1562.4855837959999</v>
      </c>
      <c r="AL34" s="195">
        <v>1444.4652834010001</v>
      </c>
      <c r="AM34" s="195">
        <v>1130.0109947440001</v>
      </c>
      <c r="AN34" s="198">
        <f>AN32-AN33</f>
        <v>906.24616900000001</v>
      </c>
      <c r="AO34" s="198">
        <v>619.04075346900004</v>
      </c>
      <c r="AP34" s="112">
        <v>21.266943546</v>
      </c>
    </row>
    <row r="35" spans="2:42">
      <c r="B35" s="112" t="s">
        <v>1271</v>
      </c>
      <c r="C35" s="197">
        <v>460075487523</v>
      </c>
      <c r="D35" s="197">
        <v>376509558180</v>
      </c>
      <c r="E35" s="196">
        <f>C35/D35-1</f>
        <v>0.22194902500469627</v>
      </c>
      <c r="Q35" s="197" t="e">
        <f>Q12+#REF!</f>
        <v>#REF!</v>
      </c>
      <c r="R35" s="197" t="e">
        <f>R12+#REF!</f>
        <v>#REF!</v>
      </c>
      <c r="T35" s="221">
        <f>AVERAGE(SUM(U35:U36),V35)</f>
        <v>23736.177</v>
      </c>
      <c r="U35" s="112">
        <v>16857.38</v>
      </c>
      <c r="V35" s="112">
        <v>24647.473999999998</v>
      </c>
      <c r="X35" s="197"/>
      <c r="Y35" s="197"/>
      <c r="AA35" s="375"/>
      <c r="AC35" s="201" t="str">
        <f>IF(AB17=TRUE,AC18,"")</f>
        <v>-  Lũy kế cả năm 2022, biên lợi nhuận gộp đạt 23% tăng 0.01 điểm phẩn trăm svck</v>
      </c>
      <c r="AF35" s="201"/>
      <c r="AG35" s="194" t="str">
        <f>'FS Quarter'!C25</f>
        <v>Lãi cơ bản trên cổ phiếu</v>
      </c>
      <c r="AH35" s="195">
        <v>2.897E-6</v>
      </c>
      <c r="AI35" s="195">
        <v>2.5289999999999998E-6</v>
      </c>
      <c r="AJ35" s="195">
        <v>1.2979999999999999E-6</v>
      </c>
      <c r="AK35" s="195">
        <v>-5.1099999999999996E-7</v>
      </c>
      <c r="AL35" s="195">
        <v>2.0260000000000002E-6</v>
      </c>
      <c r="AM35" s="195">
        <v>-2.5600000000000002E-7</v>
      </c>
      <c r="AN35" s="198"/>
      <c r="AO35" s="198">
        <v>4.2199999999999999E-7</v>
      </c>
      <c r="AP35" s="112">
        <v>1.4999999999999999E-8</v>
      </c>
    </row>
    <row r="36" spans="2:42">
      <c r="B36" s="112" t="s">
        <v>1272</v>
      </c>
      <c r="C36" s="197">
        <v>15472606313</v>
      </c>
      <c r="D36" s="197">
        <v>14881585158</v>
      </c>
      <c r="E36" s="196">
        <f t="shared" ref="E36:E41" si="12">C36/D36-1</f>
        <v>3.9714932833098127E-2</v>
      </c>
      <c r="N36" s="112" t="e">
        <f>#REF!+5%</f>
        <v>#REF!</v>
      </c>
      <c r="Q36" s="214" t="e">
        <f>Q13+17.8%*#REF!</f>
        <v>#REF!</v>
      </c>
      <c r="R36" s="214" t="e">
        <f>R13+21.8%*#REF!</f>
        <v>#REF!</v>
      </c>
      <c r="S36" s="201" t="s">
        <v>1273</v>
      </c>
      <c r="T36" s="248">
        <f>T34/T35</f>
        <v>-5.0071202358998243E-2</v>
      </c>
      <c r="U36" s="112">
        <v>5967.5</v>
      </c>
      <c r="X36" s="214"/>
      <c r="Y36" s="214"/>
      <c r="AA36" s="375"/>
      <c r="AC36" s="201" t="str">
        <f>IF(AB21=TRUE,"- " &amp; AC20,"")</f>
        <v>- DT tài chính 2022 là: 1,313 tỷ VND tăng 4% svck</v>
      </c>
      <c r="AF36" s="201"/>
      <c r="AG36" s="194" t="str">
        <f>'FS Quarter'!C26</f>
        <v>Lãi trên cổ phiếu pha loãng</v>
      </c>
      <c r="AH36" s="195">
        <v>2.897E-6</v>
      </c>
      <c r="AI36" s="195">
        <v>2.5289999999999998E-6</v>
      </c>
      <c r="AJ36" s="195">
        <v>1.2979999999999999E-6</v>
      </c>
      <c r="AK36" s="195">
        <v>-5.1099999999999996E-7</v>
      </c>
      <c r="AL36" s="195">
        <v>2.0260000000000002E-6</v>
      </c>
      <c r="AM36" s="195">
        <v>-2.5600000000000002E-7</v>
      </c>
      <c r="AN36" s="198"/>
      <c r="AO36" s="198">
        <v>4.2199999999999999E-7</v>
      </c>
      <c r="AP36" s="112">
        <v>1.4999999999999999E-8</v>
      </c>
    </row>
    <row r="37" spans="2:42">
      <c r="B37" s="112" t="s">
        <v>1274</v>
      </c>
      <c r="C37" s="197">
        <v>25309805494</v>
      </c>
      <c r="D37" s="197">
        <v>18464757506</v>
      </c>
      <c r="E37" s="196">
        <f t="shared" si="12"/>
        <v>0.37070879407843549</v>
      </c>
      <c r="P37" s="112"/>
      <c r="Q37" s="198">
        <f>0.9*FS!L101-'quý 1.22'!Q24</f>
        <v>930.58113550539929</v>
      </c>
      <c r="X37" s="205"/>
      <c r="Y37" s="205"/>
      <c r="AA37" s="375"/>
      <c r="AC37" s="201" t="str">
        <f>IF(AB23=TRUE,AC24,"")</f>
        <v>- CP lãi vay 2022 là: -1,383 tỷ VND, tương ứng -451% DTT, tăng 94% svck</v>
      </c>
      <c r="AF37" s="201"/>
      <c r="AG37" s="194">
        <f>'FS Quarter'!C27</f>
        <v>0</v>
      </c>
    </row>
    <row r="38" spans="2:42">
      <c r="B38" s="112" t="s">
        <v>1275</v>
      </c>
      <c r="C38" s="197">
        <v>12224074672</v>
      </c>
      <c r="D38" s="197">
        <v>11734022575</v>
      </c>
      <c r="E38" s="196">
        <f t="shared" si="12"/>
        <v>4.1763350451028192E-2</v>
      </c>
      <c r="AA38" s="374"/>
      <c r="AC38" s="201" t="str">
        <f>IF(AB26=TRUE,AC27,"")</f>
        <v>- CPBH 2022 là: -21,790 tỷ VND, tương ứng -16% DTT, tăng 22% svck</v>
      </c>
      <c r="AF38" s="201"/>
      <c r="AG38" s="194">
        <f>'FS Quarter'!C28</f>
        <v>0</v>
      </c>
      <c r="AH38" s="205">
        <v>-7.2969031720965692E-3</v>
      </c>
      <c r="AI38" s="205">
        <v>-1.2942799204298939E-2</v>
      </c>
      <c r="AJ38" s="205">
        <v>-1.4753114443547519E-2</v>
      </c>
      <c r="AK38" s="205"/>
      <c r="AL38" s="205"/>
      <c r="AM38" s="205"/>
      <c r="AN38" s="205"/>
      <c r="AO38" s="205"/>
      <c r="AP38" s="112">
        <f>104.794481787/0.2</f>
        <v>523.97240893499998</v>
      </c>
    </row>
    <row r="39" spans="2:42">
      <c r="B39" s="112" t="s">
        <v>1276</v>
      </c>
      <c r="C39" s="197">
        <v>219298742426</v>
      </c>
      <c r="D39" s="197">
        <v>201630023257</v>
      </c>
      <c r="E39" s="196">
        <f t="shared" si="12"/>
        <v>8.7629405996145993E-2</v>
      </c>
      <c r="S39" s="263">
        <f ca="1">0.19*Rev_Year!AK20+0.15*Rev_Year!AL20+0.15*Rev_Year!AM20</f>
        <v>11983.110544442316</v>
      </c>
      <c r="AC39" s="201" t="str">
        <f>IF(AB29=TRUE,AC30,"")</f>
        <v>- Chi phí QLDN 2022 là: -2,348 tỷ VND, tương ứng -2% DTT, giảm -39% svck</v>
      </c>
      <c r="AF39" s="194">
        <f>'FS Quarter'!C29</f>
        <v>0</v>
      </c>
      <c r="AP39" s="197">
        <f>AP38+AP28-(AP17+AP18+AP26)</f>
        <v>629.09405809099997</v>
      </c>
    </row>
    <row r="40" spans="2:42">
      <c r="B40" s="112" t="s">
        <v>1277</v>
      </c>
      <c r="C40" s="197">
        <v>85781616464</v>
      </c>
      <c r="D40" s="197">
        <v>32965744077</v>
      </c>
      <c r="E40" s="196">
        <f t="shared" si="12"/>
        <v>1.6021441003617243</v>
      </c>
      <c r="S40" s="201">
        <f ca="1">S39/(Q3+Q5)</f>
        <v>0.14734340572118734</v>
      </c>
      <c r="AF40" s="194">
        <f>'FS Quarter'!C30</f>
        <v>0</v>
      </c>
      <c r="AP40" s="112">
        <f>139.6625/0.2</f>
        <v>698.31249999999989</v>
      </c>
    </row>
    <row r="41" spans="2:42">
      <c r="B41" s="268"/>
      <c r="C41" s="197">
        <v>818162332892</v>
      </c>
      <c r="D41" s="197">
        <v>656185690753</v>
      </c>
      <c r="E41" s="196">
        <f t="shared" si="12"/>
        <v>0.24684573958497191</v>
      </c>
      <c r="AP41" s="197">
        <f>AP40-(AP17+AP18+AP26)</f>
        <v>644.46756749499991</v>
      </c>
    </row>
    <row r="42" spans="2:42">
      <c r="Q42" s="112">
        <f>(1001.073-566)/SUM(AVERAGE('FS Quarter'!BF113:BJ113),AVERAGE('FS Quarter'!BF126:BJ126))</f>
        <v>1.9944684691324117E-2</v>
      </c>
      <c r="R42" s="112">
        <f>((Q42+1)^4)-1</f>
        <v>8.219737490734369E-2</v>
      </c>
    </row>
    <row r="43" spans="2:42">
      <c r="B43" s="268"/>
      <c r="C43" s="205">
        <f>C35/10^9/$C$12</f>
        <v>1.2616326196495392E-2</v>
      </c>
      <c r="D43" s="205">
        <f>D35/10^9/$D$12</f>
        <v>1.2213176389762182E-2</v>
      </c>
      <c r="Q43" s="112">
        <f>2%*SUM('FS Quarter'!BJ113,'FS Quarter'!BJ126)</f>
        <v>456.49760326382</v>
      </c>
    </row>
    <row r="44" spans="2:42">
      <c r="C44" s="205">
        <f t="shared" ref="C44:C49" si="13">C36/10^9/$C$12</f>
        <v>4.2429439004833551E-4</v>
      </c>
      <c r="D44" s="205">
        <f t="shared" ref="D44:D49" si="14">D36/10^9/$D$12</f>
        <v>4.8272725232391048E-4</v>
      </c>
    </row>
    <row r="45" spans="2:42">
      <c r="B45" s="268"/>
      <c r="C45" s="205">
        <f t="shared" si="13"/>
        <v>6.9405297770008215E-4</v>
      </c>
      <c r="D45" s="205">
        <f t="shared" si="14"/>
        <v>5.9895781000903793E-4</v>
      </c>
    </row>
    <row r="46" spans="2:42">
      <c r="C46" s="205">
        <f t="shared" si="13"/>
        <v>3.3521219385668644E-4</v>
      </c>
      <c r="D46" s="205">
        <f t="shared" si="14"/>
        <v>3.8062695715526451E-4</v>
      </c>
    </row>
    <row r="47" spans="2:42">
      <c r="B47" s="268"/>
      <c r="C47" s="205">
        <f t="shared" si="13"/>
        <v>6.0136750249910331E-3</v>
      </c>
      <c r="D47" s="205">
        <f t="shared" si="14"/>
        <v>6.5404529208055607E-3</v>
      </c>
    </row>
    <row r="48" spans="2:42">
      <c r="C48" s="205">
        <f>C40/10^9/$C$12</f>
        <v>2.352328877157099E-3</v>
      </c>
      <c r="D48" s="205">
        <f>D40/10^9/$D$12</f>
        <v>1.0693392464678887E-3</v>
      </c>
    </row>
    <row r="49" spans="3:4">
      <c r="C49" s="205">
        <f t="shared" si="13"/>
        <v>2.2435889660248627E-2</v>
      </c>
      <c r="D49" s="205">
        <f t="shared" si="14"/>
        <v>2.1285280576523846E-2</v>
      </c>
    </row>
    <row r="76" spans="41:41">
      <c r="AO76" s="112">
        <f>AN76</f>
        <v>0</v>
      </c>
    </row>
  </sheetData>
  <phoneticPr fontId="64" type="noConversion"/>
  <pageMargins left="0.7" right="0.7" top="0.75" bottom="0.75" header="0.3" footer="0.3"/>
  <pageSetup orientation="portrait" r:id="rId1"/>
  <drawing r:id="rId2"/>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3"/>
  <dimension ref="B1:I42"/>
  <sheetViews>
    <sheetView showGridLines="0" topLeftCell="A10" zoomScale="85" zoomScaleNormal="85" zoomScalePageLayoutView="85" workbookViewId="0">
      <selection activeCell="F14" sqref="F14"/>
    </sheetView>
  </sheetViews>
  <sheetFormatPr baseColWidth="10" defaultColWidth="8.83203125" defaultRowHeight="13" outlineLevelRow="1" outlineLevelCol="1"/>
  <cols>
    <col min="1" max="1" width="4.6640625" style="42" customWidth="1"/>
    <col min="2" max="2" width="19.33203125" style="42" customWidth="1"/>
    <col min="3" max="3" width="14.5" style="42" customWidth="1" outlineLevel="1"/>
    <col min="4" max="4" width="9.5" style="42" bestFit="1" customWidth="1"/>
    <col min="5" max="5" width="14.83203125" style="42" bestFit="1" customWidth="1"/>
    <col min="6" max="6" width="19.83203125" style="42" customWidth="1"/>
    <col min="7" max="7" width="8.83203125" style="42"/>
    <col min="8" max="8" width="13.83203125" style="42" customWidth="1"/>
    <col min="9" max="9" width="8.83203125" style="42"/>
    <col min="10" max="10" width="13.1640625" style="42" bestFit="1" customWidth="1"/>
    <col min="11" max="254" width="8.83203125" style="42"/>
    <col min="255" max="255" width="27.5" style="42" bestFit="1" customWidth="1"/>
    <col min="256" max="256" width="9.5" style="42" customWidth="1"/>
    <col min="257" max="257" width="9.5" style="42" bestFit="1" customWidth="1"/>
    <col min="258" max="259" width="14.83203125" style="42" bestFit="1" customWidth="1"/>
    <col min="260" max="260" width="8.83203125" style="42"/>
    <col min="261" max="261" width="23.5" style="42" bestFit="1" customWidth="1"/>
    <col min="262" max="510" width="8.83203125" style="42"/>
    <col min="511" max="511" width="27.5" style="42" bestFit="1" customWidth="1"/>
    <col min="512" max="512" width="9.5" style="42" customWidth="1"/>
    <col min="513" max="513" width="9.5" style="42" bestFit="1" customWidth="1"/>
    <col min="514" max="515" width="14.83203125" style="42" bestFit="1" customWidth="1"/>
    <col min="516" max="516" width="8.83203125" style="42"/>
    <col min="517" max="517" width="23.5" style="42" bestFit="1" customWidth="1"/>
    <col min="518" max="766" width="8.83203125" style="42"/>
    <col min="767" max="767" width="27.5" style="42" bestFit="1" customWidth="1"/>
    <col min="768" max="768" width="9.5" style="42" customWidth="1"/>
    <col min="769" max="769" width="9.5" style="42" bestFit="1" customWidth="1"/>
    <col min="770" max="771" width="14.83203125" style="42" bestFit="1" customWidth="1"/>
    <col min="772" max="772" width="8.83203125" style="42"/>
    <col min="773" max="773" width="23.5" style="42" bestFit="1" customWidth="1"/>
    <col min="774" max="1022" width="8.83203125" style="42"/>
    <col min="1023" max="1023" width="27.5" style="42" bestFit="1" customWidth="1"/>
    <col min="1024" max="1024" width="9.5" style="42" customWidth="1"/>
    <col min="1025" max="1025" width="9.5" style="42" bestFit="1" customWidth="1"/>
    <col min="1026" max="1027" width="14.83203125" style="42" bestFit="1" customWidth="1"/>
    <col min="1028" max="1028" width="8.83203125" style="42"/>
    <col min="1029" max="1029" width="23.5" style="42" bestFit="1" customWidth="1"/>
    <col min="1030" max="1278" width="8.83203125" style="42"/>
    <col min="1279" max="1279" width="27.5" style="42" bestFit="1" customWidth="1"/>
    <col min="1280" max="1280" width="9.5" style="42" customWidth="1"/>
    <col min="1281" max="1281" width="9.5" style="42" bestFit="1" customWidth="1"/>
    <col min="1282" max="1283" width="14.83203125" style="42" bestFit="1" customWidth="1"/>
    <col min="1284" max="1284" width="8.83203125" style="42"/>
    <col min="1285" max="1285" width="23.5" style="42" bestFit="1" customWidth="1"/>
    <col min="1286" max="1534" width="8.83203125" style="42"/>
    <col min="1535" max="1535" width="27.5" style="42" bestFit="1" customWidth="1"/>
    <col min="1536" max="1536" width="9.5" style="42" customWidth="1"/>
    <col min="1537" max="1537" width="9.5" style="42" bestFit="1" customWidth="1"/>
    <col min="1538" max="1539" width="14.83203125" style="42" bestFit="1" customWidth="1"/>
    <col min="1540" max="1540" width="8.83203125" style="42"/>
    <col min="1541" max="1541" width="23.5" style="42" bestFit="1" customWidth="1"/>
    <col min="1542" max="1790" width="8.83203125" style="42"/>
    <col min="1791" max="1791" width="27.5" style="42" bestFit="1" customWidth="1"/>
    <col min="1792" max="1792" width="9.5" style="42" customWidth="1"/>
    <col min="1793" max="1793" width="9.5" style="42" bestFit="1" customWidth="1"/>
    <col min="1794" max="1795" width="14.83203125" style="42" bestFit="1" customWidth="1"/>
    <col min="1796" max="1796" width="8.83203125" style="42"/>
    <col min="1797" max="1797" width="23.5" style="42" bestFit="1" customWidth="1"/>
    <col min="1798" max="2046" width="8.83203125" style="42"/>
    <col min="2047" max="2047" width="27.5" style="42" bestFit="1" customWidth="1"/>
    <col min="2048" max="2048" width="9.5" style="42" customWidth="1"/>
    <col min="2049" max="2049" width="9.5" style="42" bestFit="1" customWidth="1"/>
    <col min="2050" max="2051" width="14.83203125" style="42" bestFit="1" customWidth="1"/>
    <col min="2052" max="2052" width="8.83203125" style="42"/>
    <col min="2053" max="2053" width="23.5" style="42" bestFit="1" customWidth="1"/>
    <col min="2054" max="2302" width="8.83203125" style="42"/>
    <col min="2303" max="2303" width="27.5" style="42" bestFit="1" customWidth="1"/>
    <col min="2304" max="2304" width="9.5" style="42" customWidth="1"/>
    <col min="2305" max="2305" width="9.5" style="42" bestFit="1" customWidth="1"/>
    <col min="2306" max="2307" width="14.83203125" style="42" bestFit="1" customWidth="1"/>
    <col min="2308" max="2308" width="8.83203125" style="42"/>
    <col min="2309" max="2309" width="23.5" style="42" bestFit="1" customWidth="1"/>
    <col min="2310" max="2558" width="8.83203125" style="42"/>
    <col min="2559" max="2559" width="27.5" style="42" bestFit="1" customWidth="1"/>
    <col min="2560" max="2560" width="9.5" style="42" customWidth="1"/>
    <col min="2561" max="2561" width="9.5" style="42" bestFit="1" customWidth="1"/>
    <col min="2562" max="2563" width="14.83203125" style="42" bestFit="1" customWidth="1"/>
    <col min="2564" max="2564" width="8.83203125" style="42"/>
    <col min="2565" max="2565" width="23.5" style="42" bestFit="1" customWidth="1"/>
    <col min="2566" max="2814" width="8.83203125" style="42"/>
    <col min="2815" max="2815" width="27.5" style="42" bestFit="1" customWidth="1"/>
    <col min="2816" max="2816" width="9.5" style="42" customWidth="1"/>
    <col min="2817" max="2817" width="9.5" style="42" bestFit="1" customWidth="1"/>
    <col min="2818" max="2819" width="14.83203125" style="42" bestFit="1" customWidth="1"/>
    <col min="2820" max="2820" width="8.83203125" style="42"/>
    <col min="2821" max="2821" width="23.5" style="42" bestFit="1" customWidth="1"/>
    <col min="2822" max="3070" width="8.83203125" style="42"/>
    <col min="3071" max="3071" width="27.5" style="42" bestFit="1" customWidth="1"/>
    <col min="3072" max="3072" width="9.5" style="42" customWidth="1"/>
    <col min="3073" max="3073" width="9.5" style="42" bestFit="1" customWidth="1"/>
    <col min="3074" max="3075" width="14.83203125" style="42" bestFit="1" customWidth="1"/>
    <col min="3076" max="3076" width="8.83203125" style="42"/>
    <col min="3077" max="3077" width="23.5" style="42" bestFit="1" customWidth="1"/>
    <col min="3078" max="3326" width="8.83203125" style="42"/>
    <col min="3327" max="3327" width="27.5" style="42" bestFit="1" customWidth="1"/>
    <col min="3328" max="3328" width="9.5" style="42" customWidth="1"/>
    <col min="3329" max="3329" width="9.5" style="42" bestFit="1" customWidth="1"/>
    <col min="3330" max="3331" width="14.83203125" style="42" bestFit="1" customWidth="1"/>
    <col min="3332" max="3332" width="8.83203125" style="42"/>
    <col min="3333" max="3333" width="23.5" style="42" bestFit="1" customWidth="1"/>
    <col min="3334" max="3582" width="8.83203125" style="42"/>
    <col min="3583" max="3583" width="27.5" style="42" bestFit="1" customWidth="1"/>
    <col min="3584" max="3584" width="9.5" style="42" customWidth="1"/>
    <col min="3585" max="3585" width="9.5" style="42" bestFit="1" customWidth="1"/>
    <col min="3586" max="3587" width="14.83203125" style="42" bestFit="1" customWidth="1"/>
    <col min="3588" max="3588" width="8.83203125" style="42"/>
    <col min="3589" max="3589" width="23.5" style="42" bestFit="1" customWidth="1"/>
    <col min="3590" max="3838" width="8.83203125" style="42"/>
    <col min="3839" max="3839" width="27.5" style="42" bestFit="1" customWidth="1"/>
    <col min="3840" max="3840" width="9.5" style="42" customWidth="1"/>
    <col min="3841" max="3841" width="9.5" style="42" bestFit="1" customWidth="1"/>
    <col min="3842" max="3843" width="14.83203125" style="42" bestFit="1" customWidth="1"/>
    <col min="3844" max="3844" width="8.83203125" style="42"/>
    <col min="3845" max="3845" width="23.5" style="42" bestFit="1" customWidth="1"/>
    <col min="3846" max="4094" width="8.83203125" style="42"/>
    <col min="4095" max="4095" width="27.5" style="42" bestFit="1" customWidth="1"/>
    <col min="4096" max="4096" width="9.5" style="42" customWidth="1"/>
    <col min="4097" max="4097" width="9.5" style="42" bestFit="1" customWidth="1"/>
    <col min="4098" max="4099" width="14.83203125" style="42" bestFit="1" customWidth="1"/>
    <col min="4100" max="4100" width="8.83203125" style="42"/>
    <col min="4101" max="4101" width="23.5" style="42" bestFit="1" customWidth="1"/>
    <col min="4102" max="4350" width="8.83203125" style="42"/>
    <col min="4351" max="4351" width="27.5" style="42" bestFit="1" customWidth="1"/>
    <col min="4352" max="4352" width="9.5" style="42" customWidth="1"/>
    <col min="4353" max="4353" width="9.5" style="42" bestFit="1" customWidth="1"/>
    <col min="4354" max="4355" width="14.83203125" style="42" bestFit="1" customWidth="1"/>
    <col min="4356" max="4356" width="8.83203125" style="42"/>
    <col min="4357" max="4357" width="23.5" style="42" bestFit="1" customWidth="1"/>
    <col min="4358" max="4606" width="8.83203125" style="42"/>
    <col min="4607" max="4607" width="27.5" style="42" bestFit="1" customWidth="1"/>
    <col min="4608" max="4608" width="9.5" style="42" customWidth="1"/>
    <col min="4609" max="4609" width="9.5" style="42" bestFit="1" customWidth="1"/>
    <col min="4610" max="4611" width="14.83203125" style="42" bestFit="1" customWidth="1"/>
    <col min="4612" max="4612" width="8.83203125" style="42"/>
    <col min="4613" max="4613" width="23.5" style="42" bestFit="1" customWidth="1"/>
    <col min="4614" max="4862" width="8.83203125" style="42"/>
    <col min="4863" max="4863" width="27.5" style="42" bestFit="1" customWidth="1"/>
    <col min="4864" max="4864" width="9.5" style="42" customWidth="1"/>
    <col min="4865" max="4865" width="9.5" style="42" bestFit="1" customWidth="1"/>
    <col min="4866" max="4867" width="14.83203125" style="42" bestFit="1" customWidth="1"/>
    <col min="4868" max="4868" width="8.83203125" style="42"/>
    <col min="4869" max="4869" width="23.5" style="42" bestFit="1" customWidth="1"/>
    <col min="4870" max="5118" width="8.83203125" style="42"/>
    <col min="5119" max="5119" width="27.5" style="42" bestFit="1" customWidth="1"/>
    <col min="5120" max="5120" width="9.5" style="42" customWidth="1"/>
    <col min="5121" max="5121" width="9.5" style="42" bestFit="1" customWidth="1"/>
    <col min="5122" max="5123" width="14.83203125" style="42" bestFit="1" customWidth="1"/>
    <col min="5124" max="5124" width="8.83203125" style="42"/>
    <col min="5125" max="5125" width="23.5" style="42" bestFit="1" customWidth="1"/>
    <col min="5126" max="5374" width="8.83203125" style="42"/>
    <col min="5375" max="5375" width="27.5" style="42" bestFit="1" customWidth="1"/>
    <col min="5376" max="5376" width="9.5" style="42" customWidth="1"/>
    <col min="5377" max="5377" width="9.5" style="42" bestFit="1" customWidth="1"/>
    <col min="5378" max="5379" width="14.83203125" style="42" bestFit="1" customWidth="1"/>
    <col min="5380" max="5380" width="8.83203125" style="42"/>
    <col min="5381" max="5381" width="23.5" style="42" bestFit="1" customWidth="1"/>
    <col min="5382" max="5630" width="8.83203125" style="42"/>
    <col min="5631" max="5631" width="27.5" style="42" bestFit="1" customWidth="1"/>
    <col min="5632" max="5632" width="9.5" style="42" customWidth="1"/>
    <col min="5633" max="5633" width="9.5" style="42" bestFit="1" customWidth="1"/>
    <col min="5634" max="5635" width="14.83203125" style="42" bestFit="1" customWidth="1"/>
    <col min="5636" max="5636" width="8.83203125" style="42"/>
    <col min="5637" max="5637" width="23.5" style="42" bestFit="1" customWidth="1"/>
    <col min="5638" max="5886" width="8.83203125" style="42"/>
    <col min="5887" max="5887" width="27.5" style="42" bestFit="1" customWidth="1"/>
    <col min="5888" max="5888" width="9.5" style="42" customWidth="1"/>
    <col min="5889" max="5889" width="9.5" style="42" bestFit="1" customWidth="1"/>
    <col min="5890" max="5891" width="14.83203125" style="42" bestFit="1" customWidth="1"/>
    <col min="5892" max="5892" width="8.83203125" style="42"/>
    <col min="5893" max="5893" width="23.5" style="42" bestFit="1" customWidth="1"/>
    <col min="5894" max="6142" width="8.83203125" style="42"/>
    <col min="6143" max="6143" width="27.5" style="42" bestFit="1" customWidth="1"/>
    <col min="6144" max="6144" width="9.5" style="42" customWidth="1"/>
    <col min="6145" max="6145" width="9.5" style="42" bestFit="1" customWidth="1"/>
    <col min="6146" max="6147" width="14.83203125" style="42" bestFit="1" customWidth="1"/>
    <col min="6148" max="6148" width="8.83203125" style="42"/>
    <col min="6149" max="6149" width="23.5" style="42" bestFit="1" customWidth="1"/>
    <col min="6150" max="6398" width="8.83203125" style="42"/>
    <col min="6399" max="6399" width="27.5" style="42" bestFit="1" customWidth="1"/>
    <col min="6400" max="6400" width="9.5" style="42" customWidth="1"/>
    <col min="6401" max="6401" width="9.5" style="42" bestFit="1" customWidth="1"/>
    <col min="6402" max="6403" width="14.83203125" style="42" bestFit="1" customWidth="1"/>
    <col min="6404" max="6404" width="8.83203125" style="42"/>
    <col min="6405" max="6405" width="23.5" style="42" bestFit="1" customWidth="1"/>
    <col min="6406" max="6654" width="8.83203125" style="42"/>
    <col min="6655" max="6655" width="27.5" style="42" bestFit="1" customWidth="1"/>
    <col min="6656" max="6656" width="9.5" style="42" customWidth="1"/>
    <col min="6657" max="6657" width="9.5" style="42" bestFit="1" customWidth="1"/>
    <col min="6658" max="6659" width="14.83203125" style="42" bestFit="1" customWidth="1"/>
    <col min="6660" max="6660" width="8.83203125" style="42"/>
    <col min="6661" max="6661" width="23.5" style="42" bestFit="1" customWidth="1"/>
    <col min="6662" max="6910" width="8.83203125" style="42"/>
    <col min="6911" max="6911" width="27.5" style="42" bestFit="1" customWidth="1"/>
    <col min="6912" max="6912" width="9.5" style="42" customWidth="1"/>
    <col min="6913" max="6913" width="9.5" style="42" bestFit="1" customWidth="1"/>
    <col min="6914" max="6915" width="14.83203125" style="42" bestFit="1" customWidth="1"/>
    <col min="6916" max="6916" width="8.83203125" style="42"/>
    <col min="6917" max="6917" width="23.5" style="42" bestFit="1" customWidth="1"/>
    <col min="6918" max="7166" width="8.83203125" style="42"/>
    <col min="7167" max="7167" width="27.5" style="42" bestFit="1" customWidth="1"/>
    <col min="7168" max="7168" width="9.5" style="42" customWidth="1"/>
    <col min="7169" max="7169" width="9.5" style="42" bestFit="1" customWidth="1"/>
    <col min="7170" max="7171" width="14.83203125" style="42" bestFit="1" customWidth="1"/>
    <col min="7172" max="7172" width="8.83203125" style="42"/>
    <col min="7173" max="7173" width="23.5" style="42" bestFit="1" customWidth="1"/>
    <col min="7174" max="7422" width="8.83203125" style="42"/>
    <col min="7423" max="7423" width="27.5" style="42" bestFit="1" customWidth="1"/>
    <col min="7424" max="7424" width="9.5" style="42" customWidth="1"/>
    <col min="7425" max="7425" width="9.5" style="42" bestFit="1" customWidth="1"/>
    <col min="7426" max="7427" width="14.83203125" style="42" bestFit="1" customWidth="1"/>
    <col min="7428" max="7428" width="8.83203125" style="42"/>
    <col min="7429" max="7429" width="23.5" style="42" bestFit="1" customWidth="1"/>
    <col min="7430" max="7678" width="8.83203125" style="42"/>
    <col min="7679" max="7679" width="27.5" style="42" bestFit="1" customWidth="1"/>
    <col min="7680" max="7680" width="9.5" style="42" customWidth="1"/>
    <col min="7681" max="7681" width="9.5" style="42" bestFit="1" customWidth="1"/>
    <col min="7682" max="7683" width="14.83203125" style="42" bestFit="1" customWidth="1"/>
    <col min="7684" max="7684" width="8.83203125" style="42"/>
    <col min="7685" max="7685" width="23.5" style="42" bestFit="1" customWidth="1"/>
    <col min="7686" max="7934" width="8.83203125" style="42"/>
    <col min="7935" max="7935" width="27.5" style="42" bestFit="1" customWidth="1"/>
    <col min="7936" max="7936" width="9.5" style="42" customWidth="1"/>
    <col min="7937" max="7937" width="9.5" style="42" bestFit="1" customWidth="1"/>
    <col min="7938" max="7939" width="14.83203125" style="42" bestFit="1" customWidth="1"/>
    <col min="7940" max="7940" width="8.83203125" style="42"/>
    <col min="7941" max="7941" width="23.5" style="42" bestFit="1" customWidth="1"/>
    <col min="7942" max="8190" width="8.83203125" style="42"/>
    <col min="8191" max="8191" width="27.5" style="42" bestFit="1" customWidth="1"/>
    <col min="8192" max="8192" width="9.5" style="42" customWidth="1"/>
    <col min="8193" max="8193" width="9.5" style="42" bestFit="1" customWidth="1"/>
    <col min="8194" max="8195" width="14.83203125" style="42" bestFit="1" customWidth="1"/>
    <col min="8196" max="8196" width="8.83203125" style="42"/>
    <col min="8197" max="8197" width="23.5" style="42" bestFit="1" customWidth="1"/>
    <col min="8198" max="8446" width="8.83203125" style="42"/>
    <col min="8447" max="8447" width="27.5" style="42" bestFit="1" customWidth="1"/>
    <col min="8448" max="8448" width="9.5" style="42" customWidth="1"/>
    <col min="8449" max="8449" width="9.5" style="42" bestFit="1" customWidth="1"/>
    <col min="8450" max="8451" width="14.83203125" style="42" bestFit="1" customWidth="1"/>
    <col min="8452" max="8452" width="8.83203125" style="42"/>
    <col min="8453" max="8453" width="23.5" style="42" bestFit="1" customWidth="1"/>
    <col min="8454" max="8702" width="8.83203125" style="42"/>
    <col min="8703" max="8703" width="27.5" style="42" bestFit="1" customWidth="1"/>
    <col min="8704" max="8704" width="9.5" style="42" customWidth="1"/>
    <col min="8705" max="8705" width="9.5" style="42" bestFit="1" customWidth="1"/>
    <col min="8706" max="8707" width="14.83203125" style="42" bestFit="1" customWidth="1"/>
    <col min="8708" max="8708" width="8.83203125" style="42"/>
    <col min="8709" max="8709" width="23.5" style="42" bestFit="1" customWidth="1"/>
    <col min="8710" max="8958" width="8.83203125" style="42"/>
    <col min="8959" max="8959" width="27.5" style="42" bestFit="1" customWidth="1"/>
    <col min="8960" max="8960" width="9.5" style="42" customWidth="1"/>
    <col min="8961" max="8961" width="9.5" style="42" bestFit="1" customWidth="1"/>
    <col min="8962" max="8963" width="14.83203125" style="42" bestFit="1" customWidth="1"/>
    <col min="8964" max="8964" width="8.83203125" style="42"/>
    <col min="8965" max="8965" width="23.5" style="42" bestFit="1" customWidth="1"/>
    <col min="8966" max="9214" width="8.83203125" style="42"/>
    <col min="9215" max="9215" width="27.5" style="42" bestFit="1" customWidth="1"/>
    <col min="9216" max="9216" width="9.5" style="42" customWidth="1"/>
    <col min="9217" max="9217" width="9.5" style="42" bestFit="1" customWidth="1"/>
    <col min="9218" max="9219" width="14.83203125" style="42" bestFit="1" customWidth="1"/>
    <col min="9220" max="9220" width="8.83203125" style="42"/>
    <col min="9221" max="9221" width="23.5" style="42" bestFit="1" customWidth="1"/>
    <col min="9222" max="9470" width="8.83203125" style="42"/>
    <col min="9471" max="9471" width="27.5" style="42" bestFit="1" customWidth="1"/>
    <col min="9472" max="9472" width="9.5" style="42" customWidth="1"/>
    <col min="9473" max="9473" width="9.5" style="42" bestFit="1" customWidth="1"/>
    <col min="9474" max="9475" width="14.83203125" style="42" bestFit="1" customWidth="1"/>
    <col min="9476" max="9476" width="8.83203125" style="42"/>
    <col min="9477" max="9477" width="23.5" style="42" bestFit="1" customWidth="1"/>
    <col min="9478" max="9726" width="8.83203125" style="42"/>
    <col min="9727" max="9727" width="27.5" style="42" bestFit="1" customWidth="1"/>
    <col min="9728" max="9728" width="9.5" style="42" customWidth="1"/>
    <col min="9729" max="9729" width="9.5" style="42" bestFit="1" customWidth="1"/>
    <col min="9730" max="9731" width="14.83203125" style="42" bestFit="1" customWidth="1"/>
    <col min="9732" max="9732" width="8.83203125" style="42"/>
    <col min="9733" max="9733" width="23.5" style="42" bestFit="1" customWidth="1"/>
    <col min="9734" max="9982" width="8.83203125" style="42"/>
    <col min="9983" max="9983" width="27.5" style="42" bestFit="1" customWidth="1"/>
    <col min="9984" max="9984" width="9.5" style="42" customWidth="1"/>
    <col min="9985" max="9985" width="9.5" style="42" bestFit="1" customWidth="1"/>
    <col min="9986" max="9987" width="14.83203125" style="42" bestFit="1" customWidth="1"/>
    <col min="9988" max="9988" width="8.83203125" style="42"/>
    <col min="9989" max="9989" width="23.5" style="42" bestFit="1" customWidth="1"/>
    <col min="9990" max="10238" width="8.83203125" style="42"/>
    <col min="10239" max="10239" width="27.5" style="42" bestFit="1" customWidth="1"/>
    <col min="10240" max="10240" width="9.5" style="42" customWidth="1"/>
    <col min="10241" max="10241" width="9.5" style="42" bestFit="1" customWidth="1"/>
    <col min="10242" max="10243" width="14.83203125" style="42" bestFit="1" customWidth="1"/>
    <col min="10244" max="10244" width="8.83203125" style="42"/>
    <col min="10245" max="10245" width="23.5" style="42" bestFit="1" customWidth="1"/>
    <col min="10246" max="10494" width="8.83203125" style="42"/>
    <col min="10495" max="10495" width="27.5" style="42" bestFit="1" customWidth="1"/>
    <col min="10496" max="10496" width="9.5" style="42" customWidth="1"/>
    <col min="10497" max="10497" width="9.5" style="42" bestFit="1" customWidth="1"/>
    <col min="10498" max="10499" width="14.83203125" style="42" bestFit="1" customWidth="1"/>
    <col min="10500" max="10500" width="8.83203125" style="42"/>
    <col min="10501" max="10501" width="23.5" style="42" bestFit="1" customWidth="1"/>
    <col min="10502" max="10750" width="8.83203125" style="42"/>
    <col min="10751" max="10751" width="27.5" style="42" bestFit="1" customWidth="1"/>
    <col min="10752" max="10752" width="9.5" style="42" customWidth="1"/>
    <col min="10753" max="10753" width="9.5" style="42" bestFit="1" customWidth="1"/>
    <col min="10754" max="10755" width="14.83203125" style="42" bestFit="1" customWidth="1"/>
    <col min="10756" max="10756" width="8.83203125" style="42"/>
    <col min="10757" max="10757" width="23.5" style="42" bestFit="1" customWidth="1"/>
    <col min="10758" max="11006" width="8.83203125" style="42"/>
    <col min="11007" max="11007" width="27.5" style="42" bestFit="1" customWidth="1"/>
    <col min="11008" max="11008" width="9.5" style="42" customWidth="1"/>
    <col min="11009" max="11009" width="9.5" style="42" bestFit="1" customWidth="1"/>
    <col min="11010" max="11011" width="14.83203125" style="42" bestFit="1" customWidth="1"/>
    <col min="11012" max="11012" width="8.83203125" style="42"/>
    <col min="11013" max="11013" width="23.5" style="42" bestFit="1" customWidth="1"/>
    <col min="11014" max="11262" width="8.83203125" style="42"/>
    <col min="11263" max="11263" width="27.5" style="42" bestFit="1" customWidth="1"/>
    <col min="11264" max="11264" width="9.5" style="42" customWidth="1"/>
    <col min="11265" max="11265" width="9.5" style="42" bestFit="1" customWidth="1"/>
    <col min="11266" max="11267" width="14.83203125" style="42" bestFit="1" customWidth="1"/>
    <col min="11268" max="11268" width="8.83203125" style="42"/>
    <col min="11269" max="11269" width="23.5" style="42" bestFit="1" customWidth="1"/>
    <col min="11270" max="11518" width="8.83203125" style="42"/>
    <col min="11519" max="11519" width="27.5" style="42" bestFit="1" customWidth="1"/>
    <col min="11520" max="11520" width="9.5" style="42" customWidth="1"/>
    <col min="11521" max="11521" width="9.5" style="42" bestFit="1" customWidth="1"/>
    <col min="11522" max="11523" width="14.83203125" style="42" bestFit="1" customWidth="1"/>
    <col min="11524" max="11524" width="8.83203125" style="42"/>
    <col min="11525" max="11525" width="23.5" style="42" bestFit="1" customWidth="1"/>
    <col min="11526" max="11774" width="8.83203125" style="42"/>
    <col min="11775" max="11775" width="27.5" style="42" bestFit="1" customWidth="1"/>
    <col min="11776" max="11776" width="9.5" style="42" customWidth="1"/>
    <col min="11777" max="11777" width="9.5" style="42" bestFit="1" customWidth="1"/>
    <col min="11778" max="11779" width="14.83203125" style="42" bestFit="1" customWidth="1"/>
    <col min="11780" max="11780" width="8.83203125" style="42"/>
    <col min="11781" max="11781" width="23.5" style="42" bestFit="1" customWidth="1"/>
    <col min="11782" max="12030" width="8.83203125" style="42"/>
    <col min="12031" max="12031" width="27.5" style="42" bestFit="1" customWidth="1"/>
    <col min="12032" max="12032" width="9.5" style="42" customWidth="1"/>
    <col min="12033" max="12033" width="9.5" style="42" bestFit="1" customWidth="1"/>
    <col min="12034" max="12035" width="14.83203125" style="42" bestFit="1" customWidth="1"/>
    <col min="12036" max="12036" width="8.83203125" style="42"/>
    <col min="12037" max="12037" width="23.5" style="42" bestFit="1" customWidth="1"/>
    <col min="12038" max="12286" width="8.83203125" style="42"/>
    <col min="12287" max="12287" width="27.5" style="42" bestFit="1" customWidth="1"/>
    <col min="12288" max="12288" width="9.5" style="42" customWidth="1"/>
    <col min="12289" max="12289" width="9.5" style="42" bestFit="1" customWidth="1"/>
    <col min="12290" max="12291" width="14.83203125" style="42" bestFit="1" customWidth="1"/>
    <col min="12292" max="12292" width="8.83203125" style="42"/>
    <col min="12293" max="12293" width="23.5" style="42" bestFit="1" customWidth="1"/>
    <col min="12294" max="12542" width="8.83203125" style="42"/>
    <col min="12543" max="12543" width="27.5" style="42" bestFit="1" customWidth="1"/>
    <col min="12544" max="12544" width="9.5" style="42" customWidth="1"/>
    <col min="12545" max="12545" width="9.5" style="42" bestFit="1" customWidth="1"/>
    <col min="12546" max="12547" width="14.83203125" style="42" bestFit="1" customWidth="1"/>
    <col min="12548" max="12548" width="8.83203125" style="42"/>
    <col min="12549" max="12549" width="23.5" style="42" bestFit="1" customWidth="1"/>
    <col min="12550" max="12798" width="8.83203125" style="42"/>
    <col min="12799" max="12799" width="27.5" style="42" bestFit="1" customWidth="1"/>
    <col min="12800" max="12800" width="9.5" style="42" customWidth="1"/>
    <col min="12801" max="12801" width="9.5" style="42" bestFit="1" customWidth="1"/>
    <col min="12802" max="12803" width="14.83203125" style="42" bestFit="1" customWidth="1"/>
    <col min="12804" max="12804" width="8.83203125" style="42"/>
    <col min="12805" max="12805" width="23.5" style="42" bestFit="1" customWidth="1"/>
    <col min="12806" max="13054" width="8.83203125" style="42"/>
    <col min="13055" max="13055" width="27.5" style="42" bestFit="1" customWidth="1"/>
    <col min="13056" max="13056" width="9.5" style="42" customWidth="1"/>
    <col min="13057" max="13057" width="9.5" style="42" bestFit="1" customWidth="1"/>
    <col min="13058" max="13059" width="14.83203125" style="42" bestFit="1" customWidth="1"/>
    <col min="13060" max="13060" width="8.83203125" style="42"/>
    <col min="13061" max="13061" width="23.5" style="42" bestFit="1" customWidth="1"/>
    <col min="13062" max="13310" width="8.83203125" style="42"/>
    <col min="13311" max="13311" width="27.5" style="42" bestFit="1" customWidth="1"/>
    <col min="13312" max="13312" width="9.5" style="42" customWidth="1"/>
    <col min="13313" max="13313" width="9.5" style="42" bestFit="1" customWidth="1"/>
    <col min="13314" max="13315" width="14.83203125" style="42" bestFit="1" customWidth="1"/>
    <col min="13316" max="13316" width="8.83203125" style="42"/>
    <col min="13317" max="13317" width="23.5" style="42" bestFit="1" customWidth="1"/>
    <col min="13318" max="13566" width="8.83203125" style="42"/>
    <col min="13567" max="13567" width="27.5" style="42" bestFit="1" customWidth="1"/>
    <col min="13568" max="13568" width="9.5" style="42" customWidth="1"/>
    <col min="13569" max="13569" width="9.5" style="42" bestFit="1" customWidth="1"/>
    <col min="13570" max="13571" width="14.83203125" style="42" bestFit="1" customWidth="1"/>
    <col min="13572" max="13572" width="8.83203125" style="42"/>
    <col min="13573" max="13573" width="23.5" style="42" bestFit="1" customWidth="1"/>
    <col min="13574" max="13822" width="8.83203125" style="42"/>
    <col min="13823" max="13823" width="27.5" style="42" bestFit="1" customWidth="1"/>
    <col min="13824" max="13824" width="9.5" style="42" customWidth="1"/>
    <col min="13825" max="13825" width="9.5" style="42" bestFit="1" customWidth="1"/>
    <col min="13826" max="13827" width="14.83203125" style="42" bestFit="1" customWidth="1"/>
    <col min="13828" max="13828" width="8.83203125" style="42"/>
    <col min="13829" max="13829" width="23.5" style="42" bestFit="1" customWidth="1"/>
    <col min="13830" max="14078" width="8.83203125" style="42"/>
    <col min="14079" max="14079" width="27.5" style="42" bestFit="1" customWidth="1"/>
    <col min="14080" max="14080" width="9.5" style="42" customWidth="1"/>
    <col min="14081" max="14081" width="9.5" style="42" bestFit="1" customWidth="1"/>
    <col min="14082" max="14083" width="14.83203125" style="42" bestFit="1" customWidth="1"/>
    <col min="14084" max="14084" width="8.83203125" style="42"/>
    <col min="14085" max="14085" width="23.5" style="42" bestFit="1" customWidth="1"/>
    <col min="14086" max="14334" width="8.83203125" style="42"/>
    <col min="14335" max="14335" width="27.5" style="42" bestFit="1" customWidth="1"/>
    <col min="14336" max="14336" width="9.5" style="42" customWidth="1"/>
    <col min="14337" max="14337" width="9.5" style="42" bestFit="1" customWidth="1"/>
    <col min="14338" max="14339" width="14.83203125" style="42" bestFit="1" customWidth="1"/>
    <col min="14340" max="14340" width="8.83203125" style="42"/>
    <col min="14341" max="14341" width="23.5" style="42" bestFit="1" customWidth="1"/>
    <col min="14342" max="14590" width="8.83203125" style="42"/>
    <col min="14591" max="14591" width="27.5" style="42" bestFit="1" customWidth="1"/>
    <col min="14592" max="14592" width="9.5" style="42" customWidth="1"/>
    <col min="14593" max="14593" width="9.5" style="42" bestFit="1" customWidth="1"/>
    <col min="14594" max="14595" width="14.83203125" style="42" bestFit="1" customWidth="1"/>
    <col min="14596" max="14596" width="8.83203125" style="42"/>
    <col min="14597" max="14597" width="23.5" style="42" bestFit="1" customWidth="1"/>
    <col min="14598" max="14846" width="8.83203125" style="42"/>
    <col min="14847" max="14847" width="27.5" style="42" bestFit="1" customWidth="1"/>
    <col min="14848" max="14848" width="9.5" style="42" customWidth="1"/>
    <col min="14849" max="14849" width="9.5" style="42" bestFit="1" customWidth="1"/>
    <col min="14850" max="14851" width="14.83203125" style="42" bestFit="1" customWidth="1"/>
    <col min="14852" max="14852" width="8.83203125" style="42"/>
    <col min="14853" max="14853" width="23.5" style="42" bestFit="1" customWidth="1"/>
    <col min="14854" max="15102" width="8.83203125" style="42"/>
    <col min="15103" max="15103" width="27.5" style="42" bestFit="1" customWidth="1"/>
    <col min="15104" max="15104" width="9.5" style="42" customWidth="1"/>
    <col min="15105" max="15105" width="9.5" style="42" bestFit="1" customWidth="1"/>
    <col min="15106" max="15107" width="14.83203125" style="42" bestFit="1" customWidth="1"/>
    <col min="15108" max="15108" width="8.83203125" style="42"/>
    <col min="15109" max="15109" width="23.5" style="42" bestFit="1" customWidth="1"/>
    <col min="15110" max="15358" width="8.83203125" style="42"/>
    <col min="15359" max="15359" width="27.5" style="42" bestFit="1" customWidth="1"/>
    <col min="15360" max="15360" width="9.5" style="42" customWidth="1"/>
    <col min="15361" max="15361" width="9.5" style="42" bestFit="1" customWidth="1"/>
    <col min="15362" max="15363" width="14.83203125" style="42" bestFit="1" customWidth="1"/>
    <col min="15364" max="15364" width="8.83203125" style="42"/>
    <col min="15365" max="15365" width="23.5" style="42" bestFit="1" customWidth="1"/>
    <col min="15366" max="15614" width="8.83203125" style="42"/>
    <col min="15615" max="15615" width="27.5" style="42" bestFit="1" customWidth="1"/>
    <col min="15616" max="15616" width="9.5" style="42" customWidth="1"/>
    <col min="15617" max="15617" width="9.5" style="42" bestFit="1" customWidth="1"/>
    <col min="15618" max="15619" width="14.83203125" style="42" bestFit="1" customWidth="1"/>
    <col min="15620" max="15620" width="8.83203125" style="42"/>
    <col min="15621" max="15621" width="23.5" style="42" bestFit="1" customWidth="1"/>
    <col min="15622" max="15870" width="8.83203125" style="42"/>
    <col min="15871" max="15871" width="27.5" style="42" bestFit="1" customWidth="1"/>
    <col min="15872" max="15872" width="9.5" style="42" customWidth="1"/>
    <col min="15873" max="15873" width="9.5" style="42" bestFit="1" customWidth="1"/>
    <col min="15874" max="15875" width="14.83203125" style="42" bestFit="1" customWidth="1"/>
    <col min="15876" max="15876" width="8.83203125" style="42"/>
    <col min="15877" max="15877" width="23.5" style="42" bestFit="1" customWidth="1"/>
    <col min="15878" max="16126" width="8.83203125" style="42"/>
    <col min="16127" max="16127" width="27.5" style="42" bestFit="1" customWidth="1"/>
    <col min="16128" max="16128" width="9.5" style="42" customWidth="1"/>
    <col min="16129" max="16129" width="9.5" style="42" bestFit="1" customWidth="1"/>
    <col min="16130" max="16131" width="14.83203125" style="42" bestFit="1" customWidth="1"/>
    <col min="16132" max="16132" width="8.83203125" style="42"/>
    <col min="16133" max="16133" width="23.5" style="42" bestFit="1" customWidth="1"/>
    <col min="16134" max="16384" width="8.83203125" style="42"/>
  </cols>
  <sheetData>
    <row r="1" spans="2:9">
      <c r="H1" s="42" t="e">
        <v>#VALUE!</v>
      </c>
      <c r="I1" s="304" t="e" vm="7">
        <f>_FV(H1,"Beta")</f>
        <v>#VALUE!</v>
      </c>
    </row>
    <row r="2" spans="2:9">
      <c r="B2" s="81" t="s">
        <v>2853</v>
      </c>
      <c r="C2" s="82"/>
      <c r="D2" s="82"/>
      <c r="E2" s="82"/>
      <c r="F2" s="83"/>
      <c r="H2" s="42" t="s">
        <v>1737</v>
      </c>
      <c r="I2" s="207">
        <f>F13</f>
        <v>0.03</v>
      </c>
    </row>
    <row r="3" spans="2:9" outlineLevel="1">
      <c r="B3" s="43" t="s">
        <v>2854</v>
      </c>
      <c r="F3" s="45">
        <f>F7/F6</f>
        <v>1.2510425354462051</v>
      </c>
      <c r="H3" s="42" t="s">
        <v>1738</v>
      </c>
      <c r="I3" s="208">
        <f>D31</f>
        <v>1.2</v>
      </c>
    </row>
    <row r="4" spans="2:9" ht="15" outlineLevel="1">
      <c r="B4" s="46" t="s">
        <v>2855</v>
      </c>
      <c r="F4" s="47">
        <v>0.05</v>
      </c>
      <c r="H4" s="42" t="s">
        <v>1739</v>
      </c>
      <c r="I4" s="80">
        <f>F38</f>
        <v>0.12212677231025855</v>
      </c>
    </row>
    <row r="5" spans="2:9" outlineLevel="1">
      <c r="B5" s="46"/>
      <c r="E5" s="48" t="s">
        <v>2856</v>
      </c>
      <c r="F5" s="49" t="s">
        <v>2857</v>
      </c>
      <c r="H5" s="42" t="s">
        <v>1742</v>
      </c>
      <c r="I5" s="207">
        <f ca="1">F15</f>
        <v>6.9429637701576674E-2</v>
      </c>
    </row>
    <row r="6" spans="2:9" outlineLevel="1">
      <c r="B6" s="46" t="s">
        <v>2858</v>
      </c>
      <c r="E6" s="50">
        <v>2.1399999999999999E-2</v>
      </c>
      <c r="F6" s="47">
        <v>2.3980000000000001E-2</v>
      </c>
      <c r="H6" s="42" t="s">
        <v>1744</v>
      </c>
      <c r="I6" s="113">
        <f ca="1">E32</f>
        <v>0.51809482796443274</v>
      </c>
    </row>
    <row r="7" spans="2:9" outlineLevel="1">
      <c r="B7" s="46" t="s">
        <v>2859</v>
      </c>
      <c r="E7" s="51">
        <f>E6*F3</f>
        <v>2.6772310258548787E-2</v>
      </c>
      <c r="F7" s="52">
        <f>F13</f>
        <v>0.03</v>
      </c>
      <c r="H7" s="42" t="s">
        <v>1745</v>
      </c>
      <c r="I7" s="113">
        <f ca="1">F32</f>
        <v>0.48190517203556726</v>
      </c>
    </row>
    <row r="8" spans="2:9" outlineLevel="1">
      <c r="B8" s="53" t="s">
        <v>2860</v>
      </c>
      <c r="C8" s="54"/>
      <c r="D8" s="54"/>
      <c r="E8" s="55">
        <f>E7+F4</f>
        <v>7.677231025854879E-2</v>
      </c>
      <c r="F8" s="56">
        <f>E8</f>
        <v>7.677231025854879E-2</v>
      </c>
      <c r="H8" s="206" t="s">
        <v>1747</v>
      </c>
      <c r="I8" s="126">
        <v>0.2</v>
      </c>
    </row>
    <row r="9" spans="2:9" outlineLevel="1">
      <c r="B9" s="57" t="s">
        <v>2861</v>
      </c>
      <c r="C9" s="58"/>
      <c r="D9" s="58"/>
      <c r="E9" s="59">
        <v>7.8E-2</v>
      </c>
      <c r="F9" s="60">
        <v>2</v>
      </c>
      <c r="H9" s="42" t="s">
        <v>1750</v>
      </c>
      <c r="I9" s="65">
        <f ca="1">WACC</f>
        <v>8.7630432180828707E-2</v>
      </c>
    </row>
    <row r="10" spans="2:9">
      <c r="E10" s="180">
        <f>E9-E8</f>
        <v>1.22768974145121E-3</v>
      </c>
      <c r="H10" s="206" t="s">
        <v>1753</v>
      </c>
      <c r="I10" s="126">
        <f>g</f>
        <v>0.01</v>
      </c>
    </row>
    <row r="11" spans="2:9">
      <c r="H11" s="96"/>
      <c r="I11" s="96"/>
    </row>
    <row r="12" spans="2:9">
      <c r="B12" s="81" t="s">
        <v>2862</v>
      </c>
      <c r="C12" s="82"/>
      <c r="D12" s="82"/>
      <c r="E12" s="82"/>
      <c r="F12" s="83"/>
      <c r="H12" s="96"/>
      <c r="I12" s="96"/>
    </row>
    <row r="13" spans="2:9" outlineLevel="1">
      <c r="B13" s="43" t="s">
        <v>2863</v>
      </c>
      <c r="F13" s="61">
        <v>0.03</v>
      </c>
      <c r="H13" s="96"/>
      <c r="I13" s="96"/>
    </row>
    <row r="14" spans="2:9" outlineLevel="1">
      <c r="B14" s="43" t="s">
        <v>2864</v>
      </c>
      <c r="F14" s="62">
        <f>CHOOSE($F$9,E8,F8)</f>
        <v>7.677231025854879E-2</v>
      </c>
      <c r="H14" s="96"/>
      <c r="I14" s="96"/>
    </row>
    <row r="15" spans="2:9" outlineLevel="1">
      <c r="B15" s="43" t="s">
        <v>2865</v>
      </c>
      <c r="D15" s="42" t="s">
        <v>2866</v>
      </c>
      <c r="E15" s="63">
        <v>1</v>
      </c>
      <c r="F15" s="61">
        <f ca="1">FS!N275</f>
        <v>6.9429637701576674E-2</v>
      </c>
      <c r="H15" s="96"/>
      <c r="I15" s="96"/>
    </row>
    <row r="16" spans="2:9">
      <c r="B16" s="44" t="s">
        <v>2867</v>
      </c>
      <c r="C16" s="54"/>
      <c r="D16" s="54"/>
      <c r="E16" s="54"/>
      <c r="F16" s="64">
        <v>5.5E-2</v>
      </c>
      <c r="H16" s="96"/>
      <c r="I16" s="96"/>
    </row>
    <row r="18" spans="2:6" outlineLevel="1"/>
    <row r="19" spans="2:6">
      <c r="B19" s="81" t="s">
        <v>2868</v>
      </c>
      <c r="C19" s="82"/>
      <c r="D19" s="82"/>
      <c r="E19" s="82"/>
      <c r="F19" s="83"/>
    </row>
    <row r="20" spans="2:6" hidden="1" outlineLevel="1">
      <c r="B20" s="99"/>
      <c r="C20" s="100"/>
      <c r="D20" s="101"/>
      <c r="E20" s="101"/>
      <c r="F20" s="102"/>
    </row>
    <row r="21" spans="2:6" hidden="1" outlineLevel="1">
      <c r="B21" s="103" t="s">
        <v>2869</v>
      </c>
      <c r="C21" s="104" t="s">
        <v>421</v>
      </c>
      <c r="D21" s="104" t="s">
        <v>1738</v>
      </c>
      <c r="E21" s="104" t="s">
        <v>2870</v>
      </c>
      <c r="F21" s="104" t="s">
        <v>2871</v>
      </c>
    </row>
    <row r="22" spans="2:6" ht="15" hidden="1" outlineLevel="1">
      <c r="B22" s="114"/>
      <c r="C22" s="85" t="e">
        <f>#REF!</f>
        <v>#REF!</v>
      </c>
      <c r="D22" s="86" t="e">
        <f ca="1">OFFSET(#REF!,MATCH(WACC!$C22,#REF!,0),MATCH(WACC!D$21,#REF!,0))</f>
        <v>#REF!</v>
      </c>
      <c r="E22" s="118" t="e">
        <f ca="1">OFFSET(#REF!,MATCH(WACC!$C22,#REF!,0),MATCH(WACC!E$21,#REF!,0))</f>
        <v>#REF!</v>
      </c>
      <c r="F22" s="118" t="e">
        <f ca="1">OFFSET(#REF!,MATCH(WACC!$C22,#REF!,0),MATCH(WACC!F$21,#REF!,0))</f>
        <v>#REF!</v>
      </c>
    </row>
    <row r="23" spans="2:6" ht="15" hidden="1" outlineLevel="1">
      <c r="B23" s="114"/>
      <c r="C23" s="85" t="e">
        <f>#REF!</f>
        <v>#REF!</v>
      </c>
      <c r="D23" s="86" t="e">
        <f ca="1">OFFSET(#REF!,MATCH(WACC!$C23,#REF!,0),MATCH(WACC!D$21,#REF!,0))</f>
        <v>#REF!</v>
      </c>
      <c r="E23" s="118" t="e">
        <f ca="1">OFFSET(#REF!,MATCH(WACC!$C23,#REF!,0),MATCH(WACC!E$21,#REF!,0))</f>
        <v>#REF!</v>
      </c>
      <c r="F23" s="118" t="e">
        <f ca="1">OFFSET(#REF!,MATCH(WACC!$C23,#REF!,0),MATCH(WACC!F$21,#REF!,0))</f>
        <v>#REF!</v>
      </c>
    </row>
    <row r="24" spans="2:6" ht="15" hidden="1" outlineLevel="1">
      <c r="B24" s="114"/>
      <c r="C24" s="85" t="e">
        <f>#REF!</f>
        <v>#REF!</v>
      </c>
      <c r="D24" s="86" t="e">
        <f ca="1">OFFSET(#REF!,MATCH(WACC!$C24,#REF!,0),MATCH(WACC!D$21,#REF!,0))</f>
        <v>#REF!</v>
      </c>
      <c r="E24" s="118" t="e">
        <f ca="1">OFFSET(#REF!,MATCH(WACC!$C24,#REF!,0),MATCH(WACC!E$21,#REF!,0))</f>
        <v>#REF!</v>
      </c>
      <c r="F24" s="118" t="e">
        <f ca="1">OFFSET(#REF!,MATCH(WACC!$C24,#REF!,0),MATCH(WACC!F$21,#REF!,0))</f>
        <v>#REF!</v>
      </c>
    </row>
    <row r="25" spans="2:6" ht="15" hidden="1" outlineLevel="1">
      <c r="B25" s="114"/>
      <c r="C25" s="85" t="e">
        <f>#REF!</f>
        <v>#REF!</v>
      </c>
      <c r="D25" s="86" t="e">
        <f ca="1">OFFSET(#REF!,MATCH(WACC!$C25,#REF!,0),MATCH(WACC!D$21,#REF!,0))</f>
        <v>#REF!</v>
      </c>
      <c r="E25" s="118" t="e">
        <f ca="1">OFFSET(#REF!,MATCH(WACC!$C25,#REF!,0),MATCH(WACC!E$21,#REF!,0))</f>
        <v>#REF!</v>
      </c>
      <c r="F25" s="118" t="e">
        <f ca="1">OFFSET(#REF!,MATCH(WACC!$C25,#REF!,0),MATCH(WACC!F$21,#REF!,0))</f>
        <v>#REF!</v>
      </c>
    </row>
    <row r="26" spans="2:6" ht="15" hidden="1" outlineLevel="1">
      <c r="B26" s="114"/>
      <c r="C26" s="85" t="e">
        <f>#REF!</f>
        <v>#REF!</v>
      </c>
      <c r="D26" s="86" t="e">
        <f ca="1">OFFSET(#REF!,MATCH(WACC!$C26,#REF!,0),MATCH(WACC!D$21,#REF!,0))</f>
        <v>#REF!</v>
      </c>
      <c r="E26" s="118" t="e">
        <f ca="1">OFFSET(#REF!,MATCH(WACC!$C26,#REF!,0),MATCH(WACC!E$21,#REF!,0))</f>
        <v>#REF!</v>
      </c>
      <c r="F26" s="118" t="e">
        <f ca="1">OFFSET(#REF!,MATCH(WACC!$C26,#REF!,0),MATCH(WACC!F$21,#REF!,0))</f>
        <v>#REF!</v>
      </c>
    </row>
    <row r="27" spans="2:6" ht="15" hidden="1" outlineLevel="1">
      <c r="B27" s="114"/>
      <c r="C27" s="85" t="e">
        <f>#REF!</f>
        <v>#REF!</v>
      </c>
      <c r="D27" s="86" t="e">
        <f ca="1">OFFSET(#REF!,MATCH(WACC!$C27,#REF!,0),MATCH(WACC!D$21,#REF!,0))</f>
        <v>#REF!</v>
      </c>
      <c r="E27" s="118" t="e">
        <f ca="1">OFFSET(#REF!,MATCH(WACC!$C27,#REF!,0),MATCH(WACC!E$21,#REF!,0))</f>
        <v>#REF!</v>
      </c>
      <c r="F27" s="118" t="e">
        <f ca="1">OFFSET(#REF!,MATCH(WACC!$C27,#REF!,0),MATCH(WACC!F$21,#REF!,0))</f>
        <v>#REF!</v>
      </c>
    </row>
    <row r="28" spans="2:6" collapsed="1">
      <c r="E28" s="42" t="s">
        <v>2870</v>
      </c>
      <c r="F28" s="42" t="s">
        <v>2871</v>
      </c>
    </row>
    <row r="29" spans="2:6">
      <c r="B29" s="67" t="s">
        <v>2872</v>
      </c>
      <c r="C29" s="68"/>
      <c r="D29" s="88"/>
      <c r="E29" s="119"/>
      <c r="F29" s="115"/>
    </row>
    <row r="30" spans="2:6">
      <c r="B30" s="69" t="s">
        <v>2867</v>
      </c>
      <c r="C30" s="70"/>
      <c r="D30" s="89"/>
      <c r="E30" s="120"/>
      <c r="F30" s="116"/>
    </row>
    <row r="31" spans="2:6">
      <c r="B31" s="71" t="s">
        <v>2873</v>
      </c>
      <c r="C31" s="72"/>
      <c r="D31" s="90">
        <v>1.2</v>
      </c>
      <c r="E31" s="121"/>
      <c r="F31" s="117"/>
    </row>
    <row r="32" spans="2:6">
      <c r="B32" s="71" t="str">
        <f>"Historical Capital Structure "&amp;Ticker</f>
        <v>Historical Capital Structure PNJ</v>
      </c>
      <c r="C32" s="72" t="str">
        <f>Ticker</f>
        <v>PNJ</v>
      </c>
      <c r="D32" s="87">
        <v>1.2</v>
      </c>
      <c r="E32" s="121">
        <f ca="1">(FS!N29+FS!N36)/(FS!N29+FS!N36+FS!N43)</f>
        <v>0.51809482796443274</v>
      </c>
      <c r="F32" s="117">
        <f ca="1">1-E32</f>
        <v>0.48190517203556726</v>
      </c>
    </row>
    <row r="33" spans="2:6">
      <c r="B33" s="73" t="s">
        <v>2872</v>
      </c>
      <c r="C33" s="48"/>
      <c r="D33" s="74"/>
      <c r="E33" s="75"/>
      <c r="F33" s="76">
        <v>3</v>
      </c>
    </row>
    <row r="34" spans="2:6">
      <c r="B34" s="91" t="s">
        <v>2874</v>
      </c>
      <c r="C34" s="92"/>
      <c r="D34" s="93"/>
      <c r="E34" s="94"/>
      <c r="F34" s="95">
        <v>3</v>
      </c>
    </row>
    <row r="35" spans="2:6">
      <c r="B35" s="77"/>
      <c r="C35" s="77"/>
      <c r="D35" s="77"/>
      <c r="E35" s="77"/>
      <c r="F35" s="77"/>
    </row>
    <row r="36" spans="2:6">
      <c r="B36" s="81" t="str">
        <f>Ticker&amp;" - Levered Beta &amp; WACC Calculation"</f>
        <v>PNJ - Levered Beta &amp; WACC Calculation</v>
      </c>
      <c r="C36" s="82"/>
      <c r="D36" s="82"/>
      <c r="E36" s="82"/>
      <c r="F36" s="83"/>
    </row>
    <row r="37" spans="2:6">
      <c r="B37" s="43"/>
      <c r="D37" s="77"/>
      <c r="E37" s="77"/>
      <c r="F37" s="78"/>
    </row>
    <row r="38" spans="2:6">
      <c r="B38" s="105" t="s">
        <v>2875</v>
      </c>
      <c r="C38" s="106"/>
      <c r="D38" s="106"/>
      <c r="E38" s="106"/>
      <c r="F38" s="107">
        <f>F13+D31*F14</f>
        <v>0.12212677231025855</v>
      </c>
    </row>
    <row r="39" spans="2:6">
      <c r="B39" s="43"/>
      <c r="F39" s="66"/>
    </row>
    <row r="40" spans="2:6">
      <c r="B40" s="79" t="s">
        <v>2876</v>
      </c>
      <c r="F40" s="66"/>
    </row>
    <row r="41" spans="2:6">
      <c r="B41" s="43"/>
      <c r="F41" s="66"/>
    </row>
    <row r="42" spans="2:6">
      <c r="B42" s="105" t="s">
        <v>1750</v>
      </c>
      <c r="C42" s="106"/>
      <c r="D42" s="106"/>
      <c r="E42" s="106"/>
      <c r="F42" s="108">
        <f ca="1">F32*F38+E32*(1-0.2)*CHOOSE(E15,F15,F16)</f>
        <v>8.7630432180828707E-2</v>
      </c>
    </row>
  </sheetData>
  <dataValidations count="6">
    <dataValidation type="whole" allowBlank="1" showInputMessage="1" showErrorMessage="1" promptTitle="Choose" prompt="1 - Ave. I/r of Debt_x000a_2 - I/r of Debt in Peer Group Emerging Market" sqref="E15" xr:uid="{00000000-0002-0000-1200-000000000000}">
      <formula1>1</formula1>
      <formula2>2</formula2>
    </dataValidation>
    <dataValidation type="whole" allowBlank="1" showInputMessage="1" showErrorMessage="1" errorTitle="Error" error="Only choose 0 or 1" promptTitle="Choose Cost of Equity" prompt="1 - Based on Mean of Peer Group_x000a_2 - Based on Peer Group Emerging Market_x000a_3 - Based on Regression Beta" sqref="F33" xr:uid="{00000000-0002-0000-1200-000001000000}">
      <formula1>1</formula1>
      <formula2>3</formula2>
    </dataValidation>
    <dataValidation type="whole" allowBlank="1" showInputMessage="1" showErrorMessage="1" errorTitle="Error" error="Only choose 0 or 1" promptTitle="Choose Method" prompt="1 for method 1_x000a_2 for method 2" sqref="F9" xr:uid="{00000000-0002-0000-1200-000002000000}">
      <formula1>1</formula1>
      <formula2>2</formula2>
    </dataValidation>
    <dataValidation type="whole" allowBlank="1" showInputMessage="1" showErrorMessage="1" errorTitle="Error" error="Only choose 0 or 1" promptTitle="Choose Method" prompt="0 for method 1_x000a_1 for method 2" sqref="WVK983032 IY9 SU9 ACQ9 AMM9 AWI9 BGE9 BQA9 BZW9 CJS9 CTO9 DDK9 DNG9 DXC9 EGY9 EQU9 FAQ9 FKM9 FUI9 GEE9 GOA9 GXW9 HHS9 HRO9 IBK9 ILG9 IVC9 JEY9 JOU9 JYQ9 KIM9 KSI9 LCE9 LMA9 LVW9 MFS9 MPO9 MZK9 NJG9 NTC9 OCY9 OMU9 OWQ9 PGM9 PQI9 QAE9 QKA9 QTW9 RDS9 RNO9 RXK9 SHG9 SRC9 TAY9 TKU9 TUQ9 UEM9 UOI9 UYE9 VIA9 VRW9 WBS9 WLO9 WVK9 F65528 IY65528 SU65528 ACQ65528 AMM65528 AWI65528 BGE65528 BQA65528 BZW65528 CJS65528 CTO65528 DDK65528 DNG65528 DXC65528 EGY65528 EQU65528 FAQ65528 FKM65528 FUI65528 GEE65528 GOA65528 GXW65528 HHS65528 HRO65528 IBK65528 ILG65528 IVC65528 JEY65528 JOU65528 JYQ65528 KIM65528 KSI65528 LCE65528 LMA65528 LVW65528 MFS65528 MPO65528 MZK65528 NJG65528 NTC65528 OCY65528 OMU65528 OWQ65528 PGM65528 PQI65528 QAE65528 QKA65528 QTW65528 RDS65528 RNO65528 RXK65528 SHG65528 SRC65528 TAY65528 TKU65528 TUQ65528 UEM65528 UOI65528 UYE65528 VIA65528 VRW65528 WBS65528 WLO65528 WVK65528 F131064 IY131064 SU131064 ACQ131064 AMM131064 AWI131064 BGE131064 BQA131064 BZW131064 CJS131064 CTO131064 DDK131064 DNG131064 DXC131064 EGY131064 EQU131064 FAQ131064 FKM131064 FUI131064 GEE131064 GOA131064 GXW131064 HHS131064 HRO131064 IBK131064 ILG131064 IVC131064 JEY131064 JOU131064 JYQ131064 KIM131064 KSI131064 LCE131064 LMA131064 LVW131064 MFS131064 MPO131064 MZK131064 NJG131064 NTC131064 OCY131064 OMU131064 OWQ131064 PGM131064 PQI131064 QAE131064 QKA131064 QTW131064 RDS131064 RNO131064 RXK131064 SHG131064 SRC131064 TAY131064 TKU131064 TUQ131064 UEM131064 UOI131064 UYE131064 VIA131064 VRW131064 WBS131064 WLO131064 WVK131064 F196600 IY196600 SU196600 ACQ196600 AMM196600 AWI196600 BGE196600 BQA196600 BZW196600 CJS196600 CTO196600 DDK196600 DNG196600 DXC196600 EGY196600 EQU196600 FAQ196600 FKM196600 FUI196600 GEE196600 GOA196600 GXW196600 HHS196600 HRO196600 IBK196600 ILG196600 IVC196600 JEY196600 JOU196600 JYQ196600 KIM196600 KSI196600 LCE196600 LMA196600 LVW196600 MFS196600 MPO196600 MZK196600 NJG196600 NTC196600 OCY196600 OMU196600 OWQ196600 PGM196600 PQI196600 QAE196600 QKA196600 QTW196600 RDS196600 RNO196600 RXK196600 SHG196600 SRC196600 TAY196600 TKU196600 TUQ196600 UEM196600 UOI196600 UYE196600 VIA196600 VRW196600 WBS196600 WLO196600 WVK196600 F262136 IY262136 SU262136 ACQ262136 AMM262136 AWI262136 BGE262136 BQA262136 BZW262136 CJS262136 CTO262136 DDK262136 DNG262136 DXC262136 EGY262136 EQU262136 FAQ262136 FKM262136 FUI262136 GEE262136 GOA262136 GXW262136 HHS262136 HRO262136 IBK262136 ILG262136 IVC262136 JEY262136 JOU262136 JYQ262136 KIM262136 KSI262136 LCE262136 LMA262136 LVW262136 MFS262136 MPO262136 MZK262136 NJG262136 NTC262136 OCY262136 OMU262136 OWQ262136 PGM262136 PQI262136 QAE262136 QKA262136 QTW262136 RDS262136 RNO262136 RXK262136 SHG262136 SRC262136 TAY262136 TKU262136 TUQ262136 UEM262136 UOI262136 UYE262136 VIA262136 VRW262136 WBS262136 WLO262136 WVK262136 F327672 IY327672 SU327672 ACQ327672 AMM327672 AWI327672 BGE327672 BQA327672 BZW327672 CJS327672 CTO327672 DDK327672 DNG327672 DXC327672 EGY327672 EQU327672 FAQ327672 FKM327672 FUI327672 GEE327672 GOA327672 GXW327672 HHS327672 HRO327672 IBK327672 ILG327672 IVC327672 JEY327672 JOU327672 JYQ327672 KIM327672 KSI327672 LCE327672 LMA327672 LVW327672 MFS327672 MPO327672 MZK327672 NJG327672 NTC327672 OCY327672 OMU327672 OWQ327672 PGM327672 PQI327672 QAE327672 QKA327672 QTW327672 RDS327672 RNO327672 RXK327672 SHG327672 SRC327672 TAY327672 TKU327672 TUQ327672 UEM327672 UOI327672 UYE327672 VIA327672 VRW327672 WBS327672 WLO327672 WVK327672 F393208 IY393208 SU393208 ACQ393208 AMM393208 AWI393208 BGE393208 BQA393208 BZW393208 CJS393208 CTO393208 DDK393208 DNG393208 DXC393208 EGY393208 EQU393208 FAQ393208 FKM393208 FUI393208 GEE393208 GOA393208 GXW393208 HHS393208 HRO393208 IBK393208 ILG393208 IVC393208 JEY393208 JOU393208 JYQ393208 KIM393208 KSI393208 LCE393208 LMA393208 LVW393208 MFS393208 MPO393208 MZK393208 NJG393208 NTC393208 OCY393208 OMU393208 OWQ393208 PGM393208 PQI393208 QAE393208 QKA393208 QTW393208 RDS393208 RNO393208 RXK393208 SHG393208 SRC393208 TAY393208 TKU393208 TUQ393208 UEM393208 UOI393208 UYE393208 VIA393208 VRW393208 WBS393208 WLO393208 WVK393208 F458744 IY458744 SU458744 ACQ458744 AMM458744 AWI458744 BGE458744 BQA458744 BZW458744 CJS458744 CTO458744 DDK458744 DNG458744 DXC458744 EGY458744 EQU458744 FAQ458744 FKM458744 FUI458744 GEE458744 GOA458744 GXW458744 HHS458744 HRO458744 IBK458744 ILG458744 IVC458744 JEY458744 JOU458744 JYQ458744 KIM458744 KSI458744 LCE458744 LMA458744 LVW458744 MFS458744 MPO458744 MZK458744 NJG458744 NTC458744 OCY458744 OMU458744 OWQ458744 PGM458744 PQI458744 QAE458744 QKA458744 QTW458744 RDS458744 RNO458744 RXK458744 SHG458744 SRC458744 TAY458744 TKU458744 TUQ458744 UEM458744 UOI458744 UYE458744 VIA458744 VRW458744 WBS458744 WLO458744 WVK458744 F524280 IY524280 SU524280 ACQ524280 AMM524280 AWI524280 BGE524280 BQA524280 BZW524280 CJS524280 CTO524280 DDK524280 DNG524280 DXC524280 EGY524280 EQU524280 FAQ524280 FKM524280 FUI524280 GEE524280 GOA524280 GXW524280 HHS524280 HRO524280 IBK524280 ILG524280 IVC524280 JEY524280 JOU524280 JYQ524280 KIM524280 KSI524280 LCE524280 LMA524280 LVW524280 MFS524280 MPO524280 MZK524280 NJG524280 NTC524280 OCY524280 OMU524280 OWQ524280 PGM524280 PQI524280 QAE524280 QKA524280 QTW524280 RDS524280 RNO524280 RXK524280 SHG524280 SRC524280 TAY524280 TKU524280 TUQ524280 UEM524280 UOI524280 UYE524280 VIA524280 VRW524280 WBS524280 WLO524280 WVK524280 F589816 IY589816 SU589816 ACQ589816 AMM589816 AWI589816 BGE589816 BQA589816 BZW589816 CJS589816 CTO589816 DDK589816 DNG589816 DXC589816 EGY589816 EQU589816 FAQ589816 FKM589816 FUI589816 GEE589816 GOA589816 GXW589816 HHS589816 HRO589816 IBK589816 ILG589816 IVC589816 JEY589816 JOU589816 JYQ589816 KIM589816 KSI589816 LCE589816 LMA589816 LVW589816 MFS589816 MPO589816 MZK589816 NJG589816 NTC589816 OCY589816 OMU589816 OWQ589816 PGM589816 PQI589816 QAE589816 QKA589816 QTW589816 RDS589816 RNO589816 RXK589816 SHG589816 SRC589816 TAY589816 TKU589816 TUQ589816 UEM589816 UOI589816 UYE589816 VIA589816 VRW589816 WBS589816 WLO589816 WVK589816 F655352 IY655352 SU655352 ACQ655352 AMM655352 AWI655352 BGE655352 BQA655352 BZW655352 CJS655352 CTO655352 DDK655352 DNG655352 DXC655352 EGY655352 EQU655352 FAQ655352 FKM655352 FUI655352 GEE655352 GOA655352 GXW655352 HHS655352 HRO655352 IBK655352 ILG655352 IVC655352 JEY655352 JOU655352 JYQ655352 KIM655352 KSI655352 LCE655352 LMA655352 LVW655352 MFS655352 MPO655352 MZK655352 NJG655352 NTC655352 OCY655352 OMU655352 OWQ655352 PGM655352 PQI655352 QAE655352 QKA655352 QTW655352 RDS655352 RNO655352 RXK655352 SHG655352 SRC655352 TAY655352 TKU655352 TUQ655352 UEM655352 UOI655352 UYE655352 VIA655352 VRW655352 WBS655352 WLO655352 WVK655352 F720888 IY720888 SU720888 ACQ720888 AMM720888 AWI720888 BGE720888 BQA720888 BZW720888 CJS720888 CTO720888 DDK720888 DNG720888 DXC720888 EGY720888 EQU720888 FAQ720888 FKM720888 FUI720888 GEE720888 GOA720888 GXW720888 HHS720888 HRO720888 IBK720888 ILG720888 IVC720888 JEY720888 JOU720888 JYQ720888 KIM720888 KSI720888 LCE720888 LMA720888 LVW720888 MFS720888 MPO720888 MZK720888 NJG720888 NTC720888 OCY720888 OMU720888 OWQ720888 PGM720888 PQI720888 QAE720888 QKA720888 QTW720888 RDS720888 RNO720888 RXK720888 SHG720888 SRC720888 TAY720888 TKU720888 TUQ720888 UEM720888 UOI720888 UYE720888 VIA720888 VRW720888 WBS720888 WLO720888 WVK720888 F786424 IY786424 SU786424 ACQ786424 AMM786424 AWI786424 BGE786424 BQA786424 BZW786424 CJS786424 CTO786424 DDK786424 DNG786424 DXC786424 EGY786424 EQU786424 FAQ786424 FKM786424 FUI786424 GEE786424 GOA786424 GXW786424 HHS786424 HRO786424 IBK786424 ILG786424 IVC786424 JEY786424 JOU786424 JYQ786424 KIM786424 KSI786424 LCE786424 LMA786424 LVW786424 MFS786424 MPO786424 MZK786424 NJG786424 NTC786424 OCY786424 OMU786424 OWQ786424 PGM786424 PQI786424 QAE786424 QKA786424 QTW786424 RDS786424 RNO786424 RXK786424 SHG786424 SRC786424 TAY786424 TKU786424 TUQ786424 UEM786424 UOI786424 UYE786424 VIA786424 VRW786424 WBS786424 WLO786424 WVK786424 F851960 IY851960 SU851960 ACQ851960 AMM851960 AWI851960 BGE851960 BQA851960 BZW851960 CJS851960 CTO851960 DDK851960 DNG851960 DXC851960 EGY851960 EQU851960 FAQ851960 FKM851960 FUI851960 GEE851960 GOA851960 GXW851960 HHS851960 HRO851960 IBK851960 ILG851960 IVC851960 JEY851960 JOU851960 JYQ851960 KIM851960 KSI851960 LCE851960 LMA851960 LVW851960 MFS851960 MPO851960 MZK851960 NJG851960 NTC851960 OCY851960 OMU851960 OWQ851960 PGM851960 PQI851960 QAE851960 QKA851960 QTW851960 RDS851960 RNO851960 RXK851960 SHG851960 SRC851960 TAY851960 TKU851960 TUQ851960 UEM851960 UOI851960 UYE851960 VIA851960 VRW851960 WBS851960 WLO851960 WVK851960 F917496 IY917496 SU917496 ACQ917496 AMM917496 AWI917496 BGE917496 BQA917496 BZW917496 CJS917496 CTO917496 DDK917496 DNG917496 DXC917496 EGY917496 EQU917496 FAQ917496 FKM917496 FUI917496 GEE917496 GOA917496 GXW917496 HHS917496 HRO917496 IBK917496 ILG917496 IVC917496 JEY917496 JOU917496 JYQ917496 KIM917496 KSI917496 LCE917496 LMA917496 LVW917496 MFS917496 MPO917496 MZK917496 NJG917496 NTC917496 OCY917496 OMU917496 OWQ917496 PGM917496 PQI917496 QAE917496 QKA917496 QTW917496 RDS917496 RNO917496 RXK917496 SHG917496 SRC917496 TAY917496 TKU917496 TUQ917496 UEM917496 UOI917496 UYE917496 VIA917496 VRW917496 WBS917496 WLO917496 WVK917496 F983032 IY983032 SU983032 ACQ983032 AMM983032 AWI983032 BGE983032 BQA983032 BZW983032 CJS983032 CTO983032 DDK983032 DNG983032 DXC983032 EGY983032 EQU983032 FAQ983032 FKM983032 FUI983032 GEE983032 GOA983032 GXW983032 HHS983032 HRO983032 IBK983032 ILG983032 IVC983032 JEY983032 JOU983032 JYQ983032 KIM983032 KSI983032 LCE983032 LMA983032 LVW983032 MFS983032 MPO983032 MZK983032 NJG983032 NTC983032 OCY983032 OMU983032 OWQ983032 PGM983032 PQI983032 QAE983032 QKA983032 QTW983032 RDS983032 RNO983032 RXK983032 SHG983032 SRC983032 TAY983032 TKU983032 TUQ983032 UEM983032 UOI983032 UYE983032 VIA983032 VRW983032 WBS983032 WLO983032" xr:uid="{00000000-0002-0000-1200-000003000000}">
      <formula1>0</formula1>
      <formula2>1</formula2>
    </dataValidation>
    <dataValidation type="whole" allowBlank="1" showInputMessage="1" showErrorMessage="1" errorTitle="Error" error="Only choose 0 or 1" promptTitle="Choose Cost of Equity" prompt="0 for Based on Comparables_x000a_1 for Based on Historical Beta" sqref="WVM983064 H65560 JA65560 SW65560 ACS65560 AMO65560 AWK65560 BGG65560 BQC65560 BZY65560 CJU65560 CTQ65560 DDM65560 DNI65560 DXE65560 EHA65560 EQW65560 FAS65560 FKO65560 FUK65560 GEG65560 GOC65560 GXY65560 HHU65560 HRQ65560 IBM65560 ILI65560 IVE65560 JFA65560 JOW65560 JYS65560 KIO65560 KSK65560 LCG65560 LMC65560 LVY65560 MFU65560 MPQ65560 MZM65560 NJI65560 NTE65560 ODA65560 OMW65560 OWS65560 PGO65560 PQK65560 QAG65560 QKC65560 QTY65560 RDU65560 RNQ65560 RXM65560 SHI65560 SRE65560 TBA65560 TKW65560 TUS65560 UEO65560 UOK65560 UYG65560 VIC65560 VRY65560 WBU65560 WLQ65560 WVM65560 H131096 JA131096 SW131096 ACS131096 AMO131096 AWK131096 BGG131096 BQC131096 BZY131096 CJU131096 CTQ131096 DDM131096 DNI131096 DXE131096 EHA131096 EQW131096 FAS131096 FKO131096 FUK131096 GEG131096 GOC131096 GXY131096 HHU131096 HRQ131096 IBM131096 ILI131096 IVE131096 JFA131096 JOW131096 JYS131096 KIO131096 KSK131096 LCG131096 LMC131096 LVY131096 MFU131096 MPQ131096 MZM131096 NJI131096 NTE131096 ODA131096 OMW131096 OWS131096 PGO131096 PQK131096 QAG131096 QKC131096 QTY131096 RDU131096 RNQ131096 RXM131096 SHI131096 SRE131096 TBA131096 TKW131096 TUS131096 UEO131096 UOK131096 UYG131096 VIC131096 VRY131096 WBU131096 WLQ131096 WVM131096 H196632 JA196632 SW196632 ACS196632 AMO196632 AWK196632 BGG196632 BQC196632 BZY196632 CJU196632 CTQ196632 DDM196632 DNI196632 DXE196632 EHA196632 EQW196632 FAS196632 FKO196632 FUK196632 GEG196632 GOC196632 GXY196632 HHU196632 HRQ196632 IBM196632 ILI196632 IVE196632 JFA196632 JOW196632 JYS196632 KIO196632 KSK196632 LCG196632 LMC196632 LVY196632 MFU196632 MPQ196632 MZM196632 NJI196632 NTE196632 ODA196632 OMW196632 OWS196632 PGO196632 PQK196632 QAG196632 QKC196632 QTY196632 RDU196632 RNQ196632 RXM196632 SHI196632 SRE196632 TBA196632 TKW196632 TUS196632 UEO196632 UOK196632 UYG196632 VIC196632 VRY196632 WBU196632 WLQ196632 WVM196632 H262168 JA262168 SW262168 ACS262168 AMO262168 AWK262168 BGG262168 BQC262168 BZY262168 CJU262168 CTQ262168 DDM262168 DNI262168 DXE262168 EHA262168 EQW262168 FAS262168 FKO262168 FUK262168 GEG262168 GOC262168 GXY262168 HHU262168 HRQ262168 IBM262168 ILI262168 IVE262168 JFA262168 JOW262168 JYS262168 KIO262168 KSK262168 LCG262168 LMC262168 LVY262168 MFU262168 MPQ262168 MZM262168 NJI262168 NTE262168 ODA262168 OMW262168 OWS262168 PGO262168 PQK262168 QAG262168 QKC262168 QTY262168 RDU262168 RNQ262168 RXM262168 SHI262168 SRE262168 TBA262168 TKW262168 TUS262168 UEO262168 UOK262168 UYG262168 VIC262168 VRY262168 WBU262168 WLQ262168 WVM262168 H327704 JA327704 SW327704 ACS327704 AMO327704 AWK327704 BGG327704 BQC327704 BZY327704 CJU327704 CTQ327704 DDM327704 DNI327704 DXE327704 EHA327704 EQW327704 FAS327704 FKO327704 FUK327704 GEG327704 GOC327704 GXY327704 HHU327704 HRQ327704 IBM327704 ILI327704 IVE327704 JFA327704 JOW327704 JYS327704 KIO327704 KSK327704 LCG327704 LMC327704 LVY327704 MFU327704 MPQ327704 MZM327704 NJI327704 NTE327704 ODA327704 OMW327704 OWS327704 PGO327704 PQK327704 QAG327704 QKC327704 QTY327704 RDU327704 RNQ327704 RXM327704 SHI327704 SRE327704 TBA327704 TKW327704 TUS327704 UEO327704 UOK327704 UYG327704 VIC327704 VRY327704 WBU327704 WLQ327704 WVM327704 H393240 JA393240 SW393240 ACS393240 AMO393240 AWK393240 BGG393240 BQC393240 BZY393240 CJU393240 CTQ393240 DDM393240 DNI393240 DXE393240 EHA393240 EQW393240 FAS393240 FKO393240 FUK393240 GEG393240 GOC393240 GXY393240 HHU393240 HRQ393240 IBM393240 ILI393240 IVE393240 JFA393240 JOW393240 JYS393240 KIO393240 KSK393240 LCG393240 LMC393240 LVY393240 MFU393240 MPQ393240 MZM393240 NJI393240 NTE393240 ODA393240 OMW393240 OWS393240 PGO393240 PQK393240 QAG393240 QKC393240 QTY393240 RDU393240 RNQ393240 RXM393240 SHI393240 SRE393240 TBA393240 TKW393240 TUS393240 UEO393240 UOK393240 UYG393240 VIC393240 VRY393240 WBU393240 WLQ393240 WVM393240 H458776 JA458776 SW458776 ACS458776 AMO458776 AWK458776 BGG458776 BQC458776 BZY458776 CJU458776 CTQ458776 DDM458776 DNI458776 DXE458776 EHA458776 EQW458776 FAS458776 FKO458776 FUK458776 GEG458776 GOC458776 GXY458776 HHU458776 HRQ458776 IBM458776 ILI458776 IVE458776 JFA458776 JOW458776 JYS458776 KIO458776 KSK458776 LCG458776 LMC458776 LVY458776 MFU458776 MPQ458776 MZM458776 NJI458776 NTE458776 ODA458776 OMW458776 OWS458776 PGO458776 PQK458776 QAG458776 QKC458776 QTY458776 RDU458776 RNQ458776 RXM458776 SHI458776 SRE458776 TBA458776 TKW458776 TUS458776 UEO458776 UOK458776 UYG458776 VIC458776 VRY458776 WBU458776 WLQ458776 WVM458776 H524312 JA524312 SW524312 ACS524312 AMO524312 AWK524312 BGG524312 BQC524312 BZY524312 CJU524312 CTQ524312 DDM524312 DNI524312 DXE524312 EHA524312 EQW524312 FAS524312 FKO524312 FUK524312 GEG524312 GOC524312 GXY524312 HHU524312 HRQ524312 IBM524312 ILI524312 IVE524312 JFA524312 JOW524312 JYS524312 KIO524312 KSK524312 LCG524312 LMC524312 LVY524312 MFU524312 MPQ524312 MZM524312 NJI524312 NTE524312 ODA524312 OMW524312 OWS524312 PGO524312 PQK524312 QAG524312 QKC524312 QTY524312 RDU524312 RNQ524312 RXM524312 SHI524312 SRE524312 TBA524312 TKW524312 TUS524312 UEO524312 UOK524312 UYG524312 VIC524312 VRY524312 WBU524312 WLQ524312 WVM524312 H589848 JA589848 SW589848 ACS589848 AMO589848 AWK589848 BGG589848 BQC589848 BZY589848 CJU589848 CTQ589848 DDM589848 DNI589848 DXE589848 EHA589848 EQW589848 FAS589848 FKO589848 FUK589848 GEG589848 GOC589848 GXY589848 HHU589848 HRQ589848 IBM589848 ILI589848 IVE589848 JFA589848 JOW589848 JYS589848 KIO589848 KSK589848 LCG589848 LMC589848 LVY589848 MFU589848 MPQ589848 MZM589848 NJI589848 NTE589848 ODA589848 OMW589848 OWS589848 PGO589848 PQK589848 QAG589848 QKC589848 QTY589848 RDU589848 RNQ589848 RXM589848 SHI589848 SRE589848 TBA589848 TKW589848 TUS589848 UEO589848 UOK589848 UYG589848 VIC589848 VRY589848 WBU589848 WLQ589848 WVM589848 H655384 JA655384 SW655384 ACS655384 AMO655384 AWK655384 BGG655384 BQC655384 BZY655384 CJU655384 CTQ655384 DDM655384 DNI655384 DXE655384 EHA655384 EQW655384 FAS655384 FKO655384 FUK655384 GEG655384 GOC655384 GXY655384 HHU655384 HRQ655384 IBM655384 ILI655384 IVE655384 JFA655384 JOW655384 JYS655384 KIO655384 KSK655384 LCG655384 LMC655384 LVY655384 MFU655384 MPQ655384 MZM655384 NJI655384 NTE655384 ODA655384 OMW655384 OWS655384 PGO655384 PQK655384 QAG655384 QKC655384 QTY655384 RDU655384 RNQ655384 RXM655384 SHI655384 SRE655384 TBA655384 TKW655384 TUS655384 UEO655384 UOK655384 UYG655384 VIC655384 VRY655384 WBU655384 WLQ655384 WVM655384 H720920 JA720920 SW720920 ACS720920 AMO720920 AWK720920 BGG720920 BQC720920 BZY720920 CJU720920 CTQ720920 DDM720920 DNI720920 DXE720920 EHA720920 EQW720920 FAS720920 FKO720920 FUK720920 GEG720920 GOC720920 GXY720920 HHU720920 HRQ720920 IBM720920 ILI720920 IVE720920 JFA720920 JOW720920 JYS720920 KIO720920 KSK720920 LCG720920 LMC720920 LVY720920 MFU720920 MPQ720920 MZM720920 NJI720920 NTE720920 ODA720920 OMW720920 OWS720920 PGO720920 PQK720920 QAG720920 QKC720920 QTY720920 RDU720920 RNQ720920 RXM720920 SHI720920 SRE720920 TBA720920 TKW720920 TUS720920 UEO720920 UOK720920 UYG720920 VIC720920 VRY720920 WBU720920 WLQ720920 WVM720920 H786456 JA786456 SW786456 ACS786456 AMO786456 AWK786456 BGG786456 BQC786456 BZY786456 CJU786456 CTQ786456 DDM786456 DNI786456 DXE786456 EHA786456 EQW786456 FAS786456 FKO786456 FUK786456 GEG786456 GOC786456 GXY786456 HHU786456 HRQ786456 IBM786456 ILI786456 IVE786456 JFA786456 JOW786456 JYS786456 KIO786456 KSK786456 LCG786456 LMC786456 LVY786456 MFU786456 MPQ786456 MZM786456 NJI786456 NTE786456 ODA786456 OMW786456 OWS786456 PGO786456 PQK786456 QAG786456 QKC786456 QTY786456 RDU786456 RNQ786456 RXM786456 SHI786456 SRE786456 TBA786456 TKW786456 TUS786456 UEO786456 UOK786456 UYG786456 VIC786456 VRY786456 WBU786456 WLQ786456 WVM786456 H851992 JA851992 SW851992 ACS851992 AMO851992 AWK851992 BGG851992 BQC851992 BZY851992 CJU851992 CTQ851992 DDM851992 DNI851992 DXE851992 EHA851992 EQW851992 FAS851992 FKO851992 FUK851992 GEG851992 GOC851992 GXY851992 HHU851992 HRQ851992 IBM851992 ILI851992 IVE851992 JFA851992 JOW851992 JYS851992 KIO851992 KSK851992 LCG851992 LMC851992 LVY851992 MFU851992 MPQ851992 MZM851992 NJI851992 NTE851992 ODA851992 OMW851992 OWS851992 PGO851992 PQK851992 QAG851992 QKC851992 QTY851992 RDU851992 RNQ851992 RXM851992 SHI851992 SRE851992 TBA851992 TKW851992 TUS851992 UEO851992 UOK851992 UYG851992 VIC851992 VRY851992 WBU851992 WLQ851992 WVM851992 H917528 JA917528 SW917528 ACS917528 AMO917528 AWK917528 BGG917528 BQC917528 BZY917528 CJU917528 CTQ917528 DDM917528 DNI917528 DXE917528 EHA917528 EQW917528 FAS917528 FKO917528 FUK917528 GEG917528 GOC917528 GXY917528 HHU917528 HRQ917528 IBM917528 ILI917528 IVE917528 JFA917528 JOW917528 JYS917528 KIO917528 KSK917528 LCG917528 LMC917528 LVY917528 MFU917528 MPQ917528 MZM917528 NJI917528 NTE917528 ODA917528 OMW917528 OWS917528 PGO917528 PQK917528 QAG917528 QKC917528 QTY917528 RDU917528 RNQ917528 RXM917528 SHI917528 SRE917528 TBA917528 TKW917528 TUS917528 UEO917528 UOK917528 UYG917528 VIC917528 VRY917528 WBU917528 WLQ917528 WVM917528 H983064 JA983064 SW983064 ACS983064 AMO983064 AWK983064 BGG983064 BQC983064 BZY983064 CJU983064 CTQ983064 DDM983064 DNI983064 DXE983064 EHA983064 EQW983064 FAS983064 FKO983064 FUK983064 GEG983064 GOC983064 GXY983064 HHU983064 HRQ983064 IBM983064 ILI983064 IVE983064 JFA983064 JOW983064 JYS983064 KIO983064 KSK983064 LCG983064 LMC983064 LVY983064 MFU983064 MPQ983064 MZM983064 NJI983064 NTE983064 ODA983064 OMW983064 OWS983064 PGO983064 PQK983064 QAG983064 QKC983064 QTY983064 RDU983064 RNQ983064 RXM983064 SHI983064 SRE983064 TBA983064 TKW983064 TUS983064 UEO983064 UOK983064 UYG983064 VIC983064 VRY983064 WBU983064 WLQ983064" xr:uid="{00000000-0002-0000-1200-000004000000}">
      <formula1>0</formula1>
      <formula2>1</formula2>
    </dataValidation>
    <dataValidation type="whole" allowBlank="1" showInputMessage="1" showErrorMessage="1" errorTitle="Error" error="Only choose 0 or 1" promptTitle="Choose Capital Structure" prompt="1 - Based on Mean of Peer Group_x000a_2 - Based on Peer Group Emerging Market_x000a_3 - Based on Historical Capital Structure_x000a_" sqref="F34" xr:uid="{00000000-0002-0000-1200-000005000000}">
      <formula1>1</formula1>
      <formula2>3</formula2>
    </dataValidation>
  </dataValidations>
  <pageMargins left="0.7" right="0.7" top="0.75" bottom="0.75" header="0.3" footer="0.3"/>
  <pageSetup paperSize="9" orientation="portrait" r:id="rId1"/>
  <legacy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ct:contentTypeSchema xmlns:ct="http://schemas.microsoft.com/office/2006/metadata/contentType" xmlns:ma="http://schemas.microsoft.com/office/2006/metadata/properties/metaAttributes" ct:_="" ma:_="" ma:contentTypeName="Document" ma:contentTypeID="0x010100F4A4C245F253E142B76120FBAB98025C" ma:contentTypeVersion="18" ma:contentTypeDescription="Create a new document." ma:contentTypeScope="" ma:versionID="a1085de3e1f54b31c19cf03143e809d4">
  <xsd:schema xmlns:xsd="http://www.w3.org/2001/XMLSchema" xmlns:xs="http://www.w3.org/2001/XMLSchema" xmlns:p="http://schemas.microsoft.com/office/2006/metadata/properties" xmlns:ns2="4c3f0b6a-1478-494e-a142-cc8cef5c522d" xmlns:ns3="8fff69a8-8d5e-4ce7-8d04-fa956f062252" targetNamespace="http://schemas.microsoft.com/office/2006/metadata/properties" ma:root="true" ma:fieldsID="70572d7cb394599c3c7b158f5b49617d" ns2:_="" ns3:_="">
    <xsd:import namespace="4c3f0b6a-1478-494e-a142-cc8cef5c522d"/>
    <xsd:import namespace="8fff69a8-8d5e-4ce7-8d04-fa956f062252"/>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DateTaken" minOccurs="0"/>
                <xsd:element ref="ns3:SharedWithUsers" minOccurs="0"/>
                <xsd:element ref="ns3:SharedWithDetails" minOccurs="0"/>
                <xsd:element ref="ns2:lcf76f155ced4ddcb4097134ff3c332f" minOccurs="0"/>
                <xsd:element ref="ns3:TaxCatchAll" minOccurs="0"/>
                <xsd:element ref="ns2:MediaLengthInSeconds" minOccurs="0"/>
                <xsd:element ref="ns2:Ng_x01b0__x1edd_i"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c3f0b6a-1478-494e-a142-cc8cef5c522d"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DateTaken" ma:index="16" nillable="true" ma:displayName="MediaServiceDateTaken" ma:hidden="true" ma:internalName="MediaServiceDateTaken" ma:readOnly="true">
      <xsd:simpleType>
        <xsd:restriction base="dms:Text"/>
      </xsd:simpleType>
    </xsd:element>
    <xsd:element name="lcf76f155ced4ddcb4097134ff3c332f" ma:index="20" nillable="true" ma:taxonomy="true" ma:internalName="lcf76f155ced4ddcb4097134ff3c332f" ma:taxonomyFieldName="MediaServiceImageTags" ma:displayName="Image Tags" ma:readOnly="false" ma:fieldId="{5cf76f15-5ced-4ddc-b409-7134ff3c332f}" ma:taxonomyMulti="true" ma:sspId="32eaa4f2-b640-4643-8256-6e6ddf51f5d4" ma:termSetId="09814cd3-568e-fe90-9814-8d621ff8fb84" ma:anchorId="fba54fb3-c3e1-fe81-a776-ca4b69148c4d" ma:open="true" ma:isKeyword="false">
      <xsd:complexType>
        <xsd:sequence>
          <xsd:element ref="pc:Terms" minOccurs="0" maxOccurs="1"/>
        </xsd:sequence>
      </xsd:complexType>
    </xsd:element>
    <xsd:element name="MediaLengthInSeconds" ma:index="22" nillable="true" ma:displayName="MediaLengthInSeconds" ma:hidden="true" ma:internalName="MediaLengthInSeconds" ma:readOnly="true">
      <xsd:simpleType>
        <xsd:restriction base="dms:Unknown"/>
      </xsd:simpleType>
    </xsd:element>
    <xsd:element name="Ng_x01b0__x1edd_i" ma:index="23" nillable="true" ma:displayName="Người" ma:format="Dropdown" ma:list="UserInfo" ma:SharePointGroup="0" ma:internalName="Ng_x01b0__x1edd_i">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MediaServiceObjectDetectorVersions" ma:index="24" nillable="true" ma:displayName="MediaServiceObjectDetectorVersions" ma:hidden="true" ma:indexed="true" ma:internalName="MediaServiceObjectDetectorVersions" ma:readOnly="true">
      <xsd:simpleType>
        <xsd:restriction base="dms:Text"/>
      </xsd:simpleType>
    </xsd:element>
    <xsd:element name="MediaServiceSearchProperties" ma:index="2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8fff69a8-8d5e-4ce7-8d04-fa956f062252" elementFormDefault="qualified">
    <xsd:import namespace="http://schemas.microsoft.com/office/2006/documentManagement/types"/>
    <xsd:import namespace="http://schemas.microsoft.com/office/infopath/2007/PartnerControls"/>
    <xsd:element name="SharedWithUsers" ma:index="17"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8" nillable="true" ma:displayName="Shared With Details" ma:internalName="SharedWithDetails" ma:readOnly="true">
      <xsd:simpleType>
        <xsd:restriction base="dms:Note">
          <xsd:maxLength value="255"/>
        </xsd:restriction>
      </xsd:simpleType>
    </xsd:element>
    <xsd:element name="TaxCatchAll" ma:index="21" nillable="true" ma:displayName="Taxonomy Catch All Column" ma:hidden="true" ma:list="{0216bf28-ed9e-47f9-8f94-de18334b6566}" ma:internalName="TaxCatchAll" ma:showField="CatchAllData" ma:web="8fff69a8-8d5e-4ce7-8d04-fa956f062252">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TaxCatchAll xmlns="8fff69a8-8d5e-4ce7-8d04-fa956f062252" xsi:nil="true"/>
    <lcf76f155ced4ddcb4097134ff3c332f xmlns="4c3f0b6a-1478-494e-a142-cc8cef5c522d">
      <Terms xmlns="http://schemas.microsoft.com/office/infopath/2007/PartnerControls"/>
    </lcf76f155ced4ddcb4097134ff3c332f>
    <Ng_x01b0__x1edd_i xmlns="4c3f0b6a-1478-494e-a142-cc8cef5c522d">
      <UserInfo>
        <DisplayName/>
        <AccountId xsi:nil="true"/>
        <AccountType/>
      </UserInfo>
    </Ng_x01b0__x1edd_i>
  </documentManagement>
</p:properties>
</file>

<file path=customXml/itemProps1.xml><?xml version="1.0" encoding="utf-8"?>
<ds:datastoreItem xmlns:ds="http://schemas.openxmlformats.org/officeDocument/2006/customXml" ds:itemID="{23234FBB-88DC-4332-8EF6-0C651CB2E109}">
  <ds:schemaRefs>
    <ds:schemaRef ds:uri="http://schemas.microsoft.com/DataMashup"/>
  </ds:schemaRefs>
</ds:datastoreItem>
</file>

<file path=customXml/itemProps2.xml><?xml version="1.0" encoding="utf-8"?>
<ds:datastoreItem xmlns:ds="http://schemas.openxmlformats.org/officeDocument/2006/customXml" ds:itemID="{E248A728-E3AA-46E8-AB25-FF9E7CEEF4B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c3f0b6a-1478-494e-a142-cc8cef5c522d"/>
    <ds:schemaRef ds:uri="8fff69a8-8d5e-4ce7-8d04-fa956f062252"/>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68509D4-424F-441C-9C0A-07870E75B0C4}">
  <ds:schemaRefs>
    <ds:schemaRef ds:uri="http://schemas.microsoft.com/sharepoint/v3/contenttype/forms"/>
  </ds:schemaRefs>
</ds:datastoreItem>
</file>

<file path=customXml/itemProps4.xml><?xml version="1.0" encoding="utf-8"?>
<ds:datastoreItem xmlns:ds="http://schemas.openxmlformats.org/officeDocument/2006/customXml" ds:itemID="{3DFBED72-2206-4AFD-BE89-B6AE302CC1E8}">
  <ds:schemaRefs>
    <ds:schemaRef ds:uri="http://schemas.microsoft.com/office/2006/metadata/properties"/>
    <ds:schemaRef ds:uri="http://schemas.microsoft.com/office/infopath/2007/PartnerControls"/>
    <ds:schemaRef ds:uri="8fff69a8-8d5e-4ce7-8d04-fa956f062252"/>
    <ds:schemaRef ds:uri="4c3f0b6a-1478-494e-a142-cc8cef5c522d"/>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33</vt:i4>
      </vt:variant>
      <vt:variant>
        <vt:lpstr>Named Ranges</vt:lpstr>
      </vt:variant>
      <vt:variant>
        <vt:i4>20</vt:i4>
      </vt:variant>
    </vt:vector>
  </HeadingPairs>
  <TitlesOfParts>
    <vt:vector size="53" baseType="lpstr">
      <vt:lpstr>Read_python</vt:lpstr>
      <vt:lpstr>Rev_Month</vt:lpstr>
      <vt:lpstr>Rev_Year</vt:lpstr>
      <vt:lpstr>Appendix</vt:lpstr>
      <vt:lpstr>FS</vt:lpstr>
      <vt:lpstr>IPO</vt:lpstr>
      <vt:lpstr>FS Year</vt:lpstr>
      <vt:lpstr>FS Quarter</vt:lpstr>
      <vt:lpstr>2024_Q</vt:lpstr>
      <vt:lpstr>Valuation_Senario</vt:lpstr>
      <vt:lpstr>bhx_monthly_tracking</vt:lpstr>
      <vt:lpstr>Valuation</vt:lpstr>
      <vt:lpstr>Report's chart</vt:lpstr>
      <vt:lpstr>Khấu hao</vt:lpstr>
      <vt:lpstr>Fixed Asset &amp; Interest</vt:lpstr>
      <vt:lpstr>Diamond</vt:lpstr>
      <vt:lpstr>edit</vt:lpstr>
      <vt:lpstr>SLCH TGDĐ+ĐMX</vt:lpstr>
      <vt:lpstr>LS T3.23</vt:lpstr>
      <vt:lpstr>PE Grocery</vt:lpstr>
      <vt:lpstr>2023_quater</vt:lpstr>
      <vt:lpstr>REV CE</vt:lpstr>
      <vt:lpstr>Inputs</vt:lpstr>
      <vt:lpstr>ExportData</vt:lpstr>
      <vt:lpstr>data DN cùng ngành</vt:lpstr>
      <vt:lpstr>Guideline</vt:lpstr>
      <vt:lpstr>biểu đồ</vt:lpstr>
      <vt:lpstr>PEER</vt:lpstr>
      <vt:lpstr>bhx</vt:lpstr>
      <vt:lpstr>Tổng hợp chart</vt:lpstr>
      <vt:lpstr>Sensitivity_Analysis</vt:lpstr>
      <vt:lpstr>quý 1.22</vt:lpstr>
      <vt:lpstr>WACC</vt:lpstr>
      <vt:lpstr>av</vt:lpstr>
      <vt:lpstr>Case_Cell</vt:lpstr>
      <vt:lpstr>Case_Number</vt:lpstr>
      <vt:lpstr>Company_Name</vt:lpstr>
      <vt:lpstr>'data DN cùng ngành'!DATA</vt:lpstr>
      <vt:lpstr>DATA</vt:lpstr>
      <vt:lpstr>Days_in_Year</vt:lpstr>
      <vt:lpstr>DCF_value</vt:lpstr>
      <vt:lpstr>g</vt:lpstr>
      <vt:lpstr>Giá_mục_tiêu</vt:lpstr>
      <vt:lpstr>'data DN cùng ngành'!HEADER</vt:lpstr>
      <vt:lpstr>HEADER</vt:lpstr>
      <vt:lpstr>Hist_Year</vt:lpstr>
      <vt:lpstr>Read_python!Print_Titles</vt:lpstr>
      <vt:lpstr>Share_Price</vt:lpstr>
      <vt:lpstr>target_price</vt:lpstr>
      <vt:lpstr>Tax_Rate</vt:lpstr>
      <vt:lpstr>Ticker</vt:lpstr>
      <vt:lpstr>Valuation_Date</vt:lpstr>
      <vt:lpstr>WACC</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Pham Thi Minh Chau</dc:creator>
  <cp:keywords/>
  <dc:description/>
  <cp:lastModifiedBy>Phan Quoc Buu</cp:lastModifiedBy>
  <cp:revision/>
  <dcterms:created xsi:type="dcterms:W3CDTF">2016-07-21T07:06:41Z</dcterms:created>
  <dcterms:modified xsi:type="dcterms:W3CDTF">2026-01-11T11:56:51Z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ediaServiceImageTags">
    <vt:lpwstr/>
  </property>
  <property fmtid="{D5CDD505-2E9C-101B-9397-08002B2CF9AE}" pid="3" name="ContentTypeId">
    <vt:lpwstr>0x010100F4A4C245F253E142B76120FBAB98025C</vt:lpwstr>
  </property>
</Properties>
</file>